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927"/>
  <workbookPr defaultThemeVersion="124226"/>
  <mc:AlternateContent xmlns:mc="http://schemas.openxmlformats.org/markup-compatibility/2006">
    <mc:Choice Requires="x15">
      <x15ac:absPath xmlns:x15ac="http://schemas.microsoft.com/office/spreadsheetml/2010/11/ac" url="C:\Users\KyteL\Desktop\"/>
    </mc:Choice>
  </mc:AlternateContent>
  <bookViews>
    <workbookView xWindow="0" yWindow="120" windowWidth="15192" windowHeight="8952" tabRatio="797"/>
  </bookViews>
  <sheets>
    <sheet name="Menu" sheetId="1" r:id="rId1"/>
    <sheet name="Construction Contract Amount" sheetId="2" r:id="rId2"/>
    <sheet name="Total Cost Projection" sheetId="5" r:id="rId3"/>
    <sheet name="Cash Flow for Early Estimates" sheetId="6" r:id="rId4"/>
    <sheet name="Sheet1" sheetId="15" state="hidden" r:id="rId5"/>
    <sheet name="2017 APWA" sheetId="26" r:id="rId6"/>
    <sheet name="2017 CSI" sheetId="27" r:id="rId7"/>
    <sheet name="CSI Summary" sheetId="12" state="hidden" r:id="rId8"/>
    <sheet name="lists" sheetId="7" state="hidden" r:id="rId9"/>
  </sheets>
  <externalReferences>
    <externalReference r:id="rId10"/>
    <externalReference r:id="rId11"/>
    <externalReference r:id="rId12"/>
  </externalReferences>
  <definedNames>
    <definedName name="_xlnm._FilterDatabase" localSheetId="6" hidden="1">'2017 CSI'!$D$3131:$W$3163</definedName>
    <definedName name="Change">'[1]Drop Down Lists'!$C$2:$C$4</definedName>
    <definedName name="PlanningPhase">lists!$B$2:$B$4</definedName>
    <definedName name="_xlnm.Print_Area" localSheetId="3">'Cash Flow for Early Estimates'!$A$2:$M$41</definedName>
    <definedName name="_xlnm.Print_Area" localSheetId="1">'Construction Contract Amount'!$A$1:$G$43</definedName>
    <definedName name="_xlnm.Print_Area" localSheetId="7">'CSI Summary'!$A$1:$F$7193</definedName>
    <definedName name="_xlnm.Print_Area" localSheetId="0">Menu!$A$1:$E$11</definedName>
    <definedName name="_xlnm.Print_Area" localSheetId="2">'Total Cost Projection'!$A$1:$L$31</definedName>
    <definedName name="_xlnm.Print_Titles" localSheetId="5">'2017 APWA'!$1:$2</definedName>
    <definedName name="_xlnm.Print_Titles" localSheetId="6">'2017 CSI'!$1:$2</definedName>
    <definedName name="ProjectPhase">lists!$A$2:$A$7</definedName>
    <definedName name="PTAB">'[2]Perspectives Table'!$A$11:$B$18</definedName>
    <definedName name="RangeOptions">'[3]Drop Down Options'!$A$2:$A$8</definedName>
    <definedName name="ReserveUse">'[1]Drop Down Lists'!$G$2:$G$5</definedName>
    <definedName name="Status">'[1]Drop Down Lists'!$A$2:$A$4</definedName>
    <definedName name="YN">'[1]Drop Down Lists'!$E$2:$E$3</definedName>
    <definedName name="Z_133066FC_E63E_478B_AF61_B83EA814B20D_.wvu.Cols" localSheetId="1" hidden="1">'Construction Contract Amount'!$H:$H</definedName>
    <definedName name="Z_133066FC_E63E_478B_AF61_B83EA814B20D_.wvu.PrintArea" localSheetId="3" hidden="1">'Cash Flow for Early Estimates'!$A$2:$M$41</definedName>
    <definedName name="Z_133066FC_E63E_478B_AF61_B83EA814B20D_.wvu.PrintArea" localSheetId="1" hidden="1">'Construction Contract Amount'!$A$1:$G$43</definedName>
    <definedName name="Z_133066FC_E63E_478B_AF61_B83EA814B20D_.wvu.PrintArea" localSheetId="0" hidden="1">Menu!$A$1:$E$11</definedName>
    <definedName name="Z_133066FC_E63E_478B_AF61_B83EA814B20D_.wvu.PrintArea" localSheetId="2" hidden="1">'Total Cost Projection'!$A$1:$L$31</definedName>
    <definedName name="Z_1AACC9AA_928C_4EAC_BFCD_1D4B799515C7_.wvu.Cols" localSheetId="1" hidden="1">'Construction Contract Amount'!$H:$H</definedName>
    <definedName name="Z_1AACC9AA_928C_4EAC_BFCD_1D4B799515C7_.wvu.PrintArea" localSheetId="3" hidden="1">'Cash Flow for Early Estimates'!$A$2:$M$41</definedName>
    <definedName name="Z_1AACC9AA_928C_4EAC_BFCD_1D4B799515C7_.wvu.PrintArea" localSheetId="1" hidden="1">'Construction Contract Amount'!$A$1:$G$43</definedName>
    <definedName name="Z_1AACC9AA_928C_4EAC_BFCD_1D4B799515C7_.wvu.PrintArea" localSheetId="0" hidden="1">Menu!$A$1:$E$11</definedName>
    <definedName name="Z_1AACC9AA_928C_4EAC_BFCD_1D4B799515C7_.wvu.PrintArea" localSheetId="2" hidden="1">'Total Cost Projection'!$A$1:$L$31</definedName>
    <definedName name="Z_23DC8B3D_8B5E_4886_8175_FE20CCB314E2_.wvu.Cols" localSheetId="1" hidden="1">'Construction Contract Amount'!$H:$H</definedName>
    <definedName name="Z_23DC8B3D_8B5E_4886_8175_FE20CCB314E2_.wvu.PrintArea" localSheetId="3" hidden="1">'Cash Flow for Early Estimates'!$A$2:$M$41</definedName>
    <definedName name="Z_23DC8B3D_8B5E_4886_8175_FE20CCB314E2_.wvu.PrintArea" localSheetId="1" hidden="1">'Construction Contract Amount'!$A$1:$G$43</definedName>
    <definedName name="Z_23DC8B3D_8B5E_4886_8175_FE20CCB314E2_.wvu.PrintArea" localSheetId="0" hidden="1">Menu!$A$1:$E$11</definedName>
    <definedName name="Z_23DC8B3D_8B5E_4886_8175_FE20CCB314E2_.wvu.PrintArea" localSheetId="2" hidden="1">'Total Cost Projection'!$A$1:$L$31</definedName>
    <definedName name="Z_5022875D_193C_41EC_BB2F_46BD922E594A_.wvu.Cols" localSheetId="1" hidden="1">'Construction Contract Amount'!$H:$H</definedName>
    <definedName name="Z_5022875D_193C_41EC_BB2F_46BD922E594A_.wvu.PrintArea" localSheetId="3" hidden="1">'Cash Flow for Early Estimates'!$A$2:$M$41</definedName>
    <definedName name="Z_5022875D_193C_41EC_BB2F_46BD922E594A_.wvu.PrintArea" localSheetId="1" hidden="1">'Construction Contract Amount'!$A$1:$G$43</definedName>
    <definedName name="Z_5022875D_193C_41EC_BB2F_46BD922E594A_.wvu.PrintArea" localSheetId="0" hidden="1">Menu!$A$1:$E$11</definedName>
    <definedName name="Z_5022875D_193C_41EC_BB2F_46BD922E594A_.wvu.PrintArea" localSheetId="2" hidden="1">'Total Cost Projection'!$A$1:$L$31</definedName>
    <definedName name="Z_745DB71F_8933_41D7_BE5B_16A940EDBBE9_.wvu.Cols" localSheetId="1" hidden="1">'Construction Contract Amount'!$H:$H</definedName>
    <definedName name="Z_745DB71F_8933_41D7_BE5B_16A940EDBBE9_.wvu.PrintArea" localSheetId="3" hidden="1">'Cash Flow for Early Estimates'!$A$2:$M$41</definedName>
    <definedName name="Z_745DB71F_8933_41D7_BE5B_16A940EDBBE9_.wvu.PrintArea" localSheetId="1" hidden="1">'Construction Contract Amount'!$A$1:$G$43</definedName>
    <definedName name="Z_745DB71F_8933_41D7_BE5B_16A940EDBBE9_.wvu.PrintArea" localSheetId="0" hidden="1">Menu!$A$1:$E$11</definedName>
    <definedName name="Z_745DB71F_8933_41D7_BE5B_16A940EDBBE9_.wvu.PrintArea" localSheetId="2" hidden="1">'Total Cost Projection'!$A$1:$L$31</definedName>
  </definedNames>
  <calcPr calcId="171027"/>
  <customWorkbookViews>
    <customWorkbookView name="Rohr, Katie - Personal View" guid="{745DB71F-8933-41D7-BE5B-16A940EDBBE9}" mergeInterval="0" personalView="1" maximized="1" windowWidth="1920" windowHeight="894" tabRatio="631" activeSheetId="1"/>
    <customWorkbookView name="Treat, Tanya - Personal View" guid="{5022875D-193C-41EC-BB2F-46BD922E594A}" mergeInterval="0" personalView="1" maximized="1" windowWidth="1920" windowHeight="974" tabRatio="631" activeSheetId="5" showComments="commIndAndComment"/>
    <customWorkbookView name="Ward, Keith - Personal View" guid="{23DC8B3D-8B5E-4886-8175-FE20CCB314E2}" mergeInterval="0" personalView="1" maximized="1" windowWidth="1264" windowHeight="659" tabRatio="631" activeSheetId="2"/>
    <customWorkbookView name="Fiedler, Erich - Personal View" guid="{133066FC-E63E-478B-AF61-B83EA814B20D}" mergeInterval="0" personalView="1" maximized="1" windowWidth="1920" windowHeight="854" tabRatio="631" activeSheetId="1"/>
    <customWorkbookView name="Tibayan, Mike - Personal View" guid="{1AACC9AA-928C-4EAC-BFCD-1D4B799515C7}" mergeInterval="0" personalView="1" maximized="1" xWindow="-8" yWindow="-8" windowWidth="1936" windowHeight="1056" tabRatio="631" activeSheetId="2"/>
  </customWorkbookViews>
</workbook>
</file>

<file path=xl/calcChain.xml><?xml version="1.0" encoding="utf-8"?>
<calcChain xmlns="http://schemas.openxmlformats.org/spreadsheetml/2006/main">
  <c r="U3776" i="27" l="1"/>
  <c r="V3776" i="27" s="1"/>
  <c r="W3776" i="27" s="1"/>
  <c r="O3776" i="27"/>
  <c r="P3776" i="27" s="1"/>
  <c r="N3776" i="27" s="1"/>
  <c r="L3776" i="27"/>
  <c r="M3776" i="27" s="1"/>
  <c r="K3776" i="27" s="1"/>
  <c r="I3776" i="27"/>
  <c r="J3776" i="27" s="1"/>
  <c r="H3776" i="27"/>
  <c r="F3776" i="27"/>
  <c r="G3776" i="27" s="1"/>
  <c r="E3776" i="27" s="1"/>
  <c r="W3775" i="27"/>
  <c r="U3775" i="27"/>
  <c r="V3775" i="27" s="1"/>
  <c r="O3775" i="27"/>
  <c r="P3775" i="27" s="1"/>
  <c r="N3775" i="27" s="1"/>
  <c r="L3775" i="27"/>
  <c r="M3775" i="27" s="1"/>
  <c r="K3775" i="27" s="1"/>
  <c r="I3775" i="27"/>
  <c r="J3775" i="27" s="1"/>
  <c r="H3775" i="27" s="1"/>
  <c r="F3775" i="27"/>
  <c r="G3775" i="27" s="1"/>
  <c r="E3775" i="27" s="1"/>
  <c r="U3774" i="27"/>
  <c r="V3774" i="27" s="1"/>
  <c r="W3774" i="27" s="1"/>
  <c r="O3774" i="27"/>
  <c r="P3774" i="27" s="1"/>
  <c r="N3774" i="27" s="1"/>
  <c r="L3774" i="27"/>
  <c r="M3774" i="27" s="1"/>
  <c r="K3774" i="27" s="1"/>
  <c r="J3774" i="27"/>
  <c r="H3774" i="27" s="1"/>
  <c r="I3774" i="27"/>
  <c r="F3774" i="27"/>
  <c r="G3774" i="27" s="1"/>
  <c r="E3774" i="27" s="1"/>
  <c r="U3773" i="27"/>
  <c r="V3773" i="27" s="1"/>
  <c r="W3773" i="27" s="1"/>
  <c r="O3773" i="27"/>
  <c r="P3773" i="27" s="1"/>
  <c r="N3773" i="27" s="1"/>
  <c r="L3773" i="27"/>
  <c r="M3773" i="27" s="1"/>
  <c r="K3773" i="27" s="1"/>
  <c r="I3773" i="27"/>
  <c r="J3773" i="27" s="1"/>
  <c r="H3773" i="27" s="1"/>
  <c r="F3773" i="27"/>
  <c r="G3773" i="27" s="1"/>
  <c r="E3773" i="27" s="1"/>
  <c r="U3772" i="27"/>
  <c r="V3772" i="27" s="1"/>
  <c r="W3772" i="27" s="1"/>
  <c r="O3772" i="27"/>
  <c r="P3772" i="27" s="1"/>
  <c r="N3772" i="27" s="1"/>
  <c r="L3772" i="27"/>
  <c r="M3772" i="27" s="1"/>
  <c r="K3772" i="27" s="1"/>
  <c r="I3772" i="27"/>
  <c r="J3772" i="27" s="1"/>
  <c r="H3772" i="27" s="1"/>
  <c r="F3772" i="27"/>
  <c r="G3772" i="27" s="1"/>
  <c r="E3772" i="27" s="1"/>
  <c r="U3771" i="27"/>
  <c r="V3771" i="27" s="1"/>
  <c r="W3771" i="27" s="1"/>
  <c r="P3771" i="27"/>
  <c r="N3771" i="27" s="1"/>
  <c r="O3771" i="27"/>
  <c r="M3771" i="27"/>
  <c r="K3771" i="27" s="1"/>
  <c r="J3771" i="27"/>
  <c r="H3771" i="27" s="1"/>
  <c r="G3771" i="27"/>
  <c r="E3771" i="27" s="1"/>
  <c r="U3770" i="27"/>
  <c r="V3770" i="27" s="1"/>
  <c r="W3770" i="27" s="1"/>
  <c r="P3770" i="27"/>
  <c r="N3770" i="27" s="1"/>
  <c r="M3770" i="27"/>
  <c r="K3770" i="27" s="1"/>
  <c r="J3770" i="27"/>
  <c r="H3770" i="27" s="1"/>
  <c r="G3770" i="27"/>
  <c r="E3770" i="27" s="1"/>
  <c r="U3769" i="27"/>
  <c r="V3769" i="27" s="1"/>
  <c r="W3769" i="27" s="1"/>
  <c r="P3769" i="27"/>
  <c r="N3769" i="27" s="1"/>
  <c r="M3769" i="27"/>
  <c r="K3769" i="27" s="1"/>
  <c r="J3769" i="27"/>
  <c r="H3769" i="27" s="1"/>
  <c r="G3769" i="27"/>
  <c r="E3769" i="27" s="1"/>
  <c r="U3768" i="27"/>
  <c r="V3768" i="27" s="1"/>
  <c r="W3768" i="27" s="1"/>
  <c r="P3768" i="27"/>
  <c r="N3768" i="27" s="1"/>
  <c r="M3768" i="27"/>
  <c r="K3768" i="27" s="1"/>
  <c r="J3768" i="27"/>
  <c r="H3768" i="27" s="1"/>
  <c r="G3768" i="27"/>
  <c r="E3768" i="27" s="1"/>
  <c r="U3767" i="27"/>
  <c r="V3767" i="27" s="1"/>
  <c r="W3767" i="27" s="1"/>
  <c r="O3767" i="27"/>
  <c r="P3767" i="27" s="1"/>
  <c r="N3767" i="27" s="1"/>
  <c r="L3767" i="27"/>
  <c r="M3767" i="27" s="1"/>
  <c r="K3767" i="27" s="1"/>
  <c r="I3767" i="27"/>
  <c r="J3767" i="27" s="1"/>
  <c r="H3767" i="27" s="1"/>
  <c r="F3767" i="27"/>
  <c r="G3767" i="27" s="1"/>
  <c r="E3767" i="27" s="1"/>
  <c r="U3766" i="27"/>
  <c r="V3766" i="27" s="1"/>
  <c r="W3766" i="27" s="1"/>
  <c r="O3766" i="27"/>
  <c r="P3766" i="27" s="1"/>
  <c r="N3766" i="27" s="1"/>
  <c r="L3766" i="27"/>
  <c r="M3766" i="27" s="1"/>
  <c r="K3766" i="27" s="1"/>
  <c r="I3766" i="27"/>
  <c r="J3766" i="27" s="1"/>
  <c r="H3766" i="27" s="1"/>
  <c r="G3766" i="27"/>
  <c r="E3766" i="27" s="1"/>
  <c r="F3766" i="27"/>
  <c r="T3765" i="27"/>
  <c r="R3765" i="27"/>
  <c r="P3765" i="27"/>
  <c r="M3765" i="27"/>
  <c r="J3765" i="27"/>
  <c r="G3765" i="27"/>
  <c r="T3764" i="27"/>
  <c r="R3764" i="27"/>
  <c r="P3764" i="27"/>
  <c r="N3764" i="27"/>
  <c r="M3764" i="27"/>
  <c r="J3764" i="27"/>
  <c r="G3764" i="27"/>
  <c r="U3763" i="27"/>
  <c r="V3763" i="27" s="1"/>
  <c r="W3763" i="27" s="1"/>
  <c r="T3763" i="27"/>
  <c r="R3763" i="27"/>
  <c r="P3763" i="27"/>
  <c r="M3763" i="27"/>
  <c r="J3763" i="27"/>
  <c r="G3763" i="27"/>
  <c r="E3763" i="27" s="1"/>
  <c r="T3762" i="27"/>
  <c r="R3762" i="27"/>
  <c r="P3762" i="27"/>
  <c r="M3762" i="27"/>
  <c r="J3762" i="27"/>
  <c r="G3762" i="27"/>
  <c r="T3761" i="27"/>
  <c r="R3761" i="27"/>
  <c r="P3761" i="27"/>
  <c r="M3761" i="27"/>
  <c r="J3761" i="27"/>
  <c r="G3761" i="27"/>
  <c r="T3760" i="27"/>
  <c r="R3760" i="27"/>
  <c r="E3760" i="27" s="1"/>
  <c r="P3760" i="27"/>
  <c r="M3760" i="27"/>
  <c r="J3760" i="27"/>
  <c r="G3760" i="27"/>
  <c r="T3759" i="27"/>
  <c r="R3759" i="27"/>
  <c r="P3759" i="27"/>
  <c r="N3759" i="27"/>
  <c r="M3759" i="27"/>
  <c r="J3759" i="27"/>
  <c r="G3759" i="27"/>
  <c r="T3758" i="27"/>
  <c r="R3758" i="27"/>
  <c r="P3758" i="27"/>
  <c r="M3758" i="27"/>
  <c r="J3758" i="27"/>
  <c r="G3758" i="27"/>
  <c r="T3757" i="27"/>
  <c r="R3757" i="27"/>
  <c r="P3757" i="27"/>
  <c r="M3757" i="27"/>
  <c r="J3757" i="27"/>
  <c r="G3757" i="27"/>
  <c r="T3756" i="27"/>
  <c r="R3756" i="27"/>
  <c r="P3756" i="27"/>
  <c r="M3756" i="27"/>
  <c r="J3756" i="27"/>
  <c r="G3756" i="27"/>
  <c r="T3755" i="27"/>
  <c r="R3755" i="27"/>
  <c r="P3755" i="27"/>
  <c r="M3755" i="27"/>
  <c r="J3755" i="27"/>
  <c r="G3755" i="27"/>
  <c r="T3754" i="27"/>
  <c r="R3754" i="27"/>
  <c r="P3754" i="27"/>
  <c r="M3754" i="27"/>
  <c r="J3754" i="27"/>
  <c r="G3754" i="27"/>
  <c r="T3753" i="27"/>
  <c r="R3753" i="27"/>
  <c r="U3753" i="27" s="1"/>
  <c r="V3753" i="27" s="1"/>
  <c r="W3753" i="27" s="1"/>
  <c r="P3753" i="27"/>
  <c r="N3753" i="27" s="1"/>
  <c r="M3753" i="27"/>
  <c r="K3753" i="27" s="1"/>
  <c r="J3753" i="27"/>
  <c r="G3753" i="27"/>
  <c r="E3753" i="27" s="1"/>
  <c r="T3752" i="27"/>
  <c r="R3752" i="27"/>
  <c r="U3752" i="27" s="1"/>
  <c r="V3752" i="27" s="1"/>
  <c r="W3752" i="27" s="1"/>
  <c r="P3752" i="27"/>
  <c r="N3752" i="27" s="1"/>
  <c r="M3752" i="27"/>
  <c r="K3752" i="27" s="1"/>
  <c r="J3752" i="27"/>
  <c r="G3752" i="27"/>
  <c r="U3751" i="27"/>
  <c r="V3751" i="27" s="1"/>
  <c r="W3751" i="27" s="1"/>
  <c r="T3751" i="27"/>
  <c r="R3751" i="27"/>
  <c r="P3751" i="27"/>
  <c r="N3751" i="27" s="1"/>
  <c r="M3751" i="27"/>
  <c r="K3751" i="27" s="1"/>
  <c r="J3751" i="27"/>
  <c r="H3751" i="27" s="1"/>
  <c r="G3751" i="27"/>
  <c r="T3750" i="27"/>
  <c r="R3750" i="27"/>
  <c r="P3750" i="27"/>
  <c r="M3750" i="27"/>
  <c r="J3750" i="27"/>
  <c r="G3750" i="27"/>
  <c r="T3749" i="27"/>
  <c r="R3749" i="27"/>
  <c r="P3749" i="27"/>
  <c r="M3749" i="27"/>
  <c r="J3749" i="27"/>
  <c r="G3749" i="27"/>
  <c r="E3749" i="27" s="1"/>
  <c r="T3748" i="27"/>
  <c r="R3748" i="27"/>
  <c r="P3748" i="27"/>
  <c r="M3748" i="27"/>
  <c r="J3748" i="27"/>
  <c r="G3748" i="27"/>
  <c r="T3747" i="27"/>
  <c r="R3747" i="27"/>
  <c r="P3747" i="27"/>
  <c r="M3747" i="27"/>
  <c r="J3747" i="27"/>
  <c r="G3747" i="27"/>
  <c r="E3747" i="27" s="1"/>
  <c r="T3746" i="27"/>
  <c r="R3746" i="27"/>
  <c r="U3746" i="27" s="1"/>
  <c r="V3746" i="27" s="1"/>
  <c r="W3746" i="27" s="1"/>
  <c r="P3746" i="27"/>
  <c r="N3746" i="27" s="1"/>
  <c r="M3746" i="27"/>
  <c r="K3746" i="27" s="1"/>
  <c r="J3746" i="27"/>
  <c r="G3746" i="27"/>
  <c r="E3746" i="27" s="1"/>
  <c r="T3745" i="27"/>
  <c r="R3745" i="27"/>
  <c r="U3745" i="27" s="1"/>
  <c r="V3745" i="27" s="1"/>
  <c r="W3745" i="27" s="1"/>
  <c r="P3745" i="27"/>
  <c r="M3745" i="27"/>
  <c r="J3745" i="27"/>
  <c r="G3745" i="27"/>
  <c r="E3745" i="27" s="1"/>
  <c r="T3744" i="27"/>
  <c r="R3744" i="27"/>
  <c r="P3744" i="27"/>
  <c r="M3744" i="27"/>
  <c r="J3744" i="27"/>
  <c r="G3744" i="27"/>
  <c r="U3743" i="27"/>
  <c r="V3743" i="27" s="1"/>
  <c r="W3743" i="27" s="1"/>
  <c r="T3743" i="27"/>
  <c r="R3743" i="27"/>
  <c r="P3743" i="27"/>
  <c r="M3743" i="27"/>
  <c r="K3743" i="27" s="1"/>
  <c r="J3743" i="27"/>
  <c r="G3743" i="27"/>
  <c r="T3742" i="27"/>
  <c r="R3742" i="27"/>
  <c r="P3742" i="27"/>
  <c r="M3742" i="27"/>
  <c r="J3742" i="27"/>
  <c r="G3742" i="27"/>
  <c r="T3741" i="27"/>
  <c r="R3741" i="27"/>
  <c r="P3741" i="27"/>
  <c r="M3741" i="27"/>
  <c r="K3741" i="27" s="1"/>
  <c r="J3741" i="27"/>
  <c r="G3741" i="27"/>
  <c r="U3740" i="27"/>
  <c r="V3740" i="27" s="1"/>
  <c r="W3740" i="27" s="1"/>
  <c r="T3740" i="27"/>
  <c r="R3740" i="27"/>
  <c r="P3740" i="27"/>
  <c r="M3740" i="27"/>
  <c r="J3740" i="27"/>
  <c r="H3740" i="27" s="1"/>
  <c r="G3740" i="27"/>
  <c r="T3739" i="27"/>
  <c r="R3739" i="27"/>
  <c r="E3739" i="27" s="1"/>
  <c r="P3739" i="27"/>
  <c r="M3739" i="27"/>
  <c r="J3739" i="27"/>
  <c r="G3739" i="27"/>
  <c r="T3738" i="27"/>
  <c r="R3738" i="27"/>
  <c r="U3738" i="27" s="1"/>
  <c r="V3738" i="27" s="1"/>
  <c r="W3738" i="27" s="1"/>
  <c r="P3738" i="27"/>
  <c r="N3738" i="27" s="1"/>
  <c r="M3738" i="27"/>
  <c r="J3738" i="27"/>
  <c r="G3738" i="27"/>
  <c r="E3738" i="27" s="1"/>
  <c r="U3737" i="27"/>
  <c r="V3737" i="27" s="1"/>
  <c r="W3737" i="27" s="1"/>
  <c r="T3737" i="27"/>
  <c r="R3737" i="27"/>
  <c r="P3737" i="27"/>
  <c r="M3737" i="27"/>
  <c r="J3737" i="27"/>
  <c r="G3737" i="27"/>
  <c r="T3736" i="27"/>
  <c r="R3736" i="27"/>
  <c r="N3736" i="27" s="1"/>
  <c r="P3736" i="27"/>
  <c r="M3736" i="27"/>
  <c r="J3736" i="27"/>
  <c r="G3736" i="27"/>
  <c r="E3736" i="27" s="1"/>
  <c r="T3735" i="27"/>
  <c r="R3735" i="27"/>
  <c r="E3735" i="27" s="1"/>
  <c r="P3735" i="27"/>
  <c r="M3735" i="27"/>
  <c r="J3735" i="27"/>
  <c r="G3735" i="27"/>
  <c r="T3734" i="27"/>
  <c r="R3734" i="27"/>
  <c r="P3734" i="27"/>
  <c r="M3734" i="27"/>
  <c r="J3734" i="27"/>
  <c r="G3734" i="27"/>
  <c r="E3734" i="27" s="1"/>
  <c r="T3733" i="27"/>
  <c r="R3733" i="27"/>
  <c r="P3733" i="27"/>
  <c r="M3733" i="27"/>
  <c r="K3733" i="27" s="1"/>
  <c r="J3733" i="27"/>
  <c r="G3733" i="27"/>
  <c r="E3733" i="27" s="1"/>
  <c r="T3732" i="27"/>
  <c r="R3732" i="27"/>
  <c r="P3732" i="27"/>
  <c r="M3732" i="27"/>
  <c r="J3732" i="27"/>
  <c r="G3732" i="27"/>
  <c r="T3731" i="27"/>
  <c r="R3731" i="27"/>
  <c r="P3731" i="27"/>
  <c r="M3731" i="27"/>
  <c r="J3731" i="27"/>
  <c r="G3731" i="27"/>
  <c r="V3730" i="27"/>
  <c r="W3730" i="27" s="1"/>
  <c r="T3730" i="27"/>
  <c r="R3730" i="27"/>
  <c r="U3730" i="27" s="1"/>
  <c r="P3730" i="27"/>
  <c r="M3730" i="27"/>
  <c r="J3730" i="27"/>
  <c r="G3730" i="27"/>
  <c r="T3729" i="27"/>
  <c r="R3729" i="27"/>
  <c r="P3729" i="27"/>
  <c r="M3729" i="27"/>
  <c r="J3729" i="27"/>
  <c r="G3729" i="27"/>
  <c r="T3728" i="27"/>
  <c r="R3728" i="27"/>
  <c r="U3728" i="27" s="1"/>
  <c r="V3728" i="27" s="1"/>
  <c r="W3728" i="27" s="1"/>
  <c r="P3728" i="27"/>
  <c r="M3728" i="27"/>
  <c r="J3728" i="27"/>
  <c r="G3728" i="27"/>
  <c r="E3728" i="27" s="1"/>
  <c r="T3727" i="27"/>
  <c r="R3727" i="27"/>
  <c r="P3727" i="27"/>
  <c r="M3727" i="27"/>
  <c r="K3727" i="27"/>
  <c r="J3727" i="27"/>
  <c r="H3727" i="27" s="1"/>
  <c r="G3727" i="27"/>
  <c r="E3727" i="27" s="1"/>
  <c r="T3726" i="27"/>
  <c r="R3726" i="27"/>
  <c r="P3726" i="27"/>
  <c r="M3726" i="27"/>
  <c r="J3726" i="27"/>
  <c r="G3726" i="27"/>
  <c r="T3725" i="27"/>
  <c r="R3725" i="27"/>
  <c r="N3725" i="27" s="1"/>
  <c r="P3725" i="27"/>
  <c r="M3725" i="27"/>
  <c r="J3725" i="27"/>
  <c r="G3725" i="27"/>
  <c r="T3724" i="27"/>
  <c r="R3724" i="27"/>
  <c r="U3724" i="27" s="1"/>
  <c r="V3724" i="27" s="1"/>
  <c r="W3724" i="27" s="1"/>
  <c r="P3724" i="27"/>
  <c r="M3724" i="27"/>
  <c r="J3724" i="27"/>
  <c r="G3724" i="27"/>
  <c r="T3723" i="27"/>
  <c r="R3723" i="27"/>
  <c r="P3723" i="27"/>
  <c r="M3723" i="27"/>
  <c r="J3723" i="27"/>
  <c r="G3723" i="27"/>
  <c r="T3722" i="27"/>
  <c r="R3722" i="27"/>
  <c r="P3722" i="27"/>
  <c r="M3722" i="27"/>
  <c r="J3722" i="27"/>
  <c r="H3722" i="27" s="1"/>
  <c r="G3722" i="27"/>
  <c r="E3722" i="27" s="1"/>
  <c r="T3721" i="27"/>
  <c r="R3721" i="27"/>
  <c r="P3721" i="27"/>
  <c r="M3721" i="27"/>
  <c r="J3721" i="27"/>
  <c r="G3721" i="27"/>
  <c r="T3720" i="27"/>
  <c r="R3720" i="27"/>
  <c r="P3720" i="27"/>
  <c r="M3720" i="27"/>
  <c r="J3720" i="27"/>
  <c r="G3720" i="27"/>
  <c r="T3719" i="27"/>
  <c r="R3719" i="27"/>
  <c r="U3719" i="27" s="1"/>
  <c r="V3719" i="27" s="1"/>
  <c r="W3719" i="27" s="1"/>
  <c r="P3719" i="27"/>
  <c r="M3719" i="27"/>
  <c r="J3719" i="27"/>
  <c r="G3719" i="27"/>
  <c r="T3718" i="27"/>
  <c r="R3718" i="27"/>
  <c r="P3718" i="27"/>
  <c r="M3718" i="27"/>
  <c r="J3718" i="27"/>
  <c r="G3718" i="27"/>
  <c r="E3718" i="27" s="1"/>
  <c r="T3717" i="27"/>
  <c r="R3717" i="27"/>
  <c r="P3717" i="27"/>
  <c r="M3717" i="27"/>
  <c r="J3717" i="27"/>
  <c r="G3717" i="27"/>
  <c r="T3716" i="27"/>
  <c r="R3716" i="27"/>
  <c r="P3716" i="27"/>
  <c r="M3716" i="27"/>
  <c r="J3716" i="27"/>
  <c r="H3716" i="27" s="1"/>
  <c r="G3716" i="27"/>
  <c r="T3715" i="27"/>
  <c r="R3715" i="27"/>
  <c r="P3715" i="27"/>
  <c r="M3715" i="27"/>
  <c r="J3715" i="27"/>
  <c r="G3715" i="27"/>
  <c r="T3714" i="27"/>
  <c r="R3714" i="27"/>
  <c r="P3714" i="27"/>
  <c r="N3714" i="27" s="1"/>
  <c r="M3714" i="27"/>
  <c r="J3714" i="27"/>
  <c r="G3714" i="27"/>
  <c r="T3713" i="27"/>
  <c r="R3713" i="27"/>
  <c r="P3713" i="27"/>
  <c r="M3713" i="27"/>
  <c r="J3713" i="27"/>
  <c r="G3713" i="27"/>
  <c r="T3712" i="27"/>
  <c r="R3712" i="27"/>
  <c r="P3712" i="27"/>
  <c r="M3712" i="27"/>
  <c r="J3712" i="27"/>
  <c r="G3712" i="27"/>
  <c r="T3711" i="27"/>
  <c r="R3711" i="27"/>
  <c r="P3711" i="27"/>
  <c r="M3711" i="27"/>
  <c r="J3711" i="27"/>
  <c r="G3711" i="27"/>
  <c r="T3710" i="27"/>
  <c r="R3710" i="27"/>
  <c r="P3710" i="27"/>
  <c r="M3710" i="27"/>
  <c r="J3710" i="27"/>
  <c r="G3710" i="27"/>
  <c r="T3709" i="27"/>
  <c r="R3709" i="27"/>
  <c r="K3709" i="27" s="1"/>
  <c r="P3709" i="27"/>
  <c r="M3709" i="27"/>
  <c r="J3709" i="27"/>
  <c r="G3709" i="27"/>
  <c r="E3709" i="27" s="1"/>
  <c r="T3708" i="27"/>
  <c r="R3708" i="27"/>
  <c r="P3708" i="27"/>
  <c r="M3708" i="27"/>
  <c r="J3708" i="27"/>
  <c r="G3708" i="27"/>
  <c r="T3707" i="27"/>
  <c r="R3707" i="27"/>
  <c r="U3707" i="27" s="1"/>
  <c r="V3707" i="27" s="1"/>
  <c r="W3707" i="27" s="1"/>
  <c r="P3707" i="27"/>
  <c r="M3707" i="27"/>
  <c r="J3707" i="27"/>
  <c r="G3707" i="27"/>
  <c r="T3706" i="27"/>
  <c r="R3706" i="27"/>
  <c r="P3706" i="27"/>
  <c r="M3706" i="27"/>
  <c r="J3706" i="27"/>
  <c r="G3706" i="27"/>
  <c r="T3705" i="27"/>
  <c r="R3705" i="27"/>
  <c r="P3705" i="27"/>
  <c r="M3705" i="27"/>
  <c r="J3705" i="27"/>
  <c r="G3705" i="27"/>
  <c r="T3704" i="27"/>
  <c r="R3704" i="27"/>
  <c r="P3704" i="27"/>
  <c r="M3704" i="27"/>
  <c r="J3704" i="27"/>
  <c r="G3704" i="27"/>
  <c r="T3703" i="27"/>
  <c r="R3703" i="27"/>
  <c r="P3703" i="27"/>
  <c r="M3703" i="27"/>
  <c r="J3703" i="27"/>
  <c r="G3703" i="27"/>
  <c r="E3703" i="27" s="1"/>
  <c r="U3702" i="27"/>
  <c r="V3702" i="27" s="1"/>
  <c r="W3702" i="27" s="1"/>
  <c r="T3702" i="27"/>
  <c r="R3702" i="27"/>
  <c r="P3702" i="27"/>
  <c r="N3702" i="27" s="1"/>
  <c r="M3702" i="27"/>
  <c r="J3702" i="27"/>
  <c r="G3702" i="27"/>
  <c r="U3701" i="27"/>
  <c r="V3701" i="27" s="1"/>
  <c r="W3701" i="27" s="1"/>
  <c r="T3701" i="27"/>
  <c r="R3701" i="27"/>
  <c r="P3701" i="27"/>
  <c r="M3701" i="27"/>
  <c r="J3701" i="27"/>
  <c r="G3701" i="27"/>
  <c r="E3701" i="27" s="1"/>
  <c r="U3700" i="27"/>
  <c r="V3700" i="27" s="1"/>
  <c r="W3700" i="27" s="1"/>
  <c r="T3700" i="27"/>
  <c r="R3700" i="27"/>
  <c r="P3700" i="27"/>
  <c r="M3700" i="27"/>
  <c r="J3700" i="27"/>
  <c r="G3700" i="27"/>
  <c r="T3699" i="27"/>
  <c r="R3699" i="27"/>
  <c r="U3699" i="27" s="1"/>
  <c r="V3699" i="27" s="1"/>
  <c r="W3699" i="27" s="1"/>
  <c r="P3699" i="27"/>
  <c r="M3699" i="27"/>
  <c r="J3699" i="27"/>
  <c r="G3699" i="27"/>
  <c r="U3698" i="27"/>
  <c r="V3698" i="27" s="1"/>
  <c r="W3698" i="27" s="1"/>
  <c r="T3698" i="27"/>
  <c r="R3698" i="27"/>
  <c r="P3698" i="27"/>
  <c r="N3698" i="27" s="1"/>
  <c r="M3698" i="27"/>
  <c r="J3698" i="27"/>
  <c r="H3698" i="27"/>
  <c r="G3698" i="27"/>
  <c r="T3697" i="27"/>
  <c r="R3697" i="27"/>
  <c r="P3697" i="27"/>
  <c r="M3697" i="27"/>
  <c r="K3697" i="27" s="1"/>
  <c r="J3697" i="27"/>
  <c r="G3697" i="27"/>
  <c r="T3696" i="27"/>
  <c r="R3696" i="27"/>
  <c r="U3696" i="27" s="1"/>
  <c r="V3696" i="27" s="1"/>
  <c r="W3696" i="27" s="1"/>
  <c r="P3696" i="27"/>
  <c r="M3696" i="27"/>
  <c r="J3696" i="27"/>
  <c r="G3696" i="27"/>
  <c r="T3695" i="27"/>
  <c r="R3695" i="27"/>
  <c r="U3695" i="27" s="1"/>
  <c r="V3695" i="27" s="1"/>
  <c r="W3695" i="27" s="1"/>
  <c r="P3695" i="27"/>
  <c r="N3695" i="27" s="1"/>
  <c r="M3695" i="27"/>
  <c r="J3695" i="27"/>
  <c r="G3695" i="27"/>
  <c r="E3695" i="27" s="1"/>
  <c r="T3694" i="27"/>
  <c r="R3694" i="27"/>
  <c r="P3694" i="27"/>
  <c r="M3694" i="27"/>
  <c r="J3694" i="27"/>
  <c r="G3694" i="27"/>
  <c r="U3693" i="27"/>
  <c r="V3693" i="27" s="1"/>
  <c r="W3693" i="27" s="1"/>
  <c r="T3693" i="27"/>
  <c r="R3693" i="27"/>
  <c r="P3693" i="27"/>
  <c r="M3693" i="27"/>
  <c r="J3693" i="27"/>
  <c r="H3693" i="27"/>
  <c r="G3693" i="27"/>
  <c r="U3692" i="27"/>
  <c r="V3692" i="27" s="1"/>
  <c r="W3692" i="27" s="1"/>
  <c r="T3692" i="27"/>
  <c r="R3692" i="27"/>
  <c r="H3692" i="27" s="1"/>
  <c r="P3692" i="27"/>
  <c r="M3692" i="27"/>
  <c r="J3692" i="27"/>
  <c r="G3692" i="27"/>
  <c r="T3691" i="27"/>
  <c r="R3691" i="27"/>
  <c r="U3691" i="27" s="1"/>
  <c r="V3691" i="27" s="1"/>
  <c r="W3691" i="27" s="1"/>
  <c r="P3691" i="27"/>
  <c r="M3691" i="27"/>
  <c r="J3691" i="27"/>
  <c r="H3691" i="27"/>
  <c r="G3691" i="27"/>
  <c r="T3690" i="27"/>
  <c r="R3690" i="27"/>
  <c r="P3690" i="27"/>
  <c r="M3690" i="27"/>
  <c r="J3690" i="27"/>
  <c r="G3690" i="27"/>
  <c r="T3689" i="27"/>
  <c r="R3689" i="27"/>
  <c r="P3689" i="27"/>
  <c r="M3689" i="27"/>
  <c r="J3689" i="27"/>
  <c r="G3689" i="27"/>
  <c r="T3688" i="27"/>
  <c r="R3688" i="27"/>
  <c r="P3688" i="27"/>
  <c r="N3688" i="27" s="1"/>
  <c r="M3688" i="27"/>
  <c r="J3688" i="27"/>
  <c r="G3688" i="27"/>
  <c r="U3687" i="27"/>
  <c r="V3687" i="27" s="1"/>
  <c r="W3687" i="27" s="1"/>
  <c r="T3687" i="27"/>
  <c r="R3687" i="27"/>
  <c r="P3687" i="27"/>
  <c r="M3687" i="27"/>
  <c r="J3687" i="27"/>
  <c r="G3687" i="27"/>
  <c r="V3685" i="27"/>
  <c r="W3685" i="27" s="1"/>
  <c r="U3685" i="27"/>
  <c r="T3685" i="27"/>
  <c r="R3685" i="27"/>
  <c r="P3685" i="27"/>
  <c r="M3685" i="27"/>
  <c r="K3685" i="27" s="1"/>
  <c r="J3685" i="27"/>
  <c r="G3685" i="27"/>
  <c r="E3685" i="27" s="1"/>
  <c r="T3684" i="27"/>
  <c r="R3684" i="27"/>
  <c r="P3684" i="27"/>
  <c r="M3684" i="27"/>
  <c r="J3684" i="27"/>
  <c r="G3684" i="27"/>
  <c r="T3683" i="27"/>
  <c r="R3683" i="27"/>
  <c r="P3683" i="27"/>
  <c r="M3683" i="27"/>
  <c r="J3683" i="27"/>
  <c r="G3683" i="27"/>
  <c r="T3682" i="27"/>
  <c r="R3682" i="27"/>
  <c r="P3682" i="27"/>
  <c r="M3682" i="27"/>
  <c r="J3682" i="27"/>
  <c r="G3682" i="27"/>
  <c r="T3681" i="27"/>
  <c r="R3681" i="27"/>
  <c r="E3681" i="27" s="1"/>
  <c r="P3681" i="27"/>
  <c r="N3681" i="27" s="1"/>
  <c r="M3681" i="27"/>
  <c r="J3681" i="27"/>
  <c r="G3681" i="27"/>
  <c r="T3680" i="27"/>
  <c r="R3680" i="27"/>
  <c r="P3680" i="27"/>
  <c r="M3680" i="27"/>
  <c r="J3680" i="27"/>
  <c r="G3680" i="27"/>
  <c r="T3679" i="27"/>
  <c r="R3679" i="27"/>
  <c r="P3679" i="27"/>
  <c r="M3679" i="27"/>
  <c r="K3679" i="27" s="1"/>
  <c r="J3679" i="27"/>
  <c r="G3679" i="27"/>
  <c r="E3679" i="27"/>
  <c r="T3678" i="27"/>
  <c r="R3678" i="27"/>
  <c r="P3678" i="27"/>
  <c r="M3678" i="27"/>
  <c r="J3678" i="27"/>
  <c r="G3678" i="27"/>
  <c r="T3677" i="27"/>
  <c r="R3677" i="27"/>
  <c r="P3677" i="27"/>
  <c r="M3677" i="27"/>
  <c r="J3677" i="27"/>
  <c r="G3677" i="27"/>
  <c r="T3676" i="27"/>
  <c r="R3676" i="27"/>
  <c r="P3676" i="27"/>
  <c r="M3676" i="27"/>
  <c r="J3676" i="27"/>
  <c r="G3676" i="27"/>
  <c r="T3675" i="27"/>
  <c r="R3675" i="27"/>
  <c r="P3675" i="27"/>
  <c r="M3675" i="27"/>
  <c r="J3675" i="27"/>
  <c r="G3675" i="27"/>
  <c r="T3674" i="27"/>
  <c r="R3674" i="27"/>
  <c r="P3674" i="27"/>
  <c r="M3674" i="27"/>
  <c r="J3674" i="27"/>
  <c r="G3674" i="27"/>
  <c r="T3673" i="27"/>
  <c r="R3673" i="27"/>
  <c r="P3673" i="27"/>
  <c r="N3673" i="27" s="1"/>
  <c r="M3673" i="27"/>
  <c r="J3673" i="27"/>
  <c r="G3673" i="27"/>
  <c r="T3672" i="27"/>
  <c r="R3672" i="27"/>
  <c r="P3672" i="27"/>
  <c r="M3672" i="27"/>
  <c r="J3672" i="27"/>
  <c r="G3672" i="27"/>
  <c r="T3671" i="27"/>
  <c r="R3671" i="27"/>
  <c r="E3671" i="27" s="1"/>
  <c r="P3671" i="27"/>
  <c r="M3671" i="27"/>
  <c r="J3671" i="27"/>
  <c r="G3671" i="27"/>
  <c r="T3670" i="27"/>
  <c r="R3670" i="27"/>
  <c r="P3670" i="27"/>
  <c r="M3670" i="27"/>
  <c r="J3670" i="27"/>
  <c r="G3670" i="27"/>
  <c r="T3669" i="27"/>
  <c r="R3669" i="27"/>
  <c r="P3669" i="27"/>
  <c r="M3669" i="27"/>
  <c r="J3669" i="27"/>
  <c r="G3669" i="27"/>
  <c r="E3669" i="27" s="1"/>
  <c r="U3668" i="27"/>
  <c r="V3668" i="27" s="1"/>
  <c r="W3668" i="27" s="1"/>
  <c r="T3668" i="27"/>
  <c r="R3668" i="27"/>
  <c r="P3668" i="27"/>
  <c r="M3668" i="27"/>
  <c r="J3668" i="27"/>
  <c r="G3668" i="27"/>
  <c r="E3668" i="27" s="1"/>
  <c r="T3667" i="27"/>
  <c r="R3667" i="27"/>
  <c r="P3667" i="27"/>
  <c r="M3667" i="27"/>
  <c r="J3667" i="27"/>
  <c r="G3667" i="27"/>
  <c r="T3666" i="27"/>
  <c r="R3666" i="27"/>
  <c r="U3666" i="27" s="1"/>
  <c r="V3666" i="27" s="1"/>
  <c r="W3666" i="27" s="1"/>
  <c r="P3666" i="27"/>
  <c r="N3666" i="27" s="1"/>
  <c r="M3666" i="27"/>
  <c r="J3666" i="27"/>
  <c r="G3666" i="27"/>
  <c r="T3665" i="27"/>
  <c r="R3665" i="27"/>
  <c r="U3665" i="27" s="1"/>
  <c r="V3665" i="27" s="1"/>
  <c r="W3665" i="27" s="1"/>
  <c r="P3665" i="27"/>
  <c r="M3665" i="27"/>
  <c r="J3665" i="27"/>
  <c r="H3665" i="27"/>
  <c r="G3665" i="27"/>
  <c r="T3664" i="27"/>
  <c r="R3664" i="27"/>
  <c r="U3664" i="27" s="1"/>
  <c r="V3664" i="27" s="1"/>
  <c r="W3664" i="27" s="1"/>
  <c r="P3664" i="27"/>
  <c r="N3664" i="27" s="1"/>
  <c r="M3664" i="27"/>
  <c r="J3664" i="27"/>
  <c r="H3664" i="27"/>
  <c r="G3664" i="27"/>
  <c r="T3663" i="27"/>
  <c r="R3663" i="27"/>
  <c r="P3663" i="27"/>
  <c r="M3663" i="27"/>
  <c r="J3663" i="27"/>
  <c r="G3663" i="27"/>
  <c r="T3662" i="27"/>
  <c r="R3662" i="27"/>
  <c r="P3662" i="27"/>
  <c r="M3662" i="27"/>
  <c r="J3662" i="27"/>
  <c r="G3662" i="27"/>
  <c r="T3661" i="27"/>
  <c r="R3661" i="27"/>
  <c r="P3661" i="27"/>
  <c r="M3661" i="27"/>
  <c r="K3661" i="27"/>
  <c r="J3661" i="27"/>
  <c r="G3661" i="27"/>
  <c r="U3660" i="27"/>
  <c r="V3660" i="27" s="1"/>
  <c r="W3660" i="27" s="1"/>
  <c r="T3660" i="27"/>
  <c r="R3660" i="27"/>
  <c r="P3660" i="27"/>
  <c r="M3660" i="27"/>
  <c r="J3660" i="27"/>
  <c r="H3660" i="27" s="1"/>
  <c r="G3660" i="27"/>
  <c r="U3659" i="27"/>
  <c r="V3659" i="27" s="1"/>
  <c r="W3659" i="27" s="1"/>
  <c r="T3659" i="27"/>
  <c r="R3659" i="27"/>
  <c r="P3659" i="27"/>
  <c r="N3659" i="27"/>
  <c r="M3659" i="27"/>
  <c r="J3659" i="27"/>
  <c r="H3659" i="27" s="1"/>
  <c r="G3659" i="27"/>
  <c r="E3659" i="27" s="1"/>
  <c r="T3658" i="27"/>
  <c r="R3658" i="27"/>
  <c r="P3658" i="27"/>
  <c r="M3658" i="27"/>
  <c r="K3658" i="27" s="1"/>
  <c r="J3658" i="27"/>
  <c r="G3658" i="27"/>
  <c r="E3658" i="27" s="1"/>
  <c r="T3657" i="27"/>
  <c r="R3657" i="27"/>
  <c r="P3657" i="27"/>
  <c r="M3657" i="27"/>
  <c r="J3657" i="27"/>
  <c r="G3657" i="27"/>
  <c r="U3656" i="27"/>
  <c r="V3656" i="27" s="1"/>
  <c r="W3656" i="27" s="1"/>
  <c r="T3656" i="27"/>
  <c r="R3656" i="27"/>
  <c r="P3656" i="27"/>
  <c r="N3656" i="27" s="1"/>
  <c r="M3656" i="27"/>
  <c r="J3656" i="27"/>
  <c r="H3656" i="27"/>
  <c r="G3656" i="27"/>
  <c r="T3655" i="27"/>
  <c r="R3655" i="27"/>
  <c r="P3655" i="27"/>
  <c r="M3655" i="27"/>
  <c r="J3655" i="27"/>
  <c r="G3655" i="27"/>
  <c r="E3655" i="27"/>
  <c r="T3654" i="27"/>
  <c r="R3654" i="27"/>
  <c r="P3654" i="27"/>
  <c r="M3654" i="27"/>
  <c r="J3654" i="27"/>
  <c r="G3654" i="27"/>
  <c r="T3653" i="27"/>
  <c r="R3653" i="27"/>
  <c r="P3653" i="27"/>
  <c r="M3653" i="27"/>
  <c r="J3653" i="27"/>
  <c r="G3653" i="27"/>
  <c r="T3652" i="27"/>
  <c r="R3652" i="27"/>
  <c r="U3652" i="27" s="1"/>
  <c r="V3652" i="27" s="1"/>
  <c r="W3652" i="27" s="1"/>
  <c r="P3652" i="27"/>
  <c r="M3652" i="27"/>
  <c r="J3652" i="27"/>
  <c r="G3652" i="27"/>
  <c r="T3651" i="27"/>
  <c r="R3651" i="27"/>
  <c r="K3651" i="27" s="1"/>
  <c r="P3651" i="27"/>
  <c r="M3651" i="27"/>
  <c r="J3651" i="27"/>
  <c r="G3651" i="27"/>
  <c r="T3650" i="27"/>
  <c r="R3650" i="27"/>
  <c r="K3650" i="27" s="1"/>
  <c r="P3650" i="27"/>
  <c r="M3650" i="27"/>
  <c r="J3650" i="27"/>
  <c r="G3650" i="27"/>
  <c r="T3649" i="27"/>
  <c r="R3649" i="27"/>
  <c r="P3649" i="27"/>
  <c r="N3649" i="27"/>
  <c r="M3649" i="27"/>
  <c r="K3649" i="27" s="1"/>
  <c r="J3649" i="27"/>
  <c r="G3649" i="27"/>
  <c r="E3649" i="27" s="1"/>
  <c r="T3648" i="27"/>
  <c r="R3648" i="27"/>
  <c r="U3648" i="27" s="1"/>
  <c r="V3648" i="27" s="1"/>
  <c r="W3648" i="27" s="1"/>
  <c r="P3648" i="27"/>
  <c r="N3648" i="27" s="1"/>
  <c r="M3648" i="27"/>
  <c r="J3648" i="27"/>
  <c r="H3648" i="27" s="1"/>
  <c r="G3648" i="27"/>
  <c r="E3648" i="27" s="1"/>
  <c r="U3647" i="27"/>
  <c r="V3647" i="27" s="1"/>
  <c r="W3647" i="27" s="1"/>
  <c r="T3647" i="27"/>
  <c r="R3647" i="27"/>
  <c r="P3647" i="27"/>
  <c r="N3647" i="27" s="1"/>
  <c r="M3647" i="27"/>
  <c r="J3647" i="27"/>
  <c r="G3647" i="27"/>
  <c r="T3646" i="27"/>
  <c r="R3646" i="27"/>
  <c r="P3646" i="27"/>
  <c r="M3646" i="27"/>
  <c r="J3646" i="27"/>
  <c r="G3646" i="27"/>
  <c r="T3645" i="27"/>
  <c r="R3645" i="27"/>
  <c r="P3645" i="27"/>
  <c r="M3645" i="27"/>
  <c r="J3645" i="27"/>
  <c r="G3645" i="27"/>
  <c r="U3644" i="27"/>
  <c r="V3644" i="27" s="1"/>
  <c r="W3644" i="27" s="1"/>
  <c r="T3644" i="27"/>
  <c r="R3644" i="27"/>
  <c r="H3644" i="27" s="1"/>
  <c r="P3644" i="27"/>
  <c r="M3644" i="27"/>
  <c r="J3644" i="27"/>
  <c r="G3644" i="27"/>
  <c r="T3643" i="27"/>
  <c r="R3643" i="27"/>
  <c r="P3643" i="27"/>
  <c r="M3643" i="27"/>
  <c r="J3643" i="27"/>
  <c r="G3643" i="27"/>
  <c r="T3642" i="27"/>
  <c r="R3642" i="27"/>
  <c r="P3642" i="27"/>
  <c r="M3642" i="27"/>
  <c r="J3642" i="27"/>
  <c r="G3642" i="27"/>
  <c r="T3641" i="27"/>
  <c r="R3641" i="27"/>
  <c r="P3641" i="27"/>
  <c r="M3641" i="27"/>
  <c r="J3641" i="27"/>
  <c r="G3641" i="27"/>
  <c r="T3640" i="27"/>
  <c r="R3640" i="27"/>
  <c r="P3640" i="27"/>
  <c r="N3640" i="27" s="1"/>
  <c r="M3640" i="27"/>
  <c r="J3640" i="27"/>
  <c r="G3640" i="27"/>
  <c r="T3639" i="27"/>
  <c r="R3639" i="27"/>
  <c r="P3639" i="27"/>
  <c r="M3639" i="27"/>
  <c r="K3639" i="27" s="1"/>
  <c r="J3639" i="27"/>
  <c r="G3639" i="27"/>
  <c r="T3638" i="27"/>
  <c r="R3638" i="27"/>
  <c r="K3638" i="27" s="1"/>
  <c r="P3638" i="27"/>
  <c r="M3638" i="27"/>
  <c r="J3638" i="27"/>
  <c r="G3638" i="27"/>
  <c r="T3637" i="27"/>
  <c r="R3637" i="27"/>
  <c r="P3637" i="27"/>
  <c r="M3637" i="27"/>
  <c r="J3637" i="27"/>
  <c r="G3637" i="27"/>
  <c r="T3636" i="27"/>
  <c r="R3636" i="27"/>
  <c r="P3636" i="27"/>
  <c r="N3636" i="27" s="1"/>
  <c r="M3636" i="27"/>
  <c r="J3636" i="27"/>
  <c r="G3636" i="27"/>
  <c r="E3636" i="27" s="1"/>
  <c r="T3635" i="27"/>
  <c r="R3635" i="27"/>
  <c r="P3635" i="27"/>
  <c r="M3635" i="27"/>
  <c r="J3635" i="27"/>
  <c r="H3635" i="27"/>
  <c r="G3635" i="27"/>
  <c r="T3634" i="27"/>
  <c r="R3634" i="27"/>
  <c r="N3634" i="27" s="1"/>
  <c r="P3634" i="27"/>
  <c r="M3634" i="27"/>
  <c r="J3634" i="27"/>
  <c r="G3634" i="27"/>
  <c r="T3633" i="27"/>
  <c r="R3633" i="27"/>
  <c r="P3633" i="27"/>
  <c r="M3633" i="27"/>
  <c r="J3633" i="27"/>
  <c r="G3633" i="27"/>
  <c r="T3632" i="27"/>
  <c r="R3632" i="27"/>
  <c r="P3632" i="27"/>
  <c r="M3632" i="27"/>
  <c r="J3632" i="27"/>
  <c r="G3632" i="27"/>
  <c r="U3631" i="27"/>
  <c r="V3631" i="27" s="1"/>
  <c r="W3631" i="27" s="1"/>
  <c r="T3631" i="27"/>
  <c r="R3631" i="27"/>
  <c r="P3631" i="27"/>
  <c r="M3631" i="27"/>
  <c r="J3631" i="27"/>
  <c r="H3631" i="27"/>
  <c r="G3631" i="27"/>
  <c r="T3630" i="27"/>
  <c r="R3630" i="27"/>
  <c r="P3630" i="27"/>
  <c r="M3630" i="27"/>
  <c r="J3630" i="27"/>
  <c r="G3630" i="27"/>
  <c r="U3629" i="27"/>
  <c r="V3629" i="27" s="1"/>
  <c r="W3629" i="27" s="1"/>
  <c r="T3629" i="27"/>
  <c r="R3629" i="27"/>
  <c r="H3629" i="27" s="1"/>
  <c r="P3629" i="27"/>
  <c r="M3629" i="27"/>
  <c r="K3629" i="27" s="1"/>
  <c r="J3629" i="27"/>
  <c r="G3629" i="27"/>
  <c r="E3629" i="27" s="1"/>
  <c r="T3628" i="27"/>
  <c r="R3628" i="27"/>
  <c r="P3628" i="27"/>
  <c r="M3628" i="27"/>
  <c r="J3628" i="27"/>
  <c r="G3628" i="27"/>
  <c r="T3627" i="27"/>
  <c r="R3627" i="27"/>
  <c r="P3627" i="27"/>
  <c r="M3627" i="27"/>
  <c r="J3627" i="27"/>
  <c r="G3627" i="27"/>
  <c r="T3626" i="27"/>
  <c r="R3626" i="27"/>
  <c r="P3626" i="27"/>
  <c r="M3626" i="27"/>
  <c r="J3626" i="27"/>
  <c r="G3626" i="27"/>
  <c r="T3625" i="27"/>
  <c r="R3625" i="27"/>
  <c r="U3625" i="27" s="1"/>
  <c r="V3625" i="27" s="1"/>
  <c r="W3625" i="27" s="1"/>
  <c r="P3625" i="27"/>
  <c r="M3625" i="27"/>
  <c r="J3625" i="27"/>
  <c r="G3625" i="27"/>
  <c r="E3625" i="27" s="1"/>
  <c r="U3624" i="27"/>
  <c r="V3624" i="27" s="1"/>
  <c r="W3624" i="27" s="1"/>
  <c r="T3624" i="27"/>
  <c r="R3624" i="27"/>
  <c r="P3624" i="27"/>
  <c r="M3624" i="27"/>
  <c r="J3624" i="27"/>
  <c r="H3624" i="27" s="1"/>
  <c r="G3624" i="27"/>
  <c r="E3624" i="27"/>
  <c r="T3622" i="27"/>
  <c r="R3622" i="27"/>
  <c r="P3622" i="27"/>
  <c r="M3622" i="27"/>
  <c r="J3622" i="27"/>
  <c r="G3622" i="27"/>
  <c r="T3621" i="27"/>
  <c r="R3621" i="27"/>
  <c r="U3621" i="27" s="1"/>
  <c r="V3621" i="27" s="1"/>
  <c r="W3621" i="27" s="1"/>
  <c r="P3621" i="27"/>
  <c r="M3621" i="27"/>
  <c r="J3621" i="27"/>
  <c r="G3621" i="27"/>
  <c r="T3620" i="27"/>
  <c r="R3620" i="27"/>
  <c r="P3620" i="27"/>
  <c r="M3620" i="27"/>
  <c r="J3620" i="27"/>
  <c r="G3620" i="27"/>
  <c r="T3619" i="27"/>
  <c r="R3619" i="27"/>
  <c r="P3619" i="27"/>
  <c r="M3619" i="27"/>
  <c r="J3619" i="27"/>
  <c r="G3619" i="27"/>
  <c r="T3618" i="27"/>
  <c r="R3618" i="27"/>
  <c r="P3618" i="27"/>
  <c r="M3618" i="27"/>
  <c r="J3618" i="27"/>
  <c r="G3618" i="27"/>
  <c r="T3617" i="27"/>
  <c r="R3617" i="27"/>
  <c r="K3617" i="27" s="1"/>
  <c r="P3617" i="27"/>
  <c r="M3617" i="27"/>
  <c r="J3617" i="27"/>
  <c r="G3617" i="27"/>
  <c r="T3616" i="27"/>
  <c r="R3616" i="27"/>
  <c r="P3616" i="27"/>
  <c r="M3616" i="27"/>
  <c r="J3616" i="27"/>
  <c r="G3616" i="27"/>
  <c r="T3615" i="27"/>
  <c r="R3615" i="27"/>
  <c r="P3615" i="27"/>
  <c r="N3615" i="27" s="1"/>
  <c r="M3615" i="27"/>
  <c r="J3615" i="27"/>
  <c r="G3615" i="27"/>
  <c r="T3614" i="27"/>
  <c r="R3614" i="27"/>
  <c r="P3614" i="27"/>
  <c r="M3614" i="27"/>
  <c r="J3614" i="27"/>
  <c r="G3614" i="27"/>
  <c r="T3613" i="27"/>
  <c r="R3613" i="27"/>
  <c r="P3613" i="27"/>
  <c r="M3613" i="27"/>
  <c r="J3613" i="27"/>
  <c r="G3613" i="27"/>
  <c r="T3612" i="27"/>
  <c r="R3612" i="27"/>
  <c r="P3612" i="27"/>
  <c r="M3612" i="27"/>
  <c r="J3612" i="27"/>
  <c r="G3612" i="27"/>
  <c r="T3611" i="27"/>
  <c r="R3611" i="27"/>
  <c r="P3611" i="27"/>
  <c r="M3611" i="27"/>
  <c r="J3611" i="27"/>
  <c r="G3611" i="27"/>
  <c r="T3610" i="27"/>
  <c r="R3610" i="27"/>
  <c r="P3610" i="27"/>
  <c r="M3610" i="27"/>
  <c r="J3610" i="27"/>
  <c r="G3610" i="27"/>
  <c r="T3609" i="27"/>
  <c r="R3609" i="27"/>
  <c r="P3609" i="27"/>
  <c r="M3609" i="27"/>
  <c r="J3609" i="27"/>
  <c r="G3609" i="27"/>
  <c r="T3608" i="27"/>
  <c r="R3608" i="27"/>
  <c r="P3608" i="27"/>
  <c r="M3608" i="27"/>
  <c r="J3608" i="27"/>
  <c r="G3608" i="27"/>
  <c r="T3607" i="27"/>
  <c r="R3607" i="27"/>
  <c r="P3607" i="27"/>
  <c r="M3607" i="27"/>
  <c r="J3607" i="27"/>
  <c r="G3607" i="27"/>
  <c r="T3606" i="27"/>
  <c r="R3606" i="27"/>
  <c r="P3606" i="27"/>
  <c r="M3606" i="27"/>
  <c r="J3606" i="27"/>
  <c r="G3606" i="27"/>
  <c r="T3605" i="27"/>
  <c r="R3605" i="27"/>
  <c r="P3605" i="27"/>
  <c r="M3605" i="27"/>
  <c r="J3605" i="27"/>
  <c r="G3605" i="27"/>
  <c r="T3604" i="27"/>
  <c r="R3604" i="27"/>
  <c r="K3604" i="27" s="1"/>
  <c r="P3604" i="27"/>
  <c r="M3604" i="27"/>
  <c r="J3604" i="27"/>
  <c r="G3604" i="27"/>
  <c r="T3603" i="27"/>
  <c r="R3603" i="27"/>
  <c r="U3603" i="27" s="1"/>
  <c r="V3603" i="27" s="1"/>
  <c r="W3603" i="27" s="1"/>
  <c r="P3603" i="27"/>
  <c r="N3603" i="27" s="1"/>
  <c r="M3603" i="27"/>
  <c r="J3603" i="27"/>
  <c r="G3603" i="27"/>
  <c r="T3602" i="27"/>
  <c r="R3602" i="27"/>
  <c r="P3602" i="27"/>
  <c r="M3602" i="27"/>
  <c r="J3602" i="27"/>
  <c r="G3602" i="27"/>
  <c r="T3601" i="27"/>
  <c r="R3601" i="27"/>
  <c r="P3601" i="27"/>
  <c r="M3601" i="27"/>
  <c r="J3601" i="27"/>
  <c r="G3601" i="27"/>
  <c r="U3599" i="27"/>
  <c r="V3599" i="27" s="1"/>
  <c r="W3599" i="27" s="1"/>
  <c r="T3599" i="27"/>
  <c r="R3599" i="27"/>
  <c r="P3599" i="27"/>
  <c r="N3599" i="27" s="1"/>
  <c r="M3599" i="27"/>
  <c r="J3599" i="27"/>
  <c r="H3599" i="27"/>
  <c r="G3599" i="27"/>
  <c r="E3599" i="27" s="1"/>
  <c r="T3598" i="27"/>
  <c r="R3598" i="27"/>
  <c r="U3598" i="27" s="1"/>
  <c r="V3598" i="27" s="1"/>
  <c r="W3598" i="27" s="1"/>
  <c r="P3598" i="27"/>
  <c r="M3598" i="27"/>
  <c r="J3598" i="27"/>
  <c r="G3598" i="27"/>
  <c r="T3597" i="27"/>
  <c r="R3597" i="27"/>
  <c r="P3597" i="27"/>
  <c r="M3597" i="27"/>
  <c r="J3597" i="27"/>
  <c r="G3597" i="27"/>
  <c r="T3596" i="27"/>
  <c r="R3596" i="27"/>
  <c r="P3596" i="27"/>
  <c r="N3596" i="27" s="1"/>
  <c r="M3596" i="27"/>
  <c r="K3596" i="27" s="1"/>
  <c r="J3596" i="27"/>
  <c r="G3596" i="27"/>
  <c r="T3595" i="27"/>
  <c r="R3595" i="27"/>
  <c r="P3595" i="27"/>
  <c r="M3595" i="27"/>
  <c r="K3595" i="27" s="1"/>
  <c r="J3595" i="27"/>
  <c r="G3595" i="27"/>
  <c r="T3594" i="27"/>
  <c r="R3594" i="27"/>
  <c r="P3594" i="27"/>
  <c r="M3594" i="27"/>
  <c r="K3594" i="27" s="1"/>
  <c r="J3594" i="27"/>
  <c r="G3594" i="27"/>
  <c r="T3593" i="27"/>
  <c r="R3593" i="27"/>
  <c r="P3593" i="27"/>
  <c r="M3593" i="27"/>
  <c r="J3593" i="27"/>
  <c r="G3593" i="27"/>
  <c r="T3592" i="27"/>
  <c r="R3592" i="27"/>
  <c r="P3592" i="27"/>
  <c r="M3592" i="27"/>
  <c r="J3592" i="27"/>
  <c r="G3592" i="27"/>
  <c r="E3592" i="27" s="1"/>
  <c r="T3591" i="27"/>
  <c r="R3591" i="27"/>
  <c r="P3591" i="27"/>
  <c r="M3591" i="27"/>
  <c r="J3591" i="27"/>
  <c r="G3591" i="27"/>
  <c r="T3589" i="27"/>
  <c r="R3589" i="27"/>
  <c r="P3589" i="27"/>
  <c r="M3589" i="27"/>
  <c r="J3589" i="27"/>
  <c r="G3589" i="27"/>
  <c r="T3588" i="27"/>
  <c r="R3588" i="27"/>
  <c r="U3588" i="27" s="1"/>
  <c r="V3588" i="27" s="1"/>
  <c r="W3588" i="27" s="1"/>
  <c r="P3588" i="27"/>
  <c r="M3588" i="27"/>
  <c r="K3588" i="27" s="1"/>
  <c r="J3588" i="27"/>
  <c r="G3588" i="27"/>
  <c r="E3588" i="27"/>
  <c r="T3587" i="27"/>
  <c r="R3587" i="27"/>
  <c r="P3587" i="27"/>
  <c r="M3587" i="27"/>
  <c r="J3587" i="27"/>
  <c r="G3587" i="27"/>
  <c r="E3587" i="27"/>
  <c r="T3586" i="27"/>
  <c r="R3586" i="27"/>
  <c r="P3586" i="27"/>
  <c r="M3586" i="27"/>
  <c r="J3586" i="27"/>
  <c r="G3586" i="27"/>
  <c r="T3585" i="27"/>
  <c r="R3585" i="27"/>
  <c r="U3585" i="27" s="1"/>
  <c r="V3585" i="27" s="1"/>
  <c r="W3585" i="27" s="1"/>
  <c r="P3585" i="27"/>
  <c r="M3585" i="27"/>
  <c r="J3585" i="27"/>
  <c r="G3585" i="27"/>
  <c r="T3584" i="27"/>
  <c r="R3584" i="27"/>
  <c r="P3584" i="27"/>
  <c r="M3584" i="27"/>
  <c r="J3584" i="27"/>
  <c r="G3584" i="27"/>
  <c r="T3583" i="27"/>
  <c r="R3583" i="27"/>
  <c r="P3583" i="27"/>
  <c r="M3583" i="27"/>
  <c r="J3583" i="27"/>
  <c r="G3583" i="27"/>
  <c r="U3582" i="27"/>
  <c r="V3582" i="27" s="1"/>
  <c r="W3582" i="27" s="1"/>
  <c r="T3582" i="27"/>
  <c r="R3582" i="27"/>
  <c r="P3582" i="27"/>
  <c r="M3582" i="27"/>
  <c r="J3582" i="27"/>
  <c r="G3582" i="27"/>
  <c r="E3582" i="27" s="1"/>
  <c r="T3581" i="27"/>
  <c r="R3581" i="27"/>
  <c r="U3581" i="27" s="1"/>
  <c r="V3581" i="27" s="1"/>
  <c r="W3581" i="27" s="1"/>
  <c r="P3581" i="27"/>
  <c r="M3581" i="27"/>
  <c r="J3581" i="27"/>
  <c r="G3581" i="27"/>
  <c r="T3580" i="27"/>
  <c r="R3580" i="27"/>
  <c r="P3580" i="27"/>
  <c r="N3580" i="27" s="1"/>
  <c r="M3580" i="27"/>
  <c r="J3580" i="27"/>
  <c r="G3580" i="27"/>
  <c r="T3579" i="27"/>
  <c r="R3579" i="27"/>
  <c r="P3579" i="27"/>
  <c r="M3579" i="27"/>
  <c r="J3579" i="27"/>
  <c r="G3579" i="27"/>
  <c r="T3578" i="27"/>
  <c r="R3578" i="27"/>
  <c r="P3578" i="27"/>
  <c r="N3578" i="27"/>
  <c r="M3578" i="27"/>
  <c r="J3578" i="27"/>
  <c r="H3578" i="27"/>
  <c r="G3578" i="27"/>
  <c r="T3577" i="27"/>
  <c r="R3577" i="27"/>
  <c r="P3577" i="27"/>
  <c r="M3577" i="27"/>
  <c r="K3577" i="27" s="1"/>
  <c r="J3577" i="27"/>
  <c r="G3577" i="27"/>
  <c r="E3577" i="27" s="1"/>
  <c r="T3576" i="27"/>
  <c r="R3576" i="27"/>
  <c r="E3576" i="27" s="1"/>
  <c r="P3576" i="27"/>
  <c r="M3576" i="27"/>
  <c r="J3576" i="27"/>
  <c r="G3576" i="27"/>
  <c r="T3574" i="27"/>
  <c r="R3574" i="27"/>
  <c r="P3574" i="27"/>
  <c r="M3574" i="27"/>
  <c r="J3574" i="27"/>
  <c r="G3574" i="27"/>
  <c r="T3573" i="27"/>
  <c r="R3573" i="27"/>
  <c r="P3573" i="27"/>
  <c r="M3573" i="27"/>
  <c r="J3573" i="27"/>
  <c r="G3573" i="27"/>
  <c r="T3572" i="27"/>
  <c r="R3572" i="27"/>
  <c r="P3572" i="27"/>
  <c r="M3572" i="27"/>
  <c r="J3572" i="27"/>
  <c r="G3572" i="27"/>
  <c r="T3571" i="27"/>
  <c r="R3571" i="27"/>
  <c r="P3571" i="27"/>
  <c r="M3571" i="27"/>
  <c r="K3571" i="27" s="1"/>
  <c r="J3571" i="27"/>
  <c r="G3571" i="27"/>
  <c r="T3570" i="27"/>
  <c r="R3570" i="27"/>
  <c r="E3570" i="27" s="1"/>
  <c r="P3570" i="27"/>
  <c r="M3570" i="27"/>
  <c r="J3570" i="27"/>
  <c r="G3570" i="27"/>
  <c r="T3569" i="27"/>
  <c r="R3569" i="27"/>
  <c r="P3569" i="27"/>
  <c r="M3569" i="27"/>
  <c r="J3569" i="27"/>
  <c r="G3569" i="27"/>
  <c r="U3568" i="27"/>
  <c r="V3568" i="27" s="1"/>
  <c r="W3568" i="27" s="1"/>
  <c r="T3568" i="27"/>
  <c r="R3568" i="27"/>
  <c r="P3568" i="27"/>
  <c r="N3568" i="27" s="1"/>
  <c r="M3568" i="27"/>
  <c r="K3568" i="27" s="1"/>
  <c r="J3568" i="27"/>
  <c r="G3568" i="27"/>
  <c r="E3568" i="27" s="1"/>
  <c r="U3567" i="27"/>
  <c r="V3567" i="27" s="1"/>
  <c r="W3567" i="27" s="1"/>
  <c r="T3567" i="27"/>
  <c r="R3567" i="27"/>
  <c r="P3567" i="27"/>
  <c r="M3567" i="27"/>
  <c r="J3567" i="27"/>
  <c r="G3567" i="27"/>
  <c r="T3566" i="27"/>
  <c r="R3566" i="27"/>
  <c r="P3566" i="27"/>
  <c r="M3566" i="27"/>
  <c r="J3566" i="27"/>
  <c r="G3566" i="27"/>
  <c r="T3565" i="27"/>
  <c r="R3565" i="27"/>
  <c r="P3565" i="27"/>
  <c r="M3565" i="27"/>
  <c r="J3565" i="27"/>
  <c r="G3565" i="27"/>
  <c r="T3564" i="27"/>
  <c r="R3564" i="27"/>
  <c r="P3564" i="27"/>
  <c r="M3564" i="27"/>
  <c r="J3564" i="27"/>
  <c r="G3564" i="27"/>
  <c r="T3563" i="27"/>
  <c r="R3563" i="27"/>
  <c r="P3563" i="27"/>
  <c r="M3563" i="27"/>
  <c r="J3563" i="27"/>
  <c r="G3563" i="27"/>
  <c r="E3563" i="27"/>
  <c r="T3562" i="27"/>
  <c r="R3562" i="27"/>
  <c r="P3562" i="27"/>
  <c r="M3562" i="27"/>
  <c r="J3562" i="27"/>
  <c r="H3562" i="27" s="1"/>
  <c r="G3562" i="27"/>
  <c r="U3561" i="27"/>
  <c r="V3561" i="27" s="1"/>
  <c r="W3561" i="27" s="1"/>
  <c r="T3561" i="27"/>
  <c r="R3561" i="27"/>
  <c r="P3561" i="27"/>
  <c r="M3561" i="27"/>
  <c r="J3561" i="27"/>
  <c r="G3561" i="27"/>
  <c r="T3560" i="27"/>
  <c r="R3560" i="27"/>
  <c r="P3560" i="27"/>
  <c r="N3560" i="27" s="1"/>
  <c r="M3560" i="27"/>
  <c r="J3560" i="27"/>
  <c r="G3560" i="27"/>
  <c r="T3559" i="27"/>
  <c r="R3559" i="27"/>
  <c r="P3559" i="27"/>
  <c r="M3559" i="27"/>
  <c r="J3559" i="27"/>
  <c r="G3559" i="27"/>
  <c r="T3558" i="27"/>
  <c r="R3558" i="27"/>
  <c r="P3558" i="27"/>
  <c r="M3558" i="27"/>
  <c r="J3558" i="27"/>
  <c r="G3558" i="27"/>
  <c r="T3557" i="27"/>
  <c r="R3557" i="27"/>
  <c r="P3557" i="27"/>
  <c r="M3557" i="27"/>
  <c r="J3557" i="27"/>
  <c r="H3557" i="27" s="1"/>
  <c r="G3557" i="27"/>
  <c r="E3557" i="27" s="1"/>
  <c r="T3556" i="27"/>
  <c r="R3556" i="27"/>
  <c r="P3556" i="27"/>
  <c r="M3556" i="27"/>
  <c r="J3556" i="27"/>
  <c r="G3556" i="27"/>
  <c r="T3555" i="27"/>
  <c r="R3555" i="27"/>
  <c r="P3555" i="27"/>
  <c r="M3555" i="27"/>
  <c r="J3555" i="27"/>
  <c r="G3555" i="27"/>
  <c r="T3554" i="27"/>
  <c r="R3554" i="27"/>
  <c r="P3554" i="27"/>
  <c r="M3554" i="27"/>
  <c r="J3554" i="27"/>
  <c r="G3554" i="27"/>
  <c r="U3553" i="27"/>
  <c r="V3553" i="27" s="1"/>
  <c r="W3553" i="27" s="1"/>
  <c r="T3553" i="27"/>
  <c r="R3553" i="27"/>
  <c r="P3553" i="27"/>
  <c r="N3553" i="27" s="1"/>
  <c r="M3553" i="27"/>
  <c r="J3553" i="27"/>
  <c r="G3553" i="27"/>
  <c r="T3552" i="27"/>
  <c r="R3552" i="27"/>
  <c r="P3552" i="27"/>
  <c r="M3552" i="27"/>
  <c r="J3552" i="27"/>
  <c r="G3552" i="27"/>
  <c r="T3551" i="27"/>
  <c r="R3551" i="27"/>
  <c r="P3551" i="27"/>
  <c r="M3551" i="27"/>
  <c r="J3551" i="27"/>
  <c r="G3551" i="27"/>
  <c r="T3550" i="27"/>
  <c r="R3550" i="27"/>
  <c r="P3550" i="27"/>
  <c r="M3550" i="27"/>
  <c r="J3550" i="27"/>
  <c r="G3550" i="27"/>
  <c r="T3549" i="27"/>
  <c r="R3549" i="27"/>
  <c r="P3549" i="27"/>
  <c r="M3549" i="27"/>
  <c r="J3549" i="27"/>
  <c r="G3549" i="27"/>
  <c r="T3548" i="27"/>
  <c r="R3548" i="27"/>
  <c r="P3548" i="27"/>
  <c r="M3548" i="27"/>
  <c r="J3548" i="27"/>
  <c r="G3548" i="27"/>
  <c r="T3547" i="27"/>
  <c r="R3547" i="27"/>
  <c r="P3547" i="27"/>
  <c r="M3547" i="27"/>
  <c r="K3547" i="27" s="1"/>
  <c r="J3547" i="27"/>
  <c r="G3547" i="27"/>
  <c r="T3546" i="27"/>
  <c r="R3546" i="27"/>
  <c r="P3546" i="27"/>
  <c r="M3546" i="27"/>
  <c r="J3546" i="27"/>
  <c r="G3546" i="27"/>
  <c r="T3545" i="27"/>
  <c r="R3545" i="27"/>
  <c r="U3545" i="27" s="1"/>
  <c r="V3545" i="27" s="1"/>
  <c r="W3545" i="27" s="1"/>
  <c r="P3545" i="27"/>
  <c r="N3545" i="27" s="1"/>
  <c r="M3545" i="27"/>
  <c r="K3545" i="27" s="1"/>
  <c r="J3545" i="27"/>
  <c r="H3545" i="27" s="1"/>
  <c r="G3545" i="27"/>
  <c r="E3545" i="27" s="1"/>
  <c r="T3544" i="27"/>
  <c r="R3544" i="27"/>
  <c r="P3544" i="27"/>
  <c r="M3544" i="27"/>
  <c r="J3544" i="27"/>
  <c r="G3544" i="27"/>
  <c r="T3543" i="27"/>
  <c r="R3543" i="27"/>
  <c r="P3543" i="27"/>
  <c r="M3543" i="27"/>
  <c r="J3543" i="27"/>
  <c r="G3543" i="27"/>
  <c r="E3543" i="27" s="1"/>
  <c r="U3542" i="27"/>
  <c r="V3542" i="27" s="1"/>
  <c r="W3542" i="27" s="1"/>
  <c r="T3542" i="27"/>
  <c r="R3542" i="27"/>
  <c r="P3542" i="27"/>
  <c r="M3542" i="27"/>
  <c r="J3542" i="27"/>
  <c r="H3542" i="27" s="1"/>
  <c r="G3542" i="27"/>
  <c r="E3542" i="27" s="1"/>
  <c r="V3541" i="27"/>
  <c r="W3541" i="27" s="1"/>
  <c r="U3541" i="27"/>
  <c r="T3541" i="27"/>
  <c r="R3541" i="27"/>
  <c r="P3541" i="27"/>
  <c r="N3541" i="27" s="1"/>
  <c r="M3541" i="27"/>
  <c r="J3541" i="27"/>
  <c r="H3541" i="27" s="1"/>
  <c r="G3541" i="27"/>
  <c r="E3541" i="27" s="1"/>
  <c r="U3540" i="27"/>
  <c r="V3540" i="27" s="1"/>
  <c r="W3540" i="27" s="1"/>
  <c r="T3540" i="27"/>
  <c r="O3540" i="27"/>
  <c r="P3540" i="27" s="1"/>
  <c r="N3540" i="27" s="1"/>
  <c r="M3540" i="27"/>
  <c r="K3540" i="27" s="1"/>
  <c r="L3540" i="27"/>
  <c r="J3540" i="27"/>
  <c r="H3540" i="27" s="1"/>
  <c r="I3540" i="27"/>
  <c r="G3540" i="27"/>
  <c r="E3540" i="27" s="1"/>
  <c r="F3540" i="27"/>
  <c r="U3539" i="27"/>
  <c r="V3539" i="27" s="1"/>
  <c r="W3539" i="27" s="1"/>
  <c r="T3539" i="27"/>
  <c r="O3539" i="27"/>
  <c r="P3539" i="27" s="1"/>
  <c r="N3539" i="27" s="1"/>
  <c r="L3539" i="27"/>
  <c r="M3539" i="27" s="1"/>
  <c r="K3539" i="27" s="1"/>
  <c r="J3539" i="27"/>
  <c r="H3539" i="27" s="1"/>
  <c r="I3539" i="27"/>
  <c r="F3539" i="27"/>
  <c r="G3539" i="27" s="1"/>
  <c r="E3539" i="27" s="1"/>
  <c r="U3536" i="27"/>
  <c r="V3536" i="27" s="1"/>
  <c r="W3536" i="27" s="1"/>
  <c r="T3536" i="27"/>
  <c r="R3536" i="27"/>
  <c r="P3536" i="27"/>
  <c r="M3536" i="27"/>
  <c r="J3536" i="27"/>
  <c r="G3536" i="27"/>
  <c r="E3536" i="27" s="1"/>
  <c r="T3535" i="27"/>
  <c r="R3535" i="27"/>
  <c r="P3535" i="27"/>
  <c r="M3535" i="27"/>
  <c r="J3535" i="27"/>
  <c r="G3535" i="27"/>
  <c r="T3534" i="27"/>
  <c r="R3534" i="27"/>
  <c r="P3534" i="27"/>
  <c r="M3534" i="27"/>
  <c r="J3534" i="27"/>
  <c r="G3534" i="27"/>
  <c r="T3533" i="27"/>
  <c r="R3533" i="27"/>
  <c r="H3533" i="27" s="1"/>
  <c r="P3533" i="27"/>
  <c r="M3533" i="27"/>
  <c r="J3533" i="27"/>
  <c r="G3533" i="27"/>
  <c r="T3531" i="27"/>
  <c r="R3531" i="27"/>
  <c r="U3531" i="27" s="1"/>
  <c r="V3531" i="27" s="1"/>
  <c r="W3531" i="27" s="1"/>
  <c r="P3531" i="27"/>
  <c r="N3531" i="27" s="1"/>
  <c r="M3531" i="27"/>
  <c r="K3531" i="27" s="1"/>
  <c r="J3531" i="27"/>
  <c r="G3531" i="27"/>
  <c r="T3530" i="27"/>
  <c r="R3530" i="27"/>
  <c r="P3530" i="27"/>
  <c r="M3530" i="27"/>
  <c r="J3530" i="27"/>
  <c r="G3530" i="27"/>
  <c r="U3529" i="27"/>
  <c r="V3529" i="27" s="1"/>
  <c r="W3529" i="27" s="1"/>
  <c r="T3529" i="27"/>
  <c r="R3529" i="27"/>
  <c r="P3529" i="27"/>
  <c r="N3529" i="27" s="1"/>
  <c r="M3529" i="27"/>
  <c r="J3529" i="27"/>
  <c r="H3529" i="27"/>
  <c r="G3529" i="27"/>
  <c r="E3529" i="27" s="1"/>
  <c r="T3528" i="27"/>
  <c r="R3528" i="27"/>
  <c r="P3528" i="27"/>
  <c r="M3528" i="27"/>
  <c r="J3528" i="27"/>
  <c r="G3528" i="27"/>
  <c r="U3527" i="27"/>
  <c r="V3527" i="27" s="1"/>
  <c r="W3527" i="27" s="1"/>
  <c r="T3527" i="27"/>
  <c r="R3527" i="27"/>
  <c r="P3527" i="27"/>
  <c r="M3527" i="27"/>
  <c r="J3527" i="27"/>
  <c r="G3527" i="27"/>
  <c r="E3527" i="27" s="1"/>
  <c r="T3526" i="27"/>
  <c r="R3526" i="27"/>
  <c r="P3526" i="27"/>
  <c r="M3526" i="27"/>
  <c r="J3526" i="27"/>
  <c r="G3526" i="27"/>
  <c r="T3525" i="27"/>
  <c r="R3525" i="27"/>
  <c r="P3525" i="27"/>
  <c r="M3525" i="27"/>
  <c r="J3525" i="27"/>
  <c r="G3525" i="27"/>
  <c r="T3524" i="27"/>
  <c r="R3524" i="27"/>
  <c r="U3524" i="27" s="1"/>
  <c r="V3524" i="27" s="1"/>
  <c r="W3524" i="27" s="1"/>
  <c r="P3524" i="27"/>
  <c r="M3524" i="27"/>
  <c r="J3524" i="27"/>
  <c r="G3524" i="27"/>
  <c r="T3523" i="27"/>
  <c r="R3523" i="27"/>
  <c r="P3523" i="27"/>
  <c r="M3523" i="27"/>
  <c r="J3523" i="27"/>
  <c r="G3523" i="27"/>
  <c r="T3522" i="27"/>
  <c r="R3522" i="27"/>
  <c r="P3522" i="27"/>
  <c r="M3522" i="27"/>
  <c r="J3522" i="27"/>
  <c r="G3522" i="27"/>
  <c r="T3520" i="27"/>
  <c r="R3520" i="27"/>
  <c r="P3520" i="27"/>
  <c r="M3520" i="27"/>
  <c r="J3520" i="27"/>
  <c r="G3520" i="27"/>
  <c r="T3519" i="27"/>
  <c r="R3519" i="27"/>
  <c r="P3519" i="27"/>
  <c r="M3519" i="27"/>
  <c r="J3519" i="27"/>
  <c r="H3519" i="27"/>
  <c r="G3519" i="27"/>
  <c r="T3518" i="27"/>
  <c r="R3518" i="27"/>
  <c r="P3518" i="27"/>
  <c r="M3518" i="27"/>
  <c r="J3518" i="27"/>
  <c r="G3518" i="27"/>
  <c r="T3517" i="27"/>
  <c r="R3517" i="27"/>
  <c r="P3517" i="27"/>
  <c r="M3517" i="27"/>
  <c r="J3517" i="27"/>
  <c r="G3517" i="27"/>
  <c r="T3516" i="27"/>
  <c r="R3516" i="27"/>
  <c r="U3516" i="27" s="1"/>
  <c r="V3516" i="27" s="1"/>
  <c r="W3516" i="27" s="1"/>
  <c r="P3516" i="27"/>
  <c r="N3516" i="27" s="1"/>
  <c r="M3516" i="27"/>
  <c r="K3516" i="27"/>
  <c r="J3516" i="27"/>
  <c r="G3516" i="27"/>
  <c r="U3515" i="27"/>
  <c r="V3515" i="27" s="1"/>
  <c r="W3515" i="27" s="1"/>
  <c r="T3515" i="27"/>
  <c r="R3515" i="27"/>
  <c r="P3515" i="27"/>
  <c r="N3515" i="27" s="1"/>
  <c r="M3515" i="27"/>
  <c r="K3515" i="27"/>
  <c r="J3515" i="27"/>
  <c r="G3515" i="27"/>
  <c r="T3514" i="27"/>
  <c r="R3514" i="27"/>
  <c r="P3514" i="27"/>
  <c r="N3514" i="27"/>
  <c r="M3514" i="27"/>
  <c r="J3514" i="27"/>
  <c r="G3514" i="27"/>
  <c r="T3513" i="27"/>
  <c r="R3513" i="27"/>
  <c r="E3513" i="27" s="1"/>
  <c r="P3513" i="27"/>
  <c r="M3513" i="27"/>
  <c r="J3513" i="27"/>
  <c r="G3513" i="27"/>
  <c r="T3512" i="27"/>
  <c r="R3512" i="27"/>
  <c r="P3512" i="27"/>
  <c r="N3512" i="27" s="1"/>
  <c r="M3512" i="27"/>
  <c r="J3512" i="27"/>
  <c r="G3512" i="27"/>
  <c r="E3512" i="27" s="1"/>
  <c r="T3511" i="27"/>
  <c r="R3511" i="27"/>
  <c r="P3511" i="27"/>
  <c r="M3511" i="27"/>
  <c r="J3511" i="27"/>
  <c r="G3511" i="27"/>
  <c r="E3511" i="27" s="1"/>
  <c r="T3510" i="27"/>
  <c r="R3510" i="27"/>
  <c r="P3510" i="27"/>
  <c r="M3510" i="27"/>
  <c r="J3510" i="27"/>
  <c r="G3510" i="27"/>
  <c r="T3509" i="27"/>
  <c r="R3509" i="27"/>
  <c r="H3509" i="27" s="1"/>
  <c r="P3509" i="27"/>
  <c r="M3509" i="27"/>
  <c r="K3509" i="27"/>
  <c r="J3509" i="27"/>
  <c r="G3509" i="27"/>
  <c r="T3508" i="27"/>
  <c r="R3508" i="27"/>
  <c r="K3508" i="27" s="1"/>
  <c r="P3508" i="27"/>
  <c r="M3508" i="27"/>
  <c r="J3508" i="27"/>
  <c r="G3508" i="27"/>
  <c r="T3507" i="27"/>
  <c r="R3507" i="27"/>
  <c r="U3507" i="27" s="1"/>
  <c r="V3507" i="27" s="1"/>
  <c r="W3507" i="27" s="1"/>
  <c r="P3507" i="27"/>
  <c r="M3507" i="27"/>
  <c r="J3507" i="27"/>
  <c r="H3507" i="27" s="1"/>
  <c r="G3507" i="27"/>
  <c r="T3506" i="27"/>
  <c r="R3506" i="27"/>
  <c r="U3506" i="27" s="1"/>
  <c r="V3506" i="27" s="1"/>
  <c r="W3506" i="27" s="1"/>
  <c r="P3506" i="27"/>
  <c r="M3506" i="27"/>
  <c r="J3506" i="27"/>
  <c r="H3506" i="27" s="1"/>
  <c r="G3506" i="27"/>
  <c r="T3505" i="27"/>
  <c r="R3505" i="27"/>
  <c r="P3505" i="27"/>
  <c r="M3505" i="27"/>
  <c r="J3505" i="27"/>
  <c r="G3505" i="27"/>
  <c r="E3505" i="27"/>
  <c r="U3504" i="27"/>
  <c r="V3504" i="27" s="1"/>
  <c r="W3504" i="27" s="1"/>
  <c r="T3504" i="27"/>
  <c r="R3504" i="27"/>
  <c r="P3504" i="27"/>
  <c r="N3504" i="27" s="1"/>
  <c r="M3504" i="27"/>
  <c r="J3504" i="27"/>
  <c r="H3504" i="27" s="1"/>
  <c r="G3504" i="27"/>
  <c r="U3503" i="27"/>
  <c r="V3503" i="27" s="1"/>
  <c r="W3503" i="27" s="1"/>
  <c r="T3503" i="27"/>
  <c r="R3503" i="27"/>
  <c r="P3503" i="27"/>
  <c r="M3503" i="27"/>
  <c r="J3503" i="27"/>
  <c r="G3503" i="27"/>
  <c r="E3503" i="27" s="1"/>
  <c r="U3502" i="27"/>
  <c r="V3502" i="27" s="1"/>
  <c r="W3502" i="27" s="1"/>
  <c r="P3502" i="27"/>
  <c r="N3502" i="27" s="1"/>
  <c r="M3502" i="27"/>
  <c r="K3502" i="27"/>
  <c r="J3502" i="27"/>
  <c r="H3502" i="27" s="1"/>
  <c r="G3502" i="27"/>
  <c r="E3502" i="27" s="1"/>
  <c r="V3501" i="27"/>
  <c r="W3501" i="27" s="1"/>
  <c r="U3501" i="27"/>
  <c r="P3501" i="27"/>
  <c r="N3501" i="27" s="1"/>
  <c r="M3501" i="27"/>
  <c r="K3501" i="27" s="1"/>
  <c r="J3501" i="27"/>
  <c r="H3501" i="27" s="1"/>
  <c r="G3501" i="27"/>
  <c r="E3501" i="27" s="1"/>
  <c r="U3500" i="27"/>
  <c r="V3500" i="27" s="1"/>
  <c r="W3500" i="27" s="1"/>
  <c r="P3500" i="27"/>
  <c r="N3500" i="27" s="1"/>
  <c r="M3500" i="27"/>
  <c r="K3500" i="27" s="1"/>
  <c r="J3500" i="27"/>
  <c r="H3500" i="27" s="1"/>
  <c r="G3500" i="27"/>
  <c r="E3500" i="27" s="1"/>
  <c r="U3499" i="27"/>
  <c r="V3499" i="27" s="1"/>
  <c r="W3499" i="27" s="1"/>
  <c r="P3499" i="27"/>
  <c r="N3499" i="27" s="1"/>
  <c r="M3499" i="27"/>
  <c r="K3499" i="27" s="1"/>
  <c r="J3499" i="27"/>
  <c r="H3499" i="27"/>
  <c r="G3499" i="27"/>
  <c r="E3499" i="27" s="1"/>
  <c r="U3498" i="27"/>
  <c r="V3498" i="27" s="1"/>
  <c r="W3498" i="27" s="1"/>
  <c r="P3498" i="27"/>
  <c r="N3498" i="27" s="1"/>
  <c r="M3498" i="27"/>
  <c r="K3498" i="27" s="1"/>
  <c r="J3498" i="27"/>
  <c r="H3498" i="27" s="1"/>
  <c r="G3498" i="27"/>
  <c r="E3498" i="27" s="1"/>
  <c r="U3497" i="27"/>
  <c r="V3497" i="27" s="1"/>
  <c r="W3497" i="27" s="1"/>
  <c r="P3497" i="27"/>
  <c r="N3497" i="27" s="1"/>
  <c r="M3497" i="27"/>
  <c r="K3497" i="27" s="1"/>
  <c r="J3497" i="27"/>
  <c r="H3497" i="27" s="1"/>
  <c r="G3497" i="27"/>
  <c r="E3497" i="27" s="1"/>
  <c r="U3496" i="27"/>
  <c r="V3496" i="27" s="1"/>
  <c r="W3496" i="27" s="1"/>
  <c r="P3496" i="27"/>
  <c r="N3496" i="27"/>
  <c r="M3496" i="27"/>
  <c r="K3496" i="27"/>
  <c r="J3496" i="27"/>
  <c r="H3496" i="27"/>
  <c r="G3496" i="27"/>
  <c r="E3496" i="27" s="1"/>
  <c r="U3495" i="27"/>
  <c r="V3495" i="27" s="1"/>
  <c r="W3495" i="27" s="1"/>
  <c r="P3495" i="27"/>
  <c r="N3495" i="27" s="1"/>
  <c r="M3495" i="27"/>
  <c r="K3495" i="27" s="1"/>
  <c r="J3495" i="27"/>
  <c r="H3495" i="27" s="1"/>
  <c r="G3495" i="27"/>
  <c r="E3495" i="27" s="1"/>
  <c r="V3494" i="27"/>
  <c r="W3494" i="27" s="1"/>
  <c r="U3494" i="27"/>
  <c r="P3494" i="27"/>
  <c r="N3494" i="27" s="1"/>
  <c r="M3494" i="27"/>
  <c r="K3494" i="27" s="1"/>
  <c r="J3494" i="27"/>
  <c r="H3494" i="27" s="1"/>
  <c r="G3494" i="27"/>
  <c r="E3494" i="27" s="1"/>
  <c r="U3493" i="27"/>
  <c r="V3493" i="27" s="1"/>
  <c r="W3493" i="27" s="1"/>
  <c r="O3493" i="27"/>
  <c r="P3493" i="27" s="1"/>
  <c r="N3493" i="27" s="1"/>
  <c r="L3493" i="27"/>
  <c r="M3493" i="27" s="1"/>
  <c r="K3493" i="27" s="1"/>
  <c r="I3493" i="27"/>
  <c r="J3493" i="27" s="1"/>
  <c r="H3493" i="27" s="1"/>
  <c r="G3493" i="27"/>
  <c r="E3493" i="27" s="1"/>
  <c r="F3493" i="27"/>
  <c r="U3492" i="27"/>
  <c r="V3492" i="27" s="1"/>
  <c r="W3492" i="27" s="1"/>
  <c r="O3492" i="27"/>
  <c r="P3492" i="27" s="1"/>
  <c r="N3492" i="27" s="1"/>
  <c r="M3492" i="27"/>
  <c r="K3492" i="27" s="1"/>
  <c r="L3492" i="27"/>
  <c r="I3492" i="27"/>
  <c r="J3492" i="27" s="1"/>
  <c r="H3492" i="27" s="1"/>
  <c r="F3492" i="27"/>
  <c r="G3492" i="27" s="1"/>
  <c r="E3492" i="27" s="1"/>
  <c r="U3491" i="27"/>
  <c r="V3491" i="27" s="1"/>
  <c r="W3491" i="27" s="1"/>
  <c r="O3491" i="27"/>
  <c r="P3491" i="27" s="1"/>
  <c r="N3491" i="27" s="1"/>
  <c r="L3491" i="27"/>
  <c r="M3491" i="27" s="1"/>
  <c r="K3491" i="27" s="1"/>
  <c r="J3491" i="27"/>
  <c r="H3491" i="27" s="1"/>
  <c r="I3491" i="27"/>
  <c r="G3491" i="27"/>
  <c r="E3491" i="27" s="1"/>
  <c r="F3491" i="27"/>
  <c r="U3490" i="27"/>
  <c r="V3490" i="27" s="1"/>
  <c r="W3490" i="27" s="1"/>
  <c r="O3490" i="27"/>
  <c r="P3490" i="27" s="1"/>
  <c r="N3490" i="27" s="1"/>
  <c r="L3490" i="27"/>
  <c r="M3490" i="27" s="1"/>
  <c r="K3490" i="27" s="1"/>
  <c r="I3490" i="27"/>
  <c r="J3490" i="27" s="1"/>
  <c r="H3490" i="27" s="1"/>
  <c r="F3490" i="27"/>
  <c r="G3490" i="27" s="1"/>
  <c r="E3490" i="27" s="1"/>
  <c r="W3489" i="27"/>
  <c r="U3489" i="27"/>
  <c r="V3489" i="27" s="1"/>
  <c r="P3489" i="27"/>
  <c r="N3489" i="27" s="1"/>
  <c r="O3489" i="27"/>
  <c r="L3489" i="27"/>
  <c r="M3489" i="27" s="1"/>
  <c r="K3489" i="27" s="1"/>
  <c r="I3489" i="27"/>
  <c r="J3489" i="27" s="1"/>
  <c r="H3489" i="27" s="1"/>
  <c r="F3489" i="27"/>
  <c r="G3489" i="27" s="1"/>
  <c r="E3489" i="27" s="1"/>
  <c r="U3488" i="27"/>
  <c r="V3488" i="27" s="1"/>
  <c r="W3488" i="27" s="1"/>
  <c r="O3488" i="27"/>
  <c r="P3488" i="27" s="1"/>
  <c r="N3488" i="27" s="1"/>
  <c r="L3488" i="27"/>
  <c r="M3488" i="27" s="1"/>
  <c r="K3488" i="27" s="1"/>
  <c r="I3488" i="27"/>
  <c r="J3488" i="27" s="1"/>
  <c r="H3488" i="27" s="1"/>
  <c r="F3488" i="27"/>
  <c r="G3488" i="27" s="1"/>
  <c r="E3488" i="27" s="1"/>
  <c r="U3487" i="27"/>
  <c r="V3487" i="27" s="1"/>
  <c r="W3487" i="27" s="1"/>
  <c r="O3487" i="27"/>
  <c r="P3487" i="27" s="1"/>
  <c r="N3487" i="27" s="1"/>
  <c r="L3487" i="27"/>
  <c r="M3487" i="27" s="1"/>
  <c r="K3487" i="27" s="1"/>
  <c r="I3487" i="27"/>
  <c r="J3487" i="27" s="1"/>
  <c r="H3487" i="27" s="1"/>
  <c r="F3487" i="27"/>
  <c r="G3487" i="27" s="1"/>
  <c r="E3487" i="27" s="1"/>
  <c r="U3486" i="27"/>
  <c r="V3486" i="27" s="1"/>
  <c r="W3486" i="27" s="1"/>
  <c r="O3486" i="27"/>
  <c r="P3486" i="27" s="1"/>
  <c r="N3486" i="27" s="1"/>
  <c r="L3486" i="27"/>
  <c r="M3486" i="27" s="1"/>
  <c r="K3486" i="27" s="1"/>
  <c r="I3486" i="27"/>
  <c r="J3486" i="27" s="1"/>
  <c r="H3486" i="27" s="1"/>
  <c r="F3486" i="27"/>
  <c r="G3486" i="27" s="1"/>
  <c r="E3486" i="27" s="1"/>
  <c r="V3485" i="27"/>
  <c r="W3485" i="27" s="1"/>
  <c r="U3485" i="27"/>
  <c r="P3485" i="27"/>
  <c r="N3485" i="27" s="1"/>
  <c r="O3485" i="27"/>
  <c r="L3485" i="27"/>
  <c r="M3485" i="27" s="1"/>
  <c r="K3485" i="27" s="1"/>
  <c r="I3485" i="27"/>
  <c r="J3485" i="27" s="1"/>
  <c r="H3485" i="27" s="1"/>
  <c r="F3485" i="27"/>
  <c r="G3485" i="27" s="1"/>
  <c r="E3485" i="27" s="1"/>
  <c r="T3483" i="27"/>
  <c r="R3483" i="27"/>
  <c r="U3483" i="27" s="1"/>
  <c r="V3483" i="27" s="1"/>
  <c r="W3483" i="27" s="1"/>
  <c r="P3483" i="27"/>
  <c r="M3483" i="27"/>
  <c r="K3483" i="27" s="1"/>
  <c r="J3483" i="27"/>
  <c r="G3483" i="27"/>
  <c r="T3482" i="27"/>
  <c r="R3482" i="27"/>
  <c r="P3482" i="27"/>
  <c r="M3482" i="27"/>
  <c r="J3482" i="27"/>
  <c r="G3482" i="27"/>
  <c r="T3481" i="27"/>
  <c r="R3481" i="27"/>
  <c r="P3481" i="27"/>
  <c r="M3481" i="27"/>
  <c r="J3481" i="27"/>
  <c r="H3481" i="27" s="1"/>
  <c r="G3481" i="27"/>
  <c r="T3480" i="27"/>
  <c r="R3480" i="27"/>
  <c r="P3480" i="27"/>
  <c r="M3480" i="27"/>
  <c r="J3480" i="27"/>
  <c r="G3480" i="27"/>
  <c r="U3477" i="27"/>
  <c r="V3477" i="27" s="1"/>
  <c r="W3477" i="27" s="1"/>
  <c r="T3477" i="27"/>
  <c r="P3477" i="27"/>
  <c r="N3477" i="27" s="1"/>
  <c r="M3477" i="27"/>
  <c r="K3477" i="27" s="1"/>
  <c r="J3477" i="27"/>
  <c r="H3477" i="27" s="1"/>
  <c r="G3477" i="27"/>
  <c r="E3477" i="27" s="1"/>
  <c r="U3476" i="27"/>
  <c r="V3476" i="27" s="1"/>
  <c r="W3476" i="27" s="1"/>
  <c r="T3476" i="27"/>
  <c r="P3476" i="27"/>
  <c r="N3476" i="27" s="1"/>
  <c r="M3476" i="27"/>
  <c r="K3476" i="27" s="1"/>
  <c r="J3476" i="27"/>
  <c r="H3476" i="27" s="1"/>
  <c r="G3476" i="27"/>
  <c r="E3476" i="27" s="1"/>
  <c r="U3475" i="27"/>
  <c r="V3475" i="27" s="1"/>
  <c r="W3475" i="27" s="1"/>
  <c r="T3475" i="27"/>
  <c r="P3475" i="27"/>
  <c r="N3475" i="27" s="1"/>
  <c r="M3475" i="27"/>
  <c r="K3475" i="27" s="1"/>
  <c r="J3475" i="27"/>
  <c r="H3475" i="27" s="1"/>
  <c r="G3475" i="27"/>
  <c r="E3475" i="27" s="1"/>
  <c r="V3474" i="27"/>
  <c r="W3474" i="27" s="1"/>
  <c r="U3474" i="27"/>
  <c r="T3474" i="27"/>
  <c r="P3474" i="27"/>
  <c r="N3474" i="27" s="1"/>
  <c r="M3474" i="27"/>
  <c r="K3474" i="27" s="1"/>
  <c r="J3474" i="27"/>
  <c r="H3474" i="27" s="1"/>
  <c r="G3474" i="27"/>
  <c r="E3474" i="27" s="1"/>
  <c r="U3473" i="27"/>
  <c r="V3473" i="27" s="1"/>
  <c r="W3473" i="27" s="1"/>
  <c r="T3473" i="27"/>
  <c r="P3473" i="27"/>
  <c r="N3473" i="27" s="1"/>
  <c r="M3473" i="27"/>
  <c r="K3473" i="27" s="1"/>
  <c r="J3473" i="27"/>
  <c r="H3473" i="27" s="1"/>
  <c r="G3473" i="27"/>
  <c r="E3473" i="27" s="1"/>
  <c r="T3471" i="27"/>
  <c r="R3471" i="27"/>
  <c r="P3471" i="27"/>
  <c r="M3471" i="27"/>
  <c r="J3471" i="27"/>
  <c r="G3471" i="27"/>
  <c r="T3470" i="27"/>
  <c r="R3470" i="27"/>
  <c r="P3470" i="27"/>
  <c r="M3470" i="27"/>
  <c r="J3470" i="27"/>
  <c r="G3470" i="27"/>
  <c r="T3469" i="27"/>
  <c r="R3469" i="27"/>
  <c r="P3469" i="27"/>
  <c r="M3469" i="27"/>
  <c r="J3469" i="27"/>
  <c r="G3469" i="27"/>
  <c r="T3468" i="27"/>
  <c r="R3468" i="27"/>
  <c r="U3468" i="27" s="1"/>
  <c r="V3468" i="27" s="1"/>
  <c r="W3468" i="27" s="1"/>
  <c r="P3468" i="27"/>
  <c r="M3468" i="27"/>
  <c r="J3468" i="27"/>
  <c r="G3468" i="27"/>
  <c r="E3468" i="27" s="1"/>
  <c r="T3467" i="27"/>
  <c r="R3467" i="27"/>
  <c r="P3467" i="27"/>
  <c r="M3467" i="27"/>
  <c r="J3467" i="27"/>
  <c r="G3467" i="27"/>
  <c r="E3467" i="27" s="1"/>
  <c r="T3466" i="27"/>
  <c r="R3466" i="27"/>
  <c r="P3466" i="27"/>
  <c r="M3466" i="27"/>
  <c r="J3466" i="27"/>
  <c r="G3466" i="27"/>
  <c r="T3465" i="27"/>
  <c r="R3465" i="27"/>
  <c r="P3465" i="27"/>
  <c r="M3465" i="27"/>
  <c r="J3465" i="27"/>
  <c r="G3465" i="27"/>
  <c r="T3464" i="27"/>
  <c r="R3464" i="27"/>
  <c r="U3464" i="27" s="1"/>
  <c r="V3464" i="27" s="1"/>
  <c r="W3464" i="27" s="1"/>
  <c r="P3464" i="27"/>
  <c r="M3464" i="27"/>
  <c r="J3464" i="27"/>
  <c r="G3464" i="27"/>
  <c r="T3463" i="27"/>
  <c r="R3463" i="27"/>
  <c r="P3463" i="27"/>
  <c r="M3463" i="27"/>
  <c r="J3463" i="27"/>
  <c r="G3463" i="27"/>
  <c r="T3462" i="27"/>
  <c r="R3462" i="27"/>
  <c r="P3462" i="27"/>
  <c r="M3462" i="27"/>
  <c r="J3462" i="27"/>
  <c r="G3462" i="27"/>
  <c r="U3461" i="27"/>
  <c r="V3461" i="27" s="1"/>
  <c r="W3461" i="27" s="1"/>
  <c r="T3461" i="27"/>
  <c r="R3461" i="27"/>
  <c r="P3461" i="27"/>
  <c r="N3461" i="27"/>
  <c r="M3461" i="27"/>
  <c r="J3461" i="27"/>
  <c r="H3461" i="27"/>
  <c r="G3461" i="27"/>
  <c r="E3461" i="27" s="1"/>
  <c r="T3459" i="27"/>
  <c r="R3459" i="27"/>
  <c r="P3459" i="27"/>
  <c r="M3459" i="27"/>
  <c r="J3459" i="27"/>
  <c r="G3459" i="27"/>
  <c r="U3458" i="27"/>
  <c r="V3458" i="27" s="1"/>
  <c r="W3458" i="27" s="1"/>
  <c r="T3458" i="27"/>
  <c r="R3458" i="27"/>
  <c r="P3458" i="27"/>
  <c r="M3458" i="27"/>
  <c r="J3458" i="27"/>
  <c r="G3458" i="27"/>
  <c r="E3458" i="27"/>
  <c r="T3457" i="27"/>
  <c r="R3457" i="27"/>
  <c r="P3457" i="27"/>
  <c r="M3457" i="27"/>
  <c r="J3457" i="27"/>
  <c r="G3457" i="27"/>
  <c r="T3456" i="27"/>
  <c r="R3456" i="27"/>
  <c r="P3456" i="27"/>
  <c r="M3456" i="27"/>
  <c r="J3456" i="27"/>
  <c r="G3456" i="27"/>
  <c r="T3455" i="27"/>
  <c r="R3455" i="27"/>
  <c r="U3455" i="27" s="1"/>
  <c r="V3455" i="27" s="1"/>
  <c r="W3455" i="27" s="1"/>
  <c r="P3455" i="27"/>
  <c r="M3455" i="27"/>
  <c r="J3455" i="27"/>
  <c r="G3455" i="27"/>
  <c r="T3454" i="27"/>
  <c r="R3454" i="27"/>
  <c r="U3454" i="27" s="1"/>
  <c r="V3454" i="27" s="1"/>
  <c r="W3454" i="27" s="1"/>
  <c r="P3454" i="27"/>
  <c r="M3454" i="27"/>
  <c r="J3454" i="27"/>
  <c r="G3454" i="27"/>
  <c r="E3454" i="27"/>
  <c r="T3453" i="27"/>
  <c r="R3453" i="27"/>
  <c r="P3453" i="27"/>
  <c r="M3453" i="27"/>
  <c r="J3453" i="27"/>
  <c r="G3453" i="27"/>
  <c r="T3452" i="27"/>
  <c r="R3452" i="27"/>
  <c r="P3452" i="27"/>
  <c r="M3452" i="27"/>
  <c r="J3452" i="27"/>
  <c r="G3452" i="27"/>
  <c r="T3451" i="27"/>
  <c r="R3451" i="27"/>
  <c r="U3451" i="27" s="1"/>
  <c r="V3451" i="27" s="1"/>
  <c r="W3451" i="27" s="1"/>
  <c r="P3451" i="27"/>
  <c r="N3451" i="27" s="1"/>
  <c r="M3451" i="27"/>
  <c r="J3451" i="27"/>
  <c r="G3451" i="27"/>
  <c r="T3450" i="27"/>
  <c r="R3450" i="27"/>
  <c r="P3450" i="27"/>
  <c r="M3450" i="27"/>
  <c r="K3450" i="27" s="1"/>
  <c r="J3450" i="27"/>
  <c r="G3450" i="27"/>
  <c r="E3450" i="27" s="1"/>
  <c r="T3449" i="27"/>
  <c r="R3449" i="27"/>
  <c r="P3449" i="27"/>
  <c r="M3449" i="27"/>
  <c r="J3449" i="27"/>
  <c r="G3449" i="27"/>
  <c r="T3448" i="27"/>
  <c r="R3448" i="27"/>
  <c r="P3448" i="27"/>
  <c r="M3448" i="27"/>
  <c r="J3448" i="27"/>
  <c r="G3448" i="27"/>
  <c r="T3447" i="27"/>
  <c r="R3447" i="27"/>
  <c r="E3447" i="27" s="1"/>
  <c r="P3447" i="27"/>
  <c r="N3447" i="27" s="1"/>
  <c r="M3447" i="27"/>
  <c r="J3447" i="27"/>
  <c r="G3447" i="27"/>
  <c r="T3446" i="27"/>
  <c r="R3446" i="27"/>
  <c r="P3446" i="27"/>
  <c r="M3446" i="27"/>
  <c r="J3446" i="27"/>
  <c r="G3446" i="27"/>
  <c r="T3445" i="27"/>
  <c r="R3445" i="27"/>
  <c r="P3445" i="27"/>
  <c r="M3445" i="27"/>
  <c r="J3445" i="27"/>
  <c r="G3445" i="27"/>
  <c r="T3444" i="27"/>
  <c r="R3444" i="27"/>
  <c r="P3444" i="27"/>
  <c r="M3444" i="27"/>
  <c r="J3444" i="27"/>
  <c r="G3444" i="27"/>
  <c r="T3443" i="27"/>
  <c r="R3443" i="27"/>
  <c r="P3443" i="27"/>
  <c r="M3443" i="27"/>
  <c r="J3443" i="27"/>
  <c r="G3443" i="27"/>
  <c r="T3442" i="27"/>
  <c r="R3442" i="27"/>
  <c r="P3442" i="27"/>
  <c r="M3442" i="27"/>
  <c r="J3442" i="27"/>
  <c r="G3442" i="27"/>
  <c r="T3441" i="27"/>
  <c r="R3441" i="27"/>
  <c r="U3441" i="27" s="1"/>
  <c r="V3441" i="27" s="1"/>
  <c r="W3441" i="27" s="1"/>
  <c r="P3441" i="27"/>
  <c r="N3441" i="27"/>
  <c r="M3441" i="27"/>
  <c r="K3441" i="27"/>
  <c r="J3441" i="27"/>
  <c r="G3441" i="27"/>
  <c r="E3441" i="27" s="1"/>
  <c r="T3440" i="27"/>
  <c r="R3440" i="27"/>
  <c r="P3440" i="27"/>
  <c r="N3440" i="27" s="1"/>
  <c r="M3440" i="27"/>
  <c r="J3440" i="27"/>
  <c r="G3440" i="27"/>
  <c r="T3439" i="27"/>
  <c r="R3439" i="27"/>
  <c r="P3439" i="27"/>
  <c r="M3439" i="27"/>
  <c r="K3439" i="27"/>
  <c r="J3439" i="27"/>
  <c r="G3439" i="27"/>
  <c r="T3438" i="27"/>
  <c r="R3438" i="27"/>
  <c r="U3438" i="27" s="1"/>
  <c r="V3438" i="27" s="1"/>
  <c r="W3438" i="27" s="1"/>
  <c r="P3438" i="27"/>
  <c r="M3438" i="27"/>
  <c r="J3438" i="27"/>
  <c r="G3438" i="27"/>
  <c r="T3437" i="27"/>
  <c r="R3437" i="27"/>
  <c r="P3437" i="27"/>
  <c r="M3437" i="27"/>
  <c r="J3437" i="27"/>
  <c r="G3437" i="27"/>
  <c r="T3436" i="27"/>
  <c r="R3436" i="27"/>
  <c r="E3436" i="27" s="1"/>
  <c r="P3436" i="27"/>
  <c r="M3436" i="27"/>
  <c r="J3436" i="27"/>
  <c r="G3436" i="27"/>
  <c r="T3435" i="27"/>
  <c r="R3435" i="27"/>
  <c r="P3435" i="27"/>
  <c r="M3435" i="27"/>
  <c r="J3435" i="27"/>
  <c r="H3435" i="27" s="1"/>
  <c r="G3435" i="27"/>
  <c r="U3434" i="27"/>
  <c r="V3434" i="27" s="1"/>
  <c r="W3434" i="27" s="1"/>
  <c r="T3434" i="27"/>
  <c r="R3434" i="27"/>
  <c r="P3434" i="27"/>
  <c r="M3434" i="27"/>
  <c r="K3434" i="27" s="1"/>
  <c r="J3434" i="27"/>
  <c r="G3434" i="27"/>
  <c r="E3434" i="27" s="1"/>
  <c r="V3433" i="27"/>
  <c r="W3433" i="27" s="1"/>
  <c r="U3433" i="27"/>
  <c r="T3433" i="27"/>
  <c r="R3433" i="27"/>
  <c r="P3433" i="27"/>
  <c r="M3433" i="27"/>
  <c r="K3433" i="27" s="1"/>
  <c r="J3433" i="27"/>
  <c r="H3433" i="27" s="1"/>
  <c r="G3433" i="27"/>
  <c r="E3433" i="27" s="1"/>
  <c r="T3432" i="27"/>
  <c r="R3432" i="27"/>
  <c r="P3432" i="27"/>
  <c r="M3432" i="27"/>
  <c r="J3432" i="27"/>
  <c r="G3432" i="27"/>
  <c r="T3431" i="27"/>
  <c r="R3431" i="27"/>
  <c r="P3431" i="27"/>
  <c r="N3431" i="27" s="1"/>
  <c r="M3431" i="27"/>
  <c r="J3431" i="27"/>
  <c r="G3431" i="27"/>
  <c r="T3430" i="27"/>
  <c r="R3430" i="27"/>
  <c r="U3430" i="27" s="1"/>
  <c r="V3430" i="27" s="1"/>
  <c r="W3430" i="27" s="1"/>
  <c r="P3430" i="27"/>
  <c r="M3430" i="27"/>
  <c r="J3430" i="27"/>
  <c r="G3430" i="27"/>
  <c r="T3429" i="27"/>
  <c r="R3429" i="27"/>
  <c r="U3429" i="27" s="1"/>
  <c r="V3429" i="27" s="1"/>
  <c r="W3429" i="27" s="1"/>
  <c r="P3429" i="27"/>
  <c r="M3429" i="27"/>
  <c r="J3429" i="27"/>
  <c r="G3429" i="27"/>
  <c r="T3428" i="27"/>
  <c r="R3428" i="27"/>
  <c r="P3428" i="27"/>
  <c r="M3428" i="27"/>
  <c r="J3428" i="27"/>
  <c r="G3428" i="27"/>
  <c r="E3428" i="27"/>
  <c r="T3427" i="27"/>
  <c r="R3427" i="27"/>
  <c r="P3427" i="27"/>
  <c r="M3427" i="27"/>
  <c r="J3427" i="27"/>
  <c r="G3427" i="27"/>
  <c r="T3426" i="27"/>
  <c r="R3426" i="27"/>
  <c r="U3426" i="27" s="1"/>
  <c r="V3426" i="27" s="1"/>
  <c r="W3426" i="27" s="1"/>
  <c r="P3426" i="27"/>
  <c r="M3426" i="27"/>
  <c r="J3426" i="27"/>
  <c r="G3426" i="27"/>
  <c r="T3425" i="27"/>
  <c r="R3425" i="27"/>
  <c r="U3425" i="27" s="1"/>
  <c r="V3425" i="27" s="1"/>
  <c r="W3425" i="27" s="1"/>
  <c r="P3425" i="27"/>
  <c r="M3425" i="27"/>
  <c r="J3425" i="27"/>
  <c r="G3425" i="27"/>
  <c r="E3425" i="27" s="1"/>
  <c r="T3424" i="27"/>
  <c r="R3424" i="27"/>
  <c r="P3424" i="27"/>
  <c r="M3424" i="27"/>
  <c r="K3424" i="27" s="1"/>
  <c r="J3424" i="27"/>
  <c r="G3424" i="27"/>
  <c r="T3423" i="27"/>
  <c r="R3423" i="27"/>
  <c r="E3423" i="27" s="1"/>
  <c r="P3423" i="27"/>
  <c r="M3423" i="27"/>
  <c r="J3423" i="27"/>
  <c r="G3423" i="27"/>
  <c r="T3422" i="27"/>
  <c r="R3422" i="27"/>
  <c r="U3422" i="27" s="1"/>
  <c r="V3422" i="27" s="1"/>
  <c r="W3422" i="27" s="1"/>
  <c r="P3422" i="27"/>
  <c r="M3422" i="27"/>
  <c r="J3422" i="27"/>
  <c r="G3422" i="27"/>
  <c r="T3421" i="27"/>
  <c r="R3421" i="27"/>
  <c r="P3421" i="27"/>
  <c r="M3421" i="27"/>
  <c r="J3421" i="27"/>
  <c r="G3421" i="27"/>
  <c r="T3420" i="27"/>
  <c r="R3420" i="27"/>
  <c r="P3420" i="27"/>
  <c r="M3420" i="27"/>
  <c r="J3420" i="27"/>
  <c r="G3420" i="27"/>
  <c r="T3419" i="27"/>
  <c r="R3419" i="27"/>
  <c r="P3419" i="27"/>
  <c r="M3419" i="27"/>
  <c r="J3419" i="27"/>
  <c r="G3419" i="27"/>
  <c r="T3418" i="27"/>
  <c r="R3418" i="27"/>
  <c r="U3418" i="27" s="1"/>
  <c r="V3418" i="27" s="1"/>
  <c r="W3418" i="27" s="1"/>
  <c r="P3418" i="27"/>
  <c r="M3418" i="27"/>
  <c r="J3418" i="27"/>
  <c r="G3418" i="27"/>
  <c r="T3417" i="27"/>
  <c r="R3417" i="27"/>
  <c r="P3417" i="27"/>
  <c r="M3417" i="27"/>
  <c r="J3417" i="27"/>
  <c r="G3417" i="27"/>
  <c r="T3416" i="27"/>
  <c r="R3416" i="27"/>
  <c r="P3416" i="27"/>
  <c r="M3416" i="27"/>
  <c r="J3416" i="27"/>
  <c r="G3416" i="27"/>
  <c r="T3415" i="27"/>
  <c r="R3415" i="27"/>
  <c r="P3415" i="27"/>
  <c r="M3415" i="27"/>
  <c r="J3415" i="27"/>
  <c r="G3415" i="27"/>
  <c r="T3414" i="27"/>
  <c r="R3414" i="27"/>
  <c r="P3414" i="27"/>
  <c r="M3414" i="27"/>
  <c r="J3414" i="27"/>
  <c r="G3414" i="27"/>
  <c r="E3414" i="27" s="1"/>
  <c r="T3413" i="27"/>
  <c r="R3413" i="27"/>
  <c r="P3413" i="27"/>
  <c r="M3413" i="27"/>
  <c r="J3413" i="27"/>
  <c r="G3413" i="27"/>
  <c r="T3412" i="27"/>
  <c r="R3412" i="27"/>
  <c r="P3412" i="27"/>
  <c r="M3412" i="27"/>
  <c r="J3412" i="27"/>
  <c r="G3412" i="27"/>
  <c r="T3411" i="27"/>
  <c r="R3411" i="27"/>
  <c r="P3411" i="27"/>
  <c r="M3411" i="27"/>
  <c r="J3411" i="27"/>
  <c r="G3411" i="27"/>
  <c r="T3410" i="27"/>
  <c r="R3410" i="27"/>
  <c r="U3410" i="27" s="1"/>
  <c r="V3410" i="27" s="1"/>
  <c r="W3410" i="27" s="1"/>
  <c r="P3410" i="27"/>
  <c r="M3410" i="27"/>
  <c r="K3410" i="27" s="1"/>
  <c r="J3410" i="27"/>
  <c r="H3410" i="27" s="1"/>
  <c r="G3410" i="27"/>
  <c r="E3410" i="27" s="1"/>
  <c r="T3409" i="27"/>
  <c r="R3409" i="27"/>
  <c r="P3409" i="27"/>
  <c r="M3409" i="27"/>
  <c r="K3409" i="27"/>
  <c r="J3409" i="27"/>
  <c r="G3409" i="27"/>
  <c r="T3408" i="27"/>
  <c r="R3408" i="27"/>
  <c r="P3408" i="27"/>
  <c r="M3408" i="27"/>
  <c r="J3408" i="27"/>
  <c r="G3408" i="27"/>
  <c r="E3408" i="27" s="1"/>
  <c r="T3407" i="27"/>
  <c r="R3407" i="27"/>
  <c r="P3407" i="27"/>
  <c r="M3407" i="27"/>
  <c r="J3407" i="27"/>
  <c r="G3407" i="27"/>
  <c r="E3407" i="27" s="1"/>
  <c r="T3406" i="27"/>
  <c r="R3406" i="27"/>
  <c r="P3406" i="27"/>
  <c r="M3406" i="27"/>
  <c r="J3406" i="27"/>
  <c r="G3406" i="27"/>
  <c r="T3405" i="27"/>
  <c r="R3405" i="27"/>
  <c r="P3405" i="27"/>
  <c r="M3405" i="27"/>
  <c r="J3405" i="27"/>
  <c r="G3405" i="27"/>
  <c r="T3404" i="27"/>
  <c r="R3404" i="27"/>
  <c r="P3404" i="27"/>
  <c r="M3404" i="27"/>
  <c r="J3404" i="27"/>
  <c r="G3404" i="27"/>
  <c r="T3403" i="27"/>
  <c r="R3403" i="27"/>
  <c r="P3403" i="27"/>
  <c r="M3403" i="27"/>
  <c r="J3403" i="27"/>
  <c r="G3403" i="27"/>
  <c r="T3402" i="27"/>
  <c r="R3402" i="27"/>
  <c r="U3402" i="27" s="1"/>
  <c r="V3402" i="27" s="1"/>
  <c r="W3402" i="27" s="1"/>
  <c r="P3402" i="27"/>
  <c r="M3402" i="27"/>
  <c r="J3402" i="27"/>
  <c r="G3402" i="27"/>
  <c r="E3402" i="27" s="1"/>
  <c r="T3401" i="27"/>
  <c r="R3401" i="27"/>
  <c r="P3401" i="27"/>
  <c r="M3401" i="27"/>
  <c r="J3401" i="27"/>
  <c r="G3401" i="27"/>
  <c r="E3401" i="27"/>
  <c r="T3400" i="27"/>
  <c r="R3400" i="27"/>
  <c r="P3400" i="27"/>
  <c r="M3400" i="27"/>
  <c r="J3400" i="27"/>
  <c r="G3400" i="27"/>
  <c r="T3399" i="27"/>
  <c r="R3399" i="27"/>
  <c r="P3399" i="27"/>
  <c r="M3399" i="27"/>
  <c r="J3399" i="27"/>
  <c r="G3399" i="27"/>
  <c r="T3398" i="27"/>
  <c r="R3398" i="27"/>
  <c r="P3398" i="27"/>
  <c r="M3398" i="27"/>
  <c r="J3398" i="27"/>
  <c r="G3398" i="27"/>
  <c r="T3397" i="27"/>
  <c r="R3397" i="27"/>
  <c r="P3397" i="27"/>
  <c r="M3397" i="27"/>
  <c r="J3397" i="27"/>
  <c r="G3397" i="27"/>
  <c r="T3396" i="27"/>
  <c r="R3396" i="27"/>
  <c r="P3396" i="27"/>
  <c r="M3396" i="27"/>
  <c r="J3396" i="27"/>
  <c r="G3396" i="27"/>
  <c r="T3395" i="27"/>
  <c r="R3395" i="27"/>
  <c r="H3395" i="27" s="1"/>
  <c r="P3395" i="27"/>
  <c r="M3395" i="27"/>
  <c r="J3395" i="27"/>
  <c r="G3395" i="27"/>
  <c r="U3394" i="27"/>
  <c r="V3394" i="27" s="1"/>
  <c r="W3394" i="27" s="1"/>
  <c r="T3394" i="27"/>
  <c r="R3394" i="27"/>
  <c r="P3394" i="27"/>
  <c r="M3394" i="27"/>
  <c r="J3394" i="27"/>
  <c r="G3394" i="27"/>
  <c r="T3393" i="27"/>
  <c r="R3393" i="27"/>
  <c r="P3393" i="27"/>
  <c r="M3393" i="27"/>
  <c r="J3393" i="27"/>
  <c r="G3393" i="27"/>
  <c r="T3392" i="27"/>
  <c r="R3392" i="27"/>
  <c r="P3392" i="27"/>
  <c r="M3392" i="27"/>
  <c r="J3392" i="27"/>
  <c r="G3392" i="27"/>
  <c r="T3391" i="27"/>
  <c r="R3391" i="27"/>
  <c r="P3391" i="27"/>
  <c r="M3391" i="27"/>
  <c r="K3391" i="27" s="1"/>
  <c r="J3391" i="27"/>
  <c r="G3391" i="27"/>
  <c r="E3391" i="27" s="1"/>
  <c r="T3390" i="27"/>
  <c r="R3390" i="27"/>
  <c r="P3390" i="27"/>
  <c r="M3390" i="27"/>
  <c r="J3390" i="27"/>
  <c r="G3390" i="27"/>
  <c r="T3389" i="27"/>
  <c r="R3389" i="27"/>
  <c r="P3389" i="27"/>
  <c r="M3389" i="27"/>
  <c r="J3389" i="27"/>
  <c r="G3389" i="27"/>
  <c r="T3388" i="27"/>
  <c r="R3388" i="27"/>
  <c r="P3388" i="27"/>
  <c r="M3388" i="27"/>
  <c r="J3388" i="27"/>
  <c r="G3388" i="27"/>
  <c r="T3387" i="27"/>
  <c r="R3387" i="27"/>
  <c r="P3387" i="27"/>
  <c r="N3387" i="27"/>
  <c r="M3387" i="27"/>
  <c r="J3387" i="27"/>
  <c r="G3387" i="27"/>
  <c r="T3386" i="27"/>
  <c r="R3386" i="27"/>
  <c r="U3386" i="27" s="1"/>
  <c r="V3386" i="27" s="1"/>
  <c r="W3386" i="27" s="1"/>
  <c r="P3386" i="27"/>
  <c r="N3386" i="27" s="1"/>
  <c r="M3386" i="27"/>
  <c r="K3386" i="27" s="1"/>
  <c r="J3386" i="27"/>
  <c r="G3386" i="27"/>
  <c r="T3385" i="27"/>
  <c r="R3385" i="27"/>
  <c r="P3385" i="27"/>
  <c r="M3385" i="27"/>
  <c r="J3385" i="27"/>
  <c r="G3385" i="27"/>
  <c r="T3384" i="27"/>
  <c r="R3384" i="27"/>
  <c r="P3384" i="27"/>
  <c r="M3384" i="27"/>
  <c r="J3384" i="27"/>
  <c r="G3384" i="27"/>
  <c r="U3383" i="27"/>
  <c r="V3383" i="27" s="1"/>
  <c r="W3383" i="27" s="1"/>
  <c r="T3383" i="27"/>
  <c r="R3383" i="27"/>
  <c r="P3383" i="27"/>
  <c r="N3383" i="27" s="1"/>
  <c r="M3383" i="27"/>
  <c r="J3383" i="27"/>
  <c r="G3383" i="27"/>
  <c r="T3382" i="27"/>
  <c r="R3382" i="27"/>
  <c r="P3382" i="27"/>
  <c r="M3382" i="27"/>
  <c r="J3382" i="27"/>
  <c r="G3382" i="27"/>
  <c r="T3381" i="27"/>
  <c r="R3381" i="27"/>
  <c r="P3381" i="27"/>
  <c r="M3381" i="27"/>
  <c r="J3381" i="27"/>
  <c r="G3381" i="27"/>
  <c r="T3380" i="27"/>
  <c r="R3380" i="27"/>
  <c r="P3380" i="27"/>
  <c r="M3380" i="27"/>
  <c r="J3380" i="27"/>
  <c r="G3380" i="27"/>
  <c r="E3380" i="27" s="1"/>
  <c r="T3379" i="27"/>
  <c r="R3379" i="27"/>
  <c r="E3379" i="27" s="1"/>
  <c r="P3379" i="27"/>
  <c r="M3379" i="27"/>
  <c r="J3379" i="27"/>
  <c r="G3379" i="27"/>
  <c r="T3378" i="27"/>
  <c r="R3378" i="27"/>
  <c r="U3378" i="27" s="1"/>
  <c r="V3378" i="27" s="1"/>
  <c r="W3378" i="27" s="1"/>
  <c r="P3378" i="27"/>
  <c r="M3378" i="27"/>
  <c r="J3378" i="27"/>
  <c r="G3378" i="27"/>
  <c r="E3378" i="27" s="1"/>
  <c r="T3377" i="27"/>
  <c r="R3377" i="27"/>
  <c r="P3377" i="27"/>
  <c r="M3377" i="27"/>
  <c r="J3377" i="27"/>
  <c r="G3377" i="27"/>
  <c r="T3376" i="27"/>
  <c r="R3376" i="27"/>
  <c r="P3376" i="27"/>
  <c r="M3376" i="27"/>
  <c r="J3376" i="27"/>
  <c r="G3376" i="27"/>
  <c r="T3375" i="27"/>
  <c r="R3375" i="27"/>
  <c r="P3375" i="27"/>
  <c r="M3375" i="27"/>
  <c r="J3375" i="27"/>
  <c r="G3375" i="27"/>
  <c r="T3374" i="27"/>
  <c r="R3374" i="27"/>
  <c r="P3374" i="27"/>
  <c r="N3374" i="27"/>
  <c r="M3374" i="27"/>
  <c r="J3374" i="27"/>
  <c r="G3374" i="27"/>
  <c r="T3373" i="27"/>
  <c r="R3373" i="27"/>
  <c r="P3373" i="27"/>
  <c r="M3373" i="27"/>
  <c r="J3373" i="27"/>
  <c r="G3373" i="27"/>
  <c r="T3372" i="27"/>
  <c r="R3372" i="27"/>
  <c r="P3372" i="27"/>
  <c r="M3372" i="27"/>
  <c r="J3372" i="27"/>
  <c r="G3372" i="27"/>
  <c r="T3371" i="27"/>
  <c r="R3371" i="27"/>
  <c r="P3371" i="27"/>
  <c r="M3371" i="27"/>
  <c r="J3371" i="27"/>
  <c r="G3371" i="27"/>
  <c r="T3370" i="27"/>
  <c r="R3370" i="27"/>
  <c r="U3370" i="27" s="1"/>
  <c r="V3370" i="27" s="1"/>
  <c r="W3370" i="27" s="1"/>
  <c r="P3370" i="27"/>
  <c r="N3370" i="27" s="1"/>
  <c r="M3370" i="27"/>
  <c r="J3370" i="27"/>
  <c r="G3370" i="27"/>
  <c r="T3369" i="27"/>
  <c r="R3369" i="27"/>
  <c r="P3369" i="27"/>
  <c r="M3369" i="27"/>
  <c r="J3369" i="27"/>
  <c r="G3369" i="27"/>
  <c r="T3368" i="27"/>
  <c r="R3368" i="27"/>
  <c r="P3368" i="27"/>
  <c r="N3368" i="27" s="1"/>
  <c r="M3368" i="27"/>
  <c r="J3368" i="27"/>
  <c r="G3368" i="27"/>
  <c r="E3368" i="27" s="1"/>
  <c r="U3367" i="27"/>
  <c r="V3367" i="27" s="1"/>
  <c r="W3367" i="27" s="1"/>
  <c r="T3367" i="27"/>
  <c r="R3367" i="27"/>
  <c r="P3367" i="27"/>
  <c r="M3367" i="27"/>
  <c r="J3367" i="27"/>
  <c r="H3367" i="27"/>
  <c r="G3367" i="27"/>
  <c r="E3367" i="27" s="1"/>
  <c r="T3366" i="27"/>
  <c r="R3366" i="27"/>
  <c r="P3366" i="27"/>
  <c r="M3366" i="27"/>
  <c r="J3366" i="27"/>
  <c r="H3366" i="27" s="1"/>
  <c r="G3366" i="27"/>
  <c r="T3365" i="27"/>
  <c r="R3365" i="27"/>
  <c r="E3365" i="27" s="1"/>
  <c r="P3365" i="27"/>
  <c r="M3365" i="27"/>
  <c r="J3365" i="27"/>
  <c r="G3365" i="27"/>
  <c r="T3364" i="27"/>
  <c r="R3364" i="27"/>
  <c r="P3364" i="27"/>
  <c r="M3364" i="27"/>
  <c r="J3364" i="27"/>
  <c r="G3364" i="27"/>
  <c r="T3363" i="27"/>
  <c r="R3363" i="27"/>
  <c r="H3363" i="27" s="1"/>
  <c r="P3363" i="27"/>
  <c r="N3363" i="27"/>
  <c r="M3363" i="27"/>
  <c r="J3363" i="27"/>
  <c r="G3363" i="27"/>
  <c r="E3363" i="27" s="1"/>
  <c r="T3362" i="27"/>
  <c r="R3362" i="27"/>
  <c r="P3362" i="27"/>
  <c r="M3362" i="27"/>
  <c r="J3362" i="27"/>
  <c r="G3362" i="27"/>
  <c r="T3361" i="27"/>
  <c r="R3361" i="27"/>
  <c r="U3361" i="27" s="1"/>
  <c r="V3361" i="27" s="1"/>
  <c r="W3361" i="27" s="1"/>
  <c r="P3361" i="27"/>
  <c r="M3361" i="27"/>
  <c r="J3361" i="27"/>
  <c r="G3361" i="27"/>
  <c r="E3361" i="27" s="1"/>
  <c r="T3360" i="27"/>
  <c r="R3360" i="27"/>
  <c r="P3360" i="27"/>
  <c r="M3360" i="27"/>
  <c r="J3360" i="27"/>
  <c r="G3360" i="27"/>
  <c r="T3359" i="27"/>
  <c r="R3359" i="27"/>
  <c r="P3359" i="27"/>
  <c r="M3359" i="27"/>
  <c r="J3359" i="27"/>
  <c r="G3359" i="27"/>
  <c r="U3358" i="27"/>
  <c r="V3358" i="27" s="1"/>
  <c r="W3358" i="27" s="1"/>
  <c r="T3358" i="27"/>
  <c r="R3358" i="27"/>
  <c r="P3358" i="27"/>
  <c r="M3358" i="27"/>
  <c r="J3358" i="27"/>
  <c r="G3358" i="27"/>
  <c r="E3358" i="27" s="1"/>
  <c r="T3357" i="27"/>
  <c r="R3357" i="27"/>
  <c r="P3357" i="27"/>
  <c r="M3357" i="27"/>
  <c r="J3357" i="27"/>
  <c r="G3357" i="27"/>
  <c r="T3356" i="27"/>
  <c r="R3356" i="27"/>
  <c r="P3356" i="27"/>
  <c r="M3356" i="27"/>
  <c r="J3356" i="27"/>
  <c r="G3356" i="27"/>
  <c r="T3355" i="27"/>
  <c r="R3355" i="27"/>
  <c r="P3355" i="27"/>
  <c r="M3355" i="27"/>
  <c r="J3355" i="27"/>
  <c r="G3355" i="27"/>
  <c r="V3354" i="27"/>
  <c r="W3354" i="27" s="1"/>
  <c r="U3354" i="27"/>
  <c r="T3354" i="27"/>
  <c r="R3354" i="27"/>
  <c r="P3354" i="27"/>
  <c r="M3354" i="27"/>
  <c r="K3354" i="27" s="1"/>
  <c r="J3354" i="27"/>
  <c r="H3354" i="27" s="1"/>
  <c r="G3354" i="27"/>
  <c r="E3354" i="27" s="1"/>
  <c r="T3353" i="27"/>
  <c r="R3353" i="27"/>
  <c r="P3353" i="27"/>
  <c r="M3353" i="27"/>
  <c r="J3353" i="27"/>
  <c r="G3353" i="27"/>
  <c r="T3352" i="27"/>
  <c r="R3352" i="27"/>
  <c r="P3352" i="27"/>
  <c r="N3352" i="27" s="1"/>
  <c r="M3352" i="27"/>
  <c r="J3352" i="27"/>
  <c r="G3352" i="27"/>
  <c r="T3351" i="27"/>
  <c r="R3351" i="27"/>
  <c r="P3351" i="27"/>
  <c r="M3351" i="27"/>
  <c r="J3351" i="27"/>
  <c r="G3351" i="27"/>
  <c r="T3350" i="27"/>
  <c r="R3350" i="27"/>
  <c r="P3350" i="27"/>
  <c r="M3350" i="27"/>
  <c r="J3350" i="27"/>
  <c r="G3350" i="27"/>
  <c r="T3349" i="27"/>
  <c r="R3349" i="27"/>
  <c r="P3349" i="27"/>
  <c r="M3349" i="27"/>
  <c r="J3349" i="27"/>
  <c r="G3349" i="27"/>
  <c r="T3348" i="27"/>
  <c r="R3348" i="27"/>
  <c r="P3348" i="27"/>
  <c r="M3348" i="27"/>
  <c r="J3348" i="27"/>
  <c r="G3348" i="27"/>
  <c r="U3347" i="27"/>
  <c r="V3347" i="27" s="1"/>
  <c r="W3347" i="27" s="1"/>
  <c r="T3347" i="27"/>
  <c r="R3347" i="27"/>
  <c r="H3347" i="27" s="1"/>
  <c r="P3347" i="27"/>
  <c r="M3347" i="27"/>
  <c r="J3347" i="27"/>
  <c r="G3347" i="27"/>
  <c r="U3346" i="27"/>
  <c r="V3346" i="27" s="1"/>
  <c r="W3346" i="27" s="1"/>
  <c r="T3346" i="27"/>
  <c r="R3346" i="27"/>
  <c r="P3346" i="27"/>
  <c r="N3346" i="27" s="1"/>
  <c r="M3346" i="27"/>
  <c r="K3346" i="27" s="1"/>
  <c r="J3346" i="27"/>
  <c r="G3346" i="27"/>
  <c r="T3345" i="27"/>
  <c r="R3345" i="27"/>
  <c r="P3345" i="27"/>
  <c r="N3345" i="27" s="1"/>
  <c r="M3345" i="27"/>
  <c r="J3345" i="27"/>
  <c r="G3345" i="27"/>
  <c r="E3345" i="27" s="1"/>
  <c r="T3344" i="27"/>
  <c r="R3344" i="27"/>
  <c r="K3344" i="27" s="1"/>
  <c r="P3344" i="27"/>
  <c r="M3344" i="27"/>
  <c r="J3344" i="27"/>
  <c r="G3344" i="27"/>
  <c r="T3343" i="27"/>
  <c r="R3343" i="27"/>
  <c r="P3343" i="27"/>
  <c r="N3343" i="27" s="1"/>
  <c r="M3343" i="27"/>
  <c r="J3343" i="27"/>
  <c r="G3343" i="27"/>
  <c r="T3342" i="27"/>
  <c r="R3342" i="27"/>
  <c r="U3342" i="27" s="1"/>
  <c r="V3342" i="27" s="1"/>
  <c r="W3342" i="27" s="1"/>
  <c r="P3342" i="27"/>
  <c r="M3342" i="27"/>
  <c r="J3342" i="27"/>
  <c r="G3342" i="27"/>
  <c r="U3341" i="27"/>
  <c r="V3341" i="27" s="1"/>
  <c r="W3341" i="27" s="1"/>
  <c r="T3341" i="27"/>
  <c r="R3341" i="27"/>
  <c r="P3341" i="27"/>
  <c r="M3341" i="27"/>
  <c r="K3341" i="27" s="1"/>
  <c r="J3341" i="27"/>
  <c r="G3341" i="27"/>
  <c r="E3341" i="27" s="1"/>
  <c r="T3340" i="27"/>
  <c r="R3340" i="27"/>
  <c r="P3340" i="27"/>
  <c r="M3340" i="27"/>
  <c r="J3340" i="27"/>
  <c r="G3340" i="27"/>
  <c r="T3339" i="27"/>
  <c r="R3339" i="27"/>
  <c r="U3339" i="27" s="1"/>
  <c r="V3339" i="27" s="1"/>
  <c r="W3339" i="27" s="1"/>
  <c r="P3339" i="27"/>
  <c r="M3339" i="27"/>
  <c r="J3339" i="27"/>
  <c r="G3339" i="27"/>
  <c r="T3338" i="27"/>
  <c r="R3338" i="27"/>
  <c r="U3338" i="27" s="1"/>
  <c r="V3338" i="27" s="1"/>
  <c r="W3338" i="27" s="1"/>
  <c r="P3338" i="27"/>
  <c r="M3338" i="27"/>
  <c r="J3338" i="27"/>
  <c r="G3338" i="27"/>
  <c r="T3337" i="27"/>
  <c r="R3337" i="27"/>
  <c r="P3337" i="27"/>
  <c r="M3337" i="27"/>
  <c r="J3337" i="27"/>
  <c r="G3337" i="27"/>
  <c r="E3337" i="27"/>
  <c r="T3336" i="27"/>
  <c r="R3336" i="27"/>
  <c r="P3336" i="27"/>
  <c r="M3336" i="27"/>
  <c r="J3336" i="27"/>
  <c r="G3336" i="27"/>
  <c r="T3335" i="27"/>
  <c r="R3335" i="27"/>
  <c r="P3335" i="27"/>
  <c r="M3335" i="27"/>
  <c r="J3335" i="27"/>
  <c r="G3335" i="27"/>
  <c r="U3334" i="27"/>
  <c r="V3334" i="27" s="1"/>
  <c r="W3334" i="27" s="1"/>
  <c r="T3334" i="27"/>
  <c r="R3334" i="27"/>
  <c r="P3334" i="27"/>
  <c r="N3334" i="27" s="1"/>
  <c r="M3334" i="27"/>
  <c r="J3334" i="27"/>
  <c r="G3334" i="27"/>
  <c r="E3334" i="27" s="1"/>
  <c r="T3333" i="27"/>
  <c r="R3333" i="27"/>
  <c r="P3333" i="27"/>
  <c r="M3333" i="27"/>
  <c r="K3333" i="27" s="1"/>
  <c r="J3333" i="27"/>
  <c r="G3333" i="27"/>
  <c r="T3332" i="27"/>
  <c r="R3332" i="27"/>
  <c r="P3332" i="27"/>
  <c r="M3332" i="27"/>
  <c r="K3332" i="27"/>
  <c r="J3332" i="27"/>
  <c r="G3332" i="27"/>
  <c r="T3331" i="27"/>
  <c r="R3331" i="27"/>
  <c r="N3331" i="27" s="1"/>
  <c r="P3331" i="27"/>
  <c r="M3331" i="27"/>
  <c r="J3331" i="27"/>
  <c r="G3331" i="27"/>
  <c r="T3330" i="27"/>
  <c r="R3330" i="27"/>
  <c r="U3330" i="27" s="1"/>
  <c r="V3330" i="27" s="1"/>
  <c r="W3330" i="27" s="1"/>
  <c r="P3330" i="27"/>
  <c r="M3330" i="27"/>
  <c r="J3330" i="27"/>
  <c r="G3330" i="27"/>
  <c r="E3330" i="27" s="1"/>
  <c r="T3329" i="27"/>
  <c r="R3329" i="27"/>
  <c r="P3329" i="27"/>
  <c r="N3329" i="27" s="1"/>
  <c r="M3329" i="27"/>
  <c r="J3329" i="27"/>
  <c r="G3329" i="27"/>
  <c r="T3328" i="27"/>
  <c r="R3328" i="27"/>
  <c r="P3328" i="27"/>
  <c r="M3328" i="27"/>
  <c r="J3328" i="27"/>
  <c r="G3328" i="27"/>
  <c r="T3327" i="27"/>
  <c r="R3327" i="27"/>
  <c r="P3327" i="27"/>
  <c r="M3327" i="27"/>
  <c r="J3327" i="27"/>
  <c r="G3327" i="27"/>
  <c r="E3327" i="27" s="1"/>
  <c r="T3326" i="27"/>
  <c r="R3326" i="27"/>
  <c r="U3326" i="27" s="1"/>
  <c r="V3326" i="27" s="1"/>
  <c r="W3326" i="27" s="1"/>
  <c r="P3326" i="27"/>
  <c r="M3326" i="27"/>
  <c r="J3326" i="27"/>
  <c r="H3326" i="27" s="1"/>
  <c r="G3326" i="27"/>
  <c r="T3325" i="27"/>
  <c r="R3325" i="27"/>
  <c r="P3325" i="27"/>
  <c r="M3325" i="27"/>
  <c r="J3325" i="27"/>
  <c r="G3325" i="27"/>
  <c r="T3324" i="27"/>
  <c r="R3324" i="27"/>
  <c r="P3324" i="27"/>
  <c r="M3324" i="27"/>
  <c r="J3324" i="27"/>
  <c r="G3324" i="27"/>
  <c r="T3323" i="27"/>
  <c r="R3323" i="27"/>
  <c r="P3323" i="27"/>
  <c r="M3323" i="27"/>
  <c r="J3323" i="27"/>
  <c r="G3323" i="27"/>
  <c r="T3322" i="27"/>
  <c r="R3322" i="27"/>
  <c r="P3322" i="27"/>
  <c r="M3322" i="27"/>
  <c r="J3322" i="27"/>
  <c r="H3322" i="27" s="1"/>
  <c r="G3322" i="27"/>
  <c r="T3321" i="27"/>
  <c r="R3321" i="27"/>
  <c r="U3321" i="27" s="1"/>
  <c r="V3321" i="27" s="1"/>
  <c r="W3321" i="27" s="1"/>
  <c r="P3321" i="27"/>
  <c r="M3321" i="27"/>
  <c r="J3321" i="27"/>
  <c r="G3321" i="27"/>
  <c r="T3320" i="27"/>
  <c r="R3320" i="27"/>
  <c r="N3320" i="27" s="1"/>
  <c r="P3320" i="27"/>
  <c r="M3320" i="27"/>
  <c r="K3320" i="27" s="1"/>
  <c r="J3320" i="27"/>
  <c r="G3320" i="27"/>
  <c r="E3320" i="27" s="1"/>
  <c r="T3319" i="27"/>
  <c r="R3319" i="27"/>
  <c r="P3319" i="27"/>
  <c r="M3319" i="27"/>
  <c r="J3319" i="27"/>
  <c r="G3319" i="27"/>
  <c r="T3318" i="27"/>
  <c r="R3318" i="27"/>
  <c r="P3318" i="27"/>
  <c r="M3318" i="27"/>
  <c r="J3318" i="27"/>
  <c r="G3318" i="27"/>
  <c r="T3317" i="27"/>
  <c r="R3317" i="27"/>
  <c r="K3317" i="27" s="1"/>
  <c r="P3317" i="27"/>
  <c r="M3317" i="27"/>
  <c r="J3317" i="27"/>
  <c r="G3317" i="27"/>
  <c r="U3316" i="27"/>
  <c r="V3316" i="27" s="1"/>
  <c r="W3316" i="27" s="1"/>
  <c r="T3316" i="27"/>
  <c r="R3316" i="27"/>
  <c r="P3316" i="27"/>
  <c r="M3316" i="27"/>
  <c r="K3316" i="27"/>
  <c r="J3316" i="27"/>
  <c r="H3316" i="27" s="1"/>
  <c r="G3316" i="27"/>
  <c r="E3316" i="27" s="1"/>
  <c r="T3315" i="27"/>
  <c r="R3315" i="27"/>
  <c r="P3315" i="27"/>
  <c r="M3315" i="27"/>
  <c r="J3315" i="27"/>
  <c r="G3315" i="27"/>
  <c r="T3314" i="27"/>
  <c r="R3314" i="27"/>
  <c r="P3314" i="27"/>
  <c r="M3314" i="27"/>
  <c r="J3314" i="27"/>
  <c r="G3314" i="27"/>
  <c r="T3313" i="27"/>
  <c r="R3313" i="27"/>
  <c r="U3313" i="27" s="1"/>
  <c r="V3313" i="27" s="1"/>
  <c r="W3313" i="27" s="1"/>
  <c r="P3313" i="27"/>
  <c r="M3313" i="27"/>
  <c r="J3313" i="27"/>
  <c r="G3313" i="27"/>
  <c r="T3312" i="27"/>
  <c r="R3312" i="27"/>
  <c r="P3312" i="27"/>
  <c r="M3312" i="27"/>
  <c r="J3312" i="27"/>
  <c r="G3312" i="27"/>
  <c r="T3311" i="27"/>
  <c r="R3311" i="27"/>
  <c r="U3311" i="27" s="1"/>
  <c r="V3311" i="27" s="1"/>
  <c r="W3311" i="27" s="1"/>
  <c r="P3311" i="27"/>
  <c r="M3311" i="27"/>
  <c r="J3311" i="27"/>
  <c r="H3311" i="27" s="1"/>
  <c r="G3311" i="27"/>
  <c r="E3311" i="27" s="1"/>
  <c r="U3310" i="27"/>
  <c r="V3310" i="27" s="1"/>
  <c r="W3310" i="27" s="1"/>
  <c r="T3310" i="27"/>
  <c r="R3310" i="27"/>
  <c r="P3310" i="27"/>
  <c r="N3310" i="27" s="1"/>
  <c r="M3310" i="27"/>
  <c r="J3310" i="27"/>
  <c r="H3310" i="27" s="1"/>
  <c r="G3310" i="27"/>
  <c r="E3310" i="27" s="1"/>
  <c r="T3309" i="27"/>
  <c r="R3309" i="27"/>
  <c r="N3309" i="27" s="1"/>
  <c r="P3309" i="27"/>
  <c r="M3309" i="27"/>
  <c r="J3309" i="27"/>
  <c r="G3309" i="27"/>
  <c r="T3308" i="27"/>
  <c r="R3308" i="27"/>
  <c r="P3308" i="27"/>
  <c r="M3308" i="27"/>
  <c r="J3308" i="27"/>
  <c r="H3308" i="27"/>
  <c r="G3308" i="27"/>
  <c r="T3307" i="27"/>
  <c r="R3307" i="27"/>
  <c r="P3307" i="27"/>
  <c r="M3307" i="27"/>
  <c r="J3307" i="27"/>
  <c r="G3307" i="27"/>
  <c r="U3306" i="27"/>
  <c r="V3306" i="27" s="1"/>
  <c r="W3306" i="27" s="1"/>
  <c r="T3306" i="27"/>
  <c r="R3306" i="27"/>
  <c r="P3306" i="27"/>
  <c r="N3306" i="27" s="1"/>
  <c r="M3306" i="27"/>
  <c r="K3306" i="27" s="1"/>
  <c r="J3306" i="27"/>
  <c r="G3306" i="27"/>
  <c r="T3305" i="27"/>
  <c r="R3305" i="27"/>
  <c r="U3305" i="27" s="1"/>
  <c r="V3305" i="27" s="1"/>
  <c r="W3305" i="27" s="1"/>
  <c r="P3305" i="27"/>
  <c r="N3305" i="27" s="1"/>
  <c r="M3305" i="27"/>
  <c r="K3305" i="27" s="1"/>
  <c r="J3305" i="27"/>
  <c r="H3305" i="27" s="1"/>
  <c r="G3305" i="27"/>
  <c r="E3305" i="27" s="1"/>
  <c r="T3304" i="27"/>
  <c r="R3304" i="27"/>
  <c r="P3304" i="27"/>
  <c r="N3304" i="27" s="1"/>
  <c r="M3304" i="27"/>
  <c r="J3304" i="27"/>
  <c r="G3304" i="27"/>
  <c r="U3303" i="27"/>
  <c r="V3303" i="27" s="1"/>
  <c r="W3303" i="27" s="1"/>
  <c r="T3303" i="27"/>
  <c r="R3303" i="27"/>
  <c r="P3303" i="27"/>
  <c r="N3303" i="27" s="1"/>
  <c r="M3303" i="27"/>
  <c r="J3303" i="27"/>
  <c r="G3303" i="27"/>
  <c r="T3302" i="27"/>
  <c r="R3302" i="27"/>
  <c r="U3302" i="27" s="1"/>
  <c r="V3302" i="27" s="1"/>
  <c r="W3302" i="27" s="1"/>
  <c r="P3302" i="27"/>
  <c r="M3302" i="27"/>
  <c r="J3302" i="27"/>
  <c r="G3302" i="27"/>
  <c r="T3301" i="27"/>
  <c r="R3301" i="27"/>
  <c r="P3301" i="27"/>
  <c r="M3301" i="27"/>
  <c r="J3301" i="27"/>
  <c r="G3301" i="27"/>
  <c r="T3300" i="27"/>
  <c r="R3300" i="27"/>
  <c r="P3300" i="27"/>
  <c r="M3300" i="27"/>
  <c r="J3300" i="27"/>
  <c r="G3300" i="27"/>
  <c r="T3299" i="27"/>
  <c r="R3299" i="27"/>
  <c r="U3299" i="27" s="1"/>
  <c r="V3299" i="27" s="1"/>
  <c r="W3299" i="27" s="1"/>
  <c r="P3299" i="27"/>
  <c r="M3299" i="27"/>
  <c r="K3299" i="27" s="1"/>
  <c r="J3299" i="27"/>
  <c r="H3299" i="27" s="1"/>
  <c r="G3299" i="27"/>
  <c r="T3298" i="27"/>
  <c r="R3298" i="27"/>
  <c r="P3298" i="27"/>
  <c r="M3298" i="27"/>
  <c r="J3298" i="27"/>
  <c r="G3298" i="27"/>
  <c r="T3297" i="27"/>
  <c r="R3297" i="27"/>
  <c r="P3297" i="27"/>
  <c r="M3297" i="27"/>
  <c r="J3297" i="27"/>
  <c r="G3297" i="27"/>
  <c r="T3296" i="27"/>
  <c r="R3296" i="27"/>
  <c r="P3296" i="27"/>
  <c r="M3296" i="27"/>
  <c r="J3296" i="27"/>
  <c r="G3296" i="27"/>
  <c r="T3295" i="27"/>
  <c r="R3295" i="27"/>
  <c r="P3295" i="27"/>
  <c r="M3295" i="27"/>
  <c r="J3295" i="27"/>
  <c r="G3295" i="27"/>
  <c r="T3294" i="27"/>
  <c r="R3294" i="27"/>
  <c r="P3294" i="27"/>
  <c r="M3294" i="27"/>
  <c r="J3294" i="27"/>
  <c r="G3294" i="27"/>
  <c r="T3293" i="27"/>
  <c r="R3293" i="27"/>
  <c r="P3293" i="27"/>
  <c r="M3293" i="27"/>
  <c r="J3293" i="27"/>
  <c r="G3293" i="27"/>
  <c r="T3292" i="27"/>
  <c r="R3292" i="27"/>
  <c r="P3292" i="27"/>
  <c r="M3292" i="27"/>
  <c r="J3292" i="27"/>
  <c r="G3292" i="27"/>
  <c r="T3291" i="27"/>
  <c r="R3291" i="27"/>
  <c r="H3291" i="27" s="1"/>
  <c r="P3291" i="27"/>
  <c r="M3291" i="27"/>
  <c r="J3291" i="27"/>
  <c r="G3291" i="27"/>
  <c r="T3290" i="27"/>
  <c r="R3290" i="27"/>
  <c r="P3290" i="27"/>
  <c r="M3290" i="27"/>
  <c r="J3290" i="27"/>
  <c r="G3290" i="27"/>
  <c r="T3289" i="27"/>
  <c r="R3289" i="27"/>
  <c r="E3289" i="27" s="1"/>
  <c r="P3289" i="27"/>
  <c r="M3289" i="27"/>
  <c r="J3289" i="27"/>
  <c r="G3289" i="27"/>
  <c r="T3288" i="27"/>
  <c r="R3288" i="27"/>
  <c r="P3288" i="27"/>
  <c r="M3288" i="27"/>
  <c r="J3288" i="27"/>
  <c r="G3288" i="27"/>
  <c r="T3287" i="27"/>
  <c r="R3287" i="27"/>
  <c r="K3287" i="27" s="1"/>
  <c r="P3287" i="27"/>
  <c r="M3287" i="27"/>
  <c r="J3287" i="27"/>
  <c r="G3287" i="27"/>
  <c r="U3286" i="27"/>
  <c r="V3286" i="27" s="1"/>
  <c r="W3286" i="27" s="1"/>
  <c r="T3286" i="27"/>
  <c r="R3286" i="27"/>
  <c r="P3286" i="27"/>
  <c r="M3286" i="27"/>
  <c r="J3286" i="27"/>
  <c r="G3286" i="27"/>
  <c r="T3285" i="27"/>
  <c r="R3285" i="27"/>
  <c r="P3285" i="27"/>
  <c r="M3285" i="27"/>
  <c r="J3285" i="27"/>
  <c r="G3285" i="27"/>
  <c r="T3284" i="27"/>
  <c r="R3284" i="27"/>
  <c r="P3284" i="27"/>
  <c r="M3284" i="27"/>
  <c r="J3284" i="27"/>
  <c r="G3284" i="27"/>
  <c r="T3283" i="27"/>
  <c r="R3283" i="27"/>
  <c r="P3283" i="27"/>
  <c r="M3283" i="27"/>
  <c r="K3283" i="27" s="1"/>
  <c r="J3283" i="27"/>
  <c r="G3283" i="27"/>
  <c r="U3282" i="27"/>
  <c r="V3282" i="27" s="1"/>
  <c r="W3282" i="27" s="1"/>
  <c r="T3282" i="27"/>
  <c r="R3282" i="27"/>
  <c r="H3282" i="27" s="1"/>
  <c r="P3282" i="27"/>
  <c r="M3282" i="27"/>
  <c r="J3282" i="27"/>
  <c r="G3282" i="27"/>
  <c r="E3282" i="27" s="1"/>
  <c r="T3281" i="27"/>
  <c r="R3281" i="27"/>
  <c r="P3281" i="27"/>
  <c r="M3281" i="27"/>
  <c r="J3281" i="27"/>
  <c r="G3281" i="27"/>
  <c r="T3280" i="27"/>
  <c r="R3280" i="27"/>
  <c r="U3280" i="27" s="1"/>
  <c r="V3280" i="27" s="1"/>
  <c r="W3280" i="27" s="1"/>
  <c r="P3280" i="27"/>
  <c r="M3280" i="27"/>
  <c r="J3280" i="27"/>
  <c r="G3280" i="27"/>
  <c r="T3279" i="27"/>
  <c r="R3279" i="27"/>
  <c r="P3279" i="27"/>
  <c r="M3279" i="27"/>
  <c r="J3279" i="27"/>
  <c r="G3279" i="27"/>
  <c r="T3278" i="27"/>
  <c r="R3278" i="27"/>
  <c r="U3278" i="27" s="1"/>
  <c r="V3278" i="27" s="1"/>
  <c r="W3278" i="27" s="1"/>
  <c r="P3278" i="27"/>
  <c r="M3278" i="27"/>
  <c r="K3278" i="27" s="1"/>
  <c r="J3278" i="27"/>
  <c r="H3278" i="27"/>
  <c r="G3278" i="27"/>
  <c r="T3277" i="27"/>
  <c r="R3277" i="27"/>
  <c r="P3277" i="27"/>
  <c r="M3277" i="27"/>
  <c r="J3277" i="27"/>
  <c r="G3277" i="27"/>
  <c r="T3276" i="27"/>
  <c r="R3276" i="27"/>
  <c r="P3276" i="27"/>
  <c r="M3276" i="27"/>
  <c r="J3276" i="27"/>
  <c r="G3276" i="27"/>
  <c r="T3275" i="27"/>
  <c r="R3275" i="27"/>
  <c r="K3275" i="27" s="1"/>
  <c r="P3275" i="27"/>
  <c r="N3275" i="27" s="1"/>
  <c r="M3275" i="27"/>
  <c r="J3275" i="27"/>
  <c r="G3275" i="27"/>
  <c r="T3274" i="27"/>
  <c r="R3274" i="27"/>
  <c r="P3274" i="27"/>
  <c r="M3274" i="27"/>
  <c r="J3274" i="27"/>
  <c r="G3274" i="27"/>
  <c r="T3273" i="27"/>
  <c r="R3273" i="27"/>
  <c r="P3273" i="27"/>
  <c r="M3273" i="27"/>
  <c r="J3273" i="27"/>
  <c r="H3273" i="27" s="1"/>
  <c r="G3273" i="27"/>
  <c r="T3272" i="27"/>
  <c r="R3272" i="27"/>
  <c r="P3272" i="27"/>
  <c r="M3272" i="27"/>
  <c r="J3272" i="27"/>
  <c r="G3272" i="27"/>
  <c r="T3271" i="27"/>
  <c r="R3271" i="27"/>
  <c r="P3271" i="27"/>
  <c r="M3271" i="27"/>
  <c r="J3271" i="27"/>
  <c r="G3271" i="27"/>
  <c r="U3270" i="27"/>
  <c r="V3270" i="27" s="1"/>
  <c r="W3270" i="27" s="1"/>
  <c r="T3270" i="27"/>
  <c r="R3270" i="27"/>
  <c r="P3270" i="27"/>
  <c r="M3270" i="27"/>
  <c r="J3270" i="27"/>
  <c r="G3270" i="27"/>
  <c r="E3270" i="27" s="1"/>
  <c r="T3269" i="27"/>
  <c r="R3269" i="27"/>
  <c r="P3269" i="27"/>
  <c r="M3269" i="27"/>
  <c r="J3269" i="27"/>
  <c r="G3269" i="27"/>
  <c r="T3268" i="27"/>
  <c r="R3268" i="27"/>
  <c r="P3268" i="27"/>
  <c r="M3268" i="27"/>
  <c r="J3268" i="27"/>
  <c r="G3268" i="27"/>
  <c r="T3267" i="27"/>
  <c r="R3267" i="27"/>
  <c r="E3267" i="27" s="1"/>
  <c r="P3267" i="27"/>
  <c r="M3267" i="27"/>
  <c r="J3267" i="27"/>
  <c r="G3267" i="27"/>
  <c r="T3266" i="27"/>
  <c r="R3266" i="27"/>
  <c r="P3266" i="27"/>
  <c r="M3266" i="27"/>
  <c r="J3266" i="27"/>
  <c r="G3266" i="27"/>
  <c r="T3265" i="27"/>
  <c r="R3265" i="27"/>
  <c r="P3265" i="27"/>
  <c r="M3265" i="27"/>
  <c r="J3265" i="27"/>
  <c r="G3265" i="27"/>
  <c r="T3264" i="27"/>
  <c r="R3264" i="27"/>
  <c r="U3264" i="27" s="1"/>
  <c r="V3264" i="27" s="1"/>
  <c r="W3264" i="27" s="1"/>
  <c r="P3264" i="27"/>
  <c r="M3264" i="27"/>
  <c r="J3264" i="27"/>
  <c r="G3264" i="27"/>
  <c r="U3263" i="27"/>
  <c r="V3263" i="27" s="1"/>
  <c r="W3263" i="27" s="1"/>
  <c r="T3263" i="27"/>
  <c r="R3263" i="27"/>
  <c r="K3263" i="27" s="1"/>
  <c r="P3263" i="27"/>
  <c r="M3263" i="27"/>
  <c r="J3263" i="27"/>
  <c r="G3263" i="27"/>
  <c r="T3262" i="27"/>
  <c r="R3262" i="27"/>
  <c r="P3262" i="27"/>
  <c r="M3262" i="27"/>
  <c r="J3262" i="27"/>
  <c r="G3262" i="27"/>
  <c r="T3261" i="27"/>
  <c r="R3261" i="27"/>
  <c r="P3261" i="27"/>
  <c r="M3261" i="27"/>
  <c r="J3261" i="27"/>
  <c r="G3261" i="27"/>
  <c r="T3260" i="27"/>
  <c r="R3260" i="27"/>
  <c r="P3260" i="27"/>
  <c r="N3260" i="27" s="1"/>
  <c r="M3260" i="27"/>
  <c r="J3260" i="27"/>
  <c r="G3260" i="27"/>
  <c r="T3259" i="27"/>
  <c r="R3259" i="27"/>
  <c r="P3259" i="27"/>
  <c r="M3259" i="27"/>
  <c r="J3259" i="27"/>
  <c r="G3259" i="27"/>
  <c r="T3258" i="27"/>
  <c r="R3258" i="27"/>
  <c r="P3258" i="27"/>
  <c r="M3258" i="27"/>
  <c r="J3258" i="27"/>
  <c r="G3258" i="27"/>
  <c r="T3257" i="27"/>
  <c r="R3257" i="27"/>
  <c r="P3257" i="27"/>
  <c r="M3257" i="27"/>
  <c r="J3257" i="27"/>
  <c r="G3257" i="27"/>
  <c r="T3256" i="27"/>
  <c r="R3256" i="27"/>
  <c r="P3256" i="27"/>
  <c r="M3256" i="27"/>
  <c r="J3256" i="27"/>
  <c r="G3256" i="27"/>
  <c r="T3255" i="27"/>
  <c r="R3255" i="27"/>
  <c r="P3255" i="27"/>
  <c r="M3255" i="27"/>
  <c r="J3255" i="27"/>
  <c r="G3255" i="27"/>
  <c r="U3254" i="27"/>
  <c r="V3254" i="27" s="1"/>
  <c r="W3254" i="27" s="1"/>
  <c r="T3254" i="27"/>
  <c r="R3254" i="27"/>
  <c r="P3254" i="27"/>
  <c r="M3254" i="27"/>
  <c r="K3254" i="27" s="1"/>
  <c r="J3254" i="27"/>
  <c r="H3254" i="27"/>
  <c r="G3254" i="27"/>
  <c r="E3254" i="27" s="1"/>
  <c r="U3253" i="27"/>
  <c r="V3253" i="27" s="1"/>
  <c r="W3253" i="27" s="1"/>
  <c r="T3253" i="27"/>
  <c r="R3253" i="27"/>
  <c r="P3253" i="27"/>
  <c r="M3253" i="27"/>
  <c r="J3253" i="27"/>
  <c r="H3253" i="27" s="1"/>
  <c r="G3253" i="27"/>
  <c r="E3253" i="27" s="1"/>
  <c r="T3252" i="27"/>
  <c r="R3252" i="27"/>
  <c r="E3252" i="27" s="1"/>
  <c r="P3252" i="27"/>
  <c r="M3252" i="27"/>
  <c r="J3252" i="27"/>
  <c r="G3252" i="27"/>
  <c r="T3251" i="27"/>
  <c r="R3251" i="27"/>
  <c r="P3251" i="27"/>
  <c r="M3251" i="27"/>
  <c r="J3251" i="27"/>
  <c r="G3251" i="27"/>
  <c r="T3250" i="27"/>
  <c r="R3250" i="27"/>
  <c r="P3250" i="27"/>
  <c r="M3250" i="27"/>
  <c r="J3250" i="27"/>
  <c r="G3250" i="27"/>
  <c r="T3249" i="27"/>
  <c r="R3249" i="27"/>
  <c r="U3249" i="27" s="1"/>
  <c r="V3249" i="27" s="1"/>
  <c r="W3249" i="27" s="1"/>
  <c r="P3249" i="27"/>
  <c r="M3249" i="27"/>
  <c r="J3249" i="27"/>
  <c r="G3249" i="27"/>
  <c r="E3249" i="27" s="1"/>
  <c r="T3248" i="27"/>
  <c r="R3248" i="27"/>
  <c r="U3248" i="27" s="1"/>
  <c r="V3248" i="27" s="1"/>
  <c r="W3248" i="27" s="1"/>
  <c r="P3248" i="27"/>
  <c r="M3248" i="27"/>
  <c r="K3248" i="27" s="1"/>
  <c r="J3248" i="27"/>
  <c r="G3248" i="27"/>
  <c r="E3248" i="27" s="1"/>
  <c r="T3247" i="27"/>
  <c r="R3247" i="27"/>
  <c r="P3247" i="27"/>
  <c r="M3247" i="27"/>
  <c r="J3247" i="27"/>
  <c r="G3247" i="27"/>
  <c r="U3246" i="27"/>
  <c r="V3246" i="27" s="1"/>
  <c r="W3246" i="27" s="1"/>
  <c r="T3246" i="27"/>
  <c r="R3246" i="27"/>
  <c r="P3246" i="27"/>
  <c r="M3246" i="27"/>
  <c r="K3246" i="27" s="1"/>
  <c r="J3246" i="27"/>
  <c r="G3246" i="27"/>
  <c r="E3246" i="27" s="1"/>
  <c r="T3245" i="27"/>
  <c r="R3245" i="27"/>
  <c r="P3245" i="27"/>
  <c r="M3245" i="27"/>
  <c r="J3245" i="27"/>
  <c r="G3245" i="27"/>
  <c r="T3244" i="27"/>
  <c r="R3244" i="27"/>
  <c r="K3244" i="27" s="1"/>
  <c r="P3244" i="27"/>
  <c r="M3244" i="27"/>
  <c r="J3244" i="27"/>
  <c r="G3244" i="27"/>
  <c r="T3243" i="27"/>
  <c r="R3243" i="27"/>
  <c r="P3243" i="27"/>
  <c r="N3243" i="27"/>
  <c r="M3243" i="27"/>
  <c r="J3243" i="27"/>
  <c r="G3243" i="27"/>
  <c r="E3243" i="27" s="1"/>
  <c r="T3242" i="27"/>
  <c r="R3242" i="27"/>
  <c r="U3242" i="27" s="1"/>
  <c r="V3242" i="27" s="1"/>
  <c r="W3242" i="27" s="1"/>
  <c r="P3242" i="27"/>
  <c r="M3242" i="27"/>
  <c r="J3242" i="27"/>
  <c r="G3242" i="27"/>
  <c r="E3242" i="27" s="1"/>
  <c r="T3241" i="27"/>
  <c r="R3241" i="27"/>
  <c r="U3241" i="27" s="1"/>
  <c r="V3241" i="27" s="1"/>
  <c r="W3241" i="27" s="1"/>
  <c r="P3241" i="27"/>
  <c r="M3241" i="27"/>
  <c r="J3241" i="27"/>
  <c r="H3241" i="27" s="1"/>
  <c r="G3241" i="27"/>
  <c r="E3241" i="27" s="1"/>
  <c r="T3240" i="27"/>
  <c r="R3240" i="27"/>
  <c r="P3240" i="27"/>
  <c r="M3240" i="27"/>
  <c r="K3240" i="27" s="1"/>
  <c r="J3240" i="27"/>
  <c r="G3240" i="27"/>
  <c r="E3240" i="27" s="1"/>
  <c r="T3239" i="27"/>
  <c r="R3239" i="27"/>
  <c r="P3239" i="27"/>
  <c r="N3239" i="27" s="1"/>
  <c r="M3239" i="27"/>
  <c r="J3239" i="27"/>
  <c r="G3239" i="27"/>
  <c r="U3238" i="27"/>
  <c r="V3238" i="27" s="1"/>
  <c r="W3238" i="27" s="1"/>
  <c r="T3238" i="27"/>
  <c r="R3238" i="27"/>
  <c r="P3238" i="27"/>
  <c r="M3238" i="27"/>
  <c r="K3238" i="27" s="1"/>
  <c r="J3238" i="27"/>
  <c r="G3238" i="27"/>
  <c r="E3238" i="27" s="1"/>
  <c r="V3237" i="27"/>
  <c r="W3237" i="27" s="1"/>
  <c r="U3237" i="27"/>
  <c r="T3237" i="27"/>
  <c r="R3237" i="27"/>
  <c r="P3237" i="27"/>
  <c r="M3237" i="27"/>
  <c r="J3237" i="27"/>
  <c r="H3237" i="27" s="1"/>
  <c r="G3237" i="27"/>
  <c r="E3237" i="27" s="1"/>
  <c r="T3236" i="27"/>
  <c r="R3236" i="27"/>
  <c r="P3236" i="27"/>
  <c r="M3236" i="27"/>
  <c r="J3236" i="27"/>
  <c r="G3236" i="27"/>
  <c r="T3235" i="27"/>
  <c r="R3235" i="27"/>
  <c r="P3235" i="27"/>
  <c r="M3235" i="27"/>
  <c r="J3235" i="27"/>
  <c r="G3235" i="27"/>
  <c r="T3234" i="27"/>
  <c r="R3234" i="27"/>
  <c r="P3234" i="27"/>
  <c r="M3234" i="27"/>
  <c r="J3234" i="27"/>
  <c r="H3234" i="27" s="1"/>
  <c r="G3234" i="27"/>
  <c r="E3234" i="27" s="1"/>
  <c r="T3233" i="27"/>
  <c r="R3233" i="27"/>
  <c r="P3233" i="27"/>
  <c r="M3233" i="27"/>
  <c r="J3233" i="27"/>
  <c r="H3233" i="27" s="1"/>
  <c r="G3233" i="27"/>
  <c r="T3232" i="27"/>
  <c r="R3232" i="27"/>
  <c r="P3232" i="27"/>
  <c r="M3232" i="27"/>
  <c r="J3232" i="27"/>
  <c r="G3232" i="27"/>
  <c r="T3231" i="27"/>
  <c r="R3231" i="27"/>
  <c r="P3231" i="27"/>
  <c r="M3231" i="27"/>
  <c r="J3231" i="27"/>
  <c r="G3231" i="27"/>
  <c r="V3230" i="27"/>
  <c r="W3230" i="27" s="1"/>
  <c r="T3230" i="27"/>
  <c r="R3230" i="27"/>
  <c r="P3230" i="27"/>
  <c r="M3230" i="27"/>
  <c r="J3230" i="27"/>
  <c r="G3230" i="27"/>
  <c r="V3229" i="27"/>
  <c r="W3229" i="27" s="1"/>
  <c r="T3229" i="27"/>
  <c r="R3229" i="27"/>
  <c r="P3229" i="27"/>
  <c r="M3229" i="27"/>
  <c r="J3229" i="27"/>
  <c r="G3229" i="27"/>
  <c r="V3228" i="27"/>
  <c r="W3228" i="27" s="1"/>
  <c r="T3228" i="27"/>
  <c r="R3228" i="27"/>
  <c r="K3228" i="27" s="1"/>
  <c r="P3228" i="27"/>
  <c r="N3228" i="27"/>
  <c r="M3228" i="27"/>
  <c r="J3228" i="27"/>
  <c r="G3228" i="27"/>
  <c r="E3228" i="27" s="1"/>
  <c r="V3227" i="27"/>
  <c r="W3227" i="27" s="1"/>
  <c r="T3227" i="27"/>
  <c r="R3227" i="27"/>
  <c r="P3227" i="27"/>
  <c r="M3227" i="27"/>
  <c r="J3227" i="27"/>
  <c r="G3227" i="27"/>
  <c r="V3226" i="27"/>
  <c r="W3226" i="27" s="1"/>
  <c r="T3226" i="27"/>
  <c r="R3226" i="27"/>
  <c r="P3226" i="27"/>
  <c r="M3226" i="27"/>
  <c r="J3226" i="27"/>
  <c r="G3226" i="27"/>
  <c r="V3225" i="27"/>
  <c r="W3225" i="27" s="1"/>
  <c r="T3225" i="27"/>
  <c r="R3225" i="27"/>
  <c r="P3225" i="27"/>
  <c r="M3225" i="27"/>
  <c r="J3225" i="27"/>
  <c r="G3225" i="27"/>
  <c r="E3225" i="27" s="1"/>
  <c r="V3224" i="27"/>
  <c r="W3224" i="27" s="1"/>
  <c r="T3224" i="27"/>
  <c r="R3224" i="27"/>
  <c r="P3224" i="27"/>
  <c r="M3224" i="27"/>
  <c r="J3224" i="27"/>
  <c r="G3224" i="27"/>
  <c r="V3223" i="27"/>
  <c r="W3223" i="27" s="1"/>
  <c r="T3223" i="27"/>
  <c r="R3223" i="27"/>
  <c r="P3223" i="27"/>
  <c r="M3223" i="27"/>
  <c r="J3223" i="27"/>
  <c r="G3223" i="27"/>
  <c r="T3222" i="27"/>
  <c r="R3222" i="27"/>
  <c r="P3222" i="27"/>
  <c r="M3222" i="27"/>
  <c r="J3222" i="27"/>
  <c r="G3222" i="27"/>
  <c r="T3221" i="27"/>
  <c r="R3221" i="27"/>
  <c r="P3221" i="27"/>
  <c r="M3221" i="27"/>
  <c r="J3221" i="27"/>
  <c r="H3221" i="27" s="1"/>
  <c r="G3221" i="27"/>
  <c r="E3221" i="27" s="1"/>
  <c r="U3220" i="27"/>
  <c r="V3220" i="27" s="1"/>
  <c r="W3220" i="27" s="1"/>
  <c r="T3220" i="27"/>
  <c r="R3220" i="27"/>
  <c r="P3220" i="27"/>
  <c r="M3220" i="27"/>
  <c r="J3220" i="27"/>
  <c r="G3220" i="27"/>
  <c r="E3220" i="27"/>
  <c r="U3218" i="27"/>
  <c r="V3218" i="27" s="1"/>
  <c r="W3218" i="27" s="1"/>
  <c r="P3218" i="27"/>
  <c r="N3218" i="27" s="1"/>
  <c r="M3218" i="27"/>
  <c r="K3218" i="27" s="1"/>
  <c r="J3218" i="27"/>
  <c r="H3218" i="27" s="1"/>
  <c r="G3218" i="27"/>
  <c r="E3218" i="27" s="1"/>
  <c r="U3217" i="27"/>
  <c r="V3217" i="27" s="1"/>
  <c r="W3217" i="27" s="1"/>
  <c r="P3217" i="27"/>
  <c r="N3217" i="27" s="1"/>
  <c r="M3217" i="27"/>
  <c r="K3217" i="27" s="1"/>
  <c r="J3217" i="27"/>
  <c r="H3217" i="27" s="1"/>
  <c r="G3217" i="27"/>
  <c r="E3217" i="27" s="1"/>
  <c r="U3216" i="27"/>
  <c r="V3216" i="27" s="1"/>
  <c r="W3216" i="27" s="1"/>
  <c r="P3216" i="27"/>
  <c r="N3216" i="27" s="1"/>
  <c r="M3216" i="27"/>
  <c r="K3216" i="27" s="1"/>
  <c r="J3216" i="27"/>
  <c r="H3216" i="27" s="1"/>
  <c r="G3216" i="27"/>
  <c r="E3216" i="27" s="1"/>
  <c r="U3215" i="27"/>
  <c r="V3215" i="27" s="1"/>
  <c r="W3215" i="27" s="1"/>
  <c r="P3215" i="27"/>
  <c r="N3215" i="27" s="1"/>
  <c r="M3215" i="27"/>
  <c r="K3215" i="27" s="1"/>
  <c r="J3215" i="27"/>
  <c r="H3215" i="27" s="1"/>
  <c r="G3215" i="27"/>
  <c r="E3215" i="27" s="1"/>
  <c r="U3214" i="27"/>
  <c r="V3214" i="27" s="1"/>
  <c r="W3214" i="27" s="1"/>
  <c r="P3214" i="27"/>
  <c r="N3214" i="27" s="1"/>
  <c r="M3214" i="27"/>
  <c r="K3214" i="27" s="1"/>
  <c r="J3214" i="27"/>
  <c r="H3214" i="27" s="1"/>
  <c r="G3214" i="27"/>
  <c r="E3214" i="27" s="1"/>
  <c r="U3213" i="27"/>
  <c r="V3213" i="27" s="1"/>
  <c r="W3213" i="27" s="1"/>
  <c r="P3213" i="27"/>
  <c r="N3213" i="27" s="1"/>
  <c r="M3213" i="27"/>
  <c r="K3213" i="27" s="1"/>
  <c r="J3213" i="27"/>
  <c r="H3213" i="27" s="1"/>
  <c r="G3213" i="27"/>
  <c r="E3213" i="27" s="1"/>
  <c r="U3212" i="27"/>
  <c r="V3212" i="27" s="1"/>
  <c r="W3212" i="27" s="1"/>
  <c r="P3212" i="27"/>
  <c r="N3212" i="27" s="1"/>
  <c r="M3212" i="27"/>
  <c r="K3212" i="27"/>
  <c r="J3212" i="27"/>
  <c r="H3212" i="27" s="1"/>
  <c r="G3212" i="27"/>
  <c r="E3212" i="27" s="1"/>
  <c r="V3211" i="27"/>
  <c r="W3211" i="27" s="1"/>
  <c r="U3211" i="27"/>
  <c r="P3211" i="27"/>
  <c r="N3211" i="27" s="1"/>
  <c r="M3211" i="27"/>
  <c r="K3211" i="27" s="1"/>
  <c r="J3211" i="27"/>
  <c r="H3211" i="27"/>
  <c r="G3211" i="27"/>
  <c r="E3211" i="27" s="1"/>
  <c r="V3210" i="27"/>
  <c r="W3210" i="27" s="1"/>
  <c r="U3210" i="27"/>
  <c r="P3210" i="27"/>
  <c r="N3210" i="27" s="1"/>
  <c r="M3210" i="27"/>
  <c r="K3210" i="27" s="1"/>
  <c r="J3210" i="27"/>
  <c r="H3210" i="27" s="1"/>
  <c r="G3210" i="27"/>
  <c r="E3210" i="27" s="1"/>
  <c r="V3209" i="27"/>
  <c r="W3209" i="27" s="1"/>
  <c r="U3209" i="27"/>
  <c r="P3209" i="27"/>
  <c r="N3209" i="27" s="1"/>
  <c r="M3209" i="27"/>
  <c r="K3209" i="27" s="1"/>
  <c r="J3209" i="27"/>
  <c r="H3209" i="27" s="1"/>
  <c r="G3209" i="27"/>
  <c r="E3209" i="27" s="1"/>
  <c r="U3208" i="27"/>
  <c r="V3208" i="27" s="1"/>
  <c r="W3208" i="27" s="1"/>
  <c r="P3208" i="27"/>
  <c r="N3208" i="27" s="1"/>
  <c r="M3208" i="27"/>
  <c r="K3208" i="27" s="1"/>
  <c r="J3208" i="27"/>
  <c r="H3208" i="27" s="1"/>
  <c r="G3208" i="27"/>
  <c r="E3208" i="27" s="1"/>
  <c r="U3207" i="27"/>
  <c r="V3207" i="27" s="1"/>
  <c r="W3207" i="27" s="1"/>
  <c r="P3207" i="27"/>
  <c r="N3207" i="27"/>
  <c r="M3207" i="27"/>
  <c r="K3207" i="27" s="1"/>
  <c r="J3207" i="27"/>
  <c r="H3207" i="27" s="1"/>
  <c r="G3207" i="27"/>
  <c r="E3207" i="27" s="1"/>
  <c r="U3206" i="27"/>
  <c r="V3206" i="27" s="1"/>
  <c r="W3206" i="27" s="1"/>
  <c r="P3206" i="27"/>
  <c r="N3206" i="27" s="1"/>
  <c r="M3206" i="27"/>
  <c r="K3206" i="27" s="1"/>
  <c r="J3206" i="27"/>
  <c r="H3206" i="27" s="1"/>
  <c r="G3206" i="27"/>
  <c r="E3206" i="27" s="1"/>
  <c r="U3205" i="27"/>
  <c r="V3205" i="27" s="1"/>
  <c r="W3205" i="27" s="1"/>
  <c r="P3205" i="27"/>
  <c r="N3205" i="27" s="1"/>
  <c r="M3205" i="27"/>
  <c r="K3205" i="27" s="1"/>
  <c r="J3205" i="27"/>
  <c r="H3205" i="27" s="1"/>
  <c r="G3205" i="27"/>
  <c r="E3205" i="27" s="1"/>
  <c r="U3204" i="27"/>
  <c r="V3204" i="27" s="1"/>
  <c r="W3204" i="27" s="1"/>
  <c r="P3204" i="27"/>
  <c r="N3204" i="27" s="1"/>
  <c r="M3204" i="27"/>
  <c r="K3204" i="27" s="1"/>
  <c r="J3204" i="27"/>
  <c r="H3204" i="27" s="1"/>
  <c r="G3204" i="27"/>
  <c r="E3204" i="27" s="1"/>
  <c r="U3203" i="27"/>
  <c r="V3203" i="27" s="1"/>
  <c r="W3203" i="27" s="1"/>
  <c r="P3203" i="27"/>
  <c r="N3203" i="27" s="1"/>
  <c r="M3203" i="27"/>
  <c r="K3203" i="27" s="1"/>
  <c r="J3203" i="27"/>
  <c r="H3203" i="27" s="1"/>
  <c r="G3203" i="27"/>
  <c r="E3203" i="27" s="1"/>
  <c r="V3202" i="27"/>
  <c r="W3202" i="27" s="1"/>
  <c r="U3202" i="27"/>
  <c r="P3202" i="27"/>
  <c r="N3202" i="27" s="1"/>
  <c r="M3202" i="27"/>
  <c r="K3202" i="27" s="1"/>
  <c r="J3202" i="27"/>
  <c r="H3202" i="27" s="1"/>
  <c r="G3202" i="27"/>
  <c r="E3202" i="27" s="1"/>
  <c r="U3201" i="27"/>
  <c r="V3201" i="27" s="1"/>
  <c r="W3201" i="27" s="1"/>
  <c r="P3201" i="27"/>
  <c r="N3201" i="27" s="1"/>
  <c r="M3201" i="27"/>
  <c r="K3201" i="27" s="1"/>
  <c r="J3201" i="27"/>
  <c r="H3201" i="27" s="1"/>
  <c r="G3201" i="27"/>
  <c r="E3201" i="27" s="1"/>
  <c r="U3200" i="27"/>
  <c r="V3200" i="27" s="1"/>
  <c r="W3200" i="27" s="1"/>
  <c r="P3200" i="27"/>
  <c r="N3200" i="27" s="1"/>
  <c r="M3200" i="27"/>
  <c r="K3200" i="27" s="1"/>
  <c r="J3200" i="27"/>
  <c r="H3200" i="27"/>
  <c r="G3200" i="27"/>
  <c r="E3200" i="27" s="1"/>
  <c r="U3199" i="27"/>
  <c r="V3199" i="27" s="1"/>
  <c r="W3199" i="27" s="1"/>
  <c r="P3199" i="27"/>
  <c r="N3199" i="27" s="1"/>
  <c r="M3199" i="27"/>
  <c r="K3199" i="27" s="1"/>
  <c r="J3199" i="27"/>
  <c r="H3199" i="27" s="1"/>
  <c r="G3199" i="27"/>
  <c r="E3199" i="27" s="1"/>
  <c r="U3198" i="27"/>
  <c r="V3198" i="27" s="1"/>
  <c r="W3198" i="27" s="1"/>
  <c r="P3198" i="27"/>
  <c r="N3198" i="27"/>
  <c r="M3198" i="27"/>
  <c r="K3198" i="27" s="1"/>
  <c r="J3198" i="27"/>
  <c r="H3198" i="27" s="1"/>
  <c r="G3198" i="27"/>
  <c r="E3198" i="27" s="1"/>
  <c r="V3197" i="27"/>
  <c r="W3197" i="27" s="1"/>
  <c r="U3197" i="27"/>
  <c r="P3197" i="27"/>
  <c r="N3197" i="27" s="1"/>
  <c r="M3197" i="27"/>
  <c r="K3197" i="27"/>
  <c r="J3197" i="27"/>
  <c r="H3197" i="27" s="1"/>
  <c r="G3197" i="27"/>
  <c r="E3197" i="27" s="1"/>
  <c r="U3196" i="27"/>
  <c r="V3196" i="27" s="1"/>
  <c r="W3196" i="27" s="1"/>
  <c r="P3196" i="27"/>
  <c r="N3196" i="27" s="1"/>
  <c r="M3196" i="27"/>
  <c r="K3196" i="27"/>
  <c r="J3196" i="27"/>
  <c r="H3196" i="27" s="1"/>
  <c r="G3196" i="27"/>
  <c r="E3196" i="27" s="1"/>
  <c r="U3195" i="27"/>
  <c r="V3195" i="27" s="1"/>
  <c r="W3195" i="27" s="1"/>
  <c r="P3195" i="27"/>
  <c r="N3195" i="27" s="1"/>
  <c r="M3195" i="27"/>
  <c r="K3195" i="27" s="1"/>
  <c r="J3195" i="27"/>
  <c r="H3195" i="27" s="1"/>
  <c r="G3195" i="27"/>
  <c r="E3195" i="27" s="1"/>
  <c r="U3194" i="27"/>
  <c r="V3194" i="27" s="1"/>
  <c r="W3194" i="27" s="1"/>
  <c r="P3194" i="27"/>
  <c r="N3194" i="27" s="1"/>
  <c r="M3194" i="27"/>
  <c r="K3194" i="27" s="1"/>
  <c r="J3194" i="27"/>
  <c r="H3194" i="27" s="1"/>
  <c r="G3194" i="27"/>
  <c r="E3194" i="27" s="1"/>
  <c r="U3193" i="27"/>
  <c r="V3193" i="27" s="1"/>
  <c r="W3193" i="27" s="1"/>
  <c r="P3193" i="27"/>
  <c r="N3193" i="27" s="1"/>
  <c r="M3193" i="27"/>
  <c r="K3193" i="27" s="1"/>
  <c r="J3193" i="27"/>
  <c r="H3193" i="27" s="1"/>
  <c r="G3193" i="27"/>
  <c r="E3193" i="27" s="1"/>
  <c r="R3192" i="27"/>
  <c r="P3192" i="27"/>
  <c r="N3192" i="27" s="1"/>
  <c r="M3192" i="27"/>
  <c r="J3192" i="27"/>
  <c r="G3192" i="27"/>
  <c r="U3191" i="27"/>
  <c r="V3191" i="27" s="1"/>
  <c r="W3191" i="27" s="1"/>
  <c r="P3191" i="27"/>
  <c r="N3191" i="27" s="1"/>
  <c r="M3191" i="27"/>
  <c r="K3191" i="27" s="1"/>
  <c r="J3191" i="27"/>
  <c r="H3191" i="27" s="1"/>
  <c r="G3191" i="27"/>
  <c r="E3191" i="27"/>
  <c r="V3190" i="27"/>
  <c r="W3190" i="27" s="1"/>
  <c r="U3190" i="27"/>
  <c r="P3190" i="27"/>
  <c r="N3190" i="27" s="1"/>
  <c r="M3190" i="27"/>
  <c r="K3190" i="27" s="1"/>
  <c r="J3190" i="27"/>
  <c r="H3190" i="27" s="1"/>
  <c r="G3190" i="27"/>
  <c r="E3190" i="27" s="1"/>
  <c r="V3189" i="27"/>
  <c r="W3189" i="27" s="1"/>
  <c r="U3189" i="27"/>
  <c r="P3189" i="27"/>
  <c r="N3189" i="27" s="1"/>
  <c r="M3189" i="27"/>
  <c r="K3189" i="27" s="1"/>
  <c r="J3189" i="27"/>
  <c r="H3189" i="27" s="1"/>
  <c r="G3189" i="27"/>
  <c r="E3189" i="27" s="1"/>
  <c r="W3188" i="27"/>
  <c r="U3188" i="27"/>
  <c r="V3188" i="27" s="1"/>
  <c r="P3188" i="27"/>
  <c r="N3188" i="27" s="1"/>
  <c r="M3188" i="27"/>
  <c r="K3188" i="27" s="1"/>
  <c r="J3188" i="27"/>
  <c r="H3188" i="27" s="1"/>
  <c r="G3188" i="27"/>
  <c r="E3188" i="27" s="1"/>
  <c r="U3187" i="27"/>
  <c r="V3187" i="27" s="1"/>
  <c r="W3187" i="27" s="1"/>
  <c r="P3187" i="27"/>
  <c r="N3187" i="27" s="1"/>
  <c r="M3187" i="27"/>
  <c r="K3187" i="27" s="1"/>
  <c r="J3187" i="27"/>
  <c r="H3187" i="27" s="1"/>
  <c r="G3187" i="27"/>
  <c r="E3187" i="27"/>
  <c r="V3186" i="27"/>
  <c r="W3186" i="27" s="1"/>
  <c r="U3186" i="27"/>
  <c r="P3186" i="27"/>
  <c r="N3186" i="27"/>
  <c r="M3186" i="27"/>
  <c r="K3186" i="27" s="1"/>
  <c r="J3186" i="27"/>
  <c r="H3186" i="27" s="1"/>
  <c r="G3186" i="27"/>
  <c r="E3186" i="27" s="1"/>
  <c r="U3185" i="27"/>
  <c r="V3185" i="27" s="1"/>
  <c r="W3185" i="27" s="1"/>
  <c r="P3185" i="27"/>
  <c r="N3185" i="27" s="1"/>
  <c r="M3185" i="27"/>
  <c r="K3185" i="27"/>
  <c r="J3185" i="27"/>
  <c r="H3185" i="27" s="1"/>
  <c r="G3185" i="27"/>
  <c r="E3185" i="27" s="1"/>
  <c r="U3184" i="27"/>
  <c r="V3184" i="27" s="1"/>
  <c r="W3184" i="27" s="1"/>
  <c r="P3184" i="27"/>
  <c r="N3184" i="27" s="1"/>
  <c r="M3184" i="27"/>
  <c r="K3184" i="27" s="1"/>
  <c r="J3184" i="27"/>
  <c r="H3184" i="27" s="1"/>
  <c r="G3184" i="27"/>
  <c r="E3184" i="27" s="1"/>
  <c r="V3182" i="27"/>
  <c r="W3182" i="27" s="1"/>
  <c r="U3182" i="27"/>
  <c r="P3182" i="27"/>
  <c r="N3182" i="27" s="1"/>
  <c r="M3182" i="27"/>
  <c r="K3182" i="27" s="1"/>
  <c r="J3182" i="27"/>
  <c r="H3182" i="27"/>
  <c r="G3182" i="27"/>
  <c r="E3182" i="27" s="1"/>
  <c r="W3181" i="27"/>
  <c r="U3181" i="27"/>
  <c r="V3181" i="27" s="1"/>
  <c r="P3181" i="27"/>
  <c r="N3181" i="27" s="1"/>
  <c r="M3181" i="27"/>
  <c r="K3181" i="27" s="1"/>
  <c r="J3181" i="27"/>
  <c r="H3181" i="27" s="1"/>
  <c r="G3181" i="27"/>
  <c r="E3181" i="27" s="1"/>
  <c r="V3180" i="27"/>
  <c r="W3180" i="27" s="1"/>
  <c r="U3180" i="27"/>
  <c r="P3180" i="27"/>
  <c r="N3180" i="27" s="1"/>
  <c r="M3180" i="27"/>
  <c r="K3180" i="27" s="1"/>
  <c r="J3180" i="27"/>
  <c r="H3180" i="27" s="1"/>
  <c r="G3180" i="27"/>
  <c r="E3180" i="27" s="1"/>
  <c r="U3179" i="27"/>
  <c r="V3179" i="27" s="1"/>
  <c r="W3179" i="27" s="1"/>
  <c r="P3179" i="27"/>
  <c r="N3179" i="27" s="1"/>
  <c r="M3179" i="27"/>
  <c r="K3179" i="27" s="1"/>
  <c r="J3179" i="27"/>
  <c r="H3179" i="27" s="1"/>
  <c r="G3179" i="27"/>
  <c r="E3179" i="27"/>
  <c r="W3178" i="27"/>
  <c r="U3178" i="27"/>
  <c r="V3178" i="27" s="1"/>
  <c r="P3178" i="27"/>
  <c r="N3178" i="27" s="1"/>
  <c r="M3178" i="27"/>
  <c r="K3178" i="27" s="1"/>
  <c r="J3178" i="27"/>
  <c r="H3178" i="27" s="1"/>
  <c r="G3178" i="27"/>
  <c r="E3178" i="27" s="1"/>
  <c r="U3177" i="27"/>
  <c r="V3177" i="27" s="1"/>
  <c r="W3177" i="27" s="1"/>
  <c r="P3177" i="27"/>
  <c r="N3177" i="27" s="1"/>
  <c r="M3177" i="27"/>
  <c r="K3177" i="27" s="1"/>
  <c r="J3177" i="27"/>
  <c r="H3177" i="27" s="1"/>
  <c r="G3177" i="27"/>
  <c r="E3177" i="27" s="1"/>
  <c r="U3176" i="27"/>
  <c r="V3176" i="27" s="1"/>
  <c r="W3176" i="27" s="1"/>
  <c r="P3176" i="27"/>
  <c r="N3176" i="27" s="1"/>
  <c r="M3176" i="27"/>
  <c r="K3176" i="27" s="1"/>
  <c r="J3176" i="27"/>
  <c r="H3176" i="27"/>
  <c r="G3176" i="27"/>
  <c r="E3176" i="27" s="1"/>
  <c r="U3175" i="27"/>
  <c r="V3175" i="27" s="1"/>
  <c r="W3175" i="27" s="1"/>
  <c r="P3175" i="27"/>
  <c r="N3175" i="27" s="1"/>
  <c r="M3175" i="27"/>
  <c r="K3175" i="27" s="1"/>
  <c r="J3175" i="27"/>
  <c r="H3175" i="27" s="1"/>
  <c r="G3175" i="27"/>
  <c r="E3175" i="27" s="1"/>
  <c r="V3174" i="27"/>
  <c r="W3174" i="27" s="1"/>
  <c r="U3174" i="27"/>
  <c r="P3174" i="27"/>
  <c r="N3174" i="27" s="1"/>
  <c r="M3174" i="27"/>
  <c r="K3174" i="27" s="1"/>
  <c r="J3174" i="27"/>
  <c r="H3174" i="27" s="1"/>
  <c r="G3174" i="27"/>
  <c r="E3174" i="27" s="1"/>
  <c r="U3173" i="27"/>
  <c r="V3173" i="27" s="1"/>
  <c r="W3173" i="27" s="1"/>
  <c r="P3173" i="27"/>
  <c r="N3173" i="27" s="1"/>
  <c r="M3173" i="27"/>
  <c r="K3173" i="27" s="1"/>
  <c r="J3173" i="27"/>
  <c r="H3173" i="27" s="1"/>
  <c r="G3173" i="27"/>
  <c r="E3173" i="27" s="1"/>
  <c r="U3172" i="27"/>
  <c r="V3172" i="27" s="1"/>
  <c r="W3172" i="27" s="1"/>
  <c r="P3172" i="27"/>
  <c r="N3172" i="27" s="1"/>
  <c r="M3172" i="27"/>
  <c r="K3172" i="27" s="1"/>
  <c r="J3172" i="27"/>
  <c r="H3172" i="27" s="1"/>
  <c r="G3172" i="27"/>
  <c r="E3172" i="27" s="1"/>
  <c r="U3171" i="27"/>
  <c r="V3171" i="27" s="1"/>
  <c r="W3171" i="27" s="1"/>
  <c r="P3171" i="27"/>
  <c r="N3171" i="27" s="1"/>
  <c r="M3171" i="27"/>
  <c r="K3171" i="27"/>
  <c r="J3171" i="27"/>
  <c r="H3171" i="27" s="1"/>
  <c r="G3171" i="27"/>
  <c r="E3171" i="27" s="1"/>
  <c r="U3170" i="27"/>
  <c r="V3170" i="27" s="1"/>
  <c r="W3170" i="27" s="1"/>
  <c r="P3170" i="27"/>
  <c r="N3170" i="27" s="1"/>
  <c r="M3170" i="27"/>
  <c r="K3170" i="27" s="1"/>
  <c r="J3170" i="27"/>
  <c r="H3170" i="27" s="1"/>
  <c r="G3170" i="27"/>
  <c r="E3170" i="27" s="1"/>
  <c r="U3169" i="27"/>
  <c r="V3169" i="27" s="1"/>
  <c r="W3169" i="27" s="1"/>
  <c r="O3169" i="27"/>
  <c r="P3169" i="27" s="1"/>
  <c r="N3169" i="27" s="1"/>
  <c r="L3169" i="27"/>
  <c r="M3169" i="27" s="1"/>
  <c r="K3169" i="27" s="1"/>
  <c r="I3169" i="27"/>
  <c r="J3169" i="27" s="1"/>
  <c r="H3169" i="27" s="1"/>
  <c r="F3169" i="27"/>
  <c r="G3169" i="27" s="1"/>
  <c r="E3169" i="27" s="1"/>
  <c r="U3168" i="27"/>
  <c r="V3168" i="27" s="1"/>
  <c r="W3168" i="27" s="1"/>
  <c r="O3168" i="27"/>
  <c r="P3168" i="27" s="1"/>
  <c r="N3168" i="27" s="1"/>
  <c r="L3168" i="27"/>
  <c r="M3168" i="27" s="1"/>
  <c r="K3168" i="27" s="1"/>
  <c r="I3168" i="27"/>
  <c r="J3168" i="27" s="1"/>
  <c r="H3168" i="27" s="1"/>
  <c r="F3168" i="27"/>
  <c r="G3168" i="27" s="1"/>
  <c r="E3168" i="27" s="1"/>
  <c r="V3167" i="27"/>
  <c r="W3167" i="27" s="1"/>
  <c r="U3167" i="27"/>
  <c r="O3167" i="27"/>
  <c r="P3167" i="27" s="1"/>
  <c r="N3167" i="27"/>
  <c r="L3167" i="27"/>
  <c r="M3167" i="27" s="1"/>
  <c r="K3167" i="27" s="1"/>
  <c r="I3167" i="27"/>
  <c r="J3167" i="27" s="1"/>
  <c r="H3167" i="27" s="1"/>
  <c r="F3167" i="27"/>
  <c r="G3167" i="27" s="1"/>
  <c r="E3167" i="27" s="1"/>
  <c r="T3164" i="27"/>
  <c r="R3164" i="27"/>
  <c r="P3164" i="27"/>
  <c r="M3164" i="27"/>
  <c r="J3164" i="27"/>
  <c r="G3164" i="27"/>
  <c r="T3163" i="27"/>
  <c r="R3163" i="27"/>
  <c r="P3163" i="27"/>
  <c r="N3163" i="27" s="1"/>
  <c r="M3163" i="27"/>
  <c r="J3163" i="27"/>
  <c r="G3163" i="27"/>
  <c r="T3162" i="27"/>
  <c r="R3162" i="27"/>
  <c r="P3162" i="27"/>
  <c r="N3162" i="27" s="1"/>
  <c r="M3162" i="27"/>
  <c r="J3162" i="27"/>
  <c r="G3162" i="27"/>
  <c r="T3161" i="27"/>
  <c r="R3161" i="27"/>
  <c r="P3161" i="27"/>
  <c r="N3161" i="27" s="1"/>
  <c r="M3161" i="27"/>
  <c r="J3161" i="27"/>
  <c r="G3161" i="27"/>
  <c r="T3160" i="27"/>
  <c r="R3160" i="27"/>
  <c r="P3160" i="27"/>
  <c r="M3160" i="27"/>
  <c r="J3160" i="27"/>
  <c r="G3160" i="27"/>
  <c r="T3159" i="27"/>
  <c r="R3159" i="27"/>
  <c r="P3159" i="27"/>
  <c r="M3159" i="27"/>
  <c r="J3159" i="27"/>
  <c r="G3159" i="27"/>
  <c r="T3158" i="27"/>
  <c r="R3158" i="27"/>
  <c r="P3158" i="27"/>
  <c r="M3158" i="27"/>
  <c r="J3158" i="27"/>
  <c r="H3158" i="27"/>
  <c r="G3158" i="27"/>
  <c r="T3157" i="27"/>
  <c r="R3157" i="27"/>
  <c r="P3157" i="27"/>
  <c r="M3157" i="27"/>
  <c r="J3157" i="27"/>
  <c r="G3157" i="27"/>
  <c r="E3157" i="27" s="1"/>
  <c r="T3156" i="27"/>
  <c r="R3156" i="27"/>
  <c r="P3156" i="27"/>
  <c r="M3156" i="27"/>
  <c r="J3156" i="27"/>
  <c r="G3156" i="27"/>
  <c r="T3155" i="27"/>
  <c r="R3155" i="27"/>
  <c r="H3155" i="27" s="1"/>
  <c r="P3155" i="27"/>
  <c r="M3155" i="27"/>
  <c r="J3155" i="27"/>
  <c r="G3155" i="27"/>
  <c r="T3154" i="27"/>
  <c r="R3154" i="27"/>
  <c r="U3154" i="27" s="1"/>
  <c r="V3154" i="27" s="1"/>
  <c r="W3154" i="27" s="1"/>
  <c r="P3154" i="27"/>
  <c r="M3154" i="27"/>
  <c r="J3154" i="27"/>
  <c r="G3154" i="27"/>
  <c r="T3153" i="27"/>
  <c r="R3153" i="27"/>
  <c r="P3153" i="27"/>
  <c r="M3153" i="27"/>
  <c r="J3153" i="27"/>
  <c r="G3153" i="27"/>
  <c r="T3152" i="27"/>
  <c r="R3152" i="27"/>
  <c r="U3152" i="27" s="1"/>
  <c r="V3152" i="27" s="1"/>
  <c r="W3152" i="27" s="1"/>
  <c r="P3152" i="27"/>
  <c r="M3152" i="27"/>
  <c r="J3152" i="27"/>
  <c r="H3152" i="27"/>
  <c r="G3152" i="27"/>
  <c r="T3151" i="27"/>
  <c r="R3151" i="27"/>
  <c r="P3151" i="27"/>
  <c r="M3151" i="27"/>
  <c r="J3151" i="27"/>
  <c r="G3151" i="27"/>
  <c r="U3150" i="27"/>
  <c r="V3150" i="27" s="1"/>
  <c r="W3150" i="27" s="1"/>
  <c r="T3150" i="27"/>
  <c r="R3150" i="27"/>
  <c r="P3150" i="27"/>
  <c r="N3150" i="27" s="1"/>
  <c r="M3150" i="27"/>
  <c r="J3150" i="27"/>
  <c r="G3150" i="27"/>
  <c r="E3150" i="27"/>
  <c r="T3149" i="27"/>
  <c r="R3149" i="27"/>
  <c r="U3149" i="27" s="1"/>
  <c r="V3149" i="27" s="1"/>
  <c r="W3149" i="27" s="1"/>
  <c r="P3149" i="27"/>
  <c r="M3149" i="27"/>
  <c r="J3149" i="27"/>
  <c r="G3149" i="27"/>
  <c r="T3148" i="27"/>
  <c r="R3148" i="27"/>
  <c r="P3148" i="27"/>
  <c r="M3148" i="27"/>
  <c r="J3148" i="27"/>
  <c r="G3148" i="27"/>
  <c r="V3147" i="27"/>
  <c r="W3147" i="27" s="1"/>
  <c r="T3147" i="27"/>
  <c r="R3147" i="27"/>
  <c r="U3147" i="27" s="1"/>
  <c r="P3147" i="27"/>
  <c r="N3147" i="27" s="1"/>
  <c r="M3147" i="27"/>
  <c r="J3147" i="27"/>
  <c r="G3147" i="27"/>
  <c r="E3147" i="27" s="1"/>
  <c r="T3146" i="27"/>
  <c r="R3146" i="27"/>
  <c r="P3146" i="27"/>
  <c r="M3146" i="27"/>
  <c r="J3146" i="27"/>
  <c r="H3146" i="27"/>
  <c r="G3146" i="27"/>
  <c r="T3145" i="27"/>
  <c r="R3145" i="27"/>
  <c r="H3145" i="27" s="1"/>
  <c r="P3145" i="27"/>
  <c r="N3145" i="27" s="1"/>
  <c r="M3145" i="27"/>
  <c r="J3145" i="27"/>
  <c r="G3145" i="27"/>
  <c r="T3144" i="27"/>
  <c r="R3144" i="27"/>
  <c r="P3144" i="27"/>
  <c r="N3144" i="27" s="1"/>
  <c r="M3144" i="27"/>
  <c r="J3144" i="27"/>
  <c r="G3144" i="27"/>
  <c r="E3144" i="27" s="1"/>
  <c r="T3143" i="27"/>
  <c r="R3143" i="27"/>
  <c r="P3143" i="27"/>
  <c r="M3143" i="27"/>
  <c r="J3143" i="27"/>
  <c r="G3143" i="27"/>
  <c r="T3142" i="27"/>
  <c r="R3142" i="27"/>
  <c r="P3142" i="27"/>
  <c r="M3142" i="27"/>
  <c r="J3142" i="27"/>
  <c r="G3142" i="27"/>
  <c r="T3141" i="27"/>
  <c r="R3141" i="27"/>
  <c r="U3141" i="27" s="1"/>
  <c r="V3141" i="27" s="1"/>
  <c r="W3141" i="27" s="1"/>
  <c r="P3141" i="27"/>
  <c r="M3141" i="27"/>
  <c r="J3141" i="27"/>
  <c r="G3141" i="27"/>
  <c r="T3140" i="27"/>
  <c r="R3140" i="27"/>
  <c r="P3140" i="27"/>
  <c r="M3140" i="27"/>
  <c r="J3140" i="27"/>
  <c r="G3140" i="27"/>
  <c r="T3139" i="27"/>
  <c r="R3139" i="27"/>
  <c r="P3139" i="27"/>
  <c r="N3139" i="27" s="1"/>
  <c r="M3139" i="27"/>
  <c r="J3139" i="27"/>
  <c r="G3139" i="27"/>
  <c r="T3138" i="27"/>
  <c r="R3138" i="27"/>
  <c r="U3138" i="27" s="1"/>
  <c r="V3138" i="27" s="1"/>
  <c r="W3138" i="27" s="1"/>
  <c r="P3138" i="27"/>
  <c r="M3138" i="27"/>
  <c r="J3138" i="27"/>
  <c r="H3138" i="27" s="1"/>
  <c r="G3138" i="27"/>
  <c r="E3138" i="27" s="1"/>
  <c r="T3137" i="27"/>
  <c r="R3137" i="27"/>
  <c r="P3137" i="27"/>
  <c r="N3137" i="27" s="1"/>
  <c r="M3137" i="27"/>
  <c r="J3137" i="27"/>
  <c r="G3137" i="27"/>
  <c r="T3136" i="27"/>
  <c r="R3136" i="27"/>
  <c r="E3136" i="27" s="1"/>
  <c r="P3136" i="27"/>
  <c r="M3136" i="27"/>
  <c r="J3136" i="27"/>
  <c r="G3136" i="27"/>
  <c r="T3135" i="27"/>
  <c r="R3135" i="27"/>
  <c r="P3135" i="27"/>
  <c r="M3135" i="27"/>
  <c r="J3135" i="27"/>
  <c r="G3135" i="27"/>
  <c r="T3134" i="27"/>
  <c r="R3134" i="27"/>
  <c r="P3134" i="27"/>
  <c r="M3134" i="27"/>
  <c r="J3134" i="27"/>
  <c r="G3134" i="27"/>
  <c r="T3133" i="27"/>
  <c r="R3133" i="27"/>
  <c r="U3133" i="27" s="1"/>
  <c r="V3133" i="27" s="1"/>
  <c r="W3133" i="27" s="1"/>
  <c r="P3133" i="27"/>
  <c r="M3133" i="27"/>
  <c r="K3133" i="27"/>
  <c r="J3133" i="27"/>
  <c r="G3133" i="27"/>
  <c r="U3130" i="27"/>
  <c r="V3130" i="27" s="1"/>
  <c r="W3130" i="27" s="1"/>
  <c r="T3130" i="27"/>
  <c r="O3130" i="27"/>
  <c r="P3130" i="27" s="1"/>
  <c r="N3130" i="27" s="1"/>
  <c r="L3130" i="27"/>
  <c r="M3130" i="27" s="1"/>
  <c r="K3130" i="27" s="1"/>
  <c r="I3130" i="27"/>
  <c r="J3130" i="27" s="1"/>
  <c r="H3130" i="27" s="1"/>
  <c r="G3130" i="27"/>
  <c r="E3130" i="27" s="1"/>
  <c r="F3130" i="27"/>
  <c r="U3129" i="27"/>
  <c r="V3129" i="27" s="1"/>
  <c r="W3129" i="27" s="1"/>
  <c r="T3129" i="27"/>
  <c r="O3129" i="27"/>
  <c r="P3129" i="27" s="1"/>
  <c r="N3129" i="27" s="1"/>
  <c r="L3129" i="27"/>
  <c r="M3129" i="27" s="1"/>
  <c r="K3129" i="27" s="1"/>
  <c r="I3129" i="27"/>
  <c r="J3129" i="27" s="1"/>
  <c r="H3129" i="27" s="1"/>
  <c r="F3129" i="27"/>
  <c r="G3129" i="27" s="1"/>
  <c r="E3129" i="27" s="1"/>
  <c r="U3128" i="27"/>
  <c r="V3128" i="27" s="1"/>
  <c r="W3128" i="27" s="1"/>
  <c r="T3128" i="27"/>
  <c r="O3128" i="27"/>
  <c r="P3128" i="27" s="1"/>
  <c r="N3128" i="27" s="1"/>
  <c r="L3128" i="27"/>
  <c r="M3128" i="27" s="1"/>
  <c r="K3128" i="27" s="1"/>
  <c r="I3128" i="27"/>
  <c r="J3128" i="27" s="1"/>
  <c r="H3128" i="27" s="1"/>
  <c r="G3128" i="27"/>
  <c r="E3128" i="27" s="1"/>
  <c r="F3128" i="27"/>
  <c r="U3127" i="27"/>
  <c r="V3127" i="27" s="1"/>
  <c r="W3127" i="27" s="1"/>
  <c r="T3127" i="27"/>
  <c r="O3127" i="27"/>
  <c r="P3127" i="27" s="1"/>
  <c r="N3127" i="27" s="1"/>
  <c r="L3127" i="27"/>
  <c r="M3127" i="27" s="1"/>
  <c r="K3127" i="27" s="1"/>
  <c r="I3127" i="27"/>
  <c r="J3127" i="27" s="1"/>
  <c r="H3127" i="27" s="1"/>
  <c r="F3127" i="27"/>
  <c r="G3127" i="27" s="1"/>
  <c r="E3127" i="27" s="1"/>
  <c r="V3126" i="27"/>
  <c r="W3126" i="27" s="1"/>
  <c r="U3126" i="27"/>
  <c r="T3126" i="27"/>
  <c r="P3126" i="27"/>
  <c r="N3126" i="27" s="1"/>
  <c r="O3126" i="27"/>
  <c r="L3126" i="27"/>
  <c r="M3126" i="27" s="1"/>
  <c r="K3126" i="27" s="1"/>
  <c r="I3126" i="27"/>
  <c r="J3126" i="27" s="1"/>
  <c r="H3126" i="27" s="1"/>
  <c r="G3126" i="27"/>
  <c r="E3126" i="27" s="1"/>
  <c r="F3126" i="27"/>
  <c r="U3125" i="27"/>
  <c r="V3125" i="27" s="1"/>
  <c r="W3125" i="27" s="1"/>
  <c r="T3125" i="27"/>
  <c r="O3125" i="27"/>
  <c r="P3125" i="27" s="1"/>
  <c r="N3125" i="27" s="1"/>
  <c r="L3125" i="27"/>
  <c r="M3125" i="27" s="1"/>
  <c r="K3125" i="27" s="1"/>
  <c r="I3125" i="27"/>
  <c r="J3125" i="27" s="1"/>
  <c r="H3125" i="27" s="1"/>
  <c r="F3125" i="27"/>
  <c r="G3125" i="27" s="1"/>
  <c r="E3125" i="27" s="1"/>
  <c r="U3124" i="27"/>
  <c r="V3124" i="27" s="1"/>
  <c r="W3124" i="27" s="1"/>
  <c r="T3124" i="27"/>
  <c r="O3124" i="27"/>
  <c r="P3124" i="27" s="1"/>
  <c r="N3124" i="27" s="1"/>
  <c r="L3124" i="27"/>
  <c r="M3124" i="27" s="1"/>
  <c r="K3124" i="27" s="1"/>
  <c r="I3124" i="27"/>
  <c r="J3124" i="27" s="1"/>
  <c r="H3124" i="27" s="1"/>
  <c r="G3124" i="27"/>
  <c r="E3124" i="27" s="1"/>
  <c r="F3124" i="27"/>
  <c r="U3123" i="27"/>
  <c r="V3123" i="27" s="1"/>
  <c r="W3123" i="27" s="1"/>
  <c r="T3123" i="27"/>
  <c r="O3123" i="27"/>
  <c r="P3123" i="27" s="1"/>
  <c r="N3123" i="27" s="1"/>
  <c r="L3123" i="27"/>
  <c r="M3123" i="27" s="1"/>
  <c r="K3123" i="27" s="1"/>
  <c r="I3123" i="27"/>
  <c r="J3123" i="27" s="1"/>
  <c r="H3123" i="27" s="1"/>
  <c r="F3123" i="27"/>
  <c r="G3123" i="27" s="1"/>
  <c r="E3123" i="27" s="1"/>
  <c r="U3122" i="27"/>
  <c r="V3122" i="27" s="1"/>
  <c r="W3122" i="27" s="1"/>
  <c r="T3122" i="27"/>
  <c r="O3122" i="27"/>
  <c r="P3122" i="27" s="1"/>
  <c r="N3122" i="27" s="1"/>
  <c r="L3122" i="27"/>
  <c r="M3122" i="27" s="1"/>
  <c r="K3122" i="27" s="1"/>
  <c r="I3122" i="27"/>
  <c r="J3122" i="27" s="1"/>
  <c r="H3122" i="27" s="1"/>
  <c r="F3122" i="27"/>
  <c r="G3122" i="27" s="1"/>
  <c r="E3122" i="27" s="1"/>
  <c r="U3121" i="27"/>
  <c r="V3121" i="27" s="1"/>
  <c r="W3121" i="27" s="1"/>
  <c r="T3121" i="27"/>
  <c r="O3121" i="27"/>
  <c r="P3121" i="27" s="1"/>
  <c r="N3121" i="27" s="1"/>
  <c r="L3121" i="27"/>
  <c r="M3121" i="27" s="1"/>
  <c r="K3121" i="27" s="1"/>
  <c r="J3121" i="27"/>
  <c r="H3121" i="27" s="1"/>
  <c r="I3121" i="27"/>
  <c r="F3121" i="27"/>
  <c r="G3121" i="27" s="1"/>
  <c r="E3121" i="27" s="1"/>
  <c r="U3120" i="27"/>
  <c r="V3120" i="27" s="1"/>
  <c r="W3120" i="27" s="1"/>
  <c r="T3120" i="27"/>
  <c r="O3120" i="27"/>
  <c r="P3120" i="27" s="1"/>
  <c r="N3120" i="27" s="1"/>
  <c r="L3120" i="27"/>
  <c r="M3120" i="27" s="1"/>
  <c r="K3120" i="27" s="1"/>
  <c r="I3120" i="27"/>
  <c r="J3120" i="27" s="1"/>
  <c r="H3120" i="27" s="1"/>
  <c r="G3120" i="27"/>
  <c r="E3120" i="27" s="1"/>
  <c r="F3120" i="27"/>
  <c r="W3119" i="27"/>
  <c r="V3119" i="27"/>
  <c r="U3119" i="27"/>
  <c r="T3119" i="27"/>
  <c r="P3119" i="27"/>
  <c r="N3119" i="27" s="1"/>
  <c r="O3119" i="27"/>
  <c r="L3119" i="27"/>
  <c r="M3119" i="27" s="1"/>
  <c r="K3119" i="27" s="1"/>
  <c r="I3119" i="27"/>
  <c r="J3119" i="27" s="1"/>
  <c r="H3119" i="27" s="1"/>
  <c r="F3119" i="27"/>
  <c r="G3119" i="27" s="1"/>
  <c r="E3119" i="27" s="1"/>
  <c r="U3118" i="27"/>
  <c r="V3118" i="27" s="1"/>
  <c r="W3118" i="27" s="1"/>
  <c r="T3118" i="27"/>
  <c r="O3118" i="27"/>
  <c r="P3118" i="27" s="1"/>
  <c r="N3118" i="27" s="1"/>
  <c r="L3118" i="27"/>
  <c r="M3118" i="27" s="1"/>
  <c r="K3118" i="27"/>
  <c r="J3118" i="27"/>
  <c r="H3118" i="27" s="1"/>
  <c r="I3118" i="27"/>
  <c r="F3118" i="27"/>
  <c r="G3118" i="27" s="1"/>
  <c r="E3118" i="27" s="1"/>
  <c r="T3117" i="27"/>
  <c r="R3117" i="27"/>
  <c r="U3117" i="27" s="1"/>
  <c r="V3117" i="27" s="1"/>
  <c r="W3117" i="27" s="1"/>
  <c r="P3117" i="27"/>
  <c r="N3117" i="27" s="1"/>
  <c r="M3117" i="27"/>
  <c r="J3117" i="27"/>
  <c r="G3117" i="27"/>
  <c r="E3117" i="27" s="1"/>
  <c r="T3116" i="27"/>
  <c r="R3116" i="27"/>
  <c r="P3116" i="27"/>
  <c r="M3116" i="27"/>
  <c r="J3116" i="27"/>
  <c r="G3116" i="27"/>
  <c r="E3116" i="27" s="1"/>
  <c r="T3115" i="27"/>
  <c r="R3115" i="27"/>
  <c r="U3115" i="27" s="1"/>
  <c r="V3115" i="27" s="1"/>
  <c r="W3115" i="27" s="1"/>
  <c r="P3115" i="27"/>
  <c r="M3115" i="27"/>
  <c r="J3115" i="27"/>
  <c r="G3115" i="27"/>
  <c r="T3114" i="27"/>
  <c r="R3114" i="27"/>
  <c r="P3114" i="27"/>
  <c r="M3114" i="27"/>
  <c r="J3114" i="27"/>
  <c r="G3114" i="27"/>
  <c r="T3113" i="27"/>
  <c r="R3113" i="27"/>
  <c r="P3113" i="27"/>
  <c r="M3113" i="27"/>
  <c r="J3113" i="27"/>
  <c r="G3113" i="27"/>
  <c r="T3112" i="27"/>
  <c r="R3112" i="27"/>
  <c r="P3112" i="27"/>
  <c r="M3112" i="27"/>
  <c r="J3112" i="27"/>
  <c r="G3112" i="27"/>
  <c r="T3111" i="27"/>
  <c r="R3111" i="27"/>
  <c r="H3111" i="27" s="1"/>
  <c r="P3111" i="27"/>
  <c r="M3111" i="27"/>
  <c r="J3111" i="27"/>
  <c r="G3111" i="27"/>
  <c r="U3110" i="27"/>
  <c r="V3110" i="27" s="1"/>
  <c r="W3110" i="27" s="1"/>
  <c r="T3110" i="27"/>
  <c r="O3110" i="27"/>
  <c r="P3110" i="27" s="1"/>
  <c r="N3110" i="27" s="1"/>
  <c r="L3110" i="27"/>
  <c r="M3110" i="27" s="1"/>
  <c r="K3110" i="27" s="1"/>
  <c r="I3110" i="27"/>
  <c r="J3110" i="27" s="1"/>
  <c r="H3110" i="27" s="1"/>
  <c r="F3110" i="27"/>
  <c r="G3110" i="27" s="1"/>
  <c r="E3110" i="27" s="1"/>
  <c r="U3109" i="27"/>
  <c r="V3109" i="27" s="1"/>
  <c r="W3109" i="27" s="1"/>
  <c r="T3109" i="27"/>
  <c r="O3109" i="27"/>
  <c r="P3109" i="27" s="1"/>
  <c r="N3109" i="27" s="1"/>
  <c r="M3109" i="27"/>
  <c r="K3109" i="27" s="1"/>
  <c r="L3109" i="27"/>
  <c r="I3109" i="27"/>
  <c r="J3109" i="27" s="1"/>
  <c r="H3109" i="27" s="1"/>
  <c r="G3109" i="27"/>
  <c r="E3109" i="27" s="1"/>
  <c r="F3109" i="27"/>
  <c r="V3108" i="27"/>
  <c r="W3108" i="27" s="1"/>
  <c r="U3108" i="27"/>
  <c r="T3108" i="27"/>
  <c r="O3108" i="27"/>
  <c r="P3108" i="27" s="1"/>
  <c r="N3108" i="27" s="1"/>
  <c r="L3108" i="27"/>
  <c r="M3108" i="27" s="1"/>
  <c r="K3108" i="27"/>
  <c r="I3108" i="27"/>
  <c r="J3108" i="27" s="1"/>
  <c r="H3108" i="27" s="1"/>
  <c r="F3108" i="27"/>
  <c r="G3108" i="27" s="1"/>
  <c r="E3108" i="27" s="1"/>
  <c r="T3107" i="27"/>
  <c r="R3107" i="27"/>
  <c r="U3107" i="27" s="1"/>
  <c r="V3107" i="27" s="1"/>
  <c r="W3107" i="27" s="1"/>
  <c r="P3107" i="27"/>
  <c r="M3107" i="27"/>
  <c r="K3107" i="27" s="1"/>
  <c r="J3107" i="27"/>
  <c r="H3107" i="27"/>
  <c r="G3107" i="27"/>
  <c r="T3106" i="27"/>
  <c r="R3106" i="27"/>
  <c r="P3106" i="27"/>
  <c r="M3106" i="27"/>
  <c r="K3106" i="27" s="1"/>
  <c r="J3106" i="27"/>
  <c r="G3106" i="27"/>
  <c r="V3105" i="27"/>
  <c r="W3105" i="27" s="1"/>
  <c r="U3105" i="27"/>
  <c r="T3105" i="27"/>
  <c r="O3105" i="27"/>
  <c r="P3105" i="27" s="1"/>
  <c r="N3105" i="27" s="1"/>
  <c r="L3105" i="27"/>
  <c r="M3105" i="27" s="1"/>
  <c r="K3105" i="27"/>
  <c r="J3105" i="27"/>
  <c r="H3105" i="27" s="1"/>
  <c r="F3105" i="27"/>
  <c r="G3105" i="27" s="1"/>
  <c r="E3105" i="27" s="1"/>
  <c r="U3104" i="27"/>
  <c r="V3104" i="27" s="1"/>
  <c r="W3104" i="27" s="1"/>
  <c r="T3104" i="27"/>
  <c r="R3104" i="27"/>
  <c r="H3104" i="27" s="1"/>
  <c r="P3104" i="27"/>
  <c r="N3104" i="27"/>
  <c r="M3104" i="27"/>
  <c r="J3104" i="27"/>
  <c r="G3104" i="27"/>
  <c r="T3103" i="27"/>
  <c r="R3103" i="27"/>
  <c r="U3103" i="27" s="1"/>
  <c r="V3103" i="27" s="1"/>
  <c r="W3103" i="27" s="1"/>
  <c r="P3103" i="27"/>
  <c r="M3103" i="27"/>
  <c r="K3103" i="27" s="1"/>
  <c r="J3103" i="27"/>
  <c r="H3103" i="27" s="1"/>
  <c r="G3103" i="27"/>
  <c r="T3102" i="27"/>
  <c r="R3102" i="27"/>
  <c r="P3102" i="27"/>
  <c r="M3102" i="27"/>
  <c r="J3102" i="27"/>
  <c r="G3102" i="27"/>
  <c r="U3101" i="27"/>
  <c r="V3101" i="27" s="1"/>
  <c r="W3101" i="27" s="1"/>
  <c r="T3101" i="27"/>
  <c r="R3101" i="27"/>
  <c r="P3101" i="27"/>
  <c r="N3101" i="27" s="1"/>
  <c r="M3101" i="27"/>
  <c r="J3101" i="27"/>
  <c r="H3101" i="27" s="1"/>
  <c r="G3101" i="27"/>
  <c r="T3099" i="27"/>
  <c r="R3099" i="27"/>
  <c r="P3099" i="27"/>
  <c r="M3099" i="27"/>
  <c r="J3099" i="27"/>
  <c r="G3099" i="27"/>
  <c r="E3099" i="27" s="1"/>
  <c r="T3098" i="27"/>
  <c r="R3098" i="27"/>
  <c r="P3098" i="27"/>
  <c r="N3098" i="27" s="1"/>
  <c r="M3098" i="27"/>
  <c r="K3098" i="27" s="1"/>
  <c r="J3098" i="27"/>
  <c r="G3098" i="27"/>
  <c r="E3098" i="27" s="1"/>
  <c r="T3097" i="27"/>
  <c r="R3097" i="27"/>
  <c r="P3097" i="27"/>
  <c r="M3097" i="27"/>
  <c r="J3097" i="27"/>
  <c r="G3097" i="27"/>
  <c r="T3096" i="27"/>
  <c r="R3096" i="27"/>
  <c r="U3096" i="27" s="1"/>
  <c r="V3096" i="27" s="1"/>
  <c r="W3096" i="27" s="1"/>
  <c r="P3096" i="27"/>
  <c r="M3096" i="27"/>
  <c r="J3096" i="27"/>
  <c r="H3096" i="27" s="1"/>
  <c r="G3096" i="27"/>
  <c r="T3095" i="27"/>
  <c r="R3095" i="27"/>
  <c r="P3095" i="27"/>
  <c r="M3095" i="27"/>
  <c r="J3095" i="27"/>
  <c r="H3095" i="27"/>
  <c r="G3095" i="27"/>
  <c r="T3094" i="27"/>
  <c r="R3094" i="27"/>
  <c r="K3094" i="27" s="1"/>
  <c r="P3094" i="27"/>
  <c r="M3094" i="27"/>
  <c r="J3094" i="27"/>
  <c r="G3094" i="27"/>
  <c r="T3093" i="27"/>
  <c r="R3093" i="27"/>
  <c r="P3093" i="27"/>
  <c r="N3093" i="27" s="1"/>
  <c r="M3093" i="27"/>
  <c r="J3093" i="27"/>
  <c r="G3093" i="27"/>
  <c r="U3092" i="27"/>
  <c r="V3092" i="27" s="1"/>
  <c r="W3092" i="27" s="1"/>
  <c r="T3092" i="27"/>
  <c r="R3092" i="27"/>
  <c r="P3092" i="27"/>
  <c r="M3092" i="27"/>
  <c r="K3092" i="27" s="1"/>
  <c r="J3092" i="27"/>
  <c r="H3092" i="27" s="1"/>
  <c r="G3092" i="27"/>
  <c r="E3092" i="27" s="1"/>
  <c r="T3091" i="27"/>
  <c r="R3091" i="27"/>
  <c r="P3091" i="27"/>
  <c r="M3091" i="27"/>
  <c r="J3091" i="27"/>
  <c r="G3091" i="27"/>
  <c r="T3090" i="27"/>
  <c r="R3090" i="27"/>
  <c r="P3090" i="27"/>
  <c r="N3090" i="27"/>
  <c r="M3090" i="27"/>
  <c r="J3090" i="27"/>
  <c r="G3090" i="27"/>
  <c r="T3089" i="27"/>
  <c r="R3089" i="27"/>
  <c r="P3089" i="27"/>
  <c r="M3089" i="27"/>
  <c r="J3089" i="27"/>
  <c r="G3089" i="27"/>
  <c r="T3088" i="27"/>
  <c r="R3088" i="27"/>
  <c r="P3088" i="27"/>
  <c r="N3088" i="27" s="1"/>
  <c r="M3088" i="27"/>
  <c r="J3088" i="27"/>
  <c r="G3088" i="27"/>
  <c r="T3087" i="27"/>
  <c r="R3087" i="27"/>
  <c r="P3087" i="27"/>
  <c r="M3087" i="27"/>
  <c r="J3087" i="27"/>
  <c r="G3087" i="27"/>
  <c r="T3086" i="27"/>
  <c r="R3086" i="27"/>
  <c r="P3086" i="27"/>
  <c r="M3086" i="27"/>
  <c r="J3086" i="27"/>
  <c r="G3086" i="27"/>
  <c r="U3085" i="27"/>
  <c r="V3085" i="27" s="1"/>
  <c r="W3085" i="27" s="1"/>
  <c r="T3085" i="27"/>
  <c r="R3085" i="27"/>
  <c r="P3085" i="27"/>
  <c r="M3085" i="27"/>
  <c r="J3085" i="27"/>
  <c r="G3085" i="27"/>
  <c r="T3084" i="27"/>
  <c r="R3084" i="27"/>
  <c r="U3084" i="27" s="1"/>
  <c r="V3084" i="27" s="1"/>
  <c r="W3084" i="27" s="1"/>
  <c r="P3084" i="27"/>
  <c r="M3084" i="27"/>
  <c r="J3084" i="27"/>
  <c r="G3084" i="27"/>
  <c r="E3084" i="27" s="1"/>
  <c r="T3083" i="27"/>
  <c r="R3083" i="27"/>
  <c r="U3083" i="27" s="1"/>
  <c r="V3083" i="27" s="1"/>
  <c r="W3083" i="27" s="1"/>
  <c r="P3083" i="27"/>
  <c r="M3083" i="27"/>
  <c r="J3083" i="27"/>
  <c r="G3083" i="27"/>
  <c r="T3082" i="27"/>
  <c r="R3082" i="27"/>
  <c r="P3082" i="27"/>
  <c r="M3082" i="27"/>
  <c r="J3082" i="27"/>
  <c r="G3082" i="27"/>
  <c r="U3081" i="27"/>
  <c r="V3081" i="27" s="1"/>
  <c r="W3081" i="27" s="1"/>
  <c r="T3081" i="27"/>
  <c r="R3081" i="27"/>
  <c r="K3081" i="27" s="1"/>
  <c r="P3081" i="27"/>
  <c r="M3081" i="27"/>
  <c r="J3081" i="27"/>
  <c r="H3081" i="27" s="1"/>
  <c r="G3081" i="27"/>
  <c r="E3081" i="27" s="1"/>
  <c r="T3080" i="27"/>
  <c r="R3080" i="27"/>
  <c r="P3080" i="27"/>
  <c r="N3080" i="27" s="1"/>
  <c r="M3080" i="27"/>
  <c r="J3080" i="27"/>
  <c r="G3080" i="27"/>
  <c r="U3079" i="27"/>
  <c r="V3079" i="27" s="1"/>
  <c r="W3079" i="27" s="1"/>
  <c r="T3079" i="27"/>
  <c r="R3079" i="27"/>
  <c r="P3079" i="27"/>
  <c r="N3079" i="27" s="1"/>
  <c r="M3079" i="27"/>
  <c r="K3079" i="27" s="1"/>
  <c r="J3079" i="27"/>
  <c r="G3079" i="27"/>
  <c r="E3079" i="27" s="1"/>
  <c r="U3078" i="27"/>
  <c r="V3078" i="27" s="1"/>
  <c r="W3078" i="27" s="1"/>
  <c r="T3078" i="27"/>
  <c r="R3078" i="27"/>
  <c r="P3078" i="27"/>
  <c r="M3078" i="27"/>
  <c r="J3078" i="27"/>
  <c r="G3078" i="27"/>
  <c r="T3077" i="27"/>
  <c r="R3077" i="27"/>
  <c r="P3077" i="27"/>
  <c r="M3077" i="27"/>
  <c r="J3077" i="27"/>
  <c r="G3077" i="27"/>
  <c r="T3076" i="27"/>
  <c r="R3076" i="27"/>
  <c r="U3076" i="27" s="1"/>
  <c r="V3076" i="27" s="1"/>
  <c r="W3076" i="27" s="1"/>
  <c r="P3076" i="27"/>
  <c r="M3076" i="27"/>
  <c r="J3076" i="27"/>
  <c r="G3076" i="27"/>
  <c r="E3076" i="27" s="1"/>
  <c r="U3075" i="27"/>
  <c r="V3075" i="27" s="1"/>
  <c r="W3075" i="27" s="1"/>
  <c r="T3075" i="27"/>
  <c r="R3075" i="27"/>
  <c r="P3075" i="27"/>
  <c r="N3075" i="27"/>
  <c r="M3075" i="27"/>
  <c r="J3075" i="27"/>
  <c r="H3075" i="27" s="1"/>
  <c r="G3075" i="27"/>
  <c r="E3075" i="27" s="1"/>
  <c r="T3074" i="27"/>
  <c r="R3074" i="27"/>
  <c r="P3074" i="27"/>
  <c r="M3074" i="27"/>
  <c r="J3074" i="27"/>
  <c r="G3074" i="27"/>
  <c r="U3073" i="27"/>
  <c r="V3073" i="27" s="1"/>
  <c r="W3073" i="27" s="1"/>
  <c r="T3073" i="27"/>
  <c r="R3073" i="27"/>
  <c r="H3073" i="27" s="1"/>
  <c r="P3073" i="27"/>
  <c r="M3073" i="27"/>
  <c r="J3073" i="27"/>
  <c r="G3073" i="27"/>
  <c r="T3072" i="27"/>
  <c r="R3072" i="27"/>
  <c r="P3072" i="27"/>
  <c r="M3072" i="27"/>
  <c r="J3072" i="27"/>
  <c r="G3072" i="27"/>
  <c r="T3071" i="27"/>
  <c r="R3071" i="27"/>
  <c r="P3071" i="27"/>
  <c r="N3071" i="27" s="1"/>
  <c r="M3071" i="27"/>
  <c r="J3071" i="27"/>
  <c r="G3071" i="27"/>
  <c r="T3070" i="27"/>
  <c r="R3070" i="27"/>
  <c r="P3070" i="27"/>
  <c r="N3070" i="27" s="1"/>
  <c r="M3070" i="27"/>
  <c r="J3070" i="27"/>
  <c r="G3070" i="27"/>
  <c r="T3069" i="27"/>
  <c r="R3069" i="27"/>
  <c r="U3069" i="27" s="1"/>
  <c r="V3069" i="27" s="1"/>
  <c r="W3069" i="27" s="1"/>
  <c r="P3069" i="27"/>
  <c r="M3069" i="27"/>
  <c r="J3069" i="27"/>
  <c r="H3069" i="27"/>
  <c r="G3069" i="27"/>
  <c r="T3068" i="27"/>
  <c r="R3068" i="27"/>
  <c r="U3068" i="27" s="1"/>
  <c r="V3068" i="27" s="1"/>
  <c r="W3068" i="27" s="1"/>
  <c r="P3068" i="27"/>
  <c r="M3068" i="27"/>
  <c r="J3068" i="27"/>
  <c r="G3068" i="27"/>
  <c r="U3067" i="27"/>
  <c r="V3067" i="27" s="1"/>
  <c r="W3067" i="27" s="1"/>
  <c r="T3067" i="27"/>
  <c r="R3067" i="27"/>
  <c r="P3067" i="27"/>
  <c r="M3067" i="27"/>
  <c r="K3067" i="27" s="1"/>
  <c r="J3067" i="27"/>
  <c r="H3067" i="27" s="1"/>
  <c r="G3067" i="27"/>
  <c r="E3067" i="27" s="1"/>
  <c r="T3066" i="27"/>
  <c r="R3066" i="27"/>
  <c r="P3066" i="27"/>
  <c r="M3066" i="27"/>
  <c r="J3066" i="27"/>
  <c r="G3066" i="27"/>
  <c r="T3065" i="27"/>
  <c r="R3065" i="27"/>
  <c r="P3065" i="27"/>
  <c r="N3065" i="27" s="1"/>
  <c r="M3065" i="27"/>
  <c r="J3065" i="27"/>
  <c r="G3065" i="27"/>
  <c r="T3064" i="27"/>
  <c r="R3064" i="27"/>
  <c r="H3064" i="27" s="1"/>
  <c r="P3064" i="27"/>
  <c r="M3064" i="27"/>
  <c r="J3064" i="27"/>
  <c r="G3064" i="27"/>
  <c r="U3063" i="27"/>
  <c r="V3063" i="27" s="1"/>
  <c r="W3063" i="27" s="1"/>
  <c r="T3063" i="27"/>
  <c r="R3063" i="27"/>
  <c r="E3063" i="27" s="1"/>
  <c r="P3063" i="27"/>
  <c r="N3063" i="27" s="1"/>
  <c r="M3063" i="27"/>
  <c r="K3063" i="27" s="1"/>
  <c r="J3063" i="27"/>
  <c r="H3063" i="27" s="1"/>
  <c r="G3063" i="27"/>
  <c r="T3062" i="27"/>
  <c r="R3062" i="27"/>
  <c r="P3062" i="27"/>
  <c r="M3062" i="27"/>
  <c r="J3062" i="27"/>
  <c r="G3062" i="27"/>
  <c r="T3061" i="27"/>
  <c r="R3061" i="27"/>
  <c r="P3061" i="27"/>
  <c r="N3061" i="27"/>
  <c r="M3061" i="27"/>
  <c r="K3061" i="27" s="1"/>
  <c r="J3061" i="27"/>
  <c r="G3061" i="27"/>
  <c r="U3059" i="27"/>
  <c r="V3059" i="27" s="1"/>
  <c r="W3059" i="27" s="1"/>
  <c r="T3059" i="27"/>
  <c r="R3059" i="27"/>
  <c r="P3059" i="27"/>
  <c r="N3059" i="27" s="1"/>
  <c r="M3059" i="27"/>
  <c r="K3059" i="27" s="1"/>
  <c r="J3059" i="27"/>
  <c r="H3059" i="27"/>
  <c r="G3059" i="27"/>
  <c r="E3059" i="27" s="1"/>
  <c r="T3058" i="27"/>
  <c r="R3058" i="27"/>
  <c r="P3058" i="27"/>
  <c r="M3058" i="27"/>
  <c r="J3058" i="27"/>
  <c r="G3058" i="27"/>
  <c r="T3057" i="27"/>
  <c r="R3057" i="27"/>
  <c r="P3057" i="27"/>
  <c r="M3057" i="27"/>
  <c r="J3057" i="27"/>
  <c r="G3057" i="27"/>
  <c r="T3056" i="27"/>
  <c r="R3056" i="27"/>
  <c r="P3056" i="27"/>
  <c r="M3056" i="27"/>
  <c r="J3056" i="27"/>
  <c r="G3056" i="27"/>
  <c r="A3056" i="27"/>
  <c r="A3057" i="27" s="1"/>
  <c r="T3055" i="27"/>
  <c r="R3055" i="27"/>
  <c r="P3055" i="27"/>
  <c r="M3055" i="27"/>
  <c r="J3055" i="27"/>
  <c r="G3055" i="27"/>
  <c r="T3054" i="27"/>
  <c r="R3054" i="27"/>
  <c r="P3054" i="27"/>
  <c r="M3054" i="27"/>
  <c r="J3054" i="27"/>
  <c r="G3054" i="27"/>
  <c r="T3053" i="27"/>
  <c r="R3053" i="27"/>
  <c r="P3053" i="27"/>
  <c r="M3053" i="27"/>
  <c r="J3053" i="27"/>
  <c r="G3053" i="27"/>
  <c r="T3052" i="27"/>
  <c r="R3052" i="27"/>
  <c r="H3052" i="27" s="1"/>
  <c r="P3052" i="27"/>
  <c r="M3052" i="27"/>
  <c r="J3052" i="27"/>
  <c r="G3052" i="27"/>
  <c r="T3051" i="27"/>
  <c r="R3051" i="27"/>
  <c r="P3051" i="27"/>
  <c r="M3051" i="27"/>
  <c r="J3051" i="27"/>
  <c r="G3051" i="27"/>
  <c r="A3051" i="27"/>
  <c r="A3052" i="27" s="1"/>
  <c r="A3053" i="27" s="1"/>
  <c r="A3054" i="27" s="1"/>
  <c r="T3050" i="27"/>
  <c r="R3050" i="27"/>
  <c r="K3050" i="27" s="1"/>
  <c r="P3050" i="27"/>
  <c r="M3050" i="27"/>
  <c r="J3050" i="27"/>
  <c r="G3050" i="27"/>
  <c r="T3049" i="27"/>
  <c r="R3049" i="27"/>
  <c r="U3049" i="27" s="1"/>
  <c r="V3049" i="27" s="1"/>
  <c r="W3049" i="27" s="1"/>
  <c r="P3049" i="27"/>
  <c r="M3049" i="27"/>
  <c r="J3049" i="27"/>
  <c r="G3049" i="27"/>
  <c r="T3048" i="27"/>
  <c r="R3048" i="27"/>
  <c r="P3048" i="27"/>
  <c r="M3048" i="27"/>
  <c r="J3048" i="27"/>
  <c r="G3048" i="27"/>
  <c r="A3048" i="27"/>
  <c r="A3049" i="27" s="1"/>
  <c r="U3047" i="27"/>
  <c r="V3047" i="27" s="1"/>
  <c r="W3047" i="27" s="1"/>
  <c r="T3047" i="27"/>
  <c r="R3047" i="27"/>
  <c r="P3047" i="27"/>
  <c r="M3047" i="27"/>
  <c r="J3047" i="27"/>
  <c r="G3047" i="27"/>
  <c r="E3047" i="27" s="1"/>
  <c r="T3046" i="27"/>
  <c r="R3046" i="27"/>
  <c r="P3046" i="27"/>
  <c r="M3046" i="27"/>
  <c r="J3046" i="27"/>
  <c r="G3046" i="27"/>
  <c r="U3045" i="27"/>
  <c r="V3045" i="27" s="1"/>
  <c r="W3045" i="27" s="1"/>
  <c r="T3045" i="27"/>
  <c r="R3045" i="27"/>
  <c r="N3045" i="27" s="1"/>
  <c r="P3045" i="27"/>
  <c r="M3045" i="27"/>
  <c r="J3045" i="27"/>
  <c r="G3045" i="27"/>
  <c r="E3045" i="27" s="1"/>
  <c r="T3044" i="27"/>
  <c r="R3044" i="27"/>
  <c r="P3044" i="27"/>
  <c r="M3044" i="27"/>
  <c r="K3044" i="27"/>
  <c r="J3044" i="27"/>
  <c r="G3044" i="27"/>
  <c r="T3043" i="27"/>
  <c r="R3043" i="27"/>
  <c r="P3043" i="27"/>
  <c r="M3043" i="27"/>
  <c r="J3043" i="27"/>
  <c r="G3043" i="27"/>
  <c r="T3042" i="27"/>
  <c r="R3042" i="27"/>
  <c r="P3042" i="27"/>
  <c r="M3042" i="27"/>
  <c r="J3042" i="27"/>
  <c r="G3042" i="27"/>
  <c r="T3041" i="27"/>
  <c r="R3041" i="27"/>
  <c r="H3041" i="27" s="1"/>
  <c r="P3041" i="27"/>
  <c r="M3041" i="27"/>
  <c r="J3041" i="27"/>
  <c r="G3041" i="27"/>
  <c r="A3041" i="27"/>
  <c r="A3042" i="27" s="1"/>
  <c r="A3043" i="27" s="1"/>
  <c r="A3044" i="27" s="1"/>
  <c r="A3045" i="27" s="1"/>
  <c r="A3046" i="27" s="1"/>
  <c r="U3040" i="27"/>
  <c r="V3040" i="27" s="1"/>
  <c r="W3040" i="27" s="1"/>
  <c r="T3040" i="27"/>
  <c r="R3040" i="27"/>
  <c r="E3040" i="27" s="1"/>
  <c r="P3040" i="27"/>
  <c r="M3040" i="27"/>
  <c r="J3040" i="27"/>
  <c r="G3040" i="27"/>
  <c r="T3039" i="27"/>
  <c r="R3039" i="27"/>
  <c r="P3039" i="27"/>
  <c r="M3039" i="27"/>
  <c r="J3039" i="27"/>
  <c r="G3039" i="27"/>
  <c r="T3038" i="27"/>
  <c r="R3038" i="27"/>
  <c r="P3038" i="27"/>
  <c r="M3038" i="27"/>
  <c r="J3038" i="27"/>
  <c r="G3038" i="27"/>
  <c r="T3037" i="27"/>
  <c r="R3037" i="27"/>
  <c r="P3037" i="27"/>
  <c r="M3037" i="27"/>
  <c r="J3037" i="27"/>
  <c r="G3037" i="27"/>
  <c r="T3036" i="27"/>
  <c r="R3036" i="27"/>
  <c r="P3036" i="27"/>
  <c r="N3036" i="27" s="1"/>
  <c r="M3036" i="27"/>
  <c r="J3036" i="27"/>
  <c r="G3036" i="27"/>
  <c r="T3035" i="27"/>
  <c r="R3035" i="27"/>
  <c r="P3035" i="27"/>
  <c r="M3035" i="27"/>
  <c r="J3035" i="27"/>
  <c r="G3035" i="27"/>
  <c r="T3034" i="27"/>
  <c r="R3034" i="27"/>
  <c r="E3034" i="27" s="1"/>
  <c r="P3034" i="27"/>
  <c r="N3034" i="27" s="1"/>
  <c r="M3034" i="27"/>
  <c r="J3034" i="27"/>
  <c r="G3034" i="27"/>
  <c r="T3033" i="27"/>
  <c r="R3033" i="27"/>
  <c r="P3033" i="27"/>
  <c r="N3033" i="27" s="1"/>
  <c r="M3033" i="27"/>
  <c r="J3033" i="27"/>
  <c r="G3033" i="27"/>
  <c r="T3032" i="27"/>
  <c r="R3032" i="27"/>
  <c r="P3032" i="27"/>
  <c r="M3032" i="27"/>
  <c r="J3032" i="27"/>
  <c r="H3032" i="27" s="1"/>
  <c r="G3032" i="27"/>
  <c r="T3031" i="27"/>
  <c r="R3031" i="27"/>
  <c r="P3031" i="27"/>
  <c r="M3031" i="27"/>
  <c r="J3031" i="27"/>
  <c r="G3031" i="27"/>
  <c r="U3030" i="27"/>
  <c r="V3030" i="27" s="1"/>
  <c r="W3030" i="27" s="1"/>
  <c r="T3030" i="27"/>
  <c r="R3030" i="27"/>
  <c r="P3030" i="27"/>
  <c r="N3030" i="27" s="1"/>
  <c r="M3030" i="27"/>
  <c r="J3030" i="27"/>
  <c r="H3030" i="27" s="1"/>
  <c r="G3030" i="27"/>
  <c r="A3030" i="27"/>
  <c r="A3031" i="27" s="1"/>
  <c r="A3032" i="27" s="1"/>
  <c r="A3033" i="27" s="1"/>
  <c r="A3034" i="27" s="1"/>
  <c r="A3035" i="27" s="1"/>
  <c r="A3036" i="27" s="1"/>
  <c r="A3037" i="27" s="1"/>
  <c r="A3038" i="27" s="1"/>
  <c r="U3029" i="27"/>
  <c r="V3029" i="27" s="1"/>
  <c r="W3029" i="27" s="1"/>
  <c r="T3029" i="27"/>
  <c r="R3029" i="27"/>
  <c r="P3029" i="27"/>
  <c r="M3029" i="27"/>
  <c r="K3029" i="27"/>
  <c r="J3029" i="27"/>
  <c r="H3029" i="27" s="1"/>
  <c r="G3029" i="27"/>
  <c r="E3029" i="27" s="1"/>
  <c r="T3028" i="27"/>
  <c r="R3028" i="27"/>
  <c r="P3028" i="27"/>
  <c r="M3028" i="27"/>
  <c r="J3028" i="27"/>
  <c r="G3028" i="27"/>
  <c r="T3027" i="27"/>
  <c r="R3027" i="27"/>
  <c r="P3027" i="27"/>
  <c r="M3027" i="27"/>
  <c r="J3027" i="27"/>
  <c r="G3027" i="27"/>
  <c r="T3026" i="27"/>
  <c r="R3026" i="27"/>
  <c r="P3026" i="27"/>
  <c r="M3026" i="27"/>
  <c r="J3026" i="27"/>
  <c r="G3026" i="27"/>
  <c r="T3025" i="27"/>
  <c r="R3025" i="27"/>
  <c r="P3025" i="27"/>
  <c r="M3025" i="27"/>
  <c r="J3025" i="27"/>
  <c r="G3025" i="27"/>
  <c r="T3024" i="27"/>
  <c r="R3024" i="27"/>
  <c r="P3024" i="27"/>
  <c r="M3024" i="27"/>
  <c r="J3024" i="27"/>
  <c r="G3024" i="27"/>
  <c r="T3023" i="27"/>
  <c r="R3023" i="27"/>
  <c r="P3023" i="27"/>
  <c r="M3023" i="27"/>
  <c r="J3023" i="27"/>
  <c r="G3023" i="27"/>
  <c r="E3023" i="27" s="1"/>
  <c r="A3023" i="27"/>
  <c r="A3024" i="27" s="1"/>
  <c r="A3025" i="27" s="1"/>
  <c r="A3026" i="27" s="1"/>
  <c r="A3027" i="27" s="1"/>
  <c r="A3028" i="27" s="1"/>
  <c r="T3022" i="27"/>
  <c r="R3022" i="27"/>
  <c r="H3022" i="27" s="1"/>
  <c r="P3022" i="27"/>
  <c r="M3022" i="27"/>
  <c r="J3022" i="27"/>
  <c r="G3022" i="27"/>
  <c r="T3021" i="27"/>
  <c r="R3021" i="27"/>
  <c r="P3021" i="27"/>
  <c r="M3021" i="27"/>
  <c r="J3021" i="27"/>
  <c r="G3021" i="27"/>
  <c r="T3020" i="27"/>
  <c r="R3020" i="27"/>
  <c r="P3020" i="27"/>
  <c r="M3020" i="27"/>
  <c r="J3020" i="27"/>
  <c r="G3020" i="27"/>
  <c r="T3019" i="27"/>
  <c r="R3019" i="27"/>
  <c r="P3019" i="27"/>
  <c r="M3019" i="27"/>
  <c r="J3019" i="27"/>
  <c r="G3019" i="27"/>
  <c r="T3018" i="27"/>
  <c r="R3018" i="27"/>
  <c r="P3018" i="27"/>
  <c r="M3018" i="27"/>
  <c r="J3018" i="27"/>
  <c r="G3018" i="27"/>
  <c r="T3017" i="27"/>
  <c r="R3017" i="27"/>
  <c r="P3017" i="27"/>
  <c r="M3017" i="27"/>
  <c r="J3017" i="27"/>
  <c r="G3017" i="27"/>
  <c r="A3017" i="27"/>
  <c r="A3018" i="27" s="1"/>
  <c r="A3019" i="27" s="1"/>
  <c r="A3020" i="27" s="1"/>
  <c r="A3021" i="27" s="1"/>
  <c r="T3016" i="27"/>
  <c r="R3016" i="27"/>
  <c r="P3016" i="27"/>
  <c r="N3016" i="27" s="1"/>
  <c r="M3016" i="27"/>
  <c r="J3016" i="27"/>
  <c r="G3016" i="27"/>
  <c r="T3015" i="27"/>
  <c r="R3015" i="27"/>
  <c r="K3015" i="27" s="1"/>
  <c r="P3015" i="27"/>
  <c r="M3015" i="27"/>
  <c r="J3015" i="27"/>
  <c r="G3015" i="27"/>
  <c r="T3014" i="27"/>
  <c r="R3014" i="27"/>
  <c r="P3014" i="27"/>
  <c r="M3014" i="27"/>
  <c r="J3014" i="27"/>
  <c r="G3014" i="27"/>
  <c r="T3013" i="27"/>
  <c r="R3013" i="27"/>
  <c r="U3013" i="27" s="1"/>
  <c r="V3013" i="27" s="1"/>
  <c r="W3013" i="27" s="1"/>
  <c r="P3013" i="27"/>
  <c r="M3013" i="27"/>
  <c r="J3013" i="27"/>
  <c r="G3013" i="27"/>
  <c r="T3012" i="27"/>
  <c r="R3012" i="27"/>
  <c r="P3012" i="27"/>
  <c r="M3012" i="27"/>
  <c r="J3012" i="27"/>
  <c r="G3012" i="27"/>
  <c r="T3011" i="27"/>
  <c r="R3011" i="27"/>
  <c r="P3011" i="27"/>
  <c r="M3011" i="27"/>
  <c r="J3011" i="27"/>
  <c r="G3011" i="27"/>
  <c r="T3010" i="27"/>
  <c r="R3010" i="27"/>
  <c r="P3010" i="27"/>
  <c r="M3010" i="27"/>
  <c r="J3010" i="27"/>
  <c r="G3010" i="27"/>
  <c r="T3009" i="27"/>
  <c r="R3009" i="27"/>
  <c r="P3009" i="27"/>
  <c r="M3009" i="27"/>
  <c r="J3009" i="27"/>
  <c r="G3009" i="27"/>
  <c r="T3008" i="27"/>
  <c r="R3008" i="27"/>
  <c r="P3008" i="27"/>
  <c r="M3008" i="27"/>
  <c r="J3008" i="27"/>
  <c r="H3008" i="27" s="1"/>
  <c r="G3008" i="27"/>
  <c r="U3007" i="27"/>
  <c r="V3007" i="27" s="1"/>
  <c r="W3007" i="27" s="1"/>
  <c r="T3007" i="27"/>
  <c r="P3007" i="27"/>
  <c r="N3007" i="27" s="1"/>
  <c r="O3007" i="27"/>
  <c r="L3007" i="27"/>
  <c r="M3007" i="27" s="1"/>
  <c r="K3007" i="27" s="1"/>
  <c r="J3007" i="27"/>
  <c r="H3007" i="27" s="1"/>
  <c r="F3007" i="27"/>
  <c r="G3007" i="27" s="1"/>
  <c r="E3007" i="27" s="1"/>
  <c r="V3006" i="27"/>
  <c r="W3006" i="27" s="1"/>
  <c r="U3006" i="27"/>
  <c r="T3006" i="27"/>
  <c r="O3006" i="27"/>
  <c r="P3006" i="27" s="1"/>
  <c r="N3006" i="27" s="1"/>
  <c r="L3006" i="27"/>
  <c r="M3006" i="27" s="1"/>
  <c r="K3006" i="27" s="1"/>
  <c r="J3006" i="27"/>
  <c r="H3006" i="27" s="1"/>
  <c r="G3006" i="27"/>
  <c r="E3006" i="27" s="1"/>
  <c r="F3006" i="27"/>
  <c r="U3005" i="27"/>
  <c r="V3005" i="27" s="1"/>
  <c r="W3005" i="27" s="1"/>
  <c r="T3005" i="27"/>
  <c r="O3005" i="27"/>
  <c r="P3005" i="27" s="1"/>
  <c r="N3005" i="27" s="1"/>
  <c r="L3005" i="27"/>
  <c r="M3005" i="27" s="1"/>
  <c r="K3005" i="27" s="1"/>
  <c r="J3005" i="27"/>
  <c r="H3005" i="27" s="1"/>
  <c r="F3005" i="27"/>
  <c r="G3005" i="27" s="1"/>
  <c r="E3005" i="27" s="1"/>
  <c r="U3004" i="27"/>
  <c r="V3004" i="27" s="1"/>
  <c r="W3004" i="27" s="1"/>
  <c r="T3004" i="27"/>
  <c r="O3004" i="27"/>
  <c r="P3004" i="27" s="1"/>
  <c r="N3004" i="27" s="1"/>
  <c r="L3004" i="27"/>
  <c r="M3004" i="27" s="1"/>
  <c r="K3004" i="27" s="1"/>
  <c r="J3004" i="27"/>
  <c r="H3004" i="27" s="1"/>
  <c r="F3004" i="27"/>
  <c r="G3004" i="27" s="1"/>
  <c r="E3004" i="27"/>
  <c r="U3003" i="27"/>
  <c r="V3003" i="27" s="1"/>
  <c r="W3003" i="27" s="1"/>
  <c r="T3003" i="27"/>
  <c r="O3003" i="27"/>
  <c r="P3003" i="27" s="1"/>
  <c r="N3003" i="27" s="1"/>
  <c r="M3003" i="27"/>
  <c r="K3003" i="27" s="1"/>
  <c r="L3003" i="27"/>
  <c r="J3003" i="27"/>
  <c r="H3003" i="27" s="1"/>
  <c r="F3003" i="27"/>
  <c r="G3003" i="27" s="1"/>
  <c r="E3003" i="27" s="1"/>
  <c r="T3002" i="27"/>
  <c r="R3002" i="27"/>
  <c r="U3002" i="27" s="1"/>
  <c r="V3002" i="27" s="1"/>
  <c r="W3002" i="27" s="1"/>
  <c r="P3002" i="27"/>
  <c r="N3002" i="27" s="1"/>
  <c r="M3002" i="27"/>
  <c r="J3002" i="27"/>
  <c r="G3002" i="27"/>
  <c r="T3001" i="27"/>
  <c r="R3001" i="27"/>
  <c r="P3001" i="27"/>
  <c r="M3001" i="27"/>
  <c r="J3001" i="27"/>
  <c r="G3001" i="27"/>
  <c r="E3001" i="27" s="1"/>
  <c r="T3000" i="27"/>
  <c r="R3000" i="27"/>
  <c r="P3000" i="27"/>
  <c r="M3000" i="27"/>
  <c r="J3000" i="27"/>
  <c r="G3000" i="27"/>
  <c r="T2999" i="27"/>
  <c r="R2999" i="27"/>
  <c r="U2999" i="27" s="1"/>
  <c r="V2999" i="27" s="1"/>
  <c r="W2999" i="27" s="1"/>
  <c r="P2999" i="27"/>
  <c r="M2999" i="27"/>
  <c r="J2999" i="27"/>
  <c r="G2999" i="27"/>
  <c r="T2998" i="27"/>
  <c r="R2998" i="27"/>
  <c r="P2998" i="27"/>
  <c r="N2998" i="27" s="1"/>
  <c r="M2998" i="27"/>
  <c r="J2998" i="27"/>
  <c r="G2998" i="27"/>
  <c r="T2997" i="27"/>
  <c r="R2997" i="27"/>
  <c r="P2997" i="27"/>
  <c r="M2997" i="27"/>
  <c r="J2997" i="27"/>
  <c r="G2997" i="27"/>
  <c r="T2996" i="27"/>
  <c r="R2996" i="27"/>
  <c r="P2996" i="27"/>
  <c r="N2996" i="27" s="1"/>
  <c r="M2996" i="27"/>
  <c r="J2996" i="27"/>
  <c r="G2996" i="27"/>
  <c r="U2995" i="27"/>
  <c r="V2995" i="27" s="1"/>
  <c r="W2995" i="27" s="1"/>
  <c r="T2995" i="27"/>
  <c r="R2995" i="27"/>
  <c r="P2995" i="27"/>
  <c r="M2995" i="27"/>
  <c r="J2995" i="27"/>
  <c r="G2995" i="27"/>
  <c r="T2994" i="27"/>
  <c r="R2994" i="27"/>
  <c r="P2994" i="27"/>
  <c r="M2994" i="27"/>
  <c r="J2994" i="27"/>
  <c r="G2994" i="27"/>
  <c r="T2993" i="27"/>
  <c r="R2993" i="27"/>
  <c r="P2993" i="27"/>
  <c r="M2993" i="27"/>
  <c r="J2993" i="27"/>
  <c r="G2993" i="27"/>
  <c r="A2993" i="27"/>
  <c r="A2994" i="27" s="1"/>
  <c r="A2995" i="27" s="1"/>
  <c r="A2996" i="27" s="1"/>
  <c r="A2997" i="27" s="1"/>
  <c r="T2992" i="27"/>
  <c r="R2992" i="27"/>
  <c r="U2992" i="27" s="1"/>
  <c r="V2992" i="27" s="1"/>
  <c r="W2992" i="27" s="1"/>
  <c r="P2992" i="27"/>
  <c r="M2992" i="27"/>
  <c r="K2992" i="27" s="1"/>
  <c r="J2992" i="27"/>
  <c r="G2992" i="27"/>
  <c r="T2990" i="27"/>
  <c r="R2990" i="27"/>
  <c r="P2990" i="27"/>
  <c r="M2990" i="27"/>
  <c r="J2990" i="27"/>
  <c r="G2990" i="27"/>
  <c r="T2989" i="27"/>
  <c r="R2989" i="27"/>
  <c r="P2989" i="27"/>
  <c r="M2989" i="27"/>
  <c r="J2989" i="27"/>
  <c r="G2989" i="27"/>
  <c r="T2988" i="27"/>
  <c r="R2988" i="27"/>
  <c r="U2988" i="27" s="1"/>
  <c r="V2988" i="27" s="1"/>
  <c r="W2988" i="27" s="1"/>
  <c r="P2988" i="27"/>
  <c r="N2988" i="27"/>
  <c r="M2988" i="27"/>
  <c r="K2988" i="27" s="1"/>
  <c r="J2988" i="27"/>
  <c r="G2988" i="27"/>
  <c r="T2987" i="27"/>
  <c r="R2987" i="27"/>
  <c r="P2987" i="27"/>
  <c r="M2987" i="27"/>
  <c r="J2987" i="27"/>
  <c r="G2987" i="27"/>
  <c r="T2986" i="27"/>
  <c r="R2986" i="27"/>
  <c r="U2986" i="27" s="1"/>
  <c r="V2986" i="27" s="1"/>
  <c r="W2986" i="27" s="1"/>
  <c r="P2986" i="27"/>
  <c r="M2986" i="27"/>
  <c r="J2986" i="27"/>
  <c r="G2986" i="27"/>
  <c r="U2984" i="27"/>
  <c r="V2984" i="27" s="1"/>
  <c r="W2984" i="27" s="1"/>
  <c r="P2984" i="27"/>
  <c r="N2984" i="27"/>
  <c r="M2984" i="27"/>
  <c r="K2984" i="27" s="1"/>
  <c r="J2984" i="27"/>
  <c r="H2984" i="27"/>
  <c r="G2984" i="27"/>
  <c r="E2984" i="27" s="1"/>
  <c r="W2983" i="27"/>
  <c r="U2983" i="27"/>
  <c r="V2983" i="27" s="1"/>
  <c r="P2983" i="27"/>
  <c r="N2983" i="27" s="1"/>
  <c r="M2983" i="27"/>
  <c r="K2983" i="27"/>
  <c r="J2983" i="27"/>
  <c r="H2983" i="27"/>
  <c r="G2983" i="27"/>
  <c r="E2983" i="27" s="1"/>
  <c r="V2982" i="27"/>
  <c r="W2982" i="27" s="1"/>
  <c r="U2982" i="27"/>
  <c r="P2982" i="27"/>
  <c r="N2982" i="27"/>
  <c r="M2982" i="27"/>
  <c r="K2982" i="27" s="1"/>
  <c r="J2982" i="27"/>
  <c r="H2982" i="27" s="1"/>
  <c r="G2982" i="27"/>
  <c r="E2982" i="27" s="1"/>
  <c r="U2981" i="27"/>
  <c r="V2981" i="27" s="1"/>
  <c r="W2981" i="27" s="1"/>
  <c r="P2981" i="27"/>
  <c r="N2981" i="27" s="1"/>
  <c r="M2981" i="27"/>
  <c r="K2981" i="27"/>
  <c r="J2981" i="27"/>
  <c r="H2981" i="27" s="1"/>
  <c r="G2981" i="27"/>
  <c r="E2981" i="27"/>
  <c r="U2980" i="27"/>
  <c r="V2980" i="27" s="1"/>
  <c r="W2980" i="27" s="1"/>
  <c r="P2980" i="27"/>
  <c r="N2980" i="27" s="1"/>
  <c r="M2980" i="27"/>
  <c r="K2980" i="27" s="1"/>
  <c r="J2980" i="27"/>
  <c r="H2980" i="27" s="1"/>
  <c r="G2980" i="27"/>
  <c r="E2980" i="27" s="1"/>
  <c r="U2979" i="27"/>
  <c r="V2979" i="27" s="1"/>
  <c r="W2979" i="27" s="1"/>
  <c r="P2979" i="27"/>
  <c r="N2979" i="27" s="1"/>
  <c r="M2979" i="27"/>
  <c r="K2979" i="27" s="1"/>
  <c r="J2979" i="27"/>
  <c r="H2979" i="27" s="1"/>
  <c r="G2979" i="27"/>
  <c r="E2979" i="27" s="1"/>
  <c r="U2977" i="27"/>
  <c r="V2977" i="27" s="1"/>
  <c r="W2977" i="27" s="1"/>
  <c r="P2977" i="27"/>
  <c r="N2977" i="27" s="1"/>
  <c r="M2977" i="27"/>
  <c r="K2977" i="27" s="1"/>
  <c r="J2977" i="27"/>
  <c r="H2977" i="27" s="1"/>
  <c r="G2977" i="27"/>
  <c r="E2977" i="27" s="1"/>
  <c r="U2976" i="27"/>
  <c r="V2976" i="27" s="1"/>
  <c r="W2976" i="27" s="1"/>
  <c r="P2976" i="27"/>
  <c r="N2976" i="27" s="1"/>
  <c r="M2976" i="27"/>
  <c r="K2976" i="27" s="1"/>
  <c r="J2976" i="27"/>
  <c r="H2976" i="27" s="1"/>
  <c r="G2976" i="27"/>
  <c r="E2976" i="27" s="1"/>
  <c r="U2975" i="27"/>
  <c r="V2975" i="27" s="1"/>
  <c r="W2975" i="27" s="1"/>
  <c r="P2975" i="27"/>
  <c r="N2975" i="27" s="1"/>
  <c r="M2975" i="27"/>
  <c r="K2975" i="27" s="1"/>
  <c r="J2975" i="27"/>
  <c r="H2975" i="27" s="1"/>
  <c r="G2975" i="27"/>
  <c r="E2975" i="27" s="1"/>
  <c r="U2974" i="27"/>
  <c r="V2974" i="27" s="1"/>
  <c r="W2974" i="27" s="1"/>
  <c r="P2974" i="27"/>
  <c r="N2974" i="27" s="1"/>
  <c r="M2974" i="27"/>
  <c r="K2974" i="27" s="1"/>
  <c r="J2974" i="27"/>
  <c r="H2974" i="27" s="1"/>
  <c r="G2974" i="27"/>
  <c r="E2974" i="27" s="1"/>
  <c r="U2973" i="27"/>
  <c r="V2973" i="27" s="1"/>
  <c r="W2973" i="27" s="1"/>
  <c r="P2973" i="27"/>
  <c r="N2973" i="27" s="1"/>
  <c r="M2973" i="27"/>
  <c r="K2973" i="27" s="1"/>
  <c r="J2973" i="27"/>
  <c r="H2973" i="27" s="1"/>
  <c r="G2973" i="27"/>
  <c r="E2973" i="27" s="1"/>
  <c r="U2972" i="27"/>
  <c r="V2972" i="27" s="1"/>
  <c r="W2972" i="27" s="1"/>
  <c r="P2972" i="27"/>
  <c r="N2972" i="27" s="1"/>
  <c r="M2972" i="27"/>
  <c r="K2972" i="27"/>
  <c r="J2972" i="27"/>
  <c r="H2972" i="27"/>
  <c r="G2972" i="27"/>
  <c r="E2972" i="27" s="1"/>
  <c r="U2971" i="27"/>
  <c r="V2971" i="27" s="1"/>
  <c r="W2971" i="27" s="1"/>
  <c r="P2971" i="27"/>
  <c r="N2971" i="27" s="1"/>
  <c r="M2971" i="27"/>
  <c r="K2971" i="27" s="1"/>
  <c r="J2971" i="27"/>
  <c r="H2971" i="27" s="1"/>
  <c r="G2971" i="27"/>
  <c r="E2971" i="27" s="1"/>
  <c r="U2970" i="27"/>
  <c r="V2970" i="27" s="1"/>
  <c r="W2970" i="27" s="1"/>
  <c r="P2970" i="27"/>
  <c r="N2970" i="27" s="1"/>
  <c r="M2970" i="27"/>
  <c r="K2970" i="27" s="1"/>
  <c r="J2970" i="27"/>
  <c r="H2970" i="27" s="1"/>
  <c r="G2970" i="27"/>
  <c r="E2970" i="27" s="1"/>
  <c r="U2969" i="27"/>
  <c r="V2969" i="27" s="1"/>
  <c r="W2969" i="27" s="1"/>
  <c r="P2969" i="27"/>
  <c r="N2969" i="27" s="1"/>
  <c r="M2969" i="27"/>
  <c r="K2969" i="27" s="1"/>
  <c r="J2969" i="27"/>
  <c r="H2969" i="27"/>
  <c r="G2969" i="27"/>
  <c r="E2969" i="27" s="1"/>
  <c r="U2968" i="27"/>
  <c r="V2968" i="27" s="1"/>
  <c r="W2968" i="27" s="1"/>
  <c r="P2968" i="27"/>
  <c r="N2968" i="27" s="1"/>
  <c r="M2968" i="27"/>
  <c r="K2968" i="27" s="1"/>
  <c r="J2968" i="27"/>
  <c r="H2968" i="27"/>
  <c r="G2968" i="27"/>
  <c r="E2968" i="27" s="1"/>
  <c r="T2967" i="27"/>
  <c r="R2967" i="27"/>
  <c r="O2967" i="27"/>
  <c r="P2967" i="27" s="1"/>
  <c r="N2967" i="27" s="1"/>
  <c r="L2967" i="27"/>
  <c r="M2967" i="27" s="1"/>
  <c r="I2967" i="27"/>
  <c r="J2967" i="27" s="1"/>
  <c r="H2967" i="27"/>
  <c r="F2967" i="27"/>
  <c r="G2967" i="27" s="1"/>
  <c r="E2967" i="27" s="1"/>
  <c r="U2966" i="27"/>
  <c r="V2966" i="27" s="1"/>
  <c r="W2966" i="27" s="1"/>
  <c r="T2966" i="27"/>
  <c r="P2966" i="27"/>
  <c r="N2966" i="27" s="1"/>
  <c r="O2966" i="27"/>
  <c r="M2966" i="27"/>
  <c r="K2966" i="27" s="1"/>
  <c r="L2966" i="27"/>
  <c r="I2966" i="27"/>
  <c r="J2966" i="27" s="1"/>
  <c r="H2966" i="27" s="1"/>
  <c r="F2966" i="27"/>
  <c r="G2966" i="27" s="1"/>
  <c r="E2966" i="27" s="1"/>
  <c r="T2965" i="27"/>
  <c r="R2965" i="27"/>
  <c r="O2965" i="27"/>
  <c r="P2965" i="27" s="1"/>
  <c r="L2965" i="27"/>
  <c r="M2965" i="27" s="1"/>
  <c r="J2965" i="27"/>
  <c r="I2965" i="27"/>
  <c r="F2965" i="27"/>
  <c r="G2965" i="27" s="1"/>
  <c r="V2964" i="27"/>
  <c r="W2964" i="27" s="1"/>
  <c r="U2964" i="27"/>
  <c r="T2964" i="27"/>
  <c r="O2964" i="27"/>
  <c r="P2964" i="27" s="1"/>
  <c r="N2964" i="27" s="1"/>
  <c r="L2964" i="27"/>
  <c r="M2964" i="27" s="1"/>
  <c r="K2964" i="27" s="1"/>
  <c r="I2964" i="27"/>
  <c r="J2964" i="27" s="1"/>
  <c r="H2964" i="27" s="1"/>
  <c r="F2964" i="27"/>
  <c r="G2964" i="27" s="1"/>
  <c r="E2964" i="27" s="1"/>
  <c r="T2963" i="27"/>
  <c r="R2963" i="27"/>
  <c r="O2963" i="27"/>
  <c r="P2963" i="27" s="1"/>
  <c r="L2963" i="27"/>
  <c r="M2963" i="27" s="1"/>
  <c r="I2963" i="27"/>
  <c r="J2963" i="27" s="1"/>
  <c r="F2963" i="27"/>
  <c r="G2963" i="27" s="1"/>
  <c r="U2962" i="27"/>
  <c r="V2962" i="27" s="1"/>
  <c r="W2962" i="27" s="1"/>
  <c r="T2962" i="27"/>
  <c r="O2962" i="27"/>
  <c r="P2962" i="27" s="1"/>
  <c r="N2962" i="27" s="1"/>
  <c r="L2962" i="27"/>
  <c r="M2962" i="27" s="1"/>
  <c r="K2962" i="27" s="1"/>
  <c r="I2962" i="27"/>
  <c r="J2962" i="27" s="1"/>
  <c r="H2962" i="27" s="1"/>
  <c r="F2962" i="27"/>
  <c r="G2962" i="27" s="1"/>
  <c r="E2962" i="27" s="1"/>
  <c r="T2961" i="27"/>
  <c r="O2961" i="27"/>
  <c r="P2961" i="27" s="1"/>
  <c r="L2961" i="27"/>
  <c r="M2961" i="27" s="1"/>
  <c r="I2961" i="27"/>
  <c r="J2961" i="27" s="1"/>
  <c r="F2961" i="27"/>
  <c r="T2960" i="27"/>
  <c r="R2960" i="27"/>
  <c r="P2960" i="27"/>
  <c r="M2960" i="27"/>
  <c r="J2960" i="27"/>
  <c r="G2960" i="27"/>
  <c r="T2959" i="27"/>
  <c r="R2959" i="27"/>
  <c r="K2959" i="27" s="1"/>
  <c r="P2959" i="27"/>
  <c r="N2959" i="27" s="1"/>
  <c r="M2959" i="27"/>
  <c r="J2959" i="27"/>
  <c r="G2959" i="27"/>
  <c r="E2959" i="27"/>
  <c r="T2958" i="27"/>
  <c r="R2958" i="27"/>
  <c r="P2958" i="27"/>
  <c r="M2958" i="27"/>
  <c r="J2958" i="27"/>
  <c r="G2958" i="27"/>
  <c r="U2957" i="27"/>
  <c r="V2957" i="27" s="1"/>
  <c r="W2957" i="27" s="1"/>
  <c r="T2957" i="27"/>
  <c r="O2957" i="27"/>
  <c r="P2957" i="27" s="1"/>
  <c r="N2957" i="27" s="1"/>
  <c r="L2957" i="27"/>
  <c r="M2957" i="27" s="1"/>
  <c r="K2957" i="27" s="1"/>
  <c r="J2957" i="27"/>
  <c r="H2957" i="27" s="1"/>
  <c r="I2957" i="27"/>
  <c r="G2957" i="27"/>
  <c r="E2957" i="27" s="1"/>
  <c r="U2956" i="27"/>
  <c r="V2956" i="27" s="1"/>
  <c r="W2956" i="27" s="1"/>
  <c r="T2956" i="27"/>
  <c r="O2956" i="27"/>
  <c r="P2956" i="27" s="1"/>
  <c r="N2956" i="27" s="1"/>
  <c r="L2956" i="27"/>
  <c r="M2956" i="27" s="1"/>
  <c r="K2956" i="27" s="1"/>
  <c r="I2956" i="27"/>
  <c r="J2956" i="27" s="1"/>
  <c r="H2956" i="27" s="1"/>
  <c r="G2956" i="27"/>
  <c r="E2956" i="27" s="1"/>
  <c r="U2955" i="27"/>
  <c r="V2955" i="27" s="1"/>
  <c r="W2955" i="27" s="1"/>
  <c r="T2955" i="27"/>
  <c r="O2955" i="27"/>
  <c r="P2955" i="27" s="1"/>
  <c r="N2955" i="27" s="1"/>
  <c r="L2955" i="27"/>
  <c r="M2955" i="27" s="1"/>
  <c r="K2955" i="27" s="1"/>
  <c r="I2955" i="27"/>
  <c r="J2955" i="27" s="1"/>
  <c r="H2955" i="27" s="1"/>
  <c r="G2955" i="27"/>
  <c r="E2955" i="27" s="1"/>
  <c r="U2954" i="27"/>
  <c r="V2954" i="27" s="1"/>
  <c r="W2954" i="27" s="1"/>
  <c r="T2954" i="27"/>
  <c r="O2954" i="27"/>
  <c r="P2954" i="27" s="1"/>
  <c r="N2954" i="27" s="1"/>
  <c r="L2954" i="27"/>
  <c r="M2954" i="27" s="1"/>
  <c r="K2954" i="27" s="1"/>
  <c r="I2954" i="27"/>
  <c r="J2954" i="27" s="1"/>
  <c r="H2954" i="27" s="1"/>
  <c r="G2954" i="27"/>
  <c r="E2954" i="27" s="1"/>
  <c r="U2953" i="27"/>
  <c r="V2953" i="27" s="1"/>
  <c r="W2953" i="27" s="1"/>
  <c r="T2953" i="27"/>
  <c r="O2953" i="27"/>
  <c r="P2953" i="27" s="1"/>
  <c r="N2953" i="27" s="1"/>
  <c r="L2953" i="27"/>
  <c r="M2953" i="27" s="1"/>
  <c r="K2953" i="27" s="1"/>
  <c r="I2953" i="27"/>
  <c r="J2953" i="27" s="1"/>
  <c r="H2953" i="27" s="1"/>
  <c r="G2953" i="27"/>
  <c r="E2953" i="27" s="1"/>
  <c r="V2952" i="27"/>
  <c r="W2952" i="27" s="1"/>
  <c r="U2952" i="27"/>
  <c r="T2952" i="27"/>
  <c r="O2952" i="27"/>
  <c r="P2952" i="27" s="1"/>
  <c r="N2952" i="27" s="1"/>
  <c r="L2952" i="27"/>
  <c r="M2952" i="27" s="1"/>
  <c r="K2952" i="27" s="1"/>
  <c r="I2952" i="27"/>
  <c r="J2952" i="27" s="1"/>
  <c r="H2952" i="27" s="1"/>
  <c r="G2952" i="27"/>
  <c r="E2952" i="27" s="1"/>
  <c r="U2951" i="27"/>
  <c r="V2951" i="27" s="1"/>
  <c r="W2951" i="27" s="1"/>
  <c r="T2951" i="27"/>
  <c r="P2951" i="27"/>
  <c r="N2951" i="27" s="1"/>
  <c r="O2951" i="27"/>
  <c r="L2951" i="27"/>
  <c r="M2951" i="27" s="1"/>
  <c r="K2951" i="27" s="1"/>
  <c r="I2951" i="27"/>
  <c r="J2951" i="27" s="1"/>
  <c r="H2951" i="27" s="1"/>
  <c r="G2951" i="27"/>
  <c r="E2951" i="27" s="1"/>
  <c r="U2950" i="27"/>
  <c r="V2950" i="27" s="1"/>
  <c r="W2950" i="27" s="1"/>
  <c r="T2950" i="27"/>
  <c r="O2950" i="27"/>
  <c r="P2950" i="27" s="1"/>
  <c r="N2950" i="27" s="1"/>
  <c r="L2950" i="27"/>
  <c r="M2950" i="27" s="1"/>
  <c r="K2950" i="27" s="1"/>
  <c r="I2950" i="27"/>
  <c r="J2950" i="27" s="1"/>
  <c r="H2950" i="27"/>
  <c r="G2950" i="27"/>
  <c r="E2950" i="27" s="1"/>
  <c r="T2949" i="27"/>
  <c r="R2949" i="27"/>
  <c r="U2949" i="27" s="1"/>
  <c r="V2949" i="27" s="1"/>
  <c r="W2949" i="27" s="1"/>
  <c r="P2949" i="27"/>
  <c r="M2949" i="27"/>
  <c r="J2949" i="27"/>
  <c r="G2949" i="27"/>
  <c r="E2949" i="27"/>
  <c r="T2948" i="27"/>
  <c r="R2948" i="27"/>
  <c r="P2948" i="27"/>
  <c r="M2948" i="27"/>
  <c r="J2948" i="27"/>
  <c r="H2948" i="27" s="1"/>
  <c r="G2948" i="27"/>
  <c r="T2947" i="27"/>
  <c r="R2947" i="27"/>
  <c r="P2947" i="27"/>
  <c r="M2947" i="27"/>
  <c r="J2947" i="27"/>
  <c r="G2947" i="27"/>
  <c r="T2946" i="27"/>
  <c r="R2946" i="27"/>
  <c r="U2946" i="27" s="1"/>
  <c r="V2946" i="27" s="1"/>
  <c r="W2946" i="27" s="1"/>
  <c r="P2946" i="27"/>
  <c r="N2946" i="27" s="1"/>
  <c r="M2946" i="27"/>
  <c r="K2946" i="27"/>
  <c r="J2946" i="27"/>
  <c r="H2946" i="27" s="1"/>
  <c r="G2946" i="27"/>
  <c r="E2946" i="27" s="1"/>
  <c r="T2945" i="27"/>
  <c r="R2945" i="27"/>
  <c r="P2945" i="27"/>
  <c r="M2945" i="27"/>
  <c r="J2945" i="27"/>
  <c r="G2945" i="27"/>
  <c r="E2945" i="27" s="1"/>
  <c r="T2944" i="27"/>
  <c r="R2944" i="27"/>
  <c r="P2944" i="27"/>
  <c r="M2944" i="27"/>
  <c r="J2944" i="27"/>
  <c r="G2944" i="27"/>
  <c r="T2943" i="27"/>
  <c r="R2943" i="27"/>
  <c r="P2943" i="27"/>
  <c r="M2943" i="27"/>
  <c r="J2943" i="27"/>
  <c r="G2943" i="27"/>
  <c r="R2942" i="27"/>
  <c r="P2942" i="27"/>
  <c r="M2942" i="27"/>
  <c r="J2942" i="27"/>
  <c r="G2942" i="27"/>
  <c r="R2941" i="27"/>
  <c r="P2941" i="27"/>
  <c r="M2941" i="27"/>
  <c r="K2941" i="27" s="1"/>
  <c r="J2941" i="27"/>
  <c r="G2941" i="27"/>
  <c r="R2940" i="27"/>
  <c r="P2940" i="27"/>
  <c r="M2940" i="27"/>
  <c r="J2940" i="27"/>
  <c r="G2940" i="27"/>
  <c r="R2939" i="27"/>
  <c r="P2939" i="27"/>
  <c r="M2939" i="27"/>
  <c r="J2939" i="27"/>
  <c r="G2939" i="27"/>
  <c r="R2938" i="27"/>
  <c r="U2938" i="27" s="1"/>
  <c r="V2938" i="27" s="1"/>
  <c r="W2938" i="27" s="1"/>
  <c r="P2938" i="27"/>
  <c r="M2938" i="27"/>
  <c r="J2938" i="27"/>
  <c r="G2938" i="27"/>
  <c r="R2937" i="27"/>
  <c r="P2937" i="27"/>
  <c r="M2937" i="27"/>
  <c r="J2937" i="27"/>
  <c r="G2937" i="27"/>
  <c r="R2936" i="27"/>
  <c r="P2936" i="27"/>
  <c r="M2936" i="27"/>
  <c r="J2936" i="27"/>
  <c r="G2936" i="27"/>
  <c r="R2935" i="27"/>
  <c r="P2935" i="27"/>
  <c r="M2935" i="27"/>
  <c r="J2935" i="27"/>
  <c r="H2935" i="27" s="1"/>
  <c r="G2935" i="27"/>
  <c r="E2935" i="27"/>
  <c r="R2934" i="27"/>
  <c r="P2934" i="27"/>
  <c r="N2934" i="27"/>
  <c r="M2934" i="27"/>
  <c r="J2934" i="27"/>
  <c r="G2934" i="27"/>
  <c r="E2934" i="27" s="1"/>
  <c r="R2933" i="27"/>
  <c r="U2933" i="27" s="1"/>
  <c r="V2933" i="27" s="1"/>
  <c r="W2933" i="27" s="1"/>
  <c r="P2933" i="27"/>
  <c r="M2933" i="27"/>
  <c r="J2933" i="27"/>
  <c r="H2933" i="27"/>
  <c r="G2933" i="27"/>
  <c r="U2932" i="27"/>
  <c r="V2932" i="27" s="1"/>
  <c r="W2932" i="27" s="1"/>
  <c r="R2932" i="27"/>
  <c r="H2932" i="27" s="1"/>
  <c r="P2932" i="27"/>
  <c r="N2932" i="27" s="1"/>
  <c r="M2932" i="27"/>
  <c r="J2932" i="27"/>
  <c r="G2932" i="27"/>
  <c r="E2932" i="27" s="1"/>
  <c r="R2931" i="27"/>
  <c r="P2931" i="27"/>
  <c r="N2931" i="27" s="1"/>
  <c r="M2931" i="27"/>
  <c r="J2931" i="27"/>
  <c r="G2931" i="27"/>
  <c r="R2930" i="27"/>
  <c r="U2930" i="27" s="1"/>
  <c r="V2930" i="27" s="1"/>
  <c r="W2930" i="27" s="1"/>
  <c r="P2930" i="27"/>
  <c r="N2930" i="27" s="1"/>
  <c r="M2930" i="27"/>
  <c r="J2930" i="27"/>
  <c r="G2930" i="27"/>
  <c r="E2930" i="27" s="1"/>
  <c r="R2929" i="27"/>
  <c r="P2929" i="27"/>
  <c r="M2929" i="27"/>
  <c r="J2929" i="27"/>
  <c r="G2929" i="27"/>
  <c r="U2928" i="27"/>
  <c r="V2928" i="27" s="1"/>
  <c r="W2928" i="27" s="1"/>
  <c r="R2928" i="27"/>
  <c r="P2928" i="27"/>
  <c r="M2928" i="27"/>
  <c r="J2928" i="27"/>
  <c r="G2928" i="27"/>
  <c r="R2927" i="27"/>
  <c r="K2927" i="27" s="1"/>
  <c r="P2927" i="27"/>
  <c r="M2927" i="27"/>
  <c r="J2927" i="27"/>
  <c r="G2927" i="27"/>
  <c r="U2926" i="27"/>
  <c r="V2926" i="27" s="1"/>
  <c r="W2926" i="27" s="1"/>
  <c r="R2926" i="27"/>
  <c r="E2926" i="27" s="1"/>
  <c r="P2926" i="27"/>
  <c r="N2926" i="27" s="1"/>
  <c r="M2926" i="27"/>
  <c r="J2926" i="27"/>
  <c r="H2926" i="27" s="1"/>
  <c r="G2926" i="27"/>
  <c r="R2925" i="27"/>
  <c r="N2925" i="27" s="1"/>
  <c r="P2925" i="27"/>
  <c r="M2925" i="27"/>
  <c r="J2925" i="27"/>
  <c r="G2925" i="27"/>
  <c r="R2924" i="27"/>
  <c r="P2924" i="27"/>
  <c r="M2924" i="27"/>
  <c r="J2924" i="27"/>
  <c r="H2924" i="27"/>
  <c r="G2924" i="27"/>
  <c r="V2923" i="27"/>
  <c r="W2923" i="27" s="1"/>
  <c r="R2923" i="27"/>
  <c r="U2923" i="27" s="1"/>
  <c r="P2923" i="27"/>
  <c r="M2923" i="27"/>
  <c r="K2923" i="27"/>
  <c r="J2923" i="27"/>
  <c r="H2923" i="27"/>
  <c r="G2923" i="27"/>
  <c r="R2921" i="27"/>
  <c r="P2921" i="27"/>
  <c r="M2921" i="27"/>
  <c r="J2921" i="27"/>
  <c r="G2921" i="27"/>
  <c r="E2921" i="27" s="1"/>
  <c r="R2920" i="27"/>
  <c r="P2920" i="27"/>
  <c r="M2920" i="27"/>
  <c r="J2920" i="27"/>
  <c r="G2920" i="27"/>
  <c r="R2919" i="27"/>
  <c r="P2919" i="27"/>
  <c r="M2919" i="27"/>
  <c r="J2919" i="27"/>
  <c r="G2919" i="27"/>
  <c r="E2919" i="27" s="1"/>
  <c r="R2918" i="27"/>
  <c r="P2918" i="27"/>
  <c r="M2918" i="27"/>
  <c r="J2918" i="27"/>
  <c r="G2918" i="27"/>
  <c r="R2917" i="27"/>
  <c r="P2917" i="27"/>
  <c r="N2917" i="27" s="1"/>
  <c r="M2917" i="27"/>
  <c r="J2917" i="27"/>
  <c r="G2917" i="27"/>
  <c r="U2916" i="27"/>
  <c r="V2916" i="27" s="1"/>
  <c r="W2916" i="27" s="1"/>
  <c r="R2916" i="27"/>
  <c r="P2916" i="27"/>
  <c r="M2916" i="27"/>
  <c r="J2916" i="27"/>
  <c r="G2916" i="27"/>
  <c r="R2915" i="27"/>
  <c r="P2915" i="27"/>
  <c r="M2915" i="27"/>
  <c r="J2915" i="27"/>
  <c r="G2915" i="27"/>
  <c r="R2914" i="27"/>
  <c r="P2914" i="27"/>
  <c r="N2914" i="27" s="1"/>
  <c r="M2914" i="27"/>
  <c r="J2914" i="27"/>
  <c r="G2914" i="27"/>
  <c r="R2913" i="27"/>
  <c r="P2913" i="27"/>
  <c r="N2913" i="27" s="1"/>
  <c r="M2913" i="27"/>
  <c r="J2913" i="27"/>
  <c r="G2913" i="27"/>
  <c r="R2912" i="27"/>
  <c r="P2912" i="27"/>
  <c r="M2912" i="27"/>
  <c r="J2912" i="27"/>
  <c r="G2912" i="27"/>
  <c r="R2911" i="27"/>
  <c r="U2911" i="27" s="1"/>
  <c r="V2911" i="27" s="1"/>
  <c r="W2911" i="27" s="1"/>
  <c r="P2911" i="27"/>
  <c r="M2911" i="27"/>
  <c r="J2911" i="27"/>
  <c r="H2911" i="27" s="1"/>
  <c r="G2911" i="27"/>
  <c r="R2910" i="27"/>
  <c r="P2910" i="27"/>
  <c r="M2910" i="27"/>
  <c r="J2910" i="27"/>
  <c r="G2910" i="27"/>
  <c r="E2910" i="27" s="1"/>
  <c r="R2909" i="27"/>
  <c r="P2909" i="27"/>
  <c r="M2909" i="27"/>
  <c r="J2909" i="27"/>
  <c r="G2909" i="27"/>
  <c r="R2908" i="27"/>
  <c r="E2908" i="27" s="1"/>
  <c r="P2908" i="27"/>
  <c r="M2908" i="27"/>
  <c r="J2908" i="27"/>
  <c r="G2908" i="27"/>
  <c r="R2907" i="27"/>
  <c r="P2907" i="27"/>
  <c r="M2907" i="27"/>
  <c r="J2907" i="27"/>
  <c r="G2907" i="27"/>
  <c r="U2906" i="27"/>
  <c r="V2906" i="27" s="1"/>
  <c r="W2906" i="27" s="1"/>
  <c r="R2906" i="27"/>
  <c r="P2906" i="27"/>
  <c r="N2906" i="27" s="1"/>
  <c r="M2906" i="27"/>
  <c r="J2906" i="27"/>
  <c r="G2906" i="27"/>
  <c r="R2905" i="27"/>
  <c r="P2905" i="27"/>
  <c r="M2905" i="27"/>
  <c r="J2905" i="27"/>
  <c r="G2905" i="27"/>
  <c r="U2904" i="27"/>
  <c r="V2904" i="27" s="1"/>
  <c r="W2904" i="27" s="1"/>
  <c r="R2904" i="27"/>
  <c r="P2904" i="27"/>
  <c r="N2904" i="27"/>
  <c r="M2904" i="27"/>
  <c r="K2904" i="27"/>
  <c r="J2904" i="27"/>
  <c r="H2904" i="27"/>
  <c r="G2904" i="27"/>
  <c r="E2904" i="27" s="1"/>
  <c r="R2903" i="27"/>
  <c r="P2903" i="27"/>
  <c r="M2903" i="27"/>
  <c r="J2903" i="27"/>
  <c r="G2903" i="27"/>
  <c r="R2902" i="27"/>
  <c r="K2902" i="27" s="1"/>
  <c r="P2902" i="27"/>
  <c r="M2902" i="27"/>
  <c r="J2902" i="27"/>
  <c r="G2902" i="27"/>
  <c r="E2902" i="27"/>
  <c r="R2901" i="27"/>
  <c r="P2901" i="27"/>
  <c r="M2901" i="27"/>
  <c r="J2901" i="27"/>
  <c r="G2901" i="27"/>
  <c r="R2900" i="27"/>
  <c r="P2900" i="27"/>
  <c r="M2900" i="27"/>
  <c r="J2900" i="27"/>
  <c r="G2900" i="27"/>
  <c r="R2899" i="27"/>
  <c r="U2899" i="27" s="1"/>
  <c r="V2899" i="27" s="1"/>
  <c r="W2899" i="27" s="1"/>
  <c r="P2899" i="27"/>
  <c r="M2899" i="27"/>
  <c r="J2899" i="27"/>
  <c r="G2899" i="27"/>
  <c r="R2898" i="27"/>
  <c r="H2898" i="27" s="1"/>
  <c r="P2898" i="27"/>
  <c r="M2898" i="27"/>
  <c r="J2898" i="27"/>
  <c r="G2898" i="27"/>
  <c r="R2897" i="27"/>
  <c r="H2897" i="27" s="1"/>
  <c r="P2897" i="27"/>
  <c r="M2897" i="27"/>
  <c r="J2897" i="27"/>
  <c r="G2897" i="27"/>
  <c r="U2896" i="27"/>
  <c r="V2896" i="27" s="1"/>
  <c r="W2896" i="27" s="1"/>
  <c r="R2896" i="27"/>
  <c r="P2896" i="27"/>
  <c r="N2896" i="27" s="1"/>
  <c r="M2896" i="27"/>
  <c r="J2896" i="27"/>
  <c r="G2896" i="27"/>
  <c r="E2896" i="27" s="1"/>
  <c r="R2895" i="27"/>
  <c r="P2895" i="27"/>
  <c r="M2895" i="27"/>
  <c r="K2895" i="27"/>
  <c r="J2895" i="27"/>
  <c r="G2895" i="27"/>
  <c r="R2894" i="27"/>
  <c r="P2894" i="27"/>
  <c r="N2894" i="27" s="1"/>
  <c r="M2894" i="27"/>
  <c r="J2894" i="27"/>
  <c r="G2894" i="27"/>
  <c r="E2894" i="27" s="1"/>
  <c r="R2893" i="27"/>
  <c r="P2893" i="27"/>
  <c r="M2893" i="27"/>
  <c r="J2893" i="27"/>
  <c r="G2893" i="27"/>
  <c r="E2893" i="27"/>
  <c r="R2892" i="27"/>
  <c r="P2892" i="27"/>
  <c r="M2892" i="27"/>
  <c r="J2892" i="27"/>
  <c r="G2892" i="27"/>
  <c r="U2891" i="27"/>
  <c r="V2891" i="27" s="1"/>
  <c r="W2891" i="27" s="1"/>
  <c r="R2891" i="27"/>
  <c r="P2891" i="27"/>
  <c r="N2891" i="27" s="1"/>
  <c r="M2891" i="27"/>
  <c r="J2891" i="27"/>
  <c r="G2891" i="27"/>
  <c r="E2891" i="27"/>
  <c r="U2890" i="27"/>
  <c r="V2890" i="27" s="1"/>
  <c r="W2890" i="27" s="1"/>
  <c r="R2890" i="27"/>
  <c r="P2890" i="27"/>
  <c r="N2890" i="27"/>
  <c r="M2890" i="27"/>
  <c r="K2890" i="27" s="1"/>
  <c r="J2890" i="27"/>
  <c r="H2890" i="27" s="1"/>
  <c r="G2890" i="27"/>
  <c r="E2890" i="27" s="1"/>
  <c r="R2889" i="27"/>
  <c r="P2889" i="27"/>
  <c r="M2889" i="27"/>
  <c r="J2889" i="27"/>
  <c r="G2889" i="27"/>
  <c r="W2888" i="27"/>
  <c r="R2888" i="27"/>
  <c r="U2888" i="27" s="1"/>
  <c r="V2888" i="27" s="1"/>
  <c r="P2888" i="27"/>
  <c r="M2888" i="27"/>
  <c r="J2888" i="27"/>
  <c r="H2888" i="27"/>
  <c r="G2888" i="27"/>
  <c r="E2888" i="27" s="1"/>
  <c r="R2887" i="27"/>
  <c r="E2887" i="27" s="1"/>
  <c r="P2887" i="27"/>
  <c r="M2887" i="27"/>
  <c r="J2887" i="27"/>
  <c r="G2887" i="27"/>
  <c r="R2886" i="27"/>
  <c r="P2886" i="27"/>
  <c r="M2886" i="27"/>
  <c r="J2886" i="27"/>
  <c r="G2886" i="27"/>
  <c r="R2884" i="27"/>
  <c r="P2884" i="27"/>
  <c r="M2884" i="27"/>
  <c r="K2884" i="27" s="1"/>
  <c r="J2884" i="27"/>
  <c r="G2884" i="27"/>
  <c r="E2884" i="27"/>
  <c r="R2883" i="27"/>
  <c r="U2883" i="27" s="1"/>
  <c r="V2883" i="27" s="1"/>
  <c r="W2883" i="27" s="1"/>
  <c r="P2883" i="27"/>
  <c r="M2883" i="27"/>
  <c r="J2883" i="27"/>
  <c r="G2883" i="27"/>
  <c r="U2882" i="27"/>
  <c r="V2882" i="27" s="1"/>
  <c r="W2882" i="27" s="1"/>
  <c r="R2882" i="27"/>
  <c r="P2882" i="27"/>
  <c r="M2882" i="27"/>
  <c r="J2882" i="27"/>
  <c r="H2882" i="27" s="1"/>
  <c r="G2882" i="27"/>
  <c r="R2881" i="27"/>
  <c r="P2881" i="27"/>
  <c r="M2881" i="27"/>
  <c r="J2881" i="27"/>
  <c r="G2881" i="27"/>
  <c r="R2880" i="27"/>
  <c r="P2880" i="27"/>
  <c r="N2880" i="27" s="1"/>
  <c r="M2880" i="27"/>
  <c r="J2880" i="27"/>
  <c r="G2880" i="27"/>
  <c r="E2880" i="27" s="1"/>
  <c r="U2879" i="27"/>
  <c r="V2879" i="27" s="1"/>
  <c r="W2879" i="27" s="1"/>
  <c r="R2879" i="27"/>
  <c r="P2879" i="27"/>
  <c r="M2879" i="27"/>
  <c r="J2879" i="27"/>
  <c r="G2879" i="27"/>
  <c r="R2878" i="27"/>
  <c r="P2878" i="27"/>
  <c r="M2878" i="27"/>
  <c r="J2878" i="27"/>
  <c r="G2878" i="27"/>
  <c r="R2877" i="27"/>
  <c r="P2877" i="27"/>
  <c r="N2877" i="27" s="1"/>
  <c r="M2877" i="27"/>
  <c r="J2877" i="27"/>
  <c r="G2877" i="27"/>
  <c r="E2877" i="27"/>
  <c r="R2876" i="27"/>
  <c r="P2876" i="27"/>
  <c r="M2876" i="27"/>
  <c r="J2876" i="27"/>
  <c r="G2876" i="27"/>
  <c r="R2875" i="27"/>
  <c r="E2875" i="27" s="1"/>
  <c r="P2875" i="27"/>
  <c r="N2875" i="27" s="1"/>
  <c r="M2875" i="27"/>
  <c r="K2875" i="27" s="1"/>
  <c r="J2875" i="27"/>
  <c r="G2875" i="27"/>
  <c r="R2874" i="27"/>
  <c r="P2874" i="27"/>
  <c r="M2874" i="27"/>
  <c r="J2874" i="27"/>
  <c r="G2874" i="27"/>
  <c r="U2873" i="27"/>
  <c r="V2873" i="27" s="1"/>
  <c r="W2873" i="27" s="1"/>
  <c r="R2873" i="27"/>
  <c r="P2873" i="27"/>
  <c r="M2873" i="27"/>
  <c r="K2873" i="27" s="1"/>
  <c r="J2873" i="27"/>
  <c r="H2873" i="27" s="1"/>
  <c r="G2873" i="27"/>
  <c r="E2873" i="27" s="1"/>
  <c r="R2872" i="27"/>
  <c r="E2872" i="27" s="1"/>
  <c r="P2872" i="27"/>
  <c r="N2872" i="27" s="1"/>
  <c r="M2872" i="27"/>
  <c r="J2872" i="27"/>
  <c r="G2872" i="27"/>
  <c r="U2871" i="27"/>
  <c r="V2871" i="27" s="1"/>
  <c r="W2871" i="27" s="1"/>
  <c r="R2871" i="27"/>
  <c r="P2871" i="27"/>
  <c r="N2871" i="27" s="1"/>
  <c r="M2871" i="27"/>
  <c r="K2871" i="27"/>
  <c r="J2871" i="27"/>
  <c r="G2871" i="27"/>
  <c r="R2870" i="27"/>
  <c r="P2870" i="27"/>
  <c r="M2870" i="27"/>
  <c r="J2870" i="27"/>
  <c r="G2870" i="27"/>
  <c r="R2869" i="27"/>
  <c r="P2869" i="27"/>
  <c r="M2869" i="27"/>
  <c r="J2869" i="27"/>
  <c r="G2869" i="27"/>
  <c r="R2868" i="27"/>
  <c r="P2868" i="27"/>
  <c r="N2868" i="27" s="1"/>
  <c r="M2868" i="27"/>
  <c r="J2868" i="27"/>
  <c r="G2868" i="27"/>
  <c r="U2867" i="27"/>
  <c r="V2867" i="27" s="1"/>
  <c r="W2867" i="27" s="1"/>
  <c r="R2867" i="27"/>
  <c r="P2867" i="27"/>
  <c r="M2867" i="27"/>
  <c r="J2867" i="27"/>
  <c r="G2867" i="27"/>
  <c r="R2866" i="27"/>
  <c r="P2866" i="27"/>
  <c r="N2866" i="27"/>
  <c r="M2866" i="27"/>
  <c r="J2866" i="27"/>
  <c r="G2866" i="27"/>
  <c r="R2865" i="27"/>
  <c r="P2865" i="27"/>
  <c r="M2865" i="27"/>
  <c r="J2865" i="27"/>
  <c r="G2865" i="27"/>
  <c r="R2864" i="27"/>
  <c r="P2864" i="27"/>
  <c r="N2864" i="27" s="1"/>
  <c r="M2864" i="27"/>
  <c r="J2864" i="27"/>
  <c r="G2864" i="27"/>
  <c r="R2863" i="27"/>
  <c r="P2863" i="27"/>
  <c r="M2863" i="27"/>
  <c r="J2863" i="27"/>
  <c r="G2863" i="27"/>
  <c r="R2862" i="27"/>
  <c r="P2862" i="27"/>
  <c r="M2862" i="27"/>
  <c r="J2862" i="27"/>
  <c r="G2862" i="27"/>
  <c r="R2861" i="27"/>
  <c r="P2861" i="27"/>
  <c r="M2861" i="27"/>
  <c r="J2861" i="27"/>
  <c r="G2861" i="27"/>
  <c r="R2859" i="27"/>
  <c r="P2859" i="27"/>
  <c r="M2859" i="27"/>
  <c r="J2859" i="27"/>
  <c r="G2859" i="27"/>
  <c r="R2858" i="27"/>
  <c r="P2858" i="27"/>
  <c r="M2858" i="27"/>
  <c r="J2858" i="27"/>
  <c r="G2858" i="27"/>
  <c r="U2857" i="27"/>
  <c r="V2857" i="27" s="1"/>
  <c r="W2857" i="27" s="1"/>
  <c r="R2857" i="27"/>
  <c r="P2857" i="27"/>
  <c r="N2857" i="27" s="1"/>
  <c r="M2857" i="27"/>
  <c r="J2857" i="27"/>
  <c r="H2857" i="27" s="1"/>
  <c r="G2857" i="27"/>
  <c r="R2856" i="27"/>
  <c r="P2856" i="27"/>
  <c r="N2856" i="27"/>
  <c r="M2856" i="27"/>
  <c r="J2856" i="27"/>
  <c r="G2856" i="27"/>
  <c r="R2855" i="27"/>
  <c r="P2855" i="27"/>
  <c r="M2855" i="27"/>
  <c r="J2855" i="27"/>
  <c r="G2855" i="27"/>
  <c r="R2854" i="27"/>
  <c r="P2854" i="27"/>
  <c r="M2854" i="27"/>
  <c r="J2854" i="27"/>
  <c r="G2854" i="27"/>
  <c r="R2853" i="27"/>
  <c r="P2853" i="27"/>
  <c r="M2853" i="27"/>
  <c r="J2853" i="27"/>
  <c r="G2853" i="27"/>
  <c r="R2852" i="27"/>
  <c r="P2852" i="27"/>
  <c r="M2852" i="27"/>
  <c r="J2852" i="27"/>
  <c r="G2852" i="27"/>
  <c r="R2851" i="27"/>
  <c r="P2851" i="27"/>
  <c r="N2851" i="27" s="1"/>
  <c r="M2851" i="27"/>
  <c r="J2851" i="27"/>
  <c r="G2851" i="27"/>
  <c r="U2850" i="27"/>
  <c r="V2850" i="27" s="1"/>
  <c r="W2850" i="27" s="1"/>
  <c r="R2850" i="27"/>
  <c r="P2850" i="27"/>
  <c r="M2850" i="27"/>
  <c r="J2850" i="27"/>
  <c r="H2850" i="27" s="1"/>
  <c r="G2850" i="27"/>
  <c r="R2849" i="27"/>
  <c r="U2849" i="27" s="1"/>
  <c r="V2849" i="27" s="1"/>
  <c r="W2849" i="27" s="1"/>
  <c r="P2849" i="27"/>
  <c r="M2849" i="27"/>
  <c r="K2849" i="27" s="1"/>
  <c r="J2849" i="27"/>
  <c r="H2849" i="27" s="1"/>
  <c r="G2849" i="27"/>
  <c r="E2849" i="27" s="1"/>
  <c r="R2848" i="27"/>
  <c r="P2848" i="27"/>
  <c r="M2848" i="27"/>
  <c r="J2848" i="27"/>
  <c r="G2848" i="27"/>
  <c r="R2847" i="27"/>
  <c r="K2847" i="27" s="1"/>
  <c r="P2847" i="27"/>
  <c r="N2847" i="27"/>
  <c r="M2847" i="27"/>
  <c r="J2847" i="27"/>
  <c r="G2847" i="27"/>
  <c r="R2846" i="27"/>
  <c r="U2846" i="27" s="1"/>
  <c r="V2846" i="27" s="1"/>
  <c r="W2846" i="27" s="1"/>
  <c r="P2846" i="27"/>
  <c r="N2846" i="27"/>
  <c r="M2846" i="27"/>
  <c r="J2846" i="27"/>
  <c r="G2846" i="27"/>
  <c r="R2845" i="27"/>
  <c r="P2845" i="27"/>
  <c r="M2845" i="27"/>
  <c r="J2845" i="27"/>
  <c r="H2845" i="27"/>
  <c r="G2845" i="27"/>
  <c r="R2844" i="27"/>
  <c r="P2844" i="27"/>
  <c r="N2844" i="27" s="1"/>
  <c r="M2844" i="27"/>
  <c r="K2844" i="27" s="1"/>
  <c r="J2844" i="27"/>
  <c r="G2844" i="27"/>
  <c r="E2844" i="27" s="1"/>
  <c r="R2843" i="27"/>
  <c r="P2843" i="27"/>
  <c r="M2843" i="27"/>
  <c r="J2843" i="27"/>
  <c r="H2843" i="27"/>
  <c r="G2843" i="27"/>
  <c r="R2842" i="27"/>
  <c r="P2842" i="27"/>
  <c r="M2842" i="27"/>
  <c r="K2842" i="27" s="1"/>
  <c r="J2842" i="27"/>
  <c r="G2842" i="27"/>
  <c r="R2841" i="27"/>
  <c r="P2841" i="27"/>
  <c r="N2841" i="27" s="1"/>
  <c r="M2841" i="27"/>
  <c r="J2841" i="27"/>
  <c r="G2841" i="27"/>
  <c r="R2840" i="27"/>
  <c r="P2840" i="27"/>
  <c r="M2840" i="27"/>
  <c r="J2840" i="27"/>
  <c r="G2840" i="27"/>
  <c r="U2839" i="27"/>
  <c r="V2839" i="27" s="1"/>
  <c r="W2839" i="27" s="1"/>
  <c r="R2839" i="27"/>
  <c r="K2839" i="27" s="1"/>
  <c r="P2839" i="27"/>
  <c r="M2839" i="27"/>
  <c r="J2839" i="27"/>
  <c r="H2839" i="27" s="1"/>
  <c r="G2839" i="27"/>
  <c r="R2838" i="27"/>
  <c r="P2838" i="27"/>
  <c r="M2838" i="27"/>
  <c r="J2838" i="27"/>
  <c r="G2838" i="27"/>
  <c r="U2837" i="27"/>
  <c r="V2837" i="27" s="1"/>
  <c r="W2837" i="27" s="1"/>
  <c r="R2837" i="27"/>
  <c r="K2837" i="27" s="1"/>
  <c r="P2837" i="27"/>
  <c r="M2837" i="27"/>
  <c r="J2837" i="27"/>
  <c r="G2837" i="27"/>
  <c r="R2836" i="27"/>
  <c r="P2836" i="27"/>
  <c r="M2836" i="27"/>
  <c r="J2836" i="27"/>
  <c r="G2836" i="27"/>
  <c r="R2835" i="27"/>
  <c r="H2835" i="27" s="1"/>
  <c r="P2835" i="27"/>
  <c r="M2835" i="27"/>
  <c r="J2835" i="27"/>
  <c r="G2835" i="27"/>
  <c r="R2834" i="27"/>
  <c r="P2834" i="27"/>
  <c r="M2834" i="27"/>
  <c r="J2834" i="27"/>
  <c r="G2834" i="27"/>
  <c r="R2833" i="27"/>
  <c r="U2833" i="27" s="1"/>
  <c r="V2833" i="27" s="1"/>
  <c r="W2833" i="27" s="1"/>
  <c r="P2833" i="27"/>
  <c r="M2833" i="27"/>
  <c r="K2833" i="27" s="1"/>
  <c r="J2833" i="27"/>
  <c r="H2833" i="27" s="1"/>
  <c r="G2833" i="27"/>
  <c r="R2832" i="27"/>
  <c r="P2832" i="27"/>
  <c r="M2832" i="27"/>
  <c r="J2832" i="27"/>
  <c r="G2832" i="27"/>
  <c r="R2831" i="27"/>
  <c r="P2831" i="27"/>
  <c r="M2831" i="27"/>
  <c r="J2831" i="27"/>
  <c r="G2831" i="27"/>
  <c r="R2830" i="27"/>
  <c r="P2830" i="27"/>
  <c r="M2830" i="27"/>
  <c r="J2830" i="27"/>
  <c r="G2830" i="27"/>
  <c r="U2829" i="27"/>
  <c r="V2829" i="27" s="1"/>
  <c r="W2829" i="27" s="1"/>
  <c r="R2829" i="27"/>
  <c r="P2829" i="27"/>
  <c r="M2829" i="27"/>
  <c r="J2829" i="27"/>
  <c r="H2829" i="27" s="1"/>
  <c r="G2829" i="27"/>
  <c r="E2829" i="27" s="1"/>
  <c r="R2828" i="27"/>
  <c r="P2828" i="27"/>
  <c r="M2828" i="27"/>
  <c r="J2828" i="27"/>
  <c r="G2828" i="27"/>
  <c r="R2827" i="27"/>
  <c r="U2827" i="27" s="1"/>
  <c r="V2827" i="27" s="1"/>
  <c r="W2827" i="27" s="1"/>
  <c r="P2827" i="27"/>
  <c r="M2827" i="27"/>
  <c r="J2827" i="27"/>
  <c r="G2827" i="27"/>
  <c r="R2826" i="27"/>
  <c r="P2826" i="27"/>
  <c r="M2826" i="27"/>
  <c r="J2826" i="27"/>
  <c r="G2826" i="27"/>
  <c r="U2825" i="27"/>
  <c r="V2825" i="27" s="1"/>
  <c r="W2825" i="27" s="1"/>
  <c r="R2825" i="27"/>
  <c r="P2825" i="27"/>
  <c r="N2825" i="27" s="1"/>
  <c r="M2825" i="27"/>
  <c r="J2825" i="27"/>
  <c r="G2825" i="27"/>
  <c r="E2825" i="27"/>
  <c r="R2824" i="27"/>
  <c r="P2824" i="27"/>
  <c r="M2824" i="27"/>
  <c r="J2824" i="27"/>
  <c r="G2824" i="27"/>
  <c r="R2823" i="27"/>
  <c r="P2823" i="27"/>
  <c r="M2823" i="27"/>
  <c r="J2823" i="27"/>
  <c r="G2823" i="27"/>
  <c r="R2822" i="27"/>
  <c r="P2822" i="27"/>
  <c r="N2822" i="27"/>
  <c r="M2822" i="27"/>
  <c r="J2822" i="27"/>
  <c r="G2822" i="27"/>
  <c r="R2821" i="27"/>
  <c r="P2821" i="27"/>
  <c r="M2821" i="27"/>
  <c r="J2821" i="27"/>
  <c r="G2821" i="27"/>
  <c r="R2820" i="27"/>
  <c r="P2820" i="27"/>
  <c r="M2820" i="27"/>
  <c r="J2820" i="27"/>
  <c r="G2820" i="27"/>
  <c r="R2819" i="27"/>
  <c r="P2819" i="27"/>
  <c r="M2819" i="27"/>
  <c r="J2819" i="27"/>
  <c r="G2819" i="27"/>
  <c r="R2818" i="27"/>
  <c r="P2818" i="27"/>
  <c r="N2818" i="27" s="1"/>
  <c r="M2818" i="27"/>
  <c r="J2818" i="27"/>
  <c r="G2818" i="27"/>
  <c r="R2817" i="27"/>
  <c r="P2817" i="27"/>
  <c r="M2817" i="27"/>
  <c r="K2817" i="27" s="1"/>
  <c r="J2817" i="27"/>
  <c r="G2817" i="27"/>
  <c r="R2816" i="27"/>
  <c r="P2816" i="27"/>
  <c r="N2816" i="27" s="1"/>
  <c r="M2816" i="27"/>
  <c r="J2816" i="27"/>
  <c r="G2816" i="27"/>
  <c r="U2815" i="27"/>
  <c r="V2815" i="27" s="1"/>
  <c r="W2815" i="27" s="1"/>
  <c r="R2815" i="27"/>
  <c r="P2815" i="27"/>
  <c r="M2815" i="27"/>
  <c r="K2815" i="27"/>
  <c r="J2815" i="27"/>
  <c r="G2815" i="27"/>
  <c r="E2815" i="27" s="1"/>
  <c r="R2814" i="27"/>
  <c r="P2814" i="27"/>
  <c r="M2814" i="27"/>
  <c r="J2814" i="27"/>
  <c r="G2814" i="27"/>
  <c r="R2813" i="27"/>
  <c r="U2813" i="27" s="1"/>
  <c r="V2813" i="27" s="1"/>
  <c r="W2813" i="27" s="1"/>
  <c r="P2813" i="27"/>
  <c r="N2813" i="27" s="1"/>
  <c r="M2813" i="27"/>
  <c r="K2813" i="27" s="1"/>
  <c r="J2813" i="27"/>
  <c r="H2813" i="27" s="1"/>
  <c r="G2813" i="27"/>
  <c r="R2812" i="27"/>
  <c r="P2812" i="27"/>
  <c r="N2812" i="27" s="1"/>
  <c r="M2812" i="27"/>
  <c r="K2812" i="27" s="1"/>
  <c r="J2812" i="27"/>
  <c r="G2812" i="27"/>
  <c r="U2811" i="27"/>
  <c r="V2811" i="27" s="1"/>
  <c r="W2811" i="27" s="1"/>
  <c r="R2811" i="27"/>
  <c r="K2811" i="27" s="1"/>
  <c r="P2811" i="27"/>
  <c r="M2811" i="27"/>
  <c r="J2811" i="27"/>
  <c r="H2811" i="27" s="1"/>
  <c r="G2811" i="27"/>
  <c r="E2811" i="27"/>
  <c r="R2810" i="27"/>
  <c r="K2810" i="27" s="1"/>
  <c r="P2810" i="27"/>
  <c r="M2810" i="27"/>
  <c r="J2810" i="27"/>
  <c r="G2810" i="27"/>
  <c r="R2809" i="27"/>
  <c r="P2809" i="27"/>
  <c r="M2809" i="27"/>
  <c r="J2809" i="27"/>
  <c r="G2809" i="27"/>
  <c r="R2808" i="27"/>
  <c r="P2808" i="27"/>
  <c r="M2808" i="27"/>
  <c r="J2808" i="27"/>
  <c r="G2808" i="27"/>
  <c r="V2807" i="27"/>
  <c r="W2807" i="27" s="1"/>
  <c r="R2807" i="27"/>
  <c r="U2807" i="27" s="1"/>
  <c r="P2807" i="27"/>
  <c r="M2807" i="27"/>
  <c r="J2807" i="27"/>
  <c r="G2807" i="27"/>
  <c r="R2806" i="27"/>
  <c r="P2806" i="27"/>
  <c r="N2806" i="27" s="1"/>
  <c r="M2806" i="27"/>
  <c r="J2806" i="27"/>
  <c r="G2806" i="27"/>
  <c r="R2805" i="27"/>
  <c r="P2805" i="27"/>
  <c r="N2805" i="27" s="1"/>
  <c r="M2805" i="27"/>
  <c r="K2805" i="27"/>
  <c r="J2805" i="27"/>
  <c r="G2805" i="27"/>
  <c r="R2804" i="27"/>
  <c r="P2804" i="27"/>
  <c r="M2804" i="27"/>
  <c r="J2804" i="27"/>
  <c r="G2804" i="27"/>
  <c r="R2803" i="27"/>
  <c r="P2803" i="27"/>
  <c r="M2803" i="27"/>
  <c r="J2803" i="27"/>
  <c r="G2803" i="27"/>
  <c r="R2802" i="27"/>
  <c r="P2802" i="27"/>
  <c r="M2802" i="27"/>
  <c r="K2802" i="27"/>
  <c r="J2802" i="27"/>
  <c r="G2802" i="27"/>
  <c r="R2801" i="27"/>
  <c r="U2801" i="27" s="1"/>
  <c r="V2801" i="27" s="1"/>
  <c r="W2801" i="27" s="1"/>
  <c r="P2801" i="27"/>
  <c r="M2801" i="27"/>
  <c r="K2801" i="27"/>
  <c r="J2801" i="27"/>
  <c r="H2801" i="27"/>
  <c r="G2801" i="27"/>
  <c r="R2800" i="27"/>
  <c r="P2800" i="27"/>
  <c r="M2800" i="27"/>
  <c r="J2800" i="27"/>
  <c r="G2800" i="27"/>
  <c r="R2799" i="27"/>
  <c r="P2799" i="27"/>
  <c r="M2799" i="27"/>
  <c r="J2799" i="27"/>
  <c r="G2799" i="27"/>
  <c r="R2798" i="27"/>
  <c r="P2798" i="27"/>
  <c r="M2798" i="27"/>
  <c r="J2798" i="27"/>
  <c r="G2798" i="27"/>
  <c r="U2797" i="27"/>
  <c r="V2797" i="27" s="1"/>
  <c r="W2797" i="27" s="1"/>
  <c r="R2797" i="27"/>
  <c r="P2797" i="27"/>
  <c r="M2797" i="27"/>
  <c r="J2797" i="27"/>
  <c r="H2797" i="27"/>
  <c r="G2797" i="27"/>
  <c r="R2796" i="27"/>
  <c r="P2796" i="27"/>
  <c r="M2796" i="27"/>
  <c r="J2796" i="27"/>
  <c r="G2796" i="27"/>
  <c r="U2795" i="27"/>
  <c r="V2795" i="27" s="1"/>
  <c r="W2795" i="27" s="1"/>
  <c r="R2795" i="27"/>
  <c r="P2795" i="27"/>
  <c r="M2795" i="27"/>
  <c r="J2795" i="27"/>
  <c r="G2795" i="27"/>
  <c r="R2794" i="27"/>
  <c r="E2794" i="27" s="1"/>
  <c r="P2794" i="27"/>
  <c r="M2794" i="27"/>
  <c r="J2794" i="27"/>
  <c r="G2794" i="27"/>
  <c r="R2793" i="27"/>
  <c r="P2793" i="27"/>
  <c r="M2793" i="27"/>
  <c r="J2793" i="27"/>
  <c r="G2793" i="27"/>
  <c r="R2792" i="27"/>
  <c r="P2792" i="27"/>
  <c r="M2792" i="27"/>
  <c r="J2792" i="27"/>
  <c r="G2792" i="27"/>
  <c r="U2791" i="27"/>
  <c r="V2791" i="27" s="1"/>
  <c r="W2791" i="27" s="1"/>
  <c r="R2791" i="27"/>
  <c r="P2791" i="27"/>
  <c r="N2791" i="27" s="1"/>
  <c r="M2791" i="27"/>
  <c r="J2791" i="27"/>
  <c r="G2791" i="27"/>
  <c r="R2790" i="27"/>
  <c r="P2790" i="27"/>
  <c r="M2790" i="27"/>
  <c r="J2790" i="27"/>
  <c r="G2790" i="27"/>
  <c r="R2789" i="27"/>
  <c r="P2789" i="27"/>
  <c r="N2789" i="27" s="1"/>
  <c r="M2789" i="27"/>
  <c r="K2789" i="27" s="1"/>
  <c r="J2789" i="27"/>
  <c r="G2789" i="27"/>
  <c r="R2788" i="27"/>
  <c r="P2788" i="27"/>
  <c r="M2788" i="27"/>
  <c r="J2788" i="27"/>
  <c r="G2788" i="27"/>
  <c r="R2787" i="27"/>
  <c r="P2787" i="27"/>
  <c r="M2787" i="27"/>
  <c r="J2787" i="27"/>
  <c r="G2787" i="27"/>
  <c r="R2786" i="27"/>
  <c r="P2786" i="27"/>
  <c r="M2786" i="27"/>
  <c r="J2786" i="27"/>
  <c r="G2786" i="27"/>
  <c r="R2785" i="27"/>
  <c r="P2785" i="27"/>
  <c r="M2785" i="27"/>
  <c r="J2785" i="27"/>
  <c r="G2785" i="27"/>
  <c r="R2784" i="27"/>
  <c r="P2784" i="27"/>
  <c r="M2784" i="27"/>
  <c r="J2784" i="27"/>
  <c r="G2784" i="27"/>
  <c r="R2783" i="27"/>
  <c r="U2783" i="27" s="1"/>
  <c r="V2783" i="27" s="1"/>
  <c r="W2783" i="27" s="1"/>
  <c r="P2783" i="27"/>
  <c r="M2783" i="27"/>
  <c r="K2783" i="27"/>
  <c r="J2783" i="27"/>
  <c r="H2783" i="27" s="1"/>
  <c r="G2783" i="27"/>
  <c r="R2782" i="27"/>
  <c r="U2782" i="27" s="1"/>
  <c r="V2782" i="27" s="1"/>
  <c r="W2782" i="27" s="1"/>
  <c r="P2782" i="27"/>
  <c r="N2782" i="27" s="1"/>
  <c r="M2782" i="27"/>
  <c r="K2782" i="27"/>
  <c r="J2782" i="27"/>
  <c r="G2782" i="27"/>
  <c r="U2781" i="27"/>
  <c r="V2781" i="27" s="1"/>
  <c r="W2781" i="27" s="1"/>
  <c r="R2781" i="27"/>
  <c r="N2781" i="27" s="1"/>
  <c r="P2781" i="27"/>
  <c r="M2781" i="27"/>
  <c r="J2781" i="27"/>
  <c r="G2781" i="27"/>
  <c r="E2781" i="27" s="1"/>
  <c r="R2780" i="27"/>
  <c r="P2780" i="27"/>
  <c r="M2780" i="27"/>
  <c r="J2780" i="27"/>
  <c r="G2780" i="27"/>
  <c r="U2779" i="27"/>
  <c r="V2779" i="27" s="1"/>
  <c r="W2779" i="27" s="1"/>
  <c r="R2779" i="27"/>
  <c r="P2779" i="27"/>
  <c r="M2779" i="27"/>
  <c r="J2779" i="27"/>
  <c r="G2779" i="27"/>
  <c r="R2778" i="27"/>
  <c r="P2778" i="27"/>
  <c r="N2778" i="27"/>
  <c r="M2778" i="27"/>
  <c r="J2778" i="27"/>
  <c r="H2778" i="27" s="1"/>
  <c r="G2778" i="27"/>
  <c r="R2777" i="27"/>
  <c r="K2777" i="27" s="1"/>
  <c r="P2777" i="27"/>
  <c r="M2777" i="27"/>
  <c r="J2777" i="27"/>
  <c r="G2777" i="27"/>
  <c r="R2776" i="27"/>
  <c r="P2776" i="27"/>
  <c r="M2776" i="27"/>
  <c r="J2776" i="27"/>
  <c r="G2776" i="27"/>
  <c r="R2775" i="27"/>
  <c r="K2775" i="27" s="1"/>
  <c r="P2775" i="27"/>
  <c r="N2775" i="27" s="1"/>
  <c r="M2775" i="27"/>
  <c r="J2775" i="27"/>
  <c r="G2775" i="27"/>
  <c r="E2775" i="27"/>
  <c r="R2774" i="27"/>
  <c r="P2774" i="27"/>
  <c r="M2774" i="27"/>
  <c r="J2774" i="27"/>
  <c r="G2774" i="27"/>
  <c r="R2772" i="27"/>
  <c r="P2772" i="27"/>
  <c r="M2772" i="27"/>
  <c r="J2772" i="27"/>
  <c r="G2772" i="27"/>
  <c r="R2771" i="27"/>
  <c r="P2771" i="27"/>
  <c r="N2771" i="27" s="1"/>
  <c r="M2771" i="27"/>
  <c r="J2771" i="27"/>
  <c r="H2771" i="27" s="1"/>
  <c r="G2771" i="27"/>
  <c r="E2771" i="27"/>
  <c r="R2770" i="27"/>
  <c r="N2770" i="27" s="1"/>
  <c r="P2770" i="27"/>
  <c r="M2770" i="27"/>
  <c r="J2770" i="27"/>
  <c r="G2770" i="27"/>
  <c r="R2769" i="27"/>
  <c r="P2769" i="27"/>
  <c r="M2769" i="27"/>
  <c r="J2769" i="27"/>
  <c r="G2769" i="27"/>
  <c r="R2768" i="27"/>
  <c r="U2768" i="27" s="1"/>
  <c r="V2768" i="27" s="1"/>
  <c r="W2768" i="27" s="1"/>
  <c r="P2768" i="27"/>
  <c r="N2768" i="27" s="1"/>
  <c r="M2768" i="27"/>
  <c r="J2768" i="27"/>
  <c r="H2768" i="27"/>
  <c r="G2768" i="27"/>
  <c r="R2767" i="27"/>
  <c r="P2767" i="27"/>
  <c r="M2767" i="27"/>
  <c r="J2767" i="27"/>
  <c r="G2767" i="27"/>
  <c r="R2766" i="27"/>
  <c r="P2766" i="27"/>
  <c r="M2766" i="27"/>
  <c r="J2766" i="27"/>
  <c r="G2766" i="27"/>
  <c r="R2765" i="27"/>
  <c r="E2765" i="27" s="1"/>
  <c r="P2765" i="27"/>
  <c r="M2765" i="27"/>
  <c r="J2765" i="27"/>
  <c r="G2765" i="27"/>
  <c r="R2764" i="27"/>
  <c r="P2764" i="27"/>
  <c r="N2764" i="27"/>
  <c r="M2764" i="27"/>
  <c r="J2764" i="27"/>
  <c r="G2764" i="27"/>
  <c r="E2764" i="27" s="1"/>
  <c r="R2763" i="27"/>
  <c r="P2763" i="27"/>
  <c r="M2763" i="27"/>
  <c r="J2763" i="27"/>
  <c r="H2763" i="27" s="1"/>
  <c r="G2763" i="27"/>
  <c r="U2762" i="27"/>
  <c r="V2762" i="27" s="1"/>
  <c r="W2762" i="27" s="1"/>
  <c r="R2762" i="27"/>
  <c r="P2762" i="27"/>
  <c r="M2762" i="27"/>
  <c r="J2762" i="27"/>
  <c r="G2762" i="27"/>
  <c r="R2761" i="27"/>
  <c r="P2761" i="27"/>
  <c r="M2761" i="27"/>
  <c r="J2761" i="27"/>
  <c r="G2761" i="27"/>
  <c r="R2760" i="27"/>
  <c r="P2760" i="27"/>
  <c r="M2760" i="27"/>
  <c r="J2760" i="27"/>
  <c r="G2760" i="27"/>
  <c r="E2760" i="27" s="1"/>
  <c r="R2759" i="27"/>
  <c r="P2759" i="27"/>
  <c r="M2759" i="27"/>
  <c r="J2759" i="27"/>
  <c r="G2759" i="27"/>
  <c r="E2759" i="27" s="1"/>
  <c r="U2758" i="27"/>
  <c r="V2758" i="27" s="1"/>
  <c r="W2758" i="27" s="1"/>
  <c r="R2758" i="27"/>
  <c r="P2758" i="27"/>
  <c r="M2758" i="27"/>
  <c r="J2758" i="27"/>
  <c r="G2758" i="27"/>
  <c r="R2757" i="27"/>
  <c r="P2757" i="27"/>
  <c r="M2757" i="27"/>
  <c r="J2757" i="27"/>
  <c r="G2757" i="27"/>
  <c r="R2756" i="27"/>
  <c r="P2756" i="27"/>
  <c r="M2756" i="27"/>
  <c r="J2756" i="27"/>
  <c r="G2756" i="27"/>
  <c r="E2756" i="27" s="1"/>
  <c r="R2755" i="27"/>
  <c r="P2755" i="27"/>
  <c r="M2755" i="27"/>
  <c r="J2755" i="27"/>
  <c r="H2755" i="27"/>
  <c r="G2755" i="27"/>
  <c r="R2754" i="27"/>
  <c r="U2754" i="27" s="1"/>
  <c r="V2754" i="27" s="1"/>
  <c r="W2754" i="27" s="1"/>
  <c r="P2754" i="27"/>
  <c r="M2754" i="27"/>
  <c r="K2754" i="27" s="1"/>
  <c r="J2754" i="27"/>
  <c r="H2754" i="27"/>
  <c r="G2754" i="27"/>
  <c r="R2753" i="27"/>
  <c r="N2753" i="27" s="1"/>
  <c r="P2753" i="27"/>
  <c r="M2753" i="27"/>
  <c r="J2753" i="27"/>
  <c r="G2753" i="27"/>
  <c r="R2752" i="27"/>
  <c r="P2752" i="27"/>
  <c r="N2752" i="27" s="1"/>
  <c r="M2752" i="27"/>
  <c r="K2752" i="27" s="1"/>
  <c r="J2752" i="27"/>
  <c r="G2752" i="27"/>
  <c r="R2751" i="27"/>
  <c r="P2751" i="27"/>
  <c r="N2751" i="27"/>
  <c r="M2751" i="27"/>
  <c r="J2751" i="27"/>
  <c r="G2751" i="27"/>
  <c r="R2750" i="27"/>
  <c r="P2750" i="27"/>
  <c r="M2750" i="27"/>
  <c r="K2750" i="27" s="1"/>
  <c r="J2750" i="27"/>
  <c r="G2750" i="27"/>
  <c r="R2749" i="27"/>
  <c r="U2749" i="27" s="1"/>
  <c r="V2749" i="27" s="1"/>
  <c r="W2749" i="27" s="1"/>
  <c r="P2749" i="27"/>
  <c r="M2749" i="27"/>
  <c r="J2749" i="27"/>
  <c r="G2749" i="27"/>
  <c r="R2748" i="27"/>
  <c r="P2748" i="27"/>
  <c r="M2748" i="27"/>
  <c r="K2748" i="27" s="1"/>
  <c r="J2748" i="27"/>
  <c r="G2748" i="27"/>
  <c r="V2747" i="27"/>
  <c r="W2747" i="27" s="1"/>
  <c r="R2747" i="27"/>
  <c r="U2747" i="27" s="1"/>
  <c r="P2747" i="27"/>
  <c r="N2747" i="27" s="1"/>
  <c r="M2747" i="27"/>
  <c r="J2747" i="27"/>
  <c r="H2747" i="27" s="1"/>
  <c r="G2747" i="27"/>
  <c r="E2747" i="27"/>
  <c r="R2746" i="27"/>
  <c r="P2746" i="27"/>
  <c r="M2746" i="27"/>
  <c r="J2746" i="27"/>
  <c r="G2746" i="27"/>
  <c r="R2745" i="27"/>
  <c r="P2745" i="27"/>
  <c r="M2745" i="27"/>
  <c r="J2745" i="27"/>
  <c r="G2745" i="27"/>
  <c r="R2744" i="27"/>
  <c r="P2744" i="27"/>
  <c r="M2744" i="27"/>
  <c r="J2744" i="27"/>
  <c r="G2744" i="27"/>
  <c r="R2743" i="27"/>
  <c r="P2743" i="27"/>
  <c r="M2743" i="27"/>
  <c r="J2743" i="27"/>
  <c r="G2743" i="27"/>
  <c r="U2742" i="27"/>
  <c r="V2742" i="27" s="1"/>
  <c r="W2742" i="27" s="1"/>
  <c r="R2742" i="27"/>
  <c r="N2742" i="27" s="1"/>
  <c r="P2742" i="27"/>
  <c r="M2742" i="27"/>
  <c r="K2742" i="27"/>
  <c r="J2742" i="27"/>
  <c r="G2742" i="27"/>
  <c r="E2742" i="27" s="1"/>
  <c r="R2741" i="27"/>
  <c r="P2741" i="27"/>
  <c r="M2741" i="27"/>
  <c r="J2741" i="27"/>
  <c r="G2741" i="27"/>
  <c r="R2740" i="27"/>
  <c r="K2740" i="27" s="1"/>
  <c r="P2740" i="27"/>
  <c r="M2740" i="27"/>
  <c r="J2740" i="27"/>
  <c r="G2740" i="27"/>
  <c r="R2739" i="27"/>
  <c r="P2739" i="27"/>
  <c r="N2739" i="27"/>
  <c r="M2739" i="27"/>
  <c r="J2739" i="27"/>
  <c r="G2739" i="27"/>
  <c r="R2738" i="27"/>
  <c r="U2738" i="27" s="1"/>
  <c r="V2738" i="27" s="1"/>
  <c r="W2738" i="27" s="1"/>
  <c r="P2738" i="27"/>
  <c r="M2738" i="27"/>
  <c r="J2738" i="27"/>
  <c r="G2738" i="27"/>
  <c r="E2738" i="27" s="1"/>
  <c r="R2737" i="27"/>
  <c r="P2737" i="27"/>
  <c r="N2737" i="27"/>
  <c r="M2737" i="27"/>
  <c r="J2737" i="27"/>
  <c r="G2737" i="27"/>
  <c r="R2736" i="27"/>
  <c r="P2736" i="27"/>
  <c r="M2736" i="27"/>
  <c r="J2736" i="27"/>
  <c r="G2736" i="27"/>
  <c r="E2736" i="27"/>
  <c r="R2735" i="27"/>
  <c r="P2735" i="27"/>
  <c r="N2735" i="27"/>
  <c r="M2735" i="27"/>
  <c r="J2735" i="27"/>
  <c r="G2735" i="27"/>
  <c r="R2734" i="27"/>
  <c r="P2734" i="27"/>
  <c r="M2734" i="27"/>
  <c r="J2734" i="27"/>
  <c r="G2734" i="27"/>
  <c r="R2733" i="27"/>
  <c r="E2733" i="27" s="1"/>
  <c r="P2733" i="27"/>
  <c r="M2733" i="27"/>
  <c r="J2733" i="27"/>
  <c r="G2733" i="27"/>
  <c r="R2732" i="27"/>
  <c r="P2732" i="27"/>
  <c r="M2732" i="27"/>
  <c r="J2732" i="27"/>
  <c r="G2732" i="27"/>
  <c r="R2731" i="27"/>
  <c r="P2731" i="27"/>
  <c r="N2731" i="27" s="1"/>
  <c r="M2731" i="27"/>
  <c r="J2731" i="27"/>
  <c r="G2731" i="27"/>
  <c r="R2730" i="27"/>
  <c r="P2730" i="27"/>
  <c r="M2730" i="27"/>
  <c r="J2730" i="27"/>
  <c r="H2730" i="27"/>
  <c r="G2730" i="27"/>
  <c r="R2729" i="27"/>
  <c r="U2729" i="27" s="1"/>
  <c r="V2729" i="27" s="1"/>
  <c r="W2729" i="27" s="1"/>
  <c r="P2729" i="27"/>
  <c r="M2729" i="27"/>
  <c r="J2729" i="27"/>
  <c r="H2729" i="27" s="1"/>
  <c r="G2729" i="27"/>
  <c r="R2728" i="27"/>
  <c r="H2728" i="27" s="1"/>
  <c r="P2728" i="27"/>
  <c r="M2728" i="27"/>
  <c r="J2728" i="27"/>
  <c r="G2728" i="27"/>
  <c r="R2727" i="27"/>
  <c r="P2727" i="27"/>
  <c r="M2727" i="27"/>
  <c r="J2727" i="27"/>
  <c r="G2727" i="27"/>
  <c r="R2726" i="27"/>
  <c r="P2726" i="27"/>
  <c r="M2726" i="27"/>
  <c r="J2726" i="27"/>
  <c r="G2726" i="27"/>
  <c r="E2726" i="27" s="1"/>
  <c r="R2725" i="27"/>
  <c r="P2725" i="27"/>
  <c r="M2725" i="27"/>
  <c r="J2725" i="27"/>
  <c r="G2725" i="27"/>
  <c r="R2723" i="27"/>
  <c r="H2723" i="27" s="1"/>
  <c r="P2723" i="27"/>
  <c r="M2723" i="27"/>
  <c r="J2723" i="27"/>
  <c r="G2723" i="27"/>
  <c r="R2722" i="27"/>
  <c r="P2722" i="27"/>
  <c r="M2722" i="27"/>
  <c r="J2722" i="27"/>
  <c r="G2722" i="27"/>
  <c r="U2721" i="27"/>
  <c r="V2721" i="27" s="1"/>
  <c r="W2721" i="27" s="1"/>
  <c r="R2721" i="27"/>
  <c r="P2721" i="27"/>
  <c r="M2721" i="27"/>
  <c r="J2721" i="27"/>
  <c r="G2721" i="27"/>
  <c r="E2721" i="27" s="1"/>
  <c r="R2720" i="27"/>
  <c r="P2720" i="27"/>
  <c r="M2720" i="27"/>
  <c r="J2720" i="27"/>
  <c r="G2720" i="27"/>
  <c r="R2719" i="27"/>
  <c r="P2719" i="27"/>
  <c r="M2719" i="27"/>
  <c r="K2719" i="27"/>
  <c r="J2719" i="27"/>
  <c r="G2719" i="27"/>
  <c r="R2718" i="27"/>
  <c r="P2718" i="27"/>
  <c r="M2718" i="27"/>
  <c r="J2718" i="27"/>
  <c r="G2718" i="27"/>
  <c r="R2717" i="27"/>
  <c r="U2717" i="27" s="1"/>
  <c r="V2717" i="27" s="1"/>
  <c r="W2717" i="27" s="1"/>
  <c r="P2717" i="27"/>
  <c r="N2717" i="27" s="1"/>
  <c r="M2717" i="27"/>
  <c r="J2717" i="27"/>
  <c r="G2717" i="27"/>
  <c r="R2716" i="27"/>
  <c r="P2716" i="27"/>
  <c r="M2716" i="27"/>
  <c r="K2716" i="27"/>
  <c r="J2716" i="27"/>
  <c r="G2716" i="27"/>
  <c r="R2715" i="27"/>
  <c r="P2715" i="27"/>
  <c r="M2715" i="27"/>
  <c r="K2715" i="27" s="1"/>
  <c r="J2715" i="27"/>
  <c r="G2715" i="27"/>
  <c r="E2715" i="27"/>
  <c r="V2714" i="27"/>
  <c r="W2714" i="27" s="1"/>
  <c r="R2714" i="27"/>
  <c r="U2714" i="27" s="1"/>
  <c r="P2714" i="27"/>
  <c r="M2714" i="27"/>
  <c r="J2714" i="27"/>
  <c r="H2714" i="27" s="1"/>
  <c r="G2714" i="27"/>
  <c r="E2714" i="27" s="1"/>
  <c r="R2713" i="27"/>
  <c r="P2713" i="27"/>
  <c r="M2713" i="27"/>
  <c r="J2713" i="27"/>
  <c r="G2713" i="27"/>
  <c r="R2712" i="27"/>
  <c r="P2712" i="27"/>
  <c r="N2712" i="27" s="1"/>
  <c r="M2712" i="27"/>
  <c r="J2712" i="27"/>
  <c r="G2712" i="27"/>
  <c r="V2711" i="27"/>
  <c r="W2711" i="27" s="1"/>
  <c r="R2711" i="27"/>
  <c r="U2711" i="27" s="1"/>
  <c r="P2711" i="27"/>
  <c r="M2711" i="27"/>
  <c r="J2711" i="27"/>
  <c r="G2711" i="27"/>
  <c r="R2710" i="27"/>
  <c r="K2710" i="27" s="1"/>
  <c r="P2710" i="27"/>
  <c r="M2710" i="27"/>
  <c r="J2710" i="27"/>
  <c r="G2710" i="27"/>
  <c r="U2709" i="27"/>
  <c r="V2709" i="27" s="1"/>
  <c r="W2709" i="27" s="1"/>
  <c r="R2709" i="27"/>
  <c r="P2709" i="27"/>
  <c r="M2709" i="27"/>
  <c r="J2709" i="27"/>
  <c r="G2709" i="27"/>
  <c r="R2708" i="27"/>
  <c r="P2708" i="27"/>
  <c r="M2708" i="27"/>
  <c r="J2708" i="27"/>
  <c r="G2708" i="27"/>
  <c r="R2707" i="27"/>
  <c r="P2707" i="27"/>
  <c r="N2707" i="27" s="1"/>
  <c r="M2707" i="27"/>
  <c r="J2707" i="27"/>
  <c r="G2707" i="27"/>
  <c r="R2706" i="27"/>
  <c r="P2706" i="27"/>
  <c r="M2706" i="27"/>
  <c r="J2706" i="27"/>
  <c r="G2706" i="27"/>
  <c r="R2705" i="27"/>
  <c r="P2705" i="27"/>
  <c r="M2705" i="27"/>
  <c r="J2705" i="27"/>
  <c r="H2705" i="27" s="1"/>
  <c r="G2705" i="27"/>
  <c r="E2705" i="27" s="1"/>
  <c r="R2704" i="27"/>
  <c r="K2704" i="27" s="1"/>
  <c r="P2704" i="27"/>
  <c r="M2704" i="27"/>
  <c r="J2704" i="27"/>
  <c r="G2704" i="27"/>
  <c r="E2704" i="27"/>
  <c r="R2703" i="27"/>
  <c r="P2703" i="27"/>
  <c r="M2703" i="27"/>
  <c r="J2703" i="27"/>
  <c r="G2703" i="27"/>
  <c r="R2702" i="27"/>
  <c r="P2702" i="27"/>
  <c r="N2702" i="27" s="1"/>
  <c r="M2702" i="27"/>
  <c r="J2702" i="27"/>
  <c r="G2702" i="27"/>
  <c r="R2701" i="27"/>
  <c r="P2701" i="27"/>
  <c r="M2701" i="27"/>
  <c r="J2701" i="27"/>
  <c r="G2701" i="27"/>
  <c r="R2700" i="27"/>
  <c r="P2700" i="27"/>
  <c r="M2700" i="27"/>
  <c r="J2700" i="27"/>
  <c r="G2700" i="27"/>
  <c r="U2699" i="27"/>
  <c r="V2699" i="27" s="1"/>
  <c r="W2699" i="27" s="1"/>
  <c r="R2699" i="27"/>
  <c r="P2699" i="27"/>
  <c r="M2699" i="27"/>
  <c r="K2699" i="27" s="1"/>
  <c r="J2699" i="27"/>
  <c r="G2699" i="27"/>
  <c r="R2698" i="27"/>
  <c r="P2698" i="27"/>
  <c r="M2698" i="27"/>
  <c r="J2698" i="27"/>
  <c r="H2698" i="27" s="1"/>
  <c r="G2698" i="27"/>
  <c r="R2697" i="27"/>
  <c r="E2697" i="27" s="1"/>
  <c r="P2697" i="27"/>
  <c r="N2697" i="27" s="1"/>
  <c r="M2697" i="27"/>
  <c r="J2697" i="27"/>
  <c r="G2697" i="27"/>
  <c r="R2696" i="27"/>
  <c r="P2696" i="27"/>
  <c r="M2696" i="27"/>
  <c r="J2696" i="27"/>
  <c r="H2696" i="27"/>
  <c r="G2696" i="27"/>
  <c r="U2695" i="27"/>
  <c r="V2695" i="27" s="1"/>
  <c r="W2695" i="27" s="1"/>
  <c r="R2695" i="27"/>
  <c r="P2695" i="27"/>
  <c r="M2695" i="27"/>
  <c r="J2695" i="27"/>
  <c r="G2695" i="27"/>
  <c r="E2695" i="27" s="1"/>
  <c r="R2694" i="27"/>
  <c r="P2694" i="27"/>
  <c r="M2694" i="27"/>
  <c r="J2694" i="27"/>
  <c r="G2694" i="27"/>
  <c r="R2693" i="27"/>
  <c r="N2693" i="27" s="1"/>
  <c r="P2693" i="27"/>
  <c r="M2693" i="27"/>
  <c r="J2693" i="27"/>
  <c r="G2693" i="27"/>
  <c r="R2692" i="27"/>
  <c r="P2692" i="27"/>
  <c r="N2692" i="27" s="1"/>
  <c r="M2692" i="27"/>
  <c r="K2692" i="27" s="1"/>
  <c r="J2692" i="27"/>
  <c r="G2692" i="27"/>
  <c r="W2691" i="27"/>
  <c r="R2691" i="27"/>
  <c r="U2691" i="27" s="1"/>
  <c r="V2691" i="27" s="1"/>
  <c r="P2691" i="27"/>
  <c r="M2691" i="27"/>
  <c r="J2691" i="27"/>
  <c r="H2691" i="27" s="1"/>
  <c r="G2691" i="27"/>
  <c r="E2691" i="27"/>
  <c r="R2690" i="27"/>
  <c r="P2690" i="27"/>
  <c r="N2690" i="27" s="1"/>
  <c r="M2690" i="27"/>
  <c r="J2690" i="27"/>
  <c r="G2690" i="27"/>
  <c r="E2690" i="27" s="1"/>
  <c r="R2689" i="27"/>
  <c r="N2689" i="27" s="1"/>
  <c r="P2689" i="27"/>
  <c r="M2689" i="27"/>
  <c r="J2689" i="27"/>
  <c r="G2689" i="27"/>
  <c r="R2688" i="27"/>
  <c r="P2688" i="27"/>
  <c r="M2688" i="27"/>
  <c r="J2688" i="27"/>
  <c r="G2688" i="27"/>
  <c r="R2687" i="27"/>
  <c r="P2687" i="27"/>
  <c r="N2687" i="27" s="1"/>
  <c r="M2687" i="27"/>
  <c r="J2687" i="27"/>
  <c r="G2687" i="27"/>
  <c r="R2686" i="27"/>
  <c r="P2686" i="27"/>
  <c r="M2686" i="27"/>
  <c r="J2686" i="27"/>
  <c r="G2686" i="27"/>
  <c r="R2685" i="27"/>
  <c r="H2685" i="27" s="1"/>
  <c r="P2685" i="27"/>
  <c r="M2685" i="27"/>
  <c r="J2685" i="27"/>
  <c r="G2685" i="27"/>
  <c r="R2684" i="27"/>
  <c r="P2684" i="27"/>
  <c r="M2684" i="27"/>
  <c r="J2684" i="27"/>
  <c r="G2684" i="27"/>
  <c r="R2683" i="27"/>
  <c r="U2683" i="27" s="1"/>
  <c r="V2683" i="27" s="1"/>
  <c r="W2683" i="27" s="1"/>
  <c r="P2683" i="27"/>
  <c r="N2683" i="27" s="1"/>
  <c r="M2683" i="27"/>
  <c r="K2683" i="27" s="1"/>
  <c r="J2683" i="27"/>
  <c r="H2683" i="27"/>
  <c r="G2683" i="27"/>
  <c r="E2683" i="27" s="1"/>
  <c r="V2682" i="27"/>
  <c r="W2682" i="27" s="1"/>
  <c r="R2682" i="27"/>
  <c r="U2682" i="27" s="1"/>
  <c r="P2682" i="27"/>
  <c r="N2682" i="27" s="1"/>
  <c r="M2682" i="27"/>
  <c r="J2682" i="27"/>
  <c r="H2682" i="27" s="1"/>
  <c r="G2682" i="27"/>
  <c r="E2682" i="27"/>
  <c r="R2681" i="27"/>
  <c r="P2681" i="27"/>
  <c r="M2681" i="27"/>
  <c r="J2681" i="27"/>
  <c r="G2681" i="27"/>
  <c r="R2680" i="27"/>
  <c r="P2680" i="27"/>
  <c r="N2680" i="27" s="1"/>
  <c r="M2680" i="27"/>
  <c r="K2680" i="27" s="1"/>
  <c r="J2680" i="27"/>
  <c r="H2680" i="27"/>
  <c r="G2680" i="27"/>
  <c r="R2679" i="27"/>
  <c r="P2679" i="27"/>
  <c r="M2679" i="27"/>
  <c r="J2679" i="27"/>
  <c r="G2679" i="27"/>
  <c r="R2678" i="27"/>
  <c r="U2678" i="27" s="1"/>
  <c r="V2678" i="27" s="1"/>
  <c r="W2678" i="27" s="1"/>
  <c r="P2678" i="27"/>
  <c r="M2678" i="27"/>
  <c r="J2678" i="27"/>
  <c r="H2678" i="27" s="1"/>
  <c r="G2678" i="27"/>
  <c r="R2677" i="27"/>
  <c r="P2677" i="27"/>
  <c r="M2677" i="27"/>
  <c r="K2677" i="27" s="1"/>
  <c r="J2677" i="27"/>
  <c r="G2677" i="27"/>
  <c r="R2676" i="27"/>
  <c r="P2676" i="27"/>
  <c r="M2676" i="27"/>
  <c r="J2676" i="27"/>
  <c r="G2676" i="27"/>
  <c r="R2675" i="27"/>
  <c r="P2675" i="27"/>
  <c r="N2675" i="27" s="1"/>
  <c r="M2675" i="27"/>
  <c r="J2675" i="27"/>
  <c r="G2675" i="27"/>
  <c r="R2674" i="27"/>
  <c r="P2674" i="27"/>
  <c r="M2674" i="27"/>
  <c r="J2674" i="27"/>
  <c r="G2674" i="27"/>
  <c r="E2674" i="27" s="1"/>
  <c r="R2673" i="27"/>
  <c r="U2673" i="27" s="1"/>
  <c r="V2673" i="27" s="1"/>
  <c r="W2673" i="27" s="1"/>
  <c r="P2673" i="27"/>
  <c r="N2673" i="27" s="1"/>
  <c r="M2673" i="27"/>
  <c r="J2673" i="27"/>
  <c r="H2673" i="27"/>
  <c r="G2673" i="27"/>
  <c r="E2673" i="27" s="1"/>
  <c r="R2672" i="27"/>
  <c r="P2672" i="27"/>
  <c r="M2672" i="27"/>
  <c r="K2672" i="27" s="1"/>
  <c r="J2672" i="27"/>
  <c r="G2672" i="27"/>
  <c r="E2672" i="27" s="1"/>
  <c r="R2671" i="27"/>
  <c r="P2671" i="27"/>
  <c r="M2671" i="27"/>
  <c r="J2671" i="27"/>
  <c r="G2671" i="27"/>
  <c r="R2670" i="27"/>
  <c r="P2670" i="27"/>
  <c r="M2670" i="27"/>
  <c r="J2670" i="27"/>
  <c r="G2670" i="27"/>
  <c r="E2670" i="27"/>
  <c r="R2669" i="27"/>
  <c r="U2669" i="27" s="1"/>
  <c r="V2669" i="27" s="1"/>
  <c r="W2669" i="27" s="1"/>
  <c r="P2669" i="27"/>
  <c r="M2669" i="27"/>
  <c r="J2669" i="27"/>
  <c r="H2669" i="27" s="1"/>
  <c r="G2669" i="27"/>
  <c r="R2668" i="27"/>
  <c r="P2668" i="27"/>
  <c r="M2668" i="27"/>
  <c r="J2668" i="27"/>
  <c r="G2668" i="27"/>
  <c r="R2667" i="27"/>
  <c r="P2667" i="27"/>
  <c r="N2667" i="27" s="1"/>
  <c r="M2667" i="27"/>
  <c r="J2667" i="27"/>
  <c r="G2667" i="27"/>
  <c r="R2666" i="27"/>
  <c r="P2666" i="27"/>
  <c r="N2666" i="27" s="1"/>
  <c r="M2666" i="27"/>
  <c r="J2666" i="27"/>
  <c r="G2666" i="27"/>
  <c r="E2666" i="27" s="1"/>
  <c r="U2665" i="27"/>
  <c r="V2665" i="27" s="1"/>
  <c r="W2665" i="27" s="1"/>
  <c r="R2665" i="27"/>
  <c r="P2665" i="27"/>
  <c r="M2665" i="27"/>
  <c r="J2665" i="27"/>
  <c r="G2665" i="27"/>
  <c r="R2664" i="27"/>
  <c r="P2664" i="27"/>
  <c r="M2664" i="27"/>
  <c r="J2664" i="27"/>
  <c r="G2664" i="27"/>
  <c r="R2663" i="27"/>
  <c r="E2663" i="27" s="1"/>
  <c r="P2663" i="27"/>
  <c r="M2663" i="27"/>
  <c r="J2663" i="27"/>
  <c r="G2663" i="27"/>
  <c r="R2662" i="27"/>
  <c r="P2662" i="27"/>
  <c r="N2662" i="27" s="1"/>
  <c r="M2662" i="27"/>
  <c r="J2662" i="27"/>
  <c r="G2662" i="27"/>
  <c r="R2661" i="27"/>
  <c r="P2661" i="27"/>
  <c r="M2661" i="27"/>
  <c r="J2661" i="27"/>
  <c r="G2661" i="27"/>
  <c r="R2660" i="27"/>
  <c r="P2660" i="27"/>
  <c r="M2660" i="27"/>
  <c r="J2660" i="27"/>
  <c r="G2660" i="27"/>
  <c r="R2659" i="27"/>
  <c r="P2659" i="27"/>
  <c r="M2659" i="27"/>
  <c r="J2659" i="27"/>
  <c r="G2659" i="27"/>
  <c r="R2658" i="27"/>
  <c r="E2658" i="27" s="1"/>
  <c r="P2658" i="27"/>
  <c r="M2658" i="27"/>
  <c r="J2658" i="27"/>
  <c r="G2658" i="27"/>
  <c r="R2657" i="27"/>
  <c r="N2657" i="27" s="1"/>
  <c r="P2657" i="27"/>
  <c r="M2657" i="27"/>
  <c r="J2657" i="27"/>
  <c r="G2657" i="27"/>
  <c r="R2656" i="27"/>
  <c r="U2656" i="27" s="1"/>
  <c r="V2656" i="27" s="1"/>
  <c r="W2656" i="27" s="1"/>
  <c r="P2656" i="27"/>
  <c r="M2656" i="27"/>
  <c r="J2656" i="27"/>
  <c r="G2656" i="27"/>
  <c r="U2655" i="27"/>
  <c r="V2655" i="27" s="1"/>
  <c r="W2655" i="27" s="1"/>
  <c r="R2655" i="27"/>
  <c r="P2655" i="27"/>
  <c r="M2655" i="27"/>
  <c r="J2655" i="27"/>
  <c r="H2655" i="27" s="1"/>
  <c r="G2655" i="27"/>
  <c r="E2655" i="27" s="1"/>
  <c r="R2654" i="27"/>
  <c r="P2654" i="27"/>
  <c r="M2654" i="27"/>
  <c r="J2654" i="27"/>
  <c r="G2654" i="27"/>
  <c r="R2653" i="27"/>
  <c r="P2653" i="27"/>
  <c r="M2653" i="27"/>
  <c r="J2653" i="27"/>
  <c r="G2653" i="27"/>
  <c r="R2652" i="27"/>
  <c r="P2652" i="27"/>
  <c r="M2652" i="27"/>
  <c r="J2652" i="27"/>
  <c r="G2652" i="27"/>
  <c r="R2651" i="27"/>
  <c r="P2651" i="27"/>
  <c r="M2651" i="27"/>
  <c r="J2651" i="27"/>
  <c r="G2651" i="27"/>
  <c r="E2651" i="27" s="1"/>
  <c r="R2650" i="27"/>
  <c r="P2650" i="27"/>
  <c r="N2650" i="27"/>
  <c r="M2650" i="27"/>
  <c r="J2650" i="27"/>
  <c r="G2650" i="27"/>
  <c r="U2649" i="27"/>
  <c r="V2649" i="27" s="1"/>
  <c r="W2649" i="27" s="1"/>
  <c r="R2649" i="27"/>
  <c r="H2649" i="27" s="1"/>
  <c r="P2649" i="27"/>
  <c r="N2649" i="27" s="1"/>
  <c r="M2649" i="27"/>
  <c r="J2649" i="27"/>
  <c r="G2649" i="27"/>
  <c r="R2648" i="27"/>
  <c r="P2648" i="27"/>
  <c r="M2648" i="27"/>
  <c r="J2648" i="27"/>
  <c r="G2648" i="27"/>
  <c r="R2647" i="27"/>
  <c r="U2647" i="27" s="1"/>
  <c r="V2647" i="27" s="1"/>
  <c r="W2647" i="27" s="1"/>
  <c r="P2647" i="27"/>
  <c r="M2647" i="27"/>
  <c r="K2647" i="27"/>
  <c r="J2647" i="27"/>
  <c r="H2647" i="27" s="1"/>
  <c r="G2647" i="27"/>
  <c r="R2646" i="27"/>
  <c r="U2646" i="27" s="1"/>
  <c r="V2646" i="27" s="1"/>
  <c r="W2646" i="27" s="1"/>
  <c r="P2646" i="27"/>
  <c r="M2646" i="27"/>
  <c r="J2646" i="27"/>
  <c r="G2646" i="27"/>
  <c r="R2645" i="27"/>
  <c r="P2645" i="27"/>
  <c r="N2645" i="27"/>
  <c r="M2645" i="27"/>
  <c r="J2645" i="27"/>
  <c r="G2645" i="27"/>
  <c r="R2644" i="27"/>
  <c r="P2644" i="27"/>
  <c r="M2644" i="27"/>
  <c r="J2644" i="27"/>
  <c r="G2644" i="27"/>
  <c r="U2643" i="27"/>
  <c r="V2643" i="27" s="1"/>
  <c r="W2643" i="27" s="1"/>
  <c r="R2643" i="27"/>
  <c r="H2643" i="27" s="1"/>
  <c r="P2643" i="27"/>
  <c r="N2643" i="27" s="1"/>
  <c r="M2643" i="27"/>
  <c r="J2643" i="27"/>
  <c r="G2643" i="27"/>
  <c r="R2642" i="27"/>
  <c r="P2642" i="27"/>
  <c r="M2642" i="27"/>
  <c r="J2642" i="27"/>
  <c r="G2642" i="27"/>
  <c r="R2641" i="27"/>
  <c r="P2641" i="27"/>
  <c r="M2641" i="27"/>
  <c r="J2641" i="27"/>
  <c r="G2641" i="27"/>
  <c r="R2640" i="27"/>
  <c r="P2640" i="27"/>
  <c r="M2640" i="27"/>
  <c r="J2640" i="27"/>
  <c r="G2640" i="27"/>
  <c r="R2639" i="27"/>
  <c r="P2639" i="27"/>
  <c r="M2639" i="27"/>
  <c r="K2639" i="27" s="1"/>
  <c r="J2639" i="27"/>
  <c r="G2639" i="27"/>
  <c r="R2638" i="27"/>
  <c r="U2638" i="27" s="1"/>
  <c r="V2638" i="27" s="1"/>
  <c r="W2638" i="27" s="1"/>
  <c r="P2638" i="27"/>
  <c r="N2638" i="27" s="1"/>
  <c r="M2638" i="27"/>
  <c r="J2638" i="27"/>
  <c r="H2638" i="27"/>
  <c r="G2638" i="27"/>
  <c r="R2636" i="27"/>
  <c r="P2636" i="27"/>
  <c r="M2636" i="27"/>
  <c r="K2636" i="27"/>
  <c r="J2636" i="27"/>
  <c r="G2636" i="27"/>
  <c r="R2635" i="27"/>
  <c r="U2635" i="27" s="1"/>
  <c r="V2635" i="27" s="1"/>
  <c r="W2635" i="27" s="1"/>
  <c r="P2635" i="27"/>
  <c r="M2635" i="27"/>
  <c r="J2635" i="27"/>
  <c r="G2635" i="27"/>
  <c r="U2634" i="27"/>
  <c r="V2634" i="27" s="1"/>
  <c r="W2634" i="27" s="1"/>
  <c r="R2634" i="27"/>
  <c r="P2634" i="27"/>
  <c r="M2634" i="27"/>
  <c r="J2634" i="27"/>
  <c r="G2634" i="27"/>
  <c r="R2633" i="27"/>
  <c r="U2633" i="27" s="1"/>
  <c r="V2633" i="27" s="1"/>
  <c r="W2633" i="27" s="1"/>
  <c r="P2633" i="27"/>
  <c r="M2633" i="27"/>
  <c r="J2633" i="27"/>
  <c r="G2633" i="27"/>
  <c r="U2632" i="27"/>
  <c r="V2632" i="27" s="1"/>
  <c r="W2632" i="27" s="1"/>
  <c r="R2632" i="27"/>
  <c r="N2632" i="27" s="1"/>
  <c r="P2632" i="27"/>
  <c r="M2632" i="27"/>
  <c r="K2632" i="27" s="1"/>
  <c r="J2632" i="27"/>
  <c r="G2632" i="27"/>
  <c r="E2632" i="27" s="1"/>
  <c r="R2631" i="27"/>
  <c r="P2631" i="27"/>
  <c r="M2631" i="27"/>
  <c r="J2631" i="27"/>
  <c r="G2631" i="27"/>
  <c r="U2630" i="27"/>
  <c r="V2630" i="27" s="1"/>
  <c r="W2630" i="27" s="1"/>
  <c r="R2630" i="27"/>
  <c r="K2630" i="27" s="1"/>
  <c r="P2630" i="27"/>
  <c r="M2630" i="27"/>
  <c r="J2630" i="27"/>
  <c r="G2630" i="27"/>
  <c r="R2629" i="27"/>
  <c r="H2629" i="27" s="1"/>
  <c r="P2629" i="27"/>
  <c r="N2629" i="27" s="1"/>
  <c r="M2629" i="27"/>
  <c r="J2629" i="27"/>
  <c r="G2629" i="27"/>
  <c r="R2628" i="27"/>
  <c r="P2628" i="27"/>
  <c r="M2628" i="27"/>
  <c r="J2628" i="27"/>
  <c r="G2628" i="27"/>
  <c r="R2627" i="27"/>
  <c r="E2627" i="27" s="1"/>
  <c r="P2627" i="27"/>
  <c r="N2627" i="27" s="1"/>
  <c r="M2627" i="27"/>
  <c r="J2627" i="27"/>
  <c r="G2627" i="27"/>
  <c r="R2626" i="27"/>
  <c r="K2626" i="27" s="1"/>
  <c r="P2626" i="27"/>
  <c r="M2626" i="27"/>
  <c r="J2626" i="27"/>
  <c r="G2626" i="27"/>
  <c r="R2625" i="27"/>
  <c r="P2625" i="27"/>
  <c r="M2625" i="27"/>
  <c r="J2625" i="27"/>
  <c r="G2625" i="27"/>
  <c r="U2624" i="27"/>
  <c r="V2624" i="27" s="1"/>
  <c r="W2624" i="27" s="1"/>
  <c r="R2624" i="27"/>
  <c r="P2624" i="27"/>
  <c r="M2624" i="27"/>
  <c r="J2624" i="27"/>
  <c r="G2624" i="27"/>
  <c r="R2623" i="27"/>
  <c r="P2623" i="27"/>
  <c r="N2623" i="27" s="1"/>
  <c r="M2623" i="27"/>
  <c r="J2623" i="27"/>
  <c r="G2623" i="27"/>
  <c r="R2622" i="27"/>
  <c r="P2622" i="27"/>
  <c r="M2622" i="27"/>
  <c r="J2622" i="27"/>
  <c r="G2622" i="27"/>
  <c r="R2621" i="27"/>
  <c r="P2621" i="27"/>
  <c r="M2621" i="27"/>
  <c r="J2621" i="27"/>
  <c r="G2621" i="27"/>
  <c r="R2620" i="27"/>
  <c r="U2620" i="27" s="1"/>
  <c r="V2620" i="27" s="1"/>
  <c r="W2620" i="27" s="1"/>
  <c r="P2620" i="27"/>
  <c r="M2620" i="27"/>
  <c r="J2620" i="27"/>
  <c r="G2620" i="27"/>
  <c r="R2619" i="27"/>
  <c r="P2619" i="27"/>
  <c r="M2619" i="27"/>
  <c r="J2619" i="27"/>
  <c r="G2619" i="27"/>
  <c r="R2618" i="27"/>
  <c r="P2618" i="27"/>
  <c r="M2618" i="27"/>
  <c r="K2618" i="27"/>
  <c r="J2618" i="27"/>
  <c r="G2618" i="27"/>
  <c r="R2617" i="27"/>
  <c r="P2617" i="27"/>
  <c r="M2617" i="27"/>
  <c r="J2617" i="27"/>
  <c r="G2617" i="27"/>
  <c r="R2616" i="27"/>
  <c r="U2616" i="27" s="1"/>
  <c r="V2616" i="27" s="1"/>
  <c r="W2616" i="27" s="1"/>
  <c r="P2616" i="27"/>
  <c r="N2616" i="27" s="1"/>
  <c r="M2616" i="27"/>
  <c r="J2616" i="27"/>
  <c r="H2616" i="27"/>
  <c r="G2616" i="27"/>
  <c r="R2615" i="27"/>
  <c r="U2615" i="27" s="1"/>
  <c r="V2615" i="27" s="1"/>
  <c r="W2615" i="27" s="1"/>
  <c r="P2615" i="27"/>
  <c r="N2615" i="27" s="1"/>
  <c r="M2615" i="27"/>
  <c r="J2615" i="27"/>
  <c r="G2615" i="27"/>
  <c r="R2614" i="27"/>
  <c r="U2614" i="27" s="1"/>
  <c r="V2614" i="27" s="1"/>
  <c r="W2614" i="27" s="1"/>
  <c r="P2614" i="27"/>
  <c r="M2614" i="27"/>
  <c r="J2614" i="27"/>
  <c r="G2614" i="27"/>
  <c r="R2613" i="27"/>
  <c r="P2613" i="27"/>
  <c r="M2613" i="27"/>
  <c r="J2613" i="27"/>
  <c r="G2613" i="27"/>
  <c r="E2613" i="27" s="1"/>
  <c r="U2612" i="27"/>
  <c r="V2612" i="27" s="1"/>
  <c r="W2612" i="27" s="1"/>
  <c r="R2612" i="27"/>
  <c r="H2612" i="27" s="1"/>
  <c r="P2612" i="27"/>
  <c r="M2612" i="27"/>
  <c r="J2612" i="27"/>
  <c r="G2612" i="27"/>
  <c r="R2611" i="27"/>
  <c r="P2611" i="27"/>
  <c r="M2611" i="27"/>
  <c r="J2611" i="27"/>
  <c r="G2611" i="27"/>
  <c r="U2610" i="27"/>
  <c r="V2610" i="27" s="1"/>
  <c r="W2610" i="27" s="1"/>
  <c r="R2610" i="27"/>
  <c r="H2610" i="27" s="1"/>
  <c r="P2610" i="27"/>
  <c r="N2610" i="27"/>
  <c r="M2610" i="27"/>
  <c r="J2610" i="27"/>
  <c r="G2610" i="27"/>
  <c r="R2609" i="27"/>
  <c r="P2609" i="27"/>
  <c r="M2609" i="27"/>
  <c r="J2609" i="27"/>
  <c r="G2609" i="27"/>
  <c r="U2608" i="27"/>
  <c r="V2608" i="27" s="1"/>
  <c r="W2608" i="27" s="1"/>
  <c r="R2608" i="27"/>
  <c r="P2608" i="27"/>
  <c r="M2608" i="27"/>
  <c r="J2608" i="27"/>
  <c r="G2608" i="27"/>
  <c r="R2607" i="27"/>
  <c r="P2607" i="27"/>
  <c r="N2607" i="27" s="1"/>
  <c r="M2607" i="27"/>
  <c r="J2607" i="27"/>
  <c r="G2607" i="27"/>
  <c r="R2605" i="27"/>
  <c r="U2605" i="27" s="1"/>
  <c r="V2605" i="27" s="1"/>
  <c r="W2605" i="27" s="1"/>
  <c r="P2605" i="27"/>
  <c r="M2605" i="27"/>
  <c r="J2605" i="27"/>
  <c r="G2605" i="27"/>
  <c r="U2604" i="27"/>
  <c r="V2604" i="27" s="1"/>
  <c r="W2604" i="27" s="1"/>
  <c r="R2604" i="27"/>
  <c r="P2604" i="27"/>
  <c r="M2604" i="27"/>
  <c r="K2604" i="27" s="1"/>
  <c r="J2604" i="27"/>
  <c r="G2604" i="27"/>
  <c r="E2604" i="27" s="1"/>
  <c r="R2603" i="27"/>
  <c r="E2603" i="27" s="1"/>
  <c r="P2603" i="27"/>
  <c r="M2603" i="27"/>
  <c r="J2603" i="27"/>
  <c r="G2603" i="27"/>
  <c r="R2602" i="27"/>
  <c r="P2602" i="27"/>
  <c r="M2602" i="27"/>
  <c r="J2602" i="27"/>
  <c r="G2602" i="27"/>
  <c r="R2601" i="27"/>
  <c r="U2601" i="27" s="1"/>
  <c r="V2601" i="27" s="1"/>
  <c r="W2601" i="27" s="1"/>
  <c r="P2601" i="27"/>
  <c r="M2601" i="27"/>
  <c r="J2601" i="27"/>
  <c r="G2601" i="27"/>
  <c r="R2600" i="27"/>
  <c r="K2600" i="27" s="1"/>
  <c r="P2600" i="27"/>
  <c r="N2600" i="27" s="1"/>
  <c r="M2600" i="27"/>
  <c r="J2600" i="27"/>
  <c r="G2600" i="27"/>
  <c r="R2599" i="27"/>
  <c r="P2599" i="27"/>
  <c r="M2599" i="27"/>
  <c r="J2599" i="27"/>
  <c r="G2599" i="27"/>
  <c r="R2598" i="27"/>
  <c r="P2598" i="27"/>
  <c r="M2598" i="27"/>
  <c r="J2598" i="27"/>
  <c r="G2598" i="27"/>
  <c r="U2597" i="27"/>
  <c r="V2597" i="27" s="1"/>
  <c r="W2597" i="27" s="1"/>
  <c r="R2597" i="27"/>
  <c r="P2597" i="27"/>
  <c r="M2597" i="27"/>
  <c r="J2597" i="27"/>
  <c r="G2597" i="27"/>
  <c r="U2596" i="27"/>
  <c r="V2596" i="27" s="1"/>
  <c r="W2596" i="27" s="1"/>
  <c r="R2596" i="27"/>
  <c r="E2596" i="27" s="1"/>
  <c r="P2596" i="27"/>
  <c r="M2596" i="27"/>
  <c r="K2596" i="27" s="1"/>
  <c r="J2596" i="27"/>
  <c r="G2596" i="27"/>
  <c r="R2595" i="27"/>
  <c r="P2595" i="27"/>
  <c r="N2595" i="27" s="1"/>
  <c r="M2595" i="27"/>
  <c r="J2595" i="27"/>
  <c r="G2595" i="27"/>
  <c r="R2594" i="27"/>
  <c r="P2594" i="27"/>
  <c r="M2594" i="27"/>
  <c r="J2594" i="27"/>
  <c r="G2594" i="27"/>
  <c r="R2593" i="27"/>
  <c r="P2593" i="27"/>
  <c r="M2593" i="27"/>
  <c r="J2593" i="27"/>
  <c r="G2593" i="27"/>
  <c r="R2592" i="27"/>
  <c r="P2592" i="27"/>
  <c r="M2592" i="27"/>
  <c r="J2592" i="27"/>
  <c r="G2592" i="27"/>
  <c r="R2591" i="27"/>
  <c r="P2591" i="27"/>
  <c r="M2591" i="27"/>
  <c r="J2591" i="27"/>
  <c r="G2591" i="27"/>
  <c r="R2590" i="27"/>
  <c r="P2590" i="27"/>
  <c r="N2590" i="27" s="1"/>
  <c r="M2590" i="27"/>
  <c r="J2590" i="27"/>
  <c r="G2590" i="27"/>
  <c r="R2589" i="27"/>
  <c r="P2589" i="27"/>
  <c r="M2589" i="27"/>
  <c r="J2589" i="27"/>
  <c r="G2589" i="27"/>
  <c r="R2588" i="27"/>
  <c r="P2588" i="27"/>
  <c r="M2588" i="27"/>
  <c r="J2588" i="27"/>
  <c r="G2588" i="27"/>
  <c r="R2587" i="27"/>
  <c r="P2587" i="27"/>
  <c r="M2587" i="27"/>
  <c r="J2587" i="27"/>
  <c r="G2587" i="27"/>
  <c r="R2586" i="27"/>
  <c r="P2586" i="27"/>
  <c r="M2586" i="27"/>
  <c r="J2586" i="27"/>
  <c r="G2586" i="27"/>
  <c r="R2585" i="27"/>
  <c r="P2585" i="27"/>
  <c r="M2585" i="27"/>
  <c r="J2585" i="27"/>
  <c r="G2585" i="27"/>
  <c r="R2584" i="27"/>
  <c r="U2584" i="27" s="1"/>
  <c r="V2584" i="27" s="1"/>
  <c r="W2584" i="27" s="1"/>
  <c r="P2584" i="27"/>
  <c r="M2584" i="27"/>
  <c r="K2584" i="27" s="1"/>
  <c r="J2584" i="27"/>
  <c r="G2584" i="27"/>
  <c r="R2583" i="27"/>
  <c r="K2583" i="27" s="1"/>
  <c r="P2583" i="27"/>
  <c r="M2583" i="27"/>
  <c r="J2583" i="27"/>
  <c r="G2583" i="27"/>
  <c r="E2583" i="27" s="1"/>
  <c r="R2582" i="27"/>
  <c r="P2582" i="27"/>
  <c r="M2582" i="27"/>
  <c r="J2582" i="27"/>
  <c r="G2582" i="27"/>
  <c r="R2581" i="27"/>
  <c r="P2581" i="27"/>
  <c r="M2581" i="27"/>
  <c r="J2581" i="27"/>
  <c r="G2581" i="27"/>
  <c r="R2580" i="27"/>
  <c r="P2580" i="27"/>
  <c r="N2580" i="27" s="1"/>
  <c r="M2580" i="27"/>
  <c r="J2580" i="27"/>
  <c r="G2580" i="27"/>
  <c r="R2579" i="27"/>
  <c r="P2579" i="27"/>
  <c r="M2579" i="27"/>
  <c r="J2579" i="27"/>
  <c r="G2579" i="27"/>
  <c r="R2578" i="27"/>
  <c r="P2578" i="27"/>
  <c r="M2578" i="27"/>
  <c r="J2578" i="27"/>
  <c r="G2578" i="27"/>
  <c r="R2576" i="27"/>
  <c r="P2576" i="27"/>
  <c r="M2576" i="27"/>
  <c r="J2576" i="27"/>
  <c r="G2576" i="27"/>
  <c r="U2575" i="27"/>
  <c r="V2575" i="27" s="1"/>
  <c r="W2575" i="27" s="1"/>
  <c r="R2575" i="27"/>
  <c r="P2575" i="27"/>
  <c r="N2575" i="27" s="1"/>
  <c r="M2575" i="27"/>
  <c r="K2575" i="27" s="1"/>
  <c r="J2575" i="27"/>
  <c r="G2575" i="27"/>
  <c r="E2575" i="27" s="1"/>
  <c r="R2574" i="27"/>
  <c r="P2574" i="27"/>
  <c r="N2574" i="27" s="1"/>
  <c r="M2574" i="27"/>
  <c r="J2574" i="27"/>
  <c r="G2574" i="27"/>
  <c r="E2574" i="27" s="1"/>
  <c r="R2573" i="27"/>
  <c r="K2573" i="27" s="1"/>
  <c r="P2573" i="27"/>
  <c r="M2573" i="27"/>
  <c r="J2573" i="27"/>
  <c r="G2573" i="27"/>
  <c r="R2572" i="27"/>
  <c r="P2572" i="27"/>
  <c r="M2572" i="27"/>
  <c r="J2572" i="27"/>
  <c r="G2572" i="27"/>
  <c r="R2571" i="27"/>
  <c r="P2571" i="27"/>
  <c r="M2571" i="27"/>
  <c r="J2571" i="27"/>
  <c r="G2571" i="27"/>
  <c r="R2569" i="27"/>
  <c r="P2569" i="27"/>
  <c r="M2569" i="27"/>
  <c r="J2569" i="27"/>
  <c r="G2569" i="27"/>
  <c r="R2568" i="27"/>
  <c r="U2568" i="27" s="1"/>
  <c r="V2568" i="27" s="1"/>
  <c r="W2568" i="27" s="1"/>
  <c r="P2568" i="27"/>
  <c r="M2568" i="27"/>
  <c r="J2568" i="27"/>
  <c r="G2568" i="27"/>
  <c r="R2567" i="27"/>
  <c r="P2567" i="27"/>
  <c r="M2567" i="27"/>
  <c r="J2567" i="27"/>
  <c r="G2567" i="27"/>
  <c r="R2566" i="27"/>
  <c r="U2566" i="27" s="1"/>
  <c r="V2566" i="27" s="1"/>
  <c r="W2566" i="27" s="1"/>
  <c r="P2566" i="27"/>
  <c r="M2566" i="27"/>
  <c r="J2566" i="27"/>
  <c r="G2566" i="27"/>
  <c r="R2565" i="27"/>
  <c r="K2565" i="27" s="1"/>
  <c r="P2565" i="27"/>
  <c r="M2565" i="27"/>
  <c r="J2565" i="27"/>
  <c r="G2565" i="27"/>
  <c r="R2564" i="27"/>
  <c r="P2564" i="27"/>
  <c r="M2564" i="27"/>
  <c r="J2564" i="27"/>
  <c r="G2564" i="27"/>
  <c r="R2563" i="27"/>
  <c r="U2563" i="27" s="1"/>
  <c r="V2563" i="27" s="1"/>
  <c r="W2563" i="27" s="1"/>
  <c r="P2563" i="27"/>
  <c r="M2563" i="27"/>
  <c r="K2563" i="27" s="1"/>
  <c r="J2563" i="27"/>
  <c r="G2563" i="27"/>
  <c r="R2562" i="27"/>
  <c r="P2562" i="27"/>
  <c r="M2562" i="27"/>
  <c r="J2562" i="27"/>
  <c r="G2562" i="27"/>
  <c r="R2561" i="27"/>
  <c r="P2561" i="27"/>
  <c r="M2561" i="27"/>
  <c r="J2561" i="27"/>
  <c r="G2561" i="27"/>
  <c r="R2560" i="27"/>
  <c r="P2560" i="27"/>
  <c r="M2560" i="27"/>
  <c r="J2560" i="27"/>
  <c r="G2560" i="27"/>
  <c r="R2559" i="27"/>
  <c r="K2559" i="27" s="1"/>
  <c r="P2559" i="27"/>
  <c r="M2559" i="27"/>
  <c r="J2559" i="27"/>
  <c r="G2559" i="27"/>
  <c r="U2558" i="27"/>
  <c r="V2558" i="27" s="1"/>
  <c r="W2558" i="27" s="1"/>
  <c r="R2558" i="27"/>
  <c r="H2558" i="27" s="1"/>
  <c r="P2558" i="27"/>
  <c r="M2558" i="27"/>
  <c r="J2558" i="27"/>
  <c r="G2558" i="27"/>
  <c r="R2557" i="27"/>
  <c r="P2557" i="27"/>
  <c r="M2557" i="27"/>
  <c r="J2557" i="27"/>
  <c r="G2557" i="27"/>
  <c r="R2556" i="27"/>
  <c r="P2556" i="27"/>
  <c r="M2556" i="27"/>
  <c r="K2556" i="27"/>
  <c r="J2556" i="27"/>
  <c r="G2556" i="27"/>
  <c r="R2555" i="27"/>
  <c r="P2555" i="27"/>
  <c r="M2555" i="27"/>
  <c r="J2555" i="27"/>
  <c r="G2555" i="27"/>
  <c r="R2554" i="27"/>
  <c r="U2554" i="27" s="1"/>
  <c r="V2554" i="27" s="1"/>
  <c r="W2554" i="27" s="1"/>
  <c r="P2554" i="27"/>
  <c r="N2554" i="27" s="1"/>
  <c r="M2554" i="27"/>
  <c r="J2554" i="27"/>
  <c r="G2554" i="27"/>
  <c r="R2553" i="27"/>
  <c r="P2553" i="27"/>
  <c r="M2553" i="27"/>
  <c r="J2553" i="27"/>
  <c r="G2553" i="27"/>
  <c r="E2553" i="27"/>
  <c r="R2552" i="27"/>
  <c r="P2552" i="27"/>
  <c r="M2552" i="27"/>
  <c r="J2552" i="27"/>
  <c r="G2552" i="27"/>
  <c r="R2551" i="27"/>
  <c r="U2551" i="27" s="1"/>
  <c r="V2551" i="27" s="1"/>
  <c r="W2551" i="27" s="1"/>
  <c r="P2551" i="27"/>
  <c r="M2551" i="27"/>
  <c r="J2551" i="27"/>
  <c r="G2551" i="27"/>
  <c r="R2550" i="27"/>
  <c r="P2550" i="27"/>
  <c r="M2550" i="27"/>
  <c r="K2550" i="27"/>
  <c r="J2550" i="27"/>
  <c r="G2550" i="27"/>
  <c r="R2549" i="27"/>
  <c r="K2549" i="27" s="1"/>
  <c r="P2549" i="27"/>
  <c r="N2549" i="27" s="1"/>
  <c r="M2549" i="27"/>
  <c r="J2549" i="27"/>
  <c r="G2549" i="27"/>
  <c r="E2549" i="27" s="1"/>
  <c r="R2548" i="27"/>
  <c r="P2548" i="27"/>
  <c r="M2548" i="27"/>
  <c r="J2548" i="27"/>
  <c r="G2548" i="27"/>
  <c r="R2547" i="27"/>
  <c r="U2547" i="27" s="1"/>
  <c r="V2547" i="27" s="1"/>
  <c r="W2547" i="27" s="1"/>
  <c r="P2547" i="27"/>
  <c r="M2547" i="27"/>
  <c r="J2547" i="27"/>
  <c r="G2547" i="27"/>
  <c r="R2546" i="27"/>
  <c r="P2546" i="27"/>
  <c r="M2546" i="27"/>
  <c r="J2546" i="27"/>
  <c r="G2546" i="27"/>
  <c r="R2545" i="27"/>
  <c r="P2545" i="27"/>
  <c r="N2545" i="27" s="1"/>
  <c r="M2545" i="27"/>
  <c r="J2545" i="27"/>
  <c r="G2545" i="27"/>
  <c r="R2544" i="27"/>
  <c r="P2544" i="27"/>
  <c r="M2544" i="27"/>
  <c r="J2544" i="27"/>
  <c r="G2544" i="27"/>
  <c r="R2543" i="27"/>
  <c r="P2543" i="27"/>
  <c r="M2543" i="27"/>
  <c r="J2543" i="27"/>
  <c r="G2543" i="27"/>
  <c r="R2542" i="27"/>
  <c r="P2542" i="27"/>
  <c r="M2542" i="27"/>
  <c r="J2542" i="27"/>
  <c r="G2542" i="27"/>
  <c r="R2541" i="27"/>
  <c r="P2541" i="27"/>
  <c r="M2541" i="27"/>
  <c r="J2541" i="27"/>
  <c r="G2541" i="27"/>
  <c r="E2541" i="27" s="1"/>
  <c r="R2540" i="27"/>
  <c r="K2540" i="27" s="1"/>
  <c r="P2540" i="27"/>
  <c r="N2540" i="27" s="1"/>
  <c r="M2540" i="27"/>
  <c r="J2540" i="27"/>
  <c r="G2540" i="27"/>
  <c r="U2539" i="27"/>
  <c r="V2539" i="27" s="1"/>
  <c r="W2539" i="27" s="1"/>
  <c r="R2539" i="27"/>
  <c r="P2539" i="27"/>
  <c r="M2539" i="27"/>
  <c r="K2539" i="27" s="1"/>
  <c r="J2539" i="27"/>
  <c r="G2539" i="27"/>
  <c r="R2538" i="27"/>
  <c r="P2538" i="27"/>
  <c r="M2538" i="27"/>
  <c r="K2538" i="27" s="1"/>
  <c r="J2538" i="27"/>
  <c r="G2538" i="27"/>
  <c r="R2536" i="27"/>
  <c r="E2536" i="27" s="1"/>
  <c r="P2536" i="27"/>
  <c r="M2536" i="27"/>
  <c r="J2536" i="27"/>
  <c r="G2536" i="27"/>
  <c r="R2535" i="27"/>
  <c r="P2535" i="27"/>
  <c r="M2535" i="27"/>
  <c r="J2535" i="27"/>
  <c r="G2535" i="27"/>
  <c r="R2534" i="27"/>
  <c r="U2534" i="27" s="1"/>
  <c r="V2534" i="27" s="1"/>
  <c r="W2534" i="27" s="1"/>
  <c r="P2534" i="27"/>
  <c r="M2534" i="27"/>
  <c r="J2534" i="27"/>
  <c r="G2534" i="27"/>
  <c r="U2533" i="27"/>
  <c r="V2533" i="27" s="1"/>
  <c r="W2533" i="27" s="1"/>
  <c r="R2533" i="27"/>
  <c r="P2533" i="27"/>
  <c r="M2533" i="27"/>
  <c r="K2533" i="27"/>
  <c r="J2533" i="27"/>
  <c r="G2533" i="27"/>
  <c r="E2533" i="27" s="1"/>
  <c r="R2532" i="27"/>
  <c r="K2532" i="27" s="1"/>
  <c r="P2532" i="27"/>
  <c r="M2532" i="27"/>
  <c r="J2532" i="27"/>
  <c r="G2532" i="27"/>
  <c r="R2531" i="27"/>
  <c r="P2531" i="27"/>
  <c r="M2531" i="27"/>
  <c r="J2531" i="27"/>
  <c r="G2531" i="27"/>
  <c r="R2530" i="27"/>
  <c r="U2530" i="27" s="1"/>
  <c r="V2530" i="27" s="1"/>
  <c r="W2530" i="27" s="1"/>
  <c r="P2530" i="27"/>
  <c r="M2530" i="27"/>
  <c r="J2530" i="27"/>
  <c r="G2530" i="27"/>
  <c r="U2529" i="27"/>
  <c r="V2529" i="27" s="1"/>
  <c r="W2529" i="27" s="1"/>
  <c r="R2529" i="27"/>
  <c r="P2529" i="27"/>
  <c r="N2529" i="27" s="1"/>
  <c r="M2529" i="27"/>
  <c r="J2529" i="27"/>
  <c r="G2529" i="27"/>
  <c r="E2529" i="27"/>
  <c r="R2528" i="27"/>
  <c r="P2528" i="27"/>
  <c r="M2528" i="27"/>
  <c r="J2528" i="27"/>
  <c r="G2528" i="27"/>
  <c r="R2527" i="27"/>
  <c r="P2527" i="27"/>
  <c r="M2527" i="27"/>
  <c r="J2527" i="27"/>
  <c r="G2527" i="27"/>
  <c r="R2526" i="27"/>
  <c r="K2526" i="27" s="1"/>
  <c r="P2526" i="27"/>
  <c r="M2526" i="27"/>
  <c r="J2526" i="27"/>
  <c r="G2526" i="27"/>
  <c r="U2525" i="27"/>
  <c r="V2525" i="27" s="1"/>
  <c r="W2525" i="27" s="1"/>
  <c r="R2525" i="27"/>
  <c r="H2525" i="27" s="1"/>
  <c r="P2525" i="27"/>
  <c r="M2525" i="27"/>
  <c r="K2525" i="27"/>
  <c r="J2525" i="27"/>
  <c r="G2525" i="27"/>
  <c r="R2524" i="27"/>
  <c r="P2524" i="27"/>
  <c r="N2524" i="27" s="1"/>
  <c r="M2524" i="27"/>
  <c r="J2524" i="27"/>
  <c r="G2524" i="27"/>
  <c r="R2523" i="27"/>
  <c r="K2523" i="27" s="1"/>
  <c r="P2523" i="27"/>
  <c r="M2523" i="27"/>
  <c r="J2523" i="27"/>
  <c r="G2523" i="27"/>
  <c r="R2522" i="27"/>
  <c r="U2522" i="27" s="1"/>
  <c r="V2522" i="27" s="1"/>
  <c r="W2522" i="27" s="1"/>
  <c r="P2522" i="27"/>
  <c r="M2522" i="27"/>
  <c r="J2522" i="27"/>
  <c r="G2522" i="27"/>
  <c r="R2521" i="27"/>
  <c r="P2521" i="27"/>
  <c r="M2521" i="27"/>
  <c r="J2521" i="27"/>
  <c r="G2521" i="27"/>
  <c r="R2520" i="27"/>
  <c r="P2520" i="27"/>
  <c r="M2520" i="27"/>
  <c r="J2520" i="27"/>
  <c r="G2520" i="27"/>
  <c r="E2520" i="27"/>
  <c r="R2519" i="27"/>
  <c r="U2519" i="27" s="1"/>
  <c r="V2519" i="27" s="1"/>
  <c r="W2519" i="27" s="1"/>
  <c r="P2519" i="27"/>
  <c r="M2519" i="27"/>
  <c r="J2519" i="27"/>
  <c r="G2519" i="27"/>
  <c r="R2518" i="27"/>
  <c r="P2518" i="27"/>
  <c r="M2518" i="27"/>
  <c r="J2518" i="27"/>
  <c r="G2518" i="27"/>
  <c r="R2517" i="27"/>
  <c r="P2517" i="27"/>
  <c r="M2517" i="27"/>
  <c r="J2517" i="27"/>
  <c r="G2517" i="27"/>
  <c r="R2516" i="27"/>
  <c r="P2516" i="27"/>
  <c r="M2516" i="27"/>
  <c r="J2516" i="27"/>
  <c r="G2516" i="27"/>
  <c r="R2515" i="27"/>
  <c r="P2515" i="27"/>
  <c r="M2515" i="27"/>
  <c r="J2515" i="27"/>
  <c r="G2515" i="27"/>
  <c r="E2515" i="27"/>
  <c r="R2514" i="27"/>
  <c r="P2514" i="27"/>
  <c r="M2514" i="27"/>
  <c r="J2514" i="27"/>
  <c r="G2514" i="27"/>
  <c r="R2513" i="27"/>
  <c r="E2513" i="27" s="1"/>
  <c r="P2513" i="27"/>
  <c r="M2513" i="27"/>
  <c r="K2513" i="27" s="1"/>
  <c r="J2513" i="27"/>
  <c r="G2513" i="27"/>
  <c r="R2512" i="27"/>
  <c r="P2512" i="27"/>
  <c r="M2512" i="27"/>
  <c r="J2512" i="27"/>
  <c r="G2512" i="27"/>
  <c r="R2511" i="27"/>
  <c r="P2511" i="27"/>
  <c r="M2511" i="27"/>
  <c r="J2511" i="27"/>
  <c r="G2511" i="27"/>
  <c r="R2510" i="27"/>
  <c r="P2510" i="27"/>
  <c r="N2510" i="27" s="1"/>
  <c r="M2510" i="27"/>
  <c r="J2510" i="27"/>
  <c r="G2510" i="27"/>
  <c r="R2509" i="27"/>
  <c r="P2509" i="27"/>
  <c r="M2509" i="27"/>
  <c r="K2509" i="27" s="1"/>
  <c r="J2509" i="27"/>
  <c r="G2509" i="27"/>
  <c r="R2508" i="27"/>
  <c r="P2508" i="27"/>
  <c r="M2508" i="27"/>
  <c r="J2508" i="27"/>
  <c r="G2508" i="27"/>
  <c r="R2507" i="27"/>
  <c r="P2507" i="27"/>
  <c r="M2507" i="27"/>
  <c r="J2507" i="27"/>
  <c r="G2507" i="27"/>
  <c r="U2506" i="27"/>
  <c r="V2506" i="27" s="1"/>
  <c r="W2506" i="27" s="1"/>
  <c r="R2506" i="27"/>
  <c r="P2506" i="27"/>
  <c r="M2506" i="27"/>
  <c r="K2506" i="27" s="1"/>
  <c r="J2506" i="27"/>
  <c r="G2506" i="27"/>
  <c r="E2506" i="27"/>
  <c r="R2505" i="27"/>
  <c r="P2505" i="27"/>
  <c r="M2505" i="27"/>
  <c r="J2505" i="27"/>
  <c r="G2505" i="27"/>
  <c r="R2504" i="27"/>
  <c r="E2504" i="27" s="1"/>
  <c r="P2504" i="27"/>
  <c r="N2504" i="27" s="1"/>
  <c r="M2504" i="27"/>
  <c r="J2504" i="27"/>
  <c r="G2504" i="27"/>
  <c r="R2503" i="27"/>
  <c r="P2503" i="27"/>
  <c r="M2503" i="27"/>
  <c r="J2503" i="27"/>
  <c r="G2503" i="27"/>
  <c r="R2502" i="27"/>
  <c r="P2502" i="27"/>
  <c r="M2502" i="27"/>
  <c r="J2502" i="27"/>
  <c r="G2502" i="27"/>
  <c r="R2501" i="27"/>
  <c r="P2501" i="27"/>
  <c r="M2501" i="27"/>
  <c r="J2501" i="27"/>
  <c r="G2501" i="27"/>
  <c r="R2500" i="27"/>
  <c r="P2500" i="27"/>
  <c r="M2500" i="27"/>
  <c r="J2500" i="27"/>
  <c r="G2500" i="27"/>
  <c r="R2499" i="27"/>
  <c r="P2499" i="27"/>
  <c r="M2499" i="27"/>
  <c r="J2499" i="27"/>
  <c r="G2499" i="27"/>
  <c r="R2498" i="27"/>
  <c r="P2498" i="27"/>
  <c r="M2498" i="27"/>
  <c r="J2498" i="27"/>
  <c r="G2498" i="27"/>
  <c r="R2497" i="27"/>
  <c r="P2497" i="27"/>
  <c r="M2497" i="27"/>
  <c r="K2497" i="27"/>
  <c r="J2497" i="27"/>
  <c r="G2497" i="27"/>
  <c r="E2497" i="27" s="1"/>
  <c r="R2496" i="27"/>
  <c r="U2496" i="27" s="1"/>
  <c r="V2496" i="27" s="1"/>
  <c r="W2496" i="27" s="1"/>
  <c r="P2496" i="27"/>
  <c r="M2496" i="27"/>
  <c r="J2496" i="27"/>
  <c r="G2496" i="27"/>
  <c r="E2496" i="27" s="1"/>
  <c r="R2495" i="27"/>
  <c r="P2495" i="27"/>
  <c r="M2495" i="27"/>
  <c r="J2495" i="27"/>
  <c r="G2495" i="27"/>
  <c r="R2494" i="27"/>
  <c r="P2494" i="27"/>
  <c r="M2494" i="27"/>
  <c r="K2494" i="27" s="1"/>
  <c r="J2494" i="27"/>
  <c r="G2494" i="27"/>
  <c r="R2493" i="27"/>
  <c r="P2493" i="27"/>
  <c r="M2493" i="27"/>
  <c r="J2493" i="27"/>
  <c r="G2493" i="27"/>
  <c r="R2492" i="27"/>
  <c r="P2492" i="27"/>
  <c r="M2492" i="27"/>
  <c r="J2492" i="27"/>
  <c r="G2492" i="27"/>
  <c r="R2491" i="27"/>
  <c r="P2491" i="27"/>
  <c r="M2491" i="27"/>
  <c r="J2491" i="27"/>
  <c r="G2491" i="27"/>
  <c r="U2490" i="27"/>
  <c r="V2490" i="27" s="1"/>
  <c r="W2490" i="27" s="1"/>
  <c r="R2490" i="27"/>
  <c r="P2490" i="27"/>
  <c r="N2490" i="27" s="1"/>
  <c r="M2490" i="27"/>
  <c r="K2490" i="27" s="1"/>
  <c r="J2490" i="27"/>
  <c r="G2490" i="27"/>
  <c r="E2490" i="27"/>
  <c r="R2489" i="27"/>
  <c r="P2489" i="27"/>
  <c r="M2489" i="27"/>
  <c r="J2489" i="27"/>
  <c r="G2489" i="27"/>
  <c r="R2488" i="27"/>
  <c r="P2488" i="27"/>
  <c r="M2488" i="27"/>
  <c r="J2488" i="27"/>
  <c r="G2488" i="27"/>
  <c r="E2488" i="27" s="1"/>
  <c r="R2487" i="27"/>
  <c r="P2487" i="27"/>
  <c r="M2487" i="27"/>
  <c r="J2487" i="27"/>
  <c r="G2487" i="27"/>
  <c r="E2487" i="27"/>
  <c r="R2486" i="27"/>
  <c r="P2486" i="27"/>
  <c r="M2486" i="27"/>
  <c r="J2486" i="27"/>
  <c r="G2486" i="27"/>
  <c r="R2485" i="27"/>
  <c r="P2485" i="27"/>
  <c r="M2485" i="27"/>
  <c r="J2485" i="27"/>
  <c r="G2485" i="27"/>
  <c r="R2484" i="27"/>
  <c r="P2484" i="27"/>
  <c r="M2484" i="27"/>
  <c r="J2484" i="27"/>
  <c r="G2484" i="27"/>
  <c r="R2483" i="27"/>
  <c r="E2483" i="27" s="1"/>
  <c r="P2483" i="27"/>
  <c r="M2483" i="27"/>
  <c r="J2483" i="27"/>
  <c r="G2483" i="27"/>
  <c r="R2482" i="27"/>
  <c r="P2482" i="27"/>
  <c r="M2482" i="27"/>
  <c r="K2482" i="27" s="1"/>
  <c r="J2482" i="27"/>
  <c r="G2482" i="27"/>
  <c r="E2482" i="27" s="1"/>
  <c r="R2481" i="27"/>
  <c r="P2481" i="27"/>
  <c r="M2481" i="27"/>
  <c r="K2481" i="27" s="1"/>
  <c r="J2481" i="27"/>
  <c r="G2481" i="27"/>
  <c r="E2481" i="27"/>
  <c r="R2480" i="27"/>
  <c r="P2480" i="27"/>
  <c r="M2480" i="27"/>
  <c r="J2480" i="27"/>
  <c r="G2480" i="27"/>
  <c r="R2479" i="27"/>
  <c r="E2479" i="27" s="1"/>
  <c r="P2479" i="27"/>
  <c r="M2479" i="27"/>
  <c r="K2479" i="27" s="1"/>
  <c r="J2479" i="27"/>
  <c r="G2479" i="27"/>
  <c r="R2478" i="27"/>
  <c r="P2478" i="27"/>
  <c r="N2478" i="27" s="1"/>
  <c r="M2478" i="27"/>
  <c r="J2478" i="27"/>
  <c r="G2478" i="27"/>
  <c r="R2477" i="27"/>
  <c r="K2477" i="27" s="1"/>
  <c r="P2477" i="27"/>
  <c r="M2477" i="27"/>
  <c r="J2477" i="27"/>
  <c r="G2477" i="27"/>
  <c r="R2476" i="27"/>
  <c r="K2476" i="27" s="1"/>
  <c r="P2476" i="27"/>
  <c r="M2476" i="27"/>
  <c r="J2476" i="27"/>
  <c r="G2476" i="27"/>
  <c r="R2475" i="27"/>
  <c r="P2475" i="27"/>
  <c r="M2475" i="27"/>
  <c r="J2475" i="27"/>
  <c r="G2475" i="27"/>
  <c r="R2474" i="27"/>
  <c r="P2474" i="27"/>
  <c r="M2474" i="27"/>
  <c r="J2474" i="27"/>
  <c r="G2474" i="27"/>
  <c r="R2473" i="27"/>
  <c r="P2473" i="27"/>
  <c r="N2473" i="27" s="1"/>
  <c r="M2473" i="27"/>
  <c r="J2473" i="27"/>
  <c r="G2473" i="27"/>
  <c r="R2472" i="27"/>
  <c r="P2472" i="27"/>
  <c r="N2472" i="27" s="1"/>
  <c r="M2472" i="27"/>
  <c r="J2472" i="27"/>
  <c r="G2472" i="27"/>
  <c r="E2472" i="27" s="1"/>
  <c r="R2471" i="27"/>
  <c r="P2471" i="27"/>
  <c r="M2471" i="27"/>
  <c r="J2471" i="27"/>
  <c r="G2471" i="27"/>
  <c r="R2470" i="27"/>
  <c r="P2470" i="27"/>
  <c r="N2470" i="27" s="1"/>
  <c r="M2470" i="27"/>
  <c r="J2470" i="27"/>
  <c r="G2470" i="27"/>
  <c r="R2469" i="27"/>
  <c r="P2469" i="27"/>
  <c r="M2469" i="27"/>
  <c r="J2469" i="27"/>
  <c r="G2469" i="27"/>
  <c r="R2468" i="27"/>
  <c r="E2468" i="27" s="1"/>
  <c r="P2468" i="27"/>
  <c r="M2468" i="27"/>
  <c r="J2468" i="27"/>
  <c r="G2468" i="27"/>
  <c r="R2467" i="27"/>
  <c r="P2467" i="27"/>
  <c r="M2467" i="27"/>
  <c r="J2467" i="27"/>
  <c r="G2467" i="27"/>
  <c r="R2466" i="27"/>
  <c r="U2466" i="27" s="1"/>
  <c r="V2466" i="27" s="1"/>
  <c r="W2466" i="27" s="1"/>
  <c r="P2466" i="27"/>
  <c r="M2466" i="27"/>
  <c r="J2466" i="27"/>
  <c r="G2466" i="27"/>
  <c r="E2466" i="27" s="1"/>
  <c r="R2465" i="27"/>
  <c r="P2465" i="27"/>
  <c r="M2465" i="27"/>
  <c r="K2465" i="27"/>
  <c r="J2465" i="27"/>
  <c r="G2465" i="27"/>
  <c r="R2464" i="27"/>
  <c r="P2464" i="27"/>
  <c r="M2464" i="27"/>
  <c r="J2464" i="27"/>
  <c r="G2464" i="27"/>
  <c r="R2463" i="27"/>
  <c r="E2463" i="27" s="1"/>
  <c r="P2463" i="27"/>
  <c r="M2463" i="27"/>
  <c r="J2463" i="27"/>
  <c r="G2463" i="27"/>
  <c r="R2462" i="27"/>
  <c r="P2462" i="27"/>
  <c r="N2462" i="27" s="1"/>
  <c r="M2462" i="27"/>
  <c r="K2462" i="27" s="1"/>
  <c r="J2462" i="27"/>
  <c r="G2462" i="27"/>
  <c r="R2461" i="27"/>
  <c r="P2461" i="27"/>
  <c r="N2461" i="27" s="1"/>
  <c r="M2461" i="27"/>
  <c r="J2461" i="27"/>
  <c r="G2461" i="27"/>
  <c r="R2460" i="27"/>
  <c r="P2460" i="27"/>
  <c r="M2460" i="27"/>
  <c r="J2460" i="27"/>
  <c r="G2460" i="27"/>
  <c r="R2459" i="27"/>
  <c r="P2459" i="27"/>
  <c r="M2459" i="27"/>
  <c r="J2459" i="27"/>
  <c r="G2459" i="27"/>
  <c r="U2458" i="27"/>
  <c r="V2458" i="27" s="1"/>
  <c r="W2458" i="27" s="1"/>
  <c r="R2458" i="27"/>
  <c r="P2458" i="27"/>
  <c r="N2458" i="27" s="1"/>
  <c r="M2458" i="27"/>
  <c r="K2458" i="27"/>
  <c r="J2458" i="27"/>
  <c r="G2458" i="27"/>
  <c r="E2458" i="27"/>
  <c r="R2457" i="27"/>
  <c r="E2457" i="27" s="1"/>
  <c r="P2457" i="27"/>
  <c r="M2457" i="27"/>
  <c r="J2457" i="27"/>
  <c r="G2457" i="27"/>
  <c r="R2456" i="27"/>
  <c r="E2456" i="27" s="1"/>
  <c r="P2456" i="27"/>
  <c r="N2456" i="27" s="1"/>
  <c r="M2456" i="27"/>
  <c r="J2456" i="27"/>
  <c r="G2456" i="27"/>
  <c r="R2455" i="27"/>
  <c r="P2455" i="27"/>
  <c r="N2455" i="27" s="1"/>
  <c r="M2455" i="27"/>
  <c r="J2455" i="27"/>
  <c r="G2455" i="27"/>
  <c r="R2454" i="27"/>
  <c r="P2454" i="27"/>
  <c r="M2454" i="27"/>
  <c r="J2454" i="27"/>
  <c r="G2454" i="27"/>
  <c r="R2453" i="27"/>
  <c r="P2453" i="27"/>
  <c r="M2453" i="27"/>
  <c r="J2453" i="27"/>
  <c r="G2453" i="27"/>
  <c r="R2452" i="27"/>
  <c r="P2452" i="27"/>
  <c r="M2452" i="27"/>
  <c r="J2452" i="27"/>
  <c r="G2452" i="27"/>
  <c r="R2451" i="27"/>
  <c r="P2451" i="27"/>
  <c r="M2451" i="27"/>
  <c r="J2451" i="27"/>
  <c r="G2451" i="27"/>
  <c r="E2451" i="27"/>
  <c r="R2450" i="27"/>
  <c r="P2450" i="27"/>
  <c r="M2450" i="27"/>
  <c r="J2450" i="27"/>
  <c r="G2450" i="27"/>
  <c r="R2449" i="27"/>
  <c r="E2449" i="27" s="1"/>
  <c r="P2449" i="27"/>
  <c r="M2449" i="27"/>
  <c r="J2449" i="27"/>
  <c r="G2449" i="27"/>
  <c r="R2448" i="27"/>
  <c r="P2448" i="27"/>
  <c r="M2448" i="27"/>
  <c r="J2448" i="27"/>
  <c r="G2448" i="27"/>
  <c r="R2447" i="27"/>
  <c r="P2447" i="27"/>
  <c r="M2447" i="27"/>
  <c r="J2447" i="27"/>
  <c r="G2447" i="27"/>
  <c r="R2446" i="27"/>
  <c r="P2446" i="27"/>
  <c r="N2446" i="27" s="1"/>
  <c r="M2446" i="27"/>
  <c r="J2446" i="27"/>
  <c r="G2446" i="27"/>
  <c r="R2445" i="27"/>
  <c r="P2445" i="27"/>
  <c r="M2445" i="27"/>
  <c r="J2445" i="27"/>
  <c r="G2445" i="27"/>
  <c r="R2444" i="27"/>
  <c r="K2444" i="27" s="1"/>
  <c r="P2444" i="27"/>
  <c r="M2444" i="27"/>
  <c r="J2444" i="27"/>
  <c r="G2444" i="27"/>
  <c r="R2443" i="27"/>
  <c r="P2443" i="27"/>
  <c r="M2443" i="27"/>
  <c r="J2443" i="27"/>
  <c r="G2443" i="27"/>
  <c r="U2442" i="27"/>
  <c r="V2442" i="27" s="1"/>
  <c r="W2442" i="27" s="1"/>
  <c r="R2442" i="27"/>
  <c r="P2442" i="27"/>
  <c r="M2442" i="27"/>
  <c r="K2442" i="27" s="1"/>
  <c r="J2442" i="27"/>
  <c r="G2442" i="27"/>
  <c r="R2441" i="27"/>
  <c r="P2441" i="27"/>
  <c r="M2441" i="27"/>
  <c r="J2441" i="27"/>
  <c r="G2441" i="27"/>
  <c r="R2440" i="27"/>
  <c r="E2440" i="27" s="1"/>
  <c r="P2440" i="27"/>
  <c r="N2440" i="27" s="1"/>
  <c r="M2440" i="27"/>
  <c r="J2440" i="27"/>
  <c r="G2440" i="27"/>
  <c r="R2439" i="27"/>
  <c r="P2439" i="27"/>
  <c r="M2439" i="27"/>
  <c r="J2439" i="27"/>
  <c r="G2439" i="27"/>
  <c r="R2438" i="27"/>
  <c r="P2438" i="27"/>
  <c r="M2438" i="27"/>
  <c r="J2438" i="27"/>
  <c r="G2438" i="27"/>
  <c r="R2437" i="27"/>
  <c r="P2437" i="27"/>
  <c r="M2437" i="27"/>
  <c r="J2437" i="27"/>
  <c r="G2437" i="27"/>
  <c r="R2436" i="27"/>
  <c r="P2436" i="27"/>
  <c r="M2436" i="27"/>
  <c r="J2436" i="27"/>
  <c r="G2436" i="27"/>
  <c r="R2435" i="27"/>
  <c r="E2435" i="27" s="1"/>
  <c r="P2435" i="27"/>
  <c r="M2435" i="27"/>
  <c r="J2435" i="27"/>
  <c r="G2435" i="27"/>
  <c r="U2434" i="27"/>
  <c r="V2434" i="27" s="1"/>
  <c r="W2434" i="27" s="1"/>
  <c r="R2434" i="27"/>
  <c r="P2434" i="27"/>
  <c r="M2434" i="27"/>
  <c r="J2434" i="27"/>
  <c r="G2434" i="27"/>
  <c r="R2433" i="27"/>
  <c r="P2433" i="27"/>
  <c r="M2433" i="27"/>
  <c r="K2433" i="27" s="1"/>
  <c r="J2433" i="27"/>
  <c r="G2433" i="27"/>
  <c r="E2433" i="27"/>
  <c r="R2432" i="27"/>
  <c r="U2432" i="27" s="1"/>
  <c r="V2432" i="27" s="1"/>
  <c r="W2432" i="27" s="1"/>
  <c r="P2432" i="27"/>
  <c r="M2432" i="27"/>
  <c r="J2432" i="27"/>
  <c r="G2432" i="27"/>
  <c r="E2432" i="27" s="1"/>
  <c r="R2431" i="27"/>
  <c r="P2431" i="27"/>
  <c r="N2431" i="27" s="1"/>
  <c r="M2431" i="27"/>
  <c r="J2431" i="27"/>
  <c r="G2431" i="27"/>
  <c r="R2430" i="27"/>
  <c r="P2430" i="27"/>
  <c r="M2430" i="27"/>
  <c r="K2430" i="27" s="1"/>
  <c r="J2430" i="27"/>
  <c r="G2430" i="27"/>
  <c r="R2429" i="27"/>
  <c r="K2429" i="27" s="1"/>
  <c r="P2429" i="27"/>
  <c r="M2429" i="27"/>
  <c r="J2429" i="27"/>
  <c r="G2429" i="27"/>
  <c r="R2428" i="27"/>
  <c r="P2428" i="27"/>
  <c r="M2428" i="27"/>
  <c r="J2428" i="27"/>
  <c r="G2428" i="27"/>
  <c r="R2427" i="27"/>
  <c r="P2427" i="27"/>
  <c r="M2427" i="27"/>
  <c r="J2427" i="27"/>
  <c r="G2427" i="27"/>
  <c r="R2426" i="27"/>
  <c r="P2426" i="27"/>
  <c r="N2426" i="27" s="1"/>
  <c r="M2426" i="27"/>
  <c r="J2426" i="27"/>
  <c r="G2426" i="27"/>
  <c r="R2425" i="27"/>
  <c r="P2425" i="27"/>
  <c r="M2425" i="27"/>
  <c r="J2425" i="27"/>
  <c r="G2425" i="27"/>
  <c r="R2424" i="27"/>
  <c r="P2424" i="27"/>
  <c r="M2424" i="27"/>
  <c r="J2424" i="27"/>
  <c r="G2424" i="27"/>
  <c r="R2423" i="27"/>
  <c r="P2423" i="27"/>
  <c r="M2423" i="27"/>
  <c r="J2423" i="27"/>
  <c r="G2423" i="27"/>
  <c r="R2422" i="27"/>
  <c r="P2422" i="27"/>
  <c r="M2422" i="27"/>
  <c r="J2422" i="27"/>
  <c r="G2422" i="27"/>
  <c r="R2421" i="27"/>
  <c r="P2421" i="27"/>
  <c r="M2421" i="27"/>
  <c r="J2421" i="27"/>
  <c r="G2421" i="27"/>
  <c r="R2419" i="27"/>
  <c r="P2419" i="27"/>
  <c r="M2419" i="27"/>
  <c r="J2419" i="27"/>
  <c r="G2419" i="27"/>
  <c r="R2418" i="27"/>
  <c r="P2418" i="27"/>
  <c r="M2418" i="27"/>
  <c r="J2418" i="27"/>
  <c r="G2418" i="27"/>
  <c r="W2416" i="27"/>
  <c r="R2416" i="27"/>
  <c r="U2416" i="27" s="1"/>
  <c r="V2416" i="27" s="1"/>
  <c r="P2416" i="27"/>
  <c r="M2416" i="27"/>
  <c r="J2416" i="27"/>
  <c r="G2416" i="27"/>
  <c r="E2416" i="27"/>
  <c r="R2415" i="27"/>
  <c r="P2415" i="27"/>
  <c r="M2415" i="27"/>
  <c r="J2415" i="27"/>
  <c r="G2415" i="27"/>
  <c r="R2414" i="27"/>
  <c r="P2414" i="27"/>
  <c r="M2414" i="27"/>
  <c r="J2414" i="27"/>
  <c r="G2414" i="27"/>
  <c r="R2413" i="27"/>
  <c r="P2413" i="27"/>
  <c r="N2413" i="27" s="1"/>
  <c r="M2413" i="27"/>
  <c r="K2413" i="27" s="1"/>
  <c r="J2413" i="27"/>
  <c r="G2413" i="27"/>
  <c r="E2413" i="27" s="1"/>
  <c r="R2412" i="27"/>
  <c r="P2412" i="27"/>
  <c r="M2412" i="27"/>
  <c r="K2412" i="27"/>
  <c r="J2412" i="27"/>
  <c r="G2412" i="27"/>
  <c r="R2411" i="27"/>
  <c r="K2411" i="27" s="1"/>
  <c r="P2411" i="27"/>
  <c r="M2411" i="27"/>
  <c r="J2411" i="27"/>
  <c r="G2411" i="27"/>
  <c r="R2410" i="27"/>
  <c r="P2410" i="27"/>
  <c r="M2410" i="27"/>
  <c r="J2410" i="27"/>
  <c r="G2410" i="27"/>
  <c r="R2409" i="27"/>
  <c r="P2409" i="27"/>
  <c r="M2409" i="27"/>
  <c r="J2409" i="27"/>
  <c r="G2409" i="27"/>
  <c r="R2408" i="27"/>
  <c r="K2408" i="27" s="1"/>
  <c r="P2408" i="27"/>
  <c r="N2408" i="27" s="1"/>
  <c r="M2408" i="27"/>
  <c r="J2408" i="27"/>
  <c r="G2408" i="27"/>
  <c r="R2407" i="27"/>
  <c r="E2407" i="27" s="1"/>
  <c r="P2407" i="27"/>
  <c r="M2407" i="27"/>
  <c r="K2407" i="27" s="1"/>
  <c r="J2407" i="27"/>
  <c r="G2407" i="27"/>
  <c r="R2406" i="27"/>
  <c r="P2406" i="27"/>
  <c r="M2406" i="27"/>
  <c r="J2406" i="27"/>
  <c r="G2406" i="27"/>
  <c r="R2405" i="27"/>
  <c r="P2405" i="27"/>
  <c r="M2405" i="27"/>
  <c r="J2405" i="27"/>
  <c r="G2405" i="27"/>
  <c r="R2404" i="27"/>
  <c r="P2404" i="27"/>
  <c r="M2404" i="27"/>
  <c r="J2404" i="27"/>
  <c r="G2404" i="27"/>
  <c r="R2403" i="27"/>
  <c r="P2403" i="27"/>
  <c r="M2403" i="27"/>
  <c r="J2403" i="27"/>
  <c r="G2403" i="27"/>
  <c r="R2402" i="27"/>
  <c r="E2402" i="27" s="1"/>
  <c r="P2402" i="27"/>
  <c r="M2402" i="27"/>
  <c r="J2402" i="27"/>
  <c r="G2402" i="27"/>
  <c r="R2401" i="27"/>
  <c r="P2401" i="27"/>
  <c r="M2401" i="27"/>
  <c r="J2401" i="27"/>
  <c r="G2401" i="27"/>
  <c r="E2401" i="27" s="1"/>
  <c r="U2400" i="27"/>
  <c r="V2400" i="27" s="1"/>
  <c r="W2400" i="27" s="1"/>
  <c r="R2400" i="27"/>
  <c r="H2400" i="27" s="1"/>
  <c r="P2400" i="27"/>
  <c r="M2400" i="27"/>
  <c r="K2400" i="27" s="1"/>
  <c r="J2400" i="27"/>
  <c r="G2400" i="27"/>
  <c r="E2400" i="27" s="1"/>
  <c r="R2399" i="27"/>
  <c r="K2399" i="27" s="1"/>
  <c r="P2399" i="27"/>
  <c r="M2399" i="27"/>
  <c r="J2399" i="27"/>
  <c r="G2399" i="27"/>
  <c r="R2398" i="27"/>
  <c r="P2398" i="27"/>
  <c r="M2398" i="27"/>
  <c r="J2398" i="27"/>
  <c r="G2398" i="27"/>
  <c r="R2397" i="27"/>
  <c r="P2397" i="27"/>
  <c r="M2397" i="27"/>
  <c r="K2397" i="27" s="1"/>
  <c r="J2397" i="27"/>
  <c r="G2397" i="27"/>
  <c r="E2397" i="27"/>
  <c r="R2396" i="27"/>
  <c r="P2396" i="27"/>
  <c r="M2396" i="27"/>
  <c r="K2396" i="27"/>
  <c r="J2396" i="27"/>
  <c r="G2396" i="27"/>
  <c r="R2395" i="27"/>
  <c r="K2395" i="27" s="1"/>
  <c r="P2395" i="27"/>
  <c r="N2395" i="27" s="1"/>
  <c r="M2395" i="27"/>
  <c r="J2395" i="27"/>
  <c r="G2395" i="27"/>
  <c r="R2394" i="27"/>
  <c r="P2394" i="27"/>
  <c r="M2394" i="27"/>
  <c r="J2394" i="27"/>
  <c r="G2394" i="27"/>
  <c r="R2393" i="27"/>
  <c r="P2393" i="27"/>
  <c r="M2393" i="27"/>
  <c r="J2393" i="27"/>
  <c r="G2393" i="27"/>
  <c r="R2392" i="27"/>
  <c r="P2392" i="27"/>
  <c r="M2392" i="27"/>
  <c r="J2392" i="27"/>
  <c r="G2392" i="27"/>
  <c r="R2391" i="27"/>
  <c r="E2391" i="27" s="1"/>
  <c r="P2391" i="27"/>
  <c r="M2391" i="27"/>
  <c r="K2391" i="27" s="1"/>
  <c r="J2391" i="27"/>
  <c r="G2391" i="27"/>
  <c r="R2389" i="27"/>
  <c r="E2389" i="27" s="1"/>
  <c r="P2389" i="27"/>
  <c r="M2389" i="27"/>
  <c r="J2389" i="27"/>
  <c r="G2389" i="27"/>
  <c r="R2388" i="27"/>
  <c r="P2388" i="27"/>
  <c r="M2388" i="27"/>
  <c r="J2388" i="27"/>
  <c r="G2388" i="27"/>
  <c r="R2387" i="27"/>
  <c r="P2387" i="27"/>
  <c r="M2387" i="27"/>
  <c r="J2387" i="27"/>
  <c r="G2387" i="27"/>
  <c r="R2386" i="27"/>
  <c r="P2386" i="27"/>
  <c r="M2386" i="27"/>
  <c r="J2386" i="27"/>
  <c r="G2386" i="27"/>
  <c r="R2385" i="27"/>
  <c r="P2385" i="27"/>
  <c r="M2385" i="27"/>
  <c r="J2385" i="27"/>
  <c r="G2385" i="27"/>
  <c r="R2384" i="27"/>
  <c r="P2384" i="27"/>
  <c r="M2384" i="27"/>
  <c r="J2384" i="27"/>
  <c r="G2384" i="27"/>
  <c r="R2383" i="27"/>
  <c r="P2383" i="27"/>
  <c r="M2383" i="27"/>
  <c r="K2383" i="27" s="1"/>
  <c r="J2383" i="27"/>
  <c r="G2383" i="27"/>
  <c r="R2382" i="27"/>
  <c r="P2382" i="27"/>
  <c r="M2382" i="27"/>
  <c r="J2382" i="27"/>
  <c r="G2382" i="27"/>
  <c r="R2381" i="27"/>
  <c r="U2381" i="27" s="1"/>
  <c r="V2381" i="27" s="1"/>
  <c r="W2381" i="27" s="1"/>
  <c r="P2381" i="27"/>
  <c r="M2381" i="27"/>
  <c r="K2381" i="27" s="1"/>
  <c r="J2381" i="27"/>
  <c r="G2381" i="27"/>
  <c r="R2380" i="27"/>
  <c r="P2380" i="27"/>
  <c r="M2380" i="27"/>
  <c r="K2380" i="27" s="1"/>
  <c r="J2380" i="27"/>
  <c r="G2380" i="27"/>
  <c r="R2379" i="27"/>
  <c r="K2379" i="27" s="1"/>
  <c r="P2379" i="27"/>
  <c r="M2379" i="27"/>
  <c r="J2379" i="27"/>
  <c r="G2379" i="27"/>
  <c r="R2378" i="27"/>
  <c r="P2378" i="27"/>
  <c r="M2378" i="27"/>
  <c r="J2378" i="27"/>
  <c r="G2378" i="27"/>
  <c r="R2377" i="27"/>
  <c r="P2377" i="27"/>
  <c r="M2377" i="27"/>
  <c r="J2377" i="27"/>
  <c r="G2377" i="27"/>
  <c r="R2376" i="27"/>
  <c r="P2376" i="27"/>
  <c r="M2376" i="27"/>
  <c r="J2376" i="27"/>
  <c r="G2376" i="27"/>
  <c r="R2375" i="27"/>
  <c r="U2375" i="27" s="1"/>
  <c r="V2375" i="27" s="1"/>
  <c r="W2375" i="27" s="1"/>
  <c r="P2375" i="27"/>
  <c r="M2375" i="27"/>
  <c r="J2375" i="27"/>
  <c r="G2375" i="27"/>
  <c r="R2374" i="27"/>
  <c r="P2374" i="27"/>
  <c r="M2374" i="27"/>
  <c r="J2374" i="27"/>
  <c r="G2374" i="27"/>
  <c r="R2373" i="27"/>
  <c r="P2373" i="27"/>
  <c r="M2373" i="27"/>
  <c r="J2373" i="27"/>
  <c r="G2373" i="27"/>
  <c r="R2372" i="27"/>
  <c r="P2372" i="27"/>
  <c r="N2372" i="27" s="1"/>
  <c r="M2372" i="27"/>
  <c r="J2372" i="27"/>
  <c r="G2372" i="27"/>
  <c r="E2372" i="27"/>
  <c r="R2371" i="27"/>
  <c r="P2371" i="27"/>
  <c r="M2371" i="27"/>
  <c r="J2371" i="27"/>
  <c r="G2371" i="27"/>
  <c r="R2370" i="27"/>
  <c r="P2370" i="27"/>
  <c r="M2370" i="27"/>
  <c r="J2370" i="27"/>
  <c r="G2370" i="27"/>
  <c r="R2369" i="27"/>
  <c r="P2369" i="27"/>
  <c r="M2369" i="27"/>
  <c r="J2369" i="27"/>
  <c r="G2369" i="27"/>
  <c r="E2369" i="27"/>
  <c r="R2368" i="27"/>
  <c r="P2368" i="27"/>
  <c r="M2368" i="27"/>
  <c r="J2368" i="27"/>
  <c r="G2368" i="27"/>
  <c r="R2367" i="27"/>
  <c r="P2367" i="27"/>
  <c r="M2367" i="27"/>
  <c r="J2367" i="27"/>
  <c r="G2367" i="27"/>
  <c r="E2367" i="27" s="1"/>
  <c r="R2366" i="27"/>
  <c r="P2366" i="27"/>
  <c r="M2366" i="27"/>
  <c r="J2366" i="27"/>
  <c r="G2366" i="27"/>
  <c r="R2365" i="27"/>
  <c r="P2365" i="27"/>
  <c r="M2365" i="27"/>
  <c r="J2365" i="27"/>
  <c r="G2365" i="27"/>
  <c r="R2364" i="27"/>
  <c r="P2364" i="27"/>
  <c r="N2364" i="27" s="1"/>
  <c r="M2364" i="27"/>
  <c r="J2364" i="27"/>
  <c r="G2364" i="27"/>
  <c r="R2363" i="27"/>
  <c r="P2363" i="27"/>
  <c r="M2363" i="27"/>
  <c r="K2363" i="27" s="1"/>
  <c r="J2363" i="27"/>
  <c r="G2363" i="27"/>
  <c r="R2362" i="27"/>
  <c r="K2362" i="27" s="1"/>
  <c r="P2362" i="27"/>
  <c r="M2362" i="27"/>
  <c r="J2362" i="27"/>
  <c r="G2362" i="27"/>
  <c r="R2360" i="27"/>
  <c r="P2360" i="27"/>
  <c r="M2360" i="27"/>
  <c r="J2360" i="27"/>
  <c r="G2360" i="27"/>
  <c r="R2359" i="27"/>
  <c r="P2359" i="27"/>
  <c r="M2359" i="27"/>
  <c r="J2359" i="27"/>
  <c r="G2359" i="27"/>
  <c r="R2358" i="27"/>
  <c r="K2358" i="27" s="1"/>
  <c r="P2358" i="27"/>
  <c r="M2358" i="27"/>
  <c r="J2358" i="27"/>
  <c r="G2358" i="27"/>
  <c r="R2357" i="27"/>
  <c r="P2357" i="27"/>
  <c r="M2357" i="27"/>
  <c r="J2357" i="27"/>
  <c r="G2357" i="27"/>
  <c r="R2356" i="27"/>
  <c r="P2356" i="27"/>
  <c r="M2356" i="27"/>
  <c r="J2356" i="27"/>
  <c r="G2356" i="27"/>
  <c r="R2355" i="27"/>
  <c r="E2355" i="27" s="1"/>
  <c r="P2355" i="27"/>
  <c r="M2355" i="27"/>
  <c r="J2355" i="27"/>
  <c r="G2355" i="27"/>
  <c r="R2354" i="27"/>
  <c r="P2354" i="27"/>
  <c r="M2354" i="27"/>
  <c r="J2354" i="27"/>
  <c r="G2354" i="27"/>
  <c r="R2353" i="27"/>
  <c r="P2353" i="27"/>
  <c r="M2353" i="27"/>
  <c r="J2353" i="27"/>
  <c r="G2353" i="27"/>
  <c r="R2352" i="27"/>
  <c r="P2352" i="27"/>
  <c r="M2352" i="27"/>
  <c r="J2352" i="27"/>
  <c r="G2352" i="27"/>
  <c r="R2351" i="27"/>
  <c r="P2351" i="27"/>
  <c r="M2351" i="27"/>
  <c r="J2351" i="27"/>
  <c r="G2351" i="27"/>
  <c r="R2350" i="27"/>
  <c r="P2350" i="27"/>
  <c r="M2350" i="27"/>
  <c r="J2350" i="27"/>
  <c r="G2350" i="27"/>
  <c r="R2349" i="27"/>
  <c r="E2349" i="27" s="1"/>
  <c r="P2349" i="27"/>
  <c r="M2349" i="27"/>
  <c r="J2349" i="27"/>
  <c r="G2349" i="27"/>
  <c r="R2348" i="27"/>
  <c r="P2348" i="27"/>
  <c r="M2348" i="27"/>
  <c r="J2348" i="27"/>
  <c r="G2348" i="27"/>
  <c r="E2348" i="27" s="1"/>
  <c r="R2347" i="27"/>
  <c r="E2347" i="27" s="1"/>
  <c r="P2347" i="27"/>
  <c r="N2347" i="27" s="1"/>
  <c r="M2347" i="27"/>
  <c r="J2347" i="27"/>
  <c r="G2347" i="27"/>
  <c r="R2346" i="27"/>
  <c r="K2346" i="27" s="1"/>
  <c r="P2346" i="27"/>
  <c r="M2346" i="27"/>
  <c r="J2346" i="27"/>
  <c r="G2346" i="27"/>
  <c r="R2345" i="27"/>
  <c r="P2345" i="27"/>
  <c r="M2345" i="27"/>
  <c r="K2345" i="27"/>
  <c r="J2345" i="27"/>
  <c r="G2345" i="27"/>
  <c r="R2344" i="27"/>
  <c r="K2344" i="27" s="1"/>
  <c r="P2344" i="27"/>
  <c r="M2344" i="27"/>
  <c r="J2344" i="27"/>
  <c r="G2344" i="27"/>
  <c r="R2343" i="27"/>
  <c r="K2343" i="27" s="1"/>
  <c r="P2343" i="27"/>
  <c r="M2343" i="27"/>
  <c r="J2343" i="27"/>
  <c r="G2343" i="27"/>
  <c r="R2342" i="27"/>
  <c r="P2342" i="27"/>
  <c r="M2342" i="27"/>
  <c r="J2342" i="27"/>
  <c r="G2342" i="27"/>
  <c r="R2341" i="27"/>
  <c r="E2341" i="27" s="1"/>
  <c r="P2341" i="27"/>
  <c r="N2341" i="27" s="1"/>
  <c r="M2341" i="27"/>
  <c r="K2341" i="27" s="1"/>
  <c r="J2341" i="27"/>
  <c r="G2341" i="27"/>
  <c r="R2340" i="27"/>
  <c r="P2340" i="27"/>
  <c r="M2340" i="27"/>
  <c r="J2340" i="27"/>
  <c r="G2340" i="27"/>
  <c r="R2339" i="27"/>
  <c r="P2339" i="27"/>
  <c r="M2339" i="27"/>
  <c r="J2339" i="27"/>
  <c r="G2339" i="27"/>
  <c r="R2338" i="27"/>
  <c r="P2338" i="27"/>
  <c r="M2338" i="27"/>
  <c r="J2338" i="27"/>
  <c r="G2338" i="27"/>
  <c r="R2337" i="27"/>
  <c r="P2337" i="27"/>
  <c r="M2337" i="27"/>
  <c r="J2337" i="27"/>
  <c r="G2337" i="27"/>
  <c r="R2336" i="27"/>
  <c r="P2336" i="27"/>
  <c r="M2336" i="27"/>
  <c r="J2336" i="27"/>
  <c r="G2336" i="27"/>
  <c r="R2335" i="27"/>
  <c r="P2335" i="27"/>
  <c r="M2335" i="27"/>
  <c r="J2335" i="27"/>
  <c r="G2335" i="27"/>
  <c r="U2334" i="27"/>
  <c r="V2334" i="27" s="1"/>
  <c r="W2334" i="27" s="1"/>
  <c r="R2334" i="27"/>
  <c r="P2334" i="27"/>
  <c r="M2334" i="27"/>
  <c r="J2334" i="27"/>
  <c r="G2334" i="27"/>
  <c r="E2334" i="27"/>
  <c r="R2333" i="27"/>
  <c r="P2333" i="27"/>
  <c r="M2333" i="27"/>
  <c r="J2333" i="27"/>
  <c r="G2333" i="27"/>
  <c r="R2332" i="27"/>
  <c r="P2332" i="27"/>
  <c r="M2332" i="27"/>
  <c r="J2332" i="27"/>
  <c r="G2332" i="27"/>
  <c r="R2331" i="27"/>
  <c r="P2331" i="27"/>
  <c r="M2331" i="27"/>
  <c r="K2331" i="27" s="1"/>
  <c r="J2331" i="27"/>
  <c r="G2331" i="27"/>
  <c r="R2330" i="27"/>
  <c r="P2330" i="27"/>
  <c r="M2330" i="27"/>
  <c r="J2330" i="27"/>
  <c r="G2330" i="27"/>
  <c r="R2329" i="27"/>
  <c r="P2329" i="27"/>
  <c r="N2329" i="27" s="1"/>
  <c r="M2329" i="27"/>
  <c r="J2329" i="27"/>
  <c r="G2329" i="27"/>
  <c r="R2328" i="27"/>
  <c r="P2328" i="27"/>
  <c r="M2328" i="27"/>
  <c r="J2328" i="27"/>
  <c r="G2328" i="27"/>
  <c r="R2327" i="27"/>
  <c r="P2327" i="27"/>
  <c r="M2327" i="27"/>
  <c r="J2327" i="27"/>
  <c r="G2327" i="27"/>
  <c r="R2326" i="27"/>
  <c r="P2326" i="27"/>
  <c r="M2326" i="27"/>
  <c r="J2326" i="27"/>
  <c r="G2326" i="27"/>
  <c r="R2325" i="27"/>
  <c r="P2325" i="27"/>
  <c r="M2325" i="27"/>
  <c r="J2325" i="27"/>
  <c r="G2325" i="27"/>
  <c r="E2325" i="27"/>
  <c r="R2324" i="27"/>
  <c r="P2324" i="27"/>
  <c r="N2324" i="27" s="1"/>
  <c r="M2324" i="27"/>
  <c r="J2324" i="27"/>
  <c r="G2324" i="27"/>
  <c r="E2324" i="27"/>
  <c r="R2323" i="27"/>
  <c r="E2323" i="27" s="1"/>
  <c r="P2323" i="27"/>
  <c r="N2323" i="27" s="1"/>
  <c r="M2323" i="27"/>
  <c r="J2323" i="27"/>
  <c r="G2323" i="27"/>
  <c r="R2322" i="27"/>
  <c r="P2322" i="27"/>
  <c r="N2322" i="27" s="1"/>
  <c r="M2322" i="27"/>
  <c r="J2322" i="27"/>
  <c r="G2322" i="27"/>
  <c r="R2321" i="27"/>
  <c r="P2321" i="27"/>
  <c r="M2321" i="27"/>
  <c r="J2321" i="27"/>
  <c r="G2321" i="27"/>
  <c r="R2320" i="27"/>
  <c r="P2320" i="27"/>
  <c r="M2320" i="27"/>
  <c r="J2320" i="27"/>
  <c r="G2320" i="27"/>
  <c r="R2319" i="27"/>
  <c r="P2319" i="27"/>
  <c r="M2319" i="27"/>
  <c r="J2319" i="27"/>
  <c r="G2319" i="27"/>
  <c r="R2318" i="27"/>
  <c r="P2318" i="27"/>
  <c r="M2318" i="27"/>
  <c r="J2318" i="27"/>
  <c r="G2318" i="27"/>
  <c r="R2317" i="27"/>
  <c r="P2317" i="27"/>
  <c r="M2317" i="27"/>
  <c r="J2317" i="27"/>
  <c r="G2317" i="27"/>
  <c r="E2317" i="27" s="1"/>
  <c r="R2316" i="27"/>
  <c r="P2316" i="27"/>
  <c r="M2316" i="27"/>
  <c r="J2316" i="27"/>
  <c r="G2316" i="27"/>
  <c r="R2315" i="27"/>
  <c r="E2315" i="27" s="1"/>
  <c r="P2315" i="27"/>
  <c r="M2315" i="27"/>
  <c r="J2315" i="27"/>
  <c r="G2315" i="27"/>
  <c r="R2314" i="27"/>
  <c r="P2314" i="27"/>
  <c r="M2314" i="27"/>
  <c r="J2314" i="27"/>
  <c r="G2314" i="27"/>
  <c r="R2313" i="27"/>
  <c r="P2313" i="27"/>
  <c r="M2313" i="27"/>
  <c r="J2313" i="27"/>
  <c r="G2313" i="27"/>
  <c r="R2312" i="27"/>
  <c r="K2312" i="27" s="1"/>
  <c r="P2312" i="27"/>
  <c r="M2312" i="27"/>
  <c r="J2312" i="27"/>
  <c r="G2312" i="27"/>
  <c r="R2311" i="27"/>
  <c r="P2311" i="27"/>
  <c r="M2311" i="27"/>
  <c r="J2311" i="27"/>
  <c r="G2311" i="27"/>
  <c r="R2310" i="27"/>
  <c r="U2310" i="27" s="1"/>
  <c r="V2310" i="27" s="1"/>
  <c r="W2310" i="27" s="1"/>
  <c r="P2310" i="27"/>
  <c r="M2310" i="27"/>
  <c r="J2310" i="27"/>
  <c r="G2310" i="27"/>
  <c r="R2309" i="27"/>
  <c r="P2309" i="27"/>
  <c r="M2309" i="27"/>
  <c r="J2309" i="27"/>
  <c r="G2309" i="27"/>
  <c r="R2307" i="27"/>
  <c r="P2307" i="27"/>
  <c r="M2307" i="27"/>
  <c r="J2307" i="27"/>
  <c r="G2307" i="27"/>
  <c r="R2306" i="27"/>
  <c r="P2306" i="27"/>
  <c r="N2306" i="27" s="1"/>
  <c r="M2306" i="27"/>
  <c r="J2306" i="27"/>
  <c r="G2306" i="27"/>
  <c r="R2304" i="27"/>
  <c r="P2304" i="27"/>
  <c r="M2304" i="27"/>
  <c r="J2304" i="27"/>
  <c r="G2304" i="27"/>
  <c r="R2303" i="27"/>
  <c r="P2303" i="27"/>
  <c r="M2303" i="27"/>
  <c r="J2303" i="27"/>
  <c r="G2303" i="27"/>
  <c r="R2302" i="27"/>
  <c r="P2302" i="27"/>
  <c r="M2302" i="27"/>
  <c r="J2302" i="27"/>
  <c r="G2302" i="27"/>
  <c r="R2301" i="27"/>
  <c r="E2301" i="27" s="1"/>
  <c r="P2301" i="27"/>
  <c r="M2301" i="27"/>
  <c r="J2301" i="27"/>
  <c r="G2301" i="27"/>
  <c r="U2300" i="27"/>
  <c r="V2300" i="27" s="1"/>
  <c r="W2300" i="27" s="1"/>
  <c r="R2300" i="27"/>
  <c r="P2300" i="27"/>
  <c r="M2300" i="27"/>
  <c r="J2300" i="27"/>
  <c r="G2300" i="27"/>
  <c r="R2299" i="27"/>
  <c r="P2299" i="27"/>
  <c r="M2299" i="27"/>
  <c r="J2299" i="27"/>
  <c r="G2299" i="27"/>
  <c r="E2299" i="27"/>
  <c r="R2298" i="27"/>
  <c r="K2298" i="27" s="1"/>
  <c r="P2298" i="27"/>
  <c r="M2298" i="27"/>
  <c r="J2298" i="27"/>
  <c r="G2298" i="27"/>
  <c r="R2297" i="27"/>
  <c r="E2297" i="27" s="1"/>
  <c r="P2297" i="27"/>
  <c r="N2297" i="27" s="1"/>
  <c r="M2297" i="27"/>
  <c r="K2297" i="27" s="1"/>
  <c r="J2297" i="27"/>
  <c r="G2297" i="27"/>
  <c r="R2296" i="27"/>
  <c r="P2296" i="27"/>
  <c r="N2296" i="27" s="1"/>
  <c r="M2296" i="27"/>
  <c r="K2296" i="27" s="1"/>
  <c r="J2296" i="27"/>
  <c r="G2296" i="27"/>
  <c r="R2295" i="27"/>
  <c r="K2295" i="27" s="1"/>
  <c r="P2295" i="27"/>
  <c r="M2295" i="27"/>
  <c r="J2295" i="27"/>
  <c r="G2295" i="27"/>
  <c r="R2294" i="27"/>
  <c r="P2294" i="27"/>
  <c r="M2294" i="27"/>
  <c r="J2294" i="27"/>
  <c r="G2294" i="27"/>
  <c r="R2293" i="27"/>
  <c r="P2293" i="27"/>
  <c r="M2293" i="27"/>
  <c r="J2293" i="27"/>
  <c r="G2293" i="27"/>
  <c r="R2292" i="27"/>
  <c r="K2292" i="27" s="1"/>
  <c r="P2292" i="27"/>
  <c r="M2292" i="27"/>
  <c r="J2292" i="27"/>
  <c r="G2292" i="27"/>
  <c r="R2291" i="27"/>
  <c r="K2291" i="27" s="1"/>
  <c r="P2291" i="27"/>
  <c r="M2291" i="27"/>
  <c r="J2291" i="27"/>
  <c r="G2291" i="27"/>
  <c r="R2290" i="27"/>
  <c r="P2290" i="27"/>
  <c r="N2290" i="27" s="1"/>
  <c r="M2290" i="27"/>
  <c r="J2290" i="27"/>
  <c r="G2290" i="27"/>
  <c r="E2290" i="27"/>
  <c r="R2289" i="27"/>
  <c r="P2289" i="27"/>
  <c r="M2289" i="27"/>
  <c r="J2289" i="27"/>
  <c r="G2289" i="27"/>
  <c r="R2288" i="27"/>
  <c r="P2288" i="27"/>
  <c r="M2288" i="27"/>
  <c r="J2288" i="27"/>
  <c r="G2288" i="27"/>
  <c r="R2287" i="27"/>
  <c r="P2287" i="27"/>
  <c r="M2287" i="27"/>
  <c r="J2287" i="27"/>
  <c r="G2287" i="27"/>
  <c r="R2286" i="27"/>
  <c r="P2286" i="27"/>
  <c r="M2286" i="27"/>
  <c r="J2286" i="27"/>
  <c r="G2286" i="27"/>
  <c r="R2285" i="27"/>
  <c r="P2285" i="27"/>
  <c r="M2285" i="27"/>
  <c r="J2285" i="27"/>
  <c r="G2285" i="27"/>
  <c r="R2284" i="27"/>
  <c r="P2284" i="27"/>
  <c r="M2284" i="27"/>
  <c r="K2284" i="27" s="1"/>
  <c r="J2284" i="27"/>
  <c r="G2284" i="27"/>
  <c r="R2283" i="27"/>
  <c r="E2283" i="27" s="1"/>
  <c r="P2283" i="27"/>
  <c r="M2283" i="27"/>
  <c r="J2283" i="27"/>
  <c r="G2283" i="27"/>
  <c r="R2282" i="27"/>
  <c r="P2282" i="27"/>
  <c r="N2282" i="27" s="1"/>
  <c r="M2282" i="27"/>
  <c r="J2282" i="27"/>
  <c r="G2282" i="27"/>
  <c r="R2281" i="27"/>
  <c r="P2281" i="27"/>
  <c r="N2281" i="27" s="1"/>
  <c r="M2281" i="27"/>
  <c r="K2281" i="27" s="1"/>
  <c r="J2281" i="27"/>
  <c r="G2281" i="27"/>
  <c r="R2280" i="27"/>
  <c r="K2280" i="27" s="1"/>
  <c r="P2280" i="27"/>
  <c r="M2280" i="27"/>
  <c r="J2280" i="27"/>
  <c r="G2280" i="27"/>
  <c r="R2279" i="27"/>
  <c r="P2279" i="27"/>
  <c r="N2279" i="27" s="1"/>
  <c r="M2279" i="27"/>
  <c r="K2279" i="27"/>
  <c r="J2279" i="27"/>
  <c r="G2279" i="27"/>
  <c r="R2278" i="27"/>
  <c r="P2278" i="27"/>
  <c r="M2278" i="27"/>
  <c r="K2278" i="27"/>
  <c r="J2278" i="27"/>
  <c r="G2278" i="27"/>
  <c r="R2277" i="27"/>
  <c r="P2277" i="27"/>
  <c r="M2277" i="27"/>
  <c r="J2277" i="27"/>
  <c r="G2277" i="27"/>
  <c r="U2276" i="27"/>
  <c r="V2276" i="27" s="1"/>
  <c r="W2276" i="27" s="1"/>
  <c r="R2276" i="27"/>
  <c r="P2276" i="27"/>
  <c r="N2276" i="27" s="1"/>
  <c r="M2276" i="27"/>
  <c r="J2276" i="27"/>
  <c r="G2276" i="27"/>
  <c r="R2275" i="27"/>
  <c r="E2275" i="27" s="1"/>
  <c r="P2275" i="27"/>
  <c r="M2275" i="27"/>
  <c r="K2275" i="27" s="1"/>
  <c r="J2275" i="27"/>
  <c r="G2275" i="27"/>
  <c r="R2274" i="27"/>
  <c r="P2274" i="27"/>
  <c r="M2274" i="27"/>
  <c r="J2274" i="27"/>
  <c r="G2274" i="27"/>
  <c r="R2273" i="27"/>
  <c r="P2273" i="27"/>
  <c r="M2273" i="27"/>
  <c r="J2273" i="27"/>
  <c r="G2273" i="27"/>
  <c r="R2272" i="27"/>
  <c r="P2272" i="27"/>
  <c r="M2272" i="27"/>
  <c r="J2272" i="27"/>
  <c r="G2272" i="27"/>
  <c r="R2271" i="27"/>
  <c r="P2271" i="27"/>
  <c r="M2271" i="27"/>
  <c r="J2271" i="27"/>
  <c r="G2271" i="27"/>
  <c r="R2270" i="27"/>
  <c r="E2270" i="27" s="1"/>
  <c r="P2270" i="27"/>
  <c r="M2270" i="27"/>
  <c r="J2270" i="27"/>
  <c r="G2270" i="27"/>
  <c r="R2269" i="27"/>
  <c r="P2269" i="27"/>
  <c r="M2269" i="27"/>
  <c r="J2269" i="27"/>
  <c r="G2269" i="27"/>
  <c r="E2269" i="27"/>
  <c r="U2268" i="27"/>
  <c r="V2268" i="27" s="1"/>
  <c r="W2268" i="27" s="1"/>
  <c r="R2268" i="27"/>
  <c r="P2268" i="27"/>
  <c r="M2268" i="27"/>
  <c r="J2268" i="27"/>
  <c r="G2268" i="27"/>
  <c r="E2268" i="27" s="1"/>
  <c r="R2267" i="27"/>
  <c r="P2267" i="27"/>
  <c r="M2267" i="27"/>
  <c r="K2267" i="27" s="1"/>
  <c r="J2267" i="27"/>
  <c r="G2267" i="27"/>
  <c r="E2267" i="27"/>
  <c r="R2266" i="27"/>
  <c r="P2266" i="27"/>
  <c r="N2266" i="27" s="1"/>
  <c r="M2266" i="27"/>
  <c r="J2266" i="27"/>
  <c r="G2266" i="27"/>
  <c r="R2265" i="27"/>
  <c r="P2265" i="27"/>
  <c r="M2265" i="27"/>
  <c r="K2265" i="27" s="1"/>
  <c r="J2265" i="27"/>
  <c r="G2265" i="27"/>
  <c r="R2264" i="27"/>
  <c r="P2264" i="27"/>
  <c r="N2264" i="27" s="1"/>
  <c r="M2264" i="27"/>
  <c r="J2264" i="27"/>
  <c r="G2264" i="27"/>
  <c r="R2263" i="27"/>
  <c r="K2263" i="27" s="1"/>
  <c r="P2263" i="27"/>
  <c r="M2263" i="27"/>
  <c r="J2263" i="27"/>
  <c r="G2263" i="27"/>
  <c r="R2262" i="27"/>
  <c r="P2262" i="27"/>
  <c r="M2262" i="27"/>
  <c r="J2262" i="27"/>
  <c r="G2262" i="27"/>
  <c r="R2261" i="27"/>
  <c r="P2261" i="27"/>
  <c r="M2261" i="27"/>
  <c r="J2261" i="27"/>
  <c r="G2261" i="27"/>
  <c r="R2260" i="27"/>
  <c r="P2260" i="27"/>
  <c r="M2260" i="27"/>
  <c r="J2260" i="27"/>
  <c r="G2260" i="27"/>
  <c r="E2260" i="27" s="1"/>
  <c r="R2259" i="27"/>
  <c r="P2259" i="27"/>
  <c r="M2259" i="27"/>
  <c r="J2259" i="27"/>
  <c r="G2259" i="27"/>
  <c r="R2258" i="27"/>
  <c r="P2258" i="27"/>
  <c r="M2258" i="27"/>
  <c r="J2258" i="27"/>
  <c r="G2258" i="27"/>
  <c r="E2258" i="27"/>
  <c r="R2257" i="27"/>
  <c r="P2257" i="27"/>
  <c r="M2257" i="27"/>
  <c r="J2257" i="27"/>
  <c r="G2257" i="27"/>
  <c r="R2256" i="27"/>
  <c r="P2256" i="27"/>
  <c r="M2256" i="27"/>
  <c r="J2256" i="27"/>
  <c r="G2256" i="27"/>
  <c r="R2255" i="27"/>
  <c r="P2255" i="27"/>
  <c r="M2255" i="27"/>
  <c r="J2255" i="27"/>
  <c r="G2255" i="27"/>
  <c r="R2254" i="27"/>
  <c r="P2254" i="27"/>
  <c r="M2254" i="27"/>
  <c r="J2254" i="27"/>
  <c r="G2254" i="27"/>
  <c r="R2253" i="27"/>
  <c r="P2253" i="27"/>
  <c r="M2253" i="27"/>
  <c r="J2253" i="27"/>
  <c r="G2253" i="27"/>
  <c r="R2252" i="27"/>
  <c r="P2252" i="27"/>
  <c r="M2252" i="27"/>
  <c r="J2252" i="27"/>
  <c r="G2252" i="27"/>
  <c r="R2251" i="27"/>
  <c r="P2251" i="27"/>
  <c r="M2251" i="27"/>
  <c r="K2251" i="27" s="1"/>
  <c r="J2251" i="27"/>
  <c r="G2251" i="27"/>
  <c r="E2251" i="27" s="1"/>
  <c r="W2250" i="27"/>
  <c r="R2250" i="27"/>
  <c r="U2250" i="27" s="1"/>
  <c r="V2250" i="27" s="1"/>
  <c r="P2250" i="27"/>
  <c r="N2250" i="27" s="1"/>
  <c r="M2250" i="27"/>
  <c r="J2250" i="27"/>
  <c r="G2250" i="27"/>
  <c r="R2249" i="27"/>
  <c r="P2249" i="27"/>
  <c r="M2249" i="27"/>
  <c r="J2249" i="27"/>
  <c r="G2249" i="27"/>
  <c r="R2248" i="27"/>
  <c r="P2248" i="27"/>
  <c r="M2248" i="27"/>
  <c r="J2248" i="27"/>
  <c r="G2248" i="27"/>
  <c r="R2247" i="27"/>
  <c r="K2247" i="27" s="1"/>
  <c r="P2247" i="27"/>
  <c r="M2247" i="27"/>
  <c r="J2247" i="27"/>
  <c r="G2247" i="27"/>
  <c r="R2246" i="27"/>
  <c r="P2246" i="27"/>
  <c r="M2246" i="27"/>
  <c r="J2246" i="27"/>
  <c r="G2246" i="27"/>
  <c r="R2245" i="27"/>
  <c r="P2245" i="27"/>
  <c r="M2245" i="27"/>
  <c r="J2245" i="27"/>
  <c r="G2245" i="27"/>
  <c r="U2244" i="27"/>
  <c r="V2244" i="27" s="1"/>
  <c r="W2244" i="27" s="1"/>
  <c r="R2244" i="27"/>
  <c r="P2244" i="27"/>
  <c r="M2244" i="27"/>
  <c r="K2244" i="27"/>
  <c r="J2244" i="27"/>
  <c r="G2244" i="27"/>
  <c r="E2244" i="27"/>
  <c r="R2243" i="27"/>
  <c r="P2243" i="27"/>
  <c r="M2243" i="27"/>
  <c r="J2243" i="27"/>
  <c r="G2243" i="27"/>
  <c r="R2242" i="27"/>
  <c r="E2242" i="27" s="1"/>
  <c r="P2242" i="27"/>
  <c r="M2242" i="27"/>
  <c r="J2242" i="27"/>
  <c r="G2242" i="27"/>
  <c r="R2241" i="27"/>
  <c r="P2241" i="27"/>
  <c r="M2241" i="27"/>
  <c r="J2241" i="27"/>
  <c r="G2241" i="27"/>
  <c r="R2240" i="27"/>
  <c r="P2240" i="27"/>
  <c r="M2240" i="27"/>
  <c r="J2240" i="27"/>
  <c r="G2240" i="27"/>
  <c r="R2239" i="27"/>
  <c r="P2239" i="27"/>
  <c r="M2239" i="27"/>
  <c r="J2239" i="27"/>
  <c r="G2239" i="27"/>
  <c r="R2238" i="27"/>
  <c r="E2238" i="27" s="1"/>
  <c r="P2238" i="27"/>
  <c r="M2238" i="27"/>
  <c r="J2238" i="27"/>
  <c r="G2238" i="27"/>
  <c r="R2237" i="27"/>
  <c r="E2237" i="27" s="1"/>
  <c r="P2237" i="27"/>
  <c r="M2237" i="27"/>
  <c r="J2237" i="27"/>
  <c r="G2237" i="27"/>
  <c r="R2236" i="27"/>
  <c r="P2236" i="27"/>
  <c r="M2236" i="27"/>
  <c r="J2236" i="27"/>
  <c r="G2236" i="27"/>
  <c r="R2235" i="27"/>
  <c r="E2235" i="27" s="1"/>
  <c r="P2235" i="27"/>
  <c r="M2235" i="27"/>
  <c r="K2235" i="27"/>
  <c r="J2235" i="27"/>
  <c r="G2235" i="27"/>
  <c r="R2234" i="27"/>
  <c r="P2234" i="27"/>
  <c r="M2234" i="27"/>
  <c r="J2234" i="27"/>
  <c r="G2234" i="27"/>
  <c r="R2233" i="27"/>
  <c r="P2233" i="27"/>
  <c r="N2233" i="27" s="1"/>
  <c r="M2233" i="27"/>
  <c r="J2233" i="27"/>
  <c r="G2233" i="27"/>
  <c r="E2233" i="27"/>
  <c r="R2232" i="27"/>
  <c r="K2232" i="27" s="1"/>
  <c r="P2232" i="27"/>
  <c r="M2232" i="27"/>
  <c r="J2232" i="27"/>
  <c r="G2232" i="27"/>
  <c r="R2231" i="27"/>
  <c r="P2231" i="27"/>
  <c r="N2231" i="27" s="1"/>
  <c r="M2231" i="27"/>
  <c r="J2231" i="27"/>
  <c r="G2231" i="27"/>
  <c r="R2230" i="27"/>
  <c r="P2230" i="27"/>
  <c r="M2230" i="27"/>
  <c r="J2230" i="27"/>
  <c r="G2230" i="27"/>
  <c r="R2229" i="27"/>
  <c r="P2229" i="27"/>
  <c r="M2229" i="27"/>
  <c r="J2229" i="27"/>
  <c r="G2229" i="27"/>
  <c r="R2228" i="27"/>
  <c r="P2228" i="27"/>
  <c r="M2228" i="27"/>
  <c r="J2228" i="27"/>
  <c r="G2228" i="27"/>
  <c r="R2227" i="27"/>
  <c r="P2227" i="27"/>
  <c r="M2227" i="27"/>
  <c r="J2227" i="27"/>
  <c r="G2227" i="27"/>
  <c r="R2226" i="27"/>
  <c r="P2226" i="27"/>
  <c r="N2226" i="27" s="1"/>
  <c r="M2226" i="27"/>
  <c r="J2226" i="27"/>
  <c r="G2226" i="27"/>
  <c r="E2226" i="27"/>
  <c r="R2225" i="27"/>
  <c r="P2225" i="27"/>
  <c r="M2225" i="27"/>
  <c r="J2225" i="27"/>
  <c r="G2225" i="27"/>
  <c r="R2224" i="27"/>
  <c r="P2224" i="27"/>
  <c r="M2224" i="27"/>
  <c r="K2224" i="27" s="1"/>
  <c r="J2224" i="27"/>
  <c r="G2224" i="27"/>
  <c r="E2224" i="27" s="1"/>
  <c r="U2223" i="27"/>
  <c r="V2223" i="27" s="1"/>
  <c r="W2223" i="27" s="1"/>
  <c r="R2223" i="27"/>
  <c r="P2223" i="27"/>
  <c r="M2223" i="27"/>
  <c r="J2223" i="27"/>
  <c r="G2223" i="27"/>
  <c r="R2222" i="27"/>
  <c r="U2222" i="27" s="1"/>
  <c r="V2222" i="27" s="1"/>
  <c r="W2222" i="27" s="1"/>
  <c r="P2222" i="27"/>
  <c r="M2222" i="27"/>
  <c r="J2222" i="27"/>
  <c r="G2222" i="27"/>
  <c r="R2221" i="27"/>
  <c r="U2221" i="27" s="1"/>
  <c r="V2221" i="27" s="1"/>
  <c r="W2221" i="27" s="1"/>
  <c r="P2221" i="27"/>
  <c r="M2221" i="27"/>
  <c r="J2221" i="27"/>
  <c r="G2221" i="27"/>
  <c r="R2220" i="27"/>
  <c r="P2220" i="27"/>
  <c r="M2220" i="27"/>
  <c r="J2220" i="27"/>
  <c r="G2220" i="27"/>
  <c r="U2219" i="27"/>
  <c r="V2219" i="27" s="1"/>
  <c r="W2219" i="27" s="1"/>
  <c r="R2219" i="27"/>
  <c r="P2219" i="27"/>
  <c r="M2219" i="27"/>
  <c r="J2219" i="27"/>
  <c r="G2219" i="27"/>
  <c r="R2218" i="27"/>
  <c r="N2218" i="27" s="1"/>
  <c r="P2218" i="27"/>
  <c r="M2218" i="27"/>
  <c r="J2218" i="27"/>
  <c r="G2218" i="27"/>
  <c r="E2218" i="27" s="1"/>
  <c r="R2217" i="27"/>
  <c r="P2217" i="27"/>
  <c r="M2217" i="27"/>
  <c r="J2217" i="27"/>
  <c r="G2217" i="27"/>
  <c r="R2216" i="27"/>
  <c r="P2216" i="27"/>
  <c r="N2216" i="27" s="1"/>
  <c r="M2216" i="27"/>
  <c r="J2216" i="27"/>
  <c r="G2216" i="27"/>
  <c r="R2215" i="27"/>
  <c r="P2215" i="27"/>
  <c r="M2215" i="27"/>
  <c r="J2215" i="27"/>
  <c r="G2215" i="27"/>
  <c r="R2214" i="27"/>
  <c r="P2214" i="27"/>
  <c r="N2214" i="27" s="1"/>
  <c r="M2214" i="27"/>
  <c r="K2214" i="27" s="1"/>
  <c r="J2214" i="27"/>
  <c r="G2214" i="27"/>
  <c r="R2213" i="27"/>
  <c r="P2213" i="27"/>
  <c r="M2213" i="27"/>
  <c r="J2213" i="27"/>
  <c r="G2213" i="27"/>
  <c r="U2212" i="27"/>
  <c r="V2212" i="27" s="1"/>
  <c r="W2212" i="27" s="1"/>
  <c r="R2212" i="27"/>
  <c r="P2212" i="27"/>
  <c r="N2212" i="27" s="1"/>
  <c r="M2212" i="27"/>
  <c r="J2212" i="27"/>
  <c r="G2212" i="27"/>
  <c r="R2211" i="27"/>
  <c r="P2211" i="27"/>
  <c r="N2211" i="27" s="1"/>
  <c r="M2211" i="27"/>
  <c r="J2211" i="27"/>
  <c r="G2211" i="27"/>
  <c r="R2210" i="27"/>
  <c r="P2210" i="27"/>
  <c r="M2210" i="27"/>
  <c r="J2210" i="27"/>
  <c r="G2210" i="27"/>
  <c r="R2209" i="27"/>
  <c r="N2209" i="27" s="1"/>
  <c r="P2209" i="27"/>
  <c r="M2209" i="27"/>
  <c r="J2209" i="27"/>
  <c r="G2209" i="27"/>
  <c r="U2208" i="27"/>
  <c r="V2208" i="27" s="1"/>
  <c r="W2208" i="27" s="1"/>
  <c r="R2208" i="27"/>
  <c r="P2208" i="27"/>
  <c r="M2208" i="27"/>
  <c r="J2208" i="27"/>
  <c r="G2208" i="27"/>
  <c r="R2207" i="27"/>
  <c r="P2207" i="27"/>
  <c r="M2207" i="27"/>
  <c r="J2207" i="27"/>
  <c r="G2207" i="27"/>
  <c r="R2206" i="27"/>
  <c r="P2206" i="27"/>
  <c r="M2206" i="27"/>
  <c r="J2206" i="27"/>
  <c r="G2206" i="27"/>
  <c r="R2205" i="27"/>
  <c r="P2205" i="27"/>
  <c r="M2205" i="27"/>
  <c r="J2205" i="27"/>
  <c r="G2205" i="27"/>
  <c r="R2204" i="27"/>
  <c r="U2204" i="27" s="1"/>
  <c r="V2204" i="27" s="1"/>
  <c r="W2204" i="27" s="1"/>
  <c r="P2204" i="27"/>
  <c r="M2204" i="27"/>
  <c r="J2204" i="27"/>
  <c r="G2204" i="27"/>
  <c r="R2203" i="27"/>
  <c r="P2203" i="27"/>
  <c r="M2203" i="27"/>
  <c r="J2203" i="27"/>
  <c r="G2203" i="27"/>
  <c r="U2202" i="27"/>
  <c r="V2202" i="27" s="1"/>
  <c r="W2202" i="27" s="1"/>
  <c r="R2202" i="27"/>
  <c r="N2202" i="27" s="1"/>
  <c r="P2202" i="27"/>
  <c r="M2202" i="27"/>
  <c r="J2202" i="27"/>
  <c r="G2202" i="27"/>
  <c r="E2202" i="27" s="1"/>
  <c r="U2201" i="27"/>
  <c r="V2201" i="27" s="1"/>
  <c r="W2201" i="27" s="1"/>
  <c r="R2201" i="27"/>
  <c r="P2201" i="27"/>
  <c r="M2201" i="27"/>
  <c r="J2201" i="27"/>
  <c r="G2201" i="27"/>
  <c r="E2201" i="27" s="1"/>
  <c r="R2200" i="27"/>
  <c r="P2200" i="27"/>
  <c r="N2200" i="27"/>
  <c r="M2200" i="27"/>
  <c r="J2200" i="27"/>
  <c r="G2200" i="27"/>
  <c r="R2199" i="27"/>
  <c r="U2199" i="27" s="1"/>
  <c r="V2199" i="27" s="1"/>
  <c r="W2199" i="27" s="1"/>
  <c r="P2199" i="27"/>
  <c r="M2199" i="27"/>
  <c r="J2199" i="27"/>
  <c r="H2199" i="27"/>
  <c r="G2199" i="27"/>
  <c r="R2198" i="27"/>
  <c r="N2198" i="27" s="1"/>
  <c r="P2198" i="27"/>
  <c r="M2198" i="27"/>
  <c r="J2198" i="27"/>
  <c r="G2198" i="27"/>
  <c r="R2197" i="27"/>
  <c r="P2197" i="27"/>
  <c r="M2197" i="27"/>
  <c r="J2197" i="27"/>
  <c r="G2197" i="27"/>
  <c r="U2196" i="27"/>
  <c r="V2196" i="27" s="1"/>
  <c r="W2196" i="27" s="1"/>
  <c r="R2196" i="27"/>
  <c r="P2196" i="27"/>
  <c r="N2196" i="27"/>
  <c r="M2196" i="27"/>
  <c r="J2196" i="27"/>
  <c r="H2196" i="27" s="1"/>
  <c r="G2196" i="27"/>
  <c r="E2196" i="27" s="1"/>
  <c r="U2195" i="27"/>
  <c r="V2195" i="27" s="1"/>
  <c r="W2195" i="27" s="1"/>
  <c r="R2195" i="27"/>
  <c r="P2195" i="27"/>
  <c r="N2195" i="27" s="1"/>
  <c r="M2195" i="27"/>
  <c r="K2195" i="27" s="1"/>
  <c r="J2195" i="27"/>
  <c r="H2195" i="27" s="1"/>
  <c r="G2195" i="27"/>
  <c r="E2195" i="27" s="1"/>
  <c r="R2194" i="27"/>
  <c r="U2194" i="27" s="1"/>
  <c r="V2194" i="27" s="1"/>
  <c r="W2194" i="27" s="1"/>
  <c r="P2194" i="27"/>
  <c r="N2194" i="27" s="1"/>
  <c r="M2194" i="27"/>
  <c r="J2194" i="27"/>
  <c r="H2194" i="27" s="1"/>
  <c r="G2194" i="27"/>
  <c r="E2194" i="27" s="1"/>
  <c r="U2193" i="27"/>
  <c r="V2193" i="27" s="1"/>
  <c r="W2193" i="27" s="1"/>
  <c r="R2193" i="27"/>
  <c r="P2193" i="27"/>
  <c r="N2193" i="27" s="1"/>
  <c r="M2193" i="27"/>
  <c r="K2193" i="27" s="1"/>
  <c r="J2193" i="27"/>
  <c r="G2193" i="27"/>
  <c r="E2193" i="27" s="1"/>
  <c r="R2192" i="27"/>
  <c r="P2192" i="27"/>
  <c r="N2192" i="27" s="1"/>
  <c r="M2192" i="27"/>
  <c r="J2192" i="27"/>
  <c r="G2192" i="27"/>
  <c r="R2191" i="27"/>
  <c r="U2191" i="27" s="1"/>
  <c r="V2191" i="27" s="1"/>
  <c r="W2191" i="27" s="1"/>
  <c r="P2191" i="27"/>
  <c r="N2191" i="27" s="1"/>
  <c r="M2191" i="27"/>
  <c r="J2191" i="27"/>
  <c r="H2191" i="27" s="1"/>
  <c r="G2191" i="27"/>
  <c r="E2191" i="27" s="1"/>
  <c r="R2190" i="27"/>
  <c r="U2190" i="27" s="1"/>
  <c r="V2190" i="27" s="1"/>
  <c r="W2190" i="27" s="1"/>
  <c r="P2190" i="27"/>
  <c r="N2190" i="27" s="1"/>
  <c r="M2190" i="27"/>
  <c r="J2190" i="27"/>
  <c r="H2190" i="27" s="1"/>
  <c r="G2190" i="27"/>
  <c r="R2189" i="27"/>
  <c r="U2189" i="27" s="1"/>
  <c r="V2189" i="27" s="1"/>
  <c r="W2189" i="27" s="1"/>
  <c r="P2189" i="27"/>
  <c r="M2189" i="27"/>
  <c r="J2189" i="27"/>
  <c r="G2189" i="27"/>
  <c r="R2188" i="27"/>
  <c r="P2188" i="27"/>
  <c r="N2188" i="27"/>
  <c r="M2188" i="27"/>
  <c r="J2188" i="27"/>
  <c r="G2188" i="27"/>
  <c r="R2187" i="27"/>
  <c r="P2187" i="27"/>
  <c r="M2187" i="27"/>
  <c r="J2187" i="27"/>
  <c r="G2187" i="27"/>
  <c r="U2186" i="27"/>
  <c r="V2186" i="27" s="1"/>
  <c r="W2186" i="27" s="1"/>
  <c r="R2186" i="27"/>
  <c r="P2186" i="27"/>
  <c r="N2186" i="27"/>
  <c r="M2186" i="27"/>
  <c r="J2186" i="27"/>
  <c r="G2186" i="27"/>
  <c r="R2185" i="27"/>
  <c r="P2185" i="27"/>
  <c r="M2185" i="27"/>
  <c r="J2185" i="27"/>
  <c r="G2185" i="27"/>
  <c r="R2184" i="27"/>
  <c r="P2184" i="27"/>
  <c r="M2184" i="27"/>
  <c r="J2184" i="27"/>
  <c r="H2184" i="27" s="1"/>
  <c r="G2184" i="27"/>
  <c r="R2183" i="27"/>
  <c r="U2183" i="27" s="1"/>
  <c r="V2183" i="27" s="1"/>
  <c r="W2183" i="27" s="1"/>
  <c r="P2183" i="27"/>
  <c r="N2183" i="27" s="1"/>
  <c r="M2183" i="27"/>
  <c r="J2183" i="27"/>
  <c r="H2183" i="27"/>
  <c r="G2183" i="27"/>
  <c r="E2183" i="27" s="1"/>
  <c r="R2182" i="27"/>
  <c r="U2182" i="27" s="1"/>
  <c r="V2182" i="27" s="1"/>
  <c r="W2182" i="27" s="1"/>
  <c r="P2182" i="27"/>
  <c r="M2182" i="27"/>
  <c r="J2182" i="27"/>
  <c r="H2182" i="27" s="1"/>
  <c r="G2182" i="27"/>
  <c r="R2181" i="27"/>
  <c r="P2181" i="27"/>
  <c r="N2181" i="27" s="1"/>
  <c r="M2181" i="27"/>
  <c r="J2181" i="27"/>
  <c r="G2181" i="27"/>
  <c r="E2181" i="27" s="1"/>
  <c r="R2180" i="27"/>
  <c r="P2180" i="27"/>
  <c r="N2180" i="27" s="1"/>
  <c r="M2180" i="27"/>
  <c r="J2180" i="27"/>
  <c r="H2180" i="27" s="1"/>
  <c r="G2180" i="27"/>
  <c r="E2180" i="27" s="1"/>
  <c r="R2179" i="27"/>
  <c r="U2179" i="27" s="1"/>
  <c r="V2179" i="27" s="1"/>
  <c r="W2179" i="27" s="1"/>
  <c r="P2179" i="27"/>
  <c r="M2179" i="27"/>
  <c r="K2179" i="27" s="1"/>
  <c r="J2179" i="27"/>
  <c r="G2179" i="27"/>
  <c r="R2178" i="27"/>
  <c r="U2178" i="27" s="1"/>
  <c r="V2178" i="27" s="1"/>
  <c r="W2178" i="27" s="1"/>
  <c r="P2178" i="27"/>
  <c r="N2178" i="27" s="1"/>
  <c r="M2178" i="27"/>
  <c r="J2178" i="27"/>
  <c r="H2178" i="27"/>
  <c r="G2178" i="27"/>
  <c r="E2178" i="27" s="1"/>
  <c r="U2177" i="27"/>
  <c r="V2177" i="27" s="1"/>
  <c r="W2177" i="27" s="1"/>
  <c r="R2177" i="27"/>
  <c r="P2177" i="27"/>
  <c r="N2177" i="27" s="1"/>
  <c r="M2177" i="27"/>
  <c r="K2177" i="27" s="1"/>
  <c r="J2177" i="27"/>
  <c r="H2177" i="27"/>
  <c r="G2177" i="27"/>
  <c r="E2177" i="27" s="1"/>
  <c r="R2176" i="27"/>
  <c r="K2176" i="27" s="1"/>
  <c r="P2176" i="27"/>
  <c r="M2176" i="27"/>
  <c r="J2176" i="27"/>
  <c r="H2176" i="27" s="1"/>
  <c r="G2176" i="27"/>
  <c r="R2175" i="27"/>
  <c r="P2175" i="27"/>
  <c r="N2175" i="27" s="1"/>
  <c r="M2175" i="27"/>
  <c r="J2175" i="27"/>
  <c r="G2175" i="27"/>
  <c r="R2174" i="27"/>
  <c r="P2174" i="27"/>
  <c r="M2174" i="27"/>
  <c r="J2174" i="27"/>
  <c r="G2174" i="27"/>
  <c r="U2173" i="27"/>
  <c r="V2173" i="27" s="1"/>
  <c r="W2173" i="27" s="1"/>
  <c r="R2173" i="27"/>
  <c r="P2173" i="27"/>
  <c r="M2173" i="27"/>
  <c r="J2173" i="27"/>
  <c r="H2173" i="27" s="1"/>
  <c r="G2173" i="27"/>
  <c r="R2172" i="27"/>
  <c r="U2172" i="27" s="1"/>
  <c r="V2172" i="27" s="1"/>
  <c r="W2172" i="27" s="1"/>
  <c r="P2172" i="27"/>
  <c r="M2172" i="27"/>
  <c r="J2172" i="27"/>
  <c r="G2172" i="27"/>
  <c r="R2171" i="27"/>
  <c r="P2171" i="27"/>
  <c r="M2171" i="27"/>
  <c r="J2171" i="27"/>
  <c r="G2171" i="27"/>
  <c r="R2170" i="27"/>
  <c r="U2170" i="27" s="1"/>
  <c r="V2170" i="27" s="1"/>
  <c r="W2170" i="27" s="1"/>
  <c r="P2170" i="27"/>
  <c r="N2170" i="27"/>
  <c r="M2170" i="27"/>
  <c r="J2170" i="27"/>
  <c r="H2170" i="27"/>
  <c r="G2170" i="27"/>
  <c r="E2170" i="27" s="1"/>
  <c r="R2169" i="27"/>
  <c r="U2169" i="27" s="1"/>
  <c r="V2169" i="27" s="1"/>
  <c r="W2169" i="27" s="1"/>
  <c r="P2169" i="27"/>
  <c r="M2169" i="27"/>
  <c r="J2169" i="27"/>
  <c r="G2169" i="27"/>
  <c r="E2169" i="27" s="1"/>
  <c r="R2168" i="27"/>
  <c r="P2168" i="27"/>
  <c r="M2168" i="27"/>
  <c r="J2168" i="27"/>
  <c r="G2168" i="27"/>
  <c r="R2167" i="27"/>
  <c r="H2167" i="27" s="1"/>
  <c r="P2167" i="27"/>
  <c r="N2167" i="27" s="1"/>
  <c r="M2167" i="27"/>
  <c r="J2167" i="27"/>
  <c r="G2167" i="27"/>
  <c r="R2166" i="27"/>
  <c r="U2166" i="27" s="1"/>
  <c r="V2166" i="27" s="1"/>
  <c r="W2166" i="27" s="1"/>
  <c r="P2166" i="27"/>
  <c r="N2166" i="27"/>
  <c r="M2166" i="27"/>
  <c r="J2166" i="27"/>
  <c r="H2166" i="27" s="1"/>
  <c r="G2166" i="27"/>
  <c r="E2166" i="27" s="1"/>
  <c r="R2165" i="27"/>
  <c r="P2165" i="27"/>
  <c r="M2165" i="27"/>
  <c r="J2165" i="27"/>
  <c r="G2165" i="27"/>
  <c r="R2164" i="27"/>
  <c r="P2164" i="27"/>
  <c r="N2164" i="27" s="1"/>
  <c r="M2164" i="27"/>
  <c r="J2164" i="27"/>
  <c r="G2164" i="27"/>
  <c r="R2163" i="27"/>
  <c r="P2163" i="27"/>
  <c r="M2163" i="27"/>
  <c r="K2163" i="27" s="1"/>
  <c r="J2163" i="27"/>
  <c r="G2163" i="27"/>
  <c r="E2163" i="27" s="1"/>
  <c r="U2162" i="27"/>
  <c r="V2162" i="27" s="1"/>
  <c r="W2162" i="27" s="1"/>
  <c r="R2162" i="27"/>
  <c r="P2162" i="27"/>
  <c r="M2162" i="27"/>
  <c r="J2162" i="27"/>
  <c r="G2162" i="27"/>
  <c r="R2161" i="27"/>
  <c r="P2161" i="27"/>
  <c r="M2161" i="27"/>
  <c r="J2161" i="27"/>
  <c r="G2161" i="27"/>
  <c r="R2160" i="27"/>
  <c r="P2160" i="27"/>
  <c r="M2160" i="27"/>
  <c r="J2160" i="27"/>
  <c r="G2160" i="27"/>
  <c r="R2159" i="27"/>
  <c r="P2159" i="27"/>
  <c r="N2159" i="27" s="1"/>
  <c r="M2159" i="27"/>
  <c r="J2159" i="27"/>
  <c r="G2159" i="27"/>
  <c r="E2159" i="27" s="1"/>
  <c r="R2158" i="27"/>
  <c r="P2158" i="27"/>
  <c r="M2158" i="27"/>
  <c r="J2158" i="27"/>
  <c r="G2158" i="27"/>
  <c r="U2157" i="27"/>
  <c r="V2157" i="27" s="1"/>
  <c r="W2157" i="27" s="1"/>
  <c r="R2157" i="27"/>
  <c r="P2157" i="27"/>
  <c r="N2157" i="27"/>
  <c r="M2157" i="27"/>
  <c r="K2157" i="27" s="1"/>
  <c r="J2157" i="27"/>
  <c r="G2157" i="27"/>
  <c r="R2156" i="27"/>
  <c r="U2156" i="27" s="1"/>
  <c r="V2156" i="27" s="1"/>
  <c r="W2156" i="27" s="1"/>
  <c r="P2156" i="27"/>
  <c r="N2156" i="27" s="1"/>
  <c r="M2156" i="27"/>
  <c r="J2156" i="27"/>
  <c r="G2156" i="27"/>
  <c r="E2156" i="27" s="1"/>
  <c r="R2155" i="27"/>
  <c r="P2155" i="27"/>
  <c r="M2155" i="27"/>
  <c r="J2155" i="27"/>
  <c r="G2155" i="27"/>
  <c r="R2154" i="27"/>
  <c r="P2154" i="27"/>
  <c r="N2154" i="27" s="1"/>
  <c r="M2154" i="27"/>
  <c r="J2154" i="27"/>
  <c r="G2154" i="27"/>
  <c r="R2153" i="27"/>
  <c r="P2153" i="27"/>
  <c r="M2153" i="27"/>
  <c r="J2153" i="27"/>
  <c r="G2153" i="27"/>
  <c r="R2152" i="27"/>
  <c r="P2152" i="27"/>
  <c r="M2152" i="27"/>
  <c r="J2152" i="27"/>
  <c r="H2152" i="27" s="1"/>
  <c r="G2152" i="27"/>
  <c r="U2151" i="27"/>
  <c r="V2151" i="27" s="1"/>
  <c r="W2151" i="27" s="1"/>
  <c r="R2151" i="27"/>
  <c r="P2151" i="27"/>
  <c r="M2151" i="27"/>
  <c r="J2151" i="27"/>
  <c r="H2151" i="27"/>
  <c r="G2151" i="27"/>
  <c r="E2151" i="27" s="1"/>
  <c r="R2150" i="27"/>
  <c r="P2150" i="27"/>
  <c r="M2150" i="27"/>
  <c r="J2150" i="27"/>
  <c r="G2150" i="27"/>
  <c r="R2149" i="27"/>
  <c r="H2149" i="27" s="1"/>
  <c r="P2149" i="27"/>
  <c r="N2149" i="27" s="1"/>
  <c r="M2149" i="27"/>
  <c r="J2149" i="27"/>
  <c r="G2149" i="27"/>
  <c r="R2148" i="27"/>
  <c r="U2148" i="27" s="1"/>
  <c r="V2148" i="27" s="1"/>
  <c r="W2148" i="27" s="1"/>
  <c r="P2148" i="27"/>
  <c r="M2148" i="27"/>
  <c r="J2148" i="27"/>
  <c r="G2148" i="27"/>
  <c r="R2147" i="27"/>
  <c r="P2147" i="27"/>
  <c r="M2147" i="27"/>
  <c r="J2147" i="27"/>
  <c r="G2147" i="27"/>
  <c r="R2146" i="27"/>
  <c r="P2146" i="27"/>
  <c r="M2146" i="27"/>
  <c r="J2146" i="27"/>
  <c r="G2146" i="27"/>
  <c r="R2145" i="27"/>
  <c r="U2145" i="27" s="1"/>
  <c r="V2145" i="27" s="1"/>
  <c r="W2145" i="27" s="1"/>
  <c r="P2145" i="27"/>
  <c r="N2145" i="27" s="1"/>
  <c r="M2145" i="27"/>
  <c r="J2145" i="27"/>
  <c r="H2145" i="27" s="1"/>
  <c r="G2145" i="27"/>
  <c r="E2145" i="27" s="1"/>
  <c r="U2144" i="27"/>
  <c r="V2144" i="27" s="1"/>
  <c r="W2144" i="27" s="1"/>
  <c r="R2144" i="27"/>
  <c r="P2144" i="27"/>
  <c r="M2144" i="27"/>
  <c r="J2144" i="27"/>
  <c r="H2144" i="27"/>
  <c r="G2144" i="27"/>
  <c r="R2143" i="27"/>
  <c r="P2143" i="27"/>
  <c r="M2143" i="27"/>
  <c r="J2143" i="27"/>
  <c r="G2143" i="27"/>
  <c r="R2142" i="27"/>
  <c r="P2142" i="27"/>
  <c r="M2142" i="27"/>
  <c r="J2142" i="27"/>
  <c r="G2142" i="27"/>
  <c r="R2141" i="27"/>
  <c r="U2141" i="27" s="1"/>
  <c r="V2141" i="27" s="1"/>
  <c r="W2141" i="27" s="1"/>
  <c r="P2141" i="27"/>
  <c r="M2141" i="27"/>
  <c r="J2141" i="27"/>
  <c r="H2141" i="27"/>
  <c r="G2141" i="27"/>
  <c r="E2141" i="27" s="1"/>
  <c r="R2140" i="27"/>
  <c r="P2140" i="27"/>
  <c r="M2140" i="27"/>
  <c r="J2140" i="27"/>
  <c r="G2140" i="27"/>
  <c r="R2139" i="27"/>
  <c r="P2139" i="27"/>
  <c r="N2139" i="27" s="1"/>
  <c r="M2139" i="27"/>
  <c r="J2139" i="27"/>
  <c r="G2139" i="27"/>
  <c r="R2138" i="27"/>
  <c r="U2138" i="27" s="1"/>
  <c r="V2138" i="27" s="1"/>
  <c r="W2138" i="27" s="1"/>
  <c r="P2138" i="27"/>
  <c r="N2138" i="27"/>
  <c r="M2138" i="27"/>
  <c r="J2138" i="27"/>
  <c r="H2138" i="27"/>
  <c r="G2138" i="27"/>
  <c r="E2138" i="27" s="1"/>
  <c r="R2137" i="27"/>
  <c r="U2137" i="27" s="1"/>
  <c r="V2137" i="27" s="1"/>
  <c r="W2137" i="27" s="1"/>
  <c r="P2137" i="27"/>
  <c r="M2137" i="27"/>
  <c r="J2137" i="27"/>
  <c r="H2137" i="27" s="1"/>
  <c r="G2137" i="27"/>
  <c r="E2137" i="27" s="1"/>
  <c r="R2136" i="27"/>
  <c r="U2136" i="27" s="1"/>
  <c r="V2136" i="27" s="1"/>
  <c r="W2136" i="27" s="1"/>
  <c r="P2136" i="27"/>
  <c r="M2136" i="27"/>
  <c r="J2136" i="27"/>
  <c r="G2136" i="27"/>
  <c r="U2135" i="27"/>
  <c r="V2135" i="27" s="1"/>
  <c r="W2135" i="27" s="1"/>
  <c r="R2135" i="27"/>
  <c r="H2135" i="27" s="1"/>
  <c r="P2135" i="27"/>
  <c r="M2135" i="27"/>
  <c r="J2135" i="27"/>
  <c r="G2135" i="27"/>
  <c r="R2134" i="27"/>
  <c r="U2134" i="27" s="1"/>
  <c r="V2134" i="27" s="1"/>
  <c r="W2134" i="27" s="1"/>
  <c r="P2134" i="27"/>
  <c r="M2134" i="27"/>
  <c r="J2134" i="27"/>
  <c r="G2134" i="27"/>
  <c r="R2133" i="27"/>
  <c r="P2133" i="27"/>
  <c r="M2133" i="27"/>
  <c r="J2133" i="27"/>
  <c r="G2133" i="27"/>
  <c r="E2133" i="27" s="1"/>
  <c r="W2132" i="27"/>
  <c r="U2132" i="27"/>
  <c r="V2132" i="27" s="1"/>
  <c r="R2132" i="27"/>
  <c r="P2132" i="27"/>
  <c r="N2132" i="27" s="1"/>
  <c r="M2132" i="27"/>
  <c r="J2132" i="27"/>
  <c r="H2132" i="27"/>
  <c r="G2132" i="27"/>
  <c r="E2132" i="27" s="1"/>
  <c r="U2131" i="27"/>
  <c r="V2131" i="27" s="1"/>
  <c r="W2131" i="27" s="1"/>
  <c r="R2131" i="27"/>
  <c r="P2131" i="27"/>
  <c r="M2131" i="27"/>
  <c r="J2131" i="27"/>
  <c r="G2131" i="27"/>
  <c r="U2130" i="27"/>
  <c r="V2130" i="27" s="1"/>
  <c r="W2130" i="27" s="1"/>
  <c r="R2130" i="27"/>
  <c r="H2130" i="27" s="1"/>
  <c r="P2130" i="27"/>
  <c r="N2130" i="27" s="1"/>
  <c r="M2130" i="27"/>
  <c r="J2130" i="27"/>
  <c r="G2130" i="27"/>
  <c r="U2129" i="27"/>
  <c r="V2129" i="27" s="1"/>
  <c r="W2129" i="27" s="1"/>
  <c r="R2129" i="27"/>
  <c r="P2129" i="27"/>
  <c r="N2129" i="27" s="1"/>
  <c r="M2129" i="27"/>
  <c r="K2129" i="27" s="1"/>
  <c r="J2129" i="27"/>
  <c r="G2129" i="27"/>
  <c r="R2128" i="27"/>
  <c r="P2128" i="27"/>
  <c r="M2128" i="27"/>
  <c r="J2128" i="27"/>
  <c r="G2128" i="27"/>
  <c r="U2127" i="27"/>
  <c r="V2127" i="27" s="1"/>
  <c r="W2127" i="27" s="1"/>
  <c r="R2127" i="27"/>
  <c r="P2127" i="27"/>
  <c r="N2127" i="27" s="1"/>
  <c r="M2127" i="27"/>
  <c r="J2127" i="27"/>
  <c r="H2127" i="27"/>
  <c r="G2127" i="27"/>
  <c r="E2127" i="27" s="1"/>
  <c r="U2126" i="27"/>
  <c r="V2126" i="27" s="1"/>
  <c r="W2126" i="27" s="1"/>
  <c r="R2126" i="27"/>
  <c r="H2126" i="27" s="1"/>
  <c r="P2126" i="27"/>
  <c r="M2126" i="27"/>
  <c r="J2126" i="27"/>
  <c r="G2126" i="27"/>
  <c r="R2125" i="27"/>
  <c r="P2125" i="27"/>
  <c r="M2125" i="27"/>
  <c r="J2125" i="27"/>
  <c r="G2125" i="27"/>
  <c r="E2125" i="27" s="1"/>
  <c r="R2124" i="27"/>
  <c r="P2124" i="27"/>
  <c r="M2124" i="27"/>
  <c r="J2124" i="27"/>
  <c r="G2124" i="27"/>
  <c r="R2123" i="27"/>
  <c r="P2123" i="27"/>
  <c r="M2123" i="27"/>
  <c r="J2123" i="27"/>
  <c r="G2123" i="27"/>
  <c r="R2122" i="27"/>
  <c r="P2122" i="27"/>
  <c r="N2122" i="27"/>
  <c r="M2122" i="27"/>
  <c r="J2122" i="27"/>
  <c r="G2122" i="27"/>
  <c r="R2121" i="27"/>
  <c r="P2121" i="27"/>
  <c r="M2121" i="27"/>
  <c r="K2121" i="27" s="1"/>
  <c r="J2121" i="27"/>
  <c r="G2121" i="27"/>
  <c r="R2120" i="27"/>
  <c r="H2120" i="27" s="1"/>
  <c r="P2120" i="27"/>
  <c r="M2120" i="27"/>
  <c r="J2120" i="27"/>
  <c r="G2120" i="27"/>
  <c r="R2119" i="27"/>
  <c r="P2119" i="27"/>
  <c r="M2119" i="27"/>
  <c r="J2119" i="27"/>
  <c r="G2119" i="27"/>
  <c r="R2118" i="27"/>
  <c r="U2118" i="27" s="1"/>
  <c r="V2118" i="27" s="1"/>
  <c r="W2118" i="27" s="1"/>
  <c r="P2118" i="27"/>
  <c r="N2118" i="27" s="1"/>
  <c r="M2118" i="27"/>
  <c r="J2118" i="27"/>
  <c r="H2118" i="27" s="1"/>
  <c r="G2118" i="27"/>
  <c r="R2117" i="27"/>
  <c r="P2117" i="27"/>
  <c r="M2117" i="27"/>
  <c r="J2117" i="27"/>
  <c r="G2117" i="27"/>
  <c r="R2116" i="27"/>
  <c r="P2116" i="27"/>
  <c r="N2116" i="27" s="1"/>
  <c r="M2116" i="27"/>
  <c r="J2116" i="27"/>
  <c r="G2116" i="27"/>
  <c r="R2115" i="27"/>
  <c r="P2115" i="27"/>
  <c r="M2115" i="27"/>
  <c r="J2115" i="27"/>
  <c r="G2115" i="27"/>
  <c r="E2115" i="27" s="1"/>
  <c r="U2114" i="27"/>
  <c r="V2114" i="27" s="1"/>
  <c r="W2114" i="27" s="1"/>
  <c r="R2114" i="27"/>
  <c r="P2114" i="27"/>
  <c r="N2114" i="27"/>
  <c r="M2114" i="27"/>
  <c r="J2114" i="27"/>
  <c r="G2114" i="27"/>
  <c r="U2113" i="27"/>
  <c r="V2113" i="27" s="1"/>
  <c r="W2113" i="27" s="1"/>
  <c r="R2113" i="27"/>
  <c r="P2113" i="27"/>
  <c r="M2113" i="27"/>
  <c r="J2113" i="27"/>
  <c r="G2113" i="27"/>
  <c r="R2112" i="27"/>
  <c r="P2112" i="27"/>
  <c r="N2112" i="27" s="1"/>
  <c r="M2112" i="27"/>
  <c r="J2112" i="27"/>
  <c r="G2112" i="27"/>
  <c r="U2111" i="27"/>
  <c r="V2111" i="27" s="1"/>
  <c r="W2111" i="27" s="1"/>
  <c r="R2111" i="27"/>
  <c r="H2111" i="27" s="1"/>
  <c r="P2111" i="27"/>
  <c r="M2111" i="27"/>
  <c r="K2111" i="27" s="1"/>
  <c r="J2111" i="27"/>
  <c r="G2111" i="27"/>
  <c r="R2110" i="27"/>
  <c r="U2110" i="27" s="1"/>
  <c r="V2110" i="27" s="1"/>
  <c r="W2110" i="27" s="1"/>
  <c r="P2110" i="27"/>
  <c r="M2110" i="27"/>
  <c r="J2110" i="27"/>
  <c r="G2110" i="27"/>
  <c r="R2109" i="27"/>
  <c r="P2109" i="27"/>
  <c r="M2109" i="27"/>
  <c r="J2109" i="27"/>
  <c r="G2109" i="27"/>
  <c r="U2108" i="27"/>
  <c r="V2108" i="27" s="1"/>
  <c r="W2108" i="27" s="1"/>
  <c r="R2108" i="27"/>
  <c r="P2108" i="27"/>
  <c r="M2108" i="27"/>
  <c r="J2108" i="27"/>
  <c r="G2108" i="27"/>
  <c r="R2107" i="27"/>
  <c r="P2107" i="27"/>
  <c r="M2107" i="27"/>
  <c r="J2107" i="27"/>
  <c r="G2107" i="27"/>
  <c r="R2106" i="27"/>
  <c r="P2106" i="27"/>
  <c r="M2106" i="27"/>
  <c r="J2106" i="27"/>
  <c r="G2106" i="27"/>
  <c r="E2106" i="27" s="1"/>
  <c r="R2105" i="27"/>
  <c r="P2105" i="27"/>
  <c r="N2105" i="27" s="1"/>
  <c r="M2105" i="27"/>
  <c r="K2105" i="27" s="1"/>
  <c r="J2105" i="27"/>
  <c r="G2105" i="27"/>
  <c r="R2104" i="27"/>
  <c r="P2104" i="27"/>
  <c r="M2104" i="27"/>
  <c r="J2104" i="27"/>
  <c r="G2104" i="27"/>
  <c r="U2103" i="27"/>
  <c r="V2103" i="27" s="1"/>
  <c r="W2103" i="27" s="1"/>
  <c r="R2103" i="27"/>
  <c r="P2103" i="27"/>
  <c r="M2103" i="27"/>
  <c r="K2103" i="27" s="1"/>
  <c r="J2103" i="27"/>
  <c r="H2103" i="27" s="1"/>
  <c r="G2103" i="27"/>
  <c r="R2102" i="27"/>
  <c r="U2102" i="27" s="1"/>
  <c r="V2102" i="27" s="1"/>
  <c r="W2102" i="27" s="1"/>
  <c r="P2102" i="27"/>
  <c r="M2102" i="27"/>
  <c r="J2102" i="27"/>
  <c r="G2102" i="27"/>
  <c r="E2102" i="27" s="1"/>
  <c r="R2101" i="27"/>
  <c r="P2101" i="27"/>
  <c r="N2101" i="27"/>
  <c r="M2101" i="27"/>
  <c r="J2101" i="27"/>
  <c r="G2101" i="27"/>
  <c r="E2101" i="27" s="1"/>
  <c r="R2100" i="27"/>
  <c r="U2100" i="27" s="1"/>
  <c r="V2100" i="27" s="1"/>
  <c r="W2100" i="27" s="1"/>
  <c r="P2100" i="27"/>
  <c r="M2100" i="27"/>
  <c r="J2100" i="27"/>
  <c r="G2100" i="27"/>
  <c r="R2099" i="27"/>
  <c r="P2099" i="27"/>
  <c r="M2099" i="27"/>
  <c r="J2099" i="27"/>
  <c r="G2099" i="27"/>
  <c r="R2098" i="27"/>
  <c r="U2098" i="27" s="1"/>
  <c r="V2098" i="27" s="1"/>
  <c r="W2098" i="27" s="1"/>
  <c r="P2098" i="27"/>
  <c r="N2098" i="27" s="1"/>
  <c r="M2098" i="27"/>
  <c r="J2098" i="27"/>
  <c r="H2098" i="27"/>
  <c r="G2098" i="27"/>
  <c r="R2097" i="27"/>
  <c r="P2097" i="27"/>
  <c r="M2097" i="27"/>
  <c r="J2097" i="27"/>
  <c r="G2097" i="27"/>
  <c r="E2097" i="27" s="1"/>
  <c r="R2096" i="27"/>
  <c r="P2096" i="27"/>
  <c r="N2096" i="27"/>
  <c r="M2096" i="27"/>
  <c r="J2096" i="27"/>
  <c r="G2096" i="27"/>
  <c r="E2096" i="27" s="1"/>
  <c r="R2095" i="27"/>
  <c r="U2095" i="27" s="1"/>
  <c r="V2095" i="27" s="1"/>
  <c r="W2095" i="27" s="1"/>
  <c r="P2095" i="27"/>
  <c r="N2095" i="27" s="1"/>
  <c r="M2095" i="27"/>
  <c r="J2095" i="27"/>
  <c r="H2095" i="27"/>
  <c r="G2095" i="27"/>
  <c r="E2095" i="27" s="1"/>
  <c r="U2094" i="27"/>
  <c r="V2094" i="27" s="1"/>
  <c r="W2094" i="27" s="1"/>
  <c r="R2094" i="27"/>
  <c r="P2094" i="27"/>
  <c r="N2094" i="27"/>
  <c r="M2094" i="27"/>
  <c r="J2094" i="27"/>
  <c r="H2094" i="27"/>
  <c r="G2094" i="27"/>
  <c r="E2094" i="27" s="1"/>
  <c r="U2093" i="27"/>
  <c r="V2093" i="27" s="1"/>
  <c r="W2093" i="27" s="1"/>
  <c r="R2093" i="27"/>
  <c r="P2093" i="27"/>
  <c r="N2093" i="27"/>
  <c r="M2093" i="27"/>
  <c r="J2093" i="27"/>
  <c r="H2093" i="27"/>
  <c r="G2093" i="27"/>
  <c r="E2093" i="27" s="1"/>
  <c r="R2092" i="27"/>
  <c r="U2092" i="27" s="1"/>
  <c r="V2092" i="27" s="1"/>
  <c r="W2092" i="27" s="1"/>
  <c r="P2092" i="27"/>
  <c r="N2092" i="27" s="1"/>
  <c r="M2092" i="27"/>
  <c r="J2092" i="27"/>
  <c r="H2092" i="27"/>
  <c r="G2092" i="27"/>
  <c r="E2092" i="27" s="1"/>
  <c r="U2091" i="27"/>
  <c r="V2091" i="27" s="1"/>
  <c r="W2091" i="27" s="1"/>
  <c r="R2091" i="27"/>
  <c r="P2091" i="27"/>
  <c r="N2091" i="27" s="1"/>
  <c r="M2091" i="27"/>
  <c r="K2091" i="27" s="1"/>
  <c r="J2091" i="27"/>
  <c r="H2091" i="27" s="1"/>
  <c r="G2091" i="27"/>
  <c r="E2091" i="27" s="1"/>
  <c r="U2090" i="27"/>
  <c r="V2090" i="27" s="1"/>
  <c r="W2090" i="27" s="1"/>
  <c r="R2090" i="27"/>
  <c r="H2090" i="27" s="1"/>
  <c r="P2090" i="27"/>
  <c r="N2090" i="27" s="1"/>
  <c r="M2090" i="27"/>
  <c r="J2090" i="27"/>
  <c r="G2090" i="27"/>
  <c r="E2090" i="27" s="1"/>
  <c r="U2089" i="27"/>
  <c r="V2089" i="27" s="1"/>
  <c r="W2089" i="27" s="1"/>
  <c r="R2089" i="27"/>
  <c r="P2089" i="27"/>
  <c r="M2089" i="27"/>
  <c r="J2089" i="27"/>
  <c r="G2089" i="27"/>
  <c r="E2089" i="27" s="1"/>
  <c r="U2088" i="27"/>
  <c r="V2088" i="27" s="1"/>
  <c r="W2088" i="27" s="1"/>
  <c r="R2088" i="27"/>
  <c r="P2088" i="27"/>
  <c r="N2088" i="27" s="1"/>
  <c r="M2088" i="27"/>
  <c r="J2088" i="27"/>
  <c r="G2088" i="27"/>
  <c r="R2087" i="27"/>
  <c r="U2087" i="27" s="1"/>
  <c r="V2087" i="27" s="1"/>
  <c r="W2087" i="27" s="1"/>
  <c r="P2087" i="27"/>
  <c r="M2087" i="27"/>
  <c r="J2087" i="27"/>
  <c r="G2087" i="27"/>
  <c r="R2086" i="27"/>
  <c r="U2086" i="27" s="1"/>
  <c r="V2086" i="27" s="1"/>
  <c r="W2086" i="27" s="1"/>
  <c r="P2086" i="27"/>
  <c r="N2086" i="27" s="1"/>
  <c r="M2086" i="27"/>
  <c r="J2086" i="27"/>
  <c r="H2086" i="27"/>
  <c r="G2086" i="27"/>
  <c r="E2086" i="27" s="1"/>
  <c r="U2085" i="27"/>
  <c r="V2085" i="27" s="1"/>
  <c r="W2085" i="27" s="1"/>
  <c r="R2085" i="27"/>
  <c r="P2085" i="27"/>
  <c r="N2085" i="27" s="1"/>
  <c r="M2085" i="27"/>
  <c r="J2085" i="27"/>
  <c r="G2085" i="27"/>
  <c r="E2085" i="27" s="1"/>
  <c r="R2084" i="27"/>
  <c r="U2084" i="27" s="1"/>
  <c r="V2084" i="27" s="1"/>
  <c r="W2084" i="27" s="1"/>
  <c r="P2084" i="27"/>
  <c r="M2084" i="27"/>
  <c r="J2084" i="27"/>
  <c r="G2084" i="27"/>
  <c r="U2083" i="27"/>
  <c r="V2083" i="27" s="1"/>
  <c r="W2083" i="27" s="1"/>
  <c r="R2083" i="27"/>
  <c r="P2083" i="27"/>
  <c r="N2083" i="27" s="1"/>
  <c r="M2083" i="27"/>
  <c r="K2083" i="27" s="1"/>
  <c r="J2083" i="27"/>
  <c r="H2083" i="27" s="1"/>
  <c r="G2083" i="27"/>
  <c r="E2083" i="27" s="1"/>
  <c r="U2082" i="27"/>
  <c r="V2082" i="27" s="1"/>
  <c r="W2082" i="27" s="1"/>
  <c r="R2082" i="27"/>
  <c r="P2082" i="27"/>
  <c r="N2082" i="27"/>
  <c r="M2082" i="27"/>
  <c r="J2082" i="27"/>
  <c r="H2082" i="27"/>
  <c r="G2082" i="27"/>
  <c r="E2082" i="27" s="1"/>
  <c r="U2081" i="27"/>
  <c r="V2081" i="27" s="1"/>
  <c r="W2081" i="27" s="1"/>
  <c r="R2081" i="27"/>
  <c r="P2081" i="27"/>
  <c r="N2081" i="27" s="1"/>
  <c r="M2081" i="27"/>
  <c r="K2081" i="27" s="1"/>
  <c r="J2081" i="27"/>
  <c r="H2081" i="27" s="1"/>
  <c r="G2081" i="27"/>
  <c r="E2081" i="27" s="1"/>
  <c r="U2080" i="27"/>
  <c r="V2080" i="27" s="1"/>
  <c r="W2080" i="27" s="1"/>
  <c r="R2080" i="27"/>
  <c r="P2080" i="27"/>
  <c r="N2080" i="27" s="1"/>
  <c r="M2080" i="27"/>
  <c r="J2080" i="27"/>
  <c r="H2080" i="27"/>
  <c r="G2080" i="27"/>
  <c r="E2080" i="27" s="1"/>
  <c r="U2079" i="27"/>
  <c r="V2079" i="27" s="1"/>
  <c r="W2079" i="27" s="1"/>
  <c r="R2079" i="27"/>
  <c r="P2079" i="27"/>
  <c r="M2079" i="27"/>
  <c r="K2079" i="27" s="1"/>
  <c r="J2079" i="27"/>
  <c r="G2079" i="27"/>
  <c r="E2079" i="27" s="1"/>
  <c r="R2078" i="27"/>
  <c r="P2078" i="27"/>
  <c r="M2078" i="27"/>
  <c r="J2078" i="27"/>
  <c r="G2078" i="27"/>
  <c r="R2077" i="27"/>
  <c r="P2077" i="27"/>
  <c r="M2077" i="27"/>
  <c r="J2077" i="27"/>
  <c r="G2077" i="27"/>
  <c r="R2076" i="27"/>
  <c r="U2076" i="27" s="1"/>
  <c r="V2076" i="27" s="1"/>
  <c r="W2076" i="27" s="1"/>
  <c r="P2076" i="27"/>
  <c r="M2076" i="27"/>
  <c r="J2076" i="27"/>
  <c r="G2076" i="27"/>
  <c r="R2075" i="27"/>
  <c r="U2075" i="27" s="1"/>
  <c r="V2075" i="27" s="1"/>
  <c r="W2075" i="27" s="1"/>
  <c r="P2075" i="27"/>
  <c r="N2075" i="27" s="1"/>
  <c r="M2075" i="27"/>
  <c r="J2075" i="27"/>
  <c r="H2075" i="27" s="1"/>
  <c r="G2075" i="27"/>
  <c r="R2074" i="27"/>
  <c r="U2074" i="27" s="1"/>
  <c r="V2074" i="27" s="1"/>
  <c r="W2074" i="27" s="1"/>
  <c r="P2074" i="27"/>
  <c r="N2074" i="27"/>
  <c r="M2074" i="27"/>
  <c r="J2074" i="27"/>
  <c r="H2074" i="27"/>
  <c r="G2074" i="27"/>
  <c r="R2073" i="27"/>
  <c r="P2073" i="27"/>
  <c r="M2073" i="27"/>
  <c r="J2073" i="27"/>
  <c r="G2073" i="27"/>
  <c r="R2072" i="27"/>
  <c r="P2072" i="27"/>
  <c r="M2072" i="27"/>
  <c r="J2072" i="27"/>
  <c r="G2072" i="27"/>
  <c r="R2071" i="27"/>
  <c r="P2071" i="27"/>
  <c r="N2071" i="27" s="1"/>
  <c r="M2071" i="27"/>
  <c r="K2071" i="27" s="1"/>
  <c r="J2071" i="27"/>
  <c r="G2071" i="27"/>
  <c r="R2070" i="27"/>
  <c r="U2070" i="27" s="1"/>
  <c r="V2070" i="27" s="1"/>
  <c r="W2070" i="27" s="1"/>
  <c r="P2070" i="27"/>
  <c r="M2070" i="27"/>
  <c r="J2070" i="27"/>
  <c r="G2070" i="27"/>
  <c r="R2069" i="27"/>
  <c r="U2069" i="27" s="1"/>
  <c r="V2069" i="27" s="1"/>
  <c r="W2069" i="27" s="1"/>
  <c r="P2069" i="27"/>
  <c r="M2069" i="27"/>
  <c r="J2069" i="27"/>
  <c r="G2069" i="27"/>
  <c r="U2068" i="27"/>
  <c r="V2068" i="27" s="1"/>
  <c r="W2068" i="27" s="1"/>
  <c r="R2068" i="27"/>
  <c r="P2068" i="27"/>
  <c r="N2068" i="27" s="1"/>
  <c r="M2068" i="27"/>
  <c r="J2068" i="27"/>
  <c r="H2068" i="27" s="1"/>
  <c r="G2068" i="27"/>
  <c r="E2068" i="27" s="1"/>
  <c r="R2067" i="27"/>
  <c r="P2067" i="27"/>
  <c r="N2067" i="27" s="1"/>
  <c r="M2067" i="27"/>
  <c r="J2067" i="27"/>
  <c r="G2067" i="27"/>
  <c r="E2067" i="27" s="1"/>
  <c r="U2066" i="27"/>
  <c r="V2066" i="27" s="1"/>
  <c r="W2066" i="27" s="1"/>
  <c r="R2066" i="27"/>
  <c r="H2066" i="27" s="1"/>
  <c r="P2066" i="27"/>
  <c r="N2066" i="27" s="1"/>
  <c r="M2066" i="27"/>
  <c r="J2066" i="27"/>
  <c r="G2066" i="27"/>
  <c r="E2066" i="27" s="1"/>
  <c r="U2065" i="27"/>
  <c r="V2065" i="27" s="1"/>
  <c r="W2065" i="27" s="1"/>
  <c r="R2065" i="27"/>
  <c r="P2065" i="27"/>
  <c r="M2065" i="27"/>
  <c r="J2065" i="27"/>
  <c r="H2065" i="27"/>
  <c r="G2065" i="27"/>
  <c r="U2064" i="27"/>
  <c r="V2064" i="27" s="1"/>
  <c r="W2064" i="27" s="1"/>
  <c r="R2064" i="27"/>
  <c r="P2064" i="27"/>
  <c r="M2064" i="27"/>
  <c r="J2064" i="27"/>
  <c r="G2064" i="27"/>
  <c r="R2063" i="27"/>
  <c r="U2063" i="27" s="1"/>
  <c r="V2063" i="27" s="1"/>
  <c r="W2063" i="27" s="1"/>
  <c r="P2063" i="27"/>
  <c r="M2063" i="27"/>
  <c r="J2063" i="27"/>
  <c r="H2063" i="27" s="1"/>
  <c r="G2063" i="27"/>
  <c r="R2062" i="27"/>
  <c r="U2062" i="27" s="1"/>
  <c r="V2062" i="27" s="1"/>
  <c r="W2062" i="27" s="1"/>
  <c r="P2062" i="27"/>
  <c r="M2062" i="27"/>
  <c r="J2062" i="27"/>
  <c r="H2062" i="27"/>
  <c r="G2062" i="27"/>
  <c r="R2061" i="27"/>
  <c r="P2061" i="27"/>
  <c r="M2061" i="27"/>
  <c r="J2061" i="27"/>
  <c r="G2061" i="27"/>
  <c r="U2060" i="27"/>
  <c r="V2060" i="27" s="1"/>
  <c r="W2060" i="27" s="1"/>
  <c r="R2060" i="27"/>
  <c r="P2060" i="27"/>
  <c r="M2060" i="27"/>
  <c r="J2060" i="27"/>
  <c r="G2060" i="27"/>
  <c r="R2059" i="27"/>
  <c r="P2059" i="27"/>
  <c r="M2059" i="27"/>
  <c r="J2059" i="27"/>
  <c r="G2059" i="27"/>
  <c r="R2058" i="27"/>
  <c r="P2058" i="27"/>
  <c r="M2058" i="27"/>
  <c r="J2058" i="27"/>
  <c r="H2058" i="27"/>
  <c r="G2058" i="27"/>
  <c r="R2057" i="27"/>
  <c r="P2057" i="27"/>
  <c r="M2057" i="27"/>
  <c r="J2057" i="27"/>
  <c r="G2057" i="27"/>
  <c r="R2056" i="27"/>
  <c r="P2056" i="27"/>
  <c r="M2056" i="27"/>
  <c r="J2056" i="27"/>
  <c r="G2056" i="27"/>
  <c r="U2055" i="27"/>
  <c r="V2055" i="27" s="1"/>
  <c r="W2055" i="27" s="1"/>
  <c r="R2055" i="27"/>
  <c r="P2055" i="27"/>
  <c r="M2055" i="27"/>
  <c r="J2055" i="27"/>
  <c r="H2055" i="27" s="1"/>
  <c r="G2055" i="27"/>
  <c r="E2055" i="27" s="1"/>
  <c r="R2054" i="27"/>
  <c r="P2054" i="27"/>
  <c r="M2054" i="27"/>
  <c r="J2054" i="27"/>
  <c r="H2054" i="27" s="1"/>
  <c r="G2054" i="27"/>
  <c r="R2053" i="27"/>
  <c r="N2053" i="27" s="1"/>
  <c r="P2053" i="27"/>
  <c r="M2053" i="27"/>
  <c r="J2053" i="27"/>
  <c r="H2053" i="27"/>
  <c r="G2053" i="27"/>
  <c r="R2052" i="27"/>
  <c r="P2052" i="27"/>
  <c r="M2052" i="27"/>
  <c r="J2052" i="27"/>
  <c r="G2052" i="27"/>
  <c r="R2051" i="27"/>
  <c r="P2051" i="27"/>
  <c r="M2051" i="27"/>
  <c r="J2051" i="27"/>
  <c r="G2051" i="27"/>
  <c r="R2050" i="27"/>
  <c r="P2050" i="27"/>
  <c r="N2050" i="27" s="1"/>
  <c r="M2050" i="27"/>
  <c r="J2050" i="27"/>
  <c r="G2050" i="27"/>
  <c r="U2049" i="27"/>
  <c r="V2049" i="27" s="1"/>
  <c r="W2049" i="27" s="1"/>
  <c r="R2049" i="27"/>
  <c r="P2049" i="27"/>
  <c r="N2049" i="27" s="1"/>
  <c r="M2049" i="27"/>
  <c r="J2049" i="27"/>
  <c r="H2049" i="27" s="1"/>
  <c r="G2049" i="27"/>
  <c r="U2048" i="27"/>
  <c r="V2048" i="27" s="1"/>
  <c r="W2048" i="27" s="1"/>
  <c r="R2048" i="27"/>
  <c r="P2048" i="27"/>
  <c r="M2048" i="27"/>
  <c r="J2048" i="27"/>
  <c r="G2048" i="27"/>
  <c r="R2047" i="27"/>
  <c r="U2047" i="27" s="1"/>
  <c r="V2047" i="27" s="1"/>
  <c r="W2047" i="27" s="1"/>
  <c r="P2047" i="27"/>
  <c r="M2047" i="27"/>
  <c r="J2047" i="27"/>
  <c r="G2047" i="27"/>
  <c r="R2046" i="27"/>
  <c r="P2046" i="27"/>
  <c r="M2046" i="27"/>
  <c r="J2046" i="27"/>
  <c r="G2046" i="27"/>
  <c r="R2045" i="27"/>
  <c r="U2045" i="27" s="1"/>
  <c r="V2045" i="27" s="1"/>
  <c r="W2045" i="27" s="1"/>
  <c r="P2045" i="27"/>
  <c r="M2045" i="27"/>
  <c r="J2045" i="27"/>
  <c r="G2045" i="27"/>
  <c r="R2044" i="27"/>
  <c r="P2044" i="27"/>
  <c r="M2044" i="27"/>
  <c r="J2044" i="27"/>
  <c r="G2044" i="27"/>
  <c r="U2043" i="27"/>
  <c r="V2043" i="27" s="1"/>
  <c r="W2043" i="27" s="1"/>
  <c r="R2043" i="27"/>
  <c r="H2043" i="27" s="1"/>
  <c r="P2043" i="27"/>
  <c r="N2043" i="27" s="1"/>
  <c r="M2043" i="27"/>
  <c r="K2043" i="27" s="1"/>
  <c r="J2043" i="27"/>
  <c r="G2043" i="27"/>
  <c r="E2043" i="27" s="1"/>
  <c r="V2042" i="27"/>
  <c r="W2042" i="27" s="1"/>
  <c r="U2042" i="27"/>
  <c r="R2042" i="27"/>
  <c r="P2042" i="27"/>
  <c r="N2042" i="27"/>
  <c r="M2042" i="27"/>
  <c r="J2042" i="27"/>
  <c r="G2042" i="27"/>
  <c r="E2042" i="27" s="1"/>
  <c r="U2041" i="27"/>
  <c r="V2041" i="27" s="1"/>
  <c r="W2041" i="27" s="1"/>
  <c r="R2041" i="27"/>
  <c r="N2041" i="27" s="1"/>
  <c r="P2041" i="27"/>
  <c r="M2041" i="27"/>
  <c r="J2041" i="27"/>
  <c r="G2041" i="27"/>
  <c r="R2040" i="27"/>
  <c r="P2040" i="27"/>
  <c r="M2040" i="27"/>
  <c r="J2040" i="27"/>
  <c r="G2040" i="27"/>
  <c r="R2039" i="27"/>
  <c r="P2039" i="27"/>
  <c r="M2039" i="27"/>
  <c r="J2039" i="27"/>
  <c r="G2039" i="27"/>
  <c r="R2038" i="27"/>
  <c r="P2038" i="27"/>
  <c r="M2038" i="27"/>
  <c r="J2038" i="27"/>
  <c r="G2038" i="27"/>
  <c r="R2037" i="27"/>
  <c r="P2037" i="27"/>
  <c r="M2037" i="27"/>
  <c r="J2037" i="27"/>
  <c r="G2037" i="27"/>
  <c r="R2036" i="27"/>
  <c r="P2036" i="27"/>
  <c r="M2036" i="27"/>
  <c r="J2036" i="27"/>
  <c r="G2036" i="27"/>
  <c r="R2035" i="27"/>
  <c r="U2035" i="27" s="1"/>
  <c r="V2035" i="27" s="1"/>
  <c r="W2035" i="27" s="1"/>
  <c r="P2035" i="27"/>
  <c r="N2035" i="27" s="1"/>
  <c r="M2035" i="27"/>
  <c r="J2035" i="27"/>
  <c r="H2035" i="27"/>
  <c r="G2035" i="27"/>
  <c r="E2035" i="27" s="1"/>
  <c r="U2034" i="27"/>
  <c r="V2034" i="27" s="1"/>
  <c r="W2034" i="27" s="1"/>
  <c r="R2034" i="27"/>
  <c r="P2034" i="27"/>
  <c r="N2034" i="27"/>
  <c r="M2034" i="27"/>
  <c r="J2034" i="27"/>
  <c r="H2034" i="27"/>
  <c r="G2034" i="27"/>
  <c r="E2034" i="27" s="1"/>
  <c r="U2033" i="27"/>
  <c r="V2033" i="27" s="1"/>
  <c r="W2033" i="27" s="1"/>
  <c r="R2033" i="27"/>
  <c r="P2033" i="27"/>
  <c r="M2033" i="27"/>
  <c r="K2033" i="27" s="1"/>
  <c r="J2033" i="27"/>
  <c r="G2033" i="27"/>
  <c r="R2032" i="27"/>
  <c r="K2032" i="27" s="1"/>
  <c r="P2032" i="27"/>
  <c r="N2032" i="27" s="1"/>
  <c r="M2032" i="27"/>
  <c r="J2032" i="27"/>
  <c r="G2032" i="27"/>
  <c r="R2031" i="27"/>
  <c r="P2031" i="27"/>
  <c r="M2031" i="27"/>
  <c r="J2031" i="27"/>
  <c r="G2031" i="27"/>
  <c r="R2030" i="27"/>
  <c r="U2030" i="27" s="1"/>
  <c r="V2030" i="27" s="1"/>
  <c r="W2030" i="27" s="1"/>
  <c r="P2030" i="27"/>
  <c r="N2030" i="27" s="1"/>
  <c r="M2030" i="27"/>
  <c r="J2030" i="27"/>
  <c r="G2030" i="27"/>
  <c r="E2030" i="27" s="1"/>
  <c r="R2029" i="27"/>
  <c r="P2029" i="27"/>
  <c r="M2029" i="27"/>
  <c r="J2029" i="27"/>
  <c r="G2029" i="27"/>
  <c r="E2029" i="27" s="1"/>
  <c r="U2028" i="27"/>
  <c r="V2028" i="27" s="1"/>
  <c r="W2028" i="27" s="1"/>
  <c r="R2028" i="27"/>
  <c r="P2028" i="27"/>
  <c r="M2028" i="27"/>
  <c r="J2028" i="27"/>
  <c r="G2028" i="27"/>
  <c r="R2027" i="27"/>
  <c r="U2027" i="27" s="1"/>
  <c r="V2027" i="27" s="1"/>
  <c r="W2027" i="27" s="1"/>
  <c r="P2027" i="27"/>
  <c r="M2027" i="27"/>
  <c r="J2027" i="27"/>
  <c r="G2027" i="27"/>
  <c r="R2026" i="27"/>
  <c r="P2026" i="27"/>
  <c r="N2026" i="27" s="1"/>
  <c r="M2026" i="27"/>
  <c r="J2026" i="27"/>
  <c r="G2026" i="27"/>
  <c r="R2025" i="27"/>
  <c r="P2025" i="27"/>
  <c r="M2025" i="27"/>
  <c r="J2025" i="27"/>
  <c r="G2025" i="27"/>
  <c r="R2024" i="27"/>
  <c r="P2024" i="27"/>
  <c r="N2024" i="27" s="1"/>
  <c r="M2024" i="27"/>
  <c r="J2024" i="27"/>
  <c r="G2024" i="27"/>
  <c r="R2023" i="27"/>
  <c r="P2023" i="27"/>
  <c r="N2023" i="27" s="1"/>
  <c r="M2023" i="27"/>
  <c r="J2023" i="27"/>
  <c r="G2023" i="27"/>
  <c r="U2022" i="27"/>
  <c r="V2022" i="27" s="1"/>
  <c r="W2022" i="27" s="1"/>
  <c r="R2022" i="27"/>
  <c r="P2022" i="27"/>
  <c r="M2022" i="27"/>
  <c r="J2022" i="27"/>
  <c r="G2022" i="27"/>
  <c r="R2021" i="27"/>
  <c r="P2021" i="27"/>
  <c r="N2021" i="27" s="1"/>
  <c r="M2021" i="27"/>
  <c r="J2021" i="27"/>
  <c r="G2021" i="27"/>
  <c r="R2020" i="27"/>
  <c r="U2020" i="27" s="1"/>
  <c r="V2020" i="27" s="1"/>
  <c r="W2020" i="27" s="1"/>
  <c r="P2020" i="27"/>
  <c r="N2020" i="27" s="1"/>
  <c r="M2020" i="27"/>
  <c r="J2020" i="27"/>
  <c r="G2020" i="27"/>
  <c r="E2020" i="27" s="1"/>
  <c r="U2019" i="27"/>
  <c r="V2019" i="27" s="1"/>
  <c r="W2019" i="27" s="1"/>
  <c r="R2019" i="27"/>
  <c r="P2019" i="27"/>
  <c r="N2019" i="27" s="1"/>
  <c r="M2019" i="27"/>
  <c r="K2019" i="27" s="1"/>
  <c r="J2019" i="27"/>
  <c r="G2019" i="27"/>
  <c r="U2018" i="27"/>
  <c r="V2018" i="27" s="1"/>
  <c r="W2018" i="27" s="1"/>
  <c r="R2018" i="27"/>
  <c r="P2018" i="27"/>
  <c r="N2018" i="27"/>
  <c r="M2018" i="27"/>
  <c r="J2018" i="27"/>
  <c r="G2018" i="27"/>
  <c r="E2018" i="27" s="1"/>
  <c r="R2017" i="27"/>
  <c r="P2017" i="27"/>
  <c r="M2017" i="27"/>
  <c r="J2017" i="27"/>
  <c r="G2017" i="27"/>
  <c r="R2016" i="27"/>
  <c r="P2016" i="27"/>
  <c r="N2016" i="27" s="1"/>
  <c r="M2016" i="27"/>
  <c r="J2016" i="27"/>
  <c r="G2016" i="27"/>
  <c r="R2015" i="27"/>
  <c r="U2015" i="27" s="1"/>
  <c r="V2015" i="27" s="1"/>
  <c r="W2015" i="27" s="1"/>
  <c r="P2015" i="27"/>
  <c r="M2015" i="27"/>
  <c r="J2015" i="27"/>
  <c r="G2015" i="27"/>
  <c r="R2014" i="27"/>
  <c r="P2014" i="27"/>
  <c r="M2014" i="27"/>
  <c r="J2014" i="27"/>
  <c r="G2014" i="27"/>
  <c r="R2013" i="27"/>
  <c r="P2013" i="27"/>
  <c r="N2013" i="27" s="1"/>
  <c r="M2013" i="27"/>
  <c r="J2013" i="27"/>
  <c r="G2013" i="27"/>
  <c r="R2012" i="27"/>
  <c r="U2012" i="27" s="1"/>
  <c r="V2012" i="27" s="1"/>
  <c r="W2012" i="27" s="1"/>
  <c r="P2012" i="27"/>
  <c r="N2012" i="27" s="1"/>
  <c r="M2012" i="27"/>
  <c r="J2012" i="27"/>
  <c r="G2012" i="27"/>
  <c r="R2011" i="27"/>
  <c r="P2011" i="27"/>
  <c r="M2011" i="27"/>
  <c r="J2011" i="27"/>
  <c r="G2011" i="27"/>
  <c r="R2010" i="27"/>
  <c r="P2010" i="27"/>
  <c r="N2010" i="27" s="1"/>
  <c r="M2010" i="27"/>
  <c r="J2010" i="27"/>
  <c r="G2010" i="27"/>
  <c r="R2009" i="27"/>
  <c r="U2009" i="27" s="1"/>
  <c r="V2009" i="27" s="1"/>
  <c r="W2009" i="27" s="1"/>
  <c r="P2009" i="27"/>
  <c r="M2009" i="27"/>
  <c r="J2009" i="27"/>
  <c r="G2009" i="27"/>
  <c r="E2009" i="27" s="1"/>
  <c r="R2008" i="27"/>
  <c r="P2008" i="27"/>
  <c r="N2008" i="27" s="1"/>
  <c r="M2008" i="27"/>
  <c r="J2008" i="27"/>
  <c r="H2008" i="27" s="1"/>
  <c r="G2008" i="27"/>
  <c r="R2007" i="27"/>
  <c r="U2007" i="27" s="1"/>
  <c r="V2007" i="27" s="1"/>
  <c r="W2007" i="27" s="1"/>
  <c r="P2007" i="27"/>
  <c r="M2007" i="27"/>
  <c r="J2007" i="27"/>
  <c r="G2007" i="27"/>
  <c r="E2007" i="27" s="1"/>
  <c r="U2006" i="27"/>
  <c r="V2006" i="27" s="1"/>
  <c r="W2006" i="27" s="1"/>
  <c r="R2006" i="27"/>
  <c r="P2006" i="27"/>
  <c r="M2006" i="27"/>
  <c r="J2006" i="27"/>
  <c r="G2006" i="27"/>
  <c r="E2006" i="27" s="1"/>
  <c r="R2005" i="27"/>
  <c r="U2005" i="27" s="1"/>
  <c r="V2005" i="27" s="1"/>
  <c r="W2005" i="27" s="1"/>
  <c r="P2005" i="27"/>
  <c r="M2005" i="27"/>
  <c r="J2005" i="27"/>
  <c r="G2005" i="27"/>
  <c r="R2004" i="27"/>
  <c r="P2004" i="27"/>
  <c r="M2004" i="27"/>
  <c r="J2004" i="27"/>
  <c r="G2004" i="27"/>
  <c r="U2003" i="27"/>
  <c r="V2003" i="27" s="1"/>
  <c r="W2003" i="27" s="1"/>
  <c r="R2003" i="27"/>
  <c r="P2003" i="27"/>
  <c r="N2003" i="27" s="1"/>
  <c r="M2003" i="27"/>
  <c r="K2003" i="27" s="1"/>
  <c r="J2003" i="27"/>
  <c r="G2003" i="27"/>
  <c r="E2003" i="27" s="1"/>
  <c r="V2002" i="27"/>
  <c r="W2002" i="27" s="1"/>
  <c r="U2002" i="27"/>
  <c r="R2002" i="27"/>
  <c r="P2002" i="27"/>
  <c r="N2002" i="27"/>
  <c r="M2002" i="27"/>
  <c r="J2002" i="27"/>
  <c r="G2002" i="27"/>
  <c r="E2002" i="27" s="1"/>
  <c r="U2001" i="27"/>
  <c r="V2001" i="27" s="1"/>
  <c r="W2001" i="27" s="1"/>
  <c r="R2001" i="27"/>
  <c r="P2001" i="27"/>
  <c r="M2001" i="27"/>
  <c r="J2001" i="27"/>
  <c r="H2001" i="27"/>
  <c r="G2001" i="27"/>
  <c r="W2000" i="27"/>
  <c r="U2000" i="27"/>
  <c r="V2000" i="27" s="1"/>
  <c r="R2000" i="27"/>
  <c r="P2000" i="27"/>
  <c r="M2000" i="27"/>
  <c r="J2000" i="27"/>
  <c r="H2000" i="27" s="1"/>
  <c r="G2000" i="27"/>
  <c r="R1999" i="27"/>
  <c r="P1999" i="27"/>
  <c r="M1999" i="27"/>
  <c r="J1999" i="27"/>
  <c r="G1999" i="27"/>
  <c r="R1998" i="27"/>
  <c r="U1998" i="27" s="1"/>
  <c r="V1998" i="27" s="1"/>
  <c r="W1998" i="27" s="1"/>
  <c r="P1998" i="27"/>
  <c r="M1998" i="27"/>
  <c r="J1998" i="27"/>
  <c r="G1998" i="27"/>
  <c r="R1997" i="27"/>
  <c r="U1997" i="27" s="1"/>
  <c r="V1997" i="27" s="1"/>
  <c r="W1997" i="27" s="1"/>
  <c r="P1997" i="27"/>
  <c r="N1997" i="27"/>
  <c r="M1997" i="27"/>
  <c r="J1997" i="27"/>
  <c r="G1997" i="27"/>
  <c r="R1996" i="27"/>
  <c r="P1996" i="27"/>
  <c r="M1996" i="27"/>
  <c r="J1996" i="27"/>
  <c r="H1996" i="27" s="1"/>
  <c r="G1996" i="27"/>
  <c r="E1996" i="27" s="1"/>
  <c r="R1995" i="27"/>
  <c r="U1995" i="27" s="1"/>
  <c r="V1995" i="27" s="1"/>
  <c r="W1995" i="27" s="1"/>
  <c r="P1995" i="27"/>
  <c r="N1995" i="27" s="1"/>
  <c r="M1995" i="27"/>
  <c r="K1995" i="27" s="1"/>
  <c r="J1995" i="27"/>
  <c r="H1995" i="27"/>
  <c r="G1995" i="27"/>
  <c r="E1995" i="27" s="1"/>
  <c r="R1994" i="27"/>
  <c r="U1994" i="27" s="1"/>
  <c r="V1994" i="27" s="1"/>
  <c r="W1994" i="27" s="1"/>
  <c r="P1994" i="27"/>
  <c r="N1994" i="27"/>
  <c r="M1994" i="27"/>
  <c r="J1994" i="27"/>
  <c r="H1994" i="27"/>
  <c r="G1994" i="27"/>
  <c r="E1994" i="27" s="1"/>
  <c r="R1993" i="27"/>
  <c r="U1993" i="27" s="1"/>
  <c r="V1993" i="27" s="1"/>
  <c r="W1993" i="27" s="1"/>
  <c r="P1993" i="27"/>
  <c r="N1993" i="27"/>
  <c r="M1993" i="27"/>
  <c r="J1993" i="27"/>
  <c r="H1993" i="27" s="1"/>
  <c r="G1993" i="27"/>
  <c r="E1993" i="27" s="1"/>
  <c r="R1992" i="27"/>
  <c r="K1992" i="27" s="1"/>
  <c r="P1992" i="27"/>
  <c r="N1992" i="27"/>
  <c r="M1992" i="27"/>
  <c r="J1992" i="27"/>
  <c r="H1992" i="27" s="1"/>
  <c r="G1992" i="27"/>
  <c r="E1992" i="27" s="1"/>
  <c r="U1991" i="27"/>
  <c r="V1991" i="27" s="1"/>
  <c r="W1991" i="27" s="1"/>
  <c r="R1991" i="27"/>
  <c r="P1991" i="27"/>
  <c r="M1991" i="27"/>
  <c r="K1991" i="27" s="1"/>
  <c r="J1991" i="27"/>
  <c r="G1991" i="27"/>
  <c r="U1990" i="27"/>
  <c r="V1990" i="27" s="1"/>
  <c r="W1990" i="27" s="1"/>
  <c r="R1990" i="27"/>
  <c r="P1990" i="27"/>
  <c r="M1990" i="27"/>
  <c r="J1990" i="27"/>
  <c r="H1990" i="27"/>
  <c r="G1990" i="27"/>
  <c r="R1989" i="27"/>
  <c r="H1989" i="27" s="1"/>
  <c r="P1989" i="27"/>
  <c r="M1989" i="27"/>
  <c r="J1989" i="27"/>
  <c r="G1989" i="27"/>
  <c r="U1988" i="27"/>
  <c r="V1988" i="27" s="1"/>
  <c r="W1988" i="27" s="1"/>
  <c r="R1988" i="27"/>
  <c r="H1988" i="27" s="1"/>
  <c r="P1988" i="27"/>
  <c r="N1988" i="27" s="1"/>
  <c r="M1988" i="27"/>
  <c r="J1988" i="27"/>
  <c r="G1988" i="27"/>
  <c r="R1987" i="27"/>
  <c r="P1987" i="27"/>
  <c r="M1987" i="27"/>
  <c r="J1987" i="27"/>
  <c r="G1987" i="27"/>
  <c r="U1986" i="27"/>
  <c r="V1986" i="27" s="1"/>
  <c r="W1986" i="27" s="1"/>
  <c r="R1986" i="27"/>
  <c r="P1986" i="27"/>
  <c r="N1986" i="27" s="1"/>
  <c r="M1986" i="27"/>
  <c r="J1986" i="27"/>
  <c r="G1986" i="27"/>
  <c r="E1986" i="27" s="1"/>
  <c r="R1985" i="27"/>
  <c r="P1985" i="27"/>
  <c r="N1985" i="27" s="1"/>
  <c r="M1985" i="27"/>
  <c r="J1985" i="27"/>
  <c r="G1985" i="27"/>
  <c r="E1985" i="27" s="1"/>
  <c r="W1984" i="27"/>
  <c r="U1984" i="27"/>
  <c r="V1984" i="27" s="1"/>
  <c r="R1984" i="27"/>
  <c r="P1984" i="27"/>
  <c r="N1984" i="27"/>
  <c r="M1984" i="27"/>
  <c r="J1984" i="27"/>
  <c r="G1984" i="27"/>
  <c r="E1984" i="27" s="1"/>
  <c r="U1983" i="27"/>
  <c r="V1983" i="27" s="1"/>
  <c r="W1983" i="27" s="1"/>
  <c r="R1983" i="27"/>
  <c r="P1983" i="27"/>
  <c r="M1983" i="27"/>
  <c r="J1983" i="27"/>
  <c r="G1983" i="27"/>
  <c r="R1982" i="27"/>
  <c r="P1982" i="27"/>
  <c r="M1982" i="27"/>
  <c r="J1982" i="27"/>
  <c r="G1982" i="27"/>
  <c r="R1981" i="27"/>
  <c r="P1981" i="27"/>
  <c r="M1981" i="27"/>
  <c r="J1981" i="27"/>
  <c r="G1981" i="27"/>
  <c r="R1980" i="27"/>
  <c r="P1980" i="27"/>
  <c r="M1980" i="27"/>
  <c r="J1980" i="27"/>
  <c r="G1980" i="27"/>
  <c r="R1979" i="27"/>
  <c r="P1979" i="27"/>
  <c r="M1979" i="27"/>
  <c r="J1979" i="27"/>
  <c r="G1979" i="27"/>
  <c r="R1978" i="27"/>
  <c r="U1978" i="27" s="1"/>
  <c r="V1978" i="27" s="1"/>
  <c r="W1978" i="27" s="1"/>
  <c r="P1978" i="27"/>
  <c r="N1978" i="27"/>
  <c r="M1978" i="27"/>
  <c r="J1978" i="27"/>
  <c r="H1978" i="27" s="1"/>
  <c r="G1978" i="27"/>
  <c r="E1978" i="27" s="1"/>
  <c r="U1977" i="27"/>
  <c r="V1977" i="27" s="1"/>
  <c r="W1977" i="27" s="1"/>
  <c r="R1977" i="27"/>
  <c r="P1977" i="27"/>
  <c r="N1977" i="27" s="1"/>
  <c r="M1977" i="27"/>
  <c r="K1977" i="27" s="1"/>
  <c r="J1977" i="27"/>
  <c r="H1977" i="27" s="1"/>
  <c r="G1977" i="27"/>
  <c r="R1976" i="27"/>
  <c r="U1976" i="27" s="1"/>
  <c r="V1976" i="27" s="1"/>
  <c r="W1976" i="27" s="1"/>
  <c r="P1976" i="27"/>
  <c r="N1976" i="27" s="1"/>
  <c r="M1976" i="27"/>
  <c r="J1976" i="27"/>
  <c r="G1976" i="27"/>
  <c r="U1975" i="27"/>
  <c r="V1975" i="27" s="1"/>
  <c r="W1975" i="27" s="1"/>
  <c r="R1975" i="27"/>
  <c r="P1975" i="27"/>
  <c r="N1975" i="27" s="1"/>
  <c r="M1975" i="27"/>
  <c r="K1975" i="27" s="1"/>
  <c r="J1975" i="27"/>
  <c r="H1975" i="27" s="1"/>
  <c r="G1975" i="27"/>
  <c r="E1975" i="27" s="1"/>
  <c r="R1974" i="27"/>
  <c r="U1974" i="27" s="1"/>
  <c r="V1974" i="27" s="1"/>
  <c r="W1974" i="27" s="1"/>
  <c r="P1974" i="27"/>
  <c r="N1974" i="27" s="1"/>
  <c r="M1974" i="27"/>
  <c r="J1974" i="27"/>
  <c r="H1974" i="27" s="1"/>
  <c r="G1974" i="27"/>
  <c r="E1974" i="27" s="1"/>
  <c r="U1973" i="27"/>
  <c r="V1973" i="27" s="1"/>
  <c r="W1973" i="27" s="1"/>
  <c r="R1973" i="27"/>
  <c r="P1973" i="27"/>
  <c r="N1973" i="27"/>
  <c r="M1973" i="27"/>
  <c r="K1973" i="27" s="1"/>
  <c r="J1973" i="27"/>
  <c r="G1973" i="27"/>
  <c r="E1973" i="27" s="1"/>
  <c r="R1972" i="27"/>
  <c r="U1972" i="27" s="1"/>
  <c r="V1972" i="27" s="1"/>
  <c r="W1972" i="27" s="1"/>
  <c r="P1972" i="27"/>
  <c r="M1972" i="27"/>
  <c r="J1972" i="27"/>
  <c r="G1972" i="27"/>
  <c r="R1971" i="27"/>
  <c r="U1971" i="27" s="1"/>
  <c r="V1971" i="27" s="1"/>
  <c r="W1971" i="27" s="1"/>
  <c r="P1971" i="27"/>
  <c r="N1971" i="27" s="1"/>
  <c r="M1971" i="27"/>
  <c r="J1971" i="27"/>
  <c r="G1971" i="27"/>
  <c r="R1970" i="27"/>
  <c r="U1970" i="27" s="1"/>
  <c r="V1970" i="27" s="1"/>
  <c r="W1970" i="27" s="1"/>
  <c r="P1970" i="27"/>
  <c r="M1970" i="27"/>
  <c r="J1970" i="27"/>
  <c r="G1970" i="27"/>
  <c r="R1969" i="27"/>
  <c r="P1969" i="27"/>
  <c r="M1969" i="27"/>
  <c r="J1969" i="27"/>
  <c r="G1969" i="27"/>
  <c r="R1968" i="27"/>
  <c r="P1968" i="27"/>
  <c r="M1968" i="27"/>
  <c r="J1968" i="27"/>
  <c r="G1968" i="27"/>
  <c r="R1967" i="27"/>
  <c r="P1967" i="27"/>
  <c r="M1967" i="27"/>
  <c r="K1967" i="27" s="1"/>
  <c r="J1967" i="27"/>
  <c r="G1967" i="27"/>
  <c r="R1966" i="27"/>
  <c r="U1966" i="27" s="1"/>
  <c r="V1966" i="27" s="1"/>
  <c r="W1966" i="27" s="1"/>
  <c r="P1966" i="27"/>
  <c r="N1966" i="27" s="1"/>
  <c r="M1966" i="27"/>
  <c r="J1966" i="27"/>
  <c r="H1966" i="27"/>
  <c r="G1966" i="27"/>
  <c r="R1965" i="27"/>
  <c r="U1965" i="27" s="1"/>
  <c r="V1965" i="27" s="1"/>
  <c r="W1965" i="27" s="1"/>
  <c r="P1965" i="27"/>
  <c r="N1965" i="27" s="1"/>
  <c r="M1965" i="27"/>
  <c r="K1965" i="27" s="1"/>
  <c r="J1965" i="27"/>
  <c r="H1965" i="27"/>
  <c r="G1965" i="27"/>
  <c r="R1964" i="27"/>
  <c r="P1964" i="27"/>
  <c r="M1964" i="27"/>
  <c r="J1964" i="27"/>
  <c r="G1964" i="27"/>
  <c r="R1963" i="27"/>
  <c r="U1963" i="27" s="1"/>
  <c r="V1963" i="27" s="1"/>
  <c r="W1963" i="27" s="1"/>
  <c r="P1963" i="27"/>
  <c r="N1963" i="27" s="1"/>
  <c r="M1963" i="27"/>
  <c r="J1963" i="27"/>
  <c r="H1963" i="27" s="1"/>
  <c r="G1963" i="27"/>
  <c r="E1963" i="27" s="1"/>
  <c r="R1962" i="27"/>
  <c r="U1962" i="27" s="1"/>
  <c r="V1962" i="27" s="1"/>
  <c r="W1962" i="27" s="1"/>
  <c r="P1962" i="27"/>
  <c r="N1962" i="27" s="1"/>
  <c r="M1962" i="27"/>
  <c r="J1962" i="27"/>
  <c r="H1962" i="27" s="1"/>
  <c r="G1962" i="27"/>
  <c r="E1962" i="27" s="1"/>
  <c r="U1961" i="27"/>
  <c r="V1961" i="27" s="1"/>
  <c r="W1961" i="27" s="1"/>
  <c r="R1961" i="27"/>
  <c r="P1961" i="27"/>
  <c r="N1961" i="27" s="1"/>
  <c r="M1961" i="27"/>
  <c r="K1961" i="27" s="1"/>
  <c r="J1961" i="27"/>
  <c r="G1961" i="27"/>
  <c r="E1961" i="27" s="1"/>
  <c r="U1960" i="27"/>
  <c r="V1960" i="27" s="1"/>
  <c r="W1960" i="27" s="1"/>
  <c r="R1960" i="27"/>
  <c r="H1960" i="27" s="1"/>
  <c r="P1960" i="27"/>
  <c r="N1960" i="27" s="1"/>
  <c r="M1960" i="27"/>
  <c r="J1960" i="27"/>
  <c r="G1960" i="27"/>
  <c r="E1960" i="27" s="1"/>
  <c r="R1959" i="27"/>
  <c r="U1959" i="27" s="1"/>
  <c r="V1959" i="27" s="1"/>
  <c r="W1959" i="27" s="1"/>
  <c r="P1959" i="27"/>
  <c r="M1959" i="27"/>
  <c r="J1959" i="27"/>
  <c r="H1959" i="27"/>
  <c r="G1959" i="27"/>
  <c r="R1958" i="27"/>
  <c r="P1958" i="27"/>
  <c r="N1958" i="27" s="1"/>
  <c r="M1958" i="27"/>
  <c r="J1958" i="27"/>
  <c r="G1958" i="27"/>
  <c r="R1957" i="27"/>
  <c r="H1957" i="27" s="1"/>
  <c r="P1957" i="27"/>
  <c r="N1957" i="27" s="1"/>
  <c r="M1957" i="27"/>
  <c r="J1957" i="27"/>
  <c r="G1957" i="27"/>
  <c r="R1956" i="27"/>
  <c r="U1956" i="27" s="1"/>
  <c r="V1956" i="27" s="1"/>
  <c r="W1956" i="27" s="1"/>
  <c r="P1956" i="27"/>
  <c r="M1956" i="27"/>
  <c r="J1956" i="27"/>
  <c r="G1956" i="27"/>
  <c r="R1955" i="27"/>
  <c r="P1955" i="27"/>
  <c r="M1955" i="27"/>
  <c r="J1955" i="27"/>
  <c r="G1955" i="27"/>
  <c r="R1954" i="27"/>
  <c r="P1954" i="27"/>
  <c r="M1954" i="27"/>
  <c r="J1954" i="27"/>
  <c r="G1954" i="27"/>
  <c r="R1953" i="27"/>
  <c r="U1953" i="27" s="1"/>
  <c r="V1953" i="27" s="1"/>
  <c r="W1953" i="27" s="1"/>
  <c r="P1953" i="27"/>
  <c r="M1953" i="27"/>
  <c r="K1953" i="27" s="1"/>
  <c r="J1953" i="27"/>
  <c r="G1953" i="27"/>
  <c r="R1952" i="27"/>
  <c r="U1952" i="27" s="1"/>
  <c r="V1952" i="27" s="1"/>
  <c r="W1952" i="27" s="1"/>
  <c r="P1952" i="27"/>
  <c r="N1952" i="27" s="1"/>
  <c r="M1952" i="27"/>
  <c r="J1952" i="27"/>
  <c r="H1952" i="27"/>
  <c r="G1952" i="27"/>
  <c r="R1951" i="27"/>
  <c r="P1951" i="27"/>
  <c r="M1951" i="27"/>
  <c r="J1951" i="27"/>
  <c r="G1951" i="27"/>
  <c r="E1951" i="27" s="1"/>
  <c r="R1950" i="27"/>
  <c r="P1950" i="27"/>
  <c r="M1950" i="27"/>
  <c r="J1950" i="27"/>
  <c r="G1950" i="27"/>
  <c r="R1949" i="27"/>
  <c r="P1949" i="27"/>
  <c r="M1949" i="27"/>
  <c r="K1949" i="27" s="1"/>
  <c r="J1949" i="27"/>
  <c r="G1949" i="27"/>
  <c r="E1949" i="27" s="1"/>
  <c r="R1948" i="27"/>
  <c r="U1948" i="27" s="1"/>
  <c r="V1948" i="27" s="1"/>
  <c r="W1948" i="27" s="1"/>
  <c r="P1948" i="27"/>
  <c r="N1948" i="27" s="1"/>
  <c r="M1948" i="27"/>
  <c r="J1948" i="27"/>
  <c r="G1948" i="27"/>
  <c r="U1947" i="27"/>
  <c r="V1947" i="27" s="1"/>
  <c r="W1947" i="27" s="1"/>
  <c r="R1947" i="27"/>
  <c r="P1947" i="27"/>
  <c r="M1947" i="27"/>
  <c r="J1947" i="27"/>
  <c r="G1947" i="27"/>
  <c r="R1945" i="27"/>
  <c r="P1945" i="27"/>
  <c r="M1945" i="27"/>
  <c r="J1945" i="27"/>
  <c r="G1945" i="27"/>
  <c r="R1944" i="27"/>
  <c r="U1944" i="27" s="1"/>
  <c r="V1944" i="27" s="1"/>
  <c r="W1944" i="27" s="1"/>
  <c r="P1944" i="27"/>
  <c r="N1944" i="27" s="1"/>
  <c r="M1944" i="27"/>
  <c r="J1944" i="27"/>
  <c r="H1944" i="27"/>
  <c r="G1944" i="27"/>
  <c r="E1944" i="27" s="1"/>
  <c r="R1943" i="27"/>
  <c r="P1943" i="27"/>
  <c r="N1943" i="27" s="1"/>
  <c r="M1943" i="27"/>
  <c r="J1943" i="27"/>
  <c r="G1943" i="27"/>
  <c r="R1942" i="27"/>
  <c r="P1942" i="27"/>
  <c r="M1942" i="27"/>
  <c r="J1942" i="27"/>
  <c r="G1942" i="27"/>
  <c r="R1941" i="27"/>
  <c r="U1941" i="27" s="1"/>
  <c r="V1941" i="27" s="1"/>
  <c r="W1941" i="27" s="1"/>
  <c r="P1941" i="27"/>
  <c r="N1941" i="27" s="1"/>
  <c r="M1941" i="27"/>
  <c r="J1941" i="27"/>
  <c r="H1941" i="27"/>
  <c r="G1941" i="27"/>
  <c r="E1941" i="27" s="1"/>
  <c r="R1940" i="27"/>
  <c r="N1940" i="27" s="1"/>
  <c r="P1940" i="27"/>
  <c r="M1940" i="27"/>
  <c r="J1940" i="27"/>
  <c r="G1940" i="27"/>
  <c r="R1939" i="27"/>
  <c r="P1939" i="27"/>
  <c r="M1939" i="27"/>
  <c r="J1939" i="27"/>
  <c r="G1939" i="27"/>
  <c r="U1938" i="27"/>
  <c r="V1938" i="27" s="1"/>
  <c r="W1938" i="27" s="1"/>
  <c r="R1938" i="27"/>
  <c r="P1938" i="27"/>
  <c r="N1938" i="27" s="1"/>
  <c r="M1938" i="27"/>
  <c r="K1938" i="27" s="1"/>
  <c r="J1938" i="27"/>
  <c r="H1938" i="27" s="1"/>
  <c r="G1938" i="27"/>
  <c r="U1937" i="27"/>
  <c r="V1937" i="27" s="1"/>
  <c r="W1937" i="27" s="1"/>
  <c r="R1937" i="27"/>
  <c r="P1937" i="27"/>
  <c r="M1937" i="27"/>
  <c r="J1937" i="27"/>
  <c r="G1937" i="27"/>
  <c r="R1936" i="27"/>
  <c r="U1936" i="27" s="1"/>
  <c r="V1936" i="27" s="1"/>
  <c r="W1936" i="27" s="1"/>
  <c r="P1936" i="27"/>
  <c r="M1936" i="27"/>
  <c r="J1936" i="27"/>
  <c r="H1936" i="27" s="1"/>
  <c r="G1936" i="27"/>
  <c r="R1935" i="27"/>
  <c r="P1935" i="27"/>
  <c r="N1935" i="27" s="1"/>
  <c r="M1935" i="27"/>
  <c r="J1935" i="27"/>
  <c r="G1935" i="27"/>
  <c r="E1935" i="27" s="1"/>
  <c r="U1934" i="27"/>
  <c r="V1934" i="27" s="1"/>
  <c r="W1934" i="27" s="1"/>
  <c r="R1934" i="27"/>
  <c r="P1934" i="27"/>
  <c r="N1934" i="27" s="1"/>
  <c r="M1934" i="27"/>
  <c r="K1934" i="27" s="1"/>
  <c r="J1934" i="27"/>
  <c r="G1934" i="27"/>
  <c r="E1934" i="27" s="1"/>
  <c r="U1933" i="27"/>
  <c r="V1933" i="27" s="1"/>
  <c r="W1933" i="27" s="1"/>
  <c r="R1933" i="27"/>
  <c r="P1933" i="27"/>
  <c r="N1933" i="27" s="1"/>
  <c r="M1933" i="27"/>
  <c r="J1933" i="27"/>
  <c r="H1933" i="27" s="1"/>
  <c r="G1933" i="27"/>
  <c r="R1932" i="27"/>
  <c r="U1932" i="27" s="1"/>
  <c r="V1932" i="27" s="1"/>
  <c r="W1932" i="27" s="1"/>
  <c r="P1932" i="27"/>
  <c r="N1932" i="27" s="1"/>
  <c r="M1932" i="27"/>
  <c r="J1932" i="27"/>
  <c r="G1932" i="27"/>
  <c r="R1931" i="27"/>
  <c r="P1931" i="27"/>
  <c r="M1931" i="27"/>
  <c r="J1931" i="27"/>
  <c r="G1931" i="27"/>
  <c r="R1930" i="27"/>
  <c r="U1930" i="27" s="1"/>
  <c r="V1930" i="27" s="1"/>
  <c r="W1930" i="27" s="1"/>
  <c r="P1930" i="27"/>
  <c r="N1930" i="27" s="1"/>
  <c r="M1930" i="27"/>
  <c r="J1930" i="27"/>
  <c r="H1930" i="27" s="1"/>
  <c r="G1930" i="27"/>
  <c r="R1929" i="27"/>
  <c r="U1929" i="27" s="1"/>
  <c r="V1929" i="27" s="1"/>
  <c r="W1929" i="27" s="1"/>
  <c r="P1929" i="27"/>
  <c r="N1929" i="27" s="1"/>
  <c r="M1929" i="27"/>
  <c r="J1929" i="27"/>
  <c r="G1929" i="27"/>
  <c r="R1928" i="27"/>
  <c r="U1928" i="27" s="1"/>
  <c r="V1928" i="27" s="1"/>
  <c r="W1928" i="27" s="1"/>
  <c r="P1928" i="27"/>
  <c r="M1928" i="27"/>
  <c r="J1928" i="27"/>
  <c r="G1928" i="27"/>
  <c r="R1927" i="27"/>
  <c r="P1927" i="27"/>
  <c r="M1927" i="27"/>
  <c r="J1927" i="27"/>
  <c r="G1927" i="27"/>
  <c r="R1926" i="27"/>
  <c r="U1926" i="27" s="1"/>
  <c r="V1926" i="27" s="1"/>
  <c r="W1926" i="27" s="1"/>
  <c r="P1926" i="27"/>
  <c r="N1926" i="27" s="1"/>
  <c r="M1926" i="27"/>
  <c r="J1926" i="27"/>
  <c r="H1926" i="27" s="1"/>
  <c r="G1926" i="27"/>
  <c r="E1926" i="27" s="1"/>
  <c r="R1925" i="27"/>
  <c r="U1925" i="27" s="1"/>
  <c r="V1925" i="27" s="1"/>
  <c r="W1925" i="27" s="1"/>
  <c r="P1925" i="27"/>
  <c r="N1925" i="27" s="1"/>
  <c r="M1925" i="27"/>
  <c r="J1925" i="27"/>
  <c r="G1925" i="27"/>
  <c r="R1924" i="27"/>
  <c r="U1924" i="27" s="1"/>
  <c r="V1924" i="27" s="1"/>
  <c r="W1924" i="27" s="1"/>
  <c r="P1924" i="27"/>
  <c r="M1924" i="27"/>
  <c r="J1924" i="27"/>
  <c r="G1924" i="27"/>
  <c r="R1923" i="27"/>
  <c r="P1923" i="27"/>
  <c r="M1923" i="27"/>
  <c r="J1923" i="27"/>
  <c r="G1923" i="27"/>
  <c r="R1922" i="27"/>
  <c r="U1922" i="27" s="1"/>
  <c r="V1922" i="27" s="1"/>
  <c r="W1922" i="27" s="1"/>
  <c r="P1922" i="27"/>
  <c r="N1922" i="27" s="1"/>
  <c r="M1922" i="27"/>
  <c r="J1922" i="27"/>
  <c r="H1922" i="27" s="1"/>
  <c r="G1922" i="27"/>
  <c r="R1921" i="27"/>
  <c r="U1921" i="27" s="1"/>
  <c r="V1921" i="27" s="1"/>
  <c r="W1921" i="27" s="1"/>
  <c r="P1921" i="27"/>
  <c r="N1921" i="27" s="1"/>
  <c r="M1921" i="27"/>
  <c r="J1921" i="27"/>
  <c r="G1921" i="27"/>
  <c r="R1920" i="27"/>
  <c r="P1920" i="27"/>
  <c r="N1920" i="27" s="1"/>
  <c r="M1920" i="27"/>
  <c r="J1920" i="27"/>
  <c r="G1920" i="27"/>
  <c r="R1919" i="27"/>
  <c r="P1919" i="27"/>
  <c r="M1919" i="27"/>
  <c r="J1919" i="27"/>
  <c r="G1919" i="27"/>
  <c r="U1918" i="27"/>
  <c r="V1918" i="27" s="1"/>
  <c r="W1918" i="27" s="1"/>
  <c r="R1918" i="27"/>
  <c r="P1918" i="27"/>
  <c r="M1918" i="27"/>
  <c r="K1918" i="27" s="1"/>
  <c r="J1918" i="27"/>
  <c r="G1918" i="27"/>
  <c r="E1918" i="27" s="1"/>
  <c r="R1917" i="27"/>
  <c r="P1917" i="27"/>
  <c r="N1917" i="27"/>
  <c r="M1917" i="27"/>
  <c r="J1917" i="27"/>
  <c r="G1917" i="27"/>
  <c r="R1916" i="27"/>
  <c r="N1916" i="27" s="1"/>
  <c r="P1916" i="27"/>
  <c r="M1916" i="27"/>
  <c r="K1916" i="27" s="1"/>
  <c r="J1916" i="27"/>
  <c r="G1916" i="27"/>
  <c r="U1915" i="27"/>
  <c r="V1915" i="27" s="1"/>
  <c r="W1915" i="27" s="1"/>
  <c r="R1915" i="27"/>
  <c r="P1915" i="27"/>
  <c r="N1915" i="27" s="1"/>
  <c r="M1915" i="27"/>
  <c r="J1915" i="27"/>
  <c r="H1915" i="27" s="1"/>
  <c r="G1915" i="27"/>
  <c r="E1915" i="27" s="1"/>
  <c r="R1914" i="27"/>
  <c r="P1914" i="27"/>
  <c r="M1914" i="27"/>
  <c r="J1914" i="27"/>
  <c r="G1914" i="27"/>
  <c r="E1914" i="27" s="1"/>
  <c r="U1913" i="27"/>
  <c r="V1913" i="27" s="1"/>
  <c r="W1913" i="27" s="1"/>
  <c r="R1913" i="27"/>
  <c r="P1913" i="27"/>
  <c r="N1913" i="27"/>
  <c r="M1913" i="27"/>
  <c r="J1913" i="27"/>
  <c r="H1913" i="27"/>
  <c r="G1913" i="27"/>
  <c r="E1913" i="27" s="1"/>
  <c r="U1912" i="27"/>
  <c r="V1912" i="27" s="1"/>
  <c r="W1912" i="27" s="1"/>
  <c r="R1912" i="27"/>
  <c r="P1912" i="27"/>
  <c r="N1912" i="27"/>
  <c r="M1912" i="27"/>
  <c r="K1912" i="27" s="1"/>
  <c r="J1912" i="27"/>
  <c r="H1912" i="27"/>
  <c r="G1912" i="27"/>
  <c r="E1912" i="27" s="1"/>
  <c r="R1910" i="27"/>
  <c r="K1910" i="27" s="1"/>
  <c r="P1910" i="27"/>
  <c r="N1910" i="27"/>
  <c r="M1910" i="27"/>
  <c r="J1910" i="27"/>
  <c r="H1910" i="27" s="1"/>
  <c r="G1910" i="27"/>
  <c r="E1910" i="27" s="1"/>
  <c r="U1909" i="27"/>
  <c r="V1909" i="27" s="1"/>
  <c r="W1909" i="27" s="1"/>
  <c r="R1909" i="27"/>
  <c r="P1909" i="27"/>
  <c r="N1909" i="27" s="1"/>
  <c r="M1909" i="27"/>
  <c r="K1909" i="27" s="1"/>
  <c r="J1909" i="27"/>
  <c r="G1909" i="27"/>
  <c r="E1909" i="27" s="1"/>
  <c r="W1908" i="27"/>
  <c r="R1908" i="27"/>
  <c r="U1908" i="27" s="1"/>
  <c r="V1908" i="27" s="1"/>
  <c r="P1908" i="27"/>
  <c r="M1908" i="27"/>
  <c r="J1908" i="27"/>
  <c r="G1908" i="27"/>
  <c r="R1907" i="27"/>
  <c r="P1907" i="27"/>
  <c r="M1907" i="27"/>
  <c r="J1907" i="27"/>
  <c r="G1907" i="27"/>
  <c r="R1906" i="27"/>
  <c r="P1906" i="27"/>
  <c r="N1906" i="27" s="1"/>
  <c r="M1906" i="27"/>
  <c r="J1906" i="27"/>
  <c r="G1906" i="27"/>
  <c r="E1906" i="27" s="1"/>
  <c r="U1905" i="27"/>
  <c r="V1905" i="27" s="1"/>
  <c r="W1905" i="27" s="1"/>
  <c r="R1905" i="27"/>
  <c r="P1905" i="27"/>
  <c r="M1905" i="27"/>
  <c r="J1905" i="27"/>
  <c r="H1905" i="27"/>
  <c r="G1905" i="27"/>
  <c r="R1904" i="27"/>
  <c r="H1904" i="27" s="1"/>
  <c r="P1904" i="27"/>
  <c r="M1904" i="27"/>
  <c r="J1904" i="27"/>
  <c r="G1904" i="27"/>
  <c r="R1903" i="27"/>
  <c r="P1903" i="27"/>
  <c r="M1903" i="27"/>
  <c r="J1903" i="27"/>
  <c r="G1903" i="27"/>
  <c r="U1902" i="27"/>
  <c r="V1902" i="27" s="1"/>
  <c r="W1902" i="27" s="1"/>
  <c r="R1902" i="27"/>
  <c r="P1902" i="27"/>
  <c r="N1902" i="27"/>
  <c r="M1902" i="27"/>
  <c r="J1902" i="27"/>
  <c r="G1902" i="27"/>
  <c r="E1902" i="27" s="1"/>
  <c r="R1901" i="27"/>
  <c r="P1901" i="27"/>
  <c r="M1901" i="27"/>
  <c r="J1901" i="27"/>
  <c r="G1901" i="27"/>
  <c r="U1900" i="27"/>
  <c r="V1900" i="27" s="1"/>
  <c r="W1900" i="27" s="1"/>
  <c r="R1900" i="27"/>
  <c r="P1900" i="27"/>
  <c r="N1900" i="27"/>
  <c r="M1900" i="27"/>
  <c r="J1900" i="27"/>
  <c r="H1900" i="27"/>
  <c r="G1900" i="27"/>
  <c r="E1900" i="27" s="1"/>
  <c r="U1899" i="27"/>
  <c r="V1899" i="27" s="1"/>
  <c r="W1899" i="27" s="1"/>
  <c r="R1899" i="27"/>
  <c r="P1899" i="27"/>
  <c r="N1899" i="27"/>
  <c r="M1899" i="27"/>
  <c r="K1899" i="27" s="1"/>
  <c r="J1899" i="27"/>
  <c r="H1899" i="27"/>
  <c r="G1899" i="27"/>
  <c r="E1899" i="27" s="1"/>
  <c r="R1898" i="27"/>
  <c r="K1898" i="27" s="1"/>
  <c r="P1898" i="27"/>
  <c r="N1898" i="27"/>
  <c r="M1898" i="27"/>
  <c r="J1898" i="27"/>
  <c r="H1898" i="27" s="1"/>
  <c r="G1898" i="27"/>
  <c r="E1898" i="27" s="1"/>
  <c r="U1897" i="27"/>
  <c r="V1897" i="27" s="1"/>
  <c r="W1897" i="27" s="1"/>
  <c r="R1897" i="27"/>
  <c r="P1897" i="27"/>
  <c r="M1897" i="27"/>
  <c r="K1897" i="27" s="1"/>
  <c r="J1897" i="27"/>
  <c r="G1897" i="27"/>
  <c r="R1896" i="27"/>
  <c r="P1896" i="27"/>
  <c r="M1896" i="27"/>
  <c r="J1896" i="27"/>
  <c r="G1896" i="27"/>
  <c r="R1895" i="27"/>
  <c r="H1895" i="27" s="1"/>
  <c r="P1895" i="27"/>
  <c r="M1895" i="27"/>
  <c r="J1895" i="27"/>
  <c r="G1895" i="27"/>
  <c r="U1894" i="27"/>
  <c r="V1894" i="27" s="1"/>
  <c r="W1894" i="27" s="1"/>
  <c r="R1894" i="27"/>
  <c r="P1894" i="27"/>
  <c r="N1894" i="27"/>
  <c r="M1894" i="27"/>
  <c r="J1894" i="27"/>
  <c r="G1894" i="27"/>
  <c r="E1894" i="27" s="1"/>
  <c r="R1893" i="27"/>
  <c r="P1893" i="27"/>
  <c r="M1893" i="27"/>
  <c r="J1893" i="27"/>
  <c r="G1893" i="27"/>
  <c r="U1892" i="27"/>
  <c r="V1892" i="27" s="1"/>
  <c r="W1892" i="27" s="1"/>
  <c r="R1892" i="27"/>
  <c r="P1892" i="27"/>
  <c r="N1892" i="27" s="1"/>
  <c r="M1892" i="27"/>
  <c r="J1892" i="27"/>
  <c r="H1892" i="27" s="1"/>
  <c r="G1892" i="27"/>
  <c r="R1891" i="27"/>
  <c r="U1891" i="27" s="1"/>
  <c r="V1891" i="27" s="1"/>
  <c r="W1891" i="27" s="1"/>
  <c r="P1891" i="27"/>
  <c r="N1891" i="27" s="1"/>
  <c r="M1891" i="27"/>
  <c r="J1891" i="27"/>
  <c r="G1891" i="27"/>
  <c r="R1890" i="27"/>
  <c r="P1890" i="27"/>
  <c r="M1890" i="27"/>
  <c r="J1890" i="27"/>
  <c r="G1890" i="27"/>
  <c r="R1889" i="27"/>
  <c r="U1889" i="27" s="1"/>
  <c r="V1889" i="27" s="1"/>
  <c r="W1889" i="27" s="1"/>
  <c r="P1889" i="27"/>
  <c r="N1889" i="27" s="1"/>
  <c r="M1889" i="27"/>
  <c r="K1889" i="27" s="1"/>
  <c r="J1889" i="27"/>
  <c r="H1889" i="27"/>
  <c r="G1889" i="27"/>
  <c r="R1888" i="27"/>
  <c r="P1888" i="27"/>
  <c r="M1888" i="27"/>
  <c r="J1888" i="27"/>
  <c r="G1888" i="27"/>
  <c r="R1887" i="27"/>
  <c r="P1887" i="27"/>
  <c r="N1887" i="27" s="1"/>
  <c r="M1887" i="27"/>
  <c r="J1887" i="27"/>
  <c r="G1887" i="27"/>
  <c r="U1886" i="27"/>
  <c r="V1886" i="27" s="1"/>
  <c r="W1886" i="27" s="1"/>
  <c r="R1886" i="27"/>
  <c r="P1886" i="27"/>
  <c r="M1886" i="27"/>
  <c r="J1886" i="27"/>
  <c r="H1886" i="27" s="1"/>
  <c r="G1886" i="27"/>
  <c r="E1886" i="27" s="1"/>
  <c r="R1885" i="27"/>
  <c r="U1885" i="27" s="1"/>
  <c r="V1885" i="27" s="1"/>
  <c r="W1885" i="27" s="1"/>
  <c r="P1885" i="27"/>
  <c r="N1885" i="27" s="1"/>
  <c r="M1885" i="27"/>
  <c r="K1885" i="27" s="1"/>
  <c r="J1885" i="27"/>
  <c r="G1885" i="27"/>
  <c r="E1885" i="27" s="1"/>
  <c r="R1884" i="27"/>
  <c r="U1884" i="27" s="1"/>
  <c r="V1884" i="27" s="1"/>
  <c r="W1884" i="27" s="1"/>
  <c r="P1884" i="27"/>
  <c r="M1884" i="27"/>
  <c r="J1884" i="27"/>
  <c r="G1884" i="27"/>
  <c r="E1884" i="27" s="1"/>
  <c r="R1883" i="27"/>
  <c r="U1883" i="27" s="1"/>
  <c r="V1883" i="27" s="1"/>
  <c r="W1883" i="27" s="1"/>
  <c r="P1883" i="27"/>
  <c r="M1883" i="27"/>
  <c r="K1883" i="27" s="1"/>
  <c r="J1883" i="27"/>
  <c r="H1883" i="27" s="1"/>
  <c r="G1883" i="27"/>
  <c r="R1882" i="27"/>
  <c r="P1882" i="27"/>
  <c r="M1882" i="27"/>
  <c r="J1882" i="27"/>
  <c r="H1882" i="27"/>
  <c r="G1882" i="27"/>
  <c r="E1882" i="27" s="1"/>
  <c r="R1881" i="27"/>
  <c r="U1881" i="27" s="1"/>
  <c r="V1881" i="27" s="1"/>
  <c r="W1881" i="27" s="1"/>
  <c r="P1881" i="27"/>
  <c r="M1881" i="27"/>
  <c r="J1881" i="27"/>
  <c r="G1881" i="27"/>
  <c r="E1881" i="27" s="1"/>
  <c r="R1880" i="27"/>
  <c r="P1880" i="27"/>
  <c r="M1880" i="27"/>
  <c r="J1880" i="27"/>
  <c r="G1880" i="27"/>
  <c r="R1879" i="27"/>
  <c r="U1879" i="27" s="1"/>
  <c r="V1879" i="27" s="1"/>
  <c r="W1879" i="27" s="1"/>
  <c r="P1879" i="27"/>
  <c r="N1879" i="27" s="1"/>
  <c r="M1879" i="27"/>
  <c r="J1879" i="27"/>
  <c r="H1879" i="27" s="1"/>
  <c r="G1879" i="27"/>
  <c r="E1879" i="27" s="1"/>
  <c r="R1878" i="27"/>
  <c r="P1878" i="27"/>
  <c r="M1878" i="27"/>
  <c r="J1878" i="27"/>
  <c r="G1878" i="27"/>
  <c r="U1877" i="27"/>
  <c r="V1877" i="27" s="1"/>
  <c r="W1877" i="27" s="1"/>
  <c r="R1877" i="27"/>
  <c r="P1877" i="27"/>
  <c r="M1877" i="27"/>
  <c r="J1877" i="27"/>
  <c r="H1877" i="27"/>
  <c r="G1877" i="27"/>
  <c r="R1876" i="27"/>
  <c r="P1876" i="27"/>
  <c r="M1876" i="27"/>
  <c r="J1876" i="27"/>
  <c r="G1876" i="27"/>
  <c r="R1875" i="27"/>
  <c r="U1875" i="27" s="1"/>
  <c r="V1875" i="27" s="1"/>
  <c r="W1875" i="27" s="1"/>
  <c r="P1875" i="27"/>
  <c r="N1875" i="27"/>
  <c r="M1875" i="27"/>
  <c r="J1875" i="27"/>
  <c r="H1875" i="27" s="1"/>
  <c r="G1875" i="27"/>
  <c r="R1873" i="27"/>
  <c r="P1873" i="27"/>
  <c r="M1873" i="27"/>
  <c r="J1873" i="27"/>
  <c r="G1873" i="27"/>
  <c r="E1873" i="27" s="1"/>
  <c r="U1872" i="27"/>
  <c r="V1872" i="27" s="1"/>
  <c r="W1872" i="27" s="1"/>
  <c r="R1872" i="27"/>
  <c r="H1872" i="27" s="1"/>
  <c r="P1872" i="27"/>
  <c r="M1872" i="27"/>
  <c r="J1872" i="27"/>
  <c r="G1872" i="27"/>
  <c r="R1871" i="27"/>
  <c r="P1871" i="27"/>
  <c r="M1871" i="27"/>
  <c r="J1871" i="27"/>
  <c r="G1871" i="27"/>
  <c r="R1870" i="27"/>
  <c r="P1870" i="27"/>
  <c r="M1870" i="27"/>
  <c r="J1870" i="27"/>
  <c r="G1870" i="27"/>
  <c r="R1869" i="27"/>
  <c r="P1869" i="27"/>
  <c r="M1869" i="27"/>
  <c r="J1869" i="27"/>
  <c r="G1869" i="27"/>
  <c r="R1868" i="27"/>
  <c r="U1868" i="27" s="1"/>
  <c r="V1868" i="27" s="1"/>
  <c r="W1868" i="27" s="1"/>
  <c r="P1868" i="27"/>
  <c r="N1868" i="27" s="1"/>
  <c r="M1868" i="27"/>
  <c r="J1868" i="27"/>
  <c r="G1868" i="27"/>
  <c r="R1867" i="27"/>
  <c r="P1867" i="27"/>
  <c r="M1867" i="27"/>
  <c r="J1867" i="27"/>
  <c r="G1867" i="27"/>
  <c r="R1866" i="27"/>
  <c r="P1866" i="27"/>
  <c r="M1866" i="27"/>
  <c r="K1866" i="27" s="1"/>
  <c r="J1866" i="27"/>
  <c r="G1866" i="27"/>
  <c r="E1866" i="27" s="1"/>
  <c r="R1865" i="27"/>
  <c r="P1865" i="27"/>
  <c r="M1865" i="27"/>
  <c r="J1865" i="27"/>
  <c r="G1865" i="27"/>
  <c r="U1864" i="27"/>
  <c r="V1864" i="27" s="1"/>
  <c r="W1864" i="27" s="1"/>
  <c r="R1864" i="27"/>
  <c r="P1864" i="27"/>
  <c r="N1864" i="27" s="1"/>
  <c r="M1864" i="27"/>
  <c r="K1864" i="27" s="1"/>
  <c r="J1864" i="27"/>
  <c r="H1864" i="27" s="1"/>
  <c r="G1864" i="27"/>
  <c r="E1864" i="27" s="1"/>
  <c r="R1863" i="27"/>
  <c r="U1863" i="27" s="1"/>
  <c r="V1863" i="27" s="1"/>
  <c r="W1863" i="27" s="1"/>
  <c r="P1863" i="27"/>
  <c r="M1863" i="27"/>
  <c r="J1863" i="27"/>
  <c r="G1863" i="27"/>
  <c r="R1862" i="27"/>
  <c r="U1862" i="27" s="1"/>
  <c r="V1862" i="27" s="1"/>
  <c r="W1862" i="27" s="1"/>
  <c r="P1862" i="27"/>
  <c r="N1862" i="27" s="1"/>
  <c r="M1862" i="27"/>
  <c r="J1862" i="27"/>
  <c r="H1862" i="27" s="1"/>
  <c r="G1862" i="27"/>
  <c r="R1861" i="27"/>
  <c r="P1861" i="27"/>
  <c r="M1861" i="27"/>
  <c r="J1861" i="27"/>
  <c r="G1861" i="27"/>
  <c r="R1860" i="27"/>
  <c r="P1860" i="27"/>
  <c r="M1860" i="27"/>
  <c r="J1860" i="27"/>
  <c r="G1860" i="27"/>
  <c r="U1859" i="27"/>
  <c r="V1859" i="27" s="1"/>
  <c r="W1859" i="27" s="1"/>
  <c r="R1859" i="27"/>
  <c r="P1859" i="27"/>
  <c r="M1859" i="27"/>
  <c r="J1859" i="27"/>
  <c r="H1859" i="27" s="1"/>
  <c r="G1859" i="27"/>
  <c r="E1859" i="27" s="1"/>
  <c r="R1858" i="27"/>
  <c r="P1858" i="27"/>
  <c r="M1858" i="27"/>
  <c r="J1858" i="27"/>
  <c r="G1858" i="27"/>
  <c r="U1857" i="27"/>
  <c r="V1857" i="27" s="1"/>
  <c r="W1857" i="27" s="1"/>
  <c r="R1857" i="27"/>
  <c r="P1857" i="27"/>
  <c r="M1857" i="27"/>
  <c r="J1857" i="27"/>
  <c r="G1857" i="27"/>
  <c r="E1857" i="27" s="1"/>
  <c r="R1856" i="27"/>
  <c r="P1856" i="27"/>
  <c r="M1856" i="27"/>
  <c r="J1856" i="27"/>
  <c r="G1856" i="27"/>
  <c r="U1855" i="27"/>
  <c r="V1855" i="27" s="1"/>
  <c r="W1855" i="27" s="1"/>
  <c r="R1855" i="27"/>
  <c r="P1855" i="27"/>
  <c r="M1855" i="27"/>
  <c r="J1855" i="27"/>
  <c r="G1855" i="27"/>
  <c r="R1854" i="27"/>
  <c r="U1854" i="27" s="1"/>
  <c r="V1854" i="27" s="1"/>
  <c r="W1854" i="27" s="1"/>
  <c r="P1854" i="27"/>
  <c r="M1854" i="27"/>
  <c r="J1854" i="27"/>
  <c r="G1854" i="27"/>
  <c r="U1853" i="27"/>
  <c r="V1853" i="27" s="1"/>
  <c r="W1853" i="27" s="1"/>
  <c r="R1853" i="27"/>
  <c r="P1853" i="27"/>
  <c r="M1853" i="27"/>
  <c r="J1853" i="27"/>
  <c r="H1853" i="27" s="1"/>
  <c r="G1853" i="27"/>
  <c r="E1853" i="27" s="1"/>
  <c r="R1852" i="27"/>
  <c r="U1852" i="27" s="1"/>
  <c r="V1852" i="27" s="1"/>
  <c r="W1852" i="27" s="1"/>
  <c r="P1852" i="27"/>
  <c r="N1852" i="27" s="1"/>
  <c r="M1852" i="27"/>
  <c r="J1852" i="27"/>
  <c r="H1852" i="27" s="1"/>
  <c r="G1852" i="27"/>
  <c r="E1852" i="27" s="1"/>
  <c r="R1851" i="27"/>
  <c r="H1851" i="27" s="1"/>
  <c r="P1851" i="27"/>
  <c r="M1851" i="27"/>
  <c r="J1851" i="27"/>
  <c r="G1851" i="27"/>
  <c r="R1850" i="27"/>
  <c r="P1850" i="27"/>
  <c r="M1850" i="27"/>
  <c r="K1850" i="27" s="1"/>
  <c r="J1850" i="27"/>
  <c r="G1850" i="27"/>
  <c r="R1849" i="27"/>
  <c r="P1849" i="27"/>
  <c r="M1849" i="27"/>
  <c r="J1849" i="27"/>
  <c r="G1849" i="27"/>
  <c r="R1848" i="27"/>
  <c r="U1848" i="27" s="1"/>
  <c r="V1848" i="27" s="1"/>
  <c r="W1848" i="27" s="1"/>
  <c r="P1848" i="27"/>
  <c r="N1848" i="27" s="1"/>
  <c r="M1848" i="27"/>
  <c r="K1848" i="27" s="1"/>
  <c r="J1848" i="27"/>
  <c r="H1848" i="27"/>
  <c r="G1848" i="27"/>
  <c r="E1848" i="27" s="1"/>
  <c r="R1847" i="27"/>
  <c r="P1847" i="27"/>
  <c r="M1847" i="27"/>
  <c r="J1847" i="27"/>
  <c r="G1847" i="27"/>
  <c r="R1846" i="27"/>
  <c r="U1846" i="27" s="1"/>
  <c r="V1846" i="27" s="1"/>
  <c r="W1846" i="27" s="1"/>
  <c r="P1846" i="27"/>
  <c r="M1846" i="27"/>
  <c r="J1846" i="27"/>
  <c r="H1846" i="27" s="1"/>
  <c r="G1846" i="27"/>
  <c r="R1845" i="27"/>
  <c r="P1845" i="27"/>
  <c r="M1845" i="27"/>
  <c r="J1845" i="27"/>
  <c r="G1845" i="27"/>
  <c r="E1845" i="27" s="1"/>
  <c r="U1844" i="27"/>
  <c r="V1844" i="27" s="1"/>
  <c r="W1844" i="27" s="1"/>
  <c r="R1844" i="27"/>
  <c r="P1844" i="27"/>
  <c r="N1844" i="27"/>
  <c r="M1844" i="27"/>
  <c r="K1844" i="27" s="1"/>
  <c r="J1844" i="27"/>
  <c r="G1844" i="27"/>
  <c r="E1844" i="27" s="1"/>
  <c r="R1843" i="27"/>
  <c r="P1843" i="27"/>
  <c r="M1843" i="27"/>
  <c r="J1843" i="27"/>
  <c r="G1843" i="27"/>
  <c r="R1842" i="27"/>
  <c r="U1842" i="27" s="1"/>
  <c r="V1842" i="27" s="1"/>
  <c r="W1842" i="27" s="1"/>
  <c r="P1842" i="27"/>
  <c r="M1842" i="27"/>
  <c r="J1842" i="27"/>
  <c r="G1842" i="27"/>
  <c r="R1841" i="27"/>
  <c r="P1841" i="27"/>
  <c r="M1841" i="27"/>
  <c r="J1841" i="27"/>
  <c r="G1841" i="27"/>
  <c r="R1840" i="27"/>
  <c r="P1840" i="27"/>
  <c r="M1840" i="27"/>
  <c r="J1840" i="27"/>
  <c r="G1840" i="27"/>
  <c r="R1839" i="27"/>
  <c r="P1839" i="27"/>
  <c r="M1839" i="27"/>
  <c r="J1839" i="27"/>
  <c r="H1839" i="27" s="1"/>
  <c r="G1839" i="27"/>
  <c r="E1839" i="27" s="1"/>
  <c r="R1838" i="27"/>
  <c r="U1838" i="27" s="1"/>
  <c r="V1838" i="27" s="1"/>
  <c r="W1838" i="27" s="1"/>
  <c r="P1838" i="27"/>
  <c r="M1838" i="27"/>
  <c r="K1838" i="27" s="1"/>
  <c r="J1838" i="27"/>
  <c r="H1838" i="27"/>
  <c r="G1838" i="27"/>
  <c r="R1837" i="27"/>
  <c r="P1837" i="27"/>
  <c r="M1837" i="27"/>
  <c r="J1837" i="27"/>
  <c r="G1837" i="27"/>
  <c r="R1836" i="27"/>
  <c r="P1836" i="27"/>
  <c r="N1836" i="27" s="1"/>
  <c r="M1836" i="27"/>
  <c r="J1836" i="27"/>
  <c r="G1836" i="27"/>
  <c r="U1835" i="27"/>
  <c r="V1835" i="27" s="1"/>
  <c r="W1835" i="27" s="1"/>
  <c r="R1835" i="27"/>
  <c r="P1835" i="27"/>
  <c r="M1835" i="27"/>
  <c r="J1835" i="27"/>
  <c r="G1835" i="27"/>
  <c r="E1835" i="27" s="1"/>
  <c r="R1834" i="27"/>
  <c r="P1834" i="27"/>
  <c r="N1834" i="27" s="1"/>
  <c r="M1834" i="27"/>
  <c r="K1834" i="27" s="1"/>
  <c r="J1834" i="27"/>
  <c r="G1834" i="27"/>
  <c r="R1833" i="27"/>
  <c r="P1833" i="27"/>
  <c r="M1833" i="27"/>
  <c r="J1833" i="27"/>
  <c r="G1833" i="27"/>
  <c r="R1832" i="27"/>
  <c r="U1832" i="27" s="1"/>
  <c r="V1832" i="27" s="1"/>
  <c r="W1832" i="27" s="1"/>
  <c r="P1832" i="27"/>
  <c r="M1832" i="27"/>
  <c r="J1832" i="27"/>
  <c r="G1832" i="27"/>
  <c r="R1831" i="27"/>
  <c r="P1831" i="27"/>
  <c r="M1831" i="27"/>
  <c r="J1831" i="27"/>
  <c r="G1831" i="27"/>
  <c r="U1830" i="27"/>
  <c r="V1830" i="27" s="1"/>
  <c r="W1830" i="27" s="1"/>
  <c r="R1830" i="27"/>
  <c r="P1830" i="27"/>
  <c r="N1830" i="27" s="1"/>
  <c r="M1830" i="27"/>
  <c r="J1830" i="27"/>
  <c r="G1830" i="27"/>
  <c r="R1829" i="27"/>
  <c r="N1829" i="27" s="1"/>
  <c r="P1829" i="27"/>
  <c r="M1829" i="27"/>
  <c r="J1829" i="27"/>
  <c r="G1829" i="27"/>
  <c r="R1828" i="27"/>
  <c r="U1828" i="27" s="1"/>
  <c r="V1828" i="27" s="1"/>
  <c r="W1828" i="27" s="1"/>
  <c r="P1828" i="27"/>
  <c r="N1828" i="27"/>
  <c r="M1828" i="27"/>
  <c r="J1828" i="27"/>
  <c r="H1828" i="27"/>
  <c r="G1828" i="27"/>
  <c r="E1828" i="27" s="1"/>
  <c r="R1827" i="27"/>
  <c r="U1827" i="27" s="1"/>
  <c r="V1827" i="27" s="1"/>
  <c r="W1827" i="27" s="1"/>
  <c r="P1827" i="27"/>
  <c r="M1827" i="27"/>
  <c r="J1827" i="27"/>
  <c r="G1827" i="27"/>
  <c r="E1827" i="27" s="1"/>
  <c r="R1826" i="27"/>
  <c r="U1826" i="27" s="1"/>
  <c r="V1826" i="27" s="1"/>
  <c r="W1826" i="27" s="1"/>
  <c r="P1826" i="27"/>
  <c r="N1826" i="27" s="1"/>
  <c r="M1826" i="27"/>
  <c r="J1826" i="27"/>
  <c r="G1826" i="27"/>
  <c r="R1825" i="27"/>
  <c r="P1825" i="27"/>
  <c r="M1825" i="27"/>
  <c r="J1825" i="27"/>
  <c r="G1825" i="27"/>
  <c r="E1825" i="27" s="1"/>
  <c r="R1824" i="27"/>
  <c r="U1824" i="27" s="1"/>
  <c r="V1824" i="27" s="1"/>
  <c r="W1824" i="27" s="1"/>
  <c r="P1824" i="27"/>
  <c r="N1824" i="27"/>
  <c r="M1824" i="27"/>
  <c r="J1824" i="27"/>
  <c r="H1824" i="27" s="1"/>
  <c r="G1824" i="27"/>
  <c r="E1824" i="27" s="1"/>
  <c r="R1823" i="27"/>
  <c r="P1823" i="27"/>
  <c r="M1823" i="27"/>
  <c r="J1823" i="27"/>
  <c r="G1823" i="27"/>
  <c r="R1822" i="27"/>
  <c r="H1822" i="27" s="1"/>
  <c r="P1822" i="27"/>
  <c r="M1822" i="27"/>
  <c r="J1822" i="27"/>
  <c r="G1822" i="27"/>
  <c r="R1821" i="27"/>
  <c r="P1821" i="27"/>
  <c r="M1821" i="27"/>
  <c r="J1821" i="27"/>
  <c r="H1821" i="27" s="1"/>
  <c r="G1821" i="27"/>
  <c r="R1820" i="27"/>
  <c r="U1820" i="27" s="1"/>
  <c r="V1820" i="27" s="1"/>
  <c r="W1820" i="27" s="1"/>
  <c r="P1820" i="27"/>
  <c r="M1820" i="27"/>
  <c r="K1820" i="27" s="1"/>
  <c r="J1820" i="27"/>
  <c r="H1820" i="27" s="1"/>
  <c r="G1820" i="27"/>
  <c r="R1819" i="27"/>
  <c r="P1819" i="27"/>
  <c r="M1819" i="27"/>
  <c r="J1819" i="27"/>
  <c r="G1819" i="27"/>
  <c r="R1818" i="27"/>
  <c r="U1818" i="27" s="1"/>
  <c r="V1818" i="27" s="1"/>
  <c r="W1818" i="27" s="1"/>
  <c r="P1818" i="27"/>
  <c r="N1818" i="27"/>
  <c r="M1818" i="27"/>
  <c r="K1818" i="27" s="1"/>
  <c r="J1818" i="27"/>
  <c r="H1818" i="27" s="1"/>
  <c r="G1818" i="27"/>
  <c r="R1817" i="27"/>
  <c r="U1817" i="27" s="1"/>
  <c r="V1817" i="27" s="1"/>
  <c r="W1817" i="27" s="1"/>
  <c r="P1817" i="27"/>
  <c r="M1817" i="27"/>
  <c r="J1817" i="27"/>
  <c r="H1817" i="27" s="1"/>
  <c r="G1817" i="27"/>
  <c r="E1817" i="27" s="1"/>
  <c r="R1816" i="27"/>
  <c r="P1816" i="27"/>
  <c r="M1816" i="27"/>
  <c r="J1816" i="27"/>
  <c r="G1816" i="27"/>
  <c r="R1815" i="27"/>
  <c r="P1815" i="27"/>
  <c r="M1815" i="27"/>
  <c r="J1815" i="27"/>
  <c r="G1815" i="27"/>
  <c r="R1814" i="27"/>
  <c r="U1814" i="27" s="1"/>
  <c r="V1814" i="27" s="1"/>
  <c r="W1814" i="27" s="1"/>
  <c r="P1814" i="27"/>
  <c r="N1814" i="27" s="1"/>
  <c r="M1814" i="27"/>
  <c r="J1814" i="27"/>
  <c r="H1814" i="27"/>
  <c r="G1814" i="27"/>
  <c r="E1814" i="27" s="1"/>
  <c r="R1813" i="27"/>
  <c r="P1813" i="27"/>
  <c r="M1813" i="27"/>
  <c r="J1813" i="27"/>
  <c r="G1813" i="27"/>
  <c r="R1812" i="27"/>
  <c r="U1812" i="27" s="1"/>
  <c r="V1812" i="27" s="1"/>
  <c r="W1812" i="27" s="1"/>
  <c r="P1812" i="27"/>
  <c r="N1812" i="27" s="1"/>
  <c r="M1812" i="27"/>
  <c r="J1812" i="27"/>
  <c r="G1812" i="27"/>
  <c r="U1811" i="27"/>
  <c r="V1811" i="27" s="1"/>
  <c r="W1811" i="27" s="1"/>
  <c r="R1811" i="27"/>
  <c r="P1811" i="27"/>
  <c r="M1811" i="27"/>
  <c r="J1811" i="27"/>
  <c r="G1811" i="27"/>
  <c r="E1811" i="27" s="1"/>
  <c r="R1810" i="27"/>
  <c r="P1810" i="27"/>
  <c r="N1810" i="27" s="1"/>
  <c r="M1810" i="27"/>
  <c r="J1810" i="27"/>
  <c r="G1810" i="27"/>
  <c r="E1810" i="27" s="1"/>
  <c r="R1809" i="27"/>
  <c r="N1809" i="27" s="1"/>
  <c r="P1809" i="27"/>
  <c r="M1809" i="27"/>
  <c r="J1809" i="27"/>
  <c r="G1809" i="27"/>
  <c r="R1808" i="27"/>
  <c r="P1808" i="27"/>
  <c r="N1808" i="27" s="1"/>
  <c r="M1808" i="27"/>
  <c r="J1808" i="27"/>
  <c r="G1808" i="27"/>
  <c r="R1807" i="27"/>
  <c r="P1807" i="27"/>
  <c r="M1807" i="27"/>
  <c r="J1807" i="27"/>
  <c r="H1807" i="27"/>
  <c r="G1807" i="27"/>
  <c r="R1806" i="27"/>
  <c r="P1806" i="27"/>
  <c r="M1806" i="27"/>
  <c r="J1806" i="27"/>
  <c r="G1806" i="27"/>
  <c r="R1805" i="27"/>
  <c r="P1805" i="27"/>
  <c r="M1805" i="27"/>
  <c r="J1805" i="27"/>
  <c r="G1805" i="27"/>
  <c r="R1804" i="27"/>
  <c r="U1804" i="27" s="1"/>
  <c r="V1804" i="27" s="1"/>
  <c r="W1804" i="27" s="1"/>
  <c r="P1804" i="27"/>
  <c r="N1804" i="27" s="1"/>
  <c r="M1804" i="27"/>
  <c r="J1804" i="27"/>
  <c r="H1804" i="27" s="1"/>
  <c r="G1804" i="27"/>
  <c r="E1804" i="27" s="1"/>
  <c r="R1803" i="27"/>
  <c r="P1803" i="27"/>
  <c r="M1803" i="27"/>
  <c r="J1803" i="27"/>
  <c r="H1803" i="27"/>
  <c r="G1803" i="27"/>
  <c r="R1802" i="27"/>
  <c r="U1802" i="27" s="1"/>
  <c r="V1802" i="27" s="1"/>
  <c r="W1802" i="27" s="1"/>
  <c r="P1802" i="27"/>
  <c r="M1802" i="27"/>
  <c r="J1802" i="27"/>
  <c r="G1802" i="27"/>
  <c r="R1801" i="27"/>
  <c r="P1801" i="27"/>
  <c r="M1801" i="27"/>
  <c r="J1801" i="27"/>
  <c r="G1801" i="27"/>
  <c r="U1800" i="27"/>
  <c r="V1800" i="27" s="1"/>
  <c r="W1800" i="27" s="1"/>
  <c r="R1800" i="27"/>
  <c r="P1800" i="27"/>
  <c r="N1800" i="27" s="1"/>
  <c r="M1800" i="27"/>
  <c r="K1800" i="27" s="1"/>
  <c r="J1800" i="27"/>
  <c r="H1800" i="27" s="1"/>
  <c r="G1800" i="27"/>
  <c r="E1800" i="27" s="1"/>
  <c r="R1799" i="27"/>
  <c r="P1799" i="27"/>
  <c r="M1799" i="27"/>
  <c r="J1799" i="27"/>
  <c r="G1799" i="27"/>
  <c r="R1798" i="27"/>
  <c r="P1798" i="27"/>
  <c r="M1798" i="27"/>
  <c r="J1798" i="27"/>
  <c r="G1798" i="27"/>
  <c r="R1796" i="27"/>
  <c r="P1796" i="27"/>
  <c r="M1796" i="27"/>
  <c r="J1796" i="27"/>
  <c r="G1796" i="27"/>
  <c r="R1795" i="27"/>
  <c r="P1795" i="27"/>
  <c r="M1795" i="27"/>
  <c r="J1795" i="27"/>
  <c r="G1795" i="27"/>
  <c r="R1794" i="27"/>
  <c r="P1794" i="27"/>
  <c r="M1794" i="27"/>
  <c r="J1794" i="27"/>
  <c r="G1794" i="27"/>
  <c r="U1793" i="27"/>
  <c r="V1793" i="27" s="1"/>
  <c r="W1793" i="27" s="1"/>
  <c r="R1793" i="27"/>
  <c r="P1793" i="27"/>
  <c r="N1793" i="27" s="1"/>
  <c r="M1793" i="27"/>
  <c r="K1793" i="27" s="1"/>
  <c r="J1793" i="27"/>
  <c r="H1793" i="27" s="1"/>
  <c r="G1793" i="27"/>
  <c r="E1793" i="27" s="1"/>
  <c r="R1792" i="27"/>
  <c r="U1792" i="27" s="1"/>
  <c r="V1792" i="27" s="1"/>
  <c r="W1792" i="27" s="1"/>
  <c r="P1792" i="27"/>
  <c r="M1792" i="27"/>
  <c r="J1792" i="27"/>
  <c r="H1792" i="27" s="1"/>
  <c r="G1792" i="27"/>
  <c r="E1792" i="27" s="1"/>
  <c r="U1791" i="27"/>
  <c r="V1791" i="27" s="1"/>
  <c r="W1791" i="27" s="1"/>
  <c r="R1791" i="27"/>
  <c r="P1791" i="27"/>
  <c r="N1791" i="27"/>
  <c r="M1791" i="27"/>
  <c r="J1791" i="27"/>
  <c r="H1791" i="27"/>
  <c r="G1791" i="27"/>
  <c r="E1791" i="27" s="1"/>
  <c r="R1790" i="27"/>
  <c r="P1790" i="27"/>
  <c r="M1790" i="27"/>
  <c r="J1790" i="27"/>
  <c r="G1790" i="27"/>
  <c r="R1789" i="27"/>
  <c r="P1789" i="27"/>
  <c r="M1789" i="27"/>
  <c r="J1789" i="27"/>
  <c r="G1789" i="27"/>
  <c r="R1788" i="27"/>
  <c r="P1788" i="27"/>
  <c r="M1788" i="27"/>
  <c r="J1788" i="27"/>
  <c r="G1788" i="27"/>
  <c r="R1787" i="27"/>
  <c r="P1787" i="27"/>
  <c r="M1787" i="27"/>
  <c r="J1787" i="27"/>
  <c r="G1787" i="27"/>
  <c r="R1786" i="27"/>
  <c r="P1786" i="27"/>
  <c r="M1786" i="27"/>
  <c r="J1786" i="27"/>
  <c r="H1786" i="27" s="1"/>
  <c r="G1786" i="27"/>
  <c r="R1785" i="27"/>
  <c r="U1785" i="27" s="1"/>
  <c r="V1785" i="27" s="1"/>
  <c r="W1785" i="27" s="1"/>
  <c r="P1785" i="27"/>
  <c r="N1785" i="27" s="1"/>
  <c r="M1785" i="27"/>
  <c r="J1785" i="27"/>
  <c r="H1785" i="27" s="1"/>
  <c r="G1785" i="27"/>
  <c r="R1784" i="27"/>
  <c r="P1784" i="27"/>
  <c r="M1784" i="27"/>
  <c r="J1784" i="27"/>
  <c r="G1784" i="27"/>
  <c r="U1783" i="27"/>
  <c r="V1783" i="27" s="1"/>
  <c r="W1783" i="27" s="1"/>
  <c r="R1783" i="27"/>
  <c r="P1783" i="27"/>
  <c r="N1783" i="27" s="1"/>
  <c r="M1783" i="27"/>
  <c r="K1783" i="27" s="1"/>
  <c r="J1783" i="27"/>
  <c r="H1783" i="27" s="1"/>
  <c r="G1783" i="27"/>
  <c r="E1783" i="27" s="1"/>
  <c r="R1782" i="27"/>
  <c r="U1782" i="27" s="1"/>
  <c r="V1782" i="27" s="1"/>
  <c r="W1782" i="27" s="1"/>
  <c r="P1782" i="27"/>
  <c r="M1782" i="27"/>
  <c r="J1782" i="27"/>
  <c r="G1782" i="27"/>
  <c r="R1781" i="27"/>
  <c r="P1781" i="27"/>
  <c r="N1781" i="27"/>
  <c r="M1781" i="27"/>
  <c r="J1781" i="27"/>
  <c r="G1781" i="27"/>
  <c r="E1781" i="27" s="1"/>
  <c r="R1780" i="27"/>
  <c r="P1780" i="27"/>
  <c r="M1780" i="27"/>
  <c r="J1780" i="27"/>
  <c r="G1780" i="27"/>
  <c r="R1779" i="27"/>
  <c r="P1779" i="27"/>
  <c r="M1779" i="27"/>
  <c r="J1779" i="27"/>
  <c r="H1779" i="27"/>
  <c r="G1779" i="27"/>
  <c r="R1778" i="27"/>
  <c r="P1778" i="27"/>
  <c r="M1778" i="27"/>
  <c r="J1778" i="27"/>
  <c r="G1778" i="27"/>
  <c r="R1777" i="27"/>
  <c r="H1777" i="27" s="1"/>
  <c r="P1777" i="27"/>
  <c r="M1777" i="27"/>
  <c r="J1777" i="27"/>
  <c r="G1777" i="27"/>
  <c r="R1776" i="27"/>
  <c r="P1776" i="27"/>
  <c r="M1776" i="27"/>
  <c r="J1776" i="27"/>
  <c r="G1776" i="27"/>
  <c r="R1775" i="27"/>
  <c r="U1775" i="27" s="1"/>
  <c r="V1775" i="27" s="1"/>
  <c r="W1775" i="27" s="1"/>
  <c r="P1775" i="27"/>
  <c r="N1775" i="27" s="1"/>
  <c r="M1775" i="27"/>
  <c r="J1775" i="27"/>
  <c r="G1775" i="27"/>
  <c r="E1775" i="27" s="1"/>
  <c r="R1774" i="27"/>
  <c r="P1774" i="27"/>
  <c r="M1774" i="27"/>
  <c r="J1774" i="27"/>
  <c r="G1774" i="27"/>
  <c r="R1773" i="27"/>
  <c r="U1773" i="27" s="1"/>
  <c r="V1773" i="27" s="1"/>
  <c r="W1773" i="27" s="1"/>
  <c r="P1773" i="27"/>
  <c r="M1773" i="27"/>
  <c r="J1773" i="27"/>
  <c r="G1773" i="27"/>
  <c r="U1772" i="27"/>
  <c r="V1772" i="27" s="1"/>
  <c r="W1772" i="27" s="1"/>
  <c r="R1772" i="27"/>
  <c r="P1772" i="27"/>
  <c r="M1772" i="27"/>
  <c r="J1772" i="27"/>
  <c r="G1772" i="27"/>
  <c r="E1772" i="27" s="1"/>
  <c r="R1771" i="27"/>
  <c r="P1771" i="27"/>
  <c r="M1771" i="27"/>
  <c r="J1771" i="27"/>
  <c r="G1771" i="27"/>
  <c r="R1770" i="27"/>
  <c r="H1770" i="27" s="1"/>
  <c r="P1770" i="27"/>
  <c r="M1770" i="27"/>
  <c r="J1770" i="27"/>
  <c r="G1770" i="27"/>
  <c r="R1769" i="27"/>
  <c r="P1769" i="27"/>
  <c r="M1769" i="27"/>
  <c r="J1769" i="27"/>
  <c r="G1769" i="27"/>
  <c r="R1768" i="27"/>
  <c r="U1768" i="27" s="1"/>
  <c r="V1768" i="27" s="1"/>
  <c r="W1768" i="27" s="1"/>
  <c r="P1768" i="27"/>
  <c r="M1768" i="27"/>
  <c r="J1768" i="27"/>
  <c r="G1768" i="27"/>
  <c r="R1767" i="27"/>
  <c r="U1767" i="27" s="1"/>
  <c r="V1767" i="27" s="1"/>
  <c r="W1767" i="27" s="1"/>
  <c r="P1767" i="27"/>
  <c r="N1767" i="27"/>
  <c r="M1767" i="27"/>
  <c r="J1767" i="27"/>
  <c r="G1767" i="27"/>
  <c r="E1767" i="27" s="1"/>
  <c r="R1766" i="27"/>
  <c r="P1766" i="27"/>
  <c r="M1766" i="27"/>
  <c r="J1766" i="27"/>
  <c r="G1766" i="27"/>
  <c r="R1765" i="27"/>
  <c r="P1765" i="27"/>
  <c r="M1765" i="27"/>
  <c r="J1765" i="27"/>
  <c r="G1765" i="27"/>
  <c r="R1764" i="27"/>
  <c r="P1764" i="27"/>
  <c r="M1764" i="27"/>
  <c r="J1764" i="27"/>
  <c r="G1764" i="27"/>
  <c r="R1763" i="27"/>
  <c r="P1763" i="27"/>
  <c r="M1763" i="27"/>
  <c r="J1763" i="27"/>
  <c r="G1763" i="27"/>
  <c r="R1762" i="27"/>
  <c r="P1762" i="27"/>
  <c r="M1762" i="27"/>
  <c r="J1762" i="27"/>
  <c r="G1762" i="27"/>
  <c r="R1761" i="27"/>
  <c r="U1761" i="27" s="1"/>
  <c r="V1761" i="27" s="1"/>
  <c r="W1761" i="27" s="1"/>
  <c r="P1761" i="27"/>
  <c r="M1761" i="27"/>
  <c r="J1761" i="27"/>
  <c r="G1761" i="27"/>
  <c r="R1760" i="27"/>
  <c r="U1760" i="27" s="1"/>
  <c r="V1760" i="27" s="1"/>
  <c r="W1760" i="27" s="1"/>
  <c r="P1760" i="27"/>
  <c r="M1760" i="27"/>
  <c r="J1760" i="27"/>
  <c r="G1760" i="27"/>
  <c r="U1759" i="27"/>
  <c r="V1759" i="27" s="1"/>
  <c r="W1759" i="27" s="1"/>
  <c r="R1759" i="27"/>
  <c r="P1759" i="27"/>
  <c r="N1759" i="27" s="1"/>
  <c r="M1759" i="27"/>
  <c r="J1759" i="27"/>
  <c r="G1759" i="27"/>
  <c r="R1758" i="27"/>
  <c r="U1758" i="27" s="1"/>
  <c r="V1758" i="27" s="1"/>
  <c r="W1758" i="27" s="1"/>
  <c r="P1758" i="27"/>
  <c r="M1758" i="27"/>
  <c r="J1758" i="27"/>
  <c r="G1758" i="27"/>
  <c r="R1757" i="27"/>
  <c r="P1757" i="27"/>
  <c r="M1757" i="27"/>
  <c r="J1757" i="27"/>
  <c r="G1757" i="27"/>
  <c r="R1756" i="27"/>
  <c r="P1756" i="27"/>
  <c r="M1756" i="27"/>
  <c r="J1756" i="27"/>
  <c r="G1756" i="27"/>
  <c r="R1755" i="27"/>
  <c r="P1755" i="27"/>
  <c r="M1755" i="27"/>
  <c r="J1755" i="27"/>
  <c r="G1755" i="27"/>
  <c r="R1753" i="27"/>
  <c r="P1753" i="27"/>
  <c r="M1753" i="27"/>
  <c r="J1753" i="27"/>
  <c r="H1753" i="27" s="1"/>
  <c r="G1753" i="27"/>
  <c r="R1752" i="27"/>
  <c r="P1752" i="27"/>
  <c r="M1752" i="27"/>
  <c r="J1752" i="27"/>
  <c r="G1752" i="27"/>
  <c r="R1751" i="27"/>
  <c r="P1751" i="27"/>
  <c r="N1751" i="27" s="1"/>
  <c r="M1751" i="27"/>
  <c r="J1751" i="27"/>
  <c r="G1751" i="27"/>
  <c r="R1750" i="27"/>
  <c r="P1750" i="27"/>
  <c r="M1750" i="27"/>
  <c r="J1750" i="27"/>
  <c r="G1750" i="27"/>
  <c r="R1749" i="27"/>
  <c r="P1749" i="27"/>
  <c r="M1749" i="27"/>
  <c r="J1749" i="27"/>
  <c r="G1749" i="27"/>
  <c r="R1748" i="27"/>
  <c r="P1748" i="27"/>
  <c r="M1748" i="27"/>
  <c r="J1748" i="27"/>
  <c r="G1748" i="27"/>
  <c r="R1747" i="27"/>
  <c r="U1747" i="27" s="1"/>
  <c r="V1747" i="27" s="1"/>
  <c r="W1747" i="27" s="1"/>
  <c r="P1747" i="27"/>
  <c r="M1747" i="27"/>
  <c r="J1747" i="27"/>
  <c r="G1747" i="27"/>
  <c r="R1746" i="27"/>
  <c r="P1746" i="27"/>
  <c r="M1746" i="27"/>
  <c r="J1746" i="27"/>
  <c r="G1746" i="27"/>
  <c r="R1745" i="27"/>
  <c r="E1745" i="27" s="1"/>
  <c r="P1745" i="27"/>
  <c r="N1745" i="27" s="1"/>
  <c r="M1745" i="27"/>
  <c r="J1745" i="27"/>
  <c r="G1745" i="27"/>
  <c r="R1744" i="27"/>
  <c r="P1744" i="27"/>
  <c r="N1744" i="27"/>
  <c r="M1744" i="27"/>
  <c r="J1744" i="27"/>
  <c r="G1744" i="27"/>
  <c r="R1743" i="27"/>
  <c r="P1743" i="27"/>
  <c r="N1743" i="27"/>
  <c r="M1743" i="27"/>
  <c r="J1743" i="27"/>
  <c r="G1743" i="27"/>
  <c r="R1742" i="27"/>
  <c r="P1742" i="27"/>
  <c r="M1742" i="27"/>
  <c r="J1742" i="27"/>
  <c r="H1742" i="27" s="1"/>
  <c r="G1742" i="27"/>
  <c r="R1741" i="27"/>
  <c r="P1741" i="27"/>
  <c r="M1741" i="27"/>
  <c r="J1741" i="27"/>
  <c r="G1741" i="27"/>
  <c r="R1740" i="27"/>
  <c r="P1740" i="27"/>
  <c r="M1740" i="27"/>
  <c r="J1740" i="27"/>
  <c r="G1740" i="27"/>
  <c r="R1739" i="27"/>
  <c r="K1739" i="27" s="1"/>
  <c r="P1739" i="27"/>
  <c r="M1739" i="27"/>
  <c r="J1739" i="27"/>
  <c r="G1739" i="27"/>
  <c r="R1738" i="27"/>
  <c r="P1738" i="27"/>
  <c r="N1738" i="27" s="1"/>
  <c r="M1738" i="27"/>
  <c r="J1738" i="27"/>
  <c r="G1738" i="27"/>
  <c r="R1737" i="27"/>
  <c r="P1737" i="27"/>
  <c r="M1737" i="27"/>
  <c r="J1737" i="27"/>
  <c r="G1737" i="27"/>
  <c r="R1736" i="27"/>
  <c r="P1736" i="27"/>
  <c r="M1736" i="27"/>
  <c r="J1736" i="27"/>
  <c r="G1736" i="27"/>
  <c r="E1736" i="27" s="1"/>
  <c r="R1735" i="27"/>
  <c r="U1735" i="27" s="1"/>
  <c r="V1735" i="27" s="1"/>
  <c r="W1735" i="27" s="1"/>
  <c r="P1735" i="27"/>
  <c r="N1735" i="27" s="1"/>
  <c r="M1735" i="27"/>
  <c r="J1735" i="27"/>
  <c r="G1735" i="27"/>
  <c r="R1734" i="27"/>
  <c r="P1734" i="27"/>
  <c r="M1734" i="27"/>
  <c r="J1734" i="27"/>
  <c r="G1734" i="27"/>
  <c r="E1734" i="27"/>
  <c r="R1733" i="27"/>
  <c r="K1733" i="27" s="1"/>
  <c r="P1733" i="27"/>
  <c r="M1733" i="27"/>
  <c r="J1733" i="27"/>
  <c r="G1733" i="27"/>
  <c r="R1732" i="27"/>
  <c r="P1732" i="27"/>
  <c r="M1732" i="27"/>
  <c r="J1732" i="27"/>
  <c r="G1732" i="27"/>
  <c r="R1731" i="27"/>
  <c r="P1731" i="27"/>
  <c r="M1731" i="27"/>
  <c r="J1731" i="27"/>
  <c r="G1731" i="27"/>
  <c r="E1731" i="27" s="1"/>
  <c r="R1730" i="27"/>
  <c r="P1730" i="27"/>
  <c r="M1730" i="27"/>
  <c r="J1730" i="27"/>
  <c r="G1730" i="27"/>
  <c r="R1729" i="27"/>
  <c r="P1729" i="27"/>
  <c r="M1729" i="27"/>
  <c r="J1729" i="27"/>
  <c r="G1729" i="27"/>
  <c r="R1728" i="27"/>
  <c r="P1728" i="27"/>
  <c r="M1728" i="27"/>
  <c r="J1728" i="27"/>
  <c r="G1728" i="27"/>
  <c r="R1727" i="27"/>
  <c r="U1727" i="27" s="1"/>
  <c r="V1727" i="27" s="1"/>
  <c r="W1727" i="27" s="1"/>
  <c r="P1727" i="27"/>
  <c r="M1727" i="27"/>
  <c r="J1727" i="27"/>
  <c r="H1727" i="27"/>
  <c r="G1727" i="27"/>
  <c r="R1726" i="27"/>
  <c r="P1726" i="27"/>
  <c r="M1726" i="27"/>
  <c r="J1726" i="27"/>
  <c r="G1726" i="27"/>
  <c r="R1725" i="27"/>
  <c r="P1725" i="27"/>
  <c r="M1725" i="27"/>
  <c r="K1725" i="27" s="1"/>
  <c r="J1725" i="27"/>
  <c r="G1725" i="27"/>
  <c r="R1724" i="27"/>
  <c r="P1724" i="27"/>
  <c r="M1724" i="27"/>
  <c r="J1724" i="27"/>
  <c r="G1724" i="27"/>
  <c r="R1723" i="27"/>
  <c r="E1723" i="27" s="1"/>
  <c r="P1723" i="27"/>
  <c r="M1723" i="27"/>
  <c r="J1723" i="27"/>
  <c r="G1723" i="27"/>
  <c r="R1722" i="27"/>
  <c r="P1722" i="27"/>
  <c r="M1722" i="27"/>
  <c r="J1722" i="27"/>
  <c r="H1722" i="27" s="1"/>
  <c r="G1722" i="27"/>
  <c r="R1721" i="27"/>
  <c r="U1721" i="27" s="1"/>
  <c r="V1721" i="27" s="1"/>
  <c r="W1721" i="27" s="1"/>
  <c r="P1721" i="27"/>
  <c r="N1721" i="27"/>
  <c r="M1721" i="27"/>
  <c r="K1721" i="27" s="1"/>
  <c r="J1721" i="27"/>
  <c r="G1721" i="27"/>
  <c r="E1721" i="27" s="1"/>
  <c r="R1720" i="27"/>
  <c r="U1720" i="27" s="1"/>
  <c r="V1720" i="27" s="1"/>
  <c r="W1720" i="27" s="1"/>
  <c r="P1720" i="27"/>
  <c r="M1720" i="27"/>
  <c r="J1720" i="27"/>
  <c r="G1720" i="27"/>
  <c r="R1719" i="27"/>
  <c r="U1719" i="27" s="1"/>
  <c r="V1719" i="27" s="1"/>
  <c r="W1719" i="27" s="1"/>
  <c r="P1719" i="27"/>
  <c r="M1719" i="27"/>
  <c r="J1719" i="27"/>
  <c r="G1719" i="27"/>
  <c r="R1718" i="27"/>
  <c r="P1718" i="27"/>
  <c r="N1718" i="27"/>
  <c r="M1718" i="27"/>
  <c r="K1718" i="27"/>
  <c r="J1718" i="27"/>
  <c r="G1718" i="27"/>
  <c r="R1717" i="27"/>
  <c r="U1717" i="27" s="1"/>
  <c r="V1717" i="27" s="1"/>
  <c r="W1717" i="27" s="1"/>
  <c r="P1717" i="27"/>
  <c r="M1717" i="27"/>
  <c r="J1717" i="27"/>
  <c r="G1717" i="27"/>
  <c r="E1717" i="27" s="1"/>
  <c r="R1716" i="27"/>
  <c r="K1716" i="27" s="1"/>
  <c r="P1716" i="27"/>
  <c r="M1716" i="27"/>
  <c r="J1716" i="27"/>
  <c r="G1716" i="27"/>
  <c r="R1714" i="27"/>
  <c r="P1714" i="27"/>
  <c r="M1714" i="27"/>
  <c r="J1714" i="27"/>
  <c r="G1714" i="27"/>
  <c r="R1713" i="27"/>
  <c r="P1713" i="27"/>
  <c r="M1713" i="27"/>
  <c r="J1713" i="27"/>
  <c r="G1713" i="27"/>
  <c r="R1712" i="27"/>
  <c r="P1712" i="27"/>
  <c r="M1712" i="27"/>
  <c r="J1712" i="27"/>
  <c r="G1712" i="27"/>
  <c r="U1711" i="27"/>
  <c r="V1711" i="27" s="1"/>
  <c r="W1711" i="27" s="1"/>
  <c r="R1711" i="27"/>
  <c r="H1711" i="27" s="1"/>
  <c r="P1711" i="27"/>
  <c r="N1711" i="27" s="1"/>
  <c r="M1711" i="27"/>
  <c r="J1711" i="27"/>
  <c r="G1711" i="27"/>
  <c r="R1710" i="27"/>
  <c r="U1710" i="27" s="1"/>
  <c r="V1710" i="27" s="1"/>
  <c r="W1710" i="27" s="1"/>
  <c r="P1710" i="27"/>
  <c r="M1710" i="27"/>
  <c r="J1710" i="27"/>
  <c r="G1710" i="27"/>
  <c r="R1709" i="27"/>
  <c r="P1709" i="27"/>
  <c r="M1709" i="27"/>
  <c r="J1709" i="27"/>
  <c r="G1709" i="27"/>
  <c r="U1708" i="27"/>
  <c r="V1708" i="27" s="1"/>
  <c r="W1708" i="27" s="1"/>
  <c r="R1708" i="27"/>
  <c r="P1708" i="27"/>
  <c r="M1708" i="27"/>
  <c r="J1708" i="27"/>
  <c r="G1708" i="27"/>
  <c r="R1707" i="27"/>
  <c r="P1707" i="27"/>
  <c r="M1707" i="27"/>
  <c r="J1707" i="27"/>
  <c r="G1707" i="27"/>
  <c r="R1706" i="27"/>
  <c r="P1706" i="27"/>
  <c r="M1706" i="27"/>
  <c r="J1706" i="27"/>
  <c r="G1706" i="27"/>
  <c r="R1705" i="27"/>
  <c r="P1705" i="27"/>
  <c r="M1705" i="27"/>
  <c r="J1705" i="27"/>
  <c r="G1705" i="27"/>
  <c r="E1705" i="27" s="1"/>
  <c r="R1704" i="27"/>
  <c r="U1704" i="27" s="1"/>
  <c r="V1704" i="27" s="1"/>
  <c r="W1704" i="27" s="1"/>
  <c r="P1704" i="27"/>
  <c r="N1704" i="27" s="1"/>
  <c r="M1704" i="27"/>
  <c r="K1704" i="27" s="1"/>
  <c r="J1704" i="27"/>
  <c r="H1704" i="27" s="1"/>
  <c r="G1704" i="27"/>
  <c r="E1704" i="27" s="1"/>
  <c r="R1703" i="27"/>
  <c r="U1703" i="27" s="1"/>
  <c r="V1703" i="27" s="1"/>
  <c r="W1703" i="27" s="1"/>
  <c r="P1703" i="27"/>
  <c r="M1703" i="27"/>
  <c r="J1703" i="27"/>
  <c r="H1703" i="27" s="1"/>
  <c r="G1703" i="27"/>
  <c r="R1702" i="27"/>
  <c r="U1702" i="27" s="1"/>
  <c r="V1702" i="27" s="1"/>
  <c r="W1702" i="27" s="1"/>
  <c r="P1702" i="27"/>
  <c r="N1702" i="27"/>
  <c r="M1702" i="27"/>
  <c r="J1702" i="27"/>
  <c r="H1702" i="27" s="1"/>
  <c r="G1702" i="27"/>
  <c r="R1701" i="27"/>
  <c r="P1701" i="27"/>
  <c r="M1701" i="27"/>
  <c r="J1701" i="27"/>
  <c r="G1701" i="27"/>
  <c r="R1700" i="27"/>
  <c r="P1700" i="27"/>
  <c r="M1700" i="27"/>
  <c r="J1700" i="27"/>
  <c r="G1700" i="27"/>
  <c r="E1700" i="27" s="1"/>
  <c r="R1699" i="27"/>
  <c r="P1699" i="27"/>
  <c r="M1699" i="27"/>
  <c r="J1699" i="27"/>
  <c r="G1699" i="27"/>
  <c r="R1698" i="27"/>
  <c r="P1698" i="27"/>
  <c r="M1698" i="27"/>
  <c r="J1698" i="27"/>
  <c r="G1698" i="27"/>
  <c r="R1697" i="27"/>
  <c r="P1697" i="27"/>
  <c r="M1697" i="27"/>
  <c r="J1697" i="27"/>
  <c r="G1697" i="27"/>
  <c r="R1696" i="27"/>
  <c r="P1696" i="27"/>
  <c r="M1696" i="27"/>
  <c r="J1696" i="27"/>
  <c r="G1696" i="27"/>
  <c r="R1695" i="27"/>
  <c r="U1695" i="27" s="1"/>
  <c r="V1695" i="27" s="1"/>
  <c r="W1695" i="27" s="1"/>
  <c r="P1695" i="27"/>
  <c r="N1695" i="27" s="1"/>
  <c r="M1695" i="27"/>
  <c r="J1695" i="27"/>
  <c r="H1695" i="27"/>
  <c r="G1695" i="27"/>
  <c r="U1694" i="27"/>
  <c r="V1694" i="27" s="1"/>
  <c r="W1694" i="27" s="1"/>
  <c r="R1694" i="27"/>
  <c r="P1694" i="27"/>
  <c r="M1694" i="27"/>
  <c r="J1694" i="27"/>
  <c r="G1694" i="27"/>
  <c r="R1693" i="27"/>
  <c r="P1693" i="27"/>
  <c r="M1693" i="27"/>
  <c r="J1693" i="27"/>
  <c r="G1693" i="27"/>
  <c r="R1692" i="27"/>
  <c r="P1692" i="27"/>
  <c r="M1692" i="27"/>
  <c r="J1692" i="27"/>
  <c r="G1692" i="27"/>
  <c r="R1691" i="27"/>
  <c r="P1691" i="27"/>
  <c r="M1691" i="27"/>
  <c r="J1691" i="27"/>
  <c r="G1691" i="27"/>
  <c r="R1690" i="27"/>
  <c r="P1690" i="27"/>
  <c r="M1690" i="27"/>
  <c r="J1690" i="27"/>
  <c r="G1690" i="27"/>
  <c r="R1689" i="27"/>
  <c r="P1689" i="27"/>
  <c r="M1689" i="27"/>
  <c r="J1689" i="27"/>
  <c r="G1689" i="27"/>
  <c r="R1688" i="27"/>
  <c r="N1688" i="27" s="1"/>
  <c r="P1688" i="27"/>
  <c r="M1688" i="27"/>
  <c r="J1688" i="27"/>
  <c r="G1688" i="27"/>
  <c r="R1687" i="27"/>
  <c r="P1687" i="27"/>
  <c r="M1687" i="27"/>
  <c r="J1687" i="27"/>
  <c r="G1687" i="27"/>
  <c r="R1686" i="27"/>
  <c r="P1686" i="27"/>
  <c r="M1686" i="27"/>
  <c r="J1686" i="27"/>
  <c r="G1686" i="27"/>
  <c r="R1685" i="27"/>
  <c r="P1685" i="27"/>
  <c r="M1685" i="27"/>
  <c r="J1685" i="27"/>
  <c r="G1685" i="27"/>
  <c r="R1684" i="27"/>
  <c r="P1684" i="27"/>
  <c r="M1684" i="27"/>
  <c r="J1684" i="27"/>
  <c r="G1684" i="27"/>
  <c r="R1683" i="27"/>
  <c r="P1683" i="27"/>
  <c r="N1683" i="27" s="1"/>
  <c r="M1683" i="27"/>
  <c r="K1683" i="27" s="1"/>
  <c r="J1683" i="27"/>
  <c r="G1683" i="27"/>
  <c r="E1683" i="27"/>
  <c r="R1682" i="27"/>
  <c r="P1682" i="27"/>
  <c r="M1682" i="27"/>
  <c r="J1682" i="27"/>
  <c r="G1682" i="27"/>
  <c r="R1681" i="27"/>
  <c r="P1681" i="27"/>
  <c r="M1681" i="27"/>
  <c r="J1681" i="27"/>
  <c r="H1681" i="27" s="1"/>
  <c r="G1681" i="27"/>
  <c r="R1680" i="27"/>
  <c r="P1680" i="27"/>
  <c r="M1680" i="27"/>
  <c r="J1680" i="27"/>
  <c r="G1680" i="27"/>
  <c r="U1678" i="27"/>
  <c r="V1678" i="27" s="1"/>
  <c r="W1678" i="27" s="1"/>
  <c r="R1678" i="27"/>
  <c r="P1678" i="27"/>
  <c r="N1678" i="27"/>
  <c r="M1678" i="27"/>
  <c r="K1678" i="27" s="1"/>
  <c r="J1678" i="27"/>
  <c r="H1678" i="27" s="1"/>
  <c r="G1678" i="27"/>
  <c r="E1678" i="27" s="1"/>
  <c r="R1677" i="27"/>
  <c r="U1677" i="27" s="1"/>
  <c r="V1677" i="27" s="1"/>
  <c r="W1677" i="27" s="1"/>
  <c r="P1677" i="27"/>
  <c r="N1677" i="27"/>
  <c r="M1677" i="27"/>
  <c r="J1677" i="27"/>
  <c r="H1677" i="27" s="1"/>
  <c r="G1677" i="27"/>
  <c r="R1676" i="27"/>
  <c r="P1676" i="27"/>
  <c r="M1676" i="27"/>
  <c r="J1676" i="27"/>
  <c r="G1676" i="27"/>
  <c r="R1675" i="27"/>
  <c r="P1675" i="27"/>
  <c r="M1675" i="27"/>
  <c r="J1675" i="27"/>
  <c r="G1675" i="27"/>
  <c r="R1674" i="27"/>
  <c r="P1674" i="27"/>
  <c r="M1674" i="27"/>
  <c r="J1674" i="27"/>
  <c r="G1674" i="27"/>
  <c r="R1673" i="27"/>
  <c r="P1673" i="27"/>
  <c r="M1673" i="27"/>
  <c r="J1673" i="27"/>
  <c r="G1673" i="27"/>
  <c r="R1672" i="27"/>
  <c r="H1672" i="27" s="1"/>
  <c r="P1672" i="27"/>
  <c r="M1672" i="27"/>
  <c r="J1672" i="27"/>
  <c r="G1672" i="27"/>
  <c r="R1671" i="27"/>
  <c r="P1671" i="27"/>
  <c r="N1671" i="27"/>
  <c r="M1671" i="27"/>
  <c r="J1671" i="27"/>
  <c r="G1671" i="27"/>
  <c r="E1671" i="27" s="1"/>
  <c r="R1670" i="27"/>
  <c r="P1670" i="27"/>
  <c r="N1670" i="27" s="1"/>
  <c r="M1670" i="27"/>
  <c r="J1670" i="27"/>
  <c r="G1670" i="27"/>
  <c r="R1669" i="27"/>
  <c r="U1669" i="27" s="1"/>
  <c r="V1669" i="27" s="1"/>
  <c r="W1669" i="27" s="1"/>
  <c r="P1669" i="27"/>
  <c r="N1669" i="27" s="1"/>
  <c r="M1669" i="27"/>
  <c r="J1669" i="27"/>
  <c r="G1669" i="27"/>
  <c r="R1668" i="27"/>
  <c r="P1668" i="27"/>
  <c r="N1668" i="27"/>
  <c r="M1668" i="27"/>
  <c r="J1668" i="27"/>
  <c r="G1668" i="27"/>
  <c r="R1667" i="27"/>
  <c r="E1667" i="27" s="1"/>
  <c r="P1667" i="27"/>
  <c r="M1667" i="27"/>
  <c r="J1667" i="27"/>
  <c r="G1667" i="27"/>
  <c r="R1666" i="27"/>
  <c r="P1666" i="27"/>
  <c r="M1666" i="27"/>
  <c r="J1666" i="27"/>
  <c r="G1666" i="27"/>
  <c r="R1665" i="27"/>
  <c r="K1665" i="27" s="1"/>
  <c r="P1665" i="27"/>
  <c r="M1665" i="27"/>
  <c r="J1665" i="27"/>
  <c r="G1665" i="27"/>
  <c r="R1664" i="27"/>
  <c r="P1664" i="27"/>
  <c r="M1664" i="27"/>
  <c r="J1664" i="27"/>
  <c r="G1664" i="27"/>
  <c r="R1663" i="27"/>
  <c r="P1663" i="27"/>
  <c r="M1663" i="27"/>
  <c r="J1663" i="27"/>
  <c r="G1663" i="27"/>
  <c r="R1661" i="27"/>
  <c r="P1661" i="27"/>
  <c r="N1661" i="27" s="1"/>
  <c r="M1661" i="27"/>
  <c r="K1661" i="27" s="1"/>
  <c r="J1661" i="27"/>
  <c r="G1661" i="27"/>
  <c r="E1661" i="27" s="1"/>
  <c r="U1660" i="27"/>
  <c r="V1660" i="27" s="1"/>
  <c r="W1660" i="27" s="1"/>
  <c r="R1660" i="27"/>
  <c r="N1660" i="27" s="1"/>
  <c r="P1660" i="27"/>
  <c r="M1660" i="27"/>
  <c r="J1660" i="27"/>
  <c r="G1660" i="27"/>
  <c r="R1659" i="27"/>
  <c r="P1659" i="27"/>
  <c r="M1659" i="27"/>
  <c r="J1659" i="27"/>
  <c r="G1659" i="27"/>
  <c r="R1658" i="27"/>
  <c r="P1658" i="27"/>
  <c r="N1658" i="27" s="1"/>
  <c r="M1658" i="27"/>
  <c r="J1658" i="27"/>
  <c r="G1658" i="27"/>
  <c r="R1657" i="27"/>
  <c r="P1657" i="27"/>
  <c r="M1657" i="27"/>
  <c r="J1657" i="27"/>
  <c r="G1657" i="27"/>
  <c r="R1656" i="27"/>
  <c r="E1656" i="27" s="1"/>
  <c r="P1656" i="27"/>
  <c r="M1656" i="27"/>
  <c r="J1656" i="27"/>
  <c r="G1656" i="27"/>
  <c r="R1654" i="27"/>
  <c r="P1654" i="27"/>
  <c r="M1654" i="27"/>
  <c r="J1654" i="27"/>
  <c r="H1654" i="27" s="1"/>
  <c r="G1654" i="27"/>
  <c r="E1654" i="27"/>
  <c r="R1653" i="27"/>
  <c r="U1653" i="27" s="1"/>
  <c r="V1653" i="27" s="1"/>
  <c r="W1653" i="27" s="1"/>
  <c r="P1653" i="27"/>
  <c r="N1653" i="27"/>
  <c r="M1653" i="27"/>
  <c r="K1653" i="27" s="1"/>
  <c r="J1653" i="27"/>
  <c r="G1653" i="27"/>
  <c r="E1653" i="27" s="1"/>
  <c r="R1652" i="27"/>
  <c r="P1652" i="27"/>
  <c r="M1652" i="27"/>
  <c r="J1652" i="27"/>
  <c r="G1652" i="27"/>
  <c r="R1651" i="27"/>
  <c r="U1651" i="27" s="1"/>
  <c r="V1651" i="27" s="1"/>
  <c r="W1651" i="27" s="1"/>
  <c r="P1651" i="27"/>
  <c r="N1651" i="27" s="1"/>
  <c r="M1651" i="27"/>
  <c r="J1651" i="27"/>
  <c r="G1651" i="27"/>
  <c r="R1650" i="27"/>
  <c r="N1650" i="27" s="1"/>
  <c r="P1650" i="27"/>
  <c r="M1650" i="27"/>
  <c r="J1650" i="27"/>
  <c r="G1650" i="27"/>
  <c r="R1649" i="27"/>
  <c r="P1649" i="27"/>
  <c r="M1649" i="27"/>
  <c r="J1649" i="27"/>
  <c r="G1649" i="27"/>
  <c r="R1648" i="27"/>
  <c r="E1648" i="27" s="1"/>
  <c r="P1648" i="27"/>
  <c r="N1648" i="27" s="1"/>
  <c r="M1648" i="27"/>
  <c r="J1648" i="27"/>
  <c r="G1648" i="27"/>
  <c r="R1647" i="27"/>
  <c r="P1647" i="27"/>
  <c r="M1647" i="27"/>
  <c r="J1647" i="27"/>
  <c r="G1647" i="27"/>
  <c r="R1646" i="27"/>
  <c r="N1646" i="27" s="1"/>
  <c r="P1646" i="27"/>
  <c r="M1646" i="27"/>
  <c r="K1646" i="27"/>
  <c r="J1646" i="27"/>
  <c r="G1646" i="27"/>
  <c r="R1645" i="27"/>
  <c r="P1645" i="27"/>
  <c r="M1645" i="27"/>
  <c r="J1645" i="27"/>
  <c r="G1645" i="27"/>
  <c r="R1644" i="27"/>
  <c r="U1644" i="27" s="1"/>
  <c r="V1644" i="27" s="1"/>
  <c r="W1644" i="27" s="1"/>
  <c r="P1644" i="27"/>
  <c r="M1644" i="27"/>
  <c r="J1644" i="27"/>
  <c r="G1644" i="27"/>
  <c r="R1643" i="27"/>
  <c r="U1643" i="27" s="1"/>
  <c r="V1643" i="27" s="1"/>
  <c r="W1643" i="27" s="1"/>
  <c r="P1643" i="27"/>
  <c r="M1643" i="27"/>
  <c r="J1643" i="27"/>
  <c r="H1643" i="27" s="1"/>
  <c r="G1643" i="27"/>
  <c r="R1642" i="27"/>
  <c r="P1642" i="27"/>
  <c r="M1642" i="27"/>
  <c r="J1642" i="27"/>
  <c r="G1642" i="27"/>
  <c r="R1641" i="27"/>
  <c r="U1641" i="27" s="1"/>
  <c r="V1641" i="27" s="1"/>
  <c r="W1641" i="27" s="1"/>
  <c r="P1641" i="27"/>
  <c r="M1641" i="27"/>
  <c r="J1641" i="27"/>
  <c r="G1641" i="27"/>
  <c r="R1640" i="27"/>
  <c r="P1640" i="27"/>
  <c r="M1640" i="27"/>
  <c r="K1640" i="27"/>
  <c r="J1640" i="27"/>
  <c r="G1640" i="27"/>
  <c r="R1639" i="27"/>
  <c r="P1639" i="27"/>
  <c r="M1639" i="27"/>
  <c r="J1639" i="27"/>
  <c r="G1639" i="27"/>
  <c r="E1639" i="27"/>
  <c r="R1638" i="27"/>
  <c r="P1638" i="27"/>
  <c r="M1638" i="27"/>
  <c r="J1638" i="27"/>
  <c r="H1638" i="27"/>
  <c r="G1638" i="27"/>
  <c r="E1638" i="27"/>
  <c r="R1637" i="27"/>
  <c r="P1637" i="27"/>
  <c r="M1637" i="27"/>
  <c r="J1637" i="27"/>
  <c r="G1637" i="27"/>
  <c r="E1637" i="27"/>
  <c r="R1636" i="27"/>
  <c r="U1636" i="27" s="1"/>
  <c r="V1636" i="27" s="1"/>
  <c r="W1636" i="27" s="1"/>
  <c r="P1636" i="27"/>
  <c r="M1636" i="27"/>
  <c r="J1636" i="27"/>
  <c r="G1636" i="27"/>
  <c r="R1635" i="27"/>
  <c r="P1635" i="27"/>
  <c r="M1635" i="27"/>
  <c r="J1635" i="27"/>
  <c r="G1635" i="27"/>
  <c r="R1634" i="27"/>
  <c r="U1634" i="27" s="1"/>
  <c r="V1634" i="27" s="1"/>
  <c r="W1634" i="27" s="1"/>
  <c r="P1634" i="27"/>
  <c r="M1634" i="27"/>
  <c r="J1634" i="27"/>
  <c r="G1634" i="27"/>
  <c r="R1633" i="27"/>
  <c r="P1633" i="27"/>
  <c r="M1633" i="27"/>
  <c r="J1633" i="27"/>
  <c r="G1633" i="27"/>
  <c r="R1632" i="27"/>
  <c r="P1632" i="27"/>
  <c r="M1632" i="27"/>
  <c r="J1632" i="27"/>
  <c r="G1632" i="27"/>
  <c r="R1631" i="27"/>
  <c r="P1631" i="27"/>
  <c r="M1631" i="27"/>
  <c r="J1631" i="27"/>
  <c r="G1631" i="27"/>
  <c r="R1630" i="27"/>
  <c r="P1630" i="27"/>
  <c r="N1630" i="27" s="1"/>
  <c r="M1630" i="27"/>
  <c r="J1630" i="27"/>
  <c r="H1630" i="27"/>
  <c r="G1630" i="27"/>
  <c r="E1630" i="27" s="1"/>
  <c r="R1629" i="27"/>
  <c r="P1629" i="27"/>
  <c r="M1629" i="27"/>
  <c r="J1629" i="27"/>
  <c r="G1629" i="27"/>
  <c r="R1628" i="27"/>
  <c r="H1628" i="27" s="1"/>
  <c r="P1628" i="27"/>
  <c r="M1628" i="27"/>
  <c r="J1628" i="27"/>
  <c r="G1628" i="27"/>
  <c r="R1627" i="27"/>
  <c r="P1627" i="27"/>
  <c r="N1627" i="27" s="1"/>
  <c r="M1627" i="27"/>
  <c r="J1627" i="27"/>
  <c r="G1627" i="27"/>
  <c r="R1626" i="27"/>
  <c r="P1626" i="27"/>
  <c r="M1626" i="27"/>
  <c r="J1626" i="27"/>
  <c r="G1626" i="27"/>
  <c r="R1625" i="27"/>
  <c r="P1625" i="27"/>
  <c r="N1625" i="27" s="1"/>
  <c r="M1625" i="27"/>
  <c r="J1625" i="27"/>
  <c r="G1625" i="27"/>
  <c r="R1624" i="27"/>
  <c r="P1624" i="27"/>
  <c r="N1624" i="27" s="1"/>
  <c r="M1624" i="27"/>
  <c r="J1624" i="27"/>
  <c r="G1624" i="27"/>
  <c r="E1624" i="27"/>
  <c r="R1623" i="27"/>
  <c r="P1623" i="27"/>
  <c r="M1623" i="27"/>
  <c r="J1623" i="27"/>
  <c r="G1623" i="27"/>
  <c r="R1622" i="27"/>
  <c r="E1622" i="27" s="1"/>
  <c r="P1622" i="27"/>
  <c r="M1622" i="27"/>
  <c r="J1622" i="27"/>
  <c r="G1622" i="27"/>
  <c r="R1621" i="27"/>
  <c r="P1621" i="27"/>
  <c r="N1621" i="27" s="1"/>
  <c r="M1621" i="27"/>
  <c r="J1621" i="27"/>
  <c r="H1621" i="27" s="1"/>
  <c r="G1621" i="27"/>
  <c r="R1620" i="27"/>
  <c r="P1620" i="27"/>
  <c r="N1620" i="27" s="1"/>
  <c r="M1620" i="27"/>
  <c r="J1620" i="27"/>
  <c r="G1620" i="27"/>
  <c r="R1619" i="27"/>
  <c r="P1619" i="27"/>
  <c r="N1619" i="27" s="1"/>
  <c r="M1619" i="27"/>
  <c r="J1619" i="27"/>
  <c r="G1619" i="27"/>
  <c r="R1618" i="27"/>
  <c r="P1618" i="27"/>
  <c r="M1618" i="27"/>
  <c r="J1618" i="27"/>
  <c r="G1618" i="27"/>
  <c r="R1617" i="27"/>
  <c r="U1617" i="27" s="1"/>
  <c r="V1617" i="27" s="1"/>
  <c r="W1617" i="27" s="1"/>
  <c r="P1617" i="27"/>
  <c r="M1617" i="27"/>
  <c r="J1617" i="27"/>
  <c r="G1617" i="27"/>
  <c r="E1617" i="27"/>
  <c r="R1616" i="27"/>
  <c r="P1616" i="27"/>
  <c r="M1616" i="27"/>
  <c r="J1616" i="27"/>
  <c r="G1616" i="27"/>
  <c r="R1615" i="27"/>
  <c r="P1615" i="27"/>
  <c r="M1615" i="27"/>
  <c r="J1615" i="27"/>
  <c r="G1615" i="27"/>
  <c r="E1615" i="27"/>
  <c r="R1614" i="27"/>
  <c r="E1614" i="27" s="1"/>
  <c r="P1614" i="27"/>
  <c r="N1614" i="27" s="1"/>
  <c r="M1614" i="27"/>
  <c r="J1614" i="27"/>
  <c r="H1614" i="27"/>
  <c r="G1614" i="27"/>
  <c r="R1613" i="27"/>
  <c r="U1613" i="27" s="1"/>
  <c r="V1613" i="27" s="1"/>
  <c r="W1613" i="27" s="1"/>
  <c r="P1613" i="27"/>
  <c r="M1613" i="27"/>
  <c r="J1613" i="27"/>
  <c r="G1613" i="27"/>
  <c r="R1612" i="27"/>
  <c r="U1612" i="27" s="1"/>
  <c r="V1612" i="27" s="1"/>
  <c r="W1612" i="27" s="1"/>
  <c r="P1612" i="27"/>
  <c r="M1612" i="27"/>
  <c r="J1612" i="27"/>
  <c r="G1612" i="27"/>
  <c r="R1611" i="27"/>
  <c r="U1611" i="27" s="1"/>
  <c r="V1611" i="27" s="1"/>
  <c r="W1611" i="27" s="1"/>
  <c r="P1611" i="27"/>
  <c r="N1611" i="27" s="1"/>
  <c r="M1611" i="27"/>
  <c r="J1611" i="27"/>
  <c r="H1611" i="27" s="1"/>
  <c r="G1611" i="27"/>
  <c r="R1610" i="27"/>
  <c r="P1610" i="27"/>
  <c r="M1610" i="27"/>
  <c r="J1610" i="27"/>
  <c r="G1610" i="27"/>
  <c r="R1609" i="27"/>
  <c r="P1609" i="27"/>
  <c r="M1609" i="27"/>
  <c r="J1609" i="27"/>
  <c r="H1609" i="27"/>
  <c r="G1609" i="27"/>
  <c r="U1608" i="27"/>
  <c r="V1608" i="27" s="1"/>
  <c r="W1608" i="27" s="1"/>
  <c r="R1608" i="27"/>
  <c r="P1608" i="27"/>
  <c r="M1608" i="27"/>
  <c r="J1608" i="27"/>
  <c r="G1608" i="27"/>
  <c r="E1608" i="27" s="1"/>
  <c r="R1607" i="27"/>
  <c r="P1607" i="27"/>
  <c r="M1607" i="27"/>
  <c r="J1607" i="27"/>
  <c r="G1607" i="27"/>
  <c r="R1606" i="27"/>
  <c r="P1606" i="27"/>
  <c r="M1606" i="27"/>
  <c r="J1606" i="27"/>
  <c r="G1606" i="27"/>
  <c r="R1605" i="27"/>
  <c r="P1605" i="27"/>
  <c r="M1605" i="27"/>
  <c r="J1605" i="27"/>
  <c r="G1605" i="27"/>
  <c r="R1604" i="27"/>
  <c r="P1604" i="27"/>
  <c r="M1604" i="27"/>
  <c r="J1604" i="27"/>
  <c r="G1604" i="27"/>
  <c r="U1603" i="27"/>
  <c r="V1603" i="27" s="1"/>
  <c r="W1603" i="27" s="1"/>
  <c r="R1603" i="27"/>
  <c r="P1603" i="27"/>
  <c r="N1603" i="27" s="1"/>
  <c r="M1603" i="27"/>
  <c r="K1603" i="27" s="1"/>
  <c r="J1603" i="27"/>
  <c r="H1603" i="27" s="1"/>
  <c r="G1603" i="27"/>
  <c r="E1603" i="27" s="1"/>
  <c r="R1602" i="27"/>
  <c r="P1602" i="27"/>
  <c r="M1602" i="27"/>
  <c r="K1602" i="27" s="1"/>
  <c r="J1602" i="27"/>
  <c r="H1602" i="27"/>
  <c r="G1602" i="27"/>
  <c r="E1602" i="27" s="1"/>
  <c r="R1601" i="27"/>
  <c r="N1601" i="27" s="1"/>
  <c r="P1601" i="27"/>
  <c r="M1601" i="27"/>
  <c r="J1601" i="27"/>
  <c r="G1601" i="27"/>
  <c r="R1600" i="27"/>
  <c r="P1600" i="27"/>
  <c r="M1600" i="27"/>
  <c r="J1600" i="27"/>
  <c r="G1600" i="27"/>
  <c r="R1599" i="27"/>
  <c r="P1599" i="27"/>
  <c r="M1599" i="27"/>
  <c r="J1599" i="27"/>
  <c r="G1599" i="27"/>
  <c r="R1598" i="27"/>
  <c r="P1598" i="27"/>
  <c r="M1598" i="27"/>
  <c r="J1598" i="27"/>
  <c r="G1598" i="27"/>
  <c r="R1597" i="27"/>
  <c r="U1597" i="27" s="1"/>
  <c r="V1597" i="27" s="1"/>
  <c r="W1597" i="27" s="1"/>
  <c r="P1597" i="27"/>
  <c r="M1597" i="27"/>
  <c r="K1597" i="27"/>
  <c r="J1597" i="27"/>
  <c r="H1597" i="27" s="1"/>
  <c r="G1597" i="27"/>
  <c r="R1596" i="27"/>
  <c r="P1596" i="27"/>
  <c r="M1596" i="27"/>
  <c r="J1596" i="27"/>
  <c r="G1596" i="27"/>
  <c r="R1595" i="27"/>
  <c r="P1595" i="27"/>
  <c r="M1595" i="27"/>
  <c r="J1595" i="27"/>
  <c r="G1595" i="27"/>
  <c r="R1594" i="27"/>
  <c r="P1594" i="27"/>
  <c r="M1594" i="27"/>
  <c r="J1594" i="27"/>
  <c r="G1594" i="27"/>
  <c r="R1593" i="27"/>
  <c r="P1593" i="27"/>
  <c r="N1593" i="27" s="1"/>
  <c r="M1593" i="27"/>
  <c r="J1593" i="27"/>
  <c r="G1593" i="27"/>
  <c r="E1593" i="27" s="1"/>
  <c r="R1592" i="27"/>
  <c r="P1592" i="27"/>
  <c r="M1592" i="27"/>
  <c r="J1592" i="27"/>
  <c r="G1592" i="27"/>
  <c r="R1591" i="27"/>
  <c r="P1591" i="27"/>
  <c r="M1591" i="27"/>
  <c r="J1591" i="27"/>
  <c r="G1591" i="27"/>
  <c r="R1590" i="27"/>
  <c r="P1590" i="27"/>
  <c r="N1590" i="27" s="1"/>
  <c r="M1590" i="27"/>
  <c r="J1590" i="27"/>
  <c r="G1590" i="27"/>
  <c r="E1590" i="27" s="1"/>
  <c r="R1589" i="27"/>
  <c r="P1589" i="27"/>
  <c r="N1589" i="27" s="1"/>
  <c r="M1589" i="27"/>
  <c r="J1589" i="27"/>
  <c r="G1589" i="27"/>
  <c r="R1588" i="27"/>
  <c r="P1588" i="27"/>
  <c r="N1588" i="27" s="1"/>
  <c r="M1588" i="27"/>
  <c r="J1588" i="27"/>
  <c r="G1588" i="27"/>
  <c r="R1587" i="27"/>
  <c r="P1587" i="27"/>
  <c r="N1587" i="27" s="1"/>
  <c r="M1587" i="27"/>
  <c r="J1587" i="27"/>
  <c r="G1587" i="27"/>
  <c r="R1586" i="27"/>
  <c r="P1586" i="27"/>
  <c r="M1586" i="27"/>
  <c r="J1586" i="27"/>
  <c r="G1586" i="27"/>
  <c r="R1585" i="27"/>
  <c r="U1585" i="27" s="1"/>
  <c r="V1585" i="27" s="1"/>
  <c r="W1585" i="27" s="1"/>
  <c r="P1585" i="27"/>
  <c r="N1585" i="27"/>
  <c r="M1585" i="27"/>
  <c r="K1585" i="27"/>
  <c r="J1585" i="27"/>
  <c r="H1585" i="27" s="1"/>
  <c r="G1585" i="27"/>
  <c r="R1584" i="27"/>
  <c r="U1584" i="27" s="1"/>
  <c r="V1584" i="27" s="1"/>
  <c r="W1584" i="27" s="1"/>
  <c r="P1584" i="27"/>
  <c r="M1584" i="27"/>
  <c r="J1584" i="27"/>
  <c r="G1584" i="27"/>
  <c r="R1583" i="27"/>
  <c r="P1583" i="27"/>
  <c r="M1583" i="27"/>
  <c r="J1583" i="27"/>
  <c r="G1583" i="27"/>
  <c r="E1583" i="27" s="1"/>
  <c r="R1582" i="27"/>
  <c r="E1582" i="27" s="1"/>
  <c r="P1582" i="27"/>
  <c r="M1582" i="27"/>
  <c r="J1582" i="27"/>
  <c r="G1582" i="27"/>
  <c r="R1581" i="27"/>
  <c r="P1581" i="27"/>
  <c r="N1581" i="27"/>
  <c r="M1581" i="27"/>
  <c r="J1581" i="27"/>
  <c r="H1581" i="27"/>
  <c r="G1581" i="27"/>
  <c r="E1581" i="27" s="1"/>
  <c r="R1580" i="27"/>
  <c r="U1580" i="27" s="1"/>
  <c r="V1580" i="27" s="1"/>
  <c r="W1580" i="27" s="1"/>
  <c r="P1580" i="27"/>
  <c r="M1580" i="27"/>
  <c r="J1580" i="27"/>
  <c r="H1580" i="27"/>
  <c r="G1580" i="27"/>
  <c r="V1579" i="27"/>
  <c r="W1579" i="27" s="1"/>
  <c r="U1579" i="27"/>
  <c r="R1579" i="27"/>
  <c r="N1579" i="27" s="1"/>
  <c r="P1579" i="27"/>
  <c r="M1579" i="27"/>
  <c r="J1579" i="27"/>
  <c r="G1579" i="27"/>
  <c r="E1579" i="27" s="1"/>
  <c r="U1578" i="27"/>
  <c r="V1578" i="27" s="1"/>
  <c r="W1578" i="27" s="1"/>
  <c r="R1578" i="27"/>
  <c r="P1578" i="27"/>
  <c r="N1578" i="27"/>
  <c r="M1578" i="27"/>
  <c r="J1578" i="27"/>
  <c r="G1578" i="27"/>
  <c r="V1577" i="27"/>
  <c r="W1577" i="27" s="1"/>
  <c r="U1577" i="27"/>
  <c r="R1577" i="27"/>
  <c r="P1577" i="27"/>
  <c r="N1577" i="27"/>
  <c r="M1577" i="27"/>
  <c r="K1577" i="27"/>
  <c r="J1577" i="27"/>
  <c r="G1577" i="27"/>
  <c r="E1577" i="27" s="1"/>
  <c r="R1576" i="27"/>
  <c r="U1576" i="27" s="1"/>
  <c r="V1576" i="27" s="1"/>
  <c r="W1576" i="27" s="1"/>
  <c r="P1576" i="27"/>
  <c r="M1576" i="27"/>
  <c r="K1576" i="27"/>
  <c r="J1576" i="27"/>
  <c r="G1576" i="27"/>
  <c r="R1575" i="27"/>
  <c r="P1575" i="27"/>
  <c r="M1575" i="27"/>
  <c r="K1575" i="27" s="1"/>
  <c r="J1575" i="27"/>
  <c r="G1575" i="27"/>
  <c r="R1574" i="27"/>
  <c r="P1574" i="27"/>
  <c r="M1574" i="27"/>
  <c r="J1574" i="27"/>
  <c r="G1574" i="27"/>
  <c r="R1573" i="27"/>
  <c r="P1573" i="27"/>
  <c r="M1573" i="27"/>
  <c r="J1573" i="27"/>
  <c r="G1573" i="27"/>
  <c r="R1572" i="27"/>
  <c r="U1572" i="27" s="1"/>
  <c r="V1572" i="27" s="1"/>
  <c r="W1572" i="27" s="1"/>
  <c r="P1572" i="27"/>
  <c r="N1572" i="27" s="1"/>
  <c r="M1572" i="27"/>
  <c r="J1572" i="27"/>
  <c r="G1572" i="27"/>
  <c r="U1571" i="27"/>
  <c r="V1571" i="27" s="1"/>
  <c r="W1571" i="27" s="1"/>
  <c r="R1571" i="27"/>
  <c r="P1571" i="27"/>
  <c r="N1571" i="27"/>
  <c r="M1571" i="27"/>
  <c r="K1571" i="27" s="1"/>
  <c r="J1571" i="27"/>
  <c r="H1571" i="27" s="1"/>
  <c r="G1571" i="27"/>
  <c r="E1571" i="27" s="1"/>
  <c r="R1570" i="27"/>
  <c r="P1570" i="27"/>
  <c r="M1570" i="27"/>
  <c r="J1570" i="27"/>
  <c r="G1570" i="27"/>
  <c r="R1569" i="27"/>
  <c r="U1569" i="27" s="1"/>
  <c r="V1569" i="27" s="1"/>
  <c r="W1569" i="27" s="1"/>
  <c r="P1569" i="27"/>
  <c r="M1569" i="27"/>
  <c r="J1569" i="27"/>
  <c r="G1569" i="27"/>
  <c r="R1568" i="27"/>
  <c r="P1568" i="27"/>
  <c r="M1568" i="27"/>
  <c r="J1568" i="27"/>
  <c r="G1568" i="27"/>
  <c r="R1567" i="27"/>
  <c r="P1567" i="27"/>
  <c r="M1567" i="27"/>
  <c r="J1567" i="27"/>
  <c r="G1567" i="27"/>
  <c r="R1566" i="27"/>
  <c r="P1566" i="27"/>
  <c r="M1566" i="27"/>
  <c r="J1566" i="27"/>
  <c r="G1566" i="27"/>
  <c r="E1566" i="27"/>
  <c r="R1565" i="27"/>
  <c r="P1565" i="27"/>
  <c r="M1565" i="27"/>
  <c r="J1565" i="27"/>
  <c r="G1565" i="27"/>
  <c r="U1564" i="27"/>
  <c r="V1564" i="27" s="1"/>
  <c r="W1564" i="27" s="1"/>
  <c r="R1564" i="27"/>
  <c r="P1564" i="27"/>
  <c r="M1564" i="27"/>
  <c r="J1564" i="27"/>
  <c r="G1564" i="27"/>
  <c r="E1564" i="27" s="1"/>
  <c r="R1563" i="27"/>
  <c r="P1563" i="27"/>
  <c r="M1563" i="27"/>
  <c r="J1563" i="27"/>
  <c r="G1563" i="27"/>
  <c r="R1562" i="27"/>
  <c r="P1562" i="27"/>
  <c r="N1562" i="27" s="1"/>
  <c r="M1562" i="27"/>
  <c r="J1562" i="27"/>
  <c r="G1562" i="27"/>
  <c r="U1561" i="27"/>
  <c r="V1561" i="27" s="1"/>
  <c r="W1561" i="27" s="1"/>
  <c r="R1561" i="27"/>
  <c r="P1561" i="27"/>
  <c r="M1561" i="27"/>
  <c r="K1561" i="27" s="1"/>
  <c r="J1561" i="27"/>
  <c r="H1561" i="27" s="1"/>
  <c r="G1561" i="27"/>
  <c r="E1561" i="27"/>
  <c r="U1560" i="27"/>
  <c r="V1560" i="27" s="1"/>
  <c r="W1560" i="27" s="1"/>
  <c r="R1560" i="27"/>
  <c r="P1560" i="27"/>
  <c r="M1560" i="27"/>
  <c r="K1560" i="27"/>
  <c r="J1560" i="27"/>
  <c r="G1560" i="27"/>
  <c r="E1560" i="27"/>
  <c r="R1559" i="27"/>
  <c r="P1559" i="27"/>
  <c r="M1559" i="27"/>
  <c r="J1559" i="27"/>
  <c r="G1559" i="27"/>
  <c r="R1558" i="27"/>
  <c r="P1558" i="27"/>
  <c r="N1558" i="27"/>
  <c r="M1558" i="27"/>
  <c r="J1558" i="27"/>
  <c r="G1558" i="27"/>
  <c r="R1557" i="27"/>
  <c r="P1557" i="27"/>
  <c r="M1557" i="27"/>
  <c r="J1557" i="27"/>
  <c r="G1557" i="27"/>
  <c r="R1556" i="27"/>
  <c r="P1556" i="27"/>
  <c r="M1556" i="27"/>
  <c r="J1556" i="27"/>
  <c r="G1556" i="27"/>
  <c r="R1555" i="27"/>
  <c r="P1555" i="27"/>
  <c r="M1555" i="27"/>
  <c r="J1555" i="27"/>
  <c r="G1555" i="27"/>
  <c r="R1554" i="27"/>
  <c r="P1554" i="27"/>
  <c r="N1554" i="27"/>
  <c r="M1554" i="27"/>
  <c r="J1554" i="27"/>
  <c r="G1554" i="27"/>
  <c r="R1553" i="27"/>
  <c r="P1553" i="27"/>
  <c r="M1553" i="27"/>
  <c r="J1553" i="27"/>
  <c r="G1553" i="27"/>
  <c r="R1552" i="27"/>
  <c r="U1552" i="27" s="1"/>
  <c r="V1552" i="27" s="1"/>
  <c r="W1552" i="27" s="1"/>
  <c r="P1552" i="27"/>
  <c r="M1552" i="27"/>
  <c r="J1552" i="27"/>
  <c r="G1552" i="27"/>
  <c r="R1551" i="27"/>
  <c r="U1551" i="27" s="1"/>
  <c r="V1551" i="27" s="1"/>
  <c r="W1551" i="27" s="1"/>
  <c r="P1551" i="27"/>
  <c r="M1551" i="27"/>
  <c r="J1551" i="27"/>
  <c r="G1551" i="27"/>
  <c r="R1550" i="27"/>
  <c r="P1550" i="27"/>
  <c r="M1550" i="27"/>
  <c r="J1550" i="27"/>
  <c r="G1550" i="27"/>
  <c r="R1549" i="27"/>
  <c r="P1549" i="27"/>
  <c r="N1549" i="27"/>
  <c r="M1549" i="27"/>
  <c r="J1549" i="27"/>
  <c r="G1549" i="27"/>
  <c r="E1549" i="27" s="1"/>
  <c r="U1548" i="27"/>
  <c r="V1548" i="27" s="1"/>
  <c r="W1548" i="27" s="1"/>
  <c r="R1548" i="27"/>
  <c r="P1548" i="27"/>
  <c r="N1548" i="27" s="1"/>
  <c r="M1548" i="27"/>
  <c r="J1548" i="27"/>
  <c r="G1548" i="27"/>
  <c r="R1547" i="27"/>
  <c r="U1547" i="27" s="1"/>
  <c r="V1547" i="27" s="1"/>
  <c r="W1547" i="27" s="1"/>
  <c r="P1547" i="27"/>
  <c r="M1547" i="27"/>
  <c r="J1547" i="27"/>
  <c r="G1547" i="27"/>
  <c r="R1546" i="27"/>
  <c r="P1546" i="27"/>
  <c r="M1546" i="27"/>
  <c r="J1546" i="27"/>
  <c r="G1546" i="27"/>
  <c r="R1545" i="27"/>
  <c r="P1545" i="27"/>
  <c r="M1545" i="27"/>
  <c r="J1545" i="27"/>
  <c r="H1545" i="27" s="1"/>
  <c r="G1545" i="27"/>
  <c r="R1544" i="27"/>
  <c r="P1544" i="27"/>
  <c r="M1544" i="27"/>
  <c r="K1544" i="27"/>
  <c r="J1544" i="27"/>
  <c r="G1544" i="27"/>
  <c r="R1543" i="27"/>
  <c r="U1543" i="27" s="1"/>
  <c r="V1543" i="27" s="1"/>
  <c r="W1543" i="27" s="1"/>
  <c r="P1543" i="27"/>
  <c r="M1543" i="27"/>
  <c r="J1543" i="27"/>
  <c r="G1543" i="27"/>
  <c r="R1542" i="27"/>
  <c r="P1542" i="27"/>
  <c r="M1542" i="27"/>
  <c r="J1542" i="27"/>
  <c r="G1542" i="27"/>
  <c r="R1541" i="27"/>
  <c r="P1541" i="27"/>
  <c r="M1541" i="27"/>
  <c r="J1541" i="27"/>
  <c r="G1541" i="27"/>
  <c r="R1540" i="27"/>
  <c r="P1540" i="27"/>
  <c r="M1540" i="27"/>
  <c r="J1540" i="27"/>
  <c r="G1540" i="27"/>
  <c r="R1539" i="27"/>
  <c r="P1539" i="27"/>
  <c r="N1539" i="27" s="1"/>
  <c r="M1539" i="27"/>
  <c r="J1539" i="27"/>
  <c r="G1539" i="27"/>
  <c r="E1539" i="27" s="1"/>
  <c r="R1538" i="27"/>
  <c r="P1538" i="27"/>
  <c r="M1538" i="27"/>
  <c r="J1538" i="27"/>
  <c r="H1538" i="27"/>
  <c r="G1538" i="27"/>
  <c r="R1537" i="27"/>
  <c r="P1537" i="27"/>
  <c r="M1537" i="27"/>
  <c r="J1537" i="27"/>
  <c r="G1537" i="27"/>
  <c r="U1536" i="27"/>
  <c r="V1536" i="27" s="1"/>
  <c r="W1536" i="27" s="1"/>
  <c r="R1536" i="27"/>
  <c r="P1536" i="27"/>
  <c r="M1536" i="27"/>
  <c r="J1536" i="27"/>
  <c r="G1536" i="27"/>
  <c r="R1535" i="27"/>
  <c r="P1535" i="27"/>
  <c r="M1535" i="27"/>
  <c r="J1535" i="27"/>
  <c r="G1535" i="27"/>
  <c r="R1534" i="27"/>
  <c r="P1534" i="27"/>
  <c r="M1534" i="27"/>
  <c r="J1534" i="27"/>
  <c r="G1534" i="27"/>
  <c r="R1533" i="27"/>
  <c r="P1533" i="27"/>
  <c r="M1533" i="27"/>
  <c r="J1533" i="27"/>
  <c r="G1533" i="27"/>
  <c r="R1532" i="27"/>
  <c r="P1532" i="27"/>
  <c r="N1532" i="27" s="1"/>
  <c r="M1532" i="27"/>
  <c r="J1532" i="27"/>
  <c r="G1532" i="27"/>
  <c r="U1531" i="27"/>
  <c r="V1531" i="27" s="1"/>
  <c r="W1531" i="27" s="1"/>
  <c r="R1531" i="27"/>
  <c r="P1531" i="27"/>
  <c r="N1531" i="27"/>
  <c r="M1531" i="27"/>
  <c r="J1531" i="27"/>
  <c r="G1531" i="27"/>
  <c r="R1530" i="27"/>
  <c r="U1530" i="27" s="1"/>
  <c r="V1530" i="27" s="1"/>
  <c r="W1530" i="27" s="1"/>
  <c r="P1530" i="27"/>
  <c r="M1530" i="27"/>
  <c r="J1530" i="27"/>
  <c r="G1530" i="27"/>
  <c r="R1529" i="27"/>
  <c r="P1529" i="27"/>
  <c r="M1529" i="27"/>
  <c r="J1529" i="27"/>
  <c r="G1529" i="27"/>
  <c r="R1528" i="27"/>
  <c r="P1528" i="27"/>
  <c r="M1528" i="27"/>
  <c r="J1528" i="27"/>
  <c r="G1528" i="27"/>
  <c r="E1528" i="27"/>
  <c r="R1527" i="27"/>
  <c r="P1527" i="27"/>
  <c r="M1527" i="27"/>
  <c r="J1527" i="27"/>
  <c r="G1527" i="27"/>
  <c r="R1526" i="27"/>
  <c r="P1526" i="27"/>
  <c r="M1526" i="27"/>
  <c r="J1526" i="27"/>
  <c r="G1526" i="27"/>
  <c r="V1525" i="27"/>
  <c r="W1525" i="27" s="1"/>
  <c r="R1525" i="27"/>
  <c r="U1525" i="27" s="1"/>
  <c r="P1525" i="27"/>
  <c r="M1525" i="27"/>
  <c r="K1525" i="27" s="1"/>
  <c r="J1525" i="27"/>
  <c r="H1525" i="27" s="1"/>
  <c r="G1525" i="27"/>
  <c r="U1524" i="27"/>
  <c r="V1524" i="27" s="1"/>
  <c r="W1524" i="27" s="1"/>
  <c r="R1524" i="27"/>
  <c r="P1524" i="27"/>
  <c r="M1524" i="27"/>
  <c r="J1524" i="27"/>
  <c r="H1524" i="27"/>
  <c r="G1524" i="27"/>
  <c r="E1524" i="27" s="1"/>
  <c r="R1523" i="27"/>
  <c r="H1523" i="27" s="1"/>
  <c r="P1523" i="27"/>
  <c r="M1523" i="27"/>
  <c r="J1523" i="27"/>
  <c r="G1523" i="27"/>
  <c r="R1522" i="27"/>
  <c r="H1522" i="27" s="1"/>
  <c r="P1522" i="27"/>
  <c r="M1522" i="27"/>
  <c r="K1522" i="27" s="1"/>
  <c r="J1522" i="27"/>
  <c r="G1522" i="27"/>
  <c r="E1522" i="27" s="1"/>
  <c r="R1521" i="27"/>
  <c r="U1521" i="27" s="1"/>
  <c r="V1521" i="27" s="1"/>
  <c r="W1521" i="27" s="1"/>
  <c r="P1521" i="27"/>
  <c r="N1521" i="27"/>
  <c r="M1521" i="27"/>
  <c r="K1521" i="27" s="1"/>
  <c r="J1521" i="27"/>
  <c r="G1521" i="27"/>
  <c r="R1520" i="27"/>
  <c r="K1520" i="27" s="1"/>
  <c r="P1520" i="27"/>
  <c r="M1520" i="27"/>
  <c r="J1520" i="27"/>
  <c r="G1520" i="27"/>
  <c r="R1519" i="27"/>
  <c r="U1519" i="27" s="1"/>
  <c r="V1519" i="27" s="1"/>
  <c r="W1519" i="27" s="1"/>
  <c r="P1519" i="27"/>
  <c r="M1519" i="27"/>
  <c r="J1519" i="27"/>
  <c r="G1519" i="27"/>
  <c r="R1518" i="27"/>
  <c r="P1518" i="27"/>
  <c r="M1518" i="27"/>
  <c r="J1518" i="27"/>
  <c r="G1518" i="27"/>
  <c r="R1517" i="27"/>
  <c r="P1517" i="27"/>
  <c r="M1517" i="27"/>
  <c r="J1517" i="27"/>
  <c r="G1517" i="27"/>
  <c r="R1516" i="27"/>
  <c r="P1516" i="27"/>
  <c r="M1516" i="27"/>
  <c r="J1516" i="27"/>
  <c r="G1516" i="27"/>
  <c r="R1515" i="27"/>
  <c r="U1515" i="27" s="1"/>
  <c r="V1515" i="27" s="1"/>
  <c r="W1515" i="27" s="1"/>
  <c r="P1515" i="27"/>
  <c r="N1515" i="27" s="1"/>
  <c r="M1515" i="27"/>
  <c r="J1515" i="27"/>
  <c r="G1515" i="27"/>
  <c r="R1514" i="27"/>
  <c r="P1514" i="27"/>
  <c r="M1514" i="27"/>
  <c r="J1514" i="27"/>
  <c r="G1514" i="27"/>
  <c r="R1513" i="27"/>
  <c r="P1513" i="27"/>
  <c r="M1513" i="27"/>
  <c r="J1513" i="27"/>
  <c r="G1513" i="27"/>
  <c r="R1512" i="27"/>
  <c r="U1512" i="27" s="1"/>
  <c r="V1512" i="27" s="1"/>
  <c r="W1512" i="27" s="1"/>
  <c r="P1512" i="27"/>
  <c r="M1512" i="27"/>
  <c r="J1512" i="27"/>
  <c r="G1512" i="27"/>
  <c r="R1511" i="27"/>
  <c r="P1511" i="27"/>
  <c r="M1511" i="27"/>
  <c r="J1511" i="27"/>
  <c r="G1511" i="27"/>
  <c r="R1510" i="27"/>
  <c r="P1510" i="27"/>
  <c r="M1510" i="27"/>
  <c r="J1510" i="27"/>
  <c r="G1510" i="27"/>
  <c r="R1509" i="27"/>
  <c r="P1509" i="27"/>
  <c r="M1509" i="27"/>
  <c r="J1509" i="27"/>
  <c r="G1509" i="27"/>
  <c r="R1507" i="27"/>
  <c r="P1507" i="27"/>
  <c r="M1507" i="27"/>
  <c r="J1507" i="27"/>
  <c r="G1507" i="27"/>
  <c r="R1506" i="27"/>
  <c r="U1506" i="27" s="1"/>
  <c r="V1506" i="27" s="1"/>
  <c r="W1506" i="27" s="1"/>
  <c r="P1506" i="27"/>
  <c r="M1506" i="27"/>
  <c r="J1506" i="27"/>
  <c r="H1506" i="27" s="1"/>
  <c r="G1506" i="27"/>
  <c r="R1505" i="27"/>
  <c r="U1505" i="27" s="1"/>
  <c r="V1505" i="27" s="1"/>
  <c r="W1505" i="27" s="1"/>
  <c r="P1505" i="27"/>
  <c r="M1505" i="27"/>
  <c r="J1505" i="27"/>
  <c r="G1505" i="27"/>
  <c r="R1504" i="27"/>
  <c r="U1504" i="27" s="1"/>
  <c r="V1504" i="27" s="1"/>
  <c r="W1504" i="27" s="1"/>
  <c r="P1504" i="27"/>
  <c r="N1504" i="27" s="1"/>
  <c r="M1504" i="27"/>
  <c r="K1504" i="27"/>
  <c r="J1504" i="27"/>
  <c r="H1504" i="27" s="1"/>
  <c r="G1504" i="27"/>
  <c r="E1504" i="27" s="1"/>
  <c r="R1503" i="27"/>
  <c r="P1503" i="27"/>
  <c r="M1503" i="27"/>
  <c r="K1503" i="27" s="1"/>
  <c r="J1503" i="27"/>
  <c r="G1503" i="27"/>
  <c r="E1503" i="27" s="1"/>
  <c r="U1502" i="27"/>
  <c r="V1502" i="27" s="1"/>
  <c r="W1502" i="27" s="1"/>
  <c r="R1502" i="27"/>
  <c r="P1502" i="27"/>
  <c r="M1502" i="27"/>
  <c r="K1502" i="27"/>
  <c r="J1502" i="27"/>
  <c r="G1502" i="27"/>
  <c r="R1501" i="27"/>
  <c r="K1501" i="27" s="1"/>
  <c r="P1501" i="27"/>
  <c r="N1501" i="27" s="1"/>
  <c r="M1501" i="27"/>
  <c r="J1501" i="27"/>
  <c r="G1501" i="27"/>
  <c r="R1500" i="27"/>
  <c r="E1500" i="27" s="1"/>
  <c r="P1500" i="27"/>
  <c r="M1500" i="27"/>
  <c r="J1500" i="27"/>
  <c r="G1500" i="27"/>
  <c r="R1499" i="27"/>
  <c r="U1499" i="27" s="1"/>
  <c r="V1499" i="27" s="1"/>
  <c r="W1499" i="27" s="1"/>
  <c r="P1499" i="27"/>
  <c r="M1499" i="27"/>
  <c r="J1499" i="27"/>
  <c r="H1499" i="27"/>
  <c r="G1499" i="27"/>
  <c r="E1499" i="27" s="1"/>
  <c r="U1498" i="27"/>
  <c r="V1498" i="27" s="1"/>
  <c r="W1498" i="27" s="1"/>
  <c r="R1498" i="27"/>
  <c r="K1498" i="27" s="1"/>
  <c r="P1498" i="27"/>
  <c r="M1498" i="27"/>
  <c r="J1498" i="27"/>
  <c r="H1498" i="27" s="1"/>
  <c r="G1498" i="27"/>
  <c r="R1497" i="27"/>
  <c r="P1497" i="27"/>
  <c r="M1497" i="27"/>
  <c r="J1497" i="27"/>
  <c r="G1497" i="27"/>
  <c r="R1496" i="27"/>
  <c r="P1496" i="27"/>
  <c r="M1496" i="27"/>
  <c r="J1496" i="27"/>
  <c r="G1496" i="27"/>
  <c r="R1495" i="27"/>
  <c r="P1495" i="27"/>
  <c r="M1495" i="27"/>
  <c r="J1495" i="27"/>
  <c r="G1495" i="27"/>
  <c r="R1494" i="27"/>
  <c r="P1494" i="27"/>
  <c r="M1494" i="27"/>
  <c r="J1494" i="27"/>
  <c r="G1494" i="27"/>
  <c r="R1493" i="27"/>
  <c r="U1493" i="27" s="1"/>
  <c r="V1493" i="27" s="1"/>
  <c r="W1493" i="27" s="1"/>
  <c r="P1493" i="27"/>
  <c r="M1493" i="27"/>
  <c r="K1493" i="27"/>
  <c r="J1493" i="27"/>
  <c r="G1493" i="27"/>
  <c r="E1493" i="27" s="1"/>
  <c r="R1492" i="27"/>
  <c r="N1492" i="27" s="1"/>
  <c r="P1492" i="27"/>
  <c r="M1492" i="27"/>
  <c r="J1492" i="27"/>
  <c r="G1492" i="27"/>
  <c r="R1491" i="27"/>
  <c r="P1491" i="27"/>
  <c r="M1491" i="27"/>
  <c r="J1491" i="27"/>
  <c r="G1491" i="27"/>
  <c r="R1490" i="27"/>
  <c r="P1490" i="27"/>
  <c r="M1490" i="27"/>
  <c r="J1490" i="27"/>
  <c r="G1490" i="27"/>
  <c r="E1490" i="27" s="1"/>
  <c r="R1489" i="27"/>
  <c r="U1489" i="27" s="1"/>
  <c r="V1489" i="27" s="1"/>
  <c r="W1489" i="27" s="1"/>
  <c r="P1489" i="27"/>
  <c r="M1489" i="27"/>
  <c r="K1489" i="27" s="1"/>
  <c r="J1489" i="27"/>
  <c r="G1489" i="27"/>
  <c r="U1488" i="27"/>
  <c r="V1488" i="27" s="1"/>
  <c r="W1488" i="27" s="1"/>
  <c r="R1488" i="27"/>
  <c r="P1488" i="27"/>
  <c r="M1488" i="27"/>
  <c r="J1488" i="27"/>
  <c r="G1488" i="27"/>
  <c r="E1488" i="27" s="1"/>
  <c r="R1487" i="27"/>
  <c r="P1487" i="27"/>
  <c r="M1487" i="27"/>
  <c r="J1487" i="27"/>
  <c r="G1487" i="27"/>
  <c r="R1486" i="27"/>
  <c r="P1486" i="27"/>
  <c r="M1486" i="27"/>
  <c r="J1486" i="27"/>
  <c r="G1486" i="27"/>
  <c r="R1485" i="27"/>
  <c r="P1485" i="27"/>
  <c r="N1485" i="27" s="1"/>
  <c r="M1485" i="27"/>
  <c r="K1485" i="27"/>
  <c r="J1485" i="27"/>
  <c r="G1485" i="27"/>
  <c r="R1484" i="27"/>
  <c r="P1484" i="27"/>
  <c r="M1484" i="27"/>
  <c r="J1484" i="27"/>
  <c r="G1484" i="27"/>
  <c r="U1483" i="27"/>
  <c r="V1483" i="27" s="1"/>
  <c r="W1483" i="27" s="1"/>
  <c r="R1483" i="27"/>
  <c r="P1483" i="27"/>
  <c r="M1483" i="27"/>
  <c r="J1483" i="27"/>
  <c r="H1483" i="27" s="1"/>
  <c r="G1483" i="27"/>
  <c r="R1482" i="27"/>
  <c r="U1482" i="27" s="1"/>
  <c r="V1482" i="27" s="1"/>
  <c r="W1482" i="27" s="1"/>
  <c r="P1482" i="27"/>
  <c r="M1482" i="27"/>
  <c r="J1482" i="27"/>
  <c r="H1482" i="27" s="1"/>
  <c r="G1482" i="27"/>
  <c r="R1481" i="27"/>
  <c r="P1481" i="27"/>
  <c r="N1481" i="27" s="1"/>
  <c r="M1481" i="27"/>
  <c r="J1481" i="27"/>
  <c r="G1481" i="27"/>
  <c r="E1481" i="27"/>
  <c r="R1480" i="27"/>
  <c r="P1480" i="27"/>
  <c r="M1480" i="27"/>
  <c r="J1480" i="27"/>
  <c r="G1480" i="27"/>
  <c r="U1479" i="27"/>
  <c r="V1479" i="27" s="1"/>
  <c r="W1479" i="27" s="1"/>
  <c r="R1479" i="27"/>
  <c r="P1479" i="27"/>
  <c r="M1479" i="27"/>
  <c r="J1479" i="27"/>
  <c r="G1479" i="27"/>
  <c r="R1478" i="27"/>
  <c r="P1478" i="27"/>
  <c r="M1478" i="27"/>
  <c r="J1478" i="27"/>
  <c r="G1478" i="27"/>
  <c r="R1477" i="27"/>
  <c r="K1477" i="27" s="1"/>
  <c r="P1477" i="27"/>
  <c r="M1477" i="27"/>
  <c r="J1477" i="27"/>
  <c r="G1477" i="27"/>
  <c r="R1476" i="27"/>
  <c r="P1476" i="27"/>
  <c r="M1476" i="27"/>
  <c r="J1476" i="27"/>
  <c r="G1476" i="27"/>
  <c r="R1475" i="27"/>
  <c r="P1475" i="27"/>
  <c r="M1475" i="27"/>
  <c r="J1475" i="27"/>
  <c r="H1475" i="27" s="1"/>
  <c r="G1475" i="27"/>
  <c r="E1475" i="27" s="1"/>
  <c r="R1474" i="27"/>
  <c r="U1474" i="27" s="1"/>
  <c r="V1474" i="27" s="1"/>
  <c r="W1474" i="27" s="1"/>
  <c r="P1474" i="27"/>
  <c r="M1474" i="27"/>
  <c r="J1474" i="27"/>
  <c r="H1474" i="27"/>
  <c r="G1474" i="27"/>
  <c r="E1474" i="27" s="1"/>
  <c r="V1473" i="27"/>
  <c r="W1473" i="27" s="1"/>
  <c r="R1473" i="27"/>
  <c r="U1473" i="27" s="1"/>
  <c r="P1473" i="27"/>
  <c r="N1473" i="27" s="1"/>
  <c r="M1473" i="27"/>
  <c r="K1473" i="27" s="1"/>
  <c r="J1473" i="27"/>
  <c r="H1473" i="27"/>
  <c r="G1473" i="27"/>
  <c r="R1472" i="27"/>
  <c r="P1472" i="27"/>
  <c r="M1472" i="27"/>
  <c r="K1472" i="27" s="1"/>
  <c r="J1472" i="27"/>
  <c r="G1472" i="27"/>
  <c r="R1471" i="27"/>
  <c r="U1471" i="27" s="1"/>
  <c r="V1471" i="27" s="1"/>
  <c r="W1471" i="27" s="1"/>
  <c r="P1471" i="27"/>
  <c r="M1471" i="27"/>
  <c r="J1471" i="27"/>
  <c r="G1471" i="27"/>
  <c r="R1470" i="27"/>
  <c r="P1470" i="27"/>
  <c r="M1470" i="27"/>
  <c r="J1470" i="27"/>
  <c r="G1470" i="27"/>
  <c r="R1469" i="27"/>
  <c r="P1469" i="27"/>
  <c r="M1469" i="27"/>
  <c r="J1469" i="27"/>
  <c r="G1469" i="27"/>
  <c r="R1468" i="27"/>
  <c r="P1468" i="27"/>
  <c r="M1468" i="27"/>
  <c r="J1468" i="27"/>
  <c r="G1468" i="27"/>
  <c r="R1467" i="27"/>
  <c r="U1467" i="27" s="1"/>
  <c r="V1467" i="27" s="1"/>
  <c r="W1467" i="27" s="1"/>
  <c r="P1467" i="27"/>
  <c r="M1467" i="27"/>
  <c r="J1467" i="27"/>
  <c r="H1467" i="27" s="1"/>
  <c r="G1467" i="27"/>
  <c r="U1466" i="27"/>
  <c r="V1466" i="27" s="1"/>
  <c r="W1466" i="27" s="1"/>
  <c r="R1466" i="27"/>
  <c r="P1466" i="27"/>
  <c r="N1466" i="27"/>
  <c r="M1466" i="27"/>
  <c r="J1466" i="27"/>
  <c r="H1466" i="27" s="1"/>
  <c r="G1466" i="27"/>
  <c r="E1466" i="27" s="1"/>
  <c r="R1465" i="27"/>
  <c r="P1465" i="27"/>
  <c r="M1465" i="27"/>
  <c r="J1465" i="27"/>
  <c r="G1465" i="27"/>
  <c r="R1464" i="27"/>
  <c r="P1464" i="27"/>
  <c r="M1464" i="27"/>
  <c r="J1464" i="27"/>
  <c r="G1464" i="27"/>
  <c r="R1463" i="27"/>
  <c r="U1463" i="27" s="1"/>
  <c r="V1463" i="27" s="1"/>
  <c r="W1463" i="27" s="1"/>
  <c r="P1463" i="27"/>
  <c r="M1463" i="27"/>
  <c r="J1463" i="27"/>
  <c r="G1463" i="27"/>
  <c r="E1463" i="27" s="1"/>
  <c r="U1462" i="27"/>
  <c r="V1462" i="27" s="1"/>
  <c r="W1462" i="27" s="1"/>
  <c r="R1462" i="27"/>
  <c r="P1462" i="27"/>
  <c r="M1462" i="27"/>
  <c r="J1462" i="27"/>
  <c r="G1462" i="27"/>
  <c r="E1462" i="27" s="1"/>
  <c r="R1460" i="27"/>
  <c r="P1460" i="27"/>
  <c r="M1460" i="27"/>
  <c r="J1460" i="27"/>
  <c r="G1460" i="27"/>
  <c r="R1459" i="27"/>
  <c r="P1459" i="27"/>
  <c r="N1459" i="27"/>
  <c r="M1459" i="27"/>
  <c r="J1459" i="27"/>
  <c r="G1459" i="27"/>
  <c r="E1459" i="27" s="1"/>
  <c r="R1458" i="27"/>
  <c r="P1458" i="27"/>
  <c r="N1458" i="27" s="1"/>
  <c r="M1458" i="27"/>
  <c r="J1458" i="27"/>
  <c r="G1458" i="27"/>
  <c r="E1458" i="27" s="1"/>
  <c r="R1457" i="27"/>
  <c r="P1457" i="27"/>
  <c r="M1457" i="27"/>
  <c r="J1457" i="27"/>
  <c r="G1457" i="27"/>
  <c r="R1456" i="27"/>
  <c r="P1456" i="27"/>
  <c r="M1456" i="27"/>
  <c r="J1456" i="27"/>
  <c r="G1456" i="27"/>
  <c r="R1455" i="27"/>
  <c r="P1455" i="27"/>
  <c r="M1455" i="27"/>
  <c r="J1455" i="27"/>
  <c r="G1455" i="27"/>
  <c r="U1454" i="27"/>
  <c r="V1454" i="27" s="1"/>
  <c r="W1454" i="27" s="1"/>
  <c r="R1454" i="27"/>
  <c r="P1454" i="27"/>
  <c r="N1454" i="27" s="1"/>
  <c r="M1454" i="27"/>
  <c r="J1454" i="27"/>
  <c r="G1454" i="27"/>
  <c r="E1454" i="27" s="1"/>
  <c r="R1453" i="27"/>
  <c r="P1453" i="27"/>
  <c r="M1453" i="27"/>
  <c r="J1453" i="27"/>
  <c r="G1453" i="27"/>
  <c r="R1452" i="27"/>
  <c r="P1452" i="27"/>
  <c r="M1452" i="27"/>
  <c r="J1452" i="27"/>
  <c r="G1452" i="27"/>
  <c r="R1451" i="27"/>
  <c r="P1451" i="27"/>
  <c r="M1451" i="27"/>
  <c r="J1451" i="27"/>
  <c r="G1451" i="27"/>
  <c r="R1450" i="27"/>
  <c r="P1450" i="27"/>
  <c r="N1450" i="27" s="1"/>
  <c r="M1450" i="27"/>
  <c r="J1450" i="27"/>
  <c r="G1450" i="27"/>
  <c r="R1449" i="27"/>
  <c r="E1449" i="27" s="1"/>
  <c r="P1449" i="27"/>
  <c r="N1449" i="27" s="1"/>
  <c r="M1449" i="27"/>
  <c r="J1449" i="27"/>
  <c r="G1449" i="27"/>
  <c r="R1448" i="27"/>
  <c r="E1448" i="27" s="1"/>
  <c r="P1448" i="27"/>
  <c r="M1448" i="27"/>
  <c r="J1448" i="27"/>
  <c r="G1448" i="27"/>
  <c r="R1447" i="27"/>
  <c r="P1447" i="27"/>
  <c r="N1447" i="27" s="1"/>
  <c r="M1447" i="27"/>
  <c r="J1447" i="27"/>
  <c r="H1447" i="27"/>
  <c r="G1447" i="27"/>
  <c r="E1447" i="27" s="1"/>
  <c r="R1446" i="27"/>
  <c r="U1446" i="27" s="1"/>
  <c r="V1446" i="27" s="1"/>
  <c r="W1446" i="27" s="1"/>
  <c r="P1446" i="27"/>
  <c r="M1446" i="27"/>
  <c r="K1446" i="27"/>
  <c r="J1446" i="27"/>
  <c r="H1446" i="27" s="1"/>
  <c r="G1446" i="27"/>
  <c r="R1445" i="27"/>
  <c r="P1445" i="27"/>
  <c r="M1445" i="27"/>
  <c r="J1445" i="27"/>
  <c r="G1445" i="27"/>
  <c r="E1445" i="27"/>
  <c r="R1444" i="27"/>
  <c r="H1444" i="27" s="1"/>
  <c r="P1444" i="27"/>
  <c r="M1444" i="27"/>
  <c r="J1444" i="27"/>
  <c r="G1444" i="27"/>
  <c r="R1443" i="27"/>
  <c r="P1443" i="27"/>
  <c r="M1443" i="27"/>
  <c r="J1443" i="27"/>
  <c r="G1443" i="27"/>
  <c r="R1442" i="27"/>
  <c r="P1442" i="27"/>
  <c r="N1442" i="27"/>
  <c r="M1442" i="27"/>
  <c r="J1442" i="27"/>
  <c r="G1442" i="27"/>
  <c r="R1441" i="27"/>
  <c r="P1441" i="27"/>
  <c r="M1441" i="27"/>
  <c r="J1441" i="27"/>
  <c r="G1441" i="27"/>
  <c r="R1440" i="27"/>
  <c r="U1440" i="27" s="1"/>
  <c r="V1440" i="27" s="1"/>
  <c r="W1440" i="27" s="1"/>
  <c r="P1440" i="27"/>
  <c r="N1440" i="27"/>
  <c r="M1440" i="27"/>
  <c r="K1440" i="27" s="1"/>
  <c r="J1440" i="27"/>
  <c r="H1440" i="27" s="1"/>
  <c r="G1440" i="27"/>
  <c r="R1439" i="27"/>
  <c r="P1439" i="27"/>
  <c r="M1439" i="27"/>
  <c r="J1439" i="27"/>
  <c r="G1439" i="27"/>
  <c r="R1438" i="27"/>
  <c r="E1438" i="27" s="1"/>
  <c r="P1438" i="27"/>
  <c r="M1438" i="27"/>
  <c r="J1438" i="27"/>
  <c r="G1438" i="27"/>
  <c r="R1437" i="27"/>
  <c r="E1437" i="27" s="1"/>
  <c r="P1437" i="27"/>
  <c r="N1437" i="27" s="1"/>
  <c r="M1437" i="27"/>
  <c r="J1437" i="27"/>
  <c r="G1437" i="27"/>
  <c r="R1436" i="27"/>
  <c r="N1436" i="27" s="1"/>
  <c r="P1436" i="27"/>
  <c r="M1436" i="27"/>
  <c r="J1436" i="27"/>
  <c r="H1436" i="27" s="1"/>
  <c r="G1436" i="27"/>
  <c r="R1435" i="27"/>
  <c r="P1435" i="27"/>
  <c r="M1435" i="27"/>
  <c r="J1435" i="27"/>
  <c r="G1435" i="27"/>
  <c r="R1434" i="27"/>
  <c r="P1434" i="27"/>
  <c r="M1434" i="27"/>
  <c r="J1434" i="27"/>
  <c r="G1434" i="27"/>
  <c r="R1433" i="27"/>
  <c r="P1433" i="27"/>
  <c r="M1433" i="27"/>
  <c r="J1433" i="27"/>
  <c r="G1433" i="27"/>
  <c r="R1432" i="27"/>
  <c r="P1432" i="27"/>
  <c r="M1432" i="27"/>
  <c r="J1432" i="27"/>
  <c r="G1432" i="27"/>
  <c r="R1431" i="27"/>
  <c r="P1431" i="27"/>
  <c r="N1431" i="27" s="1"/>
  <c r="M1431" i="27"/>
  <c r="J1431" i="27"/>
  <c r="G1431" i="27"/>
  <c r="R1430" i="27"/>
  <c r="H1430" i="27" s="1"/>
  <c r="P1430" i="27"/>
  <c r="M1430" i="27"/>
  <c r="J1430" i="27"/>
  <c r="G1430" i="27"/>
  <c r="R1429" i="27"/>
  <c r="U1429" i="27" s="1"/>
  <c r="V1429" i="27" s="1"/>
  <c r="W1429" i="27" s="1"/>
  <c r="P1429" i="27"/>
  <c r="N1429" i="27" s="1"/>
  <c r="M1429" i="27"/>
  <c r="J1429" i="27"/>
  <c r="G1429" i="27"/>
  <c r="E1429" i="27"/>
  <c r="R1428" i="27"/>
  <c r="P1428" i="27"/>
  <c r="N1428" i="27"/>
  <c r="M1428" i="27"/>
  <c r="J1428" i="27"/>
  <c r="G1428" i="27"/>
  <c r="R1427" i="27"/>
  <c r="P1427" i="27"/>
  <c r="M1427" i="27"/>
  <c r="J1427" i="27"/>
  <c r="G1427" i="27"/>
  <c r="R1426" i="27"/>
  <c r="P1426" i="27"/>
  <c r="M1426" i="27"/>
  <c r="K1426" i="27" s="1"/>
  <c r="J1426" i="27"/>
  <c r="G1426" i="27"/>
  <c r="R1425" i="27"/>
  <c r="P1425" i="27"/>
  <c r="M1425" i="27"/>
  <c r="J1425" i="27"/>
  <c r="G1425" i="27"/>
  <c r="R1424" i="27"/>
  <c r="P1424" i="27"/>
  <c r="M1424" i="27"/>
  <c r="J1424" i="27"/>
  <c r="G1424" i="27"/>
  <c r="R1423" i="27"/>
  <c r="P1423" i="27"/>
  <c r="M1423" i="27"/>
  <c r="J1423" i="27"/>
  <c r="G1423" i="27"/>
  <c r="R1422" i="27"/>
  <c r="P1422" i="27"/>
  <c r="M1422" i="27"/>
  <c r="J1422" i="27"/>
  <c r="G1422" i="27"/>
  <c r="R1421" i="27"/>
  <c r="P1421" i="27"/>
  <c r="N1421" i="27"/>
  <c r="M1421" i="27"/>
  <c r="J1421" i="27"/>
  <c r="G1421" i="27"/>
  <c r="R1420" i="27"/>
  <c r="E1420" i="27" s="1"/>
  <c r="P1420" i="27"/>
  <c r="N1420" i="27" s="1"/>
  <c r="M1420" i="27"/>
  <c r="J1420" i="27"/>
  <c r="H1420" i="27" s="1"/>
  <c r="G1420" i="27"/>
  <c r="R1419" i="27"/>
  <c r="P1419" i="27"/>
  <c r="M1419" i="27"/>
  <c r="J1419" i="27"/>
  <c r="G1419" i="27"/>
  <c r="R1418" i="27"/>
  <c r="P1418" i="27"/>
  <c r="M1418" i="27"/>
  <c r="J1418" i="27"/>
  <c r="G1418" i="27"/>
  <c r="R1417" i="27"/>
  <c r="P1417" i="27"/>
  <c r="N1417" i="27" s="1"/>
  <c r="M1417" i="27"/>
  <c r="J1417" i="27"/>
  <c r="G1417" i="27"/>
  <c r="R1416" i="27"/>
  <c r="U1416" i="27" s="1"/>
  <c r="V1416" i="27" s="1"/>
  <c r="W1416" i="27" s="1"/>
  <c r="P1416" i="27"/>
  <c r="M1416" i="27"/>
  <c r="J1416" i="27"/>
  <c r="G1416" i="27"/>
  <c r="R1415" i="27"/>
  <c r="P1415" i="27"/>
  <c r="N1415" i="27"/>
  <c r="M1415" i="27"/>
  <c r="J1415" i="27"/>
  <c r="G1415" i="27"/>
  <c r="R1414" i="27"/>
  <c r="H1414" i="27" s="1"/>
  <c r="P1414" i="27"/>
  <c r="M1414" i="27"/>
  <c r="J1414" i="27"/>
  <c r="G1414" i="27"/>
  <c r="R1413" i="27"/>
  <c r="P1413" i="27"/>
  <c r="M1413" i="27"/>
  <c r="J1413" i="27"/>
  <c r="G1413" i="27"/>
  <c r="R1412" i="27"/>
  <c r="P1412" i="27"/>
  <c r="M1412" i="27"/>
  <c r="J1412" i="27"/>
  <c r="G1412" i="27"/>
  <c r="E1412" i="27"/>
  <c r="R1411" i="27"/>
  <c r="P1411" i="27"/>
  <c r="M1411" i="27"/>
  <c r="J1411" i="27"/>
  <c r="G1411" i="27"/>
  <c r="R1410" i="27"/>
  <c r="P1410" i="27"/>
  <c r="N1410" i="27" s="1"/>
  <c r="M1410" i="27"/>
  <c r="J1410" i="27"/>
  <c r="G1410" i="27"/>
  <c r="R1409" i="27"/>
  <c r="P1409" i="27"/>
  <c r="M1409" i="27"/>
  <c r="J1409" i="27"/>
  <c r="G1409" i="27"/>
  <c r="R1408" i="27"/>
  <c r="P1408" i="27"/>
  <c r="M1408" i="27"/>
  <c r="J1408" i="27"/>
  <c r="G1408" i="27"/>
  <c r="R1407" i="27"/>
  <c r="P1407" i="27"/>
  <c r="M1407" i="27"/>
  <c r="J1407" i="27"/>
  <c r="G1407" i="27"/>
  <c r="R1406" i="27"/>
  <c r="U1406" i="27" s="1"/>
  <c r="V1406" i="27" s="1"/>
  <c r="W1406" i="27" s="1"/>
  <c r="P1406" i="27"/>
  <c r="M1406" i="27"/>
  <c r="J1406" i="27"/>
  <c r="H1406" i="27"/>
  <c r="G1406" i="27"/>
  <c r="W1405" i="27"/>
  <c r="R1405" i="27"/>
  <c r="U1405" i="27" s="1"/>
  <c r="V1405" i="27" s="1"/>
  <c r="P1405" i="27"/>
  <c r="M1405" i="27"/>
  <c r="K1405" i="27" s="1"/>
  <c r="J1405" i="27"/>
  <c r="G1405" i="27"/>
  <c r="E1405" i="27"/>
  <c r="R1404" i="27"/>
  <c r="E1404" i="27" s="1"/>
  <c r="P1404" i="27"/>
  <c r="M1404" i="27"/>
  <c r="J1404" i="27"/>
  <c r="G1404" i="27"/>
  <c r="R1403" i="27"/>
  <c r="P1403" i="27"/>
  <c r="M1403" i="27"/>
  <c r="J1403" i="27"/>
  <c r="G1403" i="27"/>
  <c r="R1402" i="27"/>
  <c r="P1402" i="27"/>
  <c r="M1402" i="27"/>
  <c r="J1402" i="27"/>
  <c r="G1402" i="27"/>
  <c r="R1401" i="27"/>
  <c r="P1401" i="27"/>
  <c r="M1401" i="27"/>
  <c r="J1401" i="27"/>
  <c r="G1401" i="27"/>
  <c r="R1400" i="27"/>
  <c r="U1400" i="27" s="1"/>
  <c r="V1400" i="27" s="1"/>
  <c r="W1400" i="27" s="1"/>
  <c r="P1400" i="27"/>
  <c r="N1400" i="27" s="1"/>
  <c r="M1400" i="27"/>
  <c r="J1400" i="27"/>
  <c r="H1400" i="27" s="1"/>
  <c r="G1400" i="27"/>
  <c r="E1400" i="27" s="1"/>
  <c r="R1399" i="27"/>
  <c r="U1399" i="27" s="1"/>
  <c r="V1399" i="27" s="1"/>
  <c r="W1399" i="27" s="1"/>
  <c r="P1399" i="27"/>
  <c r="N1399" i="27" s="1"/>
  <c r="M1399" i="27"/>
  <c r="J1399" i="27"/>
  <c r="G1399" i="27"/>
  <c r="E1399" i="27" s="1"/>
  <c r="R1398" i="27"/>
  <c r="P1398" i="27"/>
  <c r="M1398" i="27"/>
  <c r="J1398" i="27"/>
  <c r="G1398" i="27"/>
  <c r="R1397" i="27"/>
  <c r="H1397" i="27" s="1"/>
  <c r="P1397" i="27"/>
  <c r="N1397" i="27" s="1"/>
  <c r="M1397" i="27"/>
  <c r="J1397" i="27"/>
  <c r="G1397" i="27"/>
  <c r="E1397" i="27"/>
  <c r="R1396" i="27"/>
  <c r="P1396" i="27"/>
  <c r="N1396" i="27" s="1"/>
  <c r="M1396" i="27"/>
  <c r="J1396" i="27"/>
  <c r="H1396" i="27" s="1"/>
  <c r="G1396" i="27"/>
  <c r="E1396" i="27" s="1"/>
  <c r="R1395" i="27"/>
  <c r="P1395" i="27"/>
  <c r="M1395" i="27"/>
  <c r="J1395" i="27"/>
  <c r="G1395" i="27"/>
  <c r="R1394" i="27"/>
  <c r="P1394" i="27"/>
  <c r="M1394" i="27"/>
  <c r="J1394" i="27"/>
  <c r="G1394" i="27"/>
  <c r="R1393" i="27"/>
  <c r="P1393" i="27"/>
  <c r="N1393" i="27" s="1"/>
  <c r="M1393" i="27"/>
  <c r="J1393" i="27"/>
  <c r="G1393" i="27"/>
  <c r="R1392" i="27"/>
  <c r="P1392" i="27"/>
  <c r="M1392" i="27"/>
  <c r="J1392" i="27"/>
  <c r="G1392" i="27"/>
  <c r="E1392" i="27"/>
  <c r="R1391" i="27"/>
  <c r="P1391" i="27"/>
  <c r="M1391" i="27"/>
  <c r="J1391" i="27"/>
  <c r="G1391" i="27"/>
  <c r="R1390" i="27"/>
  <c r="P1390" i="27"/>
  <c r="M1390" i="27"/>
  <c r="J1390" i="27"/>
  <c r="G1390" i="27"/>
  <c r="R1389" i="27"/>
  <c r="P1389" i="27"/>
  <c r="N1389" i="27" s="1"/>
  <c r="M1389" i="27"/>
  <c r="J1389" i="27"/>
  <c r="G1389" i="27"/>
  <c r="R1388" i="27"/>
  <c r="P1388" i="27"/>
  <c r="M1388" i="27"/>
  <c r="J1388" i="27"/>
  <c r="G1388" i="27"/>
  <c r="R1387" i="27"/>
  <c r="P1387" i="27"/>
  <c r="M1387" i="27"/>
  <c r="J1387" i="27"/>
  <c r="G1387" i="27"/>
  <c r="R1386" i="27"/>
  <c r="P1386" i="27"/>
  <c r="M1386" i="27"/>
  <c r="K1386" i="27" s="1"/>
  <c r="J1386" i="27"/>
  <c r="G1386" i="27"/>
  <c r="R1385" i="27"/>
  <c r="U1385" i="27" s="1"/>
  <c r="V1385" i="27" s="1"/>
  <c r="W1385" i="27" s="1"/>
  <c r="P1385" i="27"/>
  <c r="N1385" i="27" s="1"/>
  <c r="M1385" i="27"/>
  <c r="K1385" i="27" s="1"/>
  <c r="J1385" i="27"/>
  <c r="G1385" i="27"/>
  <c r="R1384" i="27"/>
  <c r="K1384" i="27" s="1"/>
  <c r="P1384" i="27"/>
  <c r="M1384" i="27"/>
  <c r="J1384" i="27"/>
  <c r="G1384" i="27"/>
  <c r="R1383" i="27"/>
  <c r="P1383" i="27"/>
  <c r="M1383" i="27"/>
  <c r="J1383" i="27"/>
  <c r="G1383" i="27"/>
  <c r="E1383" i="27"/>
  <c r="R1382" i="27"/>
  <c r="P1382" i="27"/>
  <c r="M1382" i="27"/>
  <c r="J1382" i="27"/>
  <c r="G1382" i="27"/>
  <c r="R1381" i="27"/>
  <c r="P1381" i="27"/>
  <c r="N1381" i="27" s="1"/>
  <c r="M1381" i="27"/>
  <c r="J1381" i="27"/>
  <c r="G1381" i="27"/>
  <c r="R1380" i="27"/>
  <c r="P1380" i="27"/>
  <c r="M1380" i="27"/>
  <c r="J1380" i="27"/>
  <c r="G1380" i="27"/>
  <c r="V1379" i="27"/>
  <c r="W1379" i="27" s="1"/>
  <c r="R1379" i="27"/>
  <c r="U1379" i="27" s="1"/>
  <c r="P1379" i="27"/>
  <c r="M1379" i="27"/>
  <c r="K1379" i="27"/>
  <c r="J1379" i="27"/>
  <c r="G1379" i="27"/>
  <c r="R1378" i="27"/>
  <c r="P1378" i="27"/>
  <c r="M1378" i="27"/>
  <c r="J1378" i="27"/>
  <c r="G1378" i="27"/>
  <c r="R1377" i="27"/>
  <c r="E1377" i="27" s="1"/>
  <c r="P1377" i="27"/>
  <c r="M1377" i="27"/>
  <c r="J1377" i="27"/>
  <c r="G1377" i="27"/>
  <c r="R1376" i="27"/>
  <c r="P1376" i="27"/>
  <c r="N1376" i="27" s="1"/>
  <c r="M1376" i="27"/>
  <c r="J1376" i="27"/>
  <c r="G1376" i="27"/>
  <c r="R1375" i="27"/>
  <c r="E1375" i="27" s="1"/>
  <c r="P1375" i="27"/>
  <c r="M1375" i="27"/>
  <c r="J1375" i="27"/>
  <c r="G1375" i="27"/>
  <c r="R1374" i="27"/>
  <c r="P1374" i="27"/>
  <c r="M1374" i="27"/>
  <c r="J1374" i="27"/>
  <c r="G1374" i="27"/>
  <c r="R1373" i="27"/>
  <c r="P1373" i="27"/>
  <c r="M1373" i="27"/>
  <c r="J1373" i="27"/>
  <c r="G1373" i="27"/>
  <c r="R1372" i="27"/>
  <c r="P1372" i="27"/>
  <c r="M1372" i="27"/>
  <c r="J1372" i="27"/>
  <c r="G1372" i="27"/>
  <c r="R1371" i="27"/>
  <c r="P1371" i="27"/>
  <c r="M1371" i="27"/>
  <c r="J1371" i="27"/>
  <c r="G1371" i="27"/>
  <c r="R1370" i="27"/>
  <c r="P1370" i="27"/>
  <c r="M1370" i="27"/>
  <c r="J1370" i="27"/>
  <c r="G1370" i="27"/>
  <c r="V1369" i="27"/>
  <c r="W1369" i="27" s="1"/>
  <c r="R1369" i="27"/>
  <c r="U1369" i="27" s="1"/>
  <c r="P1369" i="27"/>
  <c r="N1369" i="27"/>
  <c r="M1369" i="27"/>
  <c r="J1369" i="27"/>
  <c r="H1369" i="27" s="1"/>
  <c r="G1369" i="27"/>
  <c r="E1369" i="27"/>
  <c r="R1368" i="27"/>
  <c r="P1368" i="27"/>
  <c r="N1368" i="27" s="1"/>
  <c r="M1368" i="27"/>
  <c r="J1368" i="27"/>
  <c r="G1368" i="27"/>
  <c r="R1367" i="27"/>
  <c r="P1367" i="27"/>
  <c r="M1367" i="27"/>
  <c r="J1367" i="27"/>
  <c r="G1367" i="27"/>
  <c r="V1366" i="27"/>
  <c r="W1366" i="27" s="1"/>
  <c r="R1366" i="27"/>
  <c r="U1366" i="27" s="1"/>
  <c r="P1366" i="27"/>
  <c r="N1366" i="27" s="1"/>
  <c r="M1366" i="27"/>
  <c r="K1366" i="27" s="1"/>
  <c r="J1366" i="27"/>
  <c r="H1366" i="27"/>
  <c r="G1366" i="27"/>
  <c r="R1365" i="27"/>
  <c r="P1365" i="27"/>
  <c r="M1365" i="27"/>
  <c r="J1365" i="27"/>
  <c r="G1365" i="27"/>
  <c r="R1364" i="27"/>
  <c r="P1364" i="27"/>
  <c r="N1364" i="27"/>
  <c r="M1364" i="27"/>
  <c r="J1364" i="27"/>
  <c r="G1364" i="27"/>
  <c r="E1364" i="27"/>
  <c r="R1363" i="27"/>
  <c r="P1363" i="27"/>
  <c r="M1363" i="27"/>
  <c r="J1363" i="27"/>
  <c r="G1363" i="27"/>
  <c r="R1362" i="27"/>
  <c r="P1362" i="27"/>
  <c r="N1362" i="27" s="1"/>
  <c r="M1362" i="27"/>
  <c r="K1362" i="27" s="1"/>
  <c r="J1362" i="27"/>
  <c r="G1362" i="27"/>
  <c r="R1361" i="27"/>
  <c r="P1361" i="27"/>
  <c r="M1361" i="27"/>
  <c r="J1361" i="27"/>
  <c r="H1361" i="27" s="1"/>
  <c r="G1361" i="27"/>
  <c r="R1360" i="27"/>
  <c r="P1360" i="27"/>
  <c r="M1360" i="27"/>
  <c r="J1360" i="27"/>
  <c r="G1360" i="27"/>
  <c r="R1359" i="27"/>
  <c r="P1359" i="27"/>
  <c r="M1359" i="27"/>
  <c r="J1359" i="27"/>
  <c r="G1359" i="27"/>
  <c r="R1358" i="27"/>
  <c r="P1358" i="27"/>
  <c r="M1358" i="27"/>
  <c r="J1358" i="27"/>
  <c r="G1358" i="27"/>
  <c r="R1357" i="27"/>
  <c r="P1357" i="27"/>
  <c r="M1357" i="27"/>
  <c r="J1357" i="27"/>
  <c r="G1357" i="27"/>
  <c r="R1356" i="27"/>
  <c r="E1356" i="27" s="1"/>
  <c r="P1356" i="27"/>
  <c r="N1356" i="27" s="1"/>
  <c r="M1356" i="27"/>
  <c r="J1356" i="27"/>
  <c r="H1356" i="27" s="1"/>
  <c r="G1356" i="27"/>
  <c r="R1355" i="27"/>
  <c r="U1355" i="27" s="1"/>
  <c r="V1355" i="27" s="1"/>
  <c r="W1355" i="27" s="1"/>
  <c r="P1355" i="27"/>
  <c r="N1355" i="27" s="1"/>
  <c r="M1355" i="27"/>
  <c r="K1355" i="27"/>
  <c r="J1355" i="27"/>
  <c r="G1355" i="27"/>
  <c r="R1354" i="27"/>
  <c r="P1354" i="27"/>
  <c r="M1354" i="27"/>
  <c r="J1354" i="27"/>
  <c r="G1354" i="27"/>
  <c r="R1353" i="27"/>
  <c r="P1353" i="27"/>
  <c r="N1353" i="27" s="1"/>
  <c r="M1353" i="27"/>
  <c r="J1353" i="27"/>
  <c r="G1353" i="27"/>
  <c r="R1352" i="27"/>
  <c r="P1352" i="27"/>
  <c r="M1352" i="27"/>
  <c r="J1352" i="27"/>
  <c r="G1352" i="27"/>
  <c r="R1351" i="27"/>
  <c r="P1351" i="27"/>
  <c r="M1351" i="27"/>
  <c r="J1351" i="27"/>
  <c r="G1351" i="27"/>
  <c r="R1350" i="27"/>
  <c r="P1350" i="27"/>
  <c r="M1350" i="27"/>
  <c r="J1350" i="27"/>
  <c r="G1350" i="27"/>
  <c r="R1349" i="27"/>
  <c r="U1349" i="27" s="1"/>
  <c r="V1349" i="27" s="1"/>
  <c r="W1349" i="27" s="1"/>
  <c r="P1349" i="27"/>
  <c r="M1349" i="27"/>
  <c r="K1349" i="27" s="1"/>
  <c r="J1349" i="27"/>
  <c r="G1349" i="27"/>
  <c r="E1349" i="27"/>
  <c r="R1348" i="27"/>
  <c r="E1348" i="27" s="1"/>
  <c r="P1348" i="27"/>
  <c r="M1348" i="27"/>
  <c r="J1348" i="27"/>
  <c r="G1348" i="27"/>
  <c r="R1347" i="27"/>
  <c r="P1347" i="27"/>
  <c r="M1347" i="27"/>
  <c r="J1347" i="27"/>
  <c r="G1347" i="27"/>
  <c r="R1346" i="27"/>
  <c r="P1346" i="27"/>
  <c r="M1346" i="27"/>
  <c r="J1346" i="27"/>
  <c r="G1346" i="27"/>
  <c r="R1345" i="27"/>
  <c r="P1345" i="27"/>
  <c r="N1345" i="27" s="1"/>
  <c r="M1345" i="27"/>
  <c r="J1345" i="27"/>
  <c r="G1345" i="27"/>
  <c r="W1344" i="27"/>
  <c r="R1344" i="27"/>
  <c r="U1344" i="27" s="1"/>
  <c r="V1344" i="27" s="1"/>
  <c r="P1344" i="27"/>
  <c r="M1344" i="27"/>
  <c r="K1344" i="27"/>
  <c r="J1344" i="27"/>
  <c r="G1344" i="27"/>
  <c r="E1344" i="27" s="1"/>
  <c r="R1343" i="27"/>
  <c r="P1343" i="27"/>
  <c r="M1343" i="27"/>
  <c r="J1343" i="27"/>
  <c r="G1343" i="27"/>
  <c r="R1342" i="27"/>
  <c r="P1342" i="27"/>
  <c r="M1342" i="27"/>
  <c r="J1342" i="27"/>
  <c r="G1342" i="27"/>
  <c r="R1341" i="27"/>
  <c r="P1341" i="27"/>
  <c r="M1341" i="27"/>
  <c r="J1341" i="27"/>
  <c r="H1341" i="27" s="1"/>
  <c r="G1341" i="27"/>
  <c r="R1340" i="27"/>
  <c r="P1340" i="27"/>
  <c r="M1340" i="27"/>
  <c r="J1340" i="27"/>
  <c r="G1340" i="27"/>
  <c r="R1339" i="27"/>
  <c r="U1339" i="27" s="1"/>
  <c r="V1339" i="27" s="1"/>
  <c r="W1339" i="27" s="1"/>
  <c r="P1339" i="27"/>
  <c r="M1339" i="27"/>
  <c r="J1339" i="27"/>
  <c r="G1339" i="27"/>
  <c r="R1338" i="27"/>
  <c r="P1338" i="27"/>
  <c r="M1338" i="27"/>
  <c r="J1338" i="27"/>
  <c r="G1338" i="27"/>
  <c r="R1337" i="27"/>
  <c r="P1337" i="27"/>
  <c r="N1337" i="27" s="1"/>
  <c r="M1337" i="27"/>
  <c r="J1337" i="27"/>
  <c r="G1337" i="27"/>
  <c r="V1336" i="27"/>
  <c r="W1336" i="27" s="1"/>
  <c r="R1336" i="27"/>
  <c r="U1336" i="27" s="1"/>
  <c r="P1336" i="27"/>
  <c r="M1336" i="27"/>
  <c r="K1336" i="27" s="1"/>
  <c r="J1336" i="27"/>
  <c r="G1336" i="27"/>
  <c r="E1336" i="27" s="1"/>
  <c r="R1335" i="27"/>
  <c r="P1335" i="27"/>
  <c r="M1335" i="27"/>
  <c r="J1335" i="27"/>
  <c r="G1335" i="27"/>
  <c r="E1335" i="27" s="1"/>
  <c r="R1334" i="27"/>
  <c r="P1334" i="27"/>
  <c r="M1334" i="27"/>
  <c r="J1334" i="27"/>
  <c r="G1334" i="27"/>
  <c r="R1333" i="27"/>
  <c r="P1333" i="27"/>
  <c r="N1333" i="27" s="1"/>
  <c r="M1333" i="27"/>
  <c r="J1333" i="27"/>
  <c r="G1333" i="27"/>
  <c r="R1332" i="27"/>
  <c r="P1332" i="27"/>
  <c r="N1332" i="27" s="1"/>
  <c r="M1332" i="27"/>
  <c r="J1332" i="27"/>
  <c r="H1332" i="27"/>
  <c r="G1332" i="27"/>
  <c r="E1332" i="27" s="1"/>
  <c r="R1331" i="27"/>
  <c r="P1331" i="27"/>
  <c r="M1331" i="27"/>
  <c r="J1331" i="27"/>
  <c r="G1331" i="27"/>
  <c r="R1330" i="27"/>
  <c r="P1330" i="27"/>
  <c r="M1330" i="27"/>
  <c r="J1330" i="27"/>
  <c r="G1330" i="27"/>
  <c r="R1329" i="27"/>
  <c r="P1329" i="27"/>
  <c r="N1329" i="27" s="1"/>
  <c r="M1329" i="27"/>
  <c r="J1329" i="27"/>
  <c r="G1329" i="27"/>
  <c r="R1328" i="27"/>
  <c r="K1328" i="27" s="1"/>
  <c r="P1328" i="27"/>
  <c r="M1328" i="27"/>
  <c r="J1328" i="27"/>
  <c r="G1328" i="27"/>
  <c r="E1328" i="27" s="1"/>
  <c r="R1327" i="27"/>
  <c r="P1327" i="27"/>
  <c r="M1327" i="27"/>
  <c r="J1327" i="27"/>
  <c r="G1327" i="27"/>
  <c r="R1326" i="27"/>
  <c r="U1326" i="27" s="1"/>
  <c r="V1326" i="27" s="1"/>
  <c r="W1326" i="27" s="1"/>
  <c r="P1326" i="27"/>
  <c r="M1326" i="27"/>
  <c r="J1326" i="27"/>
  <c r="G1326" i="27"/>
  <c r="R1325" i="27"/>
  <c r="P1325" i="27"/>
  <c r="M1325" i="27"/>
  <c r="J1325" i="27"/>
  <c r="G1325" i="27"/>
  <c r="R1324" i="27"/>
  <c r="P1324" i="27"/>
  <c r="M1324" i="27"/>
  <c r="J1324" i="27"/>
  <c r="G1324" i="27"/>
  <c r="R1323" i="27"/>
  <c r="P1323" i="27"/>
  <c r="M1323" i="27"/>
  <c r="J1323" i="27"/>
  <c r="H1323" i="27" s="1"/>
  <c r="G1323" i="27"/>
  <c r="R1322" i="27"/>
  <c r="P1322" i="27"/>
  <c r="M1322" i="27"/>
  <c r="J1322" i="27"/>
  <c r="G1322" i="27"/>
  <c r="R1321" i="27"/>
  <c r="U1321" i="27" s="1"/>
  <c r="V1321" i="27" s="1"/>
  <c r="W1321" i="27" s="1"/>
  <c r="P1321" i="27"/>
  <c r="N1321" i="27" s="1"/>
  <c r="M1321" i="27"/>
  <c r="K1321" i="27"/>
  <c r="J1321" i="27"/>
  <c r="G1321" i="27"/>
  <c r="R1320" i="27"/>
  <c r="P1320" i="27"/>
  <c r="M1320" i="27"/>
  <c r="J1320" i="27"/>
  <c r="G1320" i="27"/>
  <c r="R1319" i="27"/>
  <c r="U1319" i="27" s="1"/>
  <c r="V1319" i="27" s="1"/>
  <c r="W1319" i="27" s="1"/>
  <c r="P1319" i="27"/>
  <c r="N1319" i="27" s="1"/>
  <c r="M1319" i="27"/>
  <c r="K1319" i="27" s="1"/>
  <c r="J1319" i="27"/>
  <c r="G1319" i="27"/>
  <c r="V1318" i="27"/>
  <c r="W1318" i="27" s="1"/>
  <c r="R1318" i="27"/>
  <c r="U1318" i="27" s="1"/>
  <c r="P1318" i="27"/>
  <c r="N1318" i="27" s="1"/>
  <c r="M1318" i="27"/>
  <c r="K1318" i="27" s="1"/>
  <c r="J1318" i="27"/>
  <c r="H1318" i="27" s="1"/>
  <c r="G1318" i="27"/>
  <c r="R1317" i="27"/>
  <c r="P1317" i="27"/>
  <c r="M1317" i="27"/>
  <c r="J1317" i="27"/>
  <c r="G1317" i="27"/>
  <c r="R1316" i="27"/>
  <c r="H1316" i="27" s="1"/>
  <c r="P1316" i="27"/>
  <c r="M1316" i="27"/>
  <c r="J1316" i="27"/>
  <c r="G1316" i="27"/>
  <c r="R1315" i="27"/>
  <c r="P1315" i="27"/>
  <c r="M1315" i="27"/>
  <c r="J1315" i="27"/>
  <c r="G1315" i="27"/>
  <c r="R1314" i="27"/>
  <c r="P1314" i="27"/>
  <c r="N1314" i="27" s="1"/>
  <c r="M1314" i="27"/>
  <c r="J1314" i="27"/>
  <c r="G1314" i="27"/>
  <c r="E1314" i="27" s="1"/>
  <c r="R1313" i="27"/>
  <c r="P1313" i="27"/>
  <c r="N1313" i="27"/>
  <c r="M1313" i="27"/>
  <c r="J1313" i="27"/>
  <c r="G1313" i="27"/>
  <c r="R1311" i="27"/>
  <c r="P1311" i="27"/>
  <c r="M1311" i="27"/>
  <c r="J1311" i="27"/>
  <c r="G1311" i="27"/>
  <c r="R1310" i="27"/>
  <c r="P1310" i="27"/>
  <c r="N1310" i="27"/>
  <c r="M1310" i="27"/>
  <c r="J1310" i="27"/>
  <c r="G1310" i="27"/>
  <c r="E1310" i="27"/>
  <c r="R1309" i="27"/>
  <c r="E1309" i="27" s="1"/>
  <c r="P1309" i="27"/>
  <c r="M1309" i="27"/>
  <c r="J1309" i="27"/>
  <c r="G1309" i="27"/>
  <c r="R1308" i="27"/>
  <c r="E1308" i="27" s="1"/>
  <c r="P1308" i="27"/>
  <c r="M1308" i="27"/>
  <c r="J1308" i="27"/>
  <c r="G1308" i="27"/>
  <c r="R1307" i="27"/>
  <c r="P1307" i="27"/>
  <c r="N1307" i="27" s="1"/>
  <c r="M1307" i="27"/>
  <c r="J1307" i="27"/>
  <c r="G1307" i="27"/>
  <c r="R1306" i="27"/>
  <c r="P1306" i="27"/>
  <c r="M1306" i="27"/>
  <c r="J1306" i="27"/>
  <c r="G1306" i="27"/>
  <c r="R1305" i="27"/>
  <c r="P1305" i="27"/>
  <c r="M1305" i="27"/>
  <c r="J1305" i="27"/>
  <c r="G1305" i="27"/>
  <c r="R1304" i="27"/>
  <c r="P1304" i="27"/>
  <c r="M1304" i="27"/>
  <c r="J1304" i="27"/>
  <c r="G1304" i="27"/>
  <c r="E1304" i="27" s="1"/>
  <c r="V1303" i="27"/>
  <c r="W1303" i="27" s="1"/>
  <c r="R1303" i="27"/>
  <c r="U1303" i="27" s="1"/>
  <c r="P1303" i="27"/>
  <c r="N1303" i="27" s="1"/>
  <c r="M1303" i="27"/>
  <c r="J1303" i="27"/>
  <c r="H1303" i="27" s="1"/>
  <c r="G1303" i="27"/>
  <c r="E1303" i="27"/>
  <c r="R1302" i="27"/>
  <c r="H1302" i="27" s="1"/>
  <c r="P1302" i="27"/>
  <c r="M1302" i="27"/>
  <c r="J1302" i="27"/>
  <c r="G1302" i="27"/>
  <c r="E1302" i="27"/>
  <c r="R1301" i="27"/>
  <c r="U1301" i="27" s="1"/>
  <c r="V1301" i="27" s="1"/>
  <c r="W1301" i="27" s="1"/>
  <c r="P1301" i="27"/>
  <c r="N1301" i="27" s="1"/>
  <c r="M1301" i="27"/>
  <c r="J1301" i="27"/>
  <c r="H1301" i="27"/>
  <c r="G1301" i="27"/>
  <c r="R1300" i="27"/>
  <c r="U1300" i="27" s="1"/>
  <c r="V1300" i="27" s="1"/>
  <c r="W1300" i="27" s="1"/>
  <c r="P1300" i="27"/>
  <c r="N1300" i="27" s="1"/>
  <c r="M1300" i="27"/>
  <c r="J1300" i="27"/>
  <c r="G1300" i="27"/>
  <c r="R1299" i="27"/>
  <c r="P1299" i="27"/>
  <c r="N1299" i="27"/>
  <c r="M1299" i="27"/>
  <c r="J1299" i="27"/>
  <c r="G1299" i="27"/>
  <c r="E1299" i="27" s="1"/>
  <c r="R1298" i="27"/>
  <c r="P1298" i="27"/>
  <c r="M1298" i="27"/>
  <c r="J1298" i="27"/>
  <c r="G1298" i="27"/>
  <c r="R1297" i="27"/>
  <c r="P1297" i="27"/>
  <c r="M1297" i="27"/>
  <c r="J1297" i="27"/>
  <c r="G1297" i="27"/>
  <c r="R1296" i="27"/>
  <c r="P1296" i="27"/>
  <c r="N1296" i="27"/>
  <c r="M1296" i="27"/>
  <c r="J1296" i="27"/>
  <c r="G1296" i="27"/>
  <c r="R1295" i="27"/>
  <c r="P1295" i="27"/>
  <c r="N1295" i="27" s="1"/>
  <c r="M1295" i="27"/>
  <c r="J1295" i="27"/>
  <c r="H1295" i="27"/>
  <c r="G1295" i="27"/>
  <c r="V1294" i="27"/>
  <c r="W1294" i="27" s="1"/>
  <c r="R1294" i="27"/>
  <c r="U1294" i="27" s="1"/>
  <c r="P1294" i="27"/>
  <c r="M1294" i="27"/>
  <c r="J1294" i="27"/>
  <c r="H1294" i="27"/>
  <c r="G1294" i="27"/>
  <c r="E1294" i="27"/>
  <c r="R1293" i="27"/>
  <c r="P1293" i="27"/>
  <c r="M1293" i="27"/>
  <c r="J1293" i="27"/>
  <c r="G1293" i="27"/>
  <c r="R1292" i="27"/>
  <c r="P1292" i="27"/>
  <c r="M1292" i="27"/>
  <c r="J1292" i="27"/>
  <c r="G1292" i="27"/>
  <c r="R1291" i="27"/>
  <c r="E1291" i="27" s="1"/>
  <c r="P1291" i="27"/>
  <c r="M1291" i="27"/>
  <c r="J1291" i="27"/>
  <c r="G1291" i="27"/>
  <c r="R1290" i="27"/>
  <c r="U1290" i="27" s="1"/>
  <c r="V1290" i="27" s="1"/>
  <c r="W1290" i="27" s="1"/>
  <c r="P1290" i="27"/>
  <c r="M1290" i="27"/>
  <c r="J1290" i="27"/>
  <c r="G1290" i="27"/>
  <c r="R1289" i="27"/>
  <c r="P1289" i="27"/>
  <c r="M1289" i="27"/>
  <c r="J1289" i="27"/>
  <c r="G1289" i="27"/>
  <c r="R1288" i="27"/>
  <c r="P1288" i="27"/>
  <c r="M1288" i="27"/>
  <c r="J1288" i="27"/>
  <c r="G1288" i="27"/>
  <c r="R1287" i="27"/>
  <c r="P1287" i="27"/>
  <c r="N1287" i="27" s="1"/>
  <c r="M1287" i="27"/>
  <c r="J1287" i="27"/>
  <c r="G1287" i="27"/>
  <c r="R1286" i="27"/>
  <c r="P1286" i="27"/>
  <c r="N1286" i="27" s="1"/>
  <c r="M1286" i="27"/>
  <c r="J1286" i="27"/>
  <c r="G1286" i="27"/>
  <c r="R1285" i="27"/>
  <c r="H1285" i="27" s="1"/>
  <c r="P1285" i="27"/>
  <c r="M1285" i="27"/>
  <c r="J1285" i="27"/>
  <c r="G1285" i="27"/>
  <c r="E1285" i="27"/>
  <c r="R1284" i="27"/>
  <c r="E1284" i="27" s="1"/>
  <c r="P1284" i="27"/>
  <c r="M1284" i="27"/>
  <c r="J1284" i="27"/>
  <c r="H1284" i="27"/>
  <c r="G1284" i="27"/>
  <c r="R1283" i="27"/>
  <c r="E1283" i="27" s="1"/>
  <c r="P1283" i="27"/>
  <c r="M1283" i="27"/>
  <c r="J1283" i="27"/>
  <c r="G1283" i="27"/>
  <c r="R1282" i="27"/>
  <c r="N1282" i="27" s="1"/>
  <c r="P1282" i="27"/>
  <c r="M1282" i="27"/>
  <c r="J1282" i="27"/>
  <c r="G1282" i="27"/>
  <c r="R1280" i="27"/>
  <c r="P1280" i="27"/>
  <c r="M1280" i="27"/>
  <c r="J1280" i="27"/>
  <c r="G1280" i="27"/>
  <c r="R1279" i="27"/>
  <c r="P1279" i="27"/>
  <c r="M1279" i="27"/>
  <c r="J1279" i="27"/>
  <c r="G1279" i="27"/>
  <c r="R1277" i="27"/>
  <c r="P1277" i="27"/>
  <c r="M1277" i="27"/>
  <c r="J1277" i="27"/>
  <c r="G1277" i="27"/>
  <c r="R1276" i="27"/>
  <c r="P1276" i="27"/>
  <c r="M1276" i="27"/>
  <c r="J1276" i="27"/>
  <c r="G1276" i="27"/>
  <c r="R1275" i="27"/>
  <c r="U1275" i="27" s="1"/>
  <c r="V1275" i="27" s="1"/>
  <c r="W1275" i="27" s="1"/>
  <c r="P1275" i="27"/>
  <c r="M1275" i="27"/>
  <c r="K1275" i="27" s="1"/>
  <c r="J1275" i="27"/>
  <c r="G1275" i="27"/>
  <c r="R1274" i="27"/>
  <c r="U1274" i="27" s="1"/>
  <c r="V1274" i="27" s="1"/>
  <c r="W1274" i="27" s="1"/>
  <c r="P1274" i="27"/>
  <c r="M1274" i="27"/>
  <c r="K1274" i="27"/>
  <c r="J1274" i="27"/>
  <c r="H1274" i="27" s="1"/>
  <c r="G1274" i="27"/>
  <c r="R1273" i="27"/>
  <c r="P1273" i="27"/>
  <c r="M1273" i="27"/>
  <c r="J1273" i="27"/>
  <c r="G1273" i="27"/>
  <c r="E1273" i="27"/>
  <c r="V1272" i="27"/>
  <c r="W1272" i="27" s="1"/>
  <c r="R1272" i="27"/>
  <c r="U1272" i="27" s="1"/>
  <c r="P1272" i="27"/>
  <c r="M1272" i="27"/>
  <c r="J1272" i="27"/>
  <c r="G1272" i="27"/>
  <c r="E1272" i="27"/>
  <c r="R1271" i="27"/>
  <c r="K1271" i="27" s="1"/>
  <c r="P1271" i="27"/>
  <c r="M1271" i="27"/>
  <c r="J1271" i="27"/>
  <c r="G1271" i="27"/>
  <c r="R1270" i="27"/>
  <c r="P1270" i="27"/>
  <c r="M1270" i="27"/>
  <c r="J1270" i="27"/>
  <c r="G1270" i="27"/>
  <c r="V1269" i="27"/>
  <c r="W1269" i="27" s="1"/>
  <c r="R1269" i="27"/>
  <c r="U1269" i="27" s="1"/>
  <c r="P1269" i="27"/>
  <c r="N1269" i="27" s="1"/>
  <c r="M1269" i="27"/>
  <c r="K1269" i="27"/>
  <c r="J1269" i="27"/>
  <c r="G1269" i="27"/>
  <c r="R1268" i="27"/>
  <c r="P1268" i="27"/>
  <c r="M1268" i="27"/>
  <c r="K1268" i="27"/>
  <c r="J1268" i="27"/>
  <c r="G1268" i="27"/>
  <c r="E1268" i="27" s="1"/>
  <c r="R1267" i="27"/>
  <c r="P1267" i="27"/>
  <c r="M1267" i="27"/>
  <c r="J1267" i="27"/>
  <c r="G1267" i="27"/>
  <c r="R1266" i="27"/>
  <c r="P1266" i="27"/>
  <c r="M1266" i="27"/>
  <c r="J1266" i="27"/>
  <c r="G1266" i="27"/>
  <c r="R1265" i="27"/>
  <c r="P1265" i="27"/>
  <c r="M1265" i="27"/>
  <c r="J1265" i="27"/>
  <c r="H1265" i="27" s="1"/>
  <c r="G1265" i="27"/>
  <c r="E1265" i="27"/>
  <c r="V1264" i="27"/>
  <c r="W1264" i="27" s="1"/>
  <c r="R1264" i="27"/>
  <c r="U1264" i="27" s="1"/>
  <c r="P1264" i="27"/>
  <c r="N1264" i="27" s="1"/>
  <c r="M1264" i="27"/>
  <c r="K1264" i="27" s="1"/>
  <c r="J1264" i="27"/>
  <c r="H1264" i="27" s="1"/>
  <c r="G1264" i="27"/>
  <c r="E1264" i="27" s="1"/>
  <c r="R1263" i="27"/>
  <c r="P1263" i="27"/>
  <c r="N1263" i="27" s="1"/>
  <c r="M1263" i="27"/>
  <c r="J1263" i="27"/>
  <c r="G1263" i="27"/>
  <c r="R1262" i="27"/>
  <c r="H1262" i="27" s="1"/>
  <c r="P1262" i="27"/>
  <c r="N1262" i="27" s="1"/>
  <c r="M1262" i="27"/>
  <c r="J1262" i="27"/>
  <c r="G1262" i="27"/>
  <c r="R1261" i="27"/>
  <c r="P1261" i="27"/>
  <c r="M1261" i="27"/>
  <c r="J1261" i="27"/>
  <c r="G1261" i="27"/>
  <c r="R1260" i="27"/>
  <c r="N1260" i="27" s="1"/>
  <c r="P1260" i="27"/>
  <c r="M1260" i="27"/>
  <c r="J1260" i="27"/>
  <c r="G1260" i="27"/>
  <c r="R1259" i="27"/>
  <c r="U1259" i="27" s="1"/>
  <c r="V1259" i="27" s="1"/>
  <c r="W1259" i="27" s="1"/>
  <c r="P1259" i="27"/>
  <c r="M1259" i="27"/>
  <c r="J1259" i="27"/>
  <c r="G1259" i="27"/>
  <c r="R1258" i="27"/>
  <c r="P1258" i="27"/>
  <c r="M1258" i="27"/>
  <c r="J1258" i="27"/>
  <c r="G1258" i="27"/>
  <c r="R1257" i="27"/>
  <c r="P1257" i="27"/>
  <c r="M1257" i="27"/>
  <c r="J1257" i="27"/>
  <c r="G1257" i="27"/>
  <c r="R1256" i="27"/>
  <c r="E1256" i="27" s="1"/>
  <c r="P1256" i="27"/>
  <c r="M1256" i="27"/>
  <c r="J1256" i="27"/>
  <c r="G1256" i="27"/>
  <c r="R1255" i="27"/>
  <c r="P1255" i="27"/>
  <c r="M1255" i="27"/>
  <c r="J1255" i="27"/>
  <c r="G1255" i="27"/>
  <c r="R1254" i="27"/>
  <c r="P1254" i="27"/>
  <c r="N1254" i="27" s="1"/>
  <c r="M1254" i="27"/>
  <c r="K1254" i="27" s="1"/>
  <c r="J1254" i="27"/>
  <c r="G1254" i="27"/>
  <c r="E1254" i="27" s="1"/>
  <c r="R1253" i="27"/>
  <c r="P1253" i="27"/>
  <c r="M1253" i="27"/>
  <c r="J1253" i="27"/>
  <c r="G1253" i="27"/>
  <c r="E1253" i="27"/>
  <c r="R1252" i="27"/>
  <c r="P1252" i="27"/>
  <c r="M1252" i="27"/>
  <c r="J1252" i="27"/>
  <c r="G1252" i="27"/>
  <c r="R1251" i="27"/>
  <c r="P1251" i="27"/>
  <c r="M1251" i="27"/>
  <c r="J1251" i="27"/>
  <c r="G1251" i="27"/>
  <c r="R1250" i="27"/>
  <c r="P1250" i="27"/>
  <c r="M1250" i="27"/>
  <c r="J1250" i="27"/>
  <c r="G1250" i="27"/>
  <c r="R1249" i="27"/>
  <c r="P1249" i="27"/>
  <c r="M1249" i="27"/>
  <c r="J1249" i="27"/>
  <c r="G1249" i="27"/>
  <c r="R1248" i="27"/>
  <c r="P1248" i="27"/>
  <c r="M1248" i="27"/>
  <c r="K1248" i="27"/>
  <c r="J1248" i="27"/>
  <c r="G1248" i="27"/>
  <c r="R1247" i="27"/>
  <c r="P1247" i="27"/>
  <c r="N1247" i="27" s="1"/>
  <c r="M1247" i="27"/>
  <c r="K1247" i="27"/>
  <c r="J1247" i="27"/>
  <c r="G1247" i="27"/>
  <c r="R1246" i="27"/>
  <c r="E1246" i="27" s="1"/>
  <c r="P1246" i="27"/>
  <c r="M1246" i="27"/>
  <c r="J1246" i="27"/>
  <c r="G1246" i="27"/>
  <c r="R1245" i="27"/>
  <c r="P1245" i="27"/>
  <c r="N1245" i="27"/>
  <c r="M1245" i="27"/>
  <c r="J1245" i="27"/>
  <c r="G1245" i="27"/>
  <c r="R1244" i="27"/>
  <c r="U1244" i="27" s="1"/>
  <c r="V1244" i="27" s="1"/>
  <c r="W1244" i="27" s="1"/>
  <c r="P1244" i="27"/>
  <c r="N1244" i="27" s="1"/>
  <c r="M1244" i="27"/>
  <c r="K1244" i="27" s="1"/>
  <c r="J1244" i="27"/>
  <c r="G1244" i="27"/>
  <c r="E1244" i="27"/>
  <c r="R1243" i="27"/>
  <c r="P1243" i="27"/>
  <c r="M1243" i="27"/>
  <c r="J1243" i="27"/>
  <c r="G1243" i="27"/>
  <c r="R1242" i="27"/>
  <c r="P1242" i="27"/>
  <c r="M1242" i="27"/>
  <c r="J1242" i="27"/>
  <c r="G1242" i="27"/>
  <c r="R1241" i="27"/>
  <c r="P1241" i="27"/>
  <c r="M1241" i="27"/>
  <c r="J1241" i="27"/>
  <c r="G1241" i="27"/>
  <c r="R1240" i="27"/>
  <c r="P1240" i="27"/>
  <c r="M1240" i="27"/>
  <c r="J1240" i="27"/>
  <c r="G1240" i="27"/>
  <c r="R1239" i="27"/>
  <c r="P1239" i="27"/>
  <c r="M1239" i="27"/>
  <c r="J1239" i="27"/>
  <c r="G1239" i="27"/>
  <c r="R1238" i="27"/>
  <c r="P1238" i="27"/>
  <c r="M1238" i="27"/>
  <c r="K1238" i="27" s="1"/>
  <c r="J1238" i="27"/>
  <c r="G1238" i="27"/>
  <c r="R1237" i="27"/>
  <c r="U1237" i="27" s="1"/>
  <c r="V1237" i="27" s="1"/>
  <c r="W1237" i="27" s="1"/>
  <c r="P1237" i="27"/>
  <c r="M1237" i="27"/>
  <c r="J1237" i="27"/>
  <c r="H1237" i="27" s="1"/>
  <c r="G1237" i="27"/>
  <c r="E1237" i="27" s="1"/>
  <c r="R1236" i="27"/>
  <c r="P1236" i="27"/>
  <c r="M1236" i="27"/>
  <c r="J1236" i="27"/>
  <c r="G1236" i="27"/>
  <c r="R1235" i="27"/>
  <c r="P1235" i="27"/>
  <c r="M1235" i="27"/>
  <c r="J1235" i="27"/>
  <c r="G1235" i="27"/>
  <c r="R1234" i="27"/>
  <c r="P1234" i="27"/>
  <c r="M1234" i="27"/>
  <c r="J1234" i="27"/>
  <c r="G1234" i="27"/>
  <c r="R1233" i="27"/>
  <c r="E1233" i="27" s="1"/>
  <c r="P1233" i="27"/>
  <c r="M1233" i="27"/>
  <c r="J1233" i="27"/>
  <c r="G1233" i="27"/>
  <c r="R1232" i="27"/>
  <c r="P1232" i="27"/>
  <c r="M1232" i="27"/>
  <c r="J1232" i="27"/>
  <c r="G1232" i="27"/>
  <c r="R1231" i="27"/>
  <c r="P1231" i="27"/>
  <c r="N1231" i="27" s="1"/>
  <c r="M1231" i="27"/>
  <c r="J1231" i="27"/>
  <c r="G1231" i="27"/>
  <c r="E1231" i="27" s="1"/>
  <c r="V1230" i="27"/>
  <c r="W1230" i="27" s="1"/>
  <c r="R1230" i="27"/>
  <c r="U1230" i="27" s="1"/>
  <c r="P1230" i="27"/>
  <c r="N1230" i="27"/>
  <c r="M1230" i="27"/>
  <c r="J1230" i="27"/>
  <c r="H1230" i="27" s="1"/>
  <c r="G1230" i="27"/>
  <c r="E1230" i="27" s="1"/>
  <c r="R1229" i="27"/>
  <c r="P1229" i="27"/>
  <c r="M1229" i="27"/>
  <c r="J1229" i="27"/>
  <c r="G1229" i="27"/>
  <c r="R1228" i="27"/>
  <c r="P1228" i="27"/>
  <c r="N1228" i="27" s="1"/>
  <c r="M1228" i="27"/>
  <c r="J1228" i="27"/>
  <c r="H1228" i="27"/>
  <c r="G1228" i="27"/>
  <c r="R1227" i="27"/>
  <c r="K1227" i="27" s="1"/>
  <c r="P1227" i="27"/>
  <c r="M1227" i="27"/>
  <c r="J1227" i="27"/>
  <c r="G1227" i="27"/>
  <c r="R1226" i="27"/>
  <c r="P1226" i="27"/>
  <c r="N1226" i="27" s="1"/>
  <c r="M1226" i="27"/>
  <c r="J1226" i="27"/>
  <c r="G1226" i="27"/>
  <c r="R1225" i="27"/>
  <c r="P1225" i="27"/>
  <c r="N1225" i="27"/>
  <c r="M1225" i="27"/>
  <c r="J1225" i="27"/>
  <c r="G1225" i="27"/>
  <c r="R1224" i="27"/>
  <c r="N1224" i="27" s="1"/>
  <c r="P1224" i="27"/>
  <c r="M1224" i="27"/>
  <c r="J1224" i="27"/>
  <c r="G1224" i="27"/>
  <c r="R1223" i="27"/>
  <c r="P1223" i="27"/>
  <c r="M1223" i="27"/>
  <c r="J1223" i="27"/>
  <c r="G1223" i="27"/>
  <c r="R1222" i="27"/>
  <c r="U1222" i="27" s="1"/>
  <c r="V1222" i="27" s="1"/>
  <c r="W1222" i="27" s="1"/>
  <c r="P1222" i="27"/>
  <c r="M1222" i="27"/>
  <c r="J1222" i="27"/>
  <c r="G1222" i="27"/>
  <c r="R1221" i="27"/>
  <c r="U1221" i="27" s="1"/>
  <c r="V1221" i="27" s="1"/>
  <c r="W1221" i="27" s="1"/>
  <c r="P1221" i="27"/>
  <c r="M1221" i="27"/>
  <c r="J1221" i="27"/>
  <c r="G1221" i="27"/>
  <c r="R1220" i="27"/>
  <c r="E1220" i="27" s="1"/>
  <c r="P1220" i="27"/>
  <c r="M1220" i="27"/>
  <c r="J1220" i="27"/>
  <c r="G1220" i="27"/>
  <c r="R1218" i="27"/>
  <c r="P1218" i="27"/>
  <c r="M1218" i="27"/>
  <c r="J1218" i="27"/>
  <c r="G1218" i="27"/>
  <c r="R1217" i="27"/>
  <c r="P1217" i="27"/>
  <c r="M1217" i="27"/>
  <c r="J1217" i="27"/>
  <c r="G1217" i="27"/>
  <c r="V1216" i="27"/>
  <c r="W1216" i="27" s="1"/>
  <c r="R1216" i="27"/>
  <c r="U1216" i="27" s="1"/>
  <c r="P1216" i="27"/>
  <c r="N1216" i="27" s="1"/>
  <c r="M1216" i="27"/>
  <c r="K1216" i="27" s="1"/>
  <c r="J1216" i="27"/>
  <c r="G1216" i="27"/>
  <c r="E1216" i="27" s="1"/>
  <c r="R1215" i="27"/>
  <c r="P1215" i="27"/>
  <c r="M1215" i="27"/>
  <c r="J1215" i="27"/>
  <c r="G1215" i="27"/>
  <c r="R1214" i="27"/>
  <c r="E1214" i="27" s="1"/>
  <c r="P1214" i="27"/>
  <c r="M1214" i="27"/>
  <c r="J1214" i="27"/>
  <c r="G1214" i="27"/>
  <c r="R1213" i="27"/>
  <c r="H1213" i="27" s="1"/>
  <c r="P1213" i="27"/>
  <c r="M1213" i="27"/>
  <c r="J1213" i="27"/>
  <c r="G1213" i="27"/>
  <c r="R1212" i="27"/>
  <c r="P1212" i="27"/>
  <c r="M1212" i="27"/>
  <c r="J1212" i="27"/>
  <c r="G1212" i="27"/>
  <c r="R1211" i="27"/>
  <c r="P1211" i="27"/>
  <c r="M1211" i="27"/>
  <c r="J1211" i="27"/>
  <c r="G1211" i="27"/>
  <c r="R1210" i="27"/>
  <c r="E1210" i="27" s="1"/>
  <c r="P1210" i="27"/>
  <c r="N1210" i="27"/>
  <c r="M1210" i="27"/>
  <c r="J1210" i="27"/>
  <c r="G1210" i="27"/>
  <c r="V1209" i="27"/>
  <c r="W1209" i="27" s="1"/>
  <c r="R1209" i="27"/>
  <c r="U1209" i="27" s="1"/>
  <c r="P1209" i="27"/>
  <c r="N1209" i="27"/>
  <c r="M1209" i="27"/>
  <c r="K1209" i="27" s="1"/>
  <c r="J1209" i="27"/>
  <c r="H1209" i="27" s="1"/>
  <c r="G1209" i="27"/>
  <c r="R1208" i="27"/>
  <c r="P1208" i="27"/>
  <c r="M1208" i="27"/>
  <c r="J1208" i="27"/>
  <c r="G1208" i="27"/>
  <c r="W1207" i="27"/>
  <c r="V1207" i="27"/>
  <c r="R1207" i="27"/>
  <c r="U1207" i="27" s="1"/>
  <c r="P1207" i="27"/>
  <c r="M1207" i="27"/>
  <c r="J1207" i="27"/>
  <c r="H1207" i="27"/>
  <c r="G1207" i="27"/>
  <c r="E1207" i="27"/>
  <c r="R1206" i="27"/>
  <c r="P1206" i="27"/>
  <c r="M1206" i="27"/>
  <c r="J1206" i="27"/>
  <c r="G1206" i="27"/>
  <c r="R1205" i="27"/>
  <c r="P1205" i="27"/>
  <c r="M1205" i="27"/>
  <c r="J1205" i="27"/>
  <c r="G1205" i="27"/>
  <c r="E1205" i="27" s="1"/>
  <c r="R1204" i="27"/>
  <c r="P1204" i="27"/>
  <c r="M1204" i="27"/>
  <c r="J1204" i="27"/>
  <c r="G1204" i="27"/>
  <c r="R1203" i="27"/>
  <c r="P1203" i="27"/>
  <c r="M1203" i="27"/>
  <c r="J1203" i="27"/>
  <c r="G1203" i="27"/>
  <c r="R1202" i="27"/>
  <c r="P1202" i="27"/>
  <c r="M1202" i="27"/>
  <c r="J1202" i="27"/>
  <c r="G1202" i="27"/>
  <c r="R1201" i="27"/>
  <c r="U1201" i="27" s="1"/>
  <c r="V1201" i="27" s="1"/>
  <c r="W1201" i="27" s="1"/>
  <c r="P1201" i="27"/>
  <c r="N1201" i="27"/>
  <c r="M1201" i="27"/>
  <c r="J1201" i="27"/>
  <c r="H1201" i="27"/>
  <c r="G1201" i="27"/>
  <c r="R1200" i="27"/>
  <c r="U1200" i="27" s="1"/>
  <c r="V1200" i="27" s="1"/>
  <c r="W1200" i="27" s="1"/>
  <c r="P1200" i="27"/>
  <c r="N1200" i="27" s="1"/>
  <c r="M1200" i="27"/>
  <c r="K1200" i="27"/>
  <c r="J1200" i="27"/>
  <c r="G1200" i="27"/>
  <c r="R1199" i="27"/>
  <c r="P1199" i="27"/>
  <c r="M1199" i="27"/>
  <c r="J1199" i="27"/>
  <c r="G1199" i="27"/>
  <c r="R1198" i="27"/>
  <c r="P1198" i="27"/>
  <c r="M1198" i="27"/>
  <c r="K1198" i="27"/>
  <c r="J1198" i="27"/>
  <c r="G1198" i="27"/>
  <c r="R1197" i="27"/>
  <c r="P1197" i="27"/>
  <c r="M1197" i="27"/>
  <c r="J1197" i="27"/>
  <c r="G1197" i="27"/>
  <c r="R1196" i="27"/>
  <c r="P1196" i="27"/>
  <c r="M1196" i="27"/>
  <c r="J1196" i="27"/>
  <c r="G1196" i="27"/>
  <c r="E1196" i="27"/>
  <c r="R1195" i="27"/>
  <c r="P1195" i="27"/>
  <c r="M1195" i="27"/>
  <c r="J1195" i="27"/>
  <c r="G1195" i="27"/>
  <c r="R1194" i="27"/>
  <c r="P1194" i="27"/>
  <c r="M1194" i="27"/>
  <c r="J1194" i="27"/>
  <c r="G1194" i="27"/>
  <c r="R1193" i="27"/>
  <c r="U1193" i="27" s="1"/>
  <c r="V1193" i="27" s="1"/>
  <c r="W1193" i="27" s="1"/>
  <c r="P1193" i="27"/>
  <c r="M1193" i="27"/>
  <c r="J1193" i="27"/>
  <c r="G1193" i="27"/>
  <c r="R1192" i="27"/>
  <c r="N1192" i="27" s="1"/>
  <c r="P1192" i="27"/>
  <c r="M1192" i="27"/>
  <c r="J1192" i="27"/>
  <c r="G1192" i="27"/>
  <c r="R1191" i="27"/>
  <c r="U1191" i="27" s="1"/>
  <c r="V1191" i="27" s="1"/>
  <c r="W1191" i="27" s="1"/>
  <c r="P1191" i="27"/>
  <c r="M1191" i="27"/>
  <c r="J1191" i="27"/>
  <c r="G1191" i="27"/>
  <c r="R1190" i="27"/>
  <c r="K1190" i="27" s="1"/>
  <c r="P1190" i="27"/>
  <c r="M1190" i="27"/>
  <c r="J1190" i="27"/>
  <c r="G1190" i="27"/>
  <c r="R1189" i="27"/>
  <c r="P1189" i="27"/>
  <c r="M1189" i="27"/>
  <c r="J1189" i="27"/>
  <c r="G1189" i="27"/>
  <c r="R1188" i="27"/>
  <c r="P1188" i="27"/>
  <c r="M1188" i="27"/>
  <c r="J1188" i="27"/>
  <c r="G1188" i="27"/>
  <c r="R1187" i="27"/>
  <c r="P1187" i="27"/>
  <c r="N1187" i="27" s="1"/>
  <c r="M1187" i="27"/>
  <c r="J1187" i="27"/>
  <c r="G1187" i="27"/>
  <c r="R1186" i="27"/>
  <c r="P1186" i="27"/>
  <c r="M1186" i="27"/>
  <c r="J1186" i="27"/>
  <c r="G1186" i="27"/>
  <c r="R1185" i="27"/>
  <c r="P1185" i="27"/>
  <c r="M1185" i="27"/>
  <c r="J1185" i="27"/>
  <c r="G1185" i="27"/>
  <c r="R1184" i="27"/>
  <c r="P1184" i="27"/>
  <c r="M1184" i="27"/>
  <c r="J1184" i="27"/>
  <c r="G1184" i="27"/>
  <c r="R1183" i="27"/>
  <c r="P1183" i="27"/>
  <c r="M1183" i="27"/>
  <c r="J1183" i="27"/>
  <c r="G1183" i="27"/>
  <c r="R1182" i="27"/>
  <c r="P1182" i="27"/>
  <c r="M1182" i="27"/>
  <c r="J1182" i="27"/>
  <c r="G1182" i="27"/>
  <c r="R1181" i="27"/>
  <c r="U1181" i="27" s="1"/>
  <c r="V1181" i="27" s="1"/>
  <c r="W1181" i="27" s="1"/>
  <c r="P1181" i="27"/>
  <c r="N1181" i="27" s="1"/>
  <c r="M1181" i="27"/>
  <c r="J1181" i="27"/>
  <c r="G1181" i="27"/>
  <c r="R1180" i="27"/>
  <c r="P1180" i="27"/>
  <c r="M1180" i="27"/>
  <c r="J1180" i="27"/>
  <c r="G1180" i="27"/>
  <c r="R1179" i="27"/>
  <c r="P1179" i="27"/>
  <c r="N1179" i="27"/>
  <c r="M1179" i="27"/>
  <c r="J1179" i="27"/>
  <c r="G1179" i="27"/>
  <c r="R1178" i="27"/>
  <c r="P1178" i="27"/>
  <c r="M1178" i="27"/>
  <c r="J1178" i="27"/>
  <c r="G1178" i="27"/>
  <c r="R1177" i="27"/>
  <c r="U1177" i="27" s="1"/>
  <c r="V1177" i="27" s="1"/>
  <c r="W1177" i="27" s="1"/>
  <c r="P1177" i="27"/>
  <c r="N1177" i="27" s="1"/>
  <c r="M1177" i="27"/>
  <c r="J1177" i="27"/>
  <c r="G1177" i="27"/>
  <c r="V1176" i="27"/>
  <c r="W1176" i="27" s="1"/>
  <c r="R1176" i="27"/>
  <c r="U1176" i="27" s="1"/>
  <c r="P1176" i="27"/>
  <c r="N1176" i="27" s="1"/>
  <c r="M1176" i="27"/>
  <c r="J1176" i="27"/>
  <c r="G1176" i="27"/>
  <c r="E1176" i="27" s="1"/>
  <c r="R1175" i="27"/>
  <c r="P1175" i="27"/>
  <c r="M1175" i="27"/>
  <c r="J1175" i="27"/>
  <c r="G1175" i="27"/>
  <c r="R1174" i="27"/>
  <c r="P1174" i="27"/>
  <c r="M1174" i="27"/>
  <c r="J1174" i="27"/>
  <c r="G1174" i="27"/>
  <c r="R1173" i="27"/>
  <c r="P1173" i="27"/>
  <c r="M1173" i="27"/>
  <c r="J1173" i="27"/>
  <c r="G1173" i="27"/>
  <c r="R1172" i="27"/>
  <c r="P1172" i="27"/>
  <c r="M1172" i="27"/>
  <c r="J1172" i="27"/>
  <c r="G1172" i="27"/>
  <c r="R1171" i="27"/>
  <c r="P1171" i="27"/>
  <c r="M1171" i="27"/>
  <c r="J1171" i="27"/>
  <c r="G1171" i="27"/>
  <c r="R1169" i="27"/>
  <c r="U1169" i="27" s="1"/>
  <c r="V1169" i="27" s="1"/>
  <c r="W1169" i="27" s="1"/>
  <c r="P1169" i="27"/>
  <c r="M1169" i="27"/>
  <c r="J1169" i="27"/>
  <c r="H1169" i="27" s="1"/>
  <c r="G1169" i="27"/>
  <c r="E1169" i="27" s="1"/>
  <c r="R1168" i="27"/>
  <c r="P1168" i="27"/>
  <c r="M1168" i="27"/>
  <c r="J1168" i="27"/>
  <c r="G1168" i="27"/>
  <c r="R1167" i="27"/>
  <c r="P1167" i="27"/>
  <c r="N1167" i="27" s="1"/>
  <c r="M1167" i="27"/>
  <c r="J1167" i="27"/>
  <c r="G1167" i="27"/>
  <c r="R1166" i="27"/>
  <c r="P1166" i="27"/>
  <c r="M1166" i="27"/>
  <c r="K1166" i="27"/>
  <c r="J1166" i="27"/>
  <c r="G1166" i="27"/>
  <c r="R1165" i="27"/>
  <c r="P1165" i="27"/>
  <c r="M1165" i="27"/>
  <c r="J1165" i="27"/>
  <c r="G1165" i="27"/>
  <c r="U1164" i="27"/>
  <c r="V1164" i="27" s="1"/>
  <c r="W1164" i="27" s="1"/>
  <c r="R1164" i="27"/>
  <c r="P1164" i="27"/>
  <c r="M1164" i="27"/>
  <c r="J1164" i="27"/>
  <c r="G1164" i="27"/>
  <c r="R1163" i="27"/>
  <c r="N1163" i="27" s="1"/>
  <c r="P1163" i="27"/>
  <c r="M1163" i="27"/>
  <c r="J1163" i="27"/>
  <c r="G1163" i="27"/>
  <c r="R1162" i="27"/>
  <c r="H1162" i="27" s="1"/>
  <c r="P1162" i="27"/>
  <c r="N1162" i="27"/>
  <c r="M1162" i="27"/>
  <c r="J1162" i="27"/>
  <c r="G1162" i="27"/>
  <c r="R1161" i="27"/>
  <c r="P1161" i="27"/>
  <c r="N1161" i="27" s="1"/>
  <c r="M1161" i="27"/>
  <c r="J1161" i="27"/>
  <c r="G1161" i="27"/>
  <c r="R1160" i="27"/>
  <c r="U1160" i="27" s="1"/>
  <c r="V1160" i="27" s="1"/>
  <c r="W1160" i="27" s="1"/>
  <c r="P1160" i="27"/>
  <c r="N1160" i="27" s="1"/>
  <c r="M1160" i="27"/>
  <c r="K1160" i="27"/>
  <c r="J1160" i="27"/>
  <c r="H1160" i="27" s="1"/>
  <c r="G1160" i="27"/>
  <c r="R1159" i="27"/>
  <c r="E1159" i="27" s="1"/>
  <c r="P1159" i="27"/>
  <c r="M1159" i="27"/>
  <c r="J1159" i="27"/>
  <c r="G1159" i="27"/>
  <c r="R1158" i="27"/>
  <c r="E1158" i="27" s="1"/>
  <c r="P1158" i="27"/>
  <c r="M1158" i="27"/>
  <c r="J1158" i="27"/>
  <c r="G1158" i="27"/>
  <c r="R1156" i="27"/>
  <c r="P1156" i="27"/>
  <c r="M1156" i="27"/>
  <c r="J1156" i="27"/>
  <c r="G1156" i="27"/>
  <c r="R1155" i="27"/>
  <c r="P1155" i="27"/>
  <c r="M1155" i="27"/>
  <c r="J1155" i="27"/>
  <c r="G1155" i="27"/>
  <c r="E1155" i="27" s="1"/>
  <c r="R1154" i="27"/>
  <c r="P1154" i="27"/>
  <c r="N1154" i="27" s="1"/>
  <c r="M1154" i="27"/>
  <c r="J1154" i="27"/>
  <c r="G1154" i="27"/>
  <c r="R1153" i="27"/>
  <c r="P1153" i="27"/>
  <c r="M1153" i="27"/>
  <c r="J1153" i="27"/>
  <c r="G1153" i="27"/>
  <c r="R1152" i="27"/>
  <c r="P1152" i="27"/>
  <c r="M1152" i="27"/>
  <c r="J1152" i="27"/>
  <c r="G1152" i="27"/>
  <c r="R1151" i="27"/>
  <c r="P1151" i="27"/>
  <c r="M1151" i="27"/>
  <c r="J1151" i="27"/>
  <c r="G1151" i="27"/>
  <c r="R1149" i="27"/>
  <c r="P1149" i="27"/>
  <c r="N1149" i="27" s="1"/>
  <c r="M1149" i="27"/>
  <c r="J1149" i="27"/>
  <c r="H1149" i="27" s="1"/>
  <c r="G1149" i="27"/>
  <c r="R1148" i="27"/>
  <c r="P1148" i="27"/>
  <c r="M1148" i="27"/>
  <c r="J1148" i="27"/>
  <c r="G1148" i="27"/>
  <c r="U1147" i="27"/>
  <c r="V1147" i="27" s="1"/>
  <c r="W1147" i="27" s="1"/>
  <c r="R1147" i="27"/>
  <c r="K1147" i="27" s="1"/>
  <c r="P1147" i="27"/>
  <c r="M1147" i="27"/>
  <c r="J1147" i="27"/>
  <c r="G1147" i="27"/>
  <c r="R1146" i="27"/>
  <c r="P1146" i="27"/>
  <c r="M1146" i="27"/>
  <c r="J1146" i="27"/>
  <c r="G1146" i="27"/>
  <c r="R1145" i="27"/>
  <c r="U1145" i="27" s="1"/>
  <c r="V1145" i="27" s="1"/>
  <c r="W1145" i="27" s="1"/>
  <c r="P1145" i="27"/>
  <c r="N1145" i="27" s="1"/>
  <c r="M1145" i="27"/>
  <c r="J1145" i="27"/>
  <c r="G1145" i="27"/>
  <c r="E1145" i="27" s="1"/>
  <c r="R1144" i="27"/>
  <c r="P1144" i="27"/>
  <c r="M1144" i="27"/>
  <c r="J1144" i="27"/>
  <c r="G1144" i="27"/>
  <c r="R1143" i="27"/>
  <c r="U1143" i="27" s="1"/>
  <c r="V1143" i="27" s="1"/>
  <c r="W1143" i="27" s="1"/>
  <c r="P1143" i="27"/>
  <c r="N1143" i="27" s="1"/>
  <c r="M1143" i="27"/>
  <c r="K1143" i="27" s="1"/>
  <c r="J1143" i="27"/>
  <c r="G1143" i="27"/>
  <c r="R1142" i="27"/>
  <c r="P1142" i="27"/>
  <c r="M1142" i="27"/>
  <c r="J1142" i="27"/>
  <c r="G1142" i="27"/>
  <c r="U1141" i="27"/>
  <c r="V1141" i="27" s="1"/>
  <c r="W1141" i="27" s="1"/>
  <c r="R1141" i="27"/>
  <c r="P1141" i="27"/>
  <c r="N1141" i="27" s="1"/>
  <c r="M1141" i="27"/>
  <c r="J1141" i="27"/>
  <c r="G1141" i="27"/>
  <c r="E1141" i="27" s="1"/>
  <c r="R1140" i="27"/>
  <c r="U1140" i="27" s="1"/>
  <c r="V1140" i="27" s="1"/>
  <c r="W1140" i="27" s="1"/>
  <c r="P1140" i="27"/>
  <c r="M1140" i="27"/>
  <c r="J1140" i="27"/>
  <c r="G1140" i="27"/>
  <c r="R1139" i="27"/>
  <c r="U1139" i="27" s="1"/>
  <c r="V1139" i="27" s="1"/>
  <c r="W1139" i="27" s="1"/>
  <c r="P1139" i="27"/>
  <c r="N1139" i="27" s="1"/>
  <c r="M1139" i="27"/>
  <c r="J1139" i="27"/>
  <c r="G1139" i="27"/>
  <c r="E1139" i="27" s="1"/>
  <c r="R1138" i="27"/>
  <c r="P1138" i="27"/>
  <c r="N1138" i="27" s="1"/>
  <c r="M1138" i="27"/>
  <c r="J1138" i="27"/>
  <c r="G1138" i="27"/>
  <c r="U1137" i="27"/>
  <c r="V1137" i="27" s="1"/>
  <c r="W1137" i="27" s="1"/>
  <c r="R1137" i="27"/>
  <c r="P1137" i="27"/>
  <c r="N1137" i="27" s="1"/>
  <c r="M1137" i="27"/>
  <c r="J1137" i="27"/>
  <c r="G1137" i="27"/>
  <c r="E1137" i="27" s="1"/>
  <c r="R1136" i="27"/>
  <c r="P1136" i="27"/>
  <c r="M1136" i="27"/>
  <c r="J1136" i="27"/>
  <c r="G1136" i="27"/>
  <c r="R1135" i="27"/>
  <c r="U1135" i="27" s="1"/>
  <c r="V1135" i="27" s="1"/>
  <c r="W1135" i="27" s="1"/>
  <c r="P1135" i="27"/>
  <c r="N1135" i="27" s="1"/>
  <c r="M1135" i="27"/>
  <c r="K1135" i="27" s="1"/>
  <c r="J1135" i="27"/>
  <c r="H1135" i="27" s="1"/>
  <c r="G1135" i="27"/>
  <c r="E1135" i="27" s="1"/>
  <c r="R1134" i="27"/>
  <c r="U1134" i="27" s="1"/>
  <c r="V1134" i="27" s="1"/>
  <c r="W1134" i="27" s="1"/>
  <c r="P1134" i="27"/>
  <c r="N1134" i="27" s="1"/>
  <c r="M1134" i="27"/>
  <c r="J1134" i="27"/>
  <c r="H1134" i="27"/>
  <c r="G1134" i="27"/>
  <c r="E1134" i="27" s="1"/>
  <c r="R1133" i="27"/>
  <c r="P1133" i="27"/>
  <c r="N1133" i="27" s="1"/>
  <c r="M1133" i="27"/>
  <c r="J1133" i="27"/>
  <c r="G1133" i="27"/>
  <c r="E1133" i="27" s="1"/>
  <c r="R1132" i="27"/>
  <c r="U1132" i="27" s="1"/>
  <c r="V1132" i="27" s="1"/>
  <c r="W1132" i="27" s="1"/>
  <c r="P1132" i="27"/>
  <c r="M1132" i="27"/>
  <c r="J1132" i="27"/>
  <c r="G1132" i="27"/>
  <c r="R1131" i="27"/>
  <c r="P1131" i="27"/>
  <c r="M1131" i="27"/>
  <c r="J1131" i="27"/>
  <c r="G1131" i="27"/>
  <c r="R1130" i="27"/>
  <c r="P1130" i="27"/>
  <c r="N1130" i="27" s="1"/>
  <c r="M1130" i="27"/>
  <c r="J1130" i="27"/>
  <c r="G1130" i="27"/>
  <c r="R1129" i="27"/>
  <c r="U1129" i="27" s="1"/>
  <c r="V1129" i="27" s="1"/>
  <c r="W1129" i="27" s="1"/>
  <c r="P1129" i="27"/>
  <c r="M1129" i="27"/>
  <c r="J1129" i="27"/>
  <c r="G1129" i="27"/>
  <c r="R1128" i="27"/>
  <c r="U1128" i="27" s="1"/>
  <c r="V1128" i="27" s="1"/>
  <c r="W1128" i="27" s="1"/>
  <c r="P1128" i="27"/>
  <c r="N1128" i="27" s="1"/>
  <c r="M1128" i="27"/>
  <c r="J1128" i="27"/>
  <c r="G1128" i="27"/>
  <c r="U1127" i="27"/>
  <c r="V1127" i="27" s="1"/>
  <c r="W1127" i="27" s="1"/>
  <c r="R1127" i="27"/>
  <c r="P1127" i="27"/>
  <c r="M1127" i="27"/>
  <c r="K1127" i="27"/>
  <c r="J1127" i="27"/>
  <c r="G1127" i="27"/>
  <c r="E1127" i="27" s="1"/>
  <c r="R1126" i="27"/>
  <c r="P1126" i="27"/>
  <c r="M1126" i="27"/>
  <c r="J1126" i="27"/>
  <c r="G1126" i="27"/>
  <c r="R1125" i="27"/>
  <c r="P1125" i="27"/>
  <c r="N1125" i="27" s="1"/>
  <c r="M1125" i="27"/>
  <c r="J1125" i="27"/>
  <c r="G1125" i="27"/>
  <c r="R1124" i="27"/>
  <c r="U1124" i="27" s="1"/>
  <c r="V1124" i="27" s="1"/>
  <c r="W1124" i="27" s="1"/>
  <c r="P1124" i="27"/>
  <c r="M1124" i="27"/>
  <c r="J1124" i="27"/>
  <c r="G1124" i="27"/>
  <c r="R1123" i="27"/>
  <c r="U1123" i="27" s="1"/>
  <c r="V1123" i="27" s="1"/>
  <c r="W1123" i="27" s="1"/>
  <c r="P1123" i="27"/>
  <c r="M1123" i="27"/>
  <c r="J1123" i="27"/>
  <c r="G1123" i="27"/>
  <c r="R1122" i="27"/>
  <c r="P1122" i="27"/>
  <c r="M1122" i="27"/>
  <c r="J1122" i="27"/>
  <c r="G1122" i="27"/>
  <c r="R1121" i="27"/>
  <c r="U1121" i="27" s="1"/>
  <c r="V1121" i="27" s="1"/>
  <c r="W1121" i="27" s="1"/>
  <c r="P1121" i="27"/>
  <c r="M1121" i="27"/>
  <c r="J1121" i="27"/>
  <c r="H1121" i="27" s="1"/>
  <c r="G1121" i="27"/>
  <c r="R1120" i="27"/>
  <c r="U1120" i="27" s="1"/>
  <c r="V1120" i="27" s="1"/>
  <c r="W1120" i="27" s="1"/>
  <c r="P1120" i="27"/>
  <c r="N1120" i="27" s="1"/>
  <c r="M1120" i="27"/>
  <c r="J1120" i="27"/>
  <c r="G1120" i="27"/>
  <c r="R1119" i="27"/>
  <c r="K1119" i="27" s="1"/>
  <c r="P1119" i="27"/>
  <c r="M1119" i="27"/>
  <c r="J1119" i="27"/>
  <c r="G1119" i="27"/>
  <c r="R1118" i="27"/>
  <c r="P1118" i="27"/>
  <c r="M1118" i="27"/>
  <c r="J1118" i="27"/>
  <c r="G1118" i="27"/>
  <c r="R1117" i="27"/>
  <c r="U1117" i="27" s="1"/>
  <c r="V1117" i="27" s="1"/>
  <c r="W1117" i="27" s="1"/>
  <c r="P1117" i="27"/>
  <c r="M1117" i="27"/>
  <c r="J1117" i="27"/>
  <c r="G1117" i="27"/>
  <c r="R1116" i="27"/>
  <c r="P1116" i="27"/>
  <c r="M1116" i="27"/>
  <c r="J1116" i="27"/>
  <c r="G1116" i="27"/>
  <c r="R1115" i="27"/>
  <c r="P1115" i="27"/>
  <c r="M1115" i="27"/>
  <c r="J1115" i="27"/>
  <c r="G1115" i="27"/>
  <c r="E1115" i="27" s="1"/>
  <c r="R1114" i="27"/>
  <c r="P1114" i="27"/>
  <c r="M1114" i="27"/>
  <c r="J1114" i="27"/>
  <c r="G1114" i="27"/>
  <c r="R1113" i="27"/>
  <c r="U1113" i="27" s="1"/>
  <c r="V1113" i="27" s="1"/>
  <c r="W1113" i="27" s="1"/>
  <c r="P1113" i="27"/>
  <c r="M1113" i="27"/>
  <c r="J1113" i="27"/>
  <c r="G1113" i="27"/>
  <c r="R1112" i="27"/>
  <c r="U1112" i="27" s="1"/>
  <c r="V1112" i="27" s="1"/>
  <c r="W1112" i="27" s="1"/>
  <c r="P1112" i="27"/>
  <c r="M1112" i="27"/>
  <c r="J1112" i="27"/>
  <c r="G1112" i="27"/>
  <c r="R1110" i="27"/>
  <c r="P1110" i="27"/>
  <c r="M1110" i="27"/>
  <c r="J1110" i="27"/>
  <c r="G1110" i="27"/>
  <c r="R1109" i="27"/>
  <c r="E1109" i="27" s="1"/>
  <c r="P1109" i="27"/>
  <c r="M1109" i="27"/>
  <c r="J1109" i="27"/>
  <c r="G1109" i="27"/>
  <c r="R1108" i="27"/>
  <c r="P1108" i="27"/>
  <c r="M1108" i="27"/>
  <c r="J1108" i="27"/>
  <c r="G1108" i="27"/>
  <c r="E1108" i="27" s="1"/>
  <c r="R1107" i="27"/>
  <c r="U1107" i="27" s="1"/>
  <c r="V1107" i="27" s="1"/>
  <c r="W1107" i="27" s="1"/>
  <c r="P1107" i="27"/>
  <c r="M1107" i="27"/>
  <c r="J1107" i="27"/>
  <c r="H1107" i="27" s="1"/>
  <c r="G1107" i="27"/>
  <c r="R1106" i="27"/>
  <c r="P1106" i="27"/>
  <c r="N1106" i="27" s="1"/>
  <c r="M1106" i="27"/>
  <c r="J1106" i="27"/>
  <c r="G1106" i="27"/>
  <c r="R1105" i="27"/>
  <c r="P1105" i="27"/>
  <c r="M1105" i="27"/>
  <c r="J1105" i="27"/>
  <c r="G1105" i="27"/>
  <c r="U1104" i="27"/>
  <c r="V1104" i="27" s="1"/>
  <c r="W1104" i="27" s="1"/>
  <c r="R1104" i="27"/>
  <c r="N1104" i="27" s="1"/>
  <c r="P1104" i="27"/>
  <c r="M1104" i="27"/>
  <c r="J1104" i="27"/>
  <c r="G1104" i="27"/>
  <c r="R1103" i="27"/>
  <c r="P1103" i="27"/>
  <c r="M1103" i="27"/>
  <c r="J1103" i="27"/>
  <c r="G1103" i="27"/>
  <c r="R1102" i="27"/>
  <c r="U1102" i="27" s="1"/>
  <c r="V1102" i="27" s="1"/>
  <c r="W1102" i="27" s="1"/>
  <c r="P1102" i="27"/>
  <c r="M1102" i="27"/>
  <c r="K1102" i="27"/>
  <c r="J1102" i="27"/>
  <c r="H1102" i="27" s="1"/>
  <c r="G1102" i="27"/>
  <c r="R1101" i="27"/>
  <c r="P1101" i="27"/>
  <c r="M1101" i="27"/>
  <c r="J1101" i="27"/>
  <c r="H1101" i="27"/>
  <c r="G1101" i="27"/>
  <c r="R1100" i="27"/>
  <c r="U1100" i="27" s="1"/>
  <c r="V1100" i="27" s="1"/>
  <c r="W1100" i="27" s="1"/>
  <c r="P1100" i="27"/>
  <c r="M1100" i="27"/>
  <c r="J1100" i="27"/>
  <c r="G1100" i="27"/>
  <c r="R1099" i="27"/>
  <c r="U1099" i="27" s="1"/>
  <c r="V1099" i="27" s="1"/>
  <c r="W1099" i="27" s="1"/>
  <c r="P1099" i="27"/>
  <c r="M1099" i="27"/>
  <c r="J1099" i="27"/>
  <c r="H1099" i="27" s="1"/>
  <c r="G1099" i="27"/>
  <c r="R1098" i="27"/>
  <c r="U1098" i="27" s="1"/>
  <c r="V1098" i="27" s="1"/>
  <c r="W1098" i="27" s="1"/>
  <c r="P1098" i="27"/>
  <c r="N1098" i="27"/>
  <c r="M1098" i="27"/>
  <c r="K1098" i="27" s="1"/>
  <c r="J1098" i="27"/>
  <c r="H1098" i="27" s="1"/>
  <c r="G1098" i="27"/>
  <c r="R1097" i="27"/>
  <c r="P1097" i="27"/>
  <c r="M1097" i="27"/>
  <c r="J1097" i="27"/>
  <c r="G1097" i="27"/>
  <c r="R1096" i="27"/>
  <c r="U1096" i="27" s="1"/>
  <c r="V1096" i="27" s="1"/>
  <c r="W1096" i="27" s="1"/>
  <c r="P1096" i="27"/>
  <c r="M1096" i="27"/>
  <c r="J1096" i="27"/>
  <c r="G1096" i="27"/>
  <c r="R1095" i="27"/>
  <c r="U1095" i="27" s="1"/>
  <c r="V1095" i="27" s="1"/>
  <c r="W1095" i="27" s="1"/>
  <c r="P1095" i="27"/>
  <c r="M1095" i="27"/>
  <c r="J1095" i="27"/>
  <c r="G1095" i="27"/>
  <c r="R1094" i="27"/>
  <c r="U1094" i="27" s="1"/>
  <c r="V1094" i="27" s="1"/>
  <c r="W1094" i="27" s="1"/>
  <c r="P1094" i="27"/>
  <c r="M1094" i="27"/>
  <c r="K1094" i="27" s="1"/>
  <c r="J1094" i="27"/>
  <c r="G1094" i="27"/>
  <c r="E1094" i="27" s="1"/>
  <c r="R1093" i="27"/>
  <c r="E1093" i="27" s="1"/>
  <c r="P1093" i="27"/>
  <c r="M1093" i="27"/>
  <c r="J1093" i="27"/>
  <c r="G1093" i="27"/>
  <c r="R1092" i="27"/>
  <c r="U1092" i="27" s="1"/>
  <c r="V1092" i="27" s="1"/>
  <c r="W1092" i="27" s="1"/>
  <c r="P1092" i="27"/>
  <c r="N1092" i="27" s="1"/>
  <c r="M1092" i="27"/>
  <c r="J1092" i="27"/>
  <c r="G1092" i="27"/>
  <c r="R1091" i="27"/>
  <c r="U1091" i="27" s="1"/>
  <c r="V1091" i="27" s="1"/>
  <c r="W1091" i="27" s="1"/>
  <c r="P1091" i="27"/>
  <c r="M1091" i="27"/>
  <c r="J1091" i="27"/>
  <c r="G1091" i="27"/>
  <c r="R1090" i="27"/>
  <c r="U1090" i="27" s="1"/>
  <c r="V1090" i="27" s="1"/>
  <c r="W1090" i="27" s="1"/>
  <c r="P1090" i="27"/>
  <c r="N1090" i="27" s="1"/>
  <c r="M1090" i="27"/>
  <c r="J1090" i="27"/>
  <c r="H1090" i="27" s="1"/>
  <c r="G1090" i="27"/>
  <c r="R1089" i="27"/>
  <c r="P1089" i="27"/>
  <c r="N1089" i="27" s="1"/>
  <c r="M1089" i="27"/>
  <c r="J1089" i="27"/>
  <c r="G1089" i="27"/>
  <c r="R1088" i="27"/>
  <c r="U1088" i="27" s="1"/>
  <c r="V1088" i="27" s="1"/>
  <c r="W1088" i="27" s="1"/>
  <c r="P1088" i="27"/>
  <c r="N1088" i="27" s="1"/>
  <c r="M1088" i="27"/>
  <c r="J1088" i="27"/>
  <c r="G1088" i="27"/>
  <c r="R1087" i="27"/>
  <c r="U1087" i="27" s="1"/>
  <c r="V1087" i="27" s="1"/>
  <c r="W1087" i="27" s="1"/>
  <c r="P1087" i="27"/>
  <c r="N1087" i="27" s="1"/>
  <c r="M1087" i="27"/>
  <c r="J1087" i="27"/>
  <c r="G1087" i="27"/>
  <c r="U1086" i="27"/>
  <c r="V1086" i="27" s="1"/>
  <c r="W1086" i="27" s="1"/>
  <c r="R1086" i="27"/>
  <c r="K1086" i="27" s="1"/>
  <c r="P1086" i="27"/>
  <c r="M1086" i="27"/>
  <c r="J1086" i="27"/>
  <c r="G1086" i="27"/>
  <c r="E1086" i="27" s="1"/>
  <c r="V1085" i="27"/>
  <c r="W1085" i="27" s="1"/>
  <c r="U1085" i="27"/>
  <c r="R1085" i="27"/>
  <c r="P1085" i="27"/>
  <c r="M1085" i="27"/>
  <c r="J1085" i="27"/>
  <c r="H1085" i="27"/>
  <c r="G1085" i="27"/>
  <c r="E1085" i="27" s="1"/>
  <c r="U1084" i="27"/>
  <c r="V1084" i="27" s="1"/>
  <c r="W1084" i="27" s="1"/>
  <c r="R1084" i="27"/>
  <c r="P1084" i="27"/>
  <c r="M1084" i="27"/>
  <c r="J1084" i="27"/>
  <c r="G1084" i="27"/>
  <c r="R1083" i="27"/>
  <c r="P1083" i="27"/>
  <c r="M1083" i="27"/>
  <c r="J1083" i="27"/>
  <c r="G1083" i="27"/>
  <c r="U1082" i="27"/>
  <c r="V1082" i="27" s="1"/>
  <c r="W1082" i="27" s="1"/>
  <c r="R1082" i="27"/>
  <c r="P1082" i="27"/>
  <c r="N1082" i="27" s="1"/>
  <c r="M1082" i="27"/>
  <c r="J1082" i="27"/>
  <c r="G1082" i="27"/>
  <c r="R1081" i="27"/>
  <c r="P1081" i="27"/>
  <c r="M1081" i="27"/>
  <c r="J1081" i="27"/>
  <c r="G1081" i="27"/>
  <c r="R1080" i="27"/>
  <c r="U1080" i="27" s="1"/>
  <c r="V1080" i="27" s="1"/>
  <c r="W1080" i="27" s="1"/>
  <c r="P1080" i="27"/>
  <c r="M1080" i="27"/>
  <c r="J1080" i="27"/>
  <c r="G1080" i="27"/>
  <c r="R1079" i="27"/>
  <c r="U1079" i="27" s="1"/>
  <c r="V1079" i="27" s="1"/>
  <c r="W1079" i="27" s="1"/>
  <c r="P1079" i="27"/>
  <c r="M1079" i="27"/>
  <c r="J1079" i="27"/>
  <c r="G1079" i="27"/>
  <c r="R1078" i="27"/>
  <c r="K1078" i="27" s="1"/>
  <c r="P1078" i="27"/>
  <c r="M1078" i="27"/>
  <c r="J1078" i="27"/>
  <c r="G1078" i="27"/>
  <c r="R1077" i="27"/>
  <c r="P1077" i="27"/>
  <c r="M1077" i="27"/>
  <c r="J1077" i="27"/>
  <c r="G1077" i="27"/>
  <c r="R1076" i="27"/>
  <c r="K1076" i="27" s="1"/>
  <c r="P1076" i="27"/>
  <c r="M1076" i="27"/>
  <c r="J1076" i="27"/>
  <c r="G1076" i="27"/>
  <c r="R1075" i="27"/>
  <c r="U1075" i="27" s="1"/>
  <c r="V1075" i="27" s="1"/>
  <c r="W1075" i="27" s="1"/>
  <c r="P1075" i="27"/>
  <c r="M1075" i="27"/>
  <c r="J1075" i="27"/>
  <c r="G1075" i="27"/>
  <c r="R1074" i="27"/>
  <c r="U1074" i="27" s="1"/>
  <c r="V1074" i="27" s="1"/>
  <c r="W1074" i="27" s="1"/>
  <c r="P1074" i="27"/>
  <c r="N1074" i="27"/>
  <c r="M1074" i="27"/>
  <c r="K1074" i="27" s="1"/>
  <c r="J1074" i="27"/>
  <c r="G1074" i="27"/>
  <c r="R1073" i="27"/>
  <c r="P1073" i="27"/>
  <c r="N1073" i="27" s="1"/>
  <c r="M1073" i="27"/>
  <c r="J1073" i="27"/>
  <c r="G1073" i="27"/>
  <c r="R1072" i="27"/>
  <c r="U1072" i="27" s="1"/>
  <c r="V1072" i="27" s="1"/>
  <c r="W1072" i="27" s="1"/>
  <c r="P1072" i="27"/>
  <c r="N1072" i="27" s="1"/>
  <c r="M1072" i="27"/>
  <c r="J1072" i="27"/>
  <c r="G1072" i="27"/>
  <c r="R1071" i="27"/>
  <c r="P1071" i="27"/>
  <c r="M1071" i="27"/>
  <c r="J1071" i="27"/>
  <c r="G1071" i="27"/>
  <c r="U1070" i="27"/>
  <c r="V1070" i="27" s="1"/>
  <c r="W1070" i="27" s="1"/>
  <c r="R1070" i="27"/>
  <c r="P1070" i="27"/>
  <c r="N1070" i="27" s="1"/>
  <c r="M1070" i="27"/>
  <c r="K1070" i="27" s="1"/>
  <c r="J1070" i="27"/>
  <c r="H1070" i="27" s="1"/>
  <c r="G1070" i="27"/>
  <c r="R1069" i="27"/>
  <c r="P1069" i="27"/>
  <c r="M1069" i="27"/>
  <c r="J1069" i="27"/>
  <c r="H1069" i="27"/>
  <c r="G1069" i="27"/>
  <c r="R1068" i="27"/>
  <c r="P1068" i="27"/>
  <c r="M1068" i="27"/>
  <c r="J1068" i="27"/>
  <c r="G1068" i="27"/>
  <c r="R1067" i="27"/>
  <c r="U1067" i="27" s="1"/>
  <c r="V1067" i="27" s="1"/>
  <c r="W1067" i="27" s="1"/>
  <c r="P1067" i="27"/>
  <c r="M1067" i="27"/>
  <c r="J1067" i="27"/>
  <c r="H1067" i="27" s="1"/>
  <c r="G1067" i="27"/>
  <c r="R1066" i="27"/>
  <c r="P1066" i="27"/>
  <c r="M1066" i="27"/>
  <c r="J1066" i="27"/>
  <c r="G1066" i="27"/>
  <c r="R1065" i="27"/>
  <c r="P1065" i="27"/>
  <c r="M1065" i="27"/>
  <c r="J1065" i="27"/>
  <c r="G1065" i="27"/>
  <c r="R1064" i="27"/>
  <c r="P1064" i="27"/>
  <c r="M1064" i="27"/>
  <c r="J1064" i="27"/>
  <c r="G1064" i="27"/>
  <c r="U1063" i="27"/>
  <c r="V1063" i="27" s="1"/>
  <c r="W1063" i="27" s="1"/>
  <c r="R1063" i="27"/>
  <c r="P1063" i="27"/>
  <c r="N1063" i="27" s="1"/>
  <c r="M1063" i="27"/>
  <c r="J1063" i="27"/>
  <c r="G1063" i="27"/>
  <c r="R1062" i="27"/>
  <c r="U1062" i="27" s="1"/>
  <c r="V1062" i="27" s="1"/>
  <c r="W1062" i="27" s="1"/>
  <c r="P1062" i="27"/>
  <c r="M1062" i="27"/>
  <c r="J1062" i="27"/>
  <c r="H1062" i="27" s="1"/>
  <c r="G1062" i="27"/>
  <c r="E1062" i="27" s="1"/>
  <c r="U1061" i="27"/>
  <c r="V1061" i="27" s="1"/>
  <c r="W1061" i="27" s="1"/>
  <c r="R1061" i="27"/>
  <c r="P1061" i="27"/>
  <c r="M1061" i="27"/>
  <c r="J1061" i="27"/>
  <c r="G1061" i="27"/>
  <c r="E1061" i="27" s="1"/>
  <c r="U1060" i="27"/>
  <c r="V1060" i="27" s="1"/>
  <c r="W1060" i="27" s="1"/>
  <c r="R1060" i="27"/>
  <c r="P1060" i="27"/>
  <c r="M1060" i="27"/>
  <c r="K1060" i="27"/>
  <c r="J1060" i="27"/>
  <c r="G1060" i="27"/>
  <c r="E1060" i="27" s="1"/>
  <c r="R1059" i="27"/>
  <c r="U1059" i="27" s="1"/>
  <c r="V1059" i="27" s="1"/>
  <c r="W1059" i="27" s="1"/>
  <c r="P1059" i="27"/>
  <c r="M1059" i="27"/>
  <c r="J1059" i="27"/>
  <c r="G1059" i="27"/>
  <c r="R1058" i="27"/>
  <c r="U1058" i="27" s="1"/>
  <c r="V1058" i="27" s="1"/>
  <c r="W1058" i="27" s="1"/>
  <c r="P1058" i="27"/>
  <c r="N1058" i="27" s="1"/>
  <c r="M1058" i="27"/>
  <c r="J1058" i="27"/>
  <c r="G1058" i="27"/>
  <c r="R1057" i="27"/>
  <c r="P1057" i="27"/>
  <c r="M1057" i="27"/>
  <c r="J1057" i="27"/>
  <c r="G1057" i="27"/>
  <c r="U1056" i="27"/>
  <c r="V1056" i="27" s="1"/>
  <c r="W1056" i="27" s="1"/>
  <c r="R1056" i="27"/>
  <c r="P1056" i="27"/>
  <c r="N1056" i="27" s="1"/>
  <c r="M1056" i="27"/>
  <c r="K1056" i="27" s="1"/>
  <c r="J1056" i="27"/>
  <c r="H1056" i="27" s="1"/>
  <c r="G1056" i="27"/>
  <c r="E1056" i="27" s="1"/>
  <c r="R1055" i="27"/>
  <c r="U1055" i="27" s="1"/>
  <c r="V1055" i="27" s="1"/>
  <c r="W1055" i="27" s="1"/>
  <c r="P1055" i="27"/>
  <c r="M1055" i="27"/>
  <c r="J1055" i="27"/>
  <c r="G1055" i="27"/>
  <c r="R1054" i="27"/>
  <c r="U1054" i="27" s="1"/>
  <c r="V1054" i="27" s="1"/>
  <c r="W1054" i="27" s="1"/>
  <c r="P1054" i="27"/>
  <c r="N1054" i="27" s="1"/>
  <c r="M1054" i="27"/>
  <c r="J1054" i="27"/>
  <c r="G1054" i="27"/>
  <c r="R1053" i="27"/>
  <c r="U1053" i="27" s="1"/>
  <c r="V1053" i="27" s="1"/>
  <c r="W1053" i="27" s="1"/>
  <c r="P1053" i="27"/>
  <c r="M1053" i="27"/>
  <c r="J1053" i="27"/>
  <c r="H1053" i="27"/>
  <c r="G1053" i="27"/>
  <c r="E1053" i="27" s="1"/>
  <c r="U1052" i="27"/>
  <c r="V1052" i="27" s="1"/>
  <c r="W1052" i="27" s="1"/>
  <c r="R1052" i="27"/>
  <c r="P1052" i="27"/>
  <c r="N1052" i="27" s="1"/>
  <c r="M1052" i="27"/>
  <c r="K1052" i="27" s="1"/>
  <c r="J1052" i="27"/>
  <c r="H1052" i="27" s="1"/>
  <c r="G1052" i="27"/>
  <c r="E1052" i="27" s="1"/>
  <c r="R1051" i="27"/>
  <c r="U1051" i="27" s="1"/>
  <c r="V1051" i="27" s="1"/>
  <c r="W1051" i="27" s="1"/>
  <c r="P1051" i="27"/>
  <c r="M1051" i="27"/>
  <c r="J1051" i="27"/>
  <c r="G1051" i="27"/>
  <c r="R1050" i="27"/>
  <c r="P1050" i="27"/>
  <c r="N1050" i="27" s="1"/>
  <c r="M1050" i="27"/>
  <c r="J1050" i="27"/>
  <c r="G1050" i="27"/>
  <c r="R1049" i="27"/>
  <c r="P1049" i="27"/>
  <c r="M1049" i="27"/>
  <c r="J1049" i="27"/>
  <c r="G1049" i="27"/>
  <c r="U1048" i="27"/>
  <c r="V1048" i="27" s="1"/>
  <c r="W1048" i="27" s="1"/>
  <c r="R1048" i="27"/>
  <c r="P1048" i="27"/>
  <c r="N1048" i="27" s="1"/>
  <c r="M1048" i="27"/>
  <c r="K1048" i="27" s="1"/>
  <c r="J1048" i="27"/>
  <c r="G1048" i="27"/>
  <c r="E1048" i="27" s="1"/>
  <c r="R1047" i="27"/>
  <c r="U1047" i="27" s="1"/>
  <c r="V1047" i="27" s="1"/>
  <c r="W1047" i="27" s="1"/>
  <c r="P1047" i="27"/>
  <c r="N1047" i="27" s="1"/>
  <c r="M1047" i="27"/>
  <c r="J1047" i="27"/>
  <c r="G1047" i="27"/>
  <c r="R1046" i="27"/>
  <c r="U1046" i="27" s="1"/>
  <c r="V1046" i="27" s="1"/>
  <c r="W1046" i="27" s="1"/>
  <c r="P1046" i="27"/>
  <c r="M1046" i="27"/>
  <c r="J1046" i="27"/>
  <c r="G1046" i="27"/>
  <c r="R1045" i="27"/>
  <c r="U1045" i="27" s="1"/>
  <c r="V1045" i="27" s="1"/>
  <c r="W1045" i="27" s="1"/>
  <c r="P1045" i="27"/>
  <c r="M1045" i="27"/>
  <c r="J1045" i="27"/>
  <c r="H1045" i="27" s="1"/>
  <c r="G1045" i="27"/>
  <c r="E1045" i="27" s="1"/>
  <c r="R1044" i="27"/>
  <c r="K1044" i="27" s="1"/>
  <c r="P1044" i="27"/>
  <c r="M1044" i="27"/>
  <c r="J1044" i="27"/>
  <c r="G1044" i="27"/>
  <c r="E1044" i="27" s="1"/>
  <c r="R1043" i="27"/>
  <c r="U1043" i="27" s="1"/>
  <c r="V1043" i="27" s="1"/>
  <c r="W1043" i="27" s="1"/>
  <c r="P1043" i="27"/>
  <c r="M1043" i="27"/>
  <c r="J1043" i="27"/>
  <c r="G1043" i="27"/>
  <c r="R1042" i="27"/>
  <c r="U1042" i="27" s="1"/>
  <c r="V1042" i="27" s="1"/>
  <c r="W1042" i="27" s="1"/>
  <c r="P1042" i="27"/>
  <c r="M1042" i="27"/>
  <c r="J1042" i="27"/>
  <c r="G1042" i="27"/>
  <c r="E1042" i="27" s="1"/>
  <c r="R1041" i="27"/>
  <c r="P1041" i="27"/>
  <c r="M1041" i="27"/>
  <c r="J1041" i="27"/>
  <c r="G1041" i="27"/>
  <c r="U1040" i="27"/>
  <c r="V1040" i="27" s="1"/>
  <c r="W1040" i="27" s="1"/>
  <c r="R1040" i="27"/>
  <c r="P1040" i="27"/>
  <c r="N1040" i="27" s="1"/>
  <c r="M1040" i="27"/>
  <c r="J1040" i="27"/>
  <c r="G1040" i="27"/>
  <c r="E1040" i="27" s="1"/>
  <c r="R1039" i="27"/>
  <c r="U1039" i="27" s="1"/>
  <c r="V1039" i="27" s="1"/>
  <c r="W1039" i="27" s="1"/>
  <c r="P1039" i="27"/>
  <c r="M1039" i="27"/>
  <c r="J1039" i="27"/>
  <c r="G1039" i="27"/>
  <c r="R1037" i="27"/>
  <c r="P1037" i="27"/>
  <c r="M1037" i="27"/>
  <c r="J1037" i="27"/>
  <c r="G1037" i="27"/>
  <c r="U1036" i="27"/>
  <c r="V1036" i="27" s="1"/>
  <c r="W1036" i="27" s="1"/>
  <c r="R1036" i="27"/>
  <c r="P1036" i="27"/>
  <c r="M1036" i="27"/>
  <c r="J1036" i="27"/>
  <c r="G1036" i="27"/>
  <c r="E1036" i="27" s="1"/>
  <c r="U1035" i="27"/>
  <c r="V1035" i="27" s="1"/>
  <c r="W1035" i="27" s="1"/>
  <c r="R1035" i="27"/>
  <c r="P1035" i="27"/>
  <c r="M1035" i="27"/>
  <c r="K1035" i="27" s="1"/>
  <c r="J1035" i="27"/>
  <c r="G1035" i="27"/>
  <c r="E1035" i="27" s="1"/>
  <c r="R1034" i="27"/>
  <c r="P1034" i="27"/>
  <c r="M1034" i="27"/>
  <c r="J1034" i="27"/>
  <c r="G1034" i="27"/>
  <c r="R1033" i="27"/>
  <c r="P1033" i="27"/>
  <c r="M1033" i="27"/>
  <c r="K1033" i="27" s="1"/>
  <c r="J1033" i="27"/>
  <c r="G1033" i="27"/>
  <c r="R1032" i="27"/>
  <c r="P1032" i="27"/>
  <c r="M1032" i="27"/>
  <c r="J1032" i="27"/>
  <c r="G1032" i="27"/>
  <c r="U1031" i="27"/>
  <c r="V1031" i="27" s="1"/>
  <c r="W1031" i="27" s="1"/>
  <c r="R1031" i="27"/>
  <c r="H1031" i="27" s="1"/>
  <c r="P1031" i="27"/>
  <c r="M1031" i="27"/>
  <c r="J1031" i="27"/>
  <c r="G1031" i="27"/>
  <c r="R1030" i="27"/>
  <c r="U1030" i="27" s="1"/>
  <c r="V1030" i="27" s="1"/>
  <c r="W1030" i="27" s="1"/>
  <c r="P1030" i="27"/>
  <c r="M1030" i="27"/>
  <c r="J1030" i="27"/>
  <c r="G1030" i="27"/>
  <c r="R1029" i="27"/>
  <c r="P1029" i="27"/>
  <c r="M1029" i="27"/>
  <c r="J1029" i="27"/>
  <c r="G1029" i="27"/>
  <c r="R1028" i="27"/>
  <c r="H1028" i="27" s="1"/>
  <c r="P1028" i="27"/>
  <c r="M1028" i="27"/>
  <c r="J1028" i="27"/>
  <c r="G1028" i="27"/>
  <c r="R1027" i="27"/>
  <c r="P1027" i="27"/>
  <c r="M1027" i="27"/>
  <c r="K1027" i="27"/>
  <c r="J1027" i="27"/>
  <c r="G1027" i="27"/>
  <c r="R1026" i="27"/>
  <c r="U1026" i="27" s="1"/>
  <c r="V1026" i="27" s="1"/>
  <c r="W1026" i="27" s="1"/>
  <c r="P1026" i="27"/>
  <c r="M1026" i="27"/>
  <c r="J1026" i="27"/>
  <c r="G1026" i="27"/>
  <c r="U1025" i="27"/>
  <c r="V1025" i="27" s="1"/>
  <c r="W1025" i="27" s="1"/>
  <c r="R1025" i="27"/>
  <c r="P1025" i="27"/>
  <c r="M1025" i="27"/>
  <c r="J1025" i="27"/>
  <c r="G1025" i="27"/>
  <c r="R1024" i="27"/>
  <c r="P1024" i="27"/>
  <c r="M1024" i="27"/>
  <c r="J1024" i="27"/>
  <c r="G1024" i="27"/>
  <c r="R1023" i="27"/>
  <c r="P1023" i="27"/>
  <c r="M1023" i="27"/>
  <c r="J1023" i="27"/>
  <c r="G1023" i="27"/>
  <c r="U1022" i="27"/>
  <c r="V1022" i="27" s="1"/>
  <c r="W1022" i="27" s="1"/>
  <c r="R1022" i="27"/>
  <c r="P1022" i="27"/>
  <c r="M1022" i="27"/>
  <c r="J1022" i="27"/>
  <c r="G1022" i="27"/>
  <c r="R1021" i="27"/>
  <c r="P1021" i="27"/>
  <c r="N1021" i="27" s="1"/>
  <c r="M1021" i="27"/>
  <c r="J1021" i="27"/>
  <c r="G1021" i="27"/>
  <c r="R1020" i="27"/>
  <c r="U1020" i="27" s="1"/>
  <c r="V1020" i="27" s="1"/>
  <c r="W1020" i="27" s="1"/>
  <c r="P1020" i="27"/>
  <c r="M1020" i="27"/>
  <c r="J1020" i="27"/>
  <c r="H1020" i="27"/>
  <c r="G1020" i="27"/>
  <c r="R1019" i="27"/>
  <c r="K1019" i="27" s="1"/>
  <c r="P1019" i="27"/>
  <c r="M1019" i="27"/>
  <c r="J1019" i="27"/>
  <c r="G1019" i="27"/>
  <c r="R1018" i="27"/>
  <c r="U1018" i="27" s="1"/>
  <c r="V1018" i="27" s="1"/>
  <c r="W1018" i="27" s="1"/>
  <c r="P1018" i="27"/>
  <c r="M1018" i="27"/>
  <c r="J1018" i="27"/>
  <c r="G1018" i="27"/>
  <c r="U1017" i="27"/>
  <c r="V1017" i="27" s="1"/>
  <c r="W1017" i="27" s="1"/>
  <c r="R1017" i="27"/>
  <c r="P1017" i="27"/>
  <c r="N1017" i="27" s="1"/>
  <c r="M1017" i="27"/>
  <c r="J1017" i="27"/>
  <c r="G1017" i="27"/>
  <c r="E1017" i="27" s="1"/>
  <c r="R1016" i="27"/>
  <c r="P1016" i="27"/>
  <c r="M1016" i="27"/>
  <c r="J1016" i="27"/>
  <c r="G1016" i="27"/>
  <c r="R1015" i="27"/>
  <c r="P1015" i="27"/>
  <c r="M1015" i="27"/>
  <c r="J1015" i="27"/>
  <c r="G1015" i="27"/>
  <c r="R1014" i="27"/>
  <c r="U1014" i="27" s="1"/>
  <c r="V1014" i="27" s="1"/>
  <c r="W1014" i="27" s="1"/>
  <c r="P1014" i="27"/>
  <c r="M1014" i="27"/>
  <c r="J1014" i="27"/>
  <c r="G1014" i="27"/>
  <c r="U1013" i="27"/>
  <c r="V1013" i="27" s="1"/>
  <c r="W1013" i="27" s="1"/>
  <c r="R1013" i="27"/>
  <c r="P1013" i="27"/>
  <c r="M1013" i="27"/>
  <c r="K1013" i="27" s="1"/>
  <c r="J1013" i="27"/>
  <c r="G1013" i="27"/>
  <c r="E1013" i="27" s="1"/>
  <c r="U1012" i="27"/>
  <c r="V1012" i="27" s="1"/>
  <c r="W1012" i="27" s="1"/>
  <c r="R1012" i="27"/>
  <c r="E1012" i="27" s="1"/>
  <c r="P1012" i="27"/>
  <c r="M1012" i="27"/>
  <c r="J1012" i="27"/>
  <c r="G1012" i="27"/>
  <c r="R1011" i="27"/>
  <c r="U1011" i="27" s="1"/>
  <c r="V1011" i="27" s="1"/>
  <c r="W1011" i="27" s="1"/>
  <c r="P1011" i="27"/>
  <c r="N1011" i="27"/>
  <c r="M1011" i="27"/>
  <c r="J1011" i="27"/>
  <c r="G1011" i="27"/>
  <c r="R1010" i="27"/>
  <c r="U1010" i="27" s="1"/>
  <c r="V1010" i="27" s="1"/>
  <c r="W1010" i="27" s="1"/>
  <c r="P1010" i="27"/>
  <c r="M1010" i="27"/>
  <c r="J1010" i="27"/>
  <c r="G1010" i="27"/>
  <c r="R1009" i="27"/>
  <c r="P1009" i="27"/>
  <c r="M1009" i="27"/>
  <c r="J1009" i="27"/>
  <c r="G1009" i="27"/>
  <c r="R1008" i="27"/>
  <c r="P1008" i="27"/>
  <c r="N1008" i="27" s="1"/>
  <c r="M1008" i="27"/>
  <c r="J1008" i="27"/>
  <c r="G1008" i="27"/>
  <c r="R1007" i="27"/>
  <c r="P1007" i="27"/>
  <c r="M1007" i="27"/>
  <c r="K1007" i="27" s="1"/>
  <c r="J1007" i="27"/>
  <c r="G1007" i="27"/>
  <c r="E1007" i="27" s="1"/>
  <c r="R1006" i="27"/>
  <c r="P1006" i="27"/>
  <c r="M1006" i="27"/>
  <c r="J1006" i="27"/>
  <c r="G1006" i="27"/>
  <c r="R1005" i="27"/>
  <c r="P1005" i="27"/>
  <c r="M1005" i="27"/>
  <c r="J1005" i="27"/>
  <c r="G1005" i="27"/>
  <c r="E1005" i="27" s="1"/>
  <c r="R1004" i="27"/>
  <c r="P1004" i="27"/>
  <c r="M1004" i="27"/>
  <c r="J1004" i="27"/>
  <c r="G1004" i="27"/>
  <c r="R1003" i="27"/>
  <c r="P1003" i="27"/>
  <c r="N1003" i="27" s="1"/>
  <c r="M1003" i="27"/>
  <c r="J1003" i="27"/>
  <c r="G1003" i="27"/>
  <c r="R1002" i="27"/>
  <c r="U1002" i="27" s="1"/>
  <c r="V1002" i="27" s="1"/>
  <c r="W1002" i="27" s="1"/>
  <c r="P1002" i="27"/>
  <c r="M1002" i="27"/>
  <c r="J1002" i="27"/>
  <c r="H1002" i="27" s="1"/>
  <c r="G1002" i="27"/>
  <c r="R1001" i="27"/>
  <c r="P1001" i="27"/>
  <c r="M1001" i="27"/>
  <c r="J1001" i="27"/>
  <c r="G1001" i="27"/>
  <c r="R1000" i="27"/>
  <c r="P1000" i="27"/>
  <c r="N1000" i="27" s="1"/>
  <c r="M1000" i="27"/>
  <c r="J1000" i="27"/>
  <c r="G1000" i="27"/>
  <c r="R999" i="27"/>
  <c r="P999" i="27"/>
  <c r="N999" i="27" s="1"/>
  <c r="M999" i="27"/>
  <c r="J999" i="27"/>
  <c r="G999" i="27"/>
  <c r="R998" i="27"/>
  <c r="U998" i="27" s="1"/>
  <c r="V998" i="27" s="1"/>
  <c r="W998" i="27" s="1"/>
  <c r="P998" i="27"/>
  <c r="M998" i="27"/>
  <c r="J998" i="27"/>
  <c r="G998" i="27"/>
  <c r="R997" i="27"/>
  <c r="U997" i="27" s="1"/>
  <c r="V997" i="27" s="1"/>
  <c r="W997" i="27" s="1"/>
  <c r="P997" i="27"/>
  <c r="N997" i="27" s="1"/>
  <c r="M997" i="27"/>
  <c r="K997" i="27" s="1"/>
  <c r="J997" i="27"/>
  <c r="G997" i="27"/>
  <c r="R996" i="27"/>
  <c r="P996" i="27"/>
  <c r="M996" i="27"/>
  <c r="J996" i="27"/>
  <c r="G996" i="27"/>
  <c r="R995" i="27"/>
  <c r="P995" i="27"/>
  <c r="M995" i="27"/>
  <c r="J995" i="27"/>
  <c r="G995" i="27"/>
  <c r="R994" i="27"/>
  <c r="U994" i="27" s="1"/>
  <c r="V994" i="27" s="1"/>
  <c r="W994" i="27" s="1"/>
  <c r="P994" i="27"/>
  <c r="M994" i="27"/>
  <c r="J994" i="27"/>
  <c r="G994" i="27"/>
  <c r="R993" i="27"/>
  <c r="P993" i="27"/>
  <c r="N993" i="27" s="1"/>
  <c r="M993" i="27"/>
  <c r="K993" i="27" s="1"/>
  <c r="J993" i="27"/>
  <c r="G993" i="27"/>
  <c r="E993" i="27" s="1"/>
  <c r="R992" i="27"/>
  <c r="P992" i="27"/>
  <c r="M992" i="27"/>
  <c r="J992" i="27"/>
  <c r="G992" i="27"/>
  <c r="R991" i="27"/>
  <c r="P991" i="27"/>
  <c r="N991" i="27" s="1"/>
  <c r="M991" i="27"/>
  <c r="J991" i="27"/>
  <c r="G991" i="27"/>
  <c r="E991" i="27" s="1"/>
  <c r="R990" i="27"/>
  <c r="U990" i="27" s="1"/>
  <c r="V990" i="27" s="1"/>
  <c r="W990" i="27" s="1"/>
  <c r="P990" i="27"/>
  <c r="M990" i="27"/>
  <c r="J990" i="27"/>
  <c r="G990" i="27"/>
  <c r="R989" i="27"/>
  <c r="P989" i="27"/>
  <c r="M989" i="27"/>
  <c r="J989" i="27"/>
  <c r="G989" i="27"/>
  <c r="U988" i="27"/>
  <c r="V988" i="27" s="1"/>
  <c r="W988" i="27" s="1"/>
  <c r="R988" i="27"/>
  <c r="P988" i="27"/>
  <c r="N988" i="27" s="1"/>
  <c r="M988" i="27"/>
  <c r="J988" i="27"/>
  <c r="G988" i="27"/>
  <c r="R987" i="27"/>
  <c r="P987" i="27"/>
  <c r="N987" i="27"/>
  <c r="M987" i="27"/>
  <c r="K987" i="27"/>
  <c r="J987" i="27"/>
  <c r="G987" i="27"/>
  <c r="R986" i="27"/>
  <c r="U986" i="27" s="1"/>
  <c r="V986" i="27" s="1"/>
  <c r="W986" i="27" s="1"/>
  <c r="P986" i="27"/>
  <c r="M986" i="27"/>
  <c r="J986" i="27"/>
  <c r="G986" i="27"/>
  <c r="R985" i="27"/>
  <c r="P985" i="27"/>
  <c r="M985" i="27"/>
  <c r="J985" i="27"/>
  <c r="G985" i="27"/>
  <c r="R984" i="27"/>
  <c r="P984" i="27"/>
  <c r="M984" i="27"/>
  <c r="J984" i="27"/>
  <c r="G984" i="27"/>
  <c r="R983" i="27"/>
  <c r="P983" i="27"/>
  <c r="M983" i="27"/>
  <c r="J983" i="27"/>
  <c r="G983" i="27"/>
  <c r="R982" i="27"/>
  <c r="U982" i="27" s="1"/>
  <c r="V982" i="27" s="1"/>
  <c r="W982" i="27" s="1"/>
  <c r="P982" i="27"/>
  <c r="M982" i="27"/>
  <c r="J982" i="27"/>
  <c r="G982" i="27"/>
  <c r="R981" i="27"/>
  <c r="P981" i="27"/>
  <c r="M981" i="27"/>
  <c r="J981" i="27"/>
  <c r="G981" i="27"/>
  <c r="R980" i="27"/>
  <c r="U980" i="27" s="1"/>
  <c r="V980" i="27" s="1"/>
  <c r="W980" i="27" s="1"/>
  <c r="P980" i="27"/>
  <c r="M980" i="27"/>
  <c r="J980" i="27"/>
  <c r="G980" i="27"/>
  <c r="R979" i="27"/>
  <c r="K979" i="27" s="1"/>
  <c r="P979" i="27"/>
  <c r="N979" i="27"/>
  <c r="M979" i="27"/>
  <c r="J979" i="27"/>
  <c r="G979" i="27"/>
  <c r="R978" i="27"/>
  <c r="U978" i="27" s="1"/>
  <c r="V978" i="27" s="1"/>
  <c r="W978" i="27" s="1"/>
  <c r="P978" i="27"/>
  <c r="M978" i="27"/>
  <c r="J978" i="27"/>
  <c r="H978" i="27" s="1"/>
  <c r="G978" i="27"/>
  <c r="R977" i="27"/>
  <c r="U977" i="27" s="1"/>
  <c r="V977" i="27" s="1"/>
  <c r="W977" i="27" s="1"/>
  <c r="P977" i="27"/>
  <c r="M977" i="27"/>
  <c r="J977" i="27"/>
  <c r="G977" i="27"/>
  <c r="R976" i="27"/>
  <c r="P976" i="27"/>
  <c r="M976" i="27"/>
  <c r="J976" i="27"/>
  <c r="G976" i="27"/>
  <c r="R975" i="27"/>
  <c r="N975" i="27" s="1"/>
  <c r="P975" i="27"/>
  <c r="M975" i="27"/>
  <c r="K975" i="27" s="1"/>
  <c r="J975" i="27"/>
  <c r="G975" i="27"/>
  <c r="R974" i="27"/>
  <c r="P974" i="27"/>
  <c r="M974" i="27"/>
  <c r="J974" i="27"/>
  <c r="G974" i="27"/>
  <c r="U973" i="27"/>
  <c r="V973" i="27" s="1"/>
  <c r="W973" i="27" s="1"/>
  <c r="R973" i="27"/>
  <c r="P973" i="27"/>
  <c r="M973" i="27"/>
  <c r="J973" i="27"/>
  <c r="G973" i="27"/>
  <c r="R972" i="27"/>
  <c r="P972" i="27"/>
  <c r="N972" i="27" s="1"/>
  <c r="M972" i="27"/>
  <c r="J972" i="27"/>
  <c r="G972" i="27"/>
  <c r="R971" i="27"/>
  <c r="P971" i="27"/>
  <c r="M971" i="27"/>
  <c r="J971" i="27"/>
  <c r="G971" i="27"/>
  <c r="R970" i="27"/>
  <c r="P970" i="27"/>
  <c r="M970" i="27"/>
  <c r="J970" i="27"/>
  <c r="G970" i="27"/>
  <c r="U969" i="27"/>
  <c r="V969" i="27" s="1"/>
  <c r="W969" i="27" s="1"/>
  <c r="R969" i="27"/>
  <c r="P969" i="27"/>
  <c r="N969" i="27"/>
  <c r="M969" i="27"/>
  <c r="K969" i="27" s="1"/>
  <c r="J969" i="27"/>
  <c r="G969" i="27"/>
  <c r="R968" i="27"/>
  <c r="P968" i="27"/>
  <c r="N968" i="27" s="1"/>
  <c r="M968" i="27"/>
  <c r="J968" i="27"/>
  <c r="G968" i="27"/>
  <c r="U967" i="27"/>
  <c r="V967" i="27" s="1"/>
  <c r="W967" i="27" s="1"/>
  <c r="R967" i="27"/>
  <c r="P967" i="27"/>
  <c r="M967" i="27"/>
  <c r="K967" i="27" s="1"/>
  <c r="J967" i="27"/>
  <c r="G967" i="27"/>
  <c r="E967" i="27" s="1"/>
  <c r="R966" i="27"/>
  <c r="U966" i="27" s="1"/>
  <c r="V966" i="27" s="1"/>
  <c r="W966" i="27" s="1"/>
  <c r="P966" i="27"/>
  <c r="M966" i="27"/>
  <c r="J966" i="27"/>
  <c r="G966" i="27"/>
  <c r="R965" i="27"/>
  <c r="P965" i="27"/>
  <c r="N965" i="27" s="1"/>
  <c r="M965" i="27"/>
  <c r="J965" i="27"/>
  <c r="G965" i="27"/>
  <c r="U964" i="27"/>
  <c r="V964" i="27" s="1"/>
  <c r="W964" i="27" s="1"/>
  <c r="R964" i="27"/>
  <c r="P964" i="27"/>
  <c r="M964" i="27"/>
  <c r="J964" i="27"/>
  <c r="G964" i="27"/>
  <c r="R963" i="27"/>
  <c r="U963" i="27" s="1"/>
  <c r="V963" i="27" s="1"/>
  <c r="W963" i="27" s="1"/>
  <c r="P963" i="27"/>
  <c r="M963" i="27"/>
  <c r="J963" i="27"/>
  <c r="G963" i="27"/>
  <c r="W962" i="27"/>
  <c r="R962" i="27"/>
  <c r="U962" i="27" s="1"/>
  <c r="V962" i="27" s="1"/>
  <c r="P962" i="27"/>
  <c r="M962" i="27"/>
  <c r="J962" i="27"/>
  <c r="G962" i="27"/>
  <c r="R961" i="27"/>
  <c r="P961" i="27"/>
  <c r="N961" i="27"/>
  <c r="M961" i="27"/>
  <c r="K961" i="27" s="1"/>
  <c r="J961" i="27"/>
  <c r="G961" i="27"/>
  <c r="R960" i="27"/>
  <c r="P960" i="27"/>
  <c r="M960" i="27"/>
  <c r="J960" i="27"/>
  <c r="G960" i="27"/>
  <c r="R959" i="27"/>
  <c r="P959" i="27"/>
  <c r="M959" i="27"/>
  <c r="J959" i="27"/>
  <c r="G959" i="27"/>
  <c r="R958" i="27"/>
  <c r="U958" i="27" s="1"/>
  <c r="V958" i="27" s="1"/>
  <c r="W958" i="27" s="1"/>
  <c r="P958" i="27"/>
  <c r="M958" i="27"/>
  <c r="J958" i="27"/>
  <c r="G958" i="27"/>
  <c r="U957" i="27"/>
  <c r="V957" i="27" s="1"/>
  <c r="W957" i="27" s="1"/>
  <c r="R957" i="27"/>
  <c r="P957" i="27"/>
  <c r="M957" i="27"/>
  <c r="J957" i="27"/>
  <c r="G957" i="27"/>
  <c r="R956" i="27"/>
  <c r="P956" i="27"/>
  <c r="M956" i="27"/>
  <c r="J956" i="27"/>
  <c r="G956" i="27"/>
  <c r="R955" i="27"/>
  <c r="U955" i="27" s="1"/>
  <c r="V955" i="27" s="1"/>
  <c r="W955" i="27" s="1"/>
  <c r="P955" i="27"/>
  <c r="M955" i="27"/>
  <c r="J955" i="27"/>
  <c r="G955" i="27"/>
  <c r="R954" i="27"/>
  <c r="U954" i="27" s="1"/>
  <c r="V954" i="27" s="1"/>
  <c r="W954" i="27" s="1"/>
  <c r="P954" i="27"/>
  <c r="M954" i="27"/>
  <c r="J954" i="27"/>
  <c r="H954" i="27" s="1"/>
  <c r="G954" i="27"/>
  <c r="U952" i="27"/>
  <c r="V952" i="27" s="1"/>
  <c r="W952" i="27" s="1"/>
  <c r="R952" i="27"/>
  <c r="K952" i="27" s="1"/>
  <c r="P952" i="27"/>
  <c r="M952" i="27"/>
  <c r="J952" i="27"/>
  <c r="G952" i="27"/>
  <c r="R951" i="27"/>
  <c r="P951" i="27"/>
  <c r="M951" i="27"/>
  <c r="J951" i="27"/>
  <c r="G951" i="27"/>
  <c r="R950" i="27"/>
  <c r="P950" i="27"/>
  <c r="M950" i="27"/>
  <c r="J950" i="27"/>
  <c r="G950" i="27"/>
  <c r="R949" i="27"/>
  <c r="U949" i="27" s="1"/>
  <c r="V949" i="27" s="1"/>
  <c r="W949" i="27" s="1"/>
  <c r="P949" i="27"/>
  <c r="M949" i="27"/>
  <c r="J949" i="27"/>
  <c r="G949" i="27"/>
  <c r="U948" i="27"/>
  <c r="V948" i="27" s="1"/>
  <c r="W948" i="27" s="1"/>
  <c r="R948" i="27"/>
  <c r="P948" i="27"/>
  <c r="N948" i="27" s="1"/>
  <c r="M948" i="27"/>
  <c r="K948" i="27" s="1"/>
  <c r="J948" i="27"/>
  <c r="G948" i="27"/>
  <c r="E948" i="27" s="1"/>
  <c r="R947" i="27"/>
  <c r="P947" i="27"/>
  <c r="M947" i="27"/>
  <c r="J947" i="27"/>
  <c r="H947" i="27" s="1"/>
  <c r="G947" i="27"/>
  <c r="R946" i="27"/>
  <c r="U946" i="27" s="1"/>
  <c r="V946" i="27" s="1"/>
  <c r="W946" i="27" s="1"/>
  <c r="P946" i="27"/>
  <c r="M946" i="27"/>
  <c r="K946" i="27" s="1"/>
  <c r="J946" i="27"/>
  <c r="G946" i="27"/>
  <c r="R945" i="27"/>
  <c r="U945" i="27" s="1"/>
  <c r="V945" i="27" s="1"/>
  <c r="W945" i="27" s="1"/>
  <c r="P945" i="27"/>
  <c r="M945" i="27"/>
  <c r="J945" i="27"/>
  <c r="G945" i="27"/>
  <c r="R944" i="27"/>
  <c r="H944" i="27" s="1"/>
  <c r="P944" i="27"/>
  <c r="N944" i="27"/>
  <c r="M944" i="27"/>
  <c r="K944" i="27"/>
  <c r="J944" i="27"/>
  <c r="G944" i="27"/>
  <c r="R943" i="27"/>
  <c r="P943" i="27"/>
  <c r="N943" i="27" s="1"/>
  <c r="M943" i="27"/>
  <c r="J943" i="27"/>
  <c r="G943" i="27"/>
  <c r="U942" i="27"/>
  <c r="V942" i="27" s="1"/>
  <c r="W942" i="27" s="1"/>
  <c r="R942" i="27"/>
  <c r="P942" i="27"/>
  <c r="M942" i="27"/>
  <c r="J942" i="27"/>
  <c r="G942" i="27"/>
  <c r="R941" i="27"/>
  <c r="P941" i="27"/>
  <c r="M941" i="27"/>
  <c r="J941" i="27"/>
  <c r="G941" i="27"/>
  <c r="R940" i="27"/>
  <c r="U940" i="27" s="1"/>
  <c r="V940" i="27" s="1"/>
  <c r="W940" i="27" s="1"/>
  <c r="P940" i="27"/>
  <c r="M940" i="27"/>
  <c r="K940" i="27"/>
  <c r="J940" i="27"/>
  <c r="G940" i="27"/>
  <c r="R939" i="27"/>
  <c r="U939" i="27" s="1"/>
  <c r="V939" i="27" s="1"/>
  <c r="W939" i="27" s="1"/>
  <c r="P939" i="27"/>
  <c r="M939" i="27"/>
  <c r="J939" i="27"/>
  <c r="H939" i="27"/>
  <c r="G939" i="27"/>
  <c r="E939" i="27"/>
  <c r="R938" i="27"/>
  <c r="K938" i="27" s="1"/>
  <c r="P938" i="27"/>
  <c r="N938" i="27" s="1"/>
  <c r="M938" i="27"/>
  <c r="J938" i="27"/>
  <c r="G938" i="27"/>
  <c r="E938" i="27" s="1"/>
  <c r="R937" i="27"/>
  <c r="P937" i="27"/>
  <c r="M937" i="27"/>
  <c r="J937" i="27"/>
  <c r="G937" i="27"/>
  <c r="R936" i="27"/>
  <c r="P936" i="27"/>
  <c r="N936" i="27" s="1"/>
  <c r="M936" i="27"/>
  <c r="J936" i="27"/>
  <c r="G936" i="27"/>
  <c r="R935" i="27"/>
  <c r="P935" i="27"/>
  <c r="M935" i="27"/>
  <c r="J935" i="27"/>
  <c r="G935" i="27"/>
  <c r="R934" i="27"/>
  <c r="N934" i="27" s="1"/>
  <c r="P934" i="27"/>
  <c r="M934" i="27"/>
  <c r="J934" i="27"/>
  <c r="G934" i="27"/>
  <c r="U933" i="27"/>
  <c r="V933" i="27" s="1"/>
  <c r="W933" i="27" s="1"/>
  <c r="R933" i="27"/>
  <c r="P933" i="27"/>
  <c r="N933" i="27" s="1"/>
  <c r="M933" i="27"/>
  <c r="J933" i="27"/>
  <c r="G933" i="27"/>
  <c r="U932" i="27"/>
  <c r="V932" i="27" s="1"/>
  <c r="W932" i="27" s="1"/>
  <c r="R932" i="27"/>
  <c r="P932" i="27"/>
  <c r="M932" i="27"/>
  <c r="J932" i="27"/>
  <c r="G932" i="27"/>
  <c r="R931" i="27"/>
  <c r="U931" i="27" s="1"/>
  <c r="V931" i="27" s="1"/>
  <c r="W931" i="27" s="1"/>
  <c r="P931" i="27"/>
  <c r="M931" i="27"/>
  <c r="J931" i="27"/>
  <c r="H931" i="27"/>
  <c r="G931" i="27"/>
  <c r="R930" i="27"/>
  <c r="P930" i="27"/>
  <c r="N930" i="27" s="1"/>
  <c r="M930" i="27"/>
  <c r="J930" i="27"/>
  <c r="G930" i="27"/>
  <c r="E930" i="27" s="1"/>
  <c r="R929" i="27"/>
  <c r="U929" i="27" s="1"/>
  <c r="V929" i="27" s="1"/>
  <c r="W929" i="27" s="1"/>
  <c r="P929" i="27"/>
  <c r="M929" i="27"/>
  <c r="J929" i="27"/>
  <c r="G929" i="27"/>
  <c r="R928" i="27"/>
  <c r="U928" i="27" s="1"/>
  <c r="V928" i="27" s="1"/>
  <c r="W928" i="27" s="1"/>
  <c r="P928" i="27"/>
  <c r="M928" i="27"/>
  <c r="K928" i="27" s="1"/>
  <c r="J928" i="27"/>
  <c r="G928" i="27"/>
  <c r="R927" i="27"/>
  <c r="P927" i="27"/>
  <c r="M927" i="27"/>
  <c r="J927" i="27"/>
  <c r="G927" i="27"/>
  <c r="U926" i="27"/>
  <c r="V926" i="27" s="1"/>
  <c r="W926" i="27" s="1"/>
  <c r="R926" i="27"/>
  <c r="P926" i="27"/>
  <c r="M926" i="27"/>
  <c r="J926" i="27"/>
  <c r="G926" i="27"/>
  <c r="R925" i="27"/>
  <c r="U925" i="27" s="1"/>
  <c r="V925" i="27" s="1"/>
  <c r="W925" i="27" s="1"/>
  <c r="P925" i="27"/>
  <c r="M925" i="27"/>
  <c r="J925" i="27"/>
  <c r="G925" i="27"/>
  <c r="R924" i="27"/>
  <c r="P924" i="27"/>
  <c r="M924" i="27"/>
  <c r="J924" i="27"/>
  <c r="G924" i="27"/>
  <c r="R923" i="27"/>
  <c r="P923" i="27"/>
  <c r="M923" i="27"/>
  <c r="J923" i="27"/>
  <c r="G923" i="27"/>
  <c r="R922" i="27"/>
  <c r="U922" i="27" s="1"/>
  <c r="V922" i="27" s="1"/>
  <c r="W922" i="27" s="1"/>
  <c r="P922" i="27"/>
  <c r="N922" i="27" s="1"/>
  <c r="M922" i="27"/>
  <c r="J922" i="27"/>
  <c r="G922" i="27"/>
  <c r="R921" i="27"/>
  <c r="P921" i="27"/>
  <c r="M921" i="27"/>
  <c r="J921" i="27"/>
  <c r="G921" i="27"/>
  <c r="R920" i="27"/>
  <c r="U920" i="27" s="1"/>
  <c r="V920" i="27" s="1"/>
  <c r="W920" i="27" s="1"/>
  <c r="P920" i="27"/>
  <c r="N920" i="27" s="1"/>
  <c r="M920" i="27"/>
  <c r="K920" i="27" s="1"/>
  <c r="J920" i="27"/>
  <c r="G920" i="27"/>
  <c r="E920" i="27" s="1"/>
  <c r="R919" i="27"/>
  <c r="P919" i="27"/>
  <c r="N919" i="27" s="1"/>
  <c r="M919" i="27"/>
  <c r="J919" i="27"/>
  <c r="G919" i="27"/>
  <c r="U918" i="27"/>
  <c r="V918" i="27" s="1"/>
  <c r="W918" i="27" s="1"/>
  <c r="R918" i="27"/>
  <c r="P918" i="27"/>
  <c r="N918" i="27" s="1"/>
  <c r="M918" i="27"/>
  <c r="K918" i="27" s="1"/>
  <c r="J918" i="27"/>
  <c r="G918" i="27"/>
  <c r="R917" i="27"/>
  <c r="P917" i="27"/>
  <c r="M917" i="27"/>
  <c r="J917" i="27"/>
  <c r="G917" i="27"/>
  <c r="R916" i="27"/>
  <c r="H916" i="27" s="1"/>
  <c r="P916" i="27"/>
  <c r="M916" i="27"/>
  <c r="J916" i="27"/>
  <c r="G916" i="27"/>
  <c r="R915" i="27"/>
  <c r="P915" i="27"/>
  <c r="M915" i="27"/>
  <c r="J915" i="27"/>
  <c r="G915" i="27"/>
  <c r="U914" i="27"/>
  <c r="V914" i="27" s="1"/>
  <c r="W914" i="27" s="1"/>
  <c r="R914" i="27"/>
  <c r="P914" i="27"/>
  <c r="N914" i="27" s="1"/>
  <c r="M914" i="27"/>
  <c r="K914" i="27" s="1"/>
  <c r="J914" i="27"/>
  <c r="G914" i="27"/>
  <c r="R913" i="27"/>
  <c r="P913" i="27"/>
  <c r="M913" i="27"/>
  <c r="J913" i="27"/>
  <c r="G913" i="27"/>
  <c r="R912" i="27"/>
  <c r="P912" i="27"/>
  <c r="N912" i="27" s="1"/>
  <c r="M912" i="27"/>
  <c r="J912" i="27"/>
  <c r="G912" i="27"/>
  <c r="R911" i="27"/>
  <c r="P911" i="27"/>
  <c r="M911" i="27"/>
  <c r="J911" i="27"/>
  <c r="G911" i="27"/>
  <c r="R910" i="27"/>
  <c r="P910" i="27"/>
  <c r="M910" i="27"/>
  <c r="J910" i="27"/>
  <c r="G910" i="27"/>
  <c r="R909" i="27"/>
  <c r="P909" i="27"/>
  <c r="M909" i="27"/>
  <c r="J909" i="27"/>
  <c r="G909" i="27"/>
  <c r="R908" i="27"/>
  <c r="P908" i="27"/>
  <c r="N908" i="27" s="1"/>
  <c r="M908" i="27"/>
  <c r="J908" i="27"/>
  <c r="G908" i="27"/>
  <c r="U907" i="27"/>
  <c r="V907" i="27" s="1"/>
  <c r="W907" i="27" s="1"/>
  <c r="R907" i="27"/>
  <c r="P907" i="27"/>
  <c r="N907" i="27" s="1"/>
  <c r="M907" i="27"/>
  <c r="J907" i="27"/>
  <c r="H907" i="27" s="1"/>
  <c r="G907" i="27"/>
  <c r="E907" i="27"/>
  <c r="R906" i="27"/>
  <c r="P906" i="27"/>
  <c r="M906" i="27"/>
  <c r="J906" i="27"/>
  <c r="G906" i="27"/>
  <c r="R905" i="27"/>
  <c r="P905" i="27"/>
  <c r="M905" i="27"/>
  <c r="J905" i="27"/>
  <c r="G905" i="27"/>
  <c r="R904" i="27"/>
  <c r="U904" i="27" s="1"/>
  <c r="V904" i="27" s="1"/>
  <c r="W904" i="27" s="1"/>
  <c r="P904" i="27"/>
  <c r="M904" i="27"/>
  <c r="K904" i="27" s="1"/>
  <c r="J904" i="27"/>
  <c r="G904" i="27"/>
  <c r="R903" i="27"/>
  <c r="P903" i="27"/>
  <c r="M903" i="27"/>
  <c r="J903" i="27"/>
  <c r="G903" i="27"/>
  <c r="R902" i="27"/>
  <c r="K902" i="27" s="1"/>
  <c r="P902" i="27"/>
  <c r="M902" i="27"/>
  <c r="J902" i="27"/>
  <c r="G902" i="27"/>
  <c r="R901" i="27"/>
  <c r="P901" i="27"/>
  <c r="N901" i="27" s="1"/>
  <c r="M901" i="27"/>
  <c r="J901" i="27"/>
  <c r="G901" i="27"/>
  <c r="R900" i="27"/>
  <c r="P900" i="27"/>
  <c r="M900" i="27"/>
  <c r="J900" i="27"/>
  <c r="G900" i="27"/>
  <c r="R899" i="27"/>
  <c r="P899" i="27"/>
  <c r="M899" i="27"/>
  <c r="J899" i="27"/>
  <c r="G899" i="27"/>
  <c r="R898" i="27"/>
  <c r="P898" i="27"/>
  <c r="N898" i="27" s="1"/>
  <c r="M898" i="27"/>
  <c r="J898" i="27"/>
  <c r="G898" i="27"/>
  <c r="R897" i="27"/>
  <c r="U897" i="27" s="1"/>
  <c r="V897" i="27" s="1"/>
  <c r="W897" i="27" s="1"/>
  <c r="P897" i="27"/>
  <c r="M897" i="27"/>
  <c r="J897" i="27"/>
  <c r="H897" i="27" s="1"/>
  <c r="G897" i="27"/>
  <c r="R896" i="27"/>
  <c r="U896" i="27" s="1"/>
  <c r="V896" i="27" s="1"/>
  <c r="W896" i="27" s="1"/>
  <c r="P896" i="27"/>
  <c r="N896" i="27" s="1"/>
  <c r="M896" i="27"/>
  <c r="J896" i="27"/>
  <c r="G896" i="27"/>
  <c r="R895" i="27"/>
  <c r="P895" i="27"/>
  <c r="M895" i="27"/>
  <c r="J895" i="27"/>
  <c r="G895" i="27"/>
  <c r="R894" i="27"/>
  <c r="P894" i="27"/>
  <c r="M894" i="27"/>
  <c r="K894" i="27"/>
  <c r="J894" i="27"/>
  <c r="G894" i="27"/>
  <c r="R893" i="27"/>
  <c r="P893" i="27"/>
  <c r="M893" i="27"/>
  <c r="J893" i="27"/>
  <c r="G893" i="27"/>
  <c r="R892" i="27"/>
  <c r="U892" i="27" s="1"/>
  <c r="V892" i="27" s="1"/>
  <c r="W892" i="27" s="1"/>
  <c r="P892" i="27"/>
  <c r="M892" i="27"/>
  <c r="K892" i="27" s="1"/>
  <c r="J892" i="27"/>
  <c r="G892" i="27"/>
  <c r="R891" i="27"/>
  <c r="U891" i="27" s="1"/>
  <c r="V891" i="27" s="1"/>
  <c r="W891" i="27" s="1"/>
  <c r="P891" i="27"/>
  <c r="M891" i="27"/>
  <c r="J891" i="27"/>
  <c r="H891" i="27" s="1"/>
  <c r="G891" i="27"/>
  <c r="R889" i="27"/>
  <c r="P889" i="27"/>
  <c r="N889" i="27" s="1"/>
  <c r="M889" i="27"/>
  <c r="K889" i="27" s="1"/>
  <c r="J889" i="27"/>
  <c r="G889" i="27"/>
  <c r="E889" i="27" s="1"/>
  <c r="R888" i="27"/>
  <c r="U888" i="27" s="1"/>
  <c r="V888" i="27" s="1"/>
  <c r="W888" i="27" s="1"/>
  <c r="P888" i="27"/>
  <c r="M888" i="27"/>
  <c r="J888" i="27"/>
  <c r="G888" i="27"/>
  <c r="R886" i="27"/>
  <c r="N886" i="27" s="1"/>
  <c r="P886" i="27"/>
  <c r="M886" i="27"/>
  <c r="J886" i="27"/>
  <c r="G886" i="27"/>
  <c r="R885" i="27"/>
  <c r="E885" i="27" s="1"/>
  <c r="P885" i="27"/>
  <c r="M885" i="27"/>
  <c r="J885" i="27"/>
  <c r="H885" i="27" s="1"/>
  <c r="G885" i="27"/>
  <c r="R884" i="27"/>
  <c r="U884" i="27" s="1"/>
  <c r="V884" i="27" s="1"/>
  <c r="W884" i="27" s="1"/>
  <c r="P884" i="27"/>
  <c r="N884" i="27" s="1"/>
  <c r="M884" i="27"/>
  <c r="K884" i="27"/>
  <c r="J884" i="27"/>
  <c r="G884" i="27"/>
  <c r="R883" i="27"/>
  <c r="P883" i="27"/>
  <c r="M883" i="27"/>
  <c r="J883" i="27"/>
  <c r="G883" i="27"/>
  <c r="R882" i="27"/>
  <c r="U882" i="27" s="1"/>
  <c r="V882" i="27" s="1"/>
  <c r="W882" i="27" s="1"/>
  <c r="P882" i="27"/>
  <c r="M882" i="27"/>
  <c r="J882" i="27"/>
  <c r="G882" i="27"/>
  <c r="R881" i="27"/>
  <c r="E881" i="27" s="1"/>
  <c r="P881" i="27"/>
  <c r="M881" i="27"/>
  <c r="J881" i="27"/>
  <c r="G881" i="27"/>
  <c r="R880" i="27"/>
  <c r="U880" i="27" s="1"/>
  <c r="V880" i="27" s="1"/>
  <c r="W880" i="27" s="1"/>
  <c r="P880" i="27"/>
  <c r="N880" i="27" s="1"/>
  <c r="M880" i="27"/>
  <c r="K880" i="27" s="1"/>
  <c r="J880" i="27"/>
  <c r="G880" i="27"/>
  <c r="R879" i="27"/>
  <c r="P879" i="27"/>
  <c r="M879" i="27"/>
  <c r="J879" i="27"/>
  <c r="G879" i="27"/>
  <c r="R878" i="27"/>
  <c r="P878" i="27"/>
  <c r="M878" i="27"/>
  <c r="J878" i="27"/>
  <c r="G878" i="27"/>
  <c r="R877" i="27"/>
  <c r="P877" i="27"/>
  <c r="M877" i="27"/>
  <c r="J877" i="27"/>
  <c r="G877" i="27"/>
  <c r="R876" i="27"/>
  <c r="P876" i="27"/>
  <c r="M876" i="27"/>
  <c r="K876" i="27" s="1"/>
  <c r="J876" i="27"/>
  <c r="G876" i="27"/>
  <c r="U875" i="27"/>
  <c r="V875" i="27" s="1"/>
  <c r="W875" i="27" s="1"/>
  <c r="R875" i="27"/>
  <c r="P875" i="27"/>
  <c r="N875" i="27" s="1"/>
  <c r="M875" i="27"/>
  <c r="J875" i="27"/>
  <c r="G875" i="27"/>
  <c r="U874" i="27"/>
  <c r="V874" i="27" s="1"/>
  <c r="W874" i="27" s="1"/>
  <c r="R874" i="27"/>
  <c r="P874" i="27"/>
  <c r="N874" i="27" s="1"/>
  <c r="M874" i="27"/>
  <c r="K874" i="27"/>
  <c r="J874" i="27"/>
  <c r="G874" i="27"/>
  <c r="E874" i="27" s="1"/>
  <c r="R873" i="27"/>
  <c r="P873" i="27"/>
  <c r="M873" i="27"/>
  <c r="J873" i="27"/>
  <c r="G873" i="27"/>
  <c r="E873" i="27"/>
  <c r="R871" i="27"/>
  <c r="U871" i="27" s="1"/>
  <c r="V871" i="27" s="1"/>
  <c r="W871" i="27" s="1"/>
  <c r="P871" i="27"/>
  <c r="N871" i="27" s="1"/>
  <c r="M871" i="27"/>
  <c r="K871" i="27" s="1"/>
  <c r="J871" i="27"/>
  <c r="G871" i="27"/>
  <c r="E871" i="27" s="1"/>
  <c r="R870" i="27"/>
  <c r="U870" i="27" s="1"/>
  <c r="V870" i="27" s="1"/>
  <c r="W870" i="27" s="1"/>
  <c r="P870" i="27"/>
  <c r="M870" i="27"/>
  <c r="J870" i="27"/>
  <c r="G870" i="27"/>
  <c r="U868" i="27"/>
  <c r="V868" i="27" s="1"/>
  <c r="W868" i="27" s="1"/>
  <c r="R868" i="27"/>
  <c r="P868" i="27"/>
  <c r="N868" i="27" s="1"/>
  <c r="M868" i="27"/>
  <c r="K868" i="27" s="1"/>
  <c r="J868" i="27"/>
  <c r="G868" i="27"/>
  <c r="R867" i="27"/>
  <c r="P867" i="27"/>
  <c r="M867" i="27"/>
  <c r="J867" i="27"/>
  <c r="G867" i="27"/>
  <c r="R866" i="27"/>
  <c r="P866" i="27"/>
  <c r="M866" i="27"/>
  <c r="J866" i="27"/>
  <c r="G866" i="27"/>
  <c r="R865" i="27"/>
  <c r="P865" i="27"/>
  <c r="M865" i="27"/>
  <c r="J865" i="27"/>
  <c r="G865" i="27"/>
  <c r="R864" i="27"/>
  <c r="U864" i="27" s="1"/>
  <c r="V864" i="27" s="1"/>
  <c r="W864" i="27" s="1"/>
  <c r="P864" i="27"/>
  <c r="N864" i="27" s="1"/>
  <c r="M864" i="27"/>
  <c r="J864" i="27"/>
  <c r="G864" i="27"/>
  <c r="E864" i="27" s="1"/>
  <c r="R863" i="27"/>
  <c r="P863" i="27"/>
  <c r="M863" i="27"/>
  <c r="J863" i="27"/>
  <c r="G863" i="27"/>
  <c r="U862" i="27"/>
  <c r="V862" i="27" s="1"/>
  <c r="W862" i="27" s="1"/>
  <c r="R862" i="27"/>
  <c r="K862" i="27" s="1"/>
  <c r="P862" i="27"/>
  <c r="M862" i="27"/>
  <c r="J862" i="27"/>
  <c r="G862" i="27"/>
  <c r="R861" i="27"/>
  <c r="H861" i="27" s="1"/>
  <c r="P861" i="27"/>
  <c r="M861" i="27"/>
  <c r="J861" i="27"/>
  <c r="G861" i="27"/>
  <c r="R860" i="27"/>
  <c r="U860" i="27" s="1"/>
  <c r="V860" i="27" s="1"/>
  <c r="W860" i="27" s="1"/>
  <c r="P860" i="27"/>
  <c r="N860" i="27" s="1"/>
  <c r="M860" i="27"/>
  <c r="J860" i="27"/>
  <c r="G860" i="27"/>
  <c r="E860" i="27" s="1"/>
  <c r="R859" i="27"/>
  <c r="P859" i="27"/>
  <c r="M859" i="27"/>
  <c r="J859" i="27"/>
  <c r="G859" i="27"/>
  <c r="R858" i="27"/>
  <c r="P858" i="27"/>
  <c r="N858" i="27" s="1"/>
  <c r="M858" i="27"/>
  <c r="J858" i="27"/>
  <c r="G858" i="27"/>
  <c r="R857" i="27"/>
  <c r="U857" i="27" s="1"/>
  <c r="V857" i="27" s="1"/>
  <c r="W857" i="27" s="1"/>
  <c r="P857" i="27"/>
  <c r="M857" i="27"/>
  <c r="J857" i="27"/>
  <c r="H857" i="27"/>
  <c r="G857" i="27"/>
  <c r="R856" i="27"/>
  <c r="P856" i="27"/>
  <c r="M856" i="27"/>
  <c r="J856" i="27"/>
  <c r="G856" i="27"/>
  <c r="E856" i="27" s="1"/>
  <c r="R855" i="27"/>
  <c r="E855" i="27" s="1"/>
  <c r="P855" i="27"/>
  <c r="M855" i="27"/>
  <c r="J855" i="27"/>
  <c r="G855" i="27"/>
  <c r="U854" i="27"/>
  <c r="V854" i="27" s="1"/>
  <c r="W854" i="27" s="1"/>
  <c r="R854" i="27"/>
  <c r="P854" i="27"/>
  <c r="N854" i="27" s="1"/>
  <c r="M854" i="27"/>
  <c r="J854" i="27"/>
  <c r="G854" i="27"/>
  <c r="R853" i="27"/>
  <c r="P853" i="27"/>
  <c r="M853" i="27"/>
  <c r="J853" i="27"/>
  <c r="G853" i="27"/>
  <c r="R852" i="27"/>
  <c r="P852" i="27"/>
  <c r="N852" i="27"/>
  <c r="M852" i="27"/>
  <c r="J852" i="27"/>
  <c r="G852" i="27"/>
  <c r="E852" i="27" s="1"/>
  <c r="R851" i="27"/>
  <c r="K851" i="27" s="1"/>
  <c r="P851" i="27"/>
  <c r="M851" i="27"/>
  <c r="J851" i="27"/>
  <c r="G851" i="27"/>
  <c r="R850" i="27"/>
  <c r="U850" i="27" s="1"/>
  <c r="V850" i="27" s="1"/>
  <c r="W850" i="27" s="1"/>
  <c r="P850" i="27"/>
  <c r="M850" i="27"/>
  <c r="J850" i="27"/>
  <c r="G850" i="27"/>
  <c r="R849" i="27"/>
  <c r="P849" i="27"/>
  <c r="M849" i="27"/>
  <c r="J849" i="27"/>
  <c r="G849" i="27"/>
  <c r="R848" i="27"/>
  <c r="H848" i="27" s="1"/>
  <c r="P848" i="27"/>
  <c r="N848" i="27" s="1"/>
  <c r="M848" i="27"/>
  <c r="K848" i="27"/>
  <c r="J848" i="27"/>
  <c r="G848" i="27"/>
  <c r="R847" i="27"/>
  <c r="E847" i="27" s="1"/>
  <c r="P847" i="27"/>
  <c r="M847" i="27"/>
  <c r="J847" i="27"/>
  <c r="G847" i="27"/>
  <c r="R846" i="27"/>
  <c r="U846" i="27" s="1"/>
  <c r="V846" i="27" s="1"/>
  <c r="W846" i="27" s="1"/>
  <c r="P846" i="27"/>
  <c r="M846" i="27"/>
  <c r="J846" i="27"/>
  <c r="G846" i="27"/>
  <c r="R845" i="27"/>
  <c r="P845" i="27"/>
  <c r="M845" i="27"/>
  <c r="J845" i="27"/>
  <c r="G845" i="27"/>
  <c r="U844" i="27"/>
  <c r="V844" i="27" s="1"/>
  <c r="W844" i="27" s="1"/>
  <c r="R844" i="27"/>
  <c r="P844" i="27"/>
  <c r="N844" i="27" s="1"/>
  <c r="M844" i="27"/>
  <c r="J844" i="27"/>
  <c r="G844" i="27"/>
  <c r="R843" i="27"/>
  <c r="P843" i="27"/>
  <c r="M843" i="27"/>
  <c r="J843" i="27"/>
  <c r="G843" i="27"/>
  <c r="R842" i="27"/>
  <c r="P842" i="27"/>
  <c r="M842" i="27"/>
  <c r="J842" i="27"/>
  <c r="G842" i="27"/>
  <c r="R841" i="27"/>
  <c r="U841" i="27" s="1"/>
  <c r="V841" i="27" s="1"/>
  <c r="W841" i="27" s="1"/>
  <c r="P841" i="27"/>
  <c r="M841" i="27"/>
  <c r="J841" i="27"/>
  <c r="G841" i="27"/>
  <c r="U840" i="27"/>
  <c r="V840" i="27" s="1"/>
  <c r="W840" i="27" s="1"/>
  <c r="R840" i="27"/>
  <c r="K840" i="27" s="1"/>
  <c r="P840" i="27"/>
  <c r="M840" i="27"/>
  <c r="J840" i="27"/>
  <c r="G840" i="27"/>
  <c r="R839" i="27"/>
  <c r="P839" i="27"/>
  <c r="M839" i="27"/>
  <c r="J839" i="27"/>
  <c r="G839" i="27"/>
  <c r="R838" i="27"/>
  <c r="P838" i="27"/>
  <c r="M838" i="27"/>
  <c r="K838" i="27" s="1"/>
  <c r="J838" i="27"/>
  <c r="G838" i="27"/>
  <c r="R837" i="27"/>
  <c r="P837" i="27"/>
  <c r="M837" i="27"/>
  <c r="J837" i="27"/>
  <c r="G837" i="27"/>
  <c r="R836" i="27"/>
  <c r="U836" i="27" s="1"/>
  <c r="V836" i="27" s="1"/>
  <c r="W836" i="27" s="1"/>
  <c r="P836" i="27"/>
  <c r="M836" i="27"/>
  <c r="K836" i="27" s="1"/>
  <c r="J836" i="27"/>
  <c r="G836" i="27"/>
  <c r="R835" i="27"/>
  <c r="K835" i="27" s="1"/>
  <c r="P835" i="27"/>
  <c r="M835" i="27"/>
  <c r="J835" i="27"/>
  <c r="G835" i="27"/>
  <c r="U834" i="27"/>
  <c r="V834" i="27" s="1"/>
  <c r="W834" i="27" s="1"/>
  <c r="R834" i="27"/>
  <c r="P834" i="27"/>
  <c r="M834" i="27"/>
  <c r="J834" i="27"/>
  <c r="G834" i="27"/>
  <c r="R833" i="27"/>
  <c r="P833" i="27"/>
  <c r="M833" i="27"/>
  <c r="J833" i="27"/>
  <c r="G833" i="27"/>
  <c r="R832" i="27"/>
  <c r="N832" i="27" s="1"/>
  <c r="P832" i="27"/>
  <c r="M832" i="27"/>
  <c r="J832" i="27"/>
  <c r="G832" i="27"/>
  <c r="R831" i="27"/>
  <c r="P831" i="27"/>
  <c r="M831" i="27"/>
  <c r="J831" i="27"/>
  <c r="G831" i="27"/>
  <c r="R830" i="27"/>
  <c r="U830" i="27" s="1"/>
  <c r="V830" i="27" s="1"/>
  <c r="W830" i="27" s="1"/>
  <c r="P830" i="27"/>
  <c r="N830" i="27"/>
  <c r="M830" i="27"/>
  <c r="K830" i="27" s="1"/>
  <c r="J830" i="27"/>
  <c r="G830" i="27"/>
  <c r="R829" i="27"/>
  <c r="P829" i="27"/>
  <c r="M829" i="27"/>
  <c r="J829" i="27"/>
  <c r="H829" i="27" s="1"/>
  <c r="G829" i="27"/>
  <c r="U828" i="27"/>
  <c r="V828" i="27" s="1"/>
  <c r="W828" i="27" s="1"/>
  <c r="R828" i="27"/>
  <c r="P828" i="27"/>
  <c r="M828" i="27"/>
  <c r="J828" i="27"/>
  <c r="G828" i="27"/>
  <c r="R827" i="27"/>
  <c r="P827" i="27"/>
  <c r="M827" i="27"/>
  <c r="J827" i="27"/>
  <c r="G827" i="27"/>
  <c r="R826" i="27"/>
  <c r="P826" i="27"/>
  <c r="N826" i="27" s="1"/>
  <c r="M826" i="27"/>
  <c r="J826" i="27"/>
  <c r="G826" i="27"/>
  <c r="R825" i="27"/>
  <c r="E825" i="27" s="1"/>
  <c r="P825" i="27"/>
  <c r="M825" i="27"/>
  <c r="J825" i="27"/>
  <c r="G825" i="27"/>
  <c r="R824" i="27"/>
  <c r="P824" i="27"/>
  <c r="M824" i="27"/>
  <c r="J824" i="27"/>
  <c r="G824" i="27"/>
  <c r="R823" i="27"/>
  <c r="P823" i="27"/>
  <c r="M823" i="27"/>
  <c r="J823" i="27"/>
  <c r="G823" i="27"/>
  <c r="R822" i="27"/>
  <c r="P822" i="27"/>
  <c r="M822" i="27"/>
  <c r="J822" i="27"/>
  <c r="G822" i="27"/>
  <c r="R821" i="27"/>
  <c r="U821" i="27" s="1"/>
  <c r="V821" i="27" s="1"/>
  <c r="W821" i="27" s="1"/>
  <c r="P821" i="27"/>
  <c r="M821" i="27"/>
  <c r="J821" i="27"/>
  <c r="G821" i="27"/>
  <c r="R820" i="27"/>
  <c r="P820" i="27"/>
  <c r="M820" i="27"/>
  <c r="J820" i="27"/>
  <c r="G820" i="27"/>
  <c r="R819" i="27"/>
  <c r="P819" i="27"/>
  <c r="M819" i="27"/>
  <c r="J819" i="27"/>
  <c r="G819" i="27"/>
  <c r="R818" i="27"/>
  <c r="U818" i="27" s="1"/>
  <c r="V818" i="27" s="1"/>
  <c r="W818" i="27" s="1"/>
  <c r="P818" i="27"/>
  <c r="N818" i="27"/>
  <c r="M818" i="27"/>
  <c r="K818" i="27"/>
  <c r="J818" i="27"/>
  <c r="G818" i="27"/>
  <c r="R817" i="27"/>
  <c r="P817" i="27"/>
  <c r="N817" i="27" s="1"/>
  <c r="M817" i="27"/>
  <c r="J817" i="27"/>
  <c r="G817" i="27"/>
  <c r="U816" i="27"/>
  <c r="V816" i="27" s="1"/>
  <c r="W816" i="27" s="1"/>
  <c r="R816" i="27"/>
  <c r="P816" i="27"/>
  <c r="M816" i="27"/>
  <c r="J816" i="27"/>
  <c r="G816" i="27"/>
  <c r="R815" i="27"/>
  <c r="E815" i="27" s="1"/>
  <c r="P815" i="27"/>
  <c r="M815" i="27"/>
  <c r="J815" i="27"/>
  <c r="G815" i="27"/>
  <c r="R813" i="27"/>
  <c r="U813" i="27" s="1"/>
  <c r="V813" i="27" s="1"/>
  <c r="W813" i="27" s="1"/>
  <c r="P813" i="27"/>
  <c r="N813" i="27" s="1"/>
  <c r="M813" i="27"/>
  <c r="K813" i="27" s="1"/>
  <c r="J813" i="27"/>
  <c r="G813" i="27"/>
  <c r="E813" i="27" s="1"/>
  <c r="R812" i="27"/>
  <c r="H812" i="27" s="1"/>
  <c r="P812" i="27"/>
  <c r="M812" i="27"/>
  <c r="J812" i="27"/>
  <c r="G812" i="27"/>
  <c r="R811" i="27"/>
  <c r="P811" i="27"/>
  <c r="M811" i="27"/>
  <c r="J811" i="27"/>
  <c r="G811" i="27"/>
  <c r="R810" i="27"/>
  <c r="P810" i="27"/>
  <c r="M810" i="27"/>
  <c r="J810" i="27"/>
  <c r="G810" i="27"/>
  <c r="R808" i="27"/>
  <c r="P808" i="27"/>
  <c r="M808" i="27"/>
  <c r="J808" i="27"/>
  <c r="G808" i="27"/>
  <c r="U807" i="27"/>
  <c r="V807" i="27" s="1"/>
  <c r="W807" i="27" s="1"/>
  <c r="R807" i="27"/>
  <c r="P807" i="27"/>
  <c r="N807" i="27" s="1"/>
  <c r="M807" i="27"/>
  <c r="J807" i="27"/>
  <c r="G807" i="27"/>
  <c r="U806" i="27"/>
  <c r="V806" i="27" s="1"/>
  <c r="W806" i="27" s="1"/>
  <c r="R806" i="27"/>
  <c r="P806" i="27"/>
  <c r="N806" i="27" s="1"/>
  <c r="M806" i="27"/>
  <c r="K806" i="27"/>
  <c r="J806" i="27"/>
  <c r="G806" i="27"/>
  <c r="E806" i="27" s="1"/>
  <c r="R805" i="27"/>
  <c r="P805" i="27"/>
  <c r="M805" i="27"/>
  <c r="J805" i="27"/>
  <c r="G805" i="27"/>
  <c r="U804" i="27"/>
  <c r="V804" i="27" s="1"/>
  <c r="W804" i="27" s="1"/>
  <c r="R804" i="27"/>
  <c r="P804" i="27"/>
  <c r="M804" i="27"/>
  <c r="K804" i="27" s="1"/>
  <c r="J804" i="27"/>
  <c r="G804" i="27"/>
  <c r="R803" i="27"/>
  <c r="U803" i="27" s="1"/>
  <c r="V803" i="27" s="1"/>
  <c r="W803" i="27" s="1"/>
  <c r="P803" i="27"/>
  <c r="M803" i="27"/>
  <c r="J803" i="27"/>
  <c r="G803" i="27"/>
  <c r="R802" i="27"/>
  <c r="U802" i="27" s="1"/>
  <c r="V802" i="27" s="1"/>
  <c r="W802" i="27" s="1"/>
  <c r="P802" i="27"/>
  <c r="M802" i="27"/>
  <c r="J802" i="27"/>
  <c r="G802" i="27"/>
  <c r="R801" i="27"/>
  <c r="P801" i="27"/>
  <c r="N801" i="27" s="1"/>
  <c r="M801" i="27"/>
  <c r="J801" i="27"/>
  <c r="H801" i="27" s="1"/>
  <c r="G801" i="27"/>
  <c r="R800" i="27"/>
  <c r="P800" i="27"/>
  <c r="N800" i="27" s="1"/>
  <c r="M800" i="27"/>
  <c r="J800" i="27"/>
  <c r="G800" i="27"/>
  <c r="R799" i="27"/>
  <c r="P799" i="27"/>
  <c r="N799" i="27" s="1"/>
  <c r="M799" i="27"/>
  <c r="J799" i="27"/>
  <c r="G799" i="27"/>
  <c r="R798" i="27"/>
  <c r="P798" i="27"/>
  <c r="N798" i="27" s="1"/>
  <c r="M798" i="27"/>
  <c r="K798" i="27"/>
  <c r="J798" i="27"/>
  <c r="G798" i="27"/>
  <c r="E798" i="27" s="1"/>
  <c r="R797" i="27"/>
  <c r="P797" i="27"/>
  <c r="M797" i="27"/>
  <c r="J797" i="27"/>
  <c r="G797" i="27"/>
  <c r="U796" i="27"/>
  <c r="V796" i="27" s="1"/>
  <c r="W796" i="27" s="1"/>
  <c r="R796" i="27"/>
  <c r="P796" i="27"/>
  <c r="M796" i="27"/>
  <c r="J796" i="27"/>
  <c r="G796" i="27"/>
  <c r="R795" i="27"/>
  <c r="U795" i="27" s="1"/>
  <c r="V795" i="27" s="1"/>
  <c r="W795" i="27" s="1"/>
  <c r="P795" i="27"/>
  <c r="M795" i="27"/>
  <c r="J795" i="27"/>
  <c r="G795" i="27"/>
  <c r="R794" i="27"/>
  <c r="U794" i="27" s="1"/>
  <c r="V794" i="27" s="1"/>
  <c r="W794" i="27" s="1"/>
  <c r="P794" i="27"/>
  <c r="N794" i="27"/>
  <c r="M794" i="27"/>
  <c r="J794" i="27"/>
  <c r="G794" i="27"/>
  <c r="E794" i="27" s="1"/>
  <c r="R793" i="27"/>
  <c r="P793" i="27"/>
  <c r="M793" i="27"/>
  <c r="J793" i="27"/>
  <c r="G793" i="27"/>
  <c r="R792" i="27"/>
  <c r="U792" i="27" s="1"/>
  <c r="V792" i="27" s="1"/>
  <c r="W792" i="27" s="1"/>
  <c r="P792" i="27"/>
  <c r="N792" i="27" s="1"/>
  <c r="M792" i="27"/>
  <c r="J792" i="27"/>
  <c r="G792" i="27"/>
  <c r="R791" i="27"/>
  <c r="P791" i="27"/>
  <c r="M791" i="27"/>
  <c r="J791" i="27"/>
  <c r="G791" i="27"/>
  <c r="E791" i="27" s="1"/>
  <c r="U790" i="27"/>
  <c r="V790" i="27" s="1"/>
  <c r="W790" i="27" s="1"/>
  <c r="R790" i="27"/>
  <c r="P790" i="27"/>
  <c r="M790" i="27"/>
  <c r="J790" i="27"/>
  <c r="G790" i="27"/>
  <c r="E790" i="27" s="1"/>
  <c r="R789" i="27"/>
  <c r="U789" i="27" s="1"/>
  <c r="V789" i="27" s="1"/>
  <c r="W789" i="27" s="1"/>
  <c r="P789" i="27"/>
  <c r="M789" i="27"/>
  <c r="J789" i="27"/>
  <c r="H789" i="27" s="1"/>
  <c r="G789" i="27"/>
  <c r="R788" i="27"/>
  <c r="P788" i="27"/>
  <c r="M788" i="27"/>
  <c r="K788" i="27" s="1"/>
  <c r="J788" i="27"/>
  <c r="G788" i="27"/>
  <c r="E788" i="27" s="1"/>
  <c r="R787" i="27"/>
  <c r="U787" i="27" s="1"/>
  <c r="V787" i="27" s="1"/>
  <c r="W787" i="27" s="1"/>
  <c r="P787" i="27"/>
  <c r="M787" i="27"/>
  <c r="J787" i="27"/>
  <c r="G787" i="27"/>
  <c r="U786" i="27"/>
  <c r="V786" i="27" s="1"/>
  <c r="W786" i="27" s="1"/>
  <c r="R786" i="27"/>
  <c r="H786" i="27" s="1"/>
  <c r="P786" i="27"/>
  <c r="N786" i="27" s="1"/>
  <c r="M786" i="27"/>
  <c r="J786" i="27"/>
  <c r="G786" i="27"/>
  <c r="R785" i="27"/>
  <c r="P785" i="27"/>
  <c r="N785" i="27" s="1"/>
  <c r="M785" i="27"/>
  <c r="J785" i="27"/>
  <c r="H785" i="27" s="1"/>
  <c r="G785" i="27"/>
  <c r="R784" i="27"/>
  <c r="U784" i="27" s="1"/>
  <c r="V784" i="27" s="1"/>
  <c r="W784" i="27" s="1"/>
  <c r="P784" i="27"/>
  <c r="N784" i="27" s="1"/>
  <c r="M784" i="27"/>
  <c r="K784" i="27" s="1"/>
  <c r="J784" i="27"/>
  <c r="G784" i="27"/>
  <c r="R783" i="27"/>
  <c r="P783" i="27"/>
  <c r="M783" i="27"/>
  <c r="J783" i="27"/>
  <c r="G783" i="27"/>
  <c r="U782" i="27"/>
  <c r="V782" i="27" s="1"/>
  <c r="W782" i="27" s="1"/>
  <c r="R782" i="27"/>
  <c r="P782" i="27"/>
  <c r="M782" i="27"/>
  <c r="J782" i="27"/>
  <c r="G782" i="27"/>
  <c r="R781" i="27"/>
  <c r="P781" i="27"/>
  <c r="M781" i="27"/>
  <c r="J781" i="27"/>
  <c r="G781" i="27"/>
  <c r="U780" i="27"/>
  <c r="V780" i="27" s="1"/>
  <c r="W780" i="27" s="1"/>
  <c r="R780" i="27"/>
  <c r="P780" i="27"/>
  <c r="M780" i="27"/>
  <c r="J780" i="27"/>
  <c r="G780" i="27"/>
  <c r="R779" i="27"/>
  <c r="P779" i="27"/>
  <c r="M779" i="27"/>
  <c r="J779" i="27"/>
  <c r="G779" i="27"/>
  <c r="R778" i="27"/>
  <c r="U778" i="27" s="1"/>
  <c r="V778" i="27" s="1"/>
  <c r="W778" i="27" s="1"/>
  <c r="P778" i="27"/>
  <c r="N778" i="27" s="1"/>
  <c r="M778" i="27"/>
  <c r="K778" i="27"/>
  <c r="J778" i="27"/>
  <c r="G778" i="27"/>
  <c r="R777" i="27"/>
  <c r="P777" i="27"/>
  <c r="M777" i="27"/>
  <c r="J777" i="27"/>
  <c r="G777" i="27"/>
  <c r="R776" i="27"/>
  <c r="K776" i="27" s="1"/>
  <c r="P776" i="27"/>
  <c r="M776" i="27"/>
  <c r="J776" i="27"/>
  <c r="G776" i="27"/>
  <c r="R775" i="27"/>
  <c r="P775" i="27"/>
  <c r="M775" i="27"/>
  <c r="J775" i="27"/>
  <c r="G775" i="27"/>
  <c r="E775" i="27"/>
  <c r="U774" i="27"/>
  <c r="V774" i="27" s="1"/>
  <c r="W774" i="27" s="1"/>
  <c r="R774" i="27"/>
  <c r="P774" i="27"/>
  <c r="N774" i="27" s="1"/>
  <c r="M774" i="27"/>
  <c r="K774" i="27"/>
  <c r="J774" i="27"/>
  <c r="G774" i="27"/>
  <c r="E774" i="27" s="1"/>
  <c r="R773" i="27"/>
  <c r="P773" i="27"/>
  <c r="M773" i="27"/>
  <c r="J773" i="27"/>
  <c r="G773" i="27"/>
  <c r="R772" i="27"/>
  <c r="U772" i="27" s="1"/>
  <c r="V772" i="27" s="1"/>
  <c r="W772" i="27" s="1"/>
  <c r="P772" i="27"/>
  <c r="M772" i="27"/>
  <c r="J772" i="27"/>
  <c r="G772" i="27"/>
  <c r="R771" i="27"/>
  <c r="P771" i="27"/>
  <c r="M771" i="27"/>
  <c r="J771" i="27"/>
  <c r="G771" i="27"/>
  <c r="R770" i="27"/>
  <c r="P770" i="27"/>
  <c r="N770" i="27" s="1"/>
  <c r="M770" i="27"/>
  <c r="J770" i="27"/>
  <c r="G770" i="27"/>
  <c r="R769" i="27"/>
  <c r="E769" i="27" s="1"/>
  <c r="P769" i="27"/>
  <c r="M769" i="27"/>
  <c r="J769" i="27"/>
  <c r="G769" i="27"/>
  <c r="R768" i="27"/>
  <c r="U768" i="27" s="1"/>
  <c r="V768" i="27" s="1"/>
  <c r="W768" i="27" s="1"/>
  <c r="P768" i="27"/>
  <c r="N768" i="27" s="1"/>
  <c r="M768" i="27"/>
  <c r="K768" i="27"/>
  <c r="J768" i="27"/>
  <c r="G768" i="27"/>
  <c r="R767" i="27"/>
  <c r="P767" i="27"/>
  <c r="N767" i="27" s="1"/>
  <c r="M767" i="27"/>
  <c r="J767" i="27"/>
  <c r="G767" i="27"/>
  <c r="R766" i="27"/>
  <c r="U766" i="27" s="1"/>
  <c r="V766" i="27" s="1"/>
  <c r="W766" i="27" s="1"/>
  <c r="P766" i="27"/>
  <c r="M766" i="27"/>
  <c r="J766" i="27"/>
  <c r="G766" i="27"/>
  <c r="R765" i="27"/>
  <c r="P765" i="27"/>
  <c r="M765" i="27"/>
  <c r="J765" i="27"/>
  <c r="G765" i="27"/>
  <c r="R764" i="27"/>
  <c r="P764" i="27"/>
  <c r="N764" i="27" s="1"/>
  <c r="M764" i="27"/>
  <c r="J764" i="27"/>
  <c r="G764" i="27"/>
  <c r="R763" i="27"/>
  <c r="P763" i="27"/>
  <c r="M763" i="27"/>
  <c r="J763" i="27"/>
  <c r="G763" i="27"/>
  <c r="R762" i="27"/>
  <c r="U762" i="27" s="1"/>
  <c r="V762" i="27" s="1"/>
  <c r="W762" i="27" s="1"/>
  <c r="P762" i="27"/>
  <c r="N762" i="27" s="1"/>
  <c r="M762" i="27"/>
  <c r="K762" i="27"/>
  <c r="J762" i="27"/>
  <c r="G762" i="27"/>
  <c r="R761" i="27"/>
  <c r="P761" i="27"/>
  <c r="M761" i="27"/>
  <c r="J761" i="27"/>
  <c r="G761" i="27"/>
  <c r="R760" i="27"/>
  <c r="E760" i="27" s="1"/>
  <c r="P760" i="27"/>
  <c r="M760" i="27"/>
  <c r="J760" i="27"/>
  <c r="G760" i="27"/>
  <c r="R759" i="27"/>
  <c r="P759" i="27"/>
  <c r="M759" i="27"/>
  <c r="J759" i="27"/>
  <c r="G759" i="27"/>
  <c r="R758" i="27"/>
  <c r="K758" i="27" s="1"/>
  <c r="P758" i="27"/>
  <c r="N758" i="27"/>
  <c r="M758" i="27"/>
  <c r="J758" i="27"/>
  <c r="G758" i="27"/>
  <c r="E758" i="27"/>
  <c r="R757" i="27"/>
  <c r="P757" i="27"/>
  <c r="N757" i="27" s="1"/>
  <c r="M757" i="27"/>
  <c r="J757" i="27"/>
  <c r="G757" i="27"/>
  <c r="R756" i="27"/>
  <c r="K756" i="27" s="1"/>
  <c r="P756" i="27"/>
  <c r="M756" i="27"/>
  <c r="J756" i="27"/>
  <c r="G756" i="27"/>
  <c r="U755" i="27"/>
  <c r="V755" i="27" s="1"/>
  <c r="W755" i="27" s="1"/>
  <c r="R755" i="27"/>
  <c r="P755" i="27"/>
  <c r="M755" i="27"/>
  <c r="J755" i="27"/>
  <c r="G755" i="27"/>
  <c r="E755" i="27"/>
  <c r="R754" i="27"/>
  <c r="P754" i="27"/>
  <c r="N754" i="27" s="1"/>
  <c r="M754" i="27"/>
  <c r="J754" i="27"/>
  <c r="G754" i="27"/>
  <c r="R753" i="27"/>
  <c r="P753" i="27"/>
  <c r="M753" i="27"/>
  <c r="J753" i="27"/>
  <c r="G753" i="27"/>
  <c r="R752" i="27"/>
  <c r="P752" i="27"/>
  <c r="N752" i="27" s="1"/>
  <c r="M752" i="27"/>
  <c r="K752" i="27"/>
  <c r="J752" i="27"/>
  <c r="G752" i="27"/>
  <c r="R751" i="27"/>
  <c r="P751" i="27"/>
  <c r="M751" i="27"/>
  <c r="J751" i="27"/>
  <c r="G751" i="27"/>
  <c r="R750" i="27"/>
  <c r="E750" i="27" s="1"/>
  <c r="P750" i="27"/>
  <c r="M750" i="27"/>
  <c r="J750" i="27"/>
  <c r="G750" i="27"/>
  <c r="R749" i="27"/>
  <c r="U749" i="27" s="1"/>
  <c r="V749" i="27" s="1"/>
  <c r="W749" i="27" s="1"/>
  <c r="P749" i="27"/>
  <c r="M749" i="27"/>
  <c r="K749" i="27"/>
  <c r="J749" i="27"/>
  <c r="G749" i="27"/>
  <c r="R748" i="27"/>
  <c r="P748" i="27"/>
  <c r="N748" i="27" s="1"/>
  <c r="M748" i="27"/>
  <c r="J748" i="27"/>
  <c r="G748" i="27"/>
  <c r="R747" i="27"/>
  <c r="P747" i="27"/>
  <c r="M747" i="27"/>
  <c r="J747" i="27"/>
  <c r="G747" i="27"/>
  <c r="R746" i="27"/>
  <c r="P746" i="27"/>
  <c r="N746" i="27" s="1"/>
  <c r="M746" i="27"/>
  <c r="J746" i="27"/>
  <c r="G746" i="27"/>
  <c r="R745" i="27"/>
  <c r="P745" i="27"/>
  <c r="N745" i="27" s="1"/>
  <c r="M745" i="27"/>
  <c r="J745" i="27"/>
  <c r="G745" i="27"/>
  <c r="U744" i="27"/>
  <c r="V744" i="27" s="1"/>
  <c r="W744" i="27" s="1"/>
  <c r="R744" i="27"/>
  <c r="P744" i="27"/>
  <c r="M744" i="27"/>
  <c r="J744" i="27"/>
  <c r="G744" i="27"/>
  <c r="E744" i="27"/>
  <c r="V743" i="27"/>
  <c r="W743" i="27" s="1"/>
  <c r="R743" i="27"/>
  <c r="U743" i="27" s="1"/>
  <c r="P743" i="27"/>
  <c r="M743" i="27"/>
  <c r="J743" i="27"/>
  <c r="G743" i="27"/>
  <c r="R742" i="27"/>
  <c r="P742" i="27"/>
  <c r="N742" i="27"/>
  <c r="M742" i="27"/>
  <c r="J742" i="27"/>
  <c r="G742" i="27"/>
  <c r="R741" i="27"/>
  <c r="P741" i="27"/>
  <c r="M741" i="27"/>
  <c r="J741" i="27"/>
  <c r="G741" i="27"/>
  <c r="R740" i="27"/>
  <c r="U740" i="27" s="1"/>
  <c r="V740" i="27" s="1"/>
  <c r="W740" i="27" s="1"/>
  <c r="P740" i="27"/>
  <c r="N740" i="27"/>
  <c r="M740" i="27"/>
  <c r="K740" i="27" s="1"/>
  <c r="J740" i="27"/>
  <c r="G740" i="27"/>
  <c r="R739" i="27"/>
  <c r="U739" i="27" s="1"/>
  <c r="V739" i="27" s="1"/>
  <c r="W739" i="27" s="1"/>
  <c r="P739" i="27"/>
  <c r="N739" i="27" s="1"/>
  <c r="M739" i="27"/>
  <c r="J739" i="27"/>
  <c r="H739" i="27" s="1"/>
  <c r="G739" i="27"/>
  <c r="E739" i="27" s="1"/>
  <c r="R738" i="27"/>
  <c r="P738" i="27"/>
  <c r="M738" i="27"/>
  <c r="J738" i="27"/>
  <c r="G738" i="27"/>
  <c r="R737" i="27"/>
  <c r="P737" i="27"/>
  <c r="N737" i="27" s="1"/>
  <c r="M737" i="27"/>
  <c r="J737" i="27"/>
  <c r="G737" i="27"/>
  <c r="R736" i="27"/>
  <c r="P736" i="27"/>
  <c r="M736" i="27"/>
  <c r="J736" i="27"/>
  <c r="G736" i="27"/>
  <c r="R735" i="27"/>
  <c r="P735" i="27"/>
  <c r="N735" i="27" s="1"/>
  <c r="M735" i="27"/>
  <c r="J735" i="27"/>
  <c r="G735" i="27"/>
  <c r="R734" i="27"/>
  <c r="P734" i="27"/>
  <c r="M734" i="27"/>
  <c r="J734" i="27"/>
  <c r="G734" i="27"/>
  <c r="R733" i="27"/>
  <c r="P733" i="27"/>
  <c r="M733" i="27"/>
  <c r="K733" i="27" s="1"/>
  <c r="J733" i="27"/>
  <c r="G733" i="27"/>
  <c r="R732" i="27"/>
  <c r="P732" i="27"/>
  <c r="N732" i="27" s="1"/>
  <c r="M732" i="27"/>
  <c r="J732" i="27"/>
  <c r="G732" i="27"/>
  <c r="R731" i="27"/>
  <c r="P731" i="27"/>
  <c r="M731" i="27"/>
  <c r="J731" i="27"/>
  <c r="G731" i="27"/>
  <c r="R730" i="27"/>
  <c r="P730" i="27"/>
  <c r="N730" i="27" s="1"/>
  <c r="M730" i="27"/>
  <c r="K730" i="27" s="1"/>
  <c r="J730" i="27"/>
  <c r="G730" i="27"/>
  <c r="R729" i="27"/>
  <c r="K729" i="27" s="1"/>
  <c r="P729" i="27"/>
  <c r="N729" i="27" s="1"/>
  <c r="M729" i="27"/>
  <c r="J729" i="27"/>
  <c r="G729" i="27"/>
  <c r="R727" i="27"/>
  <c r="P727" i="27"/>
  <c r="M727" i="27"/>
  <c r="J727" i="27"/>
  <c r="G727" i="27"/>
  <c r="R726" i="27"/>
  <c r="P726" i="27"/>
  <c r="N726" i="27" s="1"/>
  <c r="M726" i="27"/>
  <c r="K726" i="27"/>
  <c r="J726" i="27"/>
  <c r="G726" i="27"/>
  <c r="R725" i="27"/>
  <c r="P725" i="27"/>
  <c r="N725" i="27" s="1"/>
  <c r="M725" i="27"/>
  <c r="J725" i="27"/>
  <c r="G725" i="27"/>
  <c r="R724" i="27"/>
  <c r="P724" i="27"/>
  <c r="M724" i="27"/>
  <c r="J724" i="27"/>
  <c r="G724" i="27"/>
  <c r="R723" i="27"/>
  <c r="P723" i="27"/>
  <c r="N723" i="27" s="1"/>
  <c r="M723" i="27"/>
  <c r="J723" i="27"/>
  <c r="G723" i="27"/>
  <c r="R722" i="27"/>
  <c r="U722" i="27" s="1"/>
  <c r="V722" i="27" s="1"/>
  <c r="W722" i="27" s="1"/>
  <c r="P722" i="27"/>
  <c r="M722" i="27"/>
  <c r="J722" i="27"/>
  <c r="G722" i="27"/>
  <c r="R721" i="27"/>
  <c r="P721" i="27"/>
  <c r="M721" i="27"/>
  <c r="J721" i="27"/>
  <c r="G721" i="27"/>
  <c r="R720" i="27"/>
  <c r="P720" i="27"/>
  <c r="N720" i="27" s="1"/>
  <c r="M720" i="27"/>
  <c r="J720" i="27"/>
  <c r="G720" i="27"/>
  <c r="R719" i="27"/>
  <c r="P719" i="27"/>
  <c r="N719" i="27"/>
  <c r="M719" i="27"/>
  <c r="K719" i="27"/>
  <c r="J719" i="27"/>
  <c r="G719" i="27"/>
  <c r="R718" i="27"/>
  <c r="P718" i="27"/>
  <c r="M718" i="27"/>
  <c r="J718" i="27"/>
  <c r="G718" i="27"/>
  <c r="R717" i="27"/>
  <c r="P717" i="27"/>
  <c r="M717" i="27"/>
  <c r="J717" i="27"/>
  <c r="G717" i="27"/>
  <c r="W716" i="27"/>
  <c r="R716" i="27"/>
  <c r="U716" i="27" s="1"/>
  <c r="V716" i="27" s="1"/>
  <c r="P716" i="27"/>
  <c r="M716" i="27"/>
  <c r="K716" i="27" s="1"/>
  <c r="J716" i="27"/>
  <c r="H716" i="27" s="1"/>
  <c r="G716" i="27"/>
  <c r="R715" i="27"/>
  <c r="P715" i="27"/>
  <c r="M715" i="27"/>
  <c r="J715" i="27"/>
  <c r="G715" i="27"/>
  <c r="R714" i="27"/>
  <c r="P714" i="27"/>
  <c r="M714" i="27"/>
  <c r="J714" i="27"/>
  <c r="G714" i="27"/>
  <c r="R713" i="27"/>
  <c r="P713" i="27"/>
  <c r="M713" i="27"/>
  <c r="K713" i="27" s="1"/>
  <c r="J713" i="27"/>
  <c r="G713" i="27"/>
  <c r="R712" i="27"/>
  <c r="P712" i="27"/>
  <c r="M712" i="27"/>
  <c r="J712" i="27"/>
  <c r="G712" i="27"/>
  <c r="U711" i="27"/>
  <c r="V711" i="27" s="1"/>
  <c r="W711" i="27" s="1"/>
  <c r="R711" i="27"/>
  <c r="P711" i="27"/>
  <c r="M711" i="27"/>
  <c r="J711" i="27"/>
  <c r="G711" i="27"/>
  <c r="R710" i="27"/>
  <c r="P710" i="27"/>
  <c r="M710" i="27"/>
  <c r="J710" i="27"/>
  <c r="G710" i="27"/>
  <c r="R709" i="27"/>
  <c r="P709" i="27"/>
  <c r="N709" i="27" s="1"/>
  <c r="M709" i="27"/>
  <c r="J709" i="27"/>
  <c r="G709" i="27"/>
  <c r="R708" i="27"/>
  <c r="P708" i="27"/>
  <c r="M708" i="27"/>
  <c r="J708" i="27"/>
  <c r="G708" i="27"/>
  <c r="R707" i="27"/>
  <c r="U707" i="27" s="1"/>
  <c r="V707" i="27" s="1"/>
  <c r="W707" i="27" s="1"/>
  <c r="P707" i="27"/>
  <c r="N707" i="27" s="1"/>
  <c r="M707" i="27"/>
  <c r="K707" i="27" s="1"/>
  <c r="J707" i="27"/>
  <c r="G707" i="27"/>
  <c r="R706" i="27"/>
  <c r="P706" i="27"/>
  <c r="N706" i="27" s="1"/>
  <c r="M706" i="27"/>
  <c r="K706" i="27" s="1"/>
  <c r="J706" i="27"/>
  <c r="H706" i="27" s="1"/>
  <c r="G706" i="27"/>
  <c r="R705" i="27"/>
  <c r="P705" i="27"/>
  <c r="N705" i="27" s="1"/>
  <c r="M705" i="27"/>
  <c r="J705" i="27"/>
  <c r="G705" i="27"/>
  <c r="U704" i="27"/>
  <c r="V704" i="27" s="1"/>
  <c r="W704" i="27" s="1"/>
  <c r="R704" i="27"/>
  <c r="P704" i="27"/>
  <c r="M704" i="27"/>
  <c r="J704" i="27"/>
  <c r="G704" i="27"/>
  <c r="R703" i="27"/>
  <c r="U703" i="27" s="1"/>
  <c r="V703" i="27" s="1"/>
  <c r="W703" i="27" s="1"/>
  <c r="P703" i="27"/>
  <c r="M703" i="27"/>
  <c r="J703" i="27"/>
  <c r="G703" i="27"/>
  <c r="R702" i="27"/>
  <c r="P702" i="27"/>
  <c r="M702" i="27"/>
  <c r="J702" i="27"/>
  <c r="G702" i="27"/>
  <c r="R701" i="27"/>
  <c r="P701" i="27"/>
  <c r="M701" i="27"/>
  <c r="J701" i="27"/>
  <c r="G701" i="27"/>
  <c r="W700" i="27"/>
  <c r="R700" i="27"/>
  <c r="U700" i="27" s="1"/>
  <c r="V700" i="27" s="1"/>
  <c r="P700" i="27"/>
  <c r="M700" i="27"/>
  <c r="K700" i="27" s="1"/>
  <c r="J700" i="27"/>
  <c r="G700" i="27"/>
  <c r="R699" i="27"/>
  <c r="P699" i="27"/>
  <c r="M699" i="27"/>
  <c r="J699" i="27"/>
  <c r="G699" i="27"/>
  <c r="U698" i="27"/>
  <c r="V698" i="27" s="1"/>
  <c r="W698" i="27" s="1"/>
  <c r="R698" i="27"/>
  <c r="P698" i="27"/>
  <c r="M698" i="27"/>
  <c r="J698" i="27"/>
  <c r="G698" i="27"/>
  <c r="R697" i="27"/>
  <c r="K697" i="27" s="1"/>
  <c r="P697" i="27"/>
  <c r="N697" i="27" s="1"/>
  <c r="M697" i="27"/>
  <c r="J697" i="27"/>
  <c r="G697" i="27"/>
  <c r="R696" i="27"/>
  <c r="P696" i="27"/>
  <c r="N696" i="27" s="1"/>
  <c r="M696" i="27"/>
  <c r="K696" i="27" s="1"/>
  <c r="J696" i="27"/>
  <c r="G696" i="27"/>
  <c r="R695" i="27"/>
  <c r="P695" i="27"/>
  <c r="M695" i="27"/>
  <c r="J695" i="27"/>
  <c r="G695" i="27"/>
  <c r="R694" i="27"/>
  <c r="U694" i="27" s="1"/>
  <c r="V694" i="27" s="1"/>
  <c r="W694" i="27" s="1"/>
  <c r="P694" i="27"/>
  <c r="N694" i="27" s="1"/>
  <c r="M694" i="27"/>
  <c r="J694" i="27"/>
  <c r="G694" i="27"/>
  <c r="R693" i="27"/>
  <c r="P693" i="27"/>
  <c r="N693" i="27"/>
  <c r="M693" i="27"/>
  <c r="K693" i="27" s="1"/>
  <c r="J693" i="27"/>
  <c r="G693" i="27"/>
  <c r="R692" i="27"/>
  <c r="P692" i="27"/>
  <c r="M692" i="27"/>
  <c r="J692" i="27"/>
  <c r="G692" i="27"/>
  <c r="R691" i="27"/>
  <c r="P691" i="27"/>
  <c r="N691" i="27" s="1"/>
  <c r="M691" i="27"/>
  <c r="J691" i="27"/>
  <c r="G691" i="27"/>
  <c r="R690" i="27"/>
  <c r="U690" i="27" s="1"/>
  <c r="V690" i="27" s="1"/>
  <c r="W690" i="27" s="1"/>
  <c r="P690" i="27"/>
  <c r="M690" i="27"/>
  <c r="K690" i="27" s="1"/>
  <c r="J690" i="27"/>
  <c r="H690" i="27" s="1"/>
  <c r="G690" i="27"/>
  <c r="R689" i="27"/>
  <c r="N689" i="27" s="1"/>
  <c r="P689" i="27"/>
  <c r="M689" i="27"/>
  <c r="J689" i="27"/>
  <c r="G689" i="27"/>
  <c r="R688" i="27"/>
  <c r="U688" i="27" s="1"/>
  <c r="V688" i="27" s="1"/>
  <c r="W688" i="27" s="1"/>
  <c r="P688" i="27"/>
  <c r="M688" i="27"/>
  <c r="J688" i="27"/>
  <c r="G688" i="27"/>
  <c r="R687" i="27"/>
  <c r="P687" i="27"/>
  <c r="N687" i="27"/>
  <c r="M687" i="27"/>
  <c r="J687" i="27"/>
  <c r="G687" i="27"/>
  <c r="R686" i="27"/>
  <c r="P686" i="27"/>
  <c r="N686" i="27" s="1"/>
  <c r="M686" i="27"/>
  <c r="J686" i="27"/>
  <c r="G686" i="27"/>
  <c r="R685" i="27"/>
  <c r="U685" i="27" s="1"/>
  <c r="V685" i="27" s="1"/>
  <c r="W685" i="27" s="1"/>
  <c r="P685" i="27"/>
  <c r="M685" i="27"/>
  <c r="J685" i="27"/>
  <c r="G685" i="27"/>
  <c r="R684" i="27"/>
  <c r="P684" i="27"/>
  <c r="M684" i="27"/>
  <c r="J684" i="27"/>
  <c r="G684" i="27"/>
  <c r="R683" i="27"/>
  <c r="P683" i="27"/>
  <c r="M683" i="27"/>
  <c r="J683" i="27"/>
  <c r="G683" i="27"/>
  <c r="R682" i="27"/>
  <c r="P682" i="27"/>
  <c r="M682" i="27"/>
  <c r="J682" i="27"/>
  <c r="G682" i="27"/>
  <c r="R681" i="27"/>
  <c r="P681" i="27"/>
  <c r="M681" i="27"/>
  <c r="K681" i="27"/>
  <c r="J681" i="27"/>
  <c r="G681" i="27"/>
  <c r="R680" i="27"/>
  <c r="P680" i="27"/>
  <c r="M680" i="27"/>
  <c r="J680" i="27"/>
  <c r="G680" i="27"/>
  <c r="R679" i="27"/>
  <c r="P679" i="27"/>
  <c r="M679" i="27"/>
  <c r="J679" i="27"/>
  <c r="G679" i="27"/>
  <c r="R678" i="27"/>
  <c r="P678" i="27"/>
  <c r="M678" i="27"/>
  <c r="K678" i="27"/>
  <c r="J678" i="27"/>
  <c r="G678" i="27"/>
  <c r="R677" i="27"/>
  <c r="U677" i="27" s="1"/>
  <c r="V677" i="27" s="1"/>
  <c r="W677" i="27" s="1"/>
  <c r="P677" i="27"/>
  <c r="M677" i="27"/>
  <c r="K677" i="27" s="1"/>
  <c r="J677" i="27"/>
  <c r="G677" i="27"/>
  <c r="R676" i="27"/>
  <c r="P676" i="27"/>
  <c r="M676" i="27"/>
  <c r="J676" i="27"/>
  <c r="G676" i="27"/>
  <c r="U675" i="27"/>
  <c r="V675" i="27" s="1"/>
  <c r="W675" i="27" s="1"/>
  <c r="R675" i="27"/>
  <c r="P675" i="27"/>
  <c r="M675" i="27"/>
  <c r="J675" i="27"/>
  <c r="G675" i="27"/>
  <c r="E675" i="27" s="1"/>
  <c r="R674" i="27"/>
  <c r="P674" i="27"/>
  <c r="M674" i="27"/>
  <c r="J674" i="27"/>
  <c r="G674" i="27"/>
  <c r="R673" i="27"/>
  <c r="P673" i="27"/>
  <c r="M673" i="27"/>
  <c r="J673" i="27"/>
  <c r="G673" i="27"/>
  <c r="R672" i="27"/>
  <c r="P672" i="27"/>
  <c r="M672" i="27"/>
  <c r="J672" i="27"/>
  <c r="G672" i="27"/>
  <c r="R671" i="27"/>
  <c r="P671" i="27"/>
  <c r="N671" i="27" s="1"/>
  <c r="M671" i="27"/>
  <c r="J671" i="27"/>
  <c r="G671" i="27"/>
  <c r="R670" i="27"/>
  <c r="P670" i="27"/>
  <c r="M670" i="27"/>
  <c r="J670" i="27"/>
  <c r="G670" i="27"/>
  <c r="R669" i="27"/>
  <c r="P669" i="27"/>
  <c r="M669" i="27"/>
  <c r="J669" i="27"/>
  <c r="G669" i="27"/>
  <c r="R668" i="27"/>
  <c r="P668" i="27"/>
  <c r="M668" i="27"/>
  <c r="J668" i="27"/>
  <c r="G668" i="27"/>
  <c r="R667" i="27"/>
  <c r="P667" i="27"/>
  <c r="M667" i="27"/>
  <c r="J667" i="27"/>
  <c r="G667" i="27"/>
  <c r="R666" i="27"/>
  <c r="P666" i="27"/>
  <c r="M666" i="27"/>
  <c r="J666" i="27"/>
  <c r="G666" i="27"/>
  <c r="R665" i="27"/>
  <c r="K665" i="27" s="1"/>
  <c r="P665" i="27"/>
  <c r="M665" i="27"/>
  <c r="J665" i="27"/>
  <c r="G665" i="27"/>
  <c r="R664" i="27"/>
  <c r="P664" i="27"/>
  <c r="M664" i="27"/>
  <c r="J664" i="27"/>
  <c r="G664" i="27"/>
  <c r="R663" i="27"/>
  <c r="U663" i="27" s="1"/>
  <c r="V663" i="27" s="1"/>
  <c r="W663" i="27" s="1"/>
  <c r="P663" i="27"/>
  <c r="M663" i="27"/>
  <c r="J663" i="27"/>
  <c r="G663" i="27"/>
  <c r="R662" i="27"/>
  <c r="P662" i="27"/>
  <c r="M662" i="27"/>
  <c r="J662" i="27"/>
  <c r="G662" i="27"/>
  <c r="U661" i="27"/>
  <c r="V661" i="27" s="1"/>
  <c r="W661" i="27" s="1"/>
  <c r="R661" i="27"/>
  <c r="P661" i="27"/>
  <c r="N661" i="27" s="1"/>
  <c r="M661" i="27"/>
  <c r="K661" i="27"/>
  <c r="J661" i="27"/>
  <c r="G661" i="27"/>
  <c r="E661" i="27" s="1"/>
  <c r="R660" i="27"/>
  <c r="P660" i="27"/>
  <c r="M660" i="27"/>
  <c r="J660" i="27"/>
  <c r="G660" i="27"/>
  <c r="R659" i="27"/>
  <c r="P659" i="27"/>
  <c r="M659" i="27"/>
  <c r="J659" i="27"/>
  <c r="G659" i="27"/>
  <c r="R658" i="27"/>
  <c r="E658" i="27" s="1"/>
  <c r="P658" i="27"/>
  <c r="M658" i="27"/>
  <c r="J658" i="27"/>
  <c r="G658" i="27"/>
  <c r="R657" i="27"/>
  <c r="P657" i="27"/>
  <c r="M657" i="27"/>
  <c r="J657" i="27"/>
  <c r="G657" i="27"/>
  <c r="R656" i="27"/>
  <c r="P656" i="27"/>
  <c r="M656" i="27"/>
  <c r="J656" i="27"/>
  <c r="G656" i="27"/>
  <c r="R655" i="27"/>
  <c r="U655" i="27" s="1"/>
  <c r="V655" i="27" s="1"/>
  <c r="W655" i="27" s="1"/>
  <c r="P655" i="27"/>
  <c r="N655" i="27" s="1"/>
  <c r="M655" i="27"/>
  <c r="J655" i="27"/>
  <c r="G655" i="27"/>
  <c r="R654" i="27"/>
  <c r="P654" i="27"/>
  <c r="N654" i="27" s="1"/>
  <c r="M654" i="27"/>
  <c r="J654" i="27"/>
  <c r="G654" i="27"/>
  <c r="R653" i="27"/>
  <c r="U653" i="27" s="1"/>
  <c r="V653" i="27" s="1"/>
  <c r="W653" i="27" s="1"/>
  <c r="P653" i="27"/>
  <c r="M653" i="27"/>
  <c r="J653" i="27"/>
  <c r="G653" i="27"/>
  <c r="R652" i="27"/>
  <c r="P652" i="27"/>
  <c r="M652" i="27"/>
  <c r="J652" i="27"/>
  <c r="G652" i="27"/>
  <c r="R651" i="27"/>
  <c r="P651" i="27"/>
  <c r="N651" i="27" s="1"/>
  <c r="M651" i="27"/>
  <c r="J651" i="27"/>
  <c r="G651" i="27"/>
  <c r="R650" i="27"/>
  <c r="U650" i="27" s="1"/>
  <c r="V650" i="27" s="1"/>
  <c r="W650" i="27" s="1"/>
  <c r="P650" i="27"/>
  <c r="M650" i="27"/>
  <c r="J650" i="27"/>
  <c r="G650" i="27"/>
  <c r="R649" i="27"/>
  <c r="K649" i="27" s="1"/>
  <c r="P649" i="27"/>
  <c r="M649" i="27"/>
  <c r="J649" i="27"/>
  <c r="G649" i="27"/>
  <c r="R648" i="27"/>
  <c r="P648" i="27"/>
  <c r="N648" i="27" s="1"/>
  <c r="M648" i="27"/>
  <c r="K648" i="27" s="1"/>
  <c r="J648" i="27"/>
  <c r="G648" i="27"/>
  <c r="R647" i="27"/>
  <c r="P647" i="27"/>
  <c r="M647" i="27"/>
  <c r="J647" i="27"/>
  <c r="G647" i="27"/>
  <c r="R646" i="27"/>
  <c r="K646" i="27" s="1"/>
  <c r="P646" i="27"/>
  <c r="N646" i="27" s="1"/>
  <c r="M646" i="27"/>
  <c r="J646" i="27"/>
  <c r="G646" i="27"/>
  <c r="R645" i="27"/>
  <c r="P645" i="27"/>
  <c r="N645" i="27" s="1"/>
  <c r="M645" i="27"/>
  <c r="K645" i="27" s="1"/>
  <c r="J645" i="27"/>
  <c r="G645" i="27"/>
  <c r="R644" i="27"/>
  <c r="P644" i="27"/>
  <c r="M644" i="27"/>
  <c r="J644" i="27"/>
  <c r="G644" i="27"/>
  <c r="R643" i="27"/>
  <c r="U643" i="27" s="1"/>
  <c r="V643" i="27" s="1"/>
  <c r="W643" i="27" s="1"/>
  <c r="P643" i="27"/>
  <c r="M643" i="27"/>
  <c r="J643" i="27"/>
  <c r="G643" i="27"/>
  <c r="R642" i="27"/>
  <c r="P642" i="27"/>
  <c r="N642" i="27" s="1"/>
  <c r="M642" i="27"/>
  <c r="K642" i="27" s="1"/>
  <c r="J642" i="27"/>
  <c r="G642" i="27"/>
  <c r="R641" i="27"/>
  <c r="P641" i="27"/>
  <c r="N641" i="27" s="1"/>
  <c r="M641" i="27"/>
  <c r="J641" i="27"/>
  <c r="G641" i="27"/>
  <c r="R640" i="27"/>
  <c r="P640" i="27"/>
  <c r="M640" i="27"/>
  <c r="J640" i="27"/>
  <c r="G640" i="27"/>
  <c r="R639" i="27"/>
  <c r="P639" i="27"/>
  <c r="N639" i="27" s="1"/>
  <c r="M639" i="27"/>
  <c r="K639" i="27" s="1"/>
  <c r="J639" i="27"/>
  <c r="G639" i="27"/>
  <c r="R638" i="27"/>
  <c r="P638" i="27"/>
  <c r="M638" i="27"/>
  <c r="J638" i="27"/>
  <c r="G638" i="27"/>
  <c r="R637" i="27"/>
  <c r="P637" i="27"/>
  <c r="M637" i="27"/>
  <c r="J637" i="27"/>
  <c r="G637" i="27"/>
  <c r="R636" i="27"/>
  <c r="U636" i="27" s="1"/>
  <c r="V636" i="27" s="1"/>
  <c r="W636" i="27" s="1"/>
  <c r="P636" i="27"/>
  <c r="M636" i="27"/>
  <c r="K636" i="27" s="1"/>
  <c r="J636" i="27"/>
  <c r="G636" i="27"/>
  <c r="R635" i="27"/>
  <c r="P635" i="27"/>
  <c r="N635" i="27"/>
  <c r="M635" i="27"/>
  <c r="J635" i="27"/>
  <c r="G635" i="27"/>
  <c r="R634" i="27"/>
  <c r="P634" i="27"/>
  <c r="M634" i="27"/>
  <c r="J634" i="27"/>
  <c r="G634" i="27"/>
  <c r="R633" i="27"/>
  <c r="P633" i="27"/>
  <c r="M633" i="27"/>
  <c r="J633" i="27"/>
  <c r="G633" i="27"/>
  <c r="R632" i="27"/>
  <c r="P632" i="27"/>
  <c r="M632" i="27"/>
  <c r="J632" i="27"/>
  <c r="G632" i="27"/>
  <c r="U631" i="27"/>
  <c r="V631" i="27" s="1"/>
  <c r="W631" i="27" s="1"/>
  <c r="R631" i="27"/>
  <c r="P631" i="27"/>
  <c r="M631" i="27"/>
  <c r="J631" i="27"/>
  <c r="G631" i="27"/>
  <c r="E631" i="27" s="1"/>
  <c r="R630" i="27"/>
  <c r="P630" i="27"/>
  <c r="M630" i="27"/>
  <c r="J630" i="27"/>
  <c r="G630" i="27"/>
  <c r="R629" i="27"/>
  <c r="U629" i="27" s="1"/>
  <c r="V629" i="27" s="1"/>
  <c r="W629" i="27" s="1"/>
  <c r="P629" i="27"/>
  <c r="N629" i="27"/>
  <c r="M629" i="27"/>
  <c r="J629" i="27"/>
  <c r="G629" i="27"/>
  <c r="U628" i="27"/>
  <c r="V628" i="27" s="1"/>
  <c r="W628" i="27" s="1"/>
  <c r="R628" i="27"/>
  <c r="E628" i="27" s="1"/>
  <c r="P628" i="27"/>
  <c r="N628" i="27" s="1"/>
  <c r="M628" i="27"/>
  <c r="J628" i="27"/>
  <c r="G628" i="27"/>
  <c r="R627" i="27"/>
  <c r="U627" i="27" s="1"/>
  <c r="V627" i="27" s="1"/>
  <c r="W627" i="27" s="1"/>
  <c r="P627" i="27"/>
  <c r="M627" i="27"/>
  <c r="J627" i="27"/>
  <c r="G627" i="27"/>
  <c r="U626" i="27"/>
  <c r="V626" i="27" s="1"/>
  <c r="W626" i="27" s="1"/>
  <c r="R626" i="27"/>
  <c r="P626" i="27"/>
  <c r="N626" i="27" s="1"/>
  <c r="M626" i="27"/>
  <c r="K626" i="27"/>
  <c r="J626" i="27"/>
  <c r="H626" i="27" s="1"/>
  <c r="G626" i="27"/>
  <c r="E626" i="27" s="1"/>
  <c r="R625" i="27"/>
  <c r="P625" i="27"/>
  <c r="M625" i="27"/>
  <c r="J625" i="27"/>
  <c r="G625" i="27"/>
  <c r="R624" i="27"/>
  <c r="P624" i="27"/>
  <c r="M624" i="27"/>
  <c r="J624" i="27"/>
  <c r="G624" i="27"/>
  <c r="R623" i="27"/>
  <c r="P623" i="27"/>
  <c r="M623" i="27"/>
  <c r="J623" i="27"/>
  <c r="G623" i="27"/>
  <c r="R622" i="27"/>
  <c r="P622" i="27"/>
  <c r="M622" i="27"/>
  <c r="J622" i="27"/>
  <c r="G622" i="27"/>
  <c r="T618" i="27"/>
  <c r="R618" i="27"/>
  <c r="P618" i="27"/>
  <c r="N618" i="27"/>
  <c r="M618" i="27"/>
  <c r="J618" i="27"/>
  <c r="G618" i="27"/>
  <c r="U617" i="27"/>
  <c r="V617" i="27" s="1"/>
  <c r="W617" i="27" s="1"/>
  <c r="T617" i="27"/>
  <c r="R617" i="27"/>
  <c r="P617" i="27"/>
  <c r="M617" i="27"/>
  <c r="J617" i="27"/>
  <c r="G617" i="27"/>
  <c r="U616" i="27"/>
  <c r="V616" i="27" s="1"/>
  <c r="W616" i="27" s="1"/>
  <c r="T616" i="27"/>
  <c r="R616" i="27"/>
  <c r="K616" i="27" s="1"/>
  <c r="P616" i="27"/>
  <c r="M616" i="27"/>
  <c r="J616" i="27"/>
  <c r="G616" i="27"/>
  <c r="E616" i="27"/>
  <c r="T615" i="27"/>
  <c r="R615" i="27"/>
  <c r="P615" i="27"/>
  <c r="M615" i="27"/>
  <c r="J615" i="27"/>
  <c r="G615" i="27"/>
  <c r="T614" i="27"/>
  <c r="R614" i="27"/>
  <c r="U614" i="27" s="1"/>
  <c r="V614" i="27" s="1"/>
  <c r="W614" i="27" s="1"/>
  <c r="P614" i="27"/>
  <c r="M614" i="27"/>
  <c r="K614" i="27" s="1"/>
  <c r="J614" i="27"/>
  <c r="H614" i="27"/>
  <c r="G614" i="27"/>
  <c r="E614" i="27"/>
  <c r="T613" i="27"/>
  <c r="R613" i="27"/>
  <c r="P613" i="27"/>
  <c r="N613" i="27" s="1"/>
  <c r="M613" i="27"/>
  <c r="J613" i="27"/>
  <c r="G613" i="27"/>
  <c r="T612" i="27"/>
  <c r="R612" i="27"/>
  <c r="K612" i="27" s="1"/>
  <c r="P612" i="27"/>
  <c r="M612" i="27"/>
  <c r="J612" i="27"/>
  <c r="G612" i="27"/>
  <c r="T611" i="27"/>
  <c r="R611" i="27"/>
  <c r="P611" i="27"/>
  <c r="M611" i="27"/>
  <c r="J611" i="27"/>
  <c r="G611" i="27"/>
  <c r="T610" i="27"/>
  <c r="R610" i="27"/>
  <c r="U610" i="27" s="1"/>
  <c r="V610" i="27" s="1"/>
  <c r="W610" i="27" s="1"/>
  <c r="P610" i="27"/>
  <c r="N610" i="27" s="1"/>
  <c r="M610" i="27"/>
  <c r="K610" i="27"/>
  <c r="J610" i="27"/>
  <c r="H610" i="27"/>
  <c r="G610" i="27"/>
  <c r="T609" i="27"/>
  <c r="R609" i="27"/>
  <c r="K609" i="27" s="1"/>
  <c r="P609" i="27"/>
  <c r="N609" i="27"/>
  <c r="M609" i="27"/>
  <c r="J609" i="27"/>
  <c r="G609" i="27"/>
  <c r="T608" i="27"/>
  <c r="R608" i="27"/>
  <c r="P608" i="27"/>
  <c r="M608" i="27"/>
  <c r="J608" i="27"/>
  <c r="G608" i="27"/>
  <c r="T607" i="27"/>
  <c r="R607" i="27"/>
  <c r="U607" i="27" s="1"/>
  <c r="V607" i="27" s="1"/>
  <c r="W607" i="27" s="1"/>
  <c r="P607" i="27"/>
  <c r="N607" i="27"/>
  <c r="M607" i="27"/>
  <c r="K607" i="27" s="1"/>
  <c r="J607" i="27"/>
  <c r="G607" i="27"/>
  <c r="T606" i="27"/>
  <c r="R606" i="27"/>
  <c r="U606" i="27" s="1"/>
  <c r="V606" i="27" s="1"/>
  <c r="W606" i="27" s="1"/>
  <c r="P606" i="27"/>
  <c r="M606" i="27"/>
  <c r="J606" i="27"/>
  <c r="G606" i="27"/>
  <c r="T605" i="27"/>
  <c r="R605" i="27"/>
  <c r="P605" i="27"/>
  <c r="M605" i="27"/>
  <c r="J605" i="27"/>
  <c r="G605" i="27"/>
  <c r="E605" i="27"/>
  <c r="U604" i="27"/>
  <c r="V604" i="27" s="1"/>
  <c r="W604" i="27" s="1"/>
  <c r="T604" i="27"/>
  <c r="R604" i="27"/>
  <c r="P604" i="27"/>
  <c r="N604" i="27" s="1"/>
  <c r="M604" i="27"/>
  <c r="K604" i="27"/>
  <c r="J604" i="27"/>
  <c r="H604" i="27"/>
  <c r="G604" i="27"/>
  <c r="E604" i="27" s="1"/>
  <c r="T603" i="27"/>
  <c r="R603" i="27"/>
  <c r="P603" i="27"/>
  <c r="M603" i="27"/>
  <c r="J603" i="27"/>
  <c r="G603" i="27"/>
  <c r="E603" i="27" s="1"/>
  <c r="W602" i="27"/>
  <c r="U602" i="27"/>
  <c r="V602" i="27" s="1"/>
  <c r="T602" i="27"/>
  <c r="R602" i="27"/>
  <c r="P602" i="27"/>
  <c r="N602" i="27" s="1"/>
  <c r="M602" i="27"/>
  <c r="K602" i="27" s="1"/>
  <c r="J602" i="27"/>
  <c r="H602" i="27" s="1"/>
  <c r="G602" i="27"/>
  <c r="E602" i="27" s="1"/>
  <c r="T601" i="27"/>
  <c r="R601" i="27"/>
  <c r="N601" i="27" s="1"/>
  <c r="P601" i="27"/>
  <c r="M601" i="27"/>
  <c r="J601" i="27"/>
  <c r="G601" i="27"/>
  <c r="T600" i="27"/>
  <c r="R600" i="27"/>
  <c r="P600" i="27"/>
  <c r="N600" i="27" s="1"/>
  <c r="M600" i="27"/>
  <c r="J600" i="27"/>
  <c r="G600" i="27"/>
  <c r="T599" i="27"/>
  <c r="R599" i="27"/>
  <c r="P599" i="27"/>
  <c r="N599" i="27" s="1"/>
  <c r="M599" i="27"/>
  <c r="J599" i="27"/>
  <c r="G599" i="27"/>
  <c r="T598" i="27"/>
  <c r="R598" i="27"/>
  <c r="P598" i="27"/>
  <c r="M598" i="27"/>
  <c r="J598" i="27"/>
  <c r="G598" i="27"/>
  <c r="T597" i="27"/>
  <c r="R597" i="27"/>
  <c r="P597" i="27"/>
  <c r="N597" i="27" s="1"/>
  <c r="M597" i="27"/>
  <c r="J597" i="27"/>
  <c r="G597" i="27"/>
  <c r="T596" i="27"/>
  <c r="R596" i="27"/>
  <c r="P596" i="27"/>
  <c r="N596" i="27" s="1"/>
  <c r="M596" i="27"/>
  <c r="J596" i="27"/>
  <c r="G596" i="27"/>
  <c r="T595" i="27"/>
  <c r="R595" i="27"/>
  <c r="E595" i="27" s="1"/>
  <c r="P595" i="27"/>
  <c r="M595" i="27"/>
  <c r="J595" i="27"/>
  <c r="G595" i="27"/>
  <c r="T594" i="27"/>
  <c r="R594" i="27"/>
  <c r="P594" i="27"/>
  <c r="N594" i="27" s="1"/>
  <c r="M594" i="27"/>
  <c r="J594" i="27"/>
  <c r="G594" i="27"/>
  <c r="T593" i="27"/>
  <c r="R593" i="27"/>
  <c r="K593" i="27" s="1"/>
  <c r="P593" i="27"/>
  <c r="M593" i="27"/>
  <c r="J593" i="27"/>
  <c r="H593" i="27" s="1"/>
  <c r="G593" i="27"/>
  <c r="E593" i="27" s="1"/>
  <c r="T592" i="27"/>
  <c r="R592" i="27"/>
  <c r="N592" i="27" s="1"/>
  <c r="P592" i="27"/>
  <c r="M592" i="27"/>
  <c r="J592" i="27"/>
  <c r="G592" i="27"/>
  <c r="T591" i="27"/>
  <c r="R591" i="27"/>
  <c r="U591" i="27" s="1"/>
  <c r="V591" i="27" s="1"/>
  <c r="W591" i="27" s="1"/>
  <c r="P591" i="27"/>
  <c r="M591" i="27"/>
  <c r="J591" i="27"/>
  <c r="G591" i="27"/>
  <c r="T590" i="27"/>
  <c r="R590" i="27"/>
  <c r="U590" i="27" s="1"/>
  <c r="V590" i="27" s="1"/>
  <c r="W590" i="27" s="1"/>
  <c r="P590" i="27"/>
  <c r="M590" i="27"/>
  <c r="J590" i="27"/>
  <c r="G590" i="27"/>
  <c r="T589" i="27"/>
  <c r="R589" i="27"/>
  <c r="P589" i="27"/>
  <c r="M589" i="27"/>
  <c r="J589" i="27"/>
  <c r="G589" i="27"/>
  <c r="T588" i="27"/>
  <c r="R588" i="27"/>
  <c r="P588" i="27"/>
  <c r="M588" i="27"/>
  <c r="J588" i="27"/>
  <c r="G588" i="27"/>
  <c r="T587" i="27"/>
  <c r="R587" i="27"/>
  <c r="P587" i="27"/>
  <c r="M587" i="27"/>
  <c r="J587" i="27"/>
  <c r="G587" i="27"/>
  <c r="T585" i="27"/>
  <c r="R585" i="27"/>
  <c r="K585" i="27" s="1"/>
  <c r="P585" i="27"/>
  <c r="M585" i="27"/>
  <c r="J585" i="27"/>
  <c r="G585" i="27"/>
  <c r="T584" i="27"/>
  <c r="R584" i="27"/>
  <c r="U584" i="27" s="1"/>
  <c r="V584" i="27" s="1"/>
  <c r="W584" i="27" s="1"/>
  <c r="P584" i="27"/>
  <c r="N584" i="27"/>
  <c r="M584" i="27"/>
  <c r="K584" i="27" s="1"/>
  <c r="J584" i="27"/>
  <c r="G584" i="27"/>
  <c r="E584" i="27" s="1"/>
  <c r="T583" i="27"/>
  <c r="R583" i="27"/>
  <c r="P583" i="27"/>
  <c r="M583" i="27"/>
  <c r="J583" i="27"/>
  <c r="G583" i="27"/>
  <c r="T582" i="27"/>
  <c r="R582" i="27"/>
  <c r="U582" i="27" s="1"/>
  <c r="V582" i="27" s="1"/>
  <c r="W582" i="27" s="1"/>
  <c r="P582" i="27"/>
  <c r="N582" i="27" s="1"/>
  <c r="M582" i="27"/>
  <c r="K582" i="27"/>
  <c r="J582" i="27"/>
  <c r="G582" i="27"/>
  <c r="T581" i="27"/>
  <c r="R581" i="27"/>
  <c r="U581" i="27" s="1"/>
  <c r="V581" i="27" s="1"/>
  <c r="W581" i="27" s="1"/>
  <c r="P581" i="27"/>
  <c r="M581" i="27"/>
  <c r="J581" i="27"/>
  <c r="H581" i="27"/>
  <c r="G581" i="27"/>
  <c r="T580" i="27"/>
  <c r="R580" i="27"/>
  <c r="P580" i="27"/>
  <c r="M580" i="27"/>
  <c r="J580" i="27"/>
  <c r="G580" i="27"/>
  <c r="E580" i="27" s="1"/>
  <c r="U579" i="27"/>
  <c r="V579" i="27" s="1"/>
  <c r="W579" i="27" s="1"/>
  <c r="T579" i="27"/>
  <c r="R579" i="27"/>
  <c r="K579" i="27" s="1"/>
  <c r="P579" i="27"/>
  <c r="M579" i="27"/>
  <c r="J579" i="27"/>
  <c r="H579" i="27" s="1"/>
  <c r="G579" i="27"/>
  <c r="E579" i="27" s="1"/>
  <c r="T578" i="27"/>
  <c r="R578" i="27"/>
  <c r="P578" i="27"/>
  <c r="M578" i="27"/>
  <c r="J578" i="27"/>
  <c r="G578" i="27"/>
  <c r="U577" i="27"/>
  <c r="V577" i="27" s="1"/>
  <c r="W577" i="27" s="1"/>
  <c r="T577" i="27"/>
  <c r="R577" i="27"/>
  <c r="P577" i="27"/>
  <c r="N577" i="27" s="1"/>
  <c r="M577" i="27"/>
  <c r="K577" i="27"/>
  <c r="J577" i="27"/>
  <c r="H577" i="27"/>
  <c r="G577" i="27"/>
  <c r="E577" i="27" s="1"/>
  <c r="U576" i="27"/>
  <c r="V576" i="27" s="1"/>
  <c r="W576" i="27" s="1"/>
  <c r="T576" i="27"/>
  <c r="R576" i="27"/>
  <c r="P576" i="27"/>
  <c r="N576" i="27"/>
  <c r="M576" i="27"/>
  <c r="K576" i="27"/>
  <c r="J576" i="27"/>
  <c r="H576" i="27" s="1"/>
  <c r="G576" i="27"/>
  <c r="E576" i="27" s="1"/>
  <c r="T575" i="27"/>
  <c r="R575" i="27"/>
  <c r="P575" i="27"/>
  <c r="M575" i="27"/>
  <c r="J575" i="27"/>
  <c r="G575" i="27"/>
  <c r="T574" i="27"/>
  <c r="R574" i="27"/>
  <c r="P574" i="27"/>
  <c r="M574" i="27"/>
  <c r="J574" i="27"/>
  <c r="G574" i="27"/>
  <c r="T573" i="27"/>
  <c r="R573" i="27"/>
  <c r="U573" i="27" s="1"/>
  <c r="V573" i="27" s="1"/>
  <c r="W573" i="27" s="1"/>
  <c r="P573" i="27"/>
  <c r="M573" i="27"/>
  <c r="J573" i="27"/>
  <c r="G573" i="27"/>
  <c r="T572" i="27"/>
  <c r="R572" i="27"/>
  <c r="P572" i="27"/>
  <c r="M572" i="27"/>
  <c r="J572" i="27"/>
  <c r="G572" i="27"/>
  <c r="E572" i="27"/>
  <c r="U571" i="27"/>
  <c r="V571" i="27" s="1"/>
  <c r="W571" i="27" s="1"/>
  <c r="T571" i="27"/>
  <c r="R571" i="27"/>
  <c r="P571" i="27"/>
  <c r="N571" i="27" s="1"/>
  <c r="M571" i="27"/>
  <c r="K571" i="27"/>
  <c r="J571" i="27"/>
  <c r="H571" i="27"/>
  <c r="G571" i="27"/>
  <c r="E571" i="27" s="1"/>
  <c r="T570" i="27"/>
  <c r="R570" i="27"/>
  <c r="P570" i="27"/>
  <c r="M570" i="27"/>
  <c r="J570" i="27"/>
  <c r="G570" i="27"/>
  <c r="E570" i="27" s="1"/>
  <c r="U569" i="27"/>
  <c r="V569" i="27" s="1"/>
  <c r="W569" i="27" s="1"/>
  <c r="T569" i="27"/>
  <c r="R569" i="27"/>
  <c r="P569" i="27"/>
  <c r="N569" i="27" s="1"/>
  <c r="M569" i="27"/>
  <c r="K569" i="27" s="1"/>
  <c r="J569" i="27"/>
  <c r="G569" i="27"/>
  <c r="E569" i="27" s="1"/>
  <c r="T568" i="27"/>
  <c r="R568" i="27"/>
  <c r="N568" i="27" s="1"/>
  <c r="P568" i="27"/>
  <c r="M568" i="27"/>
  <c r="J568" i="27"/>
  <c r="G568" i="27"/>
  <c r="T567" i="27"/>
  <c r="R567" i="27"/>
  <c r="P567" i="27"/>
  <c r="N567" i="27" s="1"/>
  <c r="M567" i="27"/>
  <c r="J567" i="27"/>
  <c r="G567" i="27"/>
  <c r="T566" i="27"/>
  <c r="R566" i="27"/>
  <c r="P566" i="27"/>
  <c r="N566" i="27" s="1"/>
  <c r="M566" i="27"/>
  <c r="J566" i="27"/>
  <c r="G566" i="27"/>
  <c r="T565" i="27"/>
  <c r="R565" i="27"/>
  <c r="P565" i="27"/>
  <c r="M565" i="27"/>
  <c r="J565" i="27"/>
  <c r="G565" i="27"/>
  <c r="T564" i="27"/>
  <c r="R564" i="27"/>
  <c r="E564" i="27" s="1"/>
  <c r="P564" i="27"/>
  <c r="N564" i="27" s="1"/>
  <c r="M564" i="27"/>
  <c r="J564" i="27"/>
  <c r="G564" i="27"/>
  <c r="T563" i="27"/>
  <c r="R563" i="27"/>
  <c r="P563" i="27"/>
  <c r="N563" i="27" s="1"/>
  <c r="M563" i="27"/>
  <c r="J563" i="27"/>
  <c r="G563" i="27"/>
  <c r="T562" i="27"/>
  <c r="R562" i="27"/>
  <c r="P562" i="27"/>
  <c r="M562" i="27"/>
  <c r="J562" i="27"/>
  <c r="G562" i="27"/>
  <c r="T561" i="27"/>
  <c r="R561" i="27"/>
  <c r="P561" i="27"/>
  <c r="M561" i="27"/>
  <c r="J561" i="27"/>
  <c r="G561" i="27"/>
  <c r="T560" i="27"/>
  <c r="R560" i="27"/>
  <c r="P560" i="27"/>
  <c r="M560" i="27"/>
  <c r="J560" i="27"/>
  <c r="G560" i="27"/>
  <c r="T559" i="27"/>
  <c r="R559" i="27"/>
  <c r="P559" i="27"/>
  <c r="M559" i="27"/>
  <c r="J559" i="27"/>
  <c r="G559" i="27"/>
  <c r="T558" i="27"/>
  <c r="R558" i="27"/>
  <c r="U558" i="27" s="1"/>
  <c r="V558" i="27" s="1"/>
  <c r="W558" i="27" s="1"/>
  <c r="P558" i="27"/>
  <c r="M558" i="27"/>
  <c r="J558" i="27"/>
  <c r="G558" i="27"/>
  <c r="T557" i="27"/>
  <c r="R557" i="27"/>
  <c r="U557" i="27" s="1"/>
  <c r="V557" i="27" s="1"/>
  <c r="W557" i="27" s="1"/>
  <c r="P557" i="27"/>
  <c r="M557" i="27"/>
  <c r="J557" i="27"/>
  <c r="G557" i="27"/>
  <c r="T556" i="27"/>
  <c r="R556" i="27"/>
  <c r="P556" i="27"/>
  <c r="M556" i="27"/>
  <c r="J556" i="27"/>
  <c r="G556" i="27"/>
  <c r="T555" i="27"/>
  <c r="R555" i="27"/>
  <c r="P555" i="27"/>
  <c r="M555" i="27"/>
  <c r="J555" i="27"/>
  <c r="G555" i="27"/>
  <c r="T554" i="27"/>
  <c r="R554" i="27"/>
  <c r="P554" i="27"/>
  <c r="M554" i="27"/>
  <c r="J554" i="27"/>
  <c r="G554" i="27"/>
  <c r="T553" i="27"/>
  <c r="R553" i="27"/>
  <c r="P553" i="27"/>
  <c r="M553" i="27"/>
  <c r="J553" i="27"/>
  <c r="G553" i="27"/>
  <c r="U552" i="27"/>
  <c r="V552" i="27" s="1"/>
  <c r="W552" i="27" s="1"/>
  <c r="T552" i="27"/>
  <c r="R552" i="27"/>
  <c r="P552" i="27"/>
  <c r="N552" i="27" s="1"/>
  <c r="M552" i="27"/>
  <c r="K552" i="27" s="1"/>
  <c r="J552" i="27"/>
  <c r="G552" i="27"/>
  <c r="E552" i="27" s="1"/>
  <c r="T551" i="27"/>
  <c r="R551" i="27"/>
  <c r="P551" i="27"/>
  <c r="M551" i="27"/>
  <c r="J551" i="27"/>
  <c r="G551" i="27"/>
  <c r="T550" i="27"/>
  <c r="R550" i="27"/>
  <c r="P550" i="27"/>
  <c r="N550" i="27" s="1"/>
  <c r="M550" i="27"/>
  <c r="J550" i="27"/>
  <c r="G550" i="27"/>
  <c r="T548" i="27"/>
  <c r="R548" i="27"/>
  <c r="P548" i="27"/>
  <c r="M548" i="27"/>
  <c r="J548" i="27"/>
  <c r="G548" i="27"/>
  <c r="T547" i="27"/>
  <c r="R547" i="27"/>
  <c r="P547" i="27"/>
  <c r="M547" i="27"/>
  <c r="J547" i="27"/>
  <c r="G547" i="27"/>
  <c r="T546" i="27"/>
  <c r="R546" i="27"/>
  <c r="K546" i="27" s="1"/>
  <c r="P546" i="27"/>
  <c r="M546" i="27"/>
  <c r="J546" i="27"/>
  <c r="G546" i="27"/>
  <c r="T545" i="27"/>
  <c r="R545" i="27"/>
  <c r="P545" i="27"/>
  <c r="M545" i="27"/>
  <c r="J545" i="27"/>
  <c r="G545" i="27"/>
  <c r="U544" i="27"/>
  <c r="V544" i="27" s="1"/>
  <c r="W544" i="27" s="1"/>
  <c r="T544" i="27"/>
  <c r="R544" i="27"/>
  <c r="P544" i="27"/>
  <c r="N544" i="27" s="1"/>
  <c r="M544" i="27"/>
  <c r="K544" i="27" s="1"/>
  <c r="J544" i="27"/>
  <c r="H544" i="27"/>
  <c r="G544" i="27"/>
  <c r="E544" i="27" s="1"/>
  <c r="T543" i="27"/>
  <c r="R543" i="27"/>
  <c r="K543" i="27" s="1"/>
  <c r="P543" i="27"/>
  <c r="N543" i="27" s="1"/>
  <c r="M543" i="27"/>
  <c r="J543" i="27"/>
  <c r="G543" i="27"/>
  <c r="T542" i="27"/>
  <c r="R542" i="27"/>
  <c r="P542" i="27"/>
  <c r="N542" i="27" s="1"/>
  <c r="M542" i="27"/>
  <c r="J542" i="27"/>
  <c r="G542" i="27"/>
  <c r="T541" i="27"/>
  <c r="R541" i="27"/>
  <c r="U541" i="27" s="1"/>
  <c r="V541" i="27" s="1"/>
  <c r="W541" i="27" s="1"/>
  <c r="P541" i="27"/>
  <c r="N541" i="27"/>
  <c r="M541" i="27"/>
  <c r="K541" i="27" s="1"/>
  <c r="J541" i="27"/>
  <c r="G541" i="27"/>
  <c r="T540" i="27"/>
  <c r="R540" i="27"/>
  <c r="P540" i="27"/>
  <c r="M540" i="27"/>
  <c r="J540" i="27"/>
  <c r="G540" i="27"/>
  <c r="T539" i="27"/>
  <c r="R539" i="27"/>
  <c r="P539" i="27"/>
  <c r="M539" i="27"/>
  <c r="J539" i="27"/>
  <c r="G539" i="27"/>
  <c r="E539" i="27"/>
  <c r="U538" i="27"/>
  <c r="V538" i="27" s="1"/>
  <c r="W538" i="27" s="1"/>
  <c r="T538" i="27"/>
  <c r="R538" i="27"/>
  <c r="P538" i="27"/>
  <c r="N538" i="27" s="1"/>
  <c r="M538" i="27"/>
  <c r="K538" i="27"/>
  <c r="J538" i="27"/>
  <c r="H538" i="27"/>
  <c r="G538" i="27"/>
  <c r="E538" i="27" s="1"/>
  <c r="T536" i="27"/>
  <c r="R536" i="27"/>
  <c r="P536" i="27"/>
  <c r="M536" i="27"/>
  <c r="J536" i="27"/>
  <c r="G536" i="27"/>
  <c r="U535" i="27"/>
  <c r="V535" i="27" s="1"/>
  <c r="W535" i="27" s="1"/>
  <c r="T535" i="27"/>
  <c r="R535" i="27"/>
  <c r="P535" i="27"/>
  <c r="N535" i="27"/>
  <c r="M535" i="27"/>
  <c r="K535" i="27" s="1"/>
  <c r="J535" i="27"/>
  <c r="G535" i="27"/>
  <c r="E535" i="27" s="1"/>
  <c r="T534" i="27"/>
  <c r="R534" i="27"/>
  <c r="N534" i="27" s="1"/>
  <c r="P534" i="27"/>
  <c r="M534" i="27"/>
  <c r="J534" i="27"/>
  <c r="G534" i="27"/>
  <c r="T533" i="27"/>
  <c r="R533" i="27"/>
  <c r="E533" i="27" s="1"/>
  <c r="P533" i="27"/>
  <c r="N533" i="27" s="1"/>
  <c r="M533" i="27"/>
  <c r="J533" i="27"/>
  <c r="G533" i="27"/>
  <c r="T532" i="27"/>
  <c r="R532" i="27"/>
  <c r="P532" i="27"/>
  <c r="N532" i="27" s="1"/>
  <c r="M532" i="27"/>
  <c r="J532" i="27"/>
  <c r="G532" i="27"/>
  <c r="T531" i="27"/>
  <c r="R531" i="27"/>
  <c r="P531" i="27"/>
  <c r="M531" i="27"/>
  <c r="J531" i="27"/>
  <c r="G531" i="27"/>
  <c r="T530" i="27"/>
  <c r="R530" i="27"/>
  <c r="E530" i="27" s="1"/>
  <c r="P530" i="27"/>
  <c r="N530" i="27" s="1"/>
  <c r="M530" i="27"/>
  <c r="J530" i="27"/>
  <c r="G530" i="27"/>
  <c r="T529" i="27"/>
  <c r="R529" i="27"/>
  <c r="P529" i="27"/>
  <c r="N529" i="27" s="1"/>
  <c r="M529" i="27"/>
  <c r="J529" i="27"/>
  <c r="G529" i="27"/>
  <c r="T528" i="27"/>
  <c r="R528" i="27"/>
  <c r="P528" i="27"/>
  <c r="M528" i="27"/>
  <c r="J528" i="27"/>
  <c r="G528" i="27"/>
  <c r="U526" i="27"/>
  <c r="V526" i="27" s="1"/>
  <c r="W526" i="27" s="1"/>
  <c r="T526" i="27"/>
  <c r="P526" i="27"/>
  <c r="N526" i="27" s="1"/>
  <c r="M526" i="27"/>
  <c r="K526" i="27" s="1"/>
  <c r="J526" i="27"/>
  <c r="H526" i="27" s="1"/>
  <c r="G526" i="27"/>
  <c r="E526" i="27" s="1"/>
  <c r="U525" i="27"/>
  <c r="V525" i="27" s="1"/>
  <c r="W525" i="27" s="1"/>
  <c r="T525" i="27"/>
  <c r="P525" i="27"/>
  <c r="N525" i="27" s="1"/>
  <c r="M525" i="27"/>
  <c r="K525" i="27" s="1"/>
  <c r="J525" i="27"/>
  <c r="H525" i="27" s="1"/>
  <c r="G525" i="27"/>
  <c r="E525" i="27" s="1"/>
  <c r="U524" i="27"/>
  <c r="V524" i="27" s="1"/>
  <c r="W524" i="27" s="1"/>
  <c r="T524" i="27"/>
  <c r="P524" i="27"/>
  <c r="N524" i="27" s="1"/>
  <c r="M524" i="27"/>
  <c r="K524" i="27" s="1"/>
  <c r="J524" i="27"/>
  <c r="H524" i="27" s="1"/>
  <c r="G524" i="27"/>
  <c r="E524" i="27"/>
  <c r="U523" i="27"/>
  <c r="V523" i="27" s="1"/>
  <c r="W523" i="27" s="1"/>
  <c r="T523" i="27"/>
  <c r="P523" i="27"/>
  <c r="N523" i="27" s="1"/>
  <c r="M523" i="27"/>
  <c r="K523" i="27" s="1"/>
  <c r="J523" i="27"/>
  <c r="H523" i="27" s="1"/>
  <c r="G523" i="27"/>
  <c r="E523" i="27" s="1"/>
  <c r="T522" i="27"/>
  <c r="R522" i="27"/>
  <c r="H522" i="27" s="1"/>
  <c r="P522" i="27"/>
  <c r="N522" i="27" s="1"/>
  <c r="M522" i="27"/>
  <c r="J522" i="27"/>
  <c r="G522" i="27"/>
  <c r="T521" i="27"/>
  <c r="R521" i="27"/>
  <c r="P521" i="27"/>
  <c r="M521" i="27"/>
  <c r="J521" i="27"/>
  <c r="G521" i="27"/>
  <c r="T520" i="27"/>
  <c r="R520" i="27"/>
  <c r="P520" i="27"/>
  <c r="M520" i="27"/>
  <c r="J520" i="27"/>
  <c r="G520" i="27"/>
  <c r="E520" i="27" s="1"/>
  <c r="T519" i="27"/>
  <c r="R519" i="27"/>
  <c r="P519" i="27"/>
  <c r="M519" i="27"/>
  <c r="J519" i="27"/>
  <c r="G519" i="27"/>
  <c r="T518" i="27"/>
  <c r="R518" i="27"/>
  <c r="U518" i="27" s="1"/>
  <c r="V518" i="27" s="1"/>
  <c r="W518" i="27" s="1"/>
  <c r="P518" i="27"/>
  <c r="M518" i="27"/>
  <c r="J518" i="27"/>
  <c r="H518" i="27"/>
  <c r="G518" i="27"/>
  <c r="T517" i="27"/>
  <c r="R517" i="27"/>
  <c r="P517" i="27"/>
  <c r="N517" i="27" s="1"/>
  <c r="M517" i="27"/>
  <c r="J517" i="27"/>
  <c r="G517" i="27"/>
  <c r="E517" i="27"/>
  <c r="T516" i="27"/>
  <c r="R516" i="27"/>
  <c r="P516" i="27"/>
  <c r="M516" i="27"/>
  <c r="J516" i="27"/>
  <c r="G516" i="27"/>
  <c r="E516" i="27" s="1"/>
  <c r="T515" i="27"/>
  <c r="R515" i="27"/>
  <c r="P515" i="27"/>
  <c r="M515" i="27"/>
  <c r="J515" i="27"/>
  <c r="G515" i="27"/>
  <c r="T514" i="27"/>
  <c r="R514" i="27"/>
  <c r="U514" i="27" s="1"/>
  <c r="V514" i="27" s="1"/>
  <c r="W514" i="27" s="1"/>
  <c r="P514" i="27"/>
  <c r="N514" i="27" s="1"/>
  <c r="M514" i="27"/>
  <c r="K514" i="27" s="1"/>
  <c r="J514" i="27"/>
  <c r="H514" i="27"/>
  <c r="G514" i="27"/>
  <c r="T513" i="27"/>
  <c r="R513" i="27"/>
  <c r="U513" i="27" s="1"/>
  <c r="V513" i="27" s="1"/>
  <c r="W513" i="27" s="1"/>
  <c r="P513" i="27"/>
  <c r="N513" i="27" s="1"/>
  <c r="M513" i="27"/>
  <c r="K513" i="27" s="1"/>
  <c r="J513" i="27"/>
  <c r="G513" i="27"/>
  <c r="T512" i="27"/>
  <c r="R512" i="27"/>
  <c r="P512" i="27"/>
  <c r="M512" i="27"/>
  <c r="J512" i="27"/>
  <c r="G512" i="27"/>
  <c r="T511" i="27"/>
  <c r="R511" i="27"/>
  <c r="U511" i="27" s="1"/>
  <c r="V511" i="27" s="1"/>
  <c r="W511" i="27" s="1"/>
  <c r="P511" i="27"/>
  <c r="N511" i="27"/>
  <c r="M511" i="27"/>
  <c r="K511" i="27"/>
  <c r="J511" i="27"/>
  <c r="G511" i="27"/>
  <c r="T510" i="27"/>
  <c r="R510" i="27"/>
  <c r="P510" i="27"/>
  <c r="M510" i="27"/>
  <c r="J510" i="27"/>
  <c r="G510" i="27"/>
  <c r="T509" i="27"/>
  <c r="R509" i="27"/>
  <c r="K509" i="27" s="1"/>
  <c r="P509" i="27"/>
  <c r="M509" i="27"/>
  <c r="J509" i="27"/>
  <c r="G509" i="27"/>
  <c r="T508" i="27"/>
  <c r="R508" i="27"/>
  <c r="P508" i="27"/>
  <c r="M508" i="27"/>
  <c r="J508" i="27"/>
  <c r="G508" i="27"/>
  <c r="T507" i="27"/>
  <c r="R507" i="27"/>
  <c r="P507" i="27"/>
  <c r="N507" i="27" s="1"/>
  <c r="M507" i="27"/>
  <c r="J507" i="27"/>
  <c r="G507" i="27"/>
  <c r="T506" i="27"/>
  <c r="R506" i="27"/>
  <c r="U506" i="27" s="1"/>
  <c r="V506" i="27" s="1"/>
  <c r="W506" i="27" s="1"/>
  <c r="P506" i="27"/>
  <c r="N506" i="27"/>
  <c r="M506" i="27"/>
  <c r="J506" i="27"/>
  <c r="G506" i="27"/>
  <c r="T505" i="27"/>
  <c r="R505" i="27"/>
  <c r="U505" i="27" s="1"/>
  <c r="V505" i="27" s="1"/>
  <c r="W505" i="27" s="1"/>
  <c r="P505" i="27"/>
  <c r="N505" i="27"/>
  <c r="M505" i="27"/>
  <c r="J505" i="27"/>
  <c r="G505" i="27"/>
  <c r="T504" i="27"/>
  <c r="R504" i="27"/>
  <c r="E504" i="27" s="1"/>
  <c r="P504" i="27"/>
  <c r="N504" i="27" s="1"/>
  <c r="M504" i="27"/>
  <c r="J504" i="27"/>
  <c r="G504" i="27"/>
  <c r="T503" i="27"/>
  <c r="R503" i="27"/>
  <c r="U503" i="27" s="1"/>
  <c r="V503" i="27" s="1"/>
  <c r="W503" i="27" s="1"/>
  <c r="P503" i="27"/>
  <c r="N503" i="27" s="1"/>
  <c r="M503" i="27"/>
  <c r="K503" i="27"/>
  <c r="J503" i="27"/>
  <c r="G503" i="27"/>
  <c r="T502" i="27"/>
  <c r="R502" i="27"/>
  <c r="P502" i="27"/>
  <c r="M502" i="27"/>
  <c r="J502" i="27"/>
  <c r="G502" i="27"/>
  <c r="T501" i="27"/>
  <c r="R501" i="27"/>
  <c r="P501" i="27"/>
  <c r="M501" i="27"/>
  <c r="J501" i="27"/>
  <c r="G501" i="27"/>
  <c r="T500" i="27"/>
  <c r="R500" i="27"/>
  <c r="K500" i="27" s="1"/>
  <c r="P500" i="27"/>
  <c r="N500" i="27" s="1"/>
  <c r="M500" i="27"/>
  <c r="J500" i="27"/>
  <c r="G500" i="27"/>
  <c r="T499" i="27"/>
  <c r="R499" i="27"/>
  <c r="E499" i="27" s="1"/>
  <c r="P499" i="27"/>
  <c r="M499" i="27"/>
  <c r="J499" i="27"/>
  <c r="G499" i="27"/>
  <c r="T498" i="27"/>
  <c r="R498" i="27"/>
  <c r="U498" i="27" s="1"/>
  <c r="V498" i="27" s="1"/>
  <c r="W498" i="27" s="1"/>
  <c r="P498" i="27"/>
  <c r="M498" i="27"/>
  <c r="K498" i="27" s="1"/>
  <c r="J498" i="27"/>
  <c r="G498" i="27"/>
  <c r="T497" i="27"/>
  <c r="R497" i="27"/>
  <c r="P497" i="27"/>
  <c r="N497" i="27" s="1"/>
  <c r="M497" i="27"/>
  <c r="J497" i="27"/>
  <c r="G497" i="27"/>
  <c r="T496" i="27"/>
  <c r="R496" i="27"/>
  <c r="P496" i="27"/>
  <c r="M496" i="27"/>
  <c r="J496" i="27"/>
  <c r="G496" i="27"/>
  <c r="T495" i="27"/>
  <c r="R495" i="27"/>
  <c r="P495" i="27"/>
  <c r="N495" i="27" s="1"/>
  <c r="M495" i="27"/>
  <c r="J495" i="27"/>
  <c r="G495" i="27"/>
  <c r="T494" i="27"/>
  <c r="R494" i="27"/>
  <c r="P494" i="27"/>
  <c r="M494" i="27"/>
  <c r="J494" i="27"/>
  <c r="G494" i="27"/>
  <c r="T493" i="27"/>
  <c r="R493" i="27"/>
  <c r="P493" i="27"/>
  <c r="M493" i="27"/>
  <c r="J493" i="27"/>
  <c r="G493" i="27"/>
  <c r="T492" i="27"/>
  <c r="R492" i="27"/>
  <c r="K492" i="27" s="1"/>
  <c r="P492" i="27"/>
  <c r="M492" i="27"/>
  <c r="J492" i="27"/>
  <c r="G492" i="27"/>
  <c r="T491" i="27"/>
  <c r="R491" i="27"/>
  <c r="P491" i="27"/>
  <c r="M491" i="27"/>
  <c r="J491" i="27"/>
  <c r="G491" i="27"/>
  <c r="T490" i="27"/>
  <c r="R490" i="27"/>
  <c r="N490" i="27" s="1"/>
  <c r="P490" i="27"/>
  <c r="M490" i="27"/>
  <c r="J490" i="27"/>
  <c r="G490" i="27"/>
  <c r="T489" i="27"/>
  <c r="R489" i="27"/>
  <c r="P489" i="27"/>
  <c r="M489" i="27"/>
  <c r="J489" i="27"/>
  <c r="G489" i="27"/>
  <c r="T488" i="27"/>
  <c r="R488" i="27"/>
  <c r="E488" i="27" s="1"/>
  <c r="P488" i="27"/>
  <c r="N488" i="27" s="1"/>
  <c r="M488" i="27"/>
  <c r="J488" i="27"/>
  <c r="G488" i="27"/>
  <c r="T487" i="27"/>
  <c r="R487" i="27"/>
  <c r="P487" i="27"/>
  <c r="M487" i="27"/>
  <c r="J487" i="27"/>
  <c r="G487" i="27"/>
  <c r="T486" i="27"/>
  <c r="R486" i="27"/>
  <c r="P486" i="27"/>
  <c r="M486" i="27"/>
  <c r="J486" i="27"/>
  <c r="G486" i="27"/>
  <c r="E486" i="27" s="1"/>
  <c r="T485" i="27"/>
  <c r="R485" i="27"/>
  <c r="P485" i="27"/>
  <c r="M485" i="27"/>
  <c r="J485" i="27"/>
  <c r="G485" i="27"/>
  <c r="T484" i="27"/>
  <c r="R484" i="27"/>
  <c r="K484" i="27" s="1"/>
  <c r="P484" i="27"/>
  <c r="M484" i="27"/>
  <c r="J484" i="27"/>
  <c r="G484" i="27"/>
  <c r="T483" i="27"/>
  <c r="R483" i="27"/>
  <c r="P483" i="27"/>
  <c r="M483" i="27"/>
  <c r="J483" i="27"/>
  <c r="G483" i="27"/>
  <c r="T482" i="27"/>
  <c r="R482" i="27"/>
  <c r="P482" i="27"/>
  <c r="M482" i="27"/>
  <c r="J482" i="27"/>
  <c r="G482" i="27"/>
  <c r="T481" i="27"/>
  <c r="R481" i="27"/>
  <c r="U481" i="27" s="1"/>
  <c r="V481" i="27" s="1"/>
  <c r="W481" i="27" s="1"/>
  <c r="P481" i="27"/>
  <c r="N481" i="27" s="1"/>
  <c r="M481" i="27"/>
  <c r="K481" i="27"/>
  <c r="J481" i="27"/>
  <c r="H481" i="27" s="1"/>
  <c r="G481" i="27"/>
  <c r="T480" i="27"/>
  <c r="R480" i="27"/>
  <c r="P480" i="27"/>
  <c r="N480" i="27" s="1"/>
  <c r="M480" i="27"/>
  <c r="J480" i="27"/>
  <c r="G480" i="27"/>
  <c r="T479" i="27"/>
  <c r="R479" i="27"/>
  <c r="U479" i="27" s="1"/>
  <c r="V479" i="27" s="1"/>
  <c r="W479" i="27" s="1"/>
  <c r="P479" i="27"/>
  <c r="M479" i="27"/>
  <c r="J479" i="27"/>
  <c r="G479" i="27"/>
  <c r="T478" i="27"/>
  <c r="R478" i="27"/>
  <c r="P478" i="27"/>
  <c r="M478" i="27"/>
  <c r="J478" i="27"/>
  <c r="G478" i="27"/>
  <c r="T477" i="27"/>
  <c r="R477" i="27"/>
  <c r="P477" i="27"/>
  <c r="M477" i="27"/>
  <c r="J477" i="27"/>
  <c r="G477" i="27"/>
  <c r="T476" i="27"/>
  <c r="R476" i="27"/>
  <c r="P476" i="27"/>
  <c r="M476" i="27"/>
  <c r="J476" i="27"/>
  <c r="G476" i="27"/>
  <c r="T475" i="27"/>
  <c r="R475" i="27"/>
  <c r="P475" i="27"/>
  <c r="M475" i="27"/>
  <c r="J475" i="27"/>
  <c r="G475" i="27"/>
  <c r="T474" i="27"/>
  <c r="R474" i="27"/>
  <c r="P474" i="27"/>
  <c r="M474" i="27"/>
  <c r="J474" i="27"/>
  <c r="H474" i="27"/>
  <c r="G474" i="27"/>
  <c r="E474" i="27" s="1"/>
  <c r="T473" i="27"/>
  <c r="R473" i="27"/>
  <c r="U473" i="27" s="1"/>
  <c r="V473" i="27" s="1"/>
  <c r="W473" i="27" s="1"/>
  <c r="P473" i="27"/>
  <c r="N473" i="27" s="1"/>
  <c r="M473" i="27"/>
  <c r="K473" i="27"/>
  <c r="J473" i="27"/>
  <c r="H473" i="27"/>
  <c r="G473" i="27"/>
  <c r="T472" i="27"/>
  <c r="R472" i="27"/>
  <c r="P472" i="27"/>
  <c r="N472" i="27" s="1"/>
  <c r="M472" i="27"/>
  <c r="J472" i="27"/>
  <c r="G472" i="27"/>
  <c r="T471" i="27"/>
  <c r="R471" i="27"/>
  <c r="U471" i="27" s="1"/>
  <c r="V471" i="27" s="1"/>
  <c r="W471" i="27" s="1"/>
  <c r="P471" i="27"/>
  <c r="N471" i="27" s="1"/>
  <c r="M471" i="27"/>
  <c r="K471" i="27"/>
  <c r="J471" i="27"/>
  <c r="G471" i="27"/>
  <c r="T470" i="27"/>
  <c r="R470" i="27"/>
  <c r="U470" i="27" s="1"/>
  <c r="V470" i="27" s="1"/>
  <c r="W470" i="27" s="1"/>
  <c r="P470" i="27"/>
  <c r="M470" i="27"/>
  <c r="J470" i="27"/>
  <c r="G470" i="27"/>
  <c r="T469" i="27"/>
  <c r="R469" i="27"/>
  <c r="P469" i="27"/>
  <c r="M469" i="27"/>
  <c r="J469" i="27"/>
  <c r="G469" i="27"/>
  <c r="E469" i="27"/>
  <c r="T468" i="27"/>
  <c r="R468" i="27"/>
  <c r="U468" i="27" s="1"/>
  <c r="V468" i="27" s="1"/>
  <c r="W468" i="27" s="1"/>
  <c r="P468" i="27"/>
  <c r="N468" i="27" s="1"/>
  <c r="M468" i="27"/>
  <c r="K468" i="27"/>
  <c r="J468" i="27"/>
  <c r="H468" i="27" s="1"/>
  <c r="G468" i="27"/>
  <c r="E468" i="27" s="1"/>
  <c r="T467" i="27"/>
  <c r="R467" i="27"/>
  <c r="P467" i="27"/>
  <c r="M467" i="27"/>
  <c r="J467" i="27"/>
  <c r="G467" i="27"/>
  <c r="T466" i="27"/>
  <c r="R466" i="27"/>
  <c r="N466" i="27" s="1"/>
  <c r="P466" i="27"/>
  <c r="M466" i="27"/>
  <c r="J466" i="27"/>
  <c r="G466" i="27"/>
  <c r="T465" i="27"/>
  <c r="R465" i="27"/>
  <c r="P465" i="27"/>
  <c r="N465" i="27" s="1"/>
  <c r="M465" i="27"/>
  <c r="J465" i="27"/>
  <c r="G465" i="27"/>
  <c r="T464" i="27"/>
  <c r="R464" i="27"/>
  <c r="P464" i="27"/>
  <c r="N464" i="27" s="1"/>
  <c r="M464" i="27"/>
  <c r="J464" i="27"/>
  <c r="G464" i="27"/>
  <c r="T463" i="27"/>
  <c r="R463" i="27"/>
  <c r="U463" i="27" s="1"/>
  <c r="V463" i="27" s="1"/>
  <c r="W463" i="27" s="1"/>
  <c r="P463" i="27"/>
  <c r="N463" i="27" s="1"/>
  <c r="M463" i="27"/>
  <c r="K463" i="27"/>
  <c r="J463" i="27"/>
  <c r="G463" i="27"/>
  <c r="T462" i="27"/>
  <c r="R462" i="27"/>
  <c r="P462" i="27"/>
  <c r="M462" i="27"/>
  <c r="J462" i="27"/>
  <c r="G462" i="27"/>
  <c r="T461" i="27"/>
  <c r="R461" i="27"/>
  <c r="K461" i="27" s="1"/>
  <c r="P461" i="27"/>
  <c r="M461" i="27"/>
  <c r="J461" i="27"/>
  <c r="G461" i="27"/>
  <c r="U460" i="27"/>
  <c r="V460" i="27" s="1"/>
  <c r="W460" i="27" s="1"/>
  <c r="T460" i="27"/>
  <c r="R460" i="27"/>
  <c r="P460" i="27"/>
  <c r="M460" i="27"/>
  <c r="J460" i="27"/>
  <c r="H460" i="27"/>
  <c r="G460" i="27"/>
  <c r="E460" i="27"/>
  <c r="T459" i="27"/>
  <c r="R459" i="27"/>
  <c r="P459" i="27"/>
  <c r="M459" i="27"/>
  <c r="J459" i="27"/>
  <c r="G459" i="27"/>
  <c r="E459" i="27" s="1"/>
  <c r="T458" i="27"/>
  <c r="R458" i="27"/>
  <c r="U458" i="27" s="1"/>
  <c r="V458" i="27" s="1"/>
  <c r="W458" i="27" s="1"/>
  <c r="P458" i="27"/>
  <c r="M458" i="27"/>
  <c r="J458" i="27"/>
  <c r="G458" i="27"/>
  <c r="T457" i="27"/>
  <c r="R457" i="27"/>
  <c r="U457" i="27" s="1"/>
  <c r="V457" i="27" s="1"/>
  <c r="W457" i="27" s="1"/>
  <c r="P457" i="27"/>
  <c r="M457" i="27"/>
  <c r="J457" i="27"/>
  <c r="G457" i="27"/>
  <c r="T456" i="27"/>
  <c r="R456" i="27"/>
  <c r="E456" i="27" s="1"/>
  <c r="P456" i="27"/>
  <c r="M456" i="27"/>
  <c r="J456" i="27"/>
  <c r="G456" i="27"/>
  <c r="T455" i="27"/>
  <c r="R455" i="27"/>
  <c r="P455" i="27"/>
  <c r="M455" i="27"/>
  <c r="J455" i="27"/>
  <c r="G455" i="27"/>
  <c r="T454" i="27"/>
  <c r="R454" i="27"/>
  <c r="U454" i="27" s="1"/>
  <c r="V454" i="27" s="1"/>
  <c r="W454" i="27" s="1"/>
  <c r="P454" i="27"/>
  <c r="M454" i="27"/>
  <c r="J454" i="27"/>
  <c r="G454" i="27"/>
  <c r="T453" i="27"/>
  <c r="R453" i="27"/>
  <c r="P453" i="27"/>
  <c r="N453" i="27"/>
  <c r="M453" i="27"/>
  <c r="J453" i="27"/>
  <c r="G453" i="27"/>
  <c r="T452" i="27"/>
  <c r="R452" i="27"/>
  <c r="P452" i="27"/>
  <c r="N452" i="27" s="1"/>
  <c r="M452" i="27"/>
  <c r="J452" i="27"/>
  <c r="H452" i="27" s="1"/>
  <c r="G452" i="27"/>
  <c r="T451" i="27"/>
  <c r="R451" i="27"/>
  <c r="P451" i="27"/>
  <c r="M451" i="27"/>
  <c r="J451" i="27"/>
  <c r="G451" i="27"/>
  <c r="T450" i="27"/>
  <c r="R450" i="27"/>
  <c r="P450" i="27"/>
  <c r="N450" i="27" s="1"/>
  <c r="M450" i="27"/>
  <c r="J450" i="27"/>
  <c r="G450" i="27"/>
  <c r="T449" i="27"/>
  <c r="R449" i="27"/>
  <c r="N449" i="27" s="1"/>
  <c r="P449" i="27"/>
  <c r="M449" i="27"/>
  <c r="J449" i="27"/>
  <c r="G449" i="27"/>
  <c r="T448" i="27"/>
  <c r="R448" i="27"/>
  <c r="P448" i="27"/>
  <c r="M448" i="27"/>
  <c r="J448" i="27"/>
  <c r="G448" i="27"/>
  <c r="T447" i="27"/>
  <c r="R447" i="27"/>
  <c r="P447" i="27"/>
  <c r="N447" i="27" s="1"/>
  <c r="M447" i="27"/>
  <c r="J447" i="27"/>
  <c r="G447" i="27"/>
  <c r="T446" i="27"/>
  <c r="R446" i="27"/>
  <c r="P446" i="27"/>
  <c r="M446" i="27"/>
  <c r="J446" i="27"/>
  <c r="G446" i="27"/>
  <c r="U445" i="27"/>
  <c r="V445" i="27" s="1"/>
  <c r="W445" i="27" s="1"/>
  <c r="T445" i="27"/>
  <c r="O445" i="27"/>
  <c r="P445" i="27" s="1"/>
  <c r="N445" i="27" s="1"/>
  <c r="L445" i="27"/>
  <c r="M445" i="27" s="1"/>
  <c r="K445" i="27" s="1"/>
  <c r="I445" i="27"/>
  <c r="J445" i="27" s="1"/>
  <c r="H445" i="27" s="1"/>
  <c r="F445" i="27"/>
  <c r="G445" i="27" s="1"/>
  <c r="E445" i="27" s="1"/>
  <c r="U444" i="27"/>
  <c r="V444" i="27" s="1"/>
  <c r="W444" i="27" s="1"/>
  <c r="T444" i="27"/>
  <c r="O444" i="27"/>
  <c r="P444" i="27" s="1"/>
  <c r="N444" i="27" s="1"/>
  <c r="L444" i="27"/>
  <c r="M444" i="27" s="1"/>
  <c r="K444" i="27" s="1"/>
  <c r="I444" i="27"/>
  <c r="J444" i="27" s="1"/>
  <c r="H444" i="27"/>
  <c r="F444" i="27"/>
  <c r="G444" i="27" s="1"/>
  <c r="E444" i="27" s="1"/>
  <c r="U443" i="27"/>
  <c r="V443" i="27" s="1"/>
  <c r="W443" i="27" s="1"/>
  <c r="T443" i="27"/>
  <c r="O443" i="27"/>
  <c r="P443" i="27" s="1"/>
  <c r="N443" i="27" s="1"/>
  <c r="L443" i="27"/>
  <c r="M443" i="27" s="1"/>
  <c r="K443" i="27" s="1"/>
  <c r="I443" i="27"/>
  <c r="J443" i="27" s="1"/>
  <c r="H443" i="27" s="1"/>
  <c r="F443" i="27"/>
  <c r="G443" i="27" s="1"/>
  <c r="E443" i="27" s="1"/>
  <c r="U442" i="27"/>
  <c r="V442" i="27" s="1"/>
  <c r="W442" i="27" s="1"/>
  <c r="T442" i="27"/>
  <c r="O442" i="27"/>
  <c r="P442" i="27" s="1"/>
  <c r="N442" i="27"/>
  <c r="L442" i="27"/>
  <c r="M442" i="27" s="1"/>
  <c r="K442" i="27" s="1"/>
  <c r="J442" i="27"/>
  <c r="H442" i="27" s="1"/>
  <c r="I442" i="27"/>
  <c r="F442" i="27"/>
  <c r="G442" i="27" s="1"/>
  <c r="E442" i="27" s="1"/>
  <c r="U441" i="27"/>
  <c r="V441" i="27" s="1"/>
  <c r="W441" i="27" s="1"/>
  <c r="T441" i="27"/>
  <c r="O441" i="27"/>
  <c r="P441" i="27" s="1"/>
  <c r="N441" i="27" s="1"/>
  <c r="L441" i="27"/>
  <c r="M441" i="27" s="1"/>
  <c r="K441" i="27" s="1"/>
  <c r="I441" i="27"/>
  <c r="J441" i="27" s="1"/>
  <c r="H441" i="27" s="1"/>
  <c r="F441" i="27"/>
  <c r="G441" i="27" s="1"/>
  <c r="E441" i="27" s="1"/>
  <c r="T440" i="27"/>
  <c r="R440" i="27"/>
  <c r="P440" i="27"/>
  <c r="M440" i="27"/>
  <c r="J440" i="27"/>
  <c r="G440" i="27"/>
  <c r="U439" i="27"/>
  <c r="V439" i="27" s="1"/>
  <c r="W439" i="27" s="1"/>
  <c r="T439" i="27"/>
  <c r="R439" i="27"/>
  <c r="P439" i="27"/>
  <c r="M439" i="27"/>
  <c r="J439" i="27"/>
  <c r="G439" i="27"/>
  <c r="E439" i="27" s="1"/>
  <c r="T438" i="27"/>
  <c r="R438" i="27"/>
  <c r="P438" i="27"/>
  <c r="M438" i="27"/>
  <c r="J438" i="27"/>
  <c r="G438" i="27"/>
  <c r="U437" i="27"/>
  <c r="V437" i="27" s="1"/>
  <c r="W437" i="27" s="1"/>
  <c r="T437" i="27"/>
  <c r="R437" i="27"/>
  <c r="P437" i="27"/>
  <c r="N437" i="27" s="1"/>
  <c r="M437" i="27"/>
  <c r="J437" i="27"/>
  <c r="H437" i="27" s="1"/>
  <c r="G437" i="27"/>
  <c r="E437" i="27" s="1"/>
  <c r="T436" i="27"/>
  <c r="R436" i="27"/>
  <c r="N436" i="27" s="1"/>
  <c r="P436" i="27"/>
  <c r="M436" i="27"/>
  <c r="J436" i="27"/>
  <c r="G436" i="27"/>
  <c r="T435" i="27"/>
  <c r="R435" i="27"/>
  <c r="P435" i="27"/>
  <c r="M435" i="27"/>
  <c r="J435" i="27"/>
  <c r="G435" i="27"/>
  <c r="T434" i="27"/>
  <c r="R434" i="27"/>
  <c r="U434" i="27" s="1"/>
  <c r="V434" i="27" s="1"/>
  <c r="W434" i="27" s="1"/>
  <c r="P434" i="27"/>
  <c r="N434" i="27" s="1"/>
  <c r="M434" i="27"/>
  <c r="K434" i="27"/>
  <c r="J434" i="27"/>
  <c r="G434" i="27"/>
  <c r="T433" i="27"/>
  <c r="R433" i="27"/>
  <c r="P433" i="27"/>
  <c r="M433" i="27"/>
  <c r="J433" i="27"/>
  <c r="G433" i="27"/>
  <c r="T432" i="27"/>
  <c r="R432" i="27"/>
  <c r="P432" i="27"/>
  <c r="M432" i="27"/>
  <c r="J432" i="27"/>
  <c r="G432" i="27"/>
  <c r="U431" i="27"/>
  <c r="V431" i="27" s="1"/>
  <c r="W431" i="27" s="1"/>
  <c r="T431" i="27"/>
  <c r="R431" i="27"/>
  <c r="P431" i="27"/>
  <c r="M431" i="27"/>
  <c r="J431" i="27"/>
  <c r="G431" i="27"/>
  <c r="E431" i="27"/>
  <c r="T430" i="27"/>
  <c r="R430" i="27"/>
  <c r="P430" i="27"/>
  <c r="M430" i="27"/>
  <c r="J430" i="27"/>
  <c r="G430" i="27"/>
  <c r="T429" i="27"/>
  <c r="R429" i="27"/>
  <c r="U429" i="27" s="1"/>
  <c r="V429" i="27" s="1"/>
  <c r="W429" i="27" s="1"/>
  <c r="P429" i="27"/>
  <c r="N429" i="27" s="1"/>
  <c r="M429" i="27"/>
  <c r="J429" i="27"/>
  <c r="H429" i="27"/>
  <c r="G429" i="27"/>
  <c r="T428" i="27"/>
  <c r="R428" i="27"/>
  <c r="U428" i="27" s="1"/>
  <c r="V428" i="27" s="1"/>
  <c r="W428" i="27" s="1"/>
  <c r="P428" i="27"/>
  <c r="M428" i="27"/>
  <c r="K428" i="27"/>
  <c r="J428" i="27"/>
  <c r="H428" i="27" s="1"/>
  <c r="G428" i="27"/>
  <c r="T427" i="27"/>
  <c r="R427" i="27"/>
  <c r="P427" i="27"/>
  <c r="M427" i="27"/>
  <c r="J427" i="27"/>
  <c r="G427" i="27"/>
  <c r="T426" i="27"/>
  <c r="R426" i="27"/>
  <c r="P426" i="27"/>
  <c r="M426" i="27"/>
  <c r="K426" i="27"/>
  <c r="J426" i="27"/>
  <c r="G426" i="27"/>
  <c r="U425" i="27"/>
  <c r="V425" i="27" s="1"/>
  <c r="W425" i="27" s="1"/>
  <c r="T425" i="27"/>
  <c r="R425" i="27"/>
  <c r="H425" i="27" s="1"/>
  <c r="P425" i="27"/>
  <c r="M425" i="27"/>
  <c r="J425" i="27"/>
  <c r="G425" i="27"/>
  <c r="E425" i="27" s="1"/>
  <c r="T424" i="27"/>
  <c r="R424" i="27"/>
  <c r="P424" i="27"/>
  <c r="M424" i="27"/>
  <c r="J424" i="27"/>
  <c r="G424" i="27"/>
  <c r="T423" i="27"/>
  <c r="R423" i="27"/>
  <c r="K423" i="27" s="1"/>
  <c r="P423" i="27"/>
  <c r="M423" i="27"/>
  <c r="J423" i="27"/>
  <c r="H423" i="27" s="1"/>
  <c r="G423" i="27"/>
  <c r="T422" i="27"/>
  <c r="R422" i="27"/>
  <c r="P422" i="27"/>
  <c r="M422" i="27"/>
  <c r="J422" i="27"/>
  <c r="G422" i="27"/>
  <c r="U421" i="27"/>
  <c r="V421" i="27" s="1"/>
  <c r="W421" i="27" s="1"/>
  <c r="T421" i="27"/>
  <c r="R421" i="27"/>
  <c r="P421" i="27"/>
  <c r="M421" i="27"/>
  <c r="J421" i="27"/>
  <c r="G421" i="27"/>
  <c r="T420" i="27"/>
  <c r="R420" i="27"/>
  <c r="P420" i="27"/>
  <c r="N420" i="27" s="1"/>
  <c r="M420" i="27"/>
  <c r="J420" i="27"/>
  <c r="H420" i="27" s="1"/>
  <c r="G420" i="27"/>
  <c r="T419" i="27"/>
  <c r="R419" i="27"/>
  <c r="P419" i="27"/>
  <c r="N419" i="27" s="1"/>
  <c r="M419" i="27"/>
  <c r="J419" i="27"/>
  <c r="G419" i="27"/>
  <c r="T418" i="27"/>
  <c r="R418" i="27"/>
  <c r="U418" i="27" s="1"/>
  <c r="V418" i="27" s="1"/>
  <c r="W418" i="27" s="1"/>
  <c r="P418" i="27"/>
  <c r="N418" i="27" s="1"/>
  <c r="M418" i="27"/>
  <c r="K418" i="27" s="1"/>
  <c r="J418" i="27"/>
  <c r="G418" i="27"/>
  <c r="T417" i="27"/>
  <c r="R417" i="27"/>
  <c r="P417" i="27"/>
  <c r="M417" i="27"/>
  <c r="J417" i="27"/>
  <c r="G417" i="27"/>
  <c r="T416" i="27"/>
  <c r="R416" i="27"/>
  <c r="K416" i="27" s="1"/>
  <c r="P416" i="27"/>
  <c r="M416" i="27"/>
  <c r="J416" i="27"/>
  <c r="G416" i="27"/>
  <c r="T415" i="27"/>
  <c r="R415" i="27"/>
  <c r="E415" i="27" s="1"/>
  <c r="P415" i="27"/>
  <c r="N415" i="27" s="1"/>
  <c r="M415" i="27"/>
  <c r="J415" i="27"/>
  <c r="G415" i="27"/>
  <c r="T414" i="27"/>
  <c r="R414" i="27"/>
  <c r="P414" i="27"/>
  <c r="N414" i="27" s="1"/>
  <c r="M414" i="27"/>
  <c r="J414" i="27"/>
  <c r="G414" i="27"/>
  <c r="E414" i="27" s="1"/>
  <c r="T413" i="27"/>
  <c r="R413" i="27"/>
  <c r="U413" i="27" s="1"/>
  <c r="V413" i="27" s="1"/>
  <c r="W413" i="27" s="1"/>
  <c r="P413" i="27"/>
  <c r="N413" i="27"/>
  <c r="M413" i="27"/>
  <c r="K413" i="27" s="1"/>
  <c r="J413" i="27"/>
  <c r="H413" i="27" s="1"/>
  <c r="G413" i="27"/>
  <c r="T412" i="27"/>
  <c r="R412" i="27"/>
  <c r="U412" i="27" s="1"/>
  <c r="V412" i="27" s="1"/>
  <c r="W412" i="27" s="1"/>
  <c r="P412" i="27"/>
  <c r="M412" i="27"/>
  <c r="K412" i="27" s="1"/>
  <c r="J412" i="27"/>
  <c r="H412" i="27"/>
  <c r="G412" i="27"/>
  <c r="T410" i="27"/>
  <c r="R410" i="27"/>
  <c r="P410" i="27"/>
  <c r="N410" i="27" s="1"/>
  <c r="M410" i="27"/>
  <c r="J410" i="27"/>
  <c r="G410" i="27"/>
  <c r="T409" i="27"/>
  <c r="R409" i="27"/>
  <c r="P409" i="27"/>
  <c r="M409" i="27"/>
  <c r="J409" i="27"/>
  <c r="G409" i="27"/>
  <c r="T408" i="27"/>
  <c r="R408" i="27"/>
  <c r="P408" i="27"/>
  <c r="M408" i="27"/>
  <c r="J408" i="27"/>
  <c r="G408" i="27"/>
  <c r="T407" i="27"/>
  <c r="R407" i="27"/>
  <c r="P407" i="27"/>
  <c r="N407" i="27" s="1"/>
  <c r="M407" i="27"/>
  <c r="J407" i="27"/>
  <c r="G407" i="27"/>
  <c r="U406" i="27"/>
  <c r="V406" i="27" s="1"/>
  <c r="W406" i="27" s="1"/>
  <c r="T406" i="27"/>
  <c r="R406" i="27"/>
  <c r="P406" i="27"/>
  <c r="N406" i="27" s="1"/>
  <c r="M406" i="27"/>
  <c r="J406" i="27"/>
  <c r="G406" i="27"/>
  <c r="E406" i="27"/>
  <c r="T405" i="27"/>
  <c r="R405" i="27"/>
  <c r="P405" i="27"/>
  <c r="M405" i="27"/>
  <c r="J405" i="27"/>
  <c r="G405" i="27"/>
  <c r="U404" i="27"/>
  <c r="V404" i="27" s="1"/>
  <c r="W404" i="27" s="1"/>
  <c r="T404" i="27"/>
  <c r="R404" i="27"/>
  <c r="P404" i="27"/>
  <c r="N404" i="27" s="1"/>
  <c r="M404" i="27"/>
  <c r="J404" i="27"/>
  <c r="G404" i="27"/>
  <c r="T403" i="27"/>
  <c r="R403" i="27"/>
  <c r="U403" i="27" s="1"/>
  <c r="V403" i="27" s="1"/>
  <c r="W403" i="27" s="1"/>
  <c r="P403" i="27"/>
  <c r="M403" i="27"/>
  <c r="J403" i="27"/>
  <c r="G403" i="27"/>
  <c r="T402" i="27"/>
  <c r="R402" i="27"/>
  <c r="P402" i="27"/>
  <c r="M402" i="27"/>
  <c r="J402" i="27"/>
  <c r="G402" i="27"/>
  <c r="T401" i="27"/>
  <c r="R401" i="27"/>
  <c r="P401" i="27"/>
  <c r="M401" i="27"/>
  <c r="K401" i="27"/>
  <c r="J401" i="27"/>
  <c r="G401" i="27"/>
  <c r="T400" i="27"/>
  <c r="R400" i="27"/>
  <c r="U400" i="27" s="1"/>
  <c r="V400" i="27" s="1"/>
  <c r="W400" i="27" s="1"/>
  <c r="P400" i="27"/>
  <c r="M400" i="27"/>
  <c r="J400" i="27"/>
  <c r="G400" i="27"/>
  <c r="T399" i="27"/>
  <c r="R399" i="27"/>
  <c r="P399" i="27"/>
  <c r="N399" i="27" s="1"/>
  <c r="M399" i="27"/>
  <c r="J399" i="27"/>
  <c r="G399" i="27"/>
  <c r="U398" i="27"/>
  <c r="V398" i="27" s="1"/>
  <c r="W398" i="27" s="1"/>
  <c r="T398" i="27"/>
  <c r="R398" i="27"/>
  <c r="H398" i="27" s="1"/>
  <c r="P398" i="27"/>
  <c r="M398" i="27"/>
  <c r="J398" i="27"/>
  <c r="G398" i="27"/>
  <c r="E398" i="27"/>
  <c r="U397" i="27"/>
  <c r="V397" i="27" s="1"/>
  <c r="W397" i="27" s="1"/>
  <c r="O397" i="27"/>
  <c r="P397" i="27" s="1"/>
  <c r="N397" i="27" s="1"/>
  <c r="L397" i="27"/>
  <c r="M397" i="27" s="1"/>
  <c r="K397" i="27" s="1"/>
  <c r="I397" i="27"/>
  <c r="J397" i="27" s="1"/>
  <c r="H397" i="27" s="1"/>
  <c r="F397" i="27"/>
  <c r="G397" i="27" s="1"/>
  <c r="E397" i="27" s="1"/>
  <c r="U396" i="27"/>
  <c r="V396" i="27" s="1"/>
  <c r="W396" i="27" s="1"/>
  <c r="P396" i="27"/>
  <c r="N396" i="27" s="1"/>
  <c r="O396" i="27"/>
  <c r="L396" i="27"/>
  <c r="M396" i="27" s="1"/>
  <c r="K396" i="27" s="1"/>
  <c r="I396" i="27"/>
  <c r="J396" i="27" s="1"/>
  <c r="H396" i="27" s="1"/>
  <c r="G396" i="27"/>
  <c r="E396" i="27" s="1"/>
  <c r="F396" i="27"/>
  <c r="U395" i="27"/>
  <c r="V395" i="27" s="1"/>
  <c r="W395" i="27" s="1"/>
  <c r="O395" i="27"/>
  <c r="P395" i="27" s="1"/>
  <c r="N395" i="27" s="1"/>
  <c r="M395" i="27"/>
  <c r="K395" i="27" s="1"/>
  <c r="L395" i="27"/>
  <c r="I395" i="27"/>
  <c r="J395" i="27" s="1"/>
  <c r="H395" i="27" s="1"/>
  <c r="F395" i="27"/>
  <c r="G395" i="27" s="1"/>
  <c r="E395" i="27" s="1"/>
  <c r="U394" i="27"/>
  <c r="V394" i="27" s="1"/>
  <c r="W394" i="27" s="1"/>
  <c r="O394" i="27"/>
  <c r="P394" i="27" s="1"/>
  <c r="N394" i="27" s="1"/>
  <c r="L394" i="27"/>
  <c r="M394" i="27" s="1"/>
  <c r="K394" i="27" s="1"/>
  <c r="I394" i="27"/>
  <c r="J394" i="27" s="1"/>
  <c r="H394" i="27" s="1"/>
  <c r="F394" i="27"/>
  <c r="G394" i="27" s="1"/>
  <c r="E394" i="27" s="1"/>
  <c r="U393" i="27"/>
  <c r="V393" i="27" s="1"/>
  <c r="W393" i="27" s="1"/>
  <c r="O393" i="27"/>
  <c r="P393" i="27" s="1"/>
  <c r="N393" i="27" s="1"/>
  <c r="L393" i="27"/>
  <c r="M393" i="27" s="1"/>
  <c r="K393" i="27" s="1"/>
  <c r="I393" i="27"/>
  <c r="J393" i="27" s="1"/>
  <c r="H393" i="27" s="1"/>
  <c r="F393" i="27"/>
  <c r="G393" i="27" s="1"/>
  <c r="E393" i="27" s="1"/>
  <c r="U392" i="27"/>
  <c r="V392" i="27" s="1"/>
  <c r="W392" i="27" s="1"/>
  <c r="O392" i="27"/>
  <c r="P392" i="27" s="1"/>
  <c r="N392" i="27" s="1"/>
  <c r="L392" i="27"/>
  <c r="M392" i="27" s="1"/>
  <c r="K392" i="27"/>
  <c r="I392" i="27"/>
  <c r="J392" i="27" s="1"/>
  <c r="H392" i="27" s="1"/>
  <c r="F392" i="27"/>
  <c r="G392" i="27" s="1"/>
  <c r="E392" i="27" s="1"/>
  <c r="T390" i="27"/>
  <c r="R390" i="27"/>
  <c r="P390" i="27"/>
  <c r="N390" i="27" s="1"/>
  <c r="M390" i="27"/>
  <c r="J390" i="27"/>
  <c r="H390" i="27" s="1"/>
  <c r="G390" i="27"/>
  <c r="T389" i="27"/>
  <c r="R389" i="27"/>
  <c r="N389" i="27" s="1"/>
  <c r="P389" i="27"/>
  <c r="M389" i="27"/>
  <c r="J389" i="27"/>
  <c r="G389" i="27"/>
  <c r="E389" i="27" s="1"/>
  <c r="T388" i="27"/>
  <c r="R388" i="27"/>
  <c r="U388" i="27" s="1"/>
  <c r="V388" i="27" s="1"/>
  <c r="W388" i="27" s="1"/>
  <c r="P388" i="27"/>
  <c r="M388" i="27"/>
  <c r="J388" i="27"/>
  <c r="G388" i="27"/>
  <c r="T387" i="27"/>
  <c r="R387" i="27"/>
  <c r="P387" i="27"/>
  <c r="M387" i="27"/>
  <c r="J387" i="27"/>
  <c r="G387" i="27"/>
  <c r="T386" i="27"/>
  <c r="R386" i="27"/>
  <c r="P386" i="27"/>
  <c r="M386" i="27"/>
  <c r="J386" i="27"/>
  <c r="G386" i="27"/>
  <c r="T385" i="27"/>
  <c r="R385" i="27"/>
  <c r="U385" i="27" s="1"/>
  <c r="V385" i="27" s="1"/>
  <c r="W385" i="27" s="1"/>
  <c r="P385" i="27"/>
  <c r="N385" i="27" s="1"/>
  <c r="M385" i="27"/>
  <c r="K385" i="27"/>
  <c r="J385" i="27"/>
  <c r="H385" i="27" s="1"/>
  <c r="G385" i="27"/>
  <c r="T384" i="27"/>
  <c r="R384" i="27"/>
  <c r="K384" i="27" s="1"/>
  <c r="P384" i="27"/>
  <c r="M384" i="27"/>
  <c r="J384" i="27"/>
  <c r="G384" i="27"/>
  <c r="U382" i="27"/>
  <c r="V382" i="27" s="1"/>
  <c r="W382" i="27" s="1"/>
  <c r="P382" i="27"/>
  <c r="N382" i="27" s="1"/>
  <c r="M382" i="27"/>
  <c r="K382" i="27"/>
  <c r="J382" i="27"/>
  <c r="H382" i="27" s="1"/>
  <c r="G382" i="27"/>
  <c r="E382" i="27"/>
  <c r="U381" i="27"/>
  <c r="V381" i="27" s="1"/>
  <c r="W381" i="27" s="1"/>
  <c r="P381" i="27"/>
  <c r="N381" i="27" s="1"/>
  <c r="M381" i="27"/>
  <c r="K381" i="27" s="1"/>
  <c r="J381" i="27"/>
  <c r="H381" i="27" s="1"/>
  <c r="G381" i="27"/>
  <c r="E381" i="27" s="1"/>
  <c r="U380" i="27"/>
  <c r="V380" i="27" s="1"/>
  <c r="W380" i="27" s="1"/>
  <c r="P380" i="27"/>
  <c r="N380" i="27" s="1"/>
  <c r="M380" i="27"/>
  <c r="K380" i="27" s="1"/>
  <c r="J380" i="27"/>
  <c r="H380" i="27" s="1"/>
  <c r="G380" i="27"/>
  <c r="E380" i="27"/>
  <c r="T379" i="27"/>
  <c r="R379" i="27"/>
  <c r="P379" i="27"/>
  <c r="M379" i="27"/>
  <c r="J379" i="27"/>
  <c r="G379" i="27"/>
  <c r="T378" i="27"/>
  <c r="R378" i="27"/>
  <c r="P378" i="27"/>
  <c r="M378" i="27"/>
  <c r="J378" i="27"/>
  <c r="G378" i="27"/>
  <c r="T377" i="27"/>
  <c r="R377" i="27"/>
  <c r="K377" i="27" s="1"/>
  <c r="P377" i="27"/>
  <c r="M377" i="27"/>
  <c r="J377" i="27"/>
  <c r="G377" i="27"/>
  <c r="T376" i="27"/>
  <c r="R376" i="27"/>
  <c r="P376" i="27"/>
  <c r="M376" i="27"/>
  <c r="J376" i="27"/>
  <c r="G376" i="27"/>
  <c r="T375" i="27"/>
  <c r="R375" i="27"/>
  <c r="N375" i="27" s="1"/>
  <c r="P375" i="27"/>
  <c r="M375" i="27"/>
  <c r="J375" i="27"/>
  <c r="G375" i="27"/>
  <c r="T374" i="27"/>
  <c r="R374" i="27"/>
  <c r="P374" i="27"/>
  <c r="M374" i="27"/>
  <c r="J374" i="27"/>
  <c r="G374" i="27"/>
  <c r="T373" i="27"/>
  <c r="R373" i="27"/>
  <c r="U373" i="27" s="1"/>
  <c r="V373" i="27" s="1"/>
  <c r="W373" i="27" s="1"/>
  <c r="P373" i="27"/>
  <c r="N373" i="27" s="1"/>
  <c r="M373" i="27"/>
  <c r="J373" i="27"/>
  <c r="G373" i="27"/>
  <c r="T372" i="27"/>
  <c r="R372" i="27"/>
  <c r="P372" i="27"/>
  <c r="M372" i="27"/>
  <c r="J372" i="27"/>
  <c r="G372" i="27"/>
  <c r="U371" i="27"/>
  <c r="V371" i="27" s="1"/>
  <c r="W371" i="27" s="1"/>
  <c r="T371" i="27"/>
  <c r="P371" i="27"/>
  <c r="N371" i="27" s="1"/>
  <c r="L371" i="27"/>
  <c r="M371" i="27" s="1"/>
  <c r="K371" i="27" s="1"/>
  <c r="I371" i="27"/>
  <c r="J371" i="27" s="1"/>
  <c r="H371" i="27" s="1"/>
  <c r="F371" i="27"/>
  <c r="G371" i="27" s="1"/>
  <c r="E371" i="27" s="1"/>
  <c r="W370" i="27"/>
  <c r="U370" i="27"/>
  <c r="V370" i="27" s="1"/>
  <c r="T370" i="27"/>
  <c r="P370" i="27"/>
  <c r="N370" i="27" s="1"/>
  <c r="L370" i="27"/>
  <c r="M370" i="27" s="1"/>
  <c r="K370" i="27" s="1"/>
  <c r="I370" i="27"/>
  <c r="J370" i="27" s="1"/>
  <c r="H370" i="27" s="1"/>
  <c r="F370" i="27"/>
  <c r="G370" i="27" s="1"/>
  <c r="E370" i="27"/>
  <c r="T369" i="27"/>
  <c r="R369" i="27"/>
  <c r="P369" i="27"/>
  <c r="M369" i="27"/>
  <c r="J369" i="27"/>
  <c r="G369" i="27"/>
  <c r="T368" i="27"/>
  <c r="R368" i="27"/>
  <c r="H368" i="27" s="1"/>
  <c r="P368" i="27"/>
  <c r="M368" i="27"/>
  <c r="J368" i="27"/>
  <c r="G368" i="27"/>
  <c r="T367" i="27"/>
  <c r="R367" i="27"/>
  <c r="P367" i="27"/>
  <c r="N367" i="27" s="1"/>
  <c r="M367" i="27"/>
  <c r="J367" i="27"/>
  <c r="G367" i="27"/>
  <c r="T366" i="27"/>
  <c r="R366" i="27"/>
  <c r="P366" i="27"/>
  <c r="M366" i="27"/>
  <c r="J366" i="27"/>
  <c r="H366" i="27" s="1"/>
  <c r="G366" i="27"/>
  <c r="T365" i="27"/>
  <c r="R365" i="27"/>
  <c r="K365" i="27" s="1"/>
  <c r="P365" i="27"/>
  <c r="N365" i="27" s="1"/>
  <c r="M365" i="27"/>
  <c r="J365" i="27"/>
  <c r="G365" i="27"/>
  <c r="T364" i="27"/>
  <c r="R364" i="27"/>
  <c r="P364" i="27"/>
  <c r="N364" i="27" s="1"/>
  <c r="M364" i="27"/>
  <c r="J364" i="27"/>
  <c r="G364" i="27"/>
  <c r="T363" i="27"/>
  <c r="R363" i="27"/>
  <c r="K363" i="27" s="1"/>
  <c r="P363" i="27"/>
  <c r="M363" i="27"/>
  <c r="J363" i="27"/>
  <c r="G363" i="27"/>
  <c r="T362" i="27"/>
  <c r="R362" i="27"/>
  <c r="P362" i="27"/>
  <c r="M362" i="27"/>
  <c r="J362" i="27"/>
  <c r="G362" i="27"/>
  <c r="T361" i="27"/>
  <c r="R361" i="27"/>
  <c r="U361" i="27" s="1"/>
  <c r="V361" i="27" s="1"/>
  <c r="W361" i="27" s="1"/>
  <c r="P361" i="27"/>
  <c r="N361" i="27" s="1"/>
  <c r="M361" i="27"/>
  <c r="J361" i="27"/>
  <c r="G361" i="27"/>
  <c r="U360" i="27"/>
  <c r="V360" i="27" s="1"/>
  <c r="W360" i="27" s="1"/>
  <c r="T360" i="27"/>
  <c r="R360" i="27"/>
  <c r="P360" i="27"/>
  <c r="M360" i="27"/>
  <c r="J360" i="27"/>
  <c r="G360" i="27"/>
  <c r="T359" i="27"/>
  <c r="R359" i="27"/>
  <c r="E359" i="27" s="1"/>
  <c r="P359" i="27"/>
  <c r="M359" i="27"/>
  <c r="J359" i="27"/>
  <c r="G359" i="27"/>
  <c r="T358" i="27"/>
  <c r="R358" i="27"/>
  <c r="K358" i="27" s="1"/>
  <c r="P358" i="27"/>
  <c r="M358" i="27"/>
  <c r="J358" i="27"/>
  <c r="G358" i="27"/>
  <c r="T356" i="27"/>
  <c r="R356" i="27"/>
  <c r="K356" i="27" s="1"/>
  <c r="P356" i="27"/>
  <c r="N356" i="27" s="1"/>
  <c r="M356" i="27"/>
  <c r="J356" i="27"/>
  <c r="G356" i="27"/>
  <c r="T355" i="27"/>
  <c r="R355" i="27"/>
  <c r="U355" i="27" s="1"/>
  <c r="V355" i="27" s="1"/>
  <c r="W355" i="27" s="1"/>
  <c r="P355" i="27"/>
  <c r="M355" i="27"/>
  <c r="K355" i="27"/>
  <c r="J355" i="27"/>
  <c r="G355" i="27"/>
  <c r="U354" i="27"/>
  <c r="V354" i="27" s="1"/>
  <c r="W354" i="27" s="1"/>
  <c r="T354" i="27"/>
  <c r="R354" i="27"/>
  <c r="P354" i="27"/>
  <c r="N354" i="27" s="1"/>
  <c r="M354" i="27"/>
  <c r="J354" i="27"/>
  <c r="G354" i="27"/>
  <c r="T353" i="27"/>
  <c r="R353" i="27"/>
  <c r="P353" i="27"/>
  <c r="N353" i="27" s="1"/>
  <c r="M353" i="27"/>
  <c r="J353" i="27"/>
  <c r="G353" i="27"/>
  <c r="T352" i="27"/>
  <c r="R352" i="27"/>
  <c r="U352" i="27" s="1"/>
  <c r="V352" i="27" s="1"/>
  <c r="W352" i="27" s="1"/>
  <c r="P352" i="27"/>
  <c r="N352" i="27" s="1"/>
  <c r="M352" i="27"/>
  <c r="J352" i="27"/>
  <c r="G352" i="27"/>
  <c r="T351" i="27"/>
  <c r="R351" i="27"/>
  <c r="U351" i="27" s="1"/>
  <c r="V351" i="27" s="1"/>
  <c r="W351" i="27" s="1"/>
  <c r="P351" i="27"/>
  <c r="M351" i="27"/>
  <c r="J351" i="27"/>
  <c r="H351" i="27"/>
  <c r="G351" i="27"/>
  <c r="T350" i="27"/>
  <c r="R350" i="27"/>
  <c r="P350" i="27"/>
  <c r="M350" i="27"/>
  <c r="J350" i="27"/>
  <c r="G350" i="27"/>
  <c r="E350" i="27" s="1"/>
  <c r="U349" i="27"/>
  <c r="V349" i="27" s="1"/>
  <c r="W349" i="27" s="1"/>
  <c r="T349" i="27"/>
  <c r="R349" i="27"/>
  <c r="P349" i="27"/>
  <c r="M349" i="27"/>
  <c r="J349" i="27"/>
  <c r="H349" i="27" s="1"/>
  <c r="G349" i="27"/>
  <c r="E349" i="27" s="1"/>
  <c r="T348" i="27"/>
  <c r="R348" i="27"/>
  <c r="K348" i="27" s="1"/>
  <c r="P348" i="27"/>
  <c r="M348" i="27"/>
  <c r="J348" i="27"/>
  <c r="G348" i="27"/>
  <c r="T347" i="27"/>
  <c r="R347" i="27"/>
  <c r="P347" i="27"/>
  <c r="N347" i="27" s="1"/>
  <c r="M347" i="27"/>
  <c r="J347" i="27"/>
  <c r="G347" i="27"/>
  <c r="T346" i="27"/>
  <c r="R346" i="27"/>
  <c r="P346" i="27"/>
  <c r="M346" i="27"/>
  <c r="J346" i="27"/>
  <c r="H346" i="27"/>
  <c r="G346" i="27"/>
  <c r="T345" i="27"/>
  <c r="R345" i="27"/>
  <c r="P345" i="27"/>
  <c r="M345" i="27"/>
  <c r="J345" i="27"/>
  <c r="G345" i="27"/>
  <c r="T344" i="27"/>
  <c r="R344" i="27"/>
  <c r="U344" i="27" s="1"/>
  <c r="V344" i="27" s="1"/>
  <c r="W344" i="27" s="1"/>
  <c r="P344" i="27"/>
  <c r="N344" i="27" s="1"/>
  <c r="M344" i="27"/>
  <c r="K344" i="27" s="1"/>
  <c r="J344" i="27"/>
  <c r="G344" i="27"/>
  <c r="T343" i="27"/>
  <c r="R343" i="27"/>
  <c r="P343" i="27"/>
  <c r="M343" i="27"/>
  <c r="J343" i="27"/>
  <c r="G343" i="27"/>
  <c r="T342" i="27"/>
  <c r="R342" i="27"/>
  <c r="P342" i="27"/>
  <c r="N342" i="27" s="1"/>
  <c r="M342" i="27"/>
  <c r="J342" i="27"/>
  <c r="G342" i="27"/>
  <c r="E342" i="27" s="1"/>
  <c r="T341" i="27"/>
  <c r="R341" i="27"/>
  <c r="U341" i="27" s="1"/>
  <c r="V341" i="27" s="1"/>
  <c r="W341" i="27" s="1"/>
  <c r="P341" i="27"/>
  <c r="N341" i="27" s="1"/>
  <c r="M341" i="27"/>
  <c r="K341" i="27"/>
  <c r="J341" i="27"/>
  <c r="H341" i="27" s="1"/>
  <c r="G341" i="27"/>
  <c r="T340" i="27"/>
  <c r="R340" i="27"/>
  <c r="K340" i="27" s="1"/>
  <c r="P340" i="27"/>
  <c r="N340" i="27" s="1"/>
  <c r="M340" i="27"/>
  <c r="J340" i="27"/>
  <c r="G340" i="27"/>
  <c r="T339" i="27"/>
  <c r="R339" i="27"/>
  <c r="N339" i="27" s="1"/>
  <c r="P339" i="27"/>
  <c r="M339" i="27"/>
  <c r="J339" i="27"/>
  <c r="G339" i="27"/>
  <c r="T338" i="27"/>
  <c r="R338" i="27"/>
  <c r="K338" i="27" s="1"/>
  <c r="P338" i="27"/>
  <c r="M338" i="27"/>
  <c r="J338" i="27"/>
  <c r="G338" i="27"/>
  <c r="T337" i="27"/>
  <c r="R337" i="27"/>
  <c r="P337" i="27"/>
  <c r="M337" i="27"/>
  <c r="J337" i="27"/>
  <c r="G337" i="27"/>
  <c r="T336" i="27"/>
  <c r="R336" i="27"/>
  <c r="U336" i="27" s="1"/>
  <c r="V336" i="27" s="1"/>
  <c r="W336" i="27" s="1"/>
  <c r="P336" i="27"/>
  <c r="N336" i="27" s="1"/>
  <c r="M336" i="27"/>
  <c r="J336" i="27"/>
  <c r="G336" i="27"/>
  <c r="T335" i="27"/>
  <c r="R335" i="27"/>
  <c r="P335" i="27"/>
  <c r="M335" i="27"/>
  <c r="J335" i="27"/>
  <c r="G335" i="27"/>
  <c r="T334" i="27"/>
  <c r="R334" i="27"/>
  <c r="P334" i="27"/>
  <c r="M334" i="27"/>
  <c r="J334" i="27"/>
  <c r="G334" i="27"/>
  <c r="E334" i="27"/>
  <c r="T333" i="27"/>
  <c r="R333" i="27"/>
  <c r="P333" i="27"/>
  <c r="M333" i="27"/>
  <c r="J333" i="27"/>
  <c r="G333" i="27"/>
  <c r="E333" i="27"/>
  <c r="T332" i="27"/>
  <c r="R332" i="27"/>
  <c r="P332" i="27"/>
  <c r="M332" i="27"/>
  <c r="J332" i="27"/>
  <c r="G332" i="27"/>
  <c r="U331" i="27"/>
  <c r="V331" i="27" s="1"/>
  <c r="W331" i="27" s="1"/>
  <c r="T331" i="27"/>
  <c r="R331" i="27"/>
  <c r="H331" i="27" s="1"/>
  <c r="P331" i="27"/>
  <c r="N331" i="27" s="1"/>
  <c r="M331" i="27"/>
  <c r="K331" i="27" s="1"/>
  <c r="J331" i="27"/>
  <c r="G331" i="27"/>
  <c r="E331" i="27" s="1"/>
  <c r="T330" i="27"/>
  <c r="R330" i="27"/>
  <c r="K330" i="27" s="1"/>
  <c r="P330" i="27"/>
  <c r="N330" i="27" s="1"/>
  <c r="M330" i="27"/>
  <c r="J330" i="27"/>
  <c r="G330" i="27"/>
  <c r="T329" i="27"/>
  <c r="R329" i="27"/>
  <c r="P329" i="27"/>
  <c r="N329" i="27"/>
  <c r="M329" i="27"/>
  <c r="J329" i="27"/>
  <c r="G329" i="27"/>
  <c r="T328" i="27"/>
  <c r="R328" i="27"/>
  <c r="U328" i="27" s="1"/>
  <c r="V328" i="27" s="1"/>
  <c r="W328" i="27" s="1"/>
  <c r="P328" i="27"/>
  <c r="N328" i="27" s="1"/>
  <c r="M328" i="27"/>
  <c r="K328" i="27" s="1"/>
  <c r="J328" i="27"/>
  <c r="G328" i="27"/>
  <c r="T327" i="27"/>
  <c r="R327" i="27"/>
  <c r="U327" i="27" s="1"/>
  <c r="V327" i="27" s="1"/>
  <c r="W327" i="27" s="1"/>
  <c r="P327" i="27"/>
  <c r="M327" i="27"/>
  <c r="J327" i="27"/>
  <c r="H327" i="27" s="1"/>
  <c r="G327" i="27"/>
  <c r="E327" i="27" s="1"/>
  <c r="T326" i="27"/>
  <c r="R326" i="27"/>
  <c r="P326" i="27"/>
  <c r="N326" i="27" s="1"/>
  <c r="M326" i="27"/>
  <c r="J326" i="27"/>
  <c r="G326" i="27"/>
  <c r="E326" i="27" s="1"/>
  <c r="U325" i="27"/>
  <c r="V325" i="27" s="1"/>
  <c r="W325" i="27" s="1"/>
  <c r="T325" i="27"/>
  <c r="R325" i="27"/>
  <c r="P325" i="27"/>
  <c r="N325" i="27" s="1"/>
  <c r="M325" i="27"/>
  <c r="K325" i="27" s="1"/>
  <c r="J325" i="27"/>
  <c r="H325" i="27" s="1"/>
  <c r="G325" i="27"/>
  <c r="E325" i="27" s="1"/>
  <c r="T324" i="27"/>
  <c r="R324" i="27"/>
  <c r="P324" i="27"/>
  <c r="N324" i="27" s="1"/>
  <c r="M324" i="27"/>
  <c r="J324" i="27"/>
  <c r="G324" i="27"/>
  <c r="T323" i="27"/>
  <c r="R323" i="27"/>
  <c r="P323" i="27"/>
  <c r="N323" i="27"/>
  <c r="M323" i="27"/>
  <c r="J323" i="27"/>
  <c r="G323" i="27"/>
  <c r="T322" i="27"/>
  <c r="R322" i="27"/>
  <c r="P322" i="27"/>
  <c r="M322" i="27"/>
  <c r="J322" i="27"/>
  <c r="G322" i="27"/>
  <c r="T321" i="27"/>
  <c r="R321" i="27"/>
  <c r="P321" i="27"/>
  <c r="M321" i="27"/>
  <c r="J321" i="27"/>
  <c r="G321" i="27"/>
  <c r="T320" i="27"/>
  <c r="R320" i="27"/>
  <c r="U320" i="27" s="1"/>
  <c r="V320" i="27" s="1"/>
  <c r="W320" i="27" s="1"/>
  <c r="P320" i="27"/>
  <c r="N320" i="27" s="1"/>
  <c r="M320" i="27"/>
  <c r="J320" i="27"/>
  <c r="G320" i="27"/>
  <c r="U318" i="27"/>
  <c r="V318" i="27" s="1"/>
  <c r="W318" i="27" s="1"/>
  <c r="T318" i="27"/>
  <c r="P318" i="27"/>
  <c r="N318" i="27" s="1"/>
  <c r="M318" i="27"/>
  <c r="K318" i="27" s="1"/>
  <c r="J318" i="27"/>
  <c r="H318" i="27"/>
  <c r="G318" i="27"/>
  <c r="E318" i="27"/>
  <c r="U317" i="27"/>
  <c r="V317" i="27" s="1"/>
  <c r="W317" i="27" s="1"/>
  <c r="T317" i="27"/>
  <c r="P317" i="27"/>
  <c r="N317" i="27" s="1"/>
  <c r="M317" i="27"/>
  <c r="K317" i="27" s="1"/>
  <c r="J317" i="27"/>
  <c r="H317" i="27" s="1"/>
  <c r="G317" i="27"/>
  <c r="E317" i="27" s="1"/>
  <c r="U315" i="27"/>
  <c r="V315" i="27" s="1"/>
  <c r="W315" i="27" s="1"/>
  <c r="T315" i="27"/>
  <c r="P315" i="27"/>
  <c r="N315" i="27" s="1"/>
  <c r="M315" i="27"/>
  <c r="K315" i="27"/>
  <c r="J315" i="27"/>
  <c r="H315" i="27"/>
  <c r="G315" i="27"/>
  <c r="E315" i="27" s="1"/>
  <c r="U314" i="27"/>
  <c r="V314" i="27" s="1"/>
  <c r="W314" i="27" s="1"/>
  <c r="T314" i="27"/>
  <c r="P314" i="27"/>
  <c r="N314" i="27" s="1"/>
  <c r="M314" i="27"/>
  <c r="K314" i="27" s="1"/>
  <c r="J314" i="27"/>
  <c r="H314" i="27" s="1"/>
  <c r="G314" i="27"/>
  <c r="E314" i="27"/>
  <c r="U312" i="27"/>
  <c r="V312" i="27" s="1"/>
  <c r="W312" i="27" s="1"/>
  <c r="T312" i="27"/>
  <c r="P312" i="27"/>
  <c r="N312" i="27" s="1"/>
  <c r="M312" i="27"/>
  <c r="K312" i="27" s="1"/>
  <c r="J312" i="27"/>
  <c r="H312" i="27"/>
  <c r="G312" i="27"/>
  <c r="E312" i="27"/>
  <c r="U311" i="27"/>
  <c r="V311" i="27" s="1"/>
  <c r="W311" i="27" s="1"/>
  <c r="T311" i="27"/>
  <c r="P311" i="27"/>
  <c r="N311" i="27" s="1"/>
  <c r="M311" i="27"/>
  <c r="K311" i="27" s="1"/>
  <c r="J311" i="27"/>
  <c r="H311" i="27" s="1"/>
  <c r="G311" i="27"/>
  <c r="E311" i="27" s="1"/>
  <c r="U310" i="27"/>
  <c r="V310" i="27" s="1"/>
  <c r="W310" i="27" s="1"/>
  <c r="T310" i="27"/>
  <c r="P310" i="27"/>
  <c r="N310" i="27" s="1"/>
  <c r="M310" i="27"/>
  <c r="K310" i="27" s="1"/>
  <c r="J310" i="27"/>
  <c r="H310" i="27" s="1"/>
  <c r="G310" i="27"/>
  <c r="E310" i="27" s="1"/>
  <c r="U309" i="27"/>
  <c r="V309" i="27" s="1"/>
  <c r="W309" i="27" s="1"/>
  <c r="T309" i="27"/>
  <c r="P309" i="27"/>
  <c r="N309" i="27" s="1"/>
  <c r="M309" i="27"/>
  <c r="K309" i="27" s="1"/>
  <c r="J309" i="27"/>
  <c r="H309" i="27" s="1"/>
  <c r="G309" i="27"/>
  <c r="E309" i="27" s="1"/>
  <c r="U308" i="27"/>
  <c r="V308" i="27" s="1"/>
  <c r="W308" i="27" s="1"/>
  <c r="T308" i="27"/>
  <c r="P308" i="27"/>
  <c r="N308" i="27" s="1"/>
  <c r="M308" i="27"/>
  <c r="K308" i="27"/>
  <c r="J308" i="27"/>
  <c r="H308" i="27" s="1"/>
  <c r="G308" i="27"/>
  <c r="E308" i="27"/>
  <c r="U306" i="27"/>
  <c r="V306" i="27" s="1"/>
  <c r="W306" i="27" s="1"/>
  <c r="T306" i="27"/>
  <c r="P306" i="27"/>
  <c r="N306" i="27" s="1"/>
  <c r="M306" i="27"/>
  <c r="K306" i="27" s="1"/>
  <c r="J306" i="27"/>
  <c r="H306" i="27" s="1"/>
  <c r="G306" i="27"/>
  <c r="E306" i="27"/>
  <c r="U305" i="27"/>
  <c r="V305" i="27" s="1"/>
  <c r="W305" i="27" s="1"/>
  <c r="T305" i="27"/>
  <c r="P305" i="27"/>
  <c r="N305" i="27" s="1"/>
  <c r="M305" i="27"/>
  <c r="K305" i="27"/>
  <c r="J305" i="27"/>
  <c r="H305" i="27"/>
  <c r="G305" i="27"/>
  <c r="E305" i="27" s="1"/>
  <c r="U304" i="27"/>
  <c r="V304" i="27" s="1"/>
  <c r="W304" i="27" s="1"/>
  <c r="T304" i="27"/>
  <c r="P304" i="27"/>
  <c r="N304" i="27" s="1"/>
  <c r="M304" i="27"/>
  <c r="K304" i="27"/>
  <c r="J304" i="27"/>
  <c r="H304" i="27" s="1"/>
  <c r="G304" i="27"/>
  <c r="E304" i="27" s="1"/>
  <c r="U303" i="27"/>
  <c r="V303" i="27" s="1"/>
  <c r="W303" i="27" s="1"/>
  <c r="T303" i="27"/>
  <c r="P303" i="27"/>
  <c r="N303" i="27" s="1"/>
  <c r="M303" i="27"/>
  <c r="K303" i="27"/>
  <c r="J303" i="27"/>
  <c r="H303" i="27"/>
  <c r="G303" i="27"/>
  <c r="E303" i="27" s="1"/>
  <c r="W302" i="27"/>
  <c r="U302" i="27"/>
  <c r="V302" i="27" s="1"/>
  <c r="T302" i="27"/>
  <c r="P302" i="27"/>
  <c r="N302" i="27"/>
  <c r="M302" i="27"/>
  <c r="K302" i="27"/>
  <c r="J302" i="27"/>
  <c r="H302" i="27" s="1"/>
  <c r="G302" i="27"/>
  <c r="E302" i="27" s="1"/>
  <c r="U301" i="27"/>
  <c r="V301" i="27" s="1"/>
  <c r="W301" i="27" s="1"/>
  <c r="T301" i="27"/>
  <c r="P301" i="27"/>
  <c r="N301" i="27" s="1"/>
  <c r="M301" i="27"/>
  <c r="K301" i="27" s="1"/>
  <c r="J301" i="27"/>
  <c r="H301" i="27" s="1"/>
  <c r="G301" i="27"/>
  <c r="E301" i="27" s="1"/>
  <c r="U300" i="27"/>
  <c r="V300" i="27" s="1"/>
  <c r="W300" i="27" s="1"/>
  <c r="T300" i="27"/>
  <c r="P300" i="27"/>
  <c r="N300" i="27" s="1"/>
  <c r="M300" i="27"/>
  <c r="K300" i="27"/>
  <c r="J300" i="27"/>
  <c r="H300" i="27" s="1"/>
  <c r="G300" i="27"/>
  <c r="E300" i="27" s="1"/>
  <c r="U298" i="27"/>
  <c r="V298" i="27" s="1"/>
  <c r="W298" i="27" s="1"/>
  <c r="T298" i="27"/>
  <c r="P298" i="27"/>
  <c r="N298" i="27" s="1"/>
  <c r="O298" i="27"/>
  <c r="L298" i="27"/>
  <c r="M298" i="27" s="1"/>
  <c r="K298" i="27" s="1"/>
  <c r="I298" i="27"/>
  <c r="J298" i="27" s="1"/>
  <c r="H298" i="27" s="1"/>
  <c r="F298" i="27"/>
  <c r="G298" i="27" s="1"/>
  <c r="E298" i="27" s="1"/>
  <c r="U297" i="27"/>
  <c r="V297" i="27" s="1"/>
  <c r="W297" i="27" s="1"/>
  <c r="T297" i="27"/>
  <c r="P297" i="27"/>
  <c r="N297" i="27" s="1"/>
  <c r="O297" i="27"/>
  <c r="M297" i="27"/>
  <c r="K297" i="27" s="1"/>
  <c r="L297" i="27"/>
  <c r="J297" i="27"/>
  <c r="H297" i="27" s="1"/>
  <c r="I297" i="27"/>
  <c r="F297" i="27"/>
  <c r="G297" i="27" s="1"/>
  <c r="E297" i="27" s="1"/>
  <c r="U296" i="27"/>
  <c r="V296" i="27" s="1"/>
  <c r="W296" i="27" s="1"/>
  <c r="T296" i="27"/>
  <c r="O296" i="27"/>
  <c r="P296" i="27" s="1"/>
  <c r="N296" i="27" s="1"/>
  <c r="L296" i="27"/>
  <c r="M296" i="27" s="1"/>
  <c r="K296" i="27" s="1"/>
  <c r="I296" i="27"/>
  <c r="J296" i="27" s="1"/>
  <c r="H296" i="27" s="1"/>
  <c r="F296" i="27"/>
  <c r="G296" i="27" s="1"/>
  <c r="E296" i="27" s="1"/>
  <c r="U295" i="27"/>
  <c r="V295" i="27" s="1"/>
  <c r="W295" i="27" s="1"/>
  <c r="T295" i="27"/>
  <c r="P295" i="27"/>
  <c r="N295" i="27" s="1"/>
  <c r="O295" i="27"/>
  <c r="L295" i="27"/>
  <c r="M295" i="27" s="1"/>
  <c r="K295" i="27" s="1"/>
  <c r="I295" i="27"/>
  <c r="J295" i="27" s="1"/>
  <c r="H295" i="27" s="1"/>
  <c r="F295" i="27"/>
  <c r="G295" i="27" s="1"/>
  <c r="E295" i="27" s="1"/>
  <c r="U294" i="27"/>
  <c r="V294" i="27" s="1"/>
  <c r="W294" i="27" s="1"/>
  <c r="T294" i="27"/>
  <c r="O294" i="27"/>
  <c r="P294" i="27" s="1"/>
  <c r="N294" i="27" s="1"/>
  <c r="L294" i="27"/>
  <c r="M294" i="27" s="1"/>
  <c r="K294" i="27" s="1"/>
  <c r="I294" i="27"/>
  <c r="J294" i="27" s="1"/>
  <c r="H294" i="27" s="1"/>
  <c r="F294" i="27"/>
  <c r="G294" i="27" s="1"/>
  <c r="E294" i="27" s="1"/>
  <c r="U293" i="27"/>
  <c r="V293" i="27" s="1"/>
  <c r="W293" i="27" s="1"/>
  <c r="T293" i="27"/>
  <c r="P293" i="27"/>
  <c r="N293" i="27" s="1"/>
  <c r="O293" i="27"/>
  <c r="L293" i="27"/>
  <c r="M293" i="27" s="1"/>
  <c r="K293" i="27" s="1"/>
  <c r="I293" i="27"/>
  <c r="J293" i="27" s="1"/>
  <c r="H293" i="27" s="1"/>
  <c r="F293" i="27"/>
  <c r="G293" i="27" s="1"/>
  <c r="E293" i="27" s="1"/>
  <c r="R291" i="27"/>
  <c r="P291" i="27"/>
  <c r="M291" i="27"/>
  <c r="J291" i="27"/>
  <c r="H291" i="27" s="1"/>
  <c r="G291" i="27"/>
  <c r="U289" i="27"/>
  <c r="V289" i="27" s="1"/>
  <c r="W289" i="27" s="1"/>
  <c r="T289" i="27"/>
  <c r="P289" i="27"/>
  <c r="N289" i="27" s="1"/>
  <c r="M289" i="27"/>
  <c r="K289" i="27" s="1"/>
  <c r="J289" i="27"/>
  <c r="H289" i="27" s="1"/>
  <c r="G289" i="27"/>
  <c r="E289" i="27" s="1"/>
  <c r="U288" i="27"/>
  <c r="V288" i="27" s="1"/>
  <c r="W288" i="27" s="1"/>
  <c r="T288" i="27"/>
  <c r="P288" i="27"/>
  <c r="N288" i="27" s="1"/>
  <c r="M288" i="27"/>
  <c r="K288" i="27" s="1"/>
  <c r="J288" i="27"/>
  <c r="H288" i="27" s="1"/>
  <c r="G288" i="27"/>
  <c r="E288" i="27" s="1"/>
  <c r="U287" i="27"/>
  <c r="V287" i="27" s="1"/>
  <c r="W287" i="27" s="1"/>
  <c r="T287" i="27"/>
  <c r="P287" i="27"/>
  <c r="N287" i="27" s="1"/>
  <c r="M287" i="27"/>
  <c r="K287" i="27" s="1"/>
  <c r="J287" i="27"/>
  <c r="H287" i="27" s="1"/>
  <c r="G287" i="27"/>
  <c r="E287" i="27" s="1"/>
  <c r="U286" i="27"/>
  <c r="V286" i="27" s="1"/>
  <c r="W286" i="27" s="1"/>
  <c r="T286" i="27"/>
  <c r="P286" i="27"/>
  <c r="N286" i="27" s="1"/>
  <c r="M286" i="27"/>
  <c r="K286" i="27"/>
  <c r="J286" i="27"/>
  <c r="H286" i="27" s="1"/>
  <c r="G286" i="27"/>
  <c r="E286" i="27" s="1"/>
  <c r="U285" i="27"/>
  <c r="V285" i="27" s="1"/>
  <c r="W285" i="27" s="1"/>
  <c r="T285" i="27"/>
  <c r="P285" i="27"/>
  <c r="N285" i="27"/>
  <c r="M285" i="27"/>
  <c r="K285" i="27" s="1"/>
  <c r="J285" i="27"/>
  <c r="H285" i="27" s="1"/>
  <c r="G285" i="27"/>
  <c r="E285" i="27" s="1"/>
  <c r="U284" i="27"/>
  <c r="V284" i="27" s="1"/>
  <c r="W284" i="27" s="1"/>
  <c r="T284" i="27"/>
  <c r="P284" i="27"/>
  <c r="N284" i="27" s="1"/>
  <c r="M284" i="27"/>
  <c r="K284" i="27" s="1"/>
  <c r="J284" i="27"/>
  <c r="H284" i="27" s="1"/>
  <c r="G284" i="27"/>
  <c r="E284" i="27" s="1"/>
  <c r="U283" i="27"/>
  <c r="V283" i="27" s="1"/>
  <c r="W283" i="27" s="1"/>
  <c r="T283" i="27"/>
  <c r="P283" i="27"/>
  <c r="N283" i="27"/>
  <c r="M283" i="27"/>
  <c r="K283" i="27" s="1"/>
  <c r="J283" i="27"/>
  <c r="H283" i="27" s="1"/>
  <c r="G283" i="27"/>
  <c r="E283" i="27" s="1"/>
  <c r="U282" i="27"/>
  <c r="V282" i="27" s="1"/>
  <c r="W282" i="27" s="1"/>
  <c r="T282" i="27"/>
  <c r="P282" i="27"/>
  <c r="N282" i="27" s="1"/>
  <c r="M282" i="27"/>
  <c r="K282" i="27" s="1"/>
  <c r="J282" i="27"/>
  <c r="H282" i="27"/>
  <c r="G282" i="27"/>
  <c r="E282" i="27" s="1"/>
  <c r="U281" i="27"/>
  <c r="V281" i="27" s="1"/>
  <c r="W281" i="27" s="1"/>
  <c r="T281" i="27"/>
  <c r="P281" i="27"/>
  <c r="N281" i="27" s="1"/>
  <c r="M281" i="27"/>
  <c r="K281" i="27" s="1"/>
  <c r="J281" i="27"/>
  <c r="H281" i="27" s="1"/>
  <c r="G281" i="27"/>
  <c r="E281" i="27"/>
  <c r="U280" i="27"/>
  <c r="V280" i="27" s="1"/>
  <c r="W280" i="27" s="1"/>
  <c r="T280" i="27"/>
  <c r="P280" i="27"/>
  <c r="N280" i="27" s="1"/>
  <c r="M280" i="27"/>
  <c r="K280" i="27" s="1"/>
  <c r="J280" i="27"/>
  <c r="H280" i="27" s="1"/>
  <c r="G280" i="27"/>
  <c r="E280" i="27" s="1"/>
  <c r="U279" i="27"/>
  <c r="V279" i="27" s="1"/>
  <c r="W279" i="27" s="1"/>
  <c r="T279" i="27"/>
  <c r="P279" i="27"/>
  <c r="N279" i="27" s="1"/>
  <c r="M279" i="27"/>
  <c r="K279" i="27"/>
  <c r="J279" i="27"/>
  <c r="H279" i="27" s="1"/>
  <c r="G279" i="27"/>
  <c r="E279" i="27" s="1"/>
  <c r="U278" i="27"/>
  <c r="V278" i="27" s="1"/>
  <c r="W278" i="27" s="1"/>
  <c r="T278" i="27"/>
  <c r="P278" i="27"/>
  <c r="N278" i="27" s="1"/>
  <c r="M278" i="27"/>
  <c r="K278" i="27"/>
  <c r="J278" i="27"/>
  <c r="H278" i="27" s="1"/>
  <c r="G278" i="27"/>
  <c r="E278" i="27" s="1"/>
  <c r="U277" i="27"/>
  <c r="V277" i="27" s="1"/>
  <c r="W277" i="27" s="1"/>
  <c r="T277" i="27"/>
  <c r="P277" i="27"/>
  <c r="N277" i="27" s="1"/>
  <c r="M277" i="27"/>
  <c r="K277" i="27" s="1"/>
  <c r="J277" i="27"/>
  <c r="H277" i="27" s="1"/>
  <c r="G277" i="27"/>
  <c r="E277" i="27"/>
  <c r="U276" i="27"/>
  <c r="V276" i="27" s="1"/>
  <c r="W276" i="27" s="1"/>
  <c r="T276" i="27"/>
  <c r="P276" i="27"/>
  <c r="N276" i="27" s="1"/>
  <c r="M276" i="27"/>
  <c r="K276" i="27" s="1"/>
  <c r="J276" i="27"/>
  <c r="H276" i="27"/>
  <c r="G276" i="27"/>
  <c r="E276" i="27" s="1"/>
  <c r="U275" i="27"/>
  <c r="V275" i="27" s="1"/>
  <c r="W275" i="27" s="1"/>
  <c r="T275" i="27"/>
  <c r="P275" i="27"/>
  <c r="N275" i="27" s="1"/>
  <c r="M275" i="27"/>
  <c r="K275" i="27"/>
  <c r="J275" i="27"/>
  <c r="H275" i="27" s="1"/>
  <c r="G275" i="27"/>
  <c r="E275" i="27" s="1"/>
  <c r="U274" i="27"/>
  <c r="V274" i="27" s="1"/>
  <c r="W274" i="27" s="1"/>
  <c r="T274" i="27"/>
  <c r="P274" i="27"/>
  <c r="N274" i="27" s="1"/>
  <c r="M274" i="27"/>
  <c r="K274" i="27"/>
  <c r="J274" i="27"/>
  <c r="H274" i="27"/>
  <c r="G274" i="27"/>
  <c r="E274" i="27" s="1"/>
  <c r="U273" i="27"/>
  <c r="V273" i="27" s="1"/>
  <c r="W273" i="27" s="1"/>
  <c r="T273" i="27"/>
  <c r="P273" i="27"/>
  <c r="N273" i="27" s="1"/>
  <c r="M273" i="27"/>
  <c r="K273" i="27"/>
  <c r="J273" i="27"/>
  <c r="H273" i="27" s="1"/>
  <c r="G273" i="27"/>
  <c r="E273" i="27" s="1"/>
  <c r="U272" i="27"/>
  <c r="V272" i="27" s="1"/>
  <c r="W272" i="27" s="1"/>
  <c r="T272" i="27"/>
  <c r="P272" i="27"/>
  <c r="N272" i="27" s="1"/>
  <c r="M272" i="27"/>
  <c r="K272" i="27"/>
  <c r="J272" i="27"/>
  <c r="H272" i="27" s="1"/>
  <c r="G272" i="27"/>
  <c r="E272" i="27" s="1"/>
  <c r="U271" i="27"/>
  <c r="V271" i="27" s="1"/>
  <c r="W271" i="27" s="1"/>
  <c r="T271" i="27"/>
  <c r="P271" i="27"/>
  <c r="N271" i="27" s="1"/>
  <c r="M271" i="27"/>
  <c r="K271" i="27"/>
  <c r="J271" i="27"/>
  <c r="H271" i="27" s="1"/>
  <c r="G271" i="27"/>
  <c r="E271" i="27" s="1"/>
  <c r="U270" i="27"/>
  <c r="V270" i="27" s="1"/>
  <c r="W270" i="27" s="1"/>
  <c r="T270" i="27"/>
  <c r="P270" i="27"/>
  <c r="N270" i="27" s="1"/>
  <c r="M270" i="27"/>
  <c r="K270" i="27"/>
  <c r="J270" i="27"/>
  <c r="H270" i="27" s="1"/>
  <c r="G270" i="27"/>
  <c r="E270" i="27" s="1"/>
  <c r="U269" i="27"/>
  <c r="V269" i="27" s="1"/>
  <c r="W269" i="27" s="1"/>
  <c r="T269" i="27"/>
  <c r="P269" i="27"/>
  <c r="N269" i="27" s="1"/>
  <c r="M269" i="27"/>
  <c r="K269" i="27"/>
  <c r="J269" i="27"/>
  <c r="H269" i="27" s="1"/>
  <c r="G269" i="27"/>
  <c r="E269" i="27"/>
  <c r="U268" i="27"/>
  <c r="V268" i="27" s="1"/>
  <c r="W268" i="27" s="1"/>
  <c r="T268" i="27"/>
  <c r="P268" i="27"/>
  <c r="N268" i="27" s="1"/>
  <c r="M268" i="27"/>
  <c r="K268" i="27"/>
  <c r="J268" i="27"/>
  <c r="H268" i="27" s="1"/>
  <c r="G268" i="27"/>
  <c r="E268" i="27" s="1"/>
  <c r="U267" i="27"/>
  <c r="V267" i="27" s="1"/>
  <c r="W267" i="27" s="1"/>
  <c r="T267" i="27"/>
  <c r="P267" i="27"/>
  <c r="N267" i="27"/>
  <c r="M267" i="27"/>
  <c r="K267" i="27" s="1"/>
  <c r="J267" i="27"/>
  <c r="H267" i="27" s="1"/>
  <c r="G267" i="27"/>
  <c r="E267" i="27"/>
  <c r="U266" i="27"/>
  <c r="V266" i="27" s="1"/>
  <c r="W266" i="27" s="1"/>
  <c r="T266" i="27"/>
  <c r="P266" i="27"/>
  <c r="N266" i="27" s="1"/>
  <c r="M266" i="27"/>
  <c r="K266" i="27" s="1"/>
  <c r="J266" i="27"/>
  <c r="H266" i="27"/>
  <c r="G266" i="27"/>
  <c r="E266" i="27"/>
  <c r="U265" i="27"/>
  <c r="V265" i="27" s="1"/>
  <c r="W265" i="27" s="1"/>
  <c r="T265" i="27"/>
  <c r="P265" i="27"/>
  <c r="N265" i="27" s="1"/>
  <c r="M265" i="27"/>
  <c r="K265" i="27"/>
  <c r="J265" i="27"/>
  <c r="H265" i="27" s="1"/>
  <c r="G265" i="27"/>
  <c r="E265" i="27"/>
  <c r="U264" i="27"/>
  <c r="V264" i="27" s="1"/>
  <c r="W264" i="27" s="1"/>
  <c r="T264" i="27"/>
  <c r="P264" i="27"/>
  <c r="N264" i="27" s="1"/>
  <c r="M264" i="27"/>
  <c r="K264" i="27"/>
  <c r="J264" i="27"/>
  <c r="H264" i="27" s="1"/>
  <c r="G264" i="27"/>
  <c r="E264" i="27" s="1"/>
  <c r="U262" i="27"/>
  <c r="V262" i="27" s="1"/>
  <c r="W262" i="27" s="1"/>
  <c r="T262" i="27"/>
  <c r="P262" i="27"/>
  <c r="N262" i="27"/>
  <c r="M262" i="27"/>
  <c r="K262" i="27" s="1"/>
  <c r="J262" i="27"/>
  <c r="H262" i="27" s="1"/>
  <c r="G262" i="27"/>
  <c r="E262" i="27" s="1"/>
  <c r="U261" i="27"/>
  <c r="V261" i="27" s="1"/>
  <c r="W261" i="27" s="1"/>
  <c r="T261" i="27"/>
  <c r="P261" i="27"/>
  <c r="N261" i="27" s="1"/>
  <c r="M261" i="27"/>
  <c r="K261" i="27" s="1"/>
  <c r="J261" i="27"/>
  <c r="H261" i="27"/>
  <c r="G261" i="27"/>
  <c r="E261" i="27" s="1"/>
  <c r="U260" i="27"/>
  <c r="V260" i="27" s="1"/>
  <c r="W260" i="27" s="1"/>
  <c r="T260" i="27"/>
  <c r="P260" i="27"/>
  <c r="N260" i="27" s="1"/>
  <c r="M260" i="27"/>
  <c r="K260" i="27" s="1"/>
  <c r="J260" i="27"/>
  <c r="H260" i="27" s="1"/>
  <c r="G260" i="27"/>
  <c r="E260" i="27" s="1"/>
  <c r="U259" i="27"/>
  <c r="V259" i="27" s="1"/>
  <c r="W259" i="27" s="1"/>
  <c r="T259" i="27"/>
  <c r="P259" i="27"/>
  <c r="N259" i="27" s="1"/>
  <c r="M259" i="27"/>
  <c r="K259" i="27" s="1"/>
  <c r="J259" i="27"/>
  <c r="H259" i="27" s="1"/>
  <c r="G259" i="27"/>
  <c r="E259" i="27" s="1"/>
  <c r="U258" i="27"/>
  <c r="V258" i="27" s="1"/>
  <c r="W258" i="27" s="1"/>
  <c r="T258" i="27"/>
  <c r="P258" i="27"/>
  <c r="N258" i="27" s="1"/>
  <c r="M258" i="27"/>
  <c r="K258" i="27" s="1"/>
  <c r="J258" i="27"/>
  <c r="H258" i="27" s="1"/>
  <c r="G258" i="27"/>
  <c r="E258" i="27"/>
  <c r="U257" i="27"/>
  <c r="V257" i="27" s="1"/>
  <c r="W257" i="27" s="1"/>
  <c r="T257" i="27"/>
  <c r="P257" i="27"/>
  <c r="N257" i="27" s="1"/>
  <c r="M257" i="27"/>
  <c r="K257" i="27" s="1"/>
  <c r="J257" i="27"/>
  <c r="H257" i="27" s="1"/>
  <c r="G257" i="27"/>
  <c r="E257" i="27"/>
  <c r="W256" i="27"/>
  <c r="U256" i="27"/>
  <c r="V256" i="27" s="1"/>
  <c r="T256" i="27"/>
  <c r="P256" i="27"/>
  <c r="N256" i="27" s="1"/>
  <c r="M256" i="27"/>
  <c r="K256" i="27" s="1"/>
  <c r="J256" i="27"/>
  <c r="H256" i="27" s="1"/>
  <c r="G256" i="27"/>
  <c r="E256" i="27" s="1"/>
  <c r="U254" i="27"/>
  <c r="V254" i="27" s="1"/>
  <c r="W254" i="27" s="1"/>
  <c r="T254" i="27"/>
  <c r="P254" i="27"/>
  <c r="N254" i="27" s="1"/>
  <c r="M254" i="27"/>
  <c r="K254" i="27"/>
  <c r="J254" i="27"/>
  <c r="H254" i="27" s="1"/>
  <c r="G254" i="27"/>
  <c r="E254" i="27" s="1"/>
  <c r="U253" i="27"/>
  <c r="V253" i="27" s="1"/>
  <c r="W253" i="27" s="1"/>
  <c r="T253" i="27"/>
  <c r="P253" i="27"/>
  <c r="N253" i="27"/>
  <c r="M253" i="27"/>
  <c r="K253" i="27"/>
  <c r="J253" i="27"/>
  <c r="H253" i="27" s="1"/>
  <c r="G253" i="27"/>
  <c r="E253" i="27"/>
  <c r="U252" i="27"/>
  <c r="V252" i="27" s="1"/>
  <c r="W252" i="27" s="1"/>
  <c r="T252" i="27"/>
  <c r="P252" i="27"/>
  <c r="N252" i="27" s="1"/>
  <c r="M252" i="27"/>
  <c r="K252" i="27"/>
  <c r="J252" i="27"/>
  <c r="H252" i="27" s="1"/>
  <c r="G252" i="27"/>
  <c r="E252" i="27" s="1"/>
  <c r="U251" i="27"/>
  <c r="V251" i="27" s="1"/>
  <c r="W251" i="27" s="1"/>
  <c r="T251" i="27"/>
  <c r="P251" i="27"/>
  <c r="N251" i="27" s="1"/>
  <c r="M251" i="27"/>
  <c r="K251" i="27" s="1"/>
  <c r="J251" i="27"/>
  <c r="H251" i="27" s="1"/>
  <c r="G251" i="27"/>
  <c r="E251" i="27"/>
  <c r="U250" i="27"/>
  <c r="V250" i="27" s="1"/>
  <c r="W250" i="27" s="1"/>
  <c r="T250" i="27"/>
  <c r="P250" i="27"/>
  <c r="N250" i="27" s="1"/>
  <c r="M250" i="27"/>
  <c r="K250" i="27" s="1"/>
  <c r="J250" i="27"/>
  <c r="H250" i="27"/>
  <c r="G250" i="27"/>
  <c r="E250" i="27" s="1"/>
  <c r="U249" i="27"/>
  <c r="V249" i="27" s="1"/>
  <c r="W249" i="27" s="1"/>
  <c r="T249" i="27"/>
  <c r="P249" i="27"/>
  <c r="N249" i="27" s="1"/>
  <c r="M249" i="27"/>
  <c r="K249" i="27"/>
  <c r="J249" i="27"/>
  <c r="H249" i="27" s="1"/>
  <c r="G249" i="27"/>
  <c r="E249" i="27"/>
  <c r="U248" i="27"/>
  <c r="V248" i="27" s="1"/>
  <c r="W248" i="27" s="1"/>
  <c r="T248" i="27"/>
  <c r="P248" i="27"/>
  <c r="N248" i="27" s="1"/>
  <c r="M248" i="27"/>
  <c r="K248" i="27"/>
  <c r="J248" i="27"/>
  <c r="H248" i="27" s="1"/>
  <c r="G248" i="27"/>
  <c r="E248" i="27" s="1"/>
  <c r="U247" i="27"/>
  <c r="V247" i="27" s="1"/>
  <c r="W247" i="27" s="1"/>
  <c r="T247" i="27"/>
  <c r="P247" i="27"/>
  <c r="N247" i="27"/>
  <c r="M247" i="27"/>
  <c r="K247" i="27"/>
  <c r="J247" i="27"/>
  <c r="H247" i="27" s="1"/>
  <c r="G247" i="27"/>
  <c r="E247" i="27"/>
  <c r="U245" i="27"/>
  <c r="V245" i="27" s="1"/>
  <c r="W245" i="27" s="1"/>
  <c r="T245" i="27"/>
  <c r="O245" i="27"/>
  <c r="P245" i="27" s="1"/>
  <c r="N245" i="27" s="1"/>
  <c r="L245" i="27"/>
  <c r="M245" i="27" s="1"/>
  <c r="K245" i="27" s="1"/>
  <c r="I245" i="27"/>
  <c r="J245" i="27" s="1"/>
  <c r="H245" i="27" s="1"/>
  <c r="F245" i="27"/>
  <c r="G245" i="27" s="1"/>
  <c r="E245" i="27"/>
  <c r="U244" i="27"/>
  <c r="V244" i="27" s="1"/>
  <c r="W244" i="27" s="1"/>
  <c r="T244" i="27"/>
  <c r="P244" i="27"/>
  <c r="N244" i="27" s="1"/>
  <c r="M244" i="27"/>
  <c r="K244" i="27"/>
  <c r="J244" i="27"/>
  <c r="H244" i="27"/>
  <c r="G244" i="27"/>
  <c r="E244" i="27" s="1"/>
  <c r="U243" i="27"/>
  <c r="V243" i="27" s="1"/>
  <c r="W243" i="27" s="1"/>
  <c r="T243" i="27"/>
  <c r="P243" i="27"/>
  <c r="N243" i="27" s="1"/>
  <c r="M243" i="27"/>
  <c r="K243" i="27"/>
  <c r="J243" i="27"/>
  <c r="H243" i="27" s="1"/>
  <c r="G243" i="27"/>
  <c r="E243" i="27" s="1"/>
  <c r="U242" i="27"/>
  <c r="V242" i="27" s="1"/>
  <c r="W242" i="27" s="1"/>
  <c r="T242" i="27"/>
  <c r="O242" i="27"/>
  <c r="P242" i="27" s="1"/>
  <c r="N242" i="27" s="1"/>
  <c r="L242" i="27"/>
  <c r="M242" i="27" s="1"/>
  <c r="K242" i="27" s="1"/>
  <c r="I242" i="27"/>
  <c r="J242" i="27" s="1"/>
  <c r="H242" i="27" s="1"/>
  <c r="F242" i="27"/>
  <c r="G242" i="27" s="1"/>
  <c r="E242" i="27"/>
  <c r="U241" i="27"/>
  <c r="V241" i="27" s="1"/>
  <c r="W241" i="27" s="1"/>
  <c r="T241" i="27"/>
  <c r="P241" i="27"/>
  <c r="N241" i="27" s="1"/>
  <c r="M241" i="27"/>
  <c r="K241" i="27" s="1"/>
  <c r="J241" i="27"/>
  <c r="H241" i="27" s="1"/>
  <c r="G241" i="27"/>
  <c r="E241" i="27" s="1"/>
  <c r="U240" i="27"/>
  <c r="V240" i="27" s="1"/>
  <c r="W240" i="27" s="1"/>
  <c r="T240" i="27"/>
  <c r="P240" i="27"/>
  <c r="N240" i="27" s="1"/>
  <c r="M240" i="27"/>
  <c r="K240" i="27" s="1"/>
  <c r="J240" i="27"/>
  <c r="H240" i="27" s="1"/>
  <c r="G240" i="27"/>
  <c r="E240" i="27" s="1"/>
  <c r="U239" i="27"/>
  <c r="V239" i="27" s="1"/>
  <c r="W239" i="27" s="1"/>
  <c r="T239" i="27"/>
  <c r="P239" i="27"/>
  <c r="N239" i="27" s="1"/>
  <c r="M239" i="27"/>
  <c r="K239" i="27" s="1"/>
  <c r="J239" i="27"/>
  <c r="H239" i="27" s="1"/>
  <c r="G239" i="27"/>
  <c r="E239" i="27"/>
  <c r="U238" i="27"/>
  <c r="V238" i="27" s="1"/>
  <c r="W238" i="27" s="1"/>
  <c r="T238" i="27"/>
  <c r="P238" i="27"/>
  <c r="N238" i="27" s="1"/>
  <c r="M238" i="27"/>
  <c r="K238" i="27" s="1"/>
  <c r="J238" i="27"/>
  <c r="H238" i="27" s="1"/>
  <c r="G238" i="27"/>
  <c r="E238" i="27" s="1"/>
  <c r="V237" i="27"/>
  <c r="W237" i="27" s="1"/>
  <c r="U237" i="27"/>
  <c r="T237" i="27"/>
  <c r="P237" i="27"/>
  <c r="N237" i="27" s="1"/>
  <c r="M237" i="27"/>
  <c r="K237" i="27" s="1"/>
  <c r="J237" i="27"/>
  <c r="H237" i="27"/>
  <c r="G237" i="27"/>
  <c r="E237" i="27" s="1"/>
  <c r="U236" i="27"/>
  <c r="V236" i="27" s="1"/>
  <c r="W236" i="27" s="1"/>
  <c r="T236" i="27"/>
  <c r="P236" i="27"/>
  <c r="N236" i="27" s="1"/>
  <c r="M236" i="27"/>
  <c r="K236" i="27" s="1"/>
  <c r="J236" i="27"/>
  <c r="H236" i="27" s="1"/>
  <c r="G236" i="27"/>
  <c r="E236" i="27" s="1"/>
  <c r="U235" i="27"/>
  <c r="V235" i="27" s="1"/>
  <c r="W235" i="27" s="1"/>
  <c r="T235" i="27"/>
  <c r="P235" i="27"/>
  <c r="N235" i="27" s="1"/>
  <c r="M235" i="27"/>
  <c r="K235" i="27" s="1"/>
  <c r="J235" i="27"/>
  <c r="H235" i="27"/>
  <c r="G235" i="27"/>
  <c r="E235" i="27" s="1"/>
  <c r="U234" i="27"/>
  <c r="V234" i="27" s="1"/>
  <c r="W234" i="27" s="1"/>
  <c r="T234" i="27"/>
  <c r="P234" i="27"/>
  <c r="N234" i="27"/>
  <c r="M234" i="27"/>
  <c r="K234" i="27"/>
  <c r="J234" i="27"/>
  <c r="H234" i="27" s="1"/>
  <c r="G234" i="27"/>
  <c r="E234" i="27" s="1"/>
  <c r="U233" i="27"/>
  <c r="V233" i="27" s="1"/>
  <c r="W233" i="27" s="1"/>
  <c r="T233" i="27"/>
  <c r="P233" i="27"/>
  <c r="N233" i="27" s="1"/>
  <c r="M233" i="27"/>
  <c r="K233" i="27" s="1"/>
  <c r="J233" i="27"/>
  <c r="H233" i="27"/>
  <c r="G233" i="27"/>
  <c r="E233" i="27" s="1"/>
  <c r="U232" i="27"/>
  <c r="V232" i="27" s="1"/>
  <c r="W232" i="27" s="1"/>
  <c r="T232" i="27"/>
  <c r="P232" i="27"/>
  <c r="N232" i="27" s="1"/>
  <c r="M232" i="27"/>
  <c r="K232" i="27" s="1"/>
  <c r="J232" i="27"/>
  <c r="H232" i="27" s="1"/>
  <c r="G232" i="27"/>
  <c r="E232" i="27"/>
  <c r="U231" i="27"/>
  <c r="V231" i="27" s="1"/>
  <c r="W231" i="27" s="1"/>
  <c r="T231" i="27"/>
  <c r="P231" i="27"/>
  <c r="N231" i="27" s="1"/>
  <c r="M231" i="27"/>
  <c r="K231" i="27" s="1"/>
  <c r="J231" i="27"/>
  <c r="H231" i="27" s="1"/>
  <c r="G231" i="27"/>
  <c r="E231" i="27"/>
  <c r="U230" i="27"/>
  <c r="V230" i="27" s="1"/>
  <c r="W230" i="27" s="1"/>
  <c r="T230" i="27"/>
  <c r="P230" i="27"/>
  <c r="N230" i="27" s="1"/>
  <c r="M230" i="27"/>
  <c r="K230" i="27" s="1"/>
  <c r="J230" i="27"/>
  <c r="H230" i="27" s="1"/>
  <c r="G230" i="27"/>
  <c r="E230" i="27" s="1"/>
  <c r="V229" i="27"/>
  <c r="W229" i="27" s="1"/>
  <c r="U229" i="27"/>
  <c r="T229" i="27"/>
  <c r="P229" i="27"/>
  <c r="N229" i="27" s="1"/>
  <c r="M229" i="27"/>
  <c r="K229" i="27"/>
  <c r="J229" i="27"/>
  <c r="H229" i="27" s="1"/>
  <c r="G229" i="27"/>
  <c r="E229" i="27" s="1"/>
  <c r="W228" i="27"/>
  <c r="U228" i="27"/>
  <c r="V228" i="27" s="1"/>
  <c r="T228" i="27"/>
  <c r="P228" i="27"/>
  <c r="N228" i="27"/>
  <c r="M228" i="27"/>
  <c r="K228" i="27" s="1"/>
  <c r="J228" i="27"/>
  <c r="H228" i="27" s="1"/>
  <c r="G228" i="27"/>
  <c r="E228" i="27" s="1"/>
  <c r="U227" i="27"/>
  <c r="V227" i="27" s="1"/>
  <c r="W227" i="27" s="1"/>
  <c r="T227" i="27"/>
  <c r="P227" i="27"/>
  <c r="N227" i="27" s="1"/>
  <c r="M227" i="27"/>
  <c r="K227" i="27"/>
  <c r="J227" i="27"/>
  <c r="H227" i="27" s="1"/>
  <c r="G227" i="27"/>
  <c r="E227" i="27" s="1"/>
  <c r="U226" i="27"/>
  <c r="V226" i="27" s="1"/>
  <c r="W226" i="27" s="1"/>
  <c r="T226" i="27"/>
  <c r="P226" i="27"/>
  <c r="N226" i="27"/>
  <c r="M226" i="27"/>
  <c r="K226" i="27"/>
  <c r="J226" i="27"/>
  <c r="H226" i="27" s="1"/>
  <c r="G226" i="27"/>
  <c r="E226" i="27" s="1"/>
  <c r="U225" i="27"/>
  <c r="V225" i="27" s="1"/>
  <c r="W225" i="27" s="1"/>
  <c r="T225" i="27"/>
  <c r="P225" i="27"/>
  <c r="N225" i="27" s="1"/>
  <c r="M225" i="27"/>
  <c r="K225" i="27" s="1"/>
  <c r="J225" i="27"/>
  <c r="H225" i="27" s="1"/>
  <c r="G225" i="27"/>
  <c r="E225" i="27" s="1"/>
  <c r="U224" i="27"/>
  <c r="V224" i="27" s="1"/>
  <c r="W224" i="27" s="1"/>
  <c r="T224" i="27"/>
  <c r="P224" i="27"/>
  <c r="N224" i="27" s="1"/>
  <c r="M224" i="27"/>
  <c r="K224" i="27" s="1"/>
  <c r="J224" i="27"/>
  <c r="H224" i="27" s="1"/>
  <c r="G224" i="27"/>
  <c r="E224" i="27" s="1"/>
  <c r="U222" i="27"/>
  <c r="V222" i="27" s="1"/>
  <c r="W222" i="27" s="1"/>
  <c r="T222" i="27"/>
  <c r="P222" i="27"/>
  <c r="N222" i="27" s="1"/>
  <c r="M222" i="27"/>
  <c r="K222" i="27" s="1"/>
  <c r="J222" i="27"/>
  <c r="H222" i="27" s="1"/>
  <c r="G222" i="27"/>
  <c r="E222" i="27"/>
  <c r="U221" i="27"/>
  <c r="V221" i="27" s="1"/>
  <c r="W221" i="27" s="1"/>
  <c r="T221" i="27"/>
  <c r="P221" i="27"/>
  <c r="N221" i="27" s="1"/>
  <c r="M221" i="27"/>
  <c r="K221" i="27" s="1"/>
  <c r="J221" i="27"/>
  <c r="H221" i="27" s="1"/>
  <c r="G221" i="27"/>
  <c r="E221" i="27"/>
  <c r="V220" i="27"/>
  <c r="W220" i="27" s="1"/>
  <c r="U220" i="27"/>
  <c r="T220" i="27"/>
  <c r="P220" i="27"/>
  <c r="N220" i="27" s="1"/>
  <c r="M220" i="27"/>
  <c r="K220" i="27" s="1"/>
  <c r="J220" i="27"/>
  <c r="H220" i="27"/>
  <c r="G220" i="27"/>
  <c r="E220" i="27" s="1"/>
  <c r="U219" i="27"/>
  <c r="V219" i="27" s="1"/>
  <c r="W219" i="27" s="1"/>
  <c r="T219" i="27"/>
  <c r="P219" i="27"/>
  <c r="N219" i="27" s="1"/>
  <c r="M219" i="27"/>
  <c r="K219" i="27" s="1"/>
  <c r="J219" i="27"/>
  <c r="H219" i="27" s="1"/>
  <c r="G219" i="27"/>
  <c r="E219" i="27" s="1"/>
  <c r="U218" i="27"/>
  <c r="V218" i="27" s="1"/>
  <c r="W218" i="27" s="1"/>
  <c r="T218" i="27"/>
  <c r="O218" i="27"/>
  <c r="P218" i="27" s="1"/>
  <c r="N218" i="27" s="1"/>
  <c r="L218" i="27"/>
  <c r="M218" i="27" s="1"/>
  <c r="K218" i="27" s="1"/>
  <c r="I218" i="27"/>
  <c r="J218" i="27" s="1"/>
  <c r="H218" i="27" s="1"/>
  <c r="F218" i="27"/>
  <c r="G218" i="27" s="1"/>
  <c r="E218" i="27" s="1"/>
  <c r="U217" i="27"/>
  <c r="V217" i="27" s="1"/>
  <c r="W217" i="27" s="1"/>
  <c r="T217" i="27"/>
  <c r="O217" i="27"/>
  <c r="P217" i="27" s="1"/>
  <c r="N217" i="27" s="1"/>
  <c r="L217" i="27"/>
  <c r="M217" i="27" s="1"/>
  <c r="K217" i="27" s="1"/>
  <c r="I217" i="27"/>
  <c r="J217" i="27" s="1"/>
  <c r="H217" i="27" s="1"/>
  <c r="F217" i="27"/>
  <c r="G217" i="27" s="1"/>
  <c r="E217" i="27" s="1"/>
  <c r="U216" i="27"/>
  <c r="V216" i="27" s="1"/>
  <c r="W216" i="27" s="1"/>
  <c r="T216" i="27"/>
  <c r="O216" i="27"/>
  <c r="P216" i="27" s="1"/>
  <c r="N216" i="27" s="1"/>
  <c r="L216" i="27"/>
  <c r="M216" i="27" s="1"/>
  <c r="K216" i="27" s="1"/>
  <c r="I216" i="27"/>
  <c r="J216" i="27" s="1"/>
  <c r="H216" i="27" s="1"/>
  <c r="F216" i="27"/>
  <c r="G216" i="27" s="1"/>
  <c r="E216" i="27" s="1"/>
  <c r="U215" i="27"/>
  <c r="V215" i="27" s="1"/>
  <c r="W215" i="27" s="1"/>
  <c r="T215" i="27"/>
  <c r="O215" i="27"/>
  <c r="P215" i="27" s="1"/>
  <c r="N215" i="27" s="1"/>
  <c r="L215" i="27"/>
  <c r="M215" i="27" s="1"/>
  <c r="K215" i="27" s="1"/>
  <c r="I215" i="27"/>
  <c r="J215" i="27" s="1"/>
  <c r="H215" i="27" s="1"/>
  <c r="F215" i="27"/>
  <c r="G215" i="27" s="1"/>
  <c r="E215" i="27" s="1"/>
  <c r="U214" i="27"/>
  <c r="V214" i="27" s="1"/>
  <c r="W214" i="27" s="1"/>
  <c r="T214" i="27"/>
  <c r="O214" i="27"/>
  <c r="P214" i="27" s="1"/>
  <c r="N214" i="27" s="1"/>
  <c r="L214" i="27"/>
  <c r="M214" i="27" s="1"/>
  <c r="K214" i="27" s="1"/>
  <c r="I214" i="27"/>
  <c r="J214" i="27" s="1"/>
  <c r="H214" i="27" s="1"/>
  <c r="F214" i="27"/>
  <c r="G214" i="27" s="1"/>
  <c r="E214" i="27"/>
  <c r="U213" i="27"/>
  <c r="V213" i="27" s="1"/>
  <c r="W213" i="27" s="1"/>
  <c r="T213" i="27"/>
  <c r="P213" i="27"/>
  <c r="N213" i="27" s="1"/>
  <c r="M213" i="27"/>
  <c r="K213" i="27" s="1"/>
  <c r="J213" i="27"/>
  <c r="H213" i="27" s="1"/>
  <c r="G213" i="27"/>
  <c r="E213" i="27" s="1"/>
  <c r="U212" i="27"/>
  <c r="V212" i="27" s="1"/>
  <c r="W212" i="27" s="1"/>
  <c r="T212" i="27"/>
  <c r="P212" i="27"/>
  <c r="N212" i="27" s="1"/>
  <c r="M212" i="27"/>
  <c r="K212" i="27" s="1"/>
  <c r="J212" i="27"/>
  <c r="H212" i="27" s="1"/>
  <c r="G212" i="27"/>
  <c r="E212" i="27"/>
  <c r="U211" i="27"/>
  <c r="V211" i="27" s="1"/>
  <c r="W211" i="27" s="1"/>
  <c r="T211" i="27"/>
  <c r="P211" i="27"/>
  <c r="N211" i="27" s="1"/>
  <c r="M211" i="27"/>
  <c r="K211" i="27" s="1"/>
  <c r="J211" i="27"/>
  <c r="H211" i="27"/>
  <c r="G211" i="27"/>
  <c r="E211" i="27"/>
  <c r="V210" i="27"/>
  <c r="W210" i="27" s="1"/>
  <c r="U210" i="27"/>
  <c r="T210" i="27"/>
  <c r="P210" i="27"/>
  <c r="N210" i="27"/>
  <c r="M210" i="27"/>
  <c r="K210" i="27"/>
  <c r="J210" i="27"/>
  <c r="H210" i="27" s="1"/>
  <c r="G210" i="27"/>
  <c r="E210" i="27" s="1"/>
  <c r="U209" i="27"/>
  <c r="V209" i="27" s="1"/>
  <c r="W209" i="27" s="1"/>
  <c r="T209" i="27"/>
  <c r="P209" i="27"/>
  <c r="N209" i="27" s="1"/>
  <c r="M209" i="27"/>
  <c r="K209" i="27"/>
  <c r="J209" i="27"/>
  <c r="H209" i="27" s="1"/>
  <c r="G209" i="27"/>
  <c r="E209" i="27"/>
  <c r="U208" i="27"/>
  <c r="V208" i="27" s="1"/>
  <c r="W208" i="27" s="1"/>
  <c r="T208" i="27"/>
  <c r="P208" i="27"/>
  <c r="N208" i="27" s="1"/>
  <c r="M208" i="27"/>
  <c r="K208" i="27"/>
  <c r="J208" i="27"/>
  <c r="H208" i="27" s="1"/>
  <c r="G208" i="27"/>
  <c r="E208" i="27"/>
  <c r="U207" i="27"/>
  <c r="V207" i="27" s="1"/>
  <c r="W207" i="27" s="1"/>
  <c r="T207" i="27"/>
  <c r="P207" i="27"/>
  <c r="N207" i="27" s="1"/>
  <c r="M207" i="27"/>
  <c r="K207" i="27"/>
  <c r="J207" i="27"/>
  <c r="H207" i="27" s="1"/>
  <c r="G207" i="27"/>
  <c r="E207" i="27"/>
  <c r="U206" i="27"/>
  <c r="V206" i="27" s="1"/>
  <c r="W206" i="27" s="1"/>
  <c r="T206" i="27"/>
  <c r="P206" i="27"/>
  <c r="N206" i="27" s="1"/>
  <c r="M206" i="27"/>
  <c r="K206" i="27"/>
  <c r="J206" i="27"/>
  <c r="H206" i="27" s="1"/>
  <c r="G206" i="27"/>
  <c r="E206" i="27" s="1"/>
  <c r="U205" i="27"/>
  <c r="V205" i="27" s="1"/>
  <c r="W205" i="27" s="1"/>
  <c r="T205" i="27"/>
  <c r="P205" i="27"/>
  <c r="N205" i="27" s="1"/>
  <c r="M205" i="27"/>
  <c r="K205" i="27"/>
  <c r="J205" i="27"/>
  <c r="H205" i="27" s="1"/>
  <c r="G205" i="27"/>
  <c r="E205" i="27" s="1"/>
  <c r="U204" i="27"/>
  <c r="V204" i="27" s="1"/>
  <c r="W204" i="27" s="1"/>
  <c r="T204" i="27"/>
  <c r="P204" i="27"/>
  <c r="N204" i="27" s="1"/>
  <c r="M204" i="27"/>
  <c r="K204" i="27" s="1"/>
  <c r="J204" i="27"/>
  <c r="H204" i="27" s="1"/>
  <c r="G204" i="27"/>
  <c r="E204" i="27"/>
  <c r="U203" i="27"/>
  <c r="V203" i="27" s="1"/>
  <c r="W203" i="27" s="1"/>
  <c r="T203" i="27"/>
  <c r="P203" i="27"/>
  <c r="N203" i="27" s="1"/>
  <c r="M203" i="27"/>
  <c r="K203" i="27" s="1"/>
  <c r="J203" i="27"/>
  <c r="H203" i="27" s="1"/>
  <c r="G203" i="27"/>
  <c r="E203" i="27"/>
  <c r="V202" i="27"/>
  <c r="W202" i="27" s="1"/>
  <c r="U202" i="27"/>
  <c r="T202" i="27"/>
  <c r="P202" i="27"/>
  <c r="N202" i="27" s="1"/>
  <c r="M202" i="27"/>
  <c r="K202" i="27" s="1"/>
  <c r="J202" i="27"/>
  <c r="H202" i="27" s="1"/>
  <c r="G202" i="27"/>
  <c r="E202" i="27" s="1"/>
  <c r="U201" i="27"/>
  <c r="V201" i="27" s="1"/>
  <c r="W201" i="27" s="1"/>
  <c r="T201" i="27"/>
  <c r="P201" i="27"/>
  <c r="N201" i="27" s="1"/>
  <c r="M201" i="27"/>
  <c r="K201" i="27"/>
  <c r="J201" i="27"/>
  <c r="H201" i="27" s="1"/>
  <c r="G201" i="27"/>
  <c r="E201" i="27" s="1"/>
  <c r="U200" i="27"/>
  <c r="V200" i="27" s="1"/>
  <c r="W200" i="27" s="1"/>
  <c r="T200" i="27"/>
  <c r="P200" i="27"/>
  <c r="N200" i="27"/>
  <c r="M200" i="27"/>
  <c r="K200" i="27" s="1"/>
  <c r="J200" i="27"/>
  <c r="H200" i="27" s="1"/>
  <c r="G200" i="27"/>
  <c r="E200" i="27" s="1"/>
  <c r="U199" i="27"/>
  <c r="V199" i="27" s="1"/>
  <c r="W199" i="27" s="1"/>
  <c r="T199" i="27"/>
  <c r="P199" i="27"/>
  <c r="N199" i="27" s="1"/>
  <c r="O199" i="27"/>
  <c r="L199" i="27"/>
  <c r="M199" i="27" s="1"/>
  <c r="K199" i="27" s="1"/>
  <c r="I199" i="27"/>
  <c r="J199" i="27" s="1"/>
  <c r="H199" i="27" s="1"/>
  <c r="F199" i="27"/>
  <c r="G199" i="27" s="1"/>
  <c r="E199" i="27" s="1"/>
  <c r="U198" i="27"/>
  <c r="V198" i="27" s="1"/>
  <c r="W198" i="27" s="1"/>
  <c r="T198" i="27"/>
  <c r="O198" i="27"/>
  <c r="P198" i="27" s="1"/>
  <c r="N198" i="27" s="1"/>
  <c r="L198" i="27"/>
  <c r="M198" i="27" s="1"/>
  <c r="K198" i="27" s="1"/>
  <c r="I198" i="27"/>
  <c r="J198" i="27" s="1"/>
  <c r="H198" i="27" s="1"/>
  <c r="F198" i="27"/>
  <c r="G198" i="27" s="1"/>
  <c r="E198" i="27" s="1"/>
  <c r="U197" i="27"/>
  <c r="V197" i="27" s="1"/>
  <c r="W197" i="27" s="1"/>
  <c r="T197" i="27"/>
  <c r="O197" i="27"/>
  <c r="P197" i="27" s="1"/>
  <c r="N197" i="27" s="1"/>
  <c r="L197" i="27"/>
  <c r="M197" i="27" s="1"/>
  <c r="K197" i="27" s="1"/>
  <c r="I197" i="27"/>
  <c r="J197" i="27" s="1"/>
  <c r="H197" i="27" s="1"/>
  <c r="F197" i="27"/>
  <c r="G197" i="27" s="1"/>
  <c r="E197" i="27" s="1"/>
  <c r="U196" i="27"/>
  <c r="V196" i="27" s="1"/>
  <c r="W196" i="27" s="1"/>
  <c r="T196" i="27"/>
  <c r="O196" i="27"/>
  <c r="P196" i="27" s="1"/>
  <c r="N196" i="27" s="1"/>
  <c r="L196" i="27"/>
  <c r="M196" i="27" s="1"/>
  <c r="K196" i="27" s="1"/>
  <c r="I196" i="27"/>
  <c r="J196" i="27" s="1"/>
  <c r="H196" i="27" s="1"/>
  <c r="F196" i="27"/>
  <c r="G196" i="27" s="1"/>
  <c r="E196" i="27" s="1"/>
  <c r="U195" i="27"/>
  <c r="V195" i="27" s="1"/>
  <c r="W195" i="27" s="1"/>
  <c r="T195" i="27"/>
  <c r="O195" i="27"/>
  <c r="P195" i="27" s="1"/>
  <c r="N195" i="27" s="1"/>
  <c r="L195" i="27"/>
  <c r="M195" i="27" s="1"/>
  <c r="K195" i="27" s="1"/>
  <c r="I195" i="27"/>
  <c r="J195" i="27" s="1"/>
  <c r="H195" i="27" s="1"/>
  <c r="F195" i="27"/>
  <c r="G195" i="27" s="1"/>
  <c r="E195" i="27" s="1"/>
  <c r="U194" i="27"/>
  <c r="V194" i="27" s="1"/>
  <c r="W194" i="27" s="1"/>
  <c r="T194" i="27"/>
  <c r="O194" i="27"/>
  <c r="P194" i="27" s="1"/>
  <c r="N194" i="27" s="1"/>
  <c r="L194" i="27"/>
  <c r="M194" i="27" s="1"/>
  <c r="K194" i="27" s="1"/>
  <c r="I194" i="27"/>
  <c r="J194" i="27" s="1"/>
  <c r="H194" i="27" s="1"/>
  <c r="F194" i="27"/>
  <c r="G194" i="27" s="1"/>
  <c r="E194" i="27" s="1"/>
  <c r="U192" i="27"/>
  <c r="V192" i="27" s="1"/>
  <c r="W192" i="27" s="1"/>
  <c r="T192" i="27"/>
  <c r="P192" i="27"/>
  <c r="N192" i="27" s="1"/>
  <c r="M192" i="27"/>
  <c r="K192" i="27"/>
  <c r="J192" i="27"/>
  <c r="H192" i="27" s="1"/>
  <c r="G192" i="27"/>
  <c r="E192" i="27" s="1"/>
  <c r="U191" i="27"/>
  <c r="V191" i="27" s="1"/>
  <c r="W191" i="27" s="1"/>
  <c r="T191" i="27"/>
  <c r="P191" i="27"/>
  <c r="N191" i="27"/>
  <c r="M191" i="27"/>
  <c r="K191" i="27" s="1"/>
  <c r="J191" i="27"/>
  <c r="H191" i="27" s="1"/>
  <c r="G191" i="27"/>
  <c r="E191" i="27"/>
  <c r="U190" i="27"/>
  <c r="V190" i="27" s="1"/>
  <c r="W190" i="27" s="1"/>
  <c r="T190" i="27"/>
  <c r="P190" i="27"/>
  <c r="N190" i="27" s="1"/>
  <c r="M190" i="27"/>
  <c r="K190" i="27"/>
  <c r="J190" i="27"/>
  <c r="H190" i="27" s="1"/>
  <c r="G190" i="27"/>
  <c r="E190" i="27" s="1"/>
  <c r="V188" i="27"/>
  <c r="W188" i="27" s="1"/>
  <c r="U188" i="27"/>
  <c r="T188" i="27"/>
  <c r="P188" i="27"/>
  <c r="N188" i="27" s="1"/>
  <c r="M188" i="27"/>
  <c r="K188" i="27" s="1"/>
  <c r="J188" i="27"/>
  <c r="H188" i="27" s="1"/>
  <c r="G188" i="27"/>
  <c r="E188" i="27"/>
  <c r="U187" i="27"/>
  <c r="V187" i="27" s="1"/>
  <c r="W187" i="27" s="1"/>
  <c r="T187" i="27"/>
  <c r="P187" i="27"/>
  <c r="N187" i="27" s="1"/>
  <c r="M187" i="27"/>
  <c r="K187" i="27"/>
  <c r="J187" i="27"/>
  <c r="H187" i="27" s="1"/>
  <c r="G187" i="27"/>
  <c r="E187" i="27" s="1"/>
  <c r="U186" i="27"/>
  <c r="V186" i="27" s="1"/>
  <c r="W186" i="27" s="1"/>
  <c r="T186" i="27"/>
  <c r="P186" i="27"/>
  <c r="N186" i="27"/>
  <c r="M186" i="27"/>
  <c r="K186" i="27" s="1"/>
  <c r="J186" i="27"/>
  <c r="H186" i="27" s="1"/>
  <c r="G186" i="27"/>
  <c r="E186" i="27" s="1"/>
  <c r="U185" i="27"/>
  <c r="V185" i="27" s="1"/>
  <c r="W185" i="27" s="1"/>
  <c r="T185" i="27"/>
  <c r="P185" i="27"/>
  <c r="N185" i="27" s="1"/>
  <c r="M185" i="27"/>
  <c r="K185" i="27" s="1"/>
  <c r="J185" i="27"/>
  <c r="H185" i="27" s="1"/>
  <c r="G185" i="27"/>
  <c r="E185" i="27" s="1"/>
  <c r="U184" i="27"/>
  <c r="V184" i="27" s="1"/>
  <c r="W184" i="27" s="1"/>
  <c r="T184" i="27"/>
  <c r="P184" i="27"/>
  <c r="N184" i="27"/>
  <c r="M184" i="27"/>
  <c r="K184" i="27" s="1"/>
  <c r="J184" i="27"/>
  <c r="H184" i="27" s="1"/>
  <c r="G184" i="27"/>
  <c r="E184" i="27"/>
  <c r="U183" i="27"/>
  <c r="V183" i="27" s="1"/>
  <c r="W183" i="27" s="1"/>
  <c r="T183" i="27"/>
  <c r="P183" i="27"/>
  <c r="N183" i="27" s="1"/>
  <c r="M183" i="27"/>
  <c r="K183" i="27"/>
  <c r="J183" i="27"/>
  <c r="H183" i="27"/>
  <c r="G183" i="27"/>
  <c r="E183" i="27" s="1"/>
  <c r="U182" i="27"/>
  <c r="V182" i="27" s="1"/>
  <c r="W182" i="27" s="1"/>
  <c r="T182" i="27"/>
  <c r="P182" i="27"/>
  <c r="N182" i="27" s="1"/>
  <c r="M182" i="27"/>
  <c r="K182" i="27" s="1"/>
  <c r="J182" i="27"/>
  <c r="H182" i="27" s="1"/>
  <c r="G182" i="27"/>
  <c r="E182" i="27" s="1"/>
  <c r="U181" i="27"/>
  <c r="V181" i="27" s="1"/>
  <c r="W181" i="27" s="1"/>
  <c r="T181" i="27"/>
  <c r="P181" i="27"/>
  <c r="N181" i="27" s="1"/>
  <c r="M181" i="27"/>
  <c r="K181" i="27" s="1"/>
  <c r="J181" i="27"/>
  <c r="H181" i="27" s="1"/>
  <c r="G181" i="27"/>
  <c r="E181" i="27"/>
  <c r="U180" i="27"/>
  <c r="V180" i="27" s="1"/>
  <c r="W180" i="27" s="1"/>
  <c r="T180" i="27"/>
  <c r="P180" i="27"/>
  <c r="N180" i="27" s="1"/>
  <c r="M180" i="27"/>
  <c r="K180" i="27" s="1"/>
  <c r="J180" i="27"/>
  <c r="H180" i="27" s="1"/>
  <c r="G180" i="27"/>
  <c r="E180" i="27"/>
  <c r="U179" i="27"/>
  <c r="V179" i="27" s="1"/>
  <c r="W179" i="27" s="1"/>
  <c r="T179" i="27"/>
  <c r="P179" i="27"/>
  <c r="N179" i="27" s="1"/>
  <c r="M179" i="27"/>
  <c r="K179" i="27" s="1"/>
  <c r="J179" i="27"/>
  <c r="H179" i="27"/>
  <c r="G179" i="27"/>
  <c r="E179" i="27" s="1"/>
  <c r="U178" i="27"/>
  <c r="V178" i="27" s="1"/>
  <c r="W178" i="27" s="1"/>
  <c r="T178" i="27"/>
  <c r="P178" i="27"/>
  <c r="N178" i="27"/>
  <c r="M178" i="27"/>
  <c r="K178" i="27" s="1"/>
  <c r="J178" i="27"/>
  <c r="H178" i="27" s="1"/>
  <c r="G178" i="27"/>
  <c r="E178" i="27" s="1"/>
  <c r="U177" i="27"/>
  <c r="V177" i="27" s="1"/>
  <c r="W177" i="27" s="1"/>
  <c r="T177" i="27"/>
  <c r="P177" i="27"/>
  <c r="N177" i="27" s="1"/>
  <c r="M177" i="27"/>
  <c r="K177" i="27"/>
  <c r="J177" i="27"/>
  <c r="H177" i="27" s="1"/>
  <c r="G177" i="27"/>
  <c r="E177" i="27"/>
  <c r="U176" i="27"/>
  <c r="V176" i="27" s="1"/>
  <c r="W176" i="27" s="1"/>
  <c r="T176" i="27"/>
  <c r="P176" i="27"/>
  <c r="N176" i="27" s="1"/>
  <c r="M176" i="27"/>
  <c r="K176" i="27"/>
  <c r="J176" i="27"/>
  <c r="H176" i="27" s="1"/>
  <c r="G176" i="27"/>
  <c r="E176" i="27"/>
  <c r="U175" i="27"/>
  <c r="V175" i="27" s="1"/>
  <c r="W175" i="27" s="1"/>
  <c r="T175" i="27"/>
  <c r="P175" i="27"/>
  <c r="N175" i="27" s="1"/>
  <c r="M175" i="27"/>
  <c r="K175" i="27"/>
  <c r="J175" i="27"/>
  <c r="H175" i="27"/>
  <c r="G175" i="27"/>
  <c r="E175" i="27"/>
  <c r="U174" i="27"/>
  <c r="V174" i="27" s="1"/>
  <c r="W174" i="27" s="1"/>
  <c r="T174" i="27"/>
  <c r="P174" i="27"/>
  <c r="N174" i="27"/>
  <c r="M174" i="27"/>
  <c r="K174" i="27" s="1"/>
  <c r="J174" i="27"/>
  <c r="H174" i="27" s="1"/>
  <c r="G174" i="27"/>
  <c r="E174" i="27" s="1"/>
  <c r="U173" i="27"/>
  <c r="V173" i="27" s="1"/>
  <c r="W173" i="27" s="1"/>
  <c r="T173" i="27"/>
  <c r="P173" i="27"/>
  <c r="N173" i="27" s="1"/>
  <c r="M173" i="27"/>
  <c r="K173" i="27"/>
  <c r="J173" i="27"/>
  <c r="H173" i="27" s="1"/>
  <c r="G173" i="27"/>
  <c r="E173" i="27" s="1"/>
  <c r="U171" i="27"/>
  <c r="V171" i="27" s="1"/>
  <c r="W171" i="27" s="1"/>
  <c r="T171" i="27"/>
  <c r="P171" i="27"/>
  <c r="N171" i="27" s="1"/>
  <c r="M171" i="27"/>
  <c r="K171" i="27" s="1"/>
  <c r="J171" i="27"/>
  <c r="H171" i="27" s="1"/>
  <c r="G171" i="27"/>
  <c r="E171" i="27" s="1"/>
  <c r="U169" i="27"/>
  <c r="V169" i="27" s="1"/>
  <c r="W169" i="27" s="1"/>
  <c r="T169" i="27"/>
  <c r="P169" i="27"/>
  <c r="N169" i="27" s="1"/>
  <c r="M169" i="27"/>
  <c r="K169" i="27" s="1"/>
  <c r="J169" i="27"/>
  <c r="H169" i="27" s="1"/>
  <c r="G169" i="27"/>
  <c r="E169" i="27"/>
  <c r="U168" i="27"/>
  <c r="V168" i="27" s="1"/>
  <c r="W168" i="27" s="1"/>
  <c r="T168" i="27"/>
  <c r="P168" i="27"/>
  <c r="N168" i="27" s="1"/>
  <c r="M168" i="27"/>
  <c r="K168" i="27"/>
  <c r="J168" i="27"/>
  <c r="H168" i="27" s="1"/>
  <c r="G168" i="27"/>
  <c r="E168" i="27" s="1"/>
  <c r="U167" i="27"/>
  <c r="V167" i="27" s="1"/>
  <c r="W167" i="27" s="1"/>
  <c r="T167" i="27"/>
  <c r="P167" i="27"/>
  <c r="N167" i="27" s="1"/>
  <c r="M167" i="27"/>
  <c r="K167" i="27" s="1"/>
  <c r="J167" i="27"/>
  <c r="H167" i="27" s="1"/>
  <c r="G167" i="27"/>
  <c r="E167" i="27" s="1"/>
  <c r="U166" i="27"/>
  <c r="V166" i="27" s="1"/>
  <c r="W166" i="27" s="1"/>
  <c r="T166" i="27"/>
  <c r="O166" i="27"/>
  <c r="P166" i="27" s="1"/>
  <c r="N166" i="27" s="1"/>
  <c r="L166" i="27"/>
  <c r="M166" i="27" s="1"/>
  <c r="K166" i="27" s="1"/>
  <c r="J166" i="27"/>
  <c r="H166" i="27"/>
  <c r="F166" i="27"/>
  <c r="G166" i="27" s="1"/>
  <c r="E166" i="27"/>
  <c r="U165" i="27"/>
  <c r="V165" i="27" s="1"/>
  <c r="W165" i="27" s="1"/>
  <c r="T165" i="27"/>
  <c r="O165" i="27"/>
  <c r="P165" i="27" s="1"/>
  <c r="N165" i="27" s="1"/>
  <c r="L165" i="27"/>
  <c r="M165" i="27" s="1"/>
  <c r="K165" i="27" s="1"/>
  <c r="J165" i="27"/>
  <c r="H165" i="27" s="1"/>
  <c r="F165" i="27"/>
  <c r="G165" i="27" s="1"/>
  <c r="E165" i="27" s="1"/>
  <c r="V164" i="27"/>
  <c r="W164" i="27" s="1"/>
  <c r="U164" i="27"/>
  <c r="T164" i="27"/>
  <c r="P164" i="27"/>
  <c r="N164" i="27"/>
  <c r="M164" i="27"/>
  <c r="K164" i="27" s="1"/>
  <c r="J164" i="27"/>
  <c r="H164" i="27"/>
  <c r="G164" i="27"/>
  <c r="E164" i="27" s="1"/>
  <c r="U163" i="27"/>
  <c r="V163" i="27" s="1"/>
  <c r="W163" i="27" s="1"/>
  <c r="T163" i="27"/>
  <c r="P163" i="27"/>
  <c r="N163" i="27" s="1"/>
  <c r="M163" i="27"/>
  <c r="K163" i="27" s="1"/>
  <c r="J163" i="27"/>
  <c r="H163" i="27" s="1"/>
  <c r="G163" i="27"/>
  <c r="E163" i="27"/>
  <c r="U162" i="27"/>
  <c r="V162" i="27" s="1"/>
  <c r="W162" i="27" s="1"/>
  <c r="T162" i="27"/>
  <c r="P162" i="27"/>
  <c r="N162" i="27" s="1"/>
  <c r="M162" i="27"/>
  <c r="K162" i="27" s="1"/>
  <c r="J162" i="27"/>
  <c r="H162" i="27" s="1"/>
  <c r="G162" i="27"/>
  <c r="E162" i="27" s="1"/>
  <c r="U161" i="27"/>
  <c r="V161" i="27" s="1"/>
  <c r="W161" i="27" s="1"/>
  <c r="T161" i="27"/>
  <c r="P161" i="27"/>
  <c r="N161" i="27" s="1"/>
  <c r="M161" i="27"/>
  <c r="K161" i="27" s="1"/>
  <c r="J161" i="27"/>
  <c r="H161" i="27" s="1"/>
  <c r="G161" i="27"/>
  <c r="E161" i="27" s="1"/>
  <c r="U159" i="27"/>
  <c r="V159" i="27" s="1"/>
  <c r="W159" i="27" s="1"/>
  <c r="T159" i="27"/>
  <c r="P159" i="27"/>
  <c r="N159" i="27"/>
  <c r="M159" i="27"/>
  <c r="K159" i="27"/>
  <c r="J159" i="27"/>
  <c r="H159" i="27" s="1"/>
  <c r="G159" i="27"/>
  <c r="E159" i="27" s="1"/>
  <c r="U158" i="27"/>
  <c r="V158" i="27" s="1"/>
  <c r="W158" i="27" s="1"/>
  <c r="T158" i="27"/>
  <c r="P158" i="27"/>
  <c r="N158" i="27"/>
  <c r="M158" i="27"/>
  <c r="K158" i="27" s="1"/>
  <c r="J158" i="27"/>
  <c r="H158" i="27" s="1"/>
  <c r="G158" i="27"/>
  <c r="E158" i="27"/>
  <c r="U157" i="27"/>
  <c r="V157" i="27" s="1"/>
  <c r="W157" i="27" s="1"/>
  <c r="T157" i="27"/>
  <c r="P157" i="27"/>
  <c r="N157" i="27"/>
  <c r="M157" i="27"/>
  <c r="K157" i="27" s="1"/>
  <c r="J157" i="27"/>
  <c r="H157" i="27" s="1"/>
  <c r="G157" i="27"/>
  <c r="E157" i="27" s="1"/>
  <c r="U156" i="27"/>
  <c r="V156" i="27" s="1"/>
  <c r="W156" i="27" s="1"/>
  <c r="T156" i="27"/>
  <c r="P156" i="27"/>
  <c r="N156" i="27" s="1"/>
  <c r="M156" i="27"/>
  <c r="K156" i="27" s="1"/>
  <c r="J156" i="27"/>
  <c r="H156" i="27" s="1"/>
  <c r="G156" i="27"/>
  <c r="E156" i="27" s="1"/>
  <c r="T154" i="27"/>
  <c r="R154" i="27"/>
  <c r="U154" i="27" s="1"/>
  <c r="V154" i="27" s="1"/>
  <c r="W154" i="27" s="1"/>
  <c r="P154" i="27"/>
  <c r="M154" i="27"/>
  <c r="J154" i="27"/>
  <c r="G154" i="27"/>
  <c r="T153" i="27"/>
  <c r="R153" i="27"/>
  <c r="P153" i="27"/>
  <c r="M153" i="27"/>
  <c r="J153" i="27"/>
  <c r="G153" i="27"/>
  <c r="U151" i="27"/>
  <c r="V151" i="27" s="1"/>
  <c r="W151" i="27" s="1"/>
  <c r="T151" i="27"/>
  <c r="P151" i="27"/>
  <c r="N151" i="27" s="1"/>
  <c r="M151" i="27"/>
  <c r="K151" i="27"/>
  <c r="J151" i="27"/>
  <c r="H151" i="27" s="1"/>
  <c r="G151" i="27"/>
  <c r="E151" i="27" s="1"/>
  <c r="U150" i="27"/>
  <c r="V150" i="27" s="1"/>
  <c r="W150" i="27" s="1"/>
  <c r="T150" i="27"/>
  <c r="P150" i="27"/>
  <c r="N150" i="27" s="1"/>
  <c r="M150" i="27"/>
  <c r="K150" i="27"/>
  <c r="J150" i="27"/>
  <c r="H150" i="27" s="1"/>
  <c r="G150" i="27"/>
  <c r="E150" i="27"/>
  <c r="U149" i="27"/>
  <c r="V149" i="27" s="1"/>
  <c r="W149" i="27" s="1"/>
  <c r="T149" i="27"/>
  <c r="P149" i="27"/>
  <c r="N149" i="27" s="1"/>
  <c r="M149" i="27"/>
  <c r="K149" i="27" s="1"/>
  <c r="J149" i="27"/>
  <c r="H149" i="27" s="1"/>
  <c r="G149" i="27"/>
  <c r="E149" i="27"/>
  <c r="U148" i="27"/>
  <c r="V148" i="27" s="1"/>
  <c r="W148" i="27" s="1"/>
  <c r="T148" i="27"/>
  <c r="P148" i="27"/>
  <c r="N148" i="27" s="1"/>
  <c r="M148" i="27"/>
  <c r="K148" i="27" s="1"/>
  <c r="J148" i="27"/>
  <c r="H148" i="27"/>
  <c r="G148" i="27"/>
  <c r="E148" i="27" s="1"/>
  <c r="U147" i="27"/>
  <c r="V147" i="27" s="1"/>
  <c r="W147" i="27" s="1"/>
  <c r="T147" i="27"/>
  <c r="P147" i="27"/>
  <c r="N147" i="27" s="1"/>
  <c r="M147" i="27"/>
  <c r="K147" i="27" s="1"/>
  <c r="J147" i="27"/>
  <c r="H147" i="27" s="1"/>
  <c r="G147" i="27"/>
  <c r="E147" i="27"/>
  <c r="U146" i="27"/>
  <c r="V146" i="27" s="1"/>
  <c r="W146" i="27" s="1"/>
  <c r="T146" i="27"/>
  <c r="P146" i="27"/>
  <c r="N146" i="27" s="1"/>
  <c r="M146" i="27"/>
  <c r="K146" i="27" s="1"/>
  <c r="J146" i="27"/>
  <c r="H146" i="27"/>
  <c r="G146" i="27"/>
  <c r="E146" i="27" s="1"/>
  <c r="U145" i="27"/>
  <c r="V145" i="27" s="1"/>
  <c r="W145" i="27" s="1"/>
  <c r="T145" i="27"/>
  <c r="P145" i="27"/>
  <c r="N145" i="27" s="1"/>
  <c r="M145" i="27"/>
  <c r="K145" i="27" s="1"/>
  <c r="J145" i="27"/>
  <c r="H145" i="27" s="1"/>
  <c r="G145" i="27"/>
  <c r="E145" i="27" s="1"/>
  <c r="U143" i="27"/>
  <c r="V143" i="27" s="1"/>
  <c r="W143" i="27" s="1"/>
  <c r="T143" i="27"/>
  <c r="P143" i="27"/>
  <c r="N143" i="27" s="1"/>
  <c r="M143" i="27"/>
  <c r="K143" i="27" s="1"/>
  <c r="J143" i="27"/>
  <c r="H143" i="27" s="1"/>
  <c r="G143" i="27"/>
  <c r="E143" i="27" s="1"/>
  <c r="U142" i="27"/>
  <c r="V142" i="27" s="1"/>
  <c r="W142" i="27" s="1"/>
  <c r="T142" i="27"/>
  <c r="P142" i="27"/>
  <c r="N142" i="27"/>
  <c r="M142" i="27"/>
  <c r="K142" i="27" s="1"/>
  <c r="J142" i="27"/>
  <c r="H142" i="27" s="1"/>
  <c r="G142" i="27"/>
  <c r="E142" i="27"/>
  <c r="V141" i="27"/>
  <c r="W141" i="27" s="1"/>
  <c r="U141" i="27"/>
  <c r="T141" i="27"/>
  <c r="P141" i="27"/>
  <c r="N141" i="27" s="1"/>
  <c r="M141" i="27"/>
  <c r="K141" i="27" s="1"/>
  <c r="J141" i="27"/>
  <c r="H141" i="27"/>
  <c r="G141" i="27"/>
  <c r="E141" i="27" s="1"/>
  <c r="U140" i="27"/>
  <c r="V140" i="27" s="1"/>
  <c r="W140" i="27" s="1"/>
  <c r="T140" i="27"/>
  <c r="O140" i="27"/>
  <c r="P140" i="27" s="1"/>
  <c r="N140" i="27"/>
  <c r="L140" i="27"/>
  <c r="M140" i="27" s="1"/>
  <c r="K140" i="27" s="1"/>
  <c r="J140" i="27"/>
  <c r="H140" i="27"/>
  <c r="F140" i="27"/>
  <c r="G140" i="27" s="1"/>
  <c r="E140" i="27" s="1"/>
  <c r="U139" i="27"/>
  <c r="V139" i="27" s="1"/>
  <c r="W139" i="27" s="1"/>
  <c r="T139" i="27"/>
  <c r="O139" i="27"/>
  <c r="P139" i="27" s="1"/>
  <c r="N139" i="27" s="1"/>
  <c r="L139" i="27"/>
  <c r="M139" i="27" s="1"/>
  <c r="K139" i="27" s="1"/>
  <c r="J139" i="27"/>
  <c r="H139" i="27" s="1"/>
  <c r="F139" i="27"/>
  <c r="G139" i="27" s="1"/>
  <c r="E139" i="27" s="1"/>
  <c r="U138" i="27"/>
  <c r="V138" i="27" s="1"/>
  <c r="W138" i="27" s="1"/>
  <c r="T138" i="27"/>
  <c r="O138" i="27"/>
  <c r="P138" i="27" s="1"/>
  <c r="N138" i="27" s="1"/>
  <c r="L138" i="27"/>
  <c r="M138" i="27" s="1"/>
  <c r="K138" i="27" s="1"/>
  <c r="J138" i="27"/>
  <c r="H138" i="27" s="1"/>
  <c r="F138" i="27"/>
  <c r="G138" i="27" s="1"/>
  <c r="E138" i="27" s="1"/>
  <c r="U137" i="27"/>
  <c r="V137" i="27" s="1"/>
  <c r="W137" i="27" s="1"/>
  <c r="T137" i="27"/>
  <c r="O137" i="27"/>
  <c r="P137" i="27" s="1"/>
  <c r="N137" i="27" s="1"/>
  <c r="L137" i="27"/>
  <c r="M137" i="27" s="1"/>
  <c r="K137" i="27"/>
  <c r="J137" i="27"/>
  <c r="H137" i="27"/>
  <c r="F137" i="27"/>
  <c r="G137" i="27" s="1"/>
  <c r="E137" i="27" s="1"/>
  <c r="U136" i="27"/>
  <c r="V136" i="27" s="1"/>
  <c r="W136" i="27" s="1"/>
  <c r="T136" i="27"/>
  <c r="O136" i="27"/>
  <c r="P136" i="27" s="1"/>
  <c r="N136" i="27" s="1"/>
  <c r="L136" i="27"/>
  <c r="M136" i="27" s="1"/>
  <c r="K136" i="27" s="1"/>
  <c r="I136" i="27"/>
  <c r="J136" i="27" s="1"/>
  <c r="H136" i="27" s="1"/>
  <c r="G136" i="27"/>
  <c r="E136" i="27" s="1"/>
  <c r="F136" i="27"/>
  <c r="U135" i="27"/>
  <c r="V135" i="27" s="1"/>
  <c r="W135" i="27" s="1"/>
  <c r="T135" i="27"/>
  <c r="P135" i="27"/>
  <c r="N135" i="27" s="1"/>
  <c r="O135" i="27"/>
  <c r="L135" i="27"/>
  <c r="M135" i="27" s="1"/>
  <c r="K135" i="27" s="1"/>
  <c r="I135" i="27"/>
  <c r="J135" i="27" s="1"/>
  <c r="H135" i="27" s="1"/>
  <c r="F135" i="27"/>
  <c r="G135" i="27" s="1"/>
  <c r="E135" i="27" s="1"/>
  <c r="U134" i="27"/>
  <c r="V134" i="27" s="1"/>
  <c r="W134" i="27" s="1"/>
  <c r="T134" i="27"/>
  <c r="P134" i="27"/>
  <c r="N134" i="27" s="1"/>
  <c r="O134" i="27"/>
  <c r="L134" i="27"/>
  <c r="M134" i="27" s="1"/>
  <c r="K134" i="27" s="1"/>
  <c r="I134" i="27"/>
  <c r="J134" i="27" s="1"/>
  <c r="H134" i="27" s="1"/>
  <c r="F134" i="27"/>
  <c r="G134" i="27" s="1"/>
  <c r="E134" i="27" s="1"/>
  <c r="T132" i="27"/>
  <c r="R132" i="27"/>
  <c r="P132" i="27"/>
  <c r="M132" i="27"/>
  <c r="J132" i="27"/>
  <c r="G132" i="27"/>
  <c r="T131" i="27"/>
  <c r="R131" i="27"/>
  <c r="P131" i="27"/>
  <c r="M131" i="27"/>
  <c r="J131" i="27"/>
  <c r="G131" i="27"/>
  <c r="T130" i="27"/>
  <c r="R130" i="27"/>
  <c r="U130" i="27" s="1"/>
  <c r="V130" i="27" s="1"/>
  <c r="W130" i="27" s="1"/>
  <c r="P130" i="27"/>
  <c r="M130" i="27"/>
  <c r="J130" i="27"/>
  <c r="H130" i="27"/>
  <c r="G130" i="27"/>
  <c r="T129" i="27"/>
  <c r="R129" i="27"/>
  <c r="H129" i="27" s="1"/>
  <c r="P129" i="27"/>
  <c r="M129" i="27"/>
  <c r="J129" i="27"/>
  <c r="G129" i="27"/>
  <c r="U128" i="27"/>
  <c r="V128" i="27" s="1"/>
  <c r="W128" i="27" s="1"/>
  <c r="T128" i="27"/>
  <c r="R128" i="27"/>
  <c r="P128" i="27"/>
  <c r="N128" i="27" s="1"/>
  <c r="M128" i="27"/>
  <c r="J128" i="27"/>
  <c r="G128" i="27"/>
  <c r="T127" i="27"/>
  <c r="R127" i="27"/>
  <c r="U127" i="27" s="1"/>
  <c r="V127" i="27" s="1"/>
  <c r="W127" i="27" s="1"/>
  <c r="P127" i="27"/>
  <c r="M127" i="27"/>
  <c r="K127" i="27"/>
  <c r="J127" i="27"/>
  <c r="G127" i="27"/>
  <c r="T126" i="27"/>
  <c r="R126" i="27"/>
  <c r="E126" i="27" s="1"/>
  <c r="P126" i="27"/>
  <c r="M126" i="27"/>
  <c r="J126" i="27"/>
  <c r="G126" i="27"/>
  <c r="T124" i="27"/>
  <c r="R124" i="27"/>
  <c r="K124" i="27" s="1"/>
  <c r="P124" i="27"/>
  <c r="N124" i="27"/>
  <c r="M124" i="27"/>
  <c r="J124" i="27"/>
  <c r="G124" i="27"/>
  <c r="T123" i="27"/>
  <c r="R123" i="27"/>
  <c r="U123" i="27" s="1"/>
  <c r="V123" i="27" s="1"/>
  <c r="W123" i="27" s="1"/>
  <c r="P123" i="27"/>
  <c r="M123" i="27"/>
  <c r="J123" i="27"/>
  <c r="G123" i="27"/>
  <c r="T122" i="27"/>
  <c r="R122" i="27"/>
  <c r="P122" i="27"/>
  <c r="N122" i="27" s="1"/>
  <c r="M122" i="27"/>
  <c r="J122" i="27"/>
  <c r="G122" i="27"/>
  <c r="U121" i="27"/>
  <c r="V121" i="27" s="1"/>
  <c r="W121" i="27" s="1"/>
  <c r="T121" i="27"/>
  <c r="R121" i="27"/>
  <c r="P121" i="27"/>
  <c r="N121" i="27" s="1"/>
  <c r="M121" i="27"/>
  <c r="J121" i="27"/>
  <c r="H121" i="27" s="1"/>
  <c r="G121" i="27"/>
  <c r="E121" i="27" s="1"/>
  <c r="T120" i="27"/>
  <c r="R120" i="27"/>
  <c r="K120" i="27" s="1"/>
  <c r="P120" i="27"/>
  <c r="M120" i="27"/>
  <c r="J120" i="27"/>
  <c r="G120" i="27"/>
  <c r="T119" i="27"/>
  <c r="R119" i="27"/>
  <c r="P119" i="27"/>
  <c r="N119" i="27" s="1"/>
  <c r="M119" i="27"/>
  <c r="J119" i="27"/>
  <c r="G119" i="27"/>
  <c r="T118" i="27"/>
  <c r="R118" i="27"/>
  <c r="K118" i="27" s="1"/>
  <c r="P118" i="27"/>
  <c r="N118" i="27" s="1"/>
  <c r="M118" i="27"/>
  <c r="J118" i="27"/>
  <c r="G118" i="27"/>
  <c r="T117" i="27"/>
  <c r="R117" i="27"/>
  <c r="P117" i="27"/>
  <c r="N117" i="27" s="1"/>
  <c r="M117" i="27"/>
  <c r="J117" i="27"/>
  <c r="G117" i="27"/>
  <c r="T116" i="27"/>
  <c r="R116" i="27"/>
  <c r="P116" i="27"/>
  <c r="M116" i="27"/>
  <c r="J116" i="27"/>
  <c r="G116" i="27"/>
  <c r="T115" i="27"/>
  <c r="R115" i="27"/>
  <c r="P115" i="27"/>
  <c r="M115" i="27"/>
  <c r="J115" i="27"/>
  <c r="H115" i="27" s="1"/>
  <c r="G115" i="27"/>
  <c r="U114" i="27"/>
  <c r="V114" i="27" s="1"/>
  <c r="W114" i="27" s="1"/>
  <c r="T114" i="27"/>
  <c r="R114" i="27"/>
  <c r="P114" i="27"/>
  <c r="N114" i="27"/>
  <c r="M114" i="27"/>
  <c r="J114" i="27"/>
  <c r="H114" i="27" s="1"/>
  <c r="G114" i="27"/>
  <c r="E114" i="27"/>
  <c r="T113" i="27"/>
  <c r="R113" i="27"/>
  <c r="P113" i="27"/>
  <c r="M113" i="27"/>
  <c r="J113" i="27"/>
  <c r="G113" i="27"/>
  <c r="T112" i="27"/>
  <c r="R112" i="27"/>
  <c r="K112" i="27" s="1"/>
  <c r="P112" i="27"/>
  <c r="M112" i="27"/>
  <c r="J112" i="27"/>
  <c r="G112" i="27"/>
  <c r="T111" i="27"/>
  <c r="R111" i="27"/>
  <c r="U111" i="27" s="1"/>
  <c r="V111" i="27" s="1"/>
  <c r="W111" i="27" s="1"/>
  <c r="P111" i="27"/>
  <c r="N111" i="27" s="1"/>
  <c r="M111" i="27"/>
  <c r="J111" i="27"/>
  <c r="G111" i="27"/>
  <c r="T110" i="27"/>
  <c r="R110" i="27"/>
  <c r="H110" i="27" s="1"/>
  <c r="P110" i="27"/>
  <c r="N110" i="27" s="1"/>
  <c r="M110" i="27"/>
  <c r="K110" i="27"/>
  <c r="J110" i="27"/>
  <c r="G110" i="27"/>
  <c r="T109" i="27"/>
  <c r="R109" i="27"/>
  <c r="P109" i="27"/>
  <c r="M109" i="27"/>
  <c r="J109" i="27"/>
  <c r="G109" i="27"/>
  <c r="T108" i="27"/>
  <c r="R108" i="27"/>
  <c r="P108" i="27"/>
  <c r="N108" i="27" s="1"/>
  <c r="M108" i="27"/>
  <c r="J108" i="27"/>
  <c r="G108" i="27"/>
  <c r="U106" i="27"/>
  <c r="V106" i="27" s="1"/>
  <c r="W106" i="27" s="1"/>
  <c r="T106" i="27"/>
  <c r="O106" i="27"/>
  <c r="P106" i="27" s="1"/>
  <c r="N106" i="27" s="1"/>
  <c r="L106" i="27"/>
  <c r="M106" i="27" s="1"/>
  <c r="K106" i="27" s="1"/>
  <c r="J106" i="27"/>
  <c r="H106" i="27" s="1"/>
  <c r="G106" i="27"/>
  <c r="E106" i="27" s="1"/>
  <c r="F106" i="27"/>
  <c r="U105" i="27"/>
  <c r="V105" i="27" s="1"/>
  <c r="W105" i="27" s="1"/>
  <c r="T105" i="27"/>
  <c r="O105" i="27"/>
  <c r="P105" i="27" s="1"/>
  <c r="N105" i="27" s="1"/>
  <c r="L105" i="27"/>
  <c r="M105" i="27" s="1"/>
  <c r="K105" i="27" s="1"/>
  <c r="J105" i="27"/>
  <c r="H105" i="27" s="1"/>
  <c r="F105" i="27"/>
  <c r="G105" i="27" s="1"/>
  <c r="E105" i="27" s="1"/>
  <c r="V104" i="27"/>
  <c r="W104" i="27" s="1"/>
  <c r="U104" i="27"/>
  <c r="T104" i="27"/>
  <c r="P104" i="27"/>
  <c r="N104" i="27"/>
  <c r="M104" i="27"/>
  <c r="K104" i="27" s="1"/>
  <c r="J104" i="27"/>
  <c r="H104" i="27"/>
  <c r="G104" i="27"/>
  <c r="E104" i="27" s="1"/>
  <c r="U103" i="27"/>
  <c r="V103" i="27" s="1"/>
  <c r="W103" i="27" s="1"/>
  <c r="T103" i="27"/>
  <c r="P103" i="27"/>
  <c r="N103" i="27"/>
  <c r="M103" i="27"/>
  <c r="K103" i="27" s="1"/>
  <c r="J103" i="27"/>
  <c r="H103" i="27" s="1"/>
  <c r="G103" i="27"/>
  <c r="E103" i="27" s="1"/>
  <c r="U102" i="27"/>
  <c r="V102" i="27" s="1"/>
  <c r="W102" i="27" s="1"/>
  <c r="T102" i="27"/>
  <c r="P102" i="27"/>
  <c r="N102" i="27" s="1"/>
  <c r="M102" i="27"/>
  <c r="K102" i="27" s="1"/>
  <c r="J102" i="27"/>
  <c r="H102" i="27" s="1"/>
  <c r="G102" i="27"/>
  <c r="E102" i="27"/>
  <c r="U101" i="27"/>
  <c r="V101" i="27" s="1"/>
  <c r="W101" i="27" s="1"/>
  <c r="T101" i="27"/>
  <c r="R101" i="27"/>
  <c r="P101" i="27"/>
  <c r="M101" i="27"/>
  <c r="J101" i="27"/>
  <c r="G101" i="27"/>
  <c r="E101" i="27" s="1"/>
  <c r="T100" i="27"/>
  <c r="R100" i="27"/>
  <c r="E100" i="27" s="1"/>
  <c r="P100" i="27"/>
  <c r="M100" i="27"/>
  <c r="J100" i="27"/>
  <c r="G100" i="27"/>
  <c r="T99" i="27"/>
  <c r="R99" i="27"/>
  <c r="P99" i="27"/>
  <c r="N99" i="27" s="1"/>
  <c r="M99" i="27"/>
  <c r="J99" i="27"/>
  <c r="G99" i="27"/>
  <c r="E99" i="27" s="1"/>
  <c r="T98" i="27"/>
  <c r="R98" i="27"/>
  <c r="P98" i="27"/>
  <c r="M98" i="27"/>
  <c r="J98" i="27"/>
  <c r="G98" i="27"/>
  <c r="T97" i="27"/>
  <c r="R97" i="27"/>
  <c r="P97" i="27"/>
  <c r="N97" i="27"/>
  <c r="M97" i="27"/>
  <c r="J97" i="27"/>
  <c r="G97" i="27"/>
  <c r="E97" i="27"/>
  <c r="T96" i="27"/>
  <c r="R96" i="27"/>
  <c r="P96" i="27"/>
  <c r="N96" i="27"/>
  <c r="M96" i="27"/>
  <c r="J96" i="27"/>
  <c r="G96" i="27"/>
  <c r="T95" i="27"/>
  <c r="R95" i="27"/>
  <c r="P95" i="27"/>
  <c r="N95" i="27" s="1"/>
  <c r="M95" i="27"/>
  <c r="J95" i="27"/>
  <c r="G95" i="27"/>
  <c r="T94" i="27"/>
  <c r="R94" i="27"/>
  <c r="P94" i="27"/>
  <c r="N94" i="27" s="1"/>
  <c r="M94" i="27"/>
  <c r="J94" i="27"/>
  <c r="G94" i="27"/>
  <c r="U93" i="27"/>
  <c r="V93" i="27" s="1"/>
  <c r="W93" i="27" s="1"/>
  <c r="T93" i="27"/>
  <c r="R93" i="27"/>
  <c r="P93" i="27"/>
  <c r="N93" i="27" s="1"/>
  <c r="M93" i="27"/>
  <c r="J93" i="27"/>
  <c r="H93" i="27"/>
  <c r="G93" i="27"/>
  <c r="E93" i="27" s="1"/>
  <c r="T92" i="27"/>
  <c r="R92" i="27"/>
  <c r="P92" i="27"/>
  <c r="N92" i="27" s="1"/>
  <c r="M92" i="27"/>
  <c r="J92" i="27"/>
  <c r="G92" i="27"/>
  <c r="T91" i="27"/>
  <c r="R91" i="27"/>
  <c r="N91" i="27" s="1"/>
  <c r="P91" i="27"/>
  <c r="M91" i="27"/>
  <c r="K91" i="27"/>
  <c r="J91" i="27"/>
  <c r="G91" i="27"/>
  <c r="E91" i="27" s="1"/>
  <c r="T90" i="27"/>
  <c r="R90" i="27"/>
  <c r="P90" i="27"/>
  <c r="M90" i="27"/>
  <c r="J90" i="27"/>
  <c r="G90" i="27"/>
  <c r="T89" i="27"/>
  <c r="R89" i="27"/>
  <c r="E89" i="27" s="1"/>
  <c r="P89" i="27"/>
  <c r="M89" i="27"/>
  <c r="J89" i="27"/>
  <c r="G89" i="27"/>
  <c r="T88" i="27"/>
  <c r="R88" i="27"/>
  <c r="P88" i="27"/>
  <c r="M88" i="27"/>
  <c r="J88" i="27"/>
  <c r="G88" i="27"/>
  <c r="T87" i="27"/>
  <c r="R87" i="27"/>
  <c r="P87" i="27"/>
  <c r="M87" i="27"/>
  <c r="J87" i="27"/>
  <c r="H87" i="27"/>
  <c r="G87" i="27"/>
  <c r="T86" i="27"/>
  <c r="R86" i="27"/>
  <c r="U86" i="27" s="1"/>
  <c r="V86" i="27" s="1"/>
  <c r="W86" i="27" s="1"/>
  <c r="P86" i="27"/>
  <c r="N86" i="27"/>
  <c r="M86" i="27"/>
  <c r="J86" i="27"/>
  <c r="H86" i="27" s="1"/>
  <c r="G86" i="27"/>
  <c r="T85" i="27"/>
  <c r="R85" i="27"/>
  <c r="P85" i="27"/>
  <c r="M85" i="27"/>
  <c r="J85" i="27"/>
  <c r="G85" i="27"/>
  <c r="T84" i="27"/>
  <c r="R84" i="27"/>
  <c r="P84" i="27"/>
  <c r="N84" i="27" s="1"/>
  <c r="M84" i="27"/>
  <c r="J84" i="27"/>
  <c r="G84" i="27"/>
  <c r="U83" i="27"/>
  <c r="V83" i="27" s="1"/>
  <c r="W83" i="27" s="1"/>
  <c r="T83" i="27"/>
  <c r="R83" i="27"/>
  <c r="P83" i="27"/>
  <c r="N83" i="27" s="1"/>
  <c r="M83" i="27"/>
  <c r="J83" i="27"/>
  <c r="H83" i="27" s="1"/>
  <c r="G83" i="27"/>
  <c r="T82" i="27"/>
  <c r="R82" i="27"/>
  <c r="K82" i="27" s="1"/>
  <c r="P82" i="27"/>
  <c r="M82" i="27"/>
  <c r="J82" i="27"/>
  <c r="G82" i="27"/>
  <c r="T81" i="27"/>
  <c r="R81" i="27"/>
  <c r="N81" i="27" s="1"/>
  <c r="P81" i="27"/>
  <c r="M81" i="27"/>
  <c r="J81" i="27"/>
  <c r="G81" i="27"/>
  <c r="T80" i="27"/>
  <c r="R80" i="27"/>
  <c r="P80" i="27"/>
  <c r="N80" i="27" s="1"/>
  <c r="M80" i="27"/>
  <c r="J80" i="27"/>
  <c r="G80" i="27"/>
  <c r="T79" i="27"/>
  <c r="R79" i="27"/>
  <c r="P79" i="27"/>
  <c r="M79" i="27"/>
  <c r="J79" i="27"/>
  <c r="G79" i="27"/>
  <c r="T78" i="27"/>
  <c r="R78" i="27"/>
  <c r="P78" i="27"/>
  <c r="M78" i="27"/>
  <c r="J78" i="27"/>
  <c r="G78" i="27"/>
  <c r="U77" i="27"/>
  <c r="V77" i="27" s="1"/>
  <c r="W77" i="27" s="1"/>
  <c r="T77" i="27"/>
  <c r="R77" i="27"/>
  <c r="P77" i="27"/>
  <c r="N77" i="27" s="1"/>
  <c r="M77" i="27"/>
  <c r="J77" i="27"/>
  <c r="H77" i="27" s="1"/>
  <c r="G77" i="27"/>
  <c r="T76" i="27"/>
  <c r="R76" i="27"/>
  <c r="P76" i="27"/>
  <c r="N76" i="27" s="1"/>
  <c r="M76" i="27"/>
  <c r="J76" i="27"/>
  <c r="G76" i="27"/>
  <c r="T75" i="27"/>
  <c r="R75" i="27"/>
  <c r="K75" i="27" s="1"/>
  <c r="P75" i="27"/>
  <c r="N75" i="27" s="1"/>
  <c r="M75" i="27"/>
  <c r="J75" i="27"/>
  <c r="G75" i="27"/>
  <c r="T74" i="27"/>
  <c r="R74" i="27"/>
  <c r="K74" i="27" s="1"/>
  <c r="P74" i="27"/>
  <c r="N74" i="27"/>
  <c r="M74" i="27"/>
  <c r="J74" i="27"/>
  <c r="G74" i="27"/>
  <c r="T73" i="27"/>
  <c r="R73" i="27"/>
  <c r="P73" i="27"/>
  <c r="N73" i="27" s="1"/>
  <c r="M73" i="27"/>
  <c r="J73" i="27"/>
  <c r="G73" i="27"/>
  <c r="T72" i="27"/>
  <c r="R72" i="27"/>
  <c r="P72" i="27"/>
  <c r="M72" i="27"/>
  <c r="J72" i="27"/>
  <c r="G72" i="27"/>
  <c r="T71" i="27"/>
  <c r="R71" i="27"/>
  <c r="U71" i="27" s="1"/>
  <c r="V71" i="27" s="1"/>
  <c r="W71" i="27" s="1"/>
  <c r="P71" i="27"/>
  <c r="N71" i="27" s="1"/>
  <c r="M71" i="27"/>
  <c r="J71" i="27"/>
  <c r="G71" i="27"/>
  <c r="T70" i="27"/>
  <c r="R70" i="27"/>
  <c r="P70" i="27"/>
  <c r="M70" i="27"/>
  <c r="J70" i="27"/>
  <c r="G70" i="27"/>
  <c r="T69" i="27"/>
  <c r="R69" i="27"/>
  <c r="K69" i="27" s="1"/>
  <c r="P69" i="27"/>
  <c r="M69" i="27"/>
  <c r="J69" i="27"/>
  <c r="G69" i="27"/>
  <c r="T67" i="27"/>
  <c r="R67" i="27"/>
  <c r="E67" i="27" s="1"/>
  <c r="P67" i="27"/>
  <c r="N67" i="27" s="1"/>
  <c r="M67" i="27"/>
  <c r="J67" i="27"/>
  <c r="G67" i="27"/>
  <c r="R65" i="27"/>
  <c r="P65" i="27"/>
  <c r="M65" i="27"/>
  <c r="J65" i="27"/>
  <c r="G65" i="27"/>
  <c r="R64" i="27"/>
  <c r="P64" i="27"/>
  <c r="M64" i="27"/>
  <c r="J64" i="27"/>
  <c r="G64" i="27"/>
  <c r="R63" i="27"/>
  <c r="P63" i="27"/>
  <c r="M63" i="27"/>
  <c r="J63" i="27"/>
  <c r="G63" i="27"/>
  <c r="R62" i="27"/>
  <c r="U62" i="27" s="1"/>
  <c r="V62" i="27" s="1"/>
  <c r="W62" i="27" s="1"/>
  <c r="P62" i="27"/>
  <c r="M62" i="27"/>
  <c r="K62" i="27"/>
  <c r="J62" i="27"/>
  <c r="H62" i="27" s="1"/>
  <c r="G62" i="27"/>
  <c r="R61" i="27"/>
  <c r="K61" i="27" s="1"/>
  <c r="P61" i="27"/>
  <c r="M61" i="27"/>
  <c r="J61" i="27"/>
  <c r="G61" i="27"/>
  <c r="R60" i="27"/>
  <c r="K60" i="27" s="1"/>
  <c r="P60" i="27"/>
  <c r="M60" i="27"/>
  <c r="J60" i="27"/>
  <c r="G60" i="27"/>
  <c r="R59" i="27"/>
  <c r="P59" i="27"/>
  <c r="M59" i="27"/>
  <c r="J59" i="27"/>
  <c r="G59" i="27"/>
  <c r="R58" i="27"/>
  <c r="H58" i="27" s="1"/>
  <c r="P58" i="27"/>
  <c r="M58" i="27"/>
  <c r="J58" i="27"/>
  <c r="G58" i="27"/>
  <c r="R57" i="27"/>
  <c r="E57" i="27" s="1"/>
  <c r="P57" i="27"/>
  <c r="M57" i="27"/>
  <c r="J57" i="27"/>
  <c r="G57" i="27"/>
  <c r="R56" i="27"/>
  <c r="U56" i="27" s="1"/>
  <c r="V56" i="27" s="1"/>
  <c r="W56" i="27" s="1"/>
  <c r="P56" i="27"/>
  <c r="M56" i="27"/>
  <c r="J56" i="27"/>
  <c r="H56" i="27" s="1"/>
  <c r="G56" i="27"/>
  <c r="R55" i="27"/>
  <c r="P55" i="27"/>
  <c r="N55" i="27" s="1"/>
  <c r="M55" i="27"/>
  <c r="K55" i="27"/>
  <c r="J55" i="27"/>
  <c r="G55" i="27"/>
  <c r="R54" i="27"/>
  <c r="P54" i="27"/>
  <c r="N54" i="27" s="1"/>
  <c r="M54" i="27"/>
  <c r="J54" i="27"/>
  <c r="G54" i="27"/>
  <c r="R53" i="27"/>
  <c r="P53" i="27"/>
  <c r="M53" i="27"/>
  <c r="J53" i="27"/>
  <c r="G53" i="27"/>
  <c r="R52" i="27"/>
  <c r="P52" i="27"/>
  <c r="M52" i="27"/>
  <c r="J52" i="27"/>
  <c r="H52" i="27" s="1"/>
  <c r="G52" i="27"/>
  <c r="E52" i="27"/>
  <c r="R51" i="27"/>
  <c r="P51" i="27"/>
  <c r="M51" i="27"/>
  <c r="K51" i="27"/>
  <c r="J51" i="27"/>
  <c r="G51" i="27"/>
  <c r="E51" i="27"/>
  <c r="T49" i="27"/>
  <c r="R49" i="27"/>
  <c r="P49" i="27"/>
  <c r="N49" i="27" s="1"/>
  <c r="M49" i="27"/>
  <c r="J49" i="27"/>
  <c r="G49" i="27"/>
  <c r="T48" i="27"/>
  <c r="R48" i="27"/>
  <c r="K48" i="27" s="1"/>
  <c r="P48" i="27"/>
  <c r="N48" i="27" s="1"/>
  <c r="M48" i="27"/>
  <c r="J48" i="27"/>
  <c r="G48" i="27"/>
  <c r="T47" i="27"/>
  <c r="R47" i="27"/>
  <c r="P47" i="27"/>
  <c r="N47" i="27" s="1"/>
  <c r="M47" i="27"/>
  <c r="J47" i="27"/>
  <c r="G47" i="27"/>
  <c r="T46" i="27"/>
  <c r="R46" i="27"/>
  <c r="K46" i="27" s="1"/>
  <c r="P46" i="27"/>
  <c r="N46" i="27" s="1"/>
  <c r="M46" i="27"/>
  <c r="J46" i="27"/>
  <c r="G46" i="27"/>
  <c r="U44" i="27"/>
  <c r="V44" i="27" s="1"/>
  <c r="W44" i="27" s="1"/>
  <c r="T44" i="27"/>
  <c r="P44" i="27"/>
  <c r="N44" i="27" s="1"/>
  <c r="M44" i="27"/>
  <c r="K44" i="27" s="1"/>
  <c r="J44" i="27"/>
  <c r="H44" i="27" s="1"/>
  <c r="G44" i="27"/>
  <c r="E44" i="27"/>
  <c r="U43" i="27"/>
  <c r="V43" i="27" s="1"/>
  <c r="W43" i="27" s="1"/>
  <c r="T43" i="27"/>
  <c r="P43" i="27"/>
  <c r="N43" i="27" s="1"/>
  <c r="M43" i="27"/>
  <c r="K43" i="27" s="1"/>
  <c r="J43" i="27"/>
  <c r="H43" i="27"/>
  <c r="G43" i="27"/>
  <c r="E43" i="27" s="1"/>
  <c r="U42" i="27"/>
  <c r="V42" i="27" s="1"/>
  <c r="W42" i="27" s="1"/>
  <c r="T42" i="27"/>
  <c r="P42" i="27"/>
  <c r="N42" i="27" s="1"/>
  <c r="M42" i="27"/>
  <c r="K42" i="27"/>
  <c r="J42" i="27"/>
  <c r="H42" i="27" s="1"/>
  <c r="G42" i="27"/>
  <c r="E42" i="27"/>
  <c r="U41" i="27"/>
  <c r="V41" i="27" s="1"/>
  <c r="W41" i="27" s="1"/>
  <c r="T41" i="27"/>
  <c r="P41" i="27"/>
  <c r="N41" i="27" s="1"/>
  <c r="M41" i="27"/>
  <c r="K41" i="27"/>
  <c r="J41" i="27"/>
  <c r="H41" i="27" s="1"/>
  <c r="G41" i="27"/>
  <c r="E41" i="27"/>
  <c r="U40" i="27"/>
  <c r="V40" i="27" s="1"/>
  <c r="W40" i="27" s="1"/>
  <c r="T40" i="27"/>
  <c r="P40" i="27"/>
  <c r="N40" i="27" s="1"/>
  <c r="M40" i="27"/>
  <c r="K40" i="27"/>
  <c r="J40" i="27"/>
  <c r="H40" i="27" s="1"/>
  <c r="G40" i="27"/>
  <c r="E40" i="27"/>
  <c r="U39" i="27"/>
  <c r="V39" i="27" s="1"/>
  <c r="W39" i="27" s="1"/>
  <c r="T39" i="27"/>
  <c r="P39" i="27"/>
  <c r="N39" i="27" s="1"/>
  <c r="M39" i="27"/>
  <c r="K39" i="27" s="1"/>
  <c r="J39" i="27"/>
  <c r="H39" i="27"/>
  <c r="G39" i="27"/>
  <c r="E39" i="27" s="1"/>
  <c r="U38" i="27"/>
  <c r="V38" i="27" s="1"/>
  <c r="W38" i="27" s="1"/>
  <c r="T38" i="27"/>
  <c r="P38" i="27"/>
  <c r="N38" i="27" s="1"/>
  <c r="M38" i="27"/>
  <c r="K38" i="27" s="1"/>
  <c r="J38" i="27"/>
  <c r="H38" i="27" s="1"/>
  <c r="G38" i="27"/>
  <c r="E38" i="27" s="1"/>
  <c r="U37" i="27"/>
  <c r="V37" i="27" s="1"/>
  <c r="W37" i="27" s="1"/>
  <c r="T37" i="27"/>
  <c r="P37" i="27"/>
  <c r="N37" i="27" s="1"/>
  <c r="M37" i="27"/>
  <c r="K37" i="27" s="1"/>
  <c r="J37" i="27"/>
  <c r="H37" i="27" s="1"/>
  <c r="G37" i="27"/>
  <c r="E37" i="27" s="1"/>
  <c r="U36" i="27"/>
  <c r="V36" i="27" s="1"/>
  <c r="W36" i="27" s="1"/>
  <c r="T36" i="27"/>
  <c r="P36" i="27"/>
  <c r="N36" i="27" s="1"/>
  <c r="M36" i="27"/>
  <c r="K36" i="27" s="1"/>
  <c r="J36" i="27"/>
  <c r="H36" i="27" s="1"/>
  <c r="G36" i="27"/>
  <c r="E36" i="27"/>
  <c r="U35" i="27"/>
  <c r="V35" i="27" s="1"/>
  <c r="W35" i="27" s="1"/>
  <c r="T35" i="27"/>
  <c r="P35" i="27"/>
  <c r="N35" i="27" s="1"/>
  <c r="M35" i="27"/>
  <c r="K35" i="27" s="1"/>
  <c r="J35" i="27"/>
  <c r="H35" i="27" s="1"/>
  <c r="G35" i="27"/>
  <c r="E35" i="27" s="1"/>
  <c r="T34" i="27"/>
  <c r="R34" i="27"/>
  <c r="U34" i="27" s="1"/>
  <c r="V34" i="27" s="1"/>
  <c r="W34" i="27" s="1"/>
  <c r="P34" i="27"/>
  <c r="M34" i="27"/>
  <c r="J34" i="27"/>
  <c r="G34" i="27"/>
  <c r="T33" i="27"/>
  <c r="R33" i="27"/>
  <c r="K33" i="27" s="1"/>
  <c r="P33" i="27"/>
  <c r="N33" i="27" s="1"/>
  <c r="M33" i="27"/>
  <c r="J33" i="27"/>
  <c r="G33" i="27"/>
  <c r="U32" i="27"/>
  <c r="V32" i="27" s="1"/>
  <c r="W32" i="27" s="1"/>
  <c r="T32" i="27"/>
  <c r="P32" i="27"/>
  <c r="N32" i="27" s="1"/>
  <c r="M32" i="27"/>
  <c r="K32" i="27" s="1"/>
  <c r="J32" i="27"/>
  <c r="H32" i="27" s="1"/>
  <c r="G32" i="27"/>
  <c r="E32" i="27" s="1"/>
  <c r="U31" i="27"/>
  <c r="V31" i="27" s="1"/>
  <c r="W31" i="27" s="1"/>
  <c r="T31" i="27"/>
  <c r="P31" i="27"/>
  <c r="N31" i="27"/>
  <c r="M31" i="27"/>
  <c r="K31" i="27" s="1"/>
  <c r="J31" i="27"/>
  <c r="H31" i="27"/>
  <c r="G31" i="27"/>
  <c r="E31" i="27" s="1"/>
  <c r="V29" i="27"/>
  <c r="W29" i="27" s="1"/>
  <c r="U29" i="27"/>
  <c r="T29" i="27"/>
  <c r="P29" i="27"/>
  <c r="N29" i="27" s="1"/>
  <c r="M29" i="27"/>
  <c r="K29" i="27" s="1"/>
  <c r="J29" i="27"/>
  <c r="H29" i="27"/>
  <c r="G29" i="27"/>
  <c r="E29" i="27" s="1"/>
  <c r="U28" i="27"/>
  <c r="V28" i="27" s="1"/>
  <c r="W28" i="27" s="1"/>
  <c r="T28" i="27"/>
  <c r="P28" i="27"/>
  <c r="N28" i="27"/>
  <c r="M28" i="27"/>
  <c r="K28" i="27" s="1"/>
  <c r="J28" i="27"/>
  <c r="H28" i="27" s="1"/>
  <c r="G28" i="27"/>
  <c r="E28" i="27" s="1"/>
  <c r="U27" i="27"/>
  <c r="V27" i="27" s="1"/>
  <c r="W27" i="27" s="1"/>
  <c r="T27" i="27"/>
  <c r="P27" i="27"/>
  <c r="N27" i="27" s="1"/>
  <c r="M27" i="27"/>
  <c r="K27" i="27" s="1"/>
  <c r="J27" i="27"/>
  <c r="H27" i="27" s="1"/>
  <c r="G27" i="27"/>
  <c r="E27" i="27" s="1"/>
  <c r="U26" i="27"/>
  <c r="V26" i="27" s="1"/>
  <c r="W26" i="27" s="1"/>
  <c r="T26" i="27"/>
  <c r="P26" i="27"/>
  <c r="N26" i="27"/>
  <c r="M26" i="27"/>
  <c r="K26" i="27" s="1"/>
  <c r="J26" i="27"/>
  <c r="H26" i="27" s="1"/>
  <c r="G26" i="27"/>
  <c r="E26" i="27" s="1"/>
  <c r="U25" i="27"/>
  <c r="V25" i="27" s="1"/>
  <c r="W25" i="27" s="1"/>
  <c r="T25" i="27"/>
  <c r="P25" i="27"/>
  <c r="N25" i="27" s="1"/>
  <c r="M25" i="27"/>
  <c r="K25" i="27" s="1"/>
  <c r="J25" i="27"/>
  <c r="H25" i="27" s="1"/>
  <c r="G25" i="27"/>
  <c r="E25" i="27"/>
  <c r="U24" i="27"/>
  <c r="V24" i="27" s="1"/>
  <c r="W24" i="27" s="1"/>
  <c r="T24" i="27"/>
  <c r="P24" i="27"/>
  <c r="N24" i="27"/>
  <c r="M24" i="27"/>
  <c r="K24" i="27" s="1"/>
  <c r="J24" i="27"/>
  <c r="H24" i="27" s="1"/>
  <c r="G24" i="27"/>
  <c r="E24" i="27" s="1"/>
  <c r="U23" i="27"/>
  <c r="V23" i="27" s="1"/>
  <c r="W23" i="27" s="1"/>
  <c r="T23" i="27"/>
  <c r="P23" i="27"/>
  <c r="N23" i="27" s="1"/>
  <c r="M23" i="27"/>
  <c r="K23" i="27" s="1"/>
  <c r="J23" i="27"/>
  <c r="H23" i="27" s="1"/>
  <c r="G23" i="27"/>
  <c r="E23" i="27"/>
  <c r="T22" i="27"/>
  <c r="R22" i="27"/>
  <c r="H22" i="27" s="1"/>
  <c r="P22" i="27"/>
  <c r="M22" i="27"/>
  <c r="K22" i="27" s="1"/>
  <c r="J22" i="27"/>
  <c r="G22" i="27"/>
  <c r="T21" i="27"/>
  <c r="R21" i="27"/>
  <c r="U21" i="27" s="1"/>
  <c r="V21" i="27" s="1"/>
  <c r="W21" i="27" s="1"/>
  <c r="P21" i="27"/>
  <c r="M21" i="27"/>
  <c r="J21" i="27"/>
  <c r="G21" i="27"/>
  <c r="R19" i="27"/>
  <c r="N19" i="27" s="1"/>
  <c r="P19" i="27"/>
  <c r="M19" i="27"/>
  <c r="J19" i="27"/>
  <c r="G19" i="27"/>
  <c r="R18" i="27"/>
  <c r="U18" i="27" s="1"/>
  <c r="V18" i="27" s="1"/>
  <c r="W18" i="27" s="1"/>
  <c r="P18" i="27"/>
  <c r="M18" i="27"/>
  <c r="J18" i="27"/>
  <c r="G18" i="27"/>
  <c r="R17" i="27"/>
  <c r="P17" i="27"/>
  <c r="M17" i="27"/>
  <c r="J17" i="27"/>
  <c r="G17" i="27"/>
  <c r="U14" i="27"/>
  <c r="V14" i="27" s="1"/>
  <c r="W14" i="27" s="1"/>
  <c r="T14" i="27"/>
  <c r="P14" i="27"/>
  <c r="N14" i="27" s="1"/>
  <c r="M14" i="27"/>
  <c r="K14" i="27" s="1"/>
  <c r="J14" i="27"/>
  <c r="H14" i="27" s="1"/>
  <c r="G14" i="27"/>
  <c r="E14" i="27"/>
  <c r="T13" i="27"/>
  <c r="R13" i="27"/>
  <c r="U13" i="27" s="1"/>
  <c r="V13" i="27" s="1"/>
  <c r="W13" i="27" s="1"/>
  <c r="P13" i="27"/>
  <c r="M13" i="27"/>
  <c r="K13" i="27"/>
  <c r="J13" i="27"/>
  <c r="H13" i="27" s="1"/>
  <c r="G13" i="27"/>
  <c r="R12" i="27"/>
  <c r="U12" i="27" s="1"/>
  <c r="V12" i="27" s="1"/>
  <c r="W12" i="27" s="1"/>
  <c r="P12" i="27"/>
  <c r="M12" i="27"/>
  <c r="J12" i="27"/>
  <c r="G12" i="27"/>
  <c r="E12" i="27" s="1"/>
  <c r="R11" i="27"/>
  <c r="U11" i="27" s="1"/>
  <c r="V11" i="27" s="1"/>
  <c r="W11" i="27" s="1"/>
  <c r="P11" i="27"/>
  <c r="N11" i="27" s="1"/>
  <c r="M11" i="27"/>
  <c r="J11" i="27"/>
  <c r="G11" i="27"/>
  <c r="R10" i="27"/>
  <c r="P10" i="27"/>
  <c r="N10" i="27" s="1"/>
  <c r="M10" i="27"/>
  <c r="J10" i="27"/>
  <c r="G10" i="27"/>
  <c r="R9" i="27"/>
  <c r="U9" i="27" s="1"/>
  <c r="V9" i="27" s="1"/>
  <c r="W9" i="27" s="1"/>
  <c r="P9" i="27"/>
  <c r="M9" i="27"/>
  <c r="J9" i="27"/>
  <c r="G9" i="27"/>
  <c r="R8" i="27"/>
  <c r="P8" i="27"/>
  <c r="M8" i="27"/>
  <c r="J8" i="27"/>
  <c r="G8" i="27"/>
  <c r="R7" i="27"/>
  <c r="U7" i="27" s="1"/>
  <c r="V7" i="27" s="1"/>
  <c r="W7" i="27" s="1"/>
  <c r="P7" i="27"/>
  <c r="M7" i="27"/>
  <c r="J7" i="27"/>
  <c r="G7" i="27"/>
  <c r="E7" i="27" s="1"/>
  <c r="R6" i="27"/>
  <c r="H6" i="27" s="1"/>
  <c r="P6" i="27"/>
  <c r="N6" i="27" s="1"/>
  <c r="M6" i="27"/>
  <c r="J6" i="27"/>
  <c r="G6" i="27"/>
  <c r="E6" i="27"/>
  <c r="T5" i="27"/>
  <c r="R5" i="27"/>
  <c r="H5" i="27" s="1"/>
  <c r="P5" i="27"/>
  <c r="N5" i="27" s="1"/>
  <c r="M5" i="27"/>
  <c r="J5" i="27"/>
  <c r="G5" i="27"/>
  <c r="U1502" i="26"/>
  <c r="T1502" i="26"/>
  <c r="Q1502" i="26"/>
  <c r="P1502" i="26"/>
  <c r="L1502" i="26"/>
  <c r="I1502" i="26"/>
  <c r="H1502" i="26"/>
  <c r="U1501" i="26"/>
  <c r="T1501" i="26"/>
  <c r="P1501" i="26"/>
  <c r="L1501" i="26"/>
  <c r="H1501" i="26"/>
  <c r="U1500" i="26"/>
  <c r="T1500" i="26"/>
  <c r="P1500" i="26"/>
  <c r="L1500" i="26"/>
  <c r="H1500" i="26"/>
  <c r="V1499" i="26"/>
  <c r="U1499" i="26"/>
  <c r="M1499" i="26" s="1"/>
  <c r="T1499" i="26"/>
  <c r="P1499" i="26"/>
  <c r="L1499" i="26"/>
  <c r="H1499" i="26"/>
  <c r="V1498" i="26"/>
  <c r="U1498" i="26"/>
  <c r="I1498" i="26" s="1"/>
  <c r="T1498" i="26"/>
  <c r="P1498" i="26"/>
  <c r="M1498" i="26"/>
  <c r="L1498" i="26"/>
  <c r="H1498" i="26"/>
  <c r="E1498" i="26"/>
  <c r="Y1497" i="26"/>
  <c r="Z1497" i="26" s="1"/>
  <c r="AA1497" i="26" s="1"/>
  <c r="V1497" i="26"/>
  <c r="J1497" i="26" s="1"/>
  <c r="U1497" i="26"/>
  <c r="T1497" i="26"/>
  <c r="R1497" i="26" s="1"/>
  <c r="Q1497" i="26"/>
  <c r="P1497" i="26"/>
  <c r="N1497" i="26" s="1"/>
  <c r="M1497" i="26"/>
  <c r="L1497" i="26"/>
  <c r="I1497" i="26"/>
  <c r="H1497" i="26"/>
  <c r="F1497" i="26"/>
  <c r="E1497" i="26"/>
  <c r="U1496" i="26"/>
  <c r="M1496" i="26" s="1"/>
  <c r="T1496" i="26"/>
  <c r="Q1496" i="26"/>
  <c r="P1496" i="26"/>
  <c r="L1496" i="26"/>
  <c r="H1496" i="26"/>
  <c r="E1496" i="26"/>
  <c r="AA1495" i="26"/>
  <c r="V1495" i="26"/>
  <c r="Y1495" i="26" s="1"/>
  <c r="Z1495" i="26" s="1"/>
  <c r="U1495" i="26"/>
  <c r="T1495" i="26"/>
  <c r="R1495" i="26"/>
  <c r="Q1495" i="26"/>
  <c r="P1495" i="26"/>
  <c r="N1495" i="26" s="1"/>
  <c r="M1495" i="26"/>
  <c r="L1495" i="26"/>
  <c r="I1495" i="26"/>
  <c r="H1495" i="26"/>
  <c r="F1495" i="26" s="1"/>
  <c r="E1495" i="26"/>
  <c r="U1494" i="26"/>
  <c r="T1494" i="26"/>
  <c r="Q1494" i="26"/>
  <c r="P1494" i="26"/>
  <c r="L1494" i="26"/>
  <c r="I1494" i="26"/>
  <c r="H1494" i="26"/>
  <c r="U1493" i="26"/>
  <c r="T1493" i="26"/>
  <c r="P1493" i="26"/>
  <c r="L1493" i="26"/>
  <c r="H1493" i="26"/>
  <c r="U1492" i="26"/>
  <c r="M1492" i="26" s="1"/>
  <c r="T1492" i="26"/>
  <c r="P1492" i="26"/>
  <c r="L1492" i="26"/>
  <c r="I1492" i="26"/>
  <c r="H1492" i="26"/>
  <c r="V1491" i="26"/>
  <c r="U1491" i="26"/>
  <c r="T1491" i="26"/>
  <c r="P1491" i="26"/>
  <c r="M1491" i="26"/>
  <c r="L1491" i="26"/>
  <c r="H1491" i="26"/>
  <c r="V1490" i="26"/>
  <c r="U1490" i="26"/>
  <c r="I1490" i="26" s="1"/>
  <c r="T1490" i="26"/>
  <c r="P1490" i="26"/>
  <c r="M1490" i="26"/>
  <c r="L1490" i="26"/>
  <c r="H1490" i="26"/>
  <c r="E1490" i="26"/>
  <c r="Z1489" i="26"/>
  <c r="AA1489" i="26" s="1"/>
  <c r="Y1489" i="26"/>
  <c r="V1489" i="26"/>
  <c r="J1489" i="26" s="1"/>
  <c r="U1489" i="26"/>
  <c r="T1489" i="26"/>
  <c r="R1489" i="26" s="1"/>
  <c r="Q1489" i="26"/>
  <c r="P1489" i="26"/>
  <c r="N1489" i="26" s="1"/>
  <c r="M1489" i="26"/>
  <c r="L1489" i="26"/>
  <c r="I1489" i="26"/>
  <c r="H1489" i="26"/>
  <c r="F1489" i="26"/>
  <c r="E1489" i="26"/>
  <c r="U1488" i="26"/>
  <c r="M1488" i="26" s="1"/>
  <c r="T1488" i="26"/>
  <c r="Q1488" i="26"/>
  <c r="P1488" i="26"/>
  <c r="L1488" i="26"/>
  <c r="H1488" i="26"/>
  <c r="E1488" i="26"/>
  <c r="AA1487" i="26"/>
  <c r="V1487" i="26"/>
  <c r="Y1487" i="26" s="1"/>
  <c r="Z1487" i="26" s="1"/>
  <c r="U1487" i="26"/>
  <c r="T1487" i="26"/>
  <c r="R1487" i="26"/>
  <c r="Q1487" i="26"/>
  <c r="P1487" i="26"/>
  <c r="N1487" i="26" s="1"/>
  <c r="M1487" i="26"/>
  <c r="L1487" i="26"/>
  <c r="I1487" i="26"/>
  <c r="H1487" i="26"/>
  <c r="F1487" i="26" s="1"/>
  <c r="E1487" i="26"/>
  <c r="U1486" i="26"/>
  <c r="T1486" i="26"/>
  <c r="Q1486" i="26"/>
  <c r="P1486" i="26"/>
  <c r="L1486" i="26"/>
  <c r="I1486" i="26"/>
  <c r="H1486" i="26"/>
  <c r="U1485" i="26"/>
  <c r="T1485" i="26"/>
  <c r="P1485" i="26"/>
  <c r="L1485" i="26"/>
  <c r="H1485" i="26"/>
  <c r="U1484" i="26"/>
  <c r="T1484" i="26"/>
  <c r="P1484" i="26"/>
  <c r="L1484" i="26"/>
  <c r="I1484" i="26"/>
  <c r="H1484" i="26"/>
  <c r="V1483" i="26"/>
  <c r="F1483" i="26" s="1"/>
  <c r="U1483" i="26"/>
  <c r="M1483" i="26" s="1"/>
  <c r="T1483" i="26"/>
  <c r="P1483" i="26"/>
  <c r="N1483" i="26"/>
  <c r="L1483" i="26"/>
  <c r="J1483" i="26"/>
  <c r="H1483" i="26"/>
  <c r="V1482" i="26"/>
  <c r="U1482" i="26"/>
  <c r="I1482" i="26" s="1"/>
  <c r="T1482" i="26"/>
  <c r="P1482" i="26"/>
  <c r="N1482" i="26"/>
  <c r="M1482" i="26"/>
  <c r="L1482" i="26"/>
  <c r="H1482" i="26"/>
  <c r="E1482" i="26"/>
  <c r="Y1481" i="26"/>
  <c r="Z1481" i="26" s="1"/>
  <c r="AA1481" i="26" s="1"/>
  <c r="V1481" i="26"/>
  <c r="J1481" i="26" s="1"/>
  <c r="U1481" i="26"/>
  <c r="T1481" i="26"/>
  <c r="R1481" i="26" s="1"/>
  <c r="Q1481" i="26"/>
  <c r="P1481" i="26"/>
  <c r="N1481" i="26" s="1"/>
  <c r="M1481" i="26"/>
  <c r="L1481" i="26"/>
  <c r="I1481" i="26"/>
  <c r="H1481" i="26"/>
  <c r="F1481" i="26"/>
  <c r="E1481" i="26"/>
  <c r="U1480" i="26"/>
  <c r="M1480" i="26" s="1"/>
  <c r="T1480" i="26"/>
  <c r="Q1480" i="26"/>
  <c r="P1480" i="26"/>
  <c r="L1480" i="26"/>
  <c r="H1480" i="26"/>
  <c r="E1480" i="26"/>
  <c r="AA1479" i="26"/>
  <c r="V1479" i="26"/>
  <c r="Y1479" i="26" s="1"/>
  <c r="Z1479" i="26" s="1"/>
  <c r="U1479" i="26"/>
  <c r="T1479" i="26"/>
  <c r="R1479" i="26"/>
  <c r="Q1479" i="26"/>
  <c r="P1479" i="26"/>
  <c r="N1479" i="26" s="1"/>
  <c r="M1479" i="26"/>
  <c r="L1479" i="26"/>
  <c r="I1479" i="26"/>
  <c r="H1479" i="26"/>
  <c r="F1479" i="26" s="1"/>
  <c r="E1479" i="26"/>
  <c r="U1478" i="26"/>
  <c r="T1478" i="26"/>
  <c r="Q1478" i="26"/>
  <c r="P1478" i="26"/>
  <c r="L1478" i="26"/>
  <c r="I1478" i="26"/>
  <c r="H1478" i="26"/>
  <c r="V1477" i="26"/>
  <c r="U1477" i="26"/>
  <c r="T1477" i="26"/>
  <c r="P1477" i="26"/>
  <c r="L1477" i="26"/>
  <c r="I1477" i="26"/>
  <c r="H1477" i="26"/>
  <c r="Y1476" i="26"/>
  <c r="Z1476" i="26" s="1"/>
  <c r="AA1476" i="26" s="1"/>
  <c r="V1476" i="26"/>
  <c r="T1476" i="26"/>
  <c r="R1476" i="26" s="1"/>
  <c r="Q1476" i="26"/>
  <c r="P1476" i="26"/>
  <c r="M1476" i="26"/>
  <c r="L1476" i="26"/>
  <c r="J1476" i="26" s="1"/>
  <c r="I1476" i="26"/>
  <c r="H1476" i="26"/>
  <c r="E1476" i="26"/>
  <c r="U1475" i="26"/>
  <c r="T1475" i="26"/>
  <c r="P1475" i="26"/>
  <c r="L1475" i="26"/>
  <c r="I1475" i="26"/>
  <c r="H1475" i="26"/>
  <c r="V1474" i="26"/>
  <c r="F1474" i="26" s="1"/>
  <c r="U1474" i="26"/>
  <c r="M1474" i="26" s="1"/>
  <c r="T1474" i="26"/>
  <c r="P1474" i="26"/>
  <c r="N1474" i="26"/>
  <c r="L1474" i="26"/>
  <c r="J1474" i="26" s="1"/>
  <c r="H1474" i="26"/>
  <c r="V1473" i="26"/>
  <c r="U1473" i="26"/>
  <c r="I1473" i="26" s="1"/>
  <c r="T1473" i="26"/>
  <c r="P1473" i="26"/>
  <c r="N1473" i="26"/>
  <c r="M1473" i="26"/>
  <c r="L1473" i="26"/>
  <c r="H1473" i="26"/>
  <c r="E1473" i="26"/>
  <c r="Y1472" i="26"/>
  <c r="Z1472" i="26" s="1"/>
  <c r="AA1472" i="26" s="1"/>
  <c r="V1472" i="26"/>
  <c r="J1472" i="26" s="1"/>
  <c r="U1472" i="26"/>
  <c r="T1472" i="26"/>
  <c r="R1472" i="26" s="1"/>
  <c r="Q1472" i="26"/>
  <c r="P1472" i="26"/>
  <c r="N1472" i="26" s="1"/>
  <c r="M1472" i="26"/>
  <c r="L1472" i="26"/>
  <c r="I1472" i="26"/>
  <c r="H1472" i="26"/>
  <c r="F1472" i="26"/>
  <c r="E1472" i="26"/>
  <c r="U1471" i="26"/>
  <c r="M1471" i="26" s="1"/>
  <c r="T1471" i="26"/>
  <c r="Q1471" i="26"/>
  <c r="P1471" i="26"/>
  <c r="L1471" i="26"/>
  <c r="H1471" i="26"/>
  <c r="E1471" i="26"/>
  <c r="AA1470" i="26"/>
  <c r="V1470" i="26"/>
  <c r="Y1470" i="26" s="1"/>
  <c r="Z1470" i="26" s="1"/>
  <c r="U1470" i="26"/>
  <c r="M1470" i="26" s="1"/>
  <c r="T1470" i="26"/>
  <c r="R1470" i="26"/>
  <c r="Q1470" i="26"/>
  <c r="P1470" i="26"/>
  <c r="N1470" i="26" s="1"/>
  <c r="L1470" i="26"/>
  <c r="I1470" i="26"/>
  <c r="H1470" i="26"/>
  <c r="F1470" i="26"/>
  <c r="E1470" i="26"/>
  <c r="U1469" i="26"/>
  <c r="T1469" i="26"/>
  <c r="P1469" i="26"/>
  <c r="L1469" i="26"/>
  <c r="H1469" i="26"/>
  <c r="U1468" i="26"/>
  <c r="T1468" i="26"/>
  <c r="P1468" i="26"/>
  <c r="L1468" i="26"/>
  <c r="H1468" i="26"/>
  <c r="Y1467" i="26"/>
  <c r="Z1467" i="26" s="1"/>
  <c r="AA1467" i="26" s="1"/>
  <c r="V1467" i="26"/>
  <c r="F1467" i="26" s="1"/>
  <c r="U1467" i="26"/>
  <c r="T1467" i="26"/>
  <c r="P1467" i="26"/>
  <c r="M1467" i="26"/>
  <c r="L1467" i="26"/>
  <c r="J1467" i="26"/>
  <c r="I1467" i="26"/>
  <c r="H1467" i="26"/>
  <c r="U1466" i="26"/>
  <c r="T1466" i="26"/>
  <c r="P1466" i="26"/>
  <c r="L1466" i="26"/>
  <c r="H1466" i="26"/>
  <c r="V1465" i="26"/>
  <c r="U1465" i="26"/>
  <c r="T1465" i="26"/>
  <c r="Q1465" i="26"/>
  <c r="P1465" i="26"/>
  <c r="M1465" i="26"/>
  <c r="L1465" i="26"/>
  <c r="I1465" i="26"/>
  <c r="H1465" i="26"/>
  <c r="E1465" i="26"/>
  <c r="Y1464" i="26"/>
  <c r="Z1464" i="26" s="1"/>
  <c r="AA1464" i="26" s="1"/>
  <c r="U1464" i="26"/>
  <c r="V1464" i="26" s="1"/>
  <c r="J1464" i="26" s="1"/>
  <c r="T1464" i="26"/>
  <c r="R1464" i="26" s="1"/>
  <c r="Q1464" i="26"/>
  <c r="P1464" i="26"/>
  <c r="N1464" i="26" s="1"/>
  <c r="M1464" i="26"/>
  <c r="L1464" i="26"/>
  <c r="I1464" i="26"/>
  <c r="H1464" i="26"/>
  <c r="F1464" i="26"/>
  <c r="E1464" i="26"/>
  <c r="U1463" i="26"/>
  <c r="Q1463" i="26" s="1"/>
  <c r="T1463" i="26"/>
  <c r="P1463" i="26"/>
  <c r="L1463" i="26"/>
  <c r="H1463" i="26"/>
  <c r="E1463" i="26"/>
  <c r="V1462" i="26"/>
  <c r="U1462" i="26"/>
  <c r="M1462" i="26" s="1"/>
  <c r="T1462" i="26"/>
  <c r="R1462" i="26" s="1"/>
  <c r="Q1462" i="26"/>
  <c r="P1462" i="26"/>
  <c r="L1462" i="26"/>
  <c r="I1462" i="26"/>
  <c r="H1462" i="26"/>
  <c r="F1462" i="26"/>
  <c r="E1462" i="26"/>
  <c r="U1461" i="26"/>
  <c r="Q1461" i="26" s="1"/>
  <c r="T1461" i="26"/>
  <c r="P1461" i="26"/>
  <c r="M1461" i="26"/>
  <c r="L1461" i="26"/>
  <c r="I1461" i="26"/>
  <c r="H1461" i="26"/>
  <c r="U1460" i="26"/>
  <c r="T1460" i="26"/>
  <c r="P1460" i="26"/>
  <c r="L1460" i="26"/>
  <c r="I1460" i="26"/>
  <c r="H1460" i="26"/>
  <c r="V1459" i="26"/>
  <c r="F1459" i="26" s="1"/>
  <c r="U1459" i="26"/>
  <c r="Q1459" i="26" s="1"/>
  <c r="T1459" i="26"/>
  <c r="R1459" i="26" s="1"/>
  <c r="P1459" i="26"/>
  <c r="M1459" i="26"/>
  <c r="L1459" i="26"/>
  <c r="J1459" i="26" s="1"/>
  <c r="H1459" i="26"/>
  <c r="E1459" i="26"/>
  <c r="U1458" i="26"/>
  <c r="T1458" i="26"/>
  <c r="P1458" i="26"/>
  <c r="M1458" i="26"/>
  <c r="L1458" i="26"/>
  <c r="H1458" i="26"/>
  <c r="V1457" i="26"/>
  <c r="U1457" i="26"/>
  <c r="I1457" i="26" s="1"/>
  <c r="T1457" i="26"/>
  <c r="R1457" i="26"/>
  <c r="P1457" i="26"/>
  <c r="N1457" i="26" s="1"/>
  <c r="M1457" i="26"/>
  <c r="L1457" i="26"/>
  <c r="H1457" i="26"/>
  <c r="E1457" i="26"/>
  <c r="Z1456" i="26"/>
  <c r="AA1456" i="26" s="1"/>
  <c r="Y1456" i="26"/>
  <c r="V1456" i="26"/>
  <c r="J1456" i="26" s="1"/>
  <c r="U1456" i="26"/>
  <c r="T1456" i="26"/>
  <c r="R1456" i="26" s="1"/>
  <c r="Q1456" i="26"/>
  <c r="P1456" i="26"/>
  <c r="N1456" i="26"/>
  <c r="M1456" i="26"/>
  <c r="L1456" i="26"/>
  <c r="I1456" i="26"/>
  <c r="H1456" i="26"/>
  <c r="F1456" i="26"/>
  <c r="E1456" i="26"/>
  <c r="U1455" i="26"/>
  <c r="T1455" i="26"/>
  <c r="P1455" i="26"/>
  <c r="L1455" i="26"/>
  <c r="H1455" i="26"/>
  <c r="V1454" i="26"/>
  <c r="U1454" i="26"/>
  <c r="M1454" i="26" s="1"/>
  <c r="T1454" i="26"/>
  <c r="R1454" i="26"/>
  <c r="Q1454" i="26"/>
  <c r="P1454" i="26"/>
  <c r="N1454" i="26" s="1"/>
  <c r="L1454" i="26"/>
  <c r="I1454" i="26"/>
  <c r="H1454" i="26"/>
  <c r="F1454" i="26"/>
  <c r="E1454" i="26"/>
  <c r="U1453" i="26"/>
  <c r="T1453" i="26"/>
  <c r="P1453" i="26"/>
  <c r="M1453" i="26"/>
  <c r="L1453" i="26"/>
  <c r="I1453" i="26"/>
  <c r="H1453" i="26"/>
  <c r="U1452" i="26"/>
  <c r="T1452" i="26"/>
  <c r="P1452" i="26"/>
  <c r="L1452" i="26"/>
  <c r="H1452" i="26"/>
  <c r="U1451" i="26"/>
  <c r="T1451" i="26"/>
  <c r="P1451" i="26"/>
  <c r="L1451" i="26"/>
  <c r="I1451" i="26"/>
  <c r="H1451" i="26"/>
  <c r="E1451" i="26"/>
  <c r="U1450" i="26"/>
  <c r="T1450" i="26"/>
  <c r="Q1450" i="26"/>
  <c r="P1450" i="26"/>
  <c r="L1450" i="26"/>
  <c r="H1450" i="26"/>
  <c r="Z1449" i="26"/>
  <c r="AA1449" i="26" s="1"/>
  <c r="Y1449" i="26"/>
  <c r="V1449" i="26"/>
  <c r="U1449" i="26"/>
  <c r="Q1449" i="26" s="1"/>
  <c r="T1449" i="26"/>
  <c r="R1449" i="26"/>
  <c r="P1449" i="26"/>
  <c r="N1449" i="26"/>
  <c r="M1449" i="26"/>
  <c r="L1449" i="26"/>
  <c r="I1449" i="26"/>
  <c r="H1449" i="26"/>
  <c r="E1449" i="26"/>
  <c r="Y1448" i="26"/>
  <c r="Z1448" i="26" s="1"/>
  <c r="AA1448" i="26" s="1"/>
  <c r="V1448" i="26"/>
  <c r="U1448" i="26"/>
  <c r="T1448" i="26"/>
  <c r="R1448" i="26" s="1"/>
  <c r="Q1448" i="26"/>
  <c r="P1448" i="26"/>
  <c r="N1448" i="26"/>
  <c r="M1448" i="26"/>
  <c r="L1448" i="26"/>
  <c r="J1448" i="26" s="1"/>
  <c r="I1448" i="26"/>
  <c r="H1448" i="26"/>
  <c r="F1448" i="26"/>
  <c r="E1448" i="26"/>
  <c r="U1447" i="26"/>
  <c r="T1447" i="26"/>
  <c r="Q1447" i="26"/>
  <c r="P1447" i="26"/>
  <c r="L1447" i="26"/>
  <c r="H1447" i="26"/>
  <c r="E1447" i="26"/>
  <c r="V1446" i="26"/>
  <c r="F1446" i="26" s="1"/>
  <c r="U1446" i="26"/>
  <c r="T1446" i="26"/>
  <c r="R1446" i="26"/>
  <c r="Q1446" i="26"/>
  <c r="P1446" i="26"/>
  <c r="N1446" i="26" s="1"/>
  <c r="M1446" i="26"/>
  <c r="L1446" i="26"/>
  <c r="I1446" i="26"/>
  <c r="H1446" i="26"/>
  <c r="E1446" i="26"/>
  <c r="U1445" i="26"/>
  <c r="T1445" i="26"/>
  <c r="P1445" i="26"/>
  <c r="M1445" i="26"/>
  <c r="L1445" i="26"/>
  <c r="I1445" i="26"/>
  <c r="H1445" i="26"/>
  <c r="E1445" i="26"/>
  <c r="V1444" i="26"/>
  <c r="U1444" i="26"/>
  <c r="Q1444" i="26" s="1"/>
  <c r="T1444" i="26"/>
  <c r="P1444" i="26"/>
  <c r="L1444" i="26"/>
  <c r="J1444" i="26"/>
  <c r="I1444" i="26"/>
  <c r="H1444" i="26"/>
  <c r="U1443" i="26"/>
  <c r="T1443" i="26"/>
  <c r="P1443" i="26"/>
  <c r="L1443" i="26"/>
  <c r="H1443" i="26"/>
  <c r="Z1442" i="26"/>
  <c r="AA1442" i="26" s="1"/>
  <c r="Y1442" i="26"/>
  <c r="V1442" i="26"/>
  <c r="F1442" i="26" s="1"/>
  <c r="U1442" i="26"/>
  <c r="E1442" i="26" s="1"/>
  <c r="T1442" i="26"/>
  <c r="Q1442" i="26"/>
  <c r="P1442" i="26"/>
  <c r="N1442" i="26"/>
  <c r="M1442" i="26"/>
  <c r="L1442" i="26"/>
  <c r="I1442" i="26"/>
  <c r="H1442" i="26"/>
  <c r="U1441" i="26"/>
  <c r="M1441" i="26" s="1"/>
  <c r="T1441" i="26"/>
  <c r="P1441" i="26"/>
  <c r="L1441" i="26"/>
  <c r="H1441" i="26"/>
  <c r="E1441" i="26"/>
  <c r="V1440" i="26"/>
  <c r="F1440" i="26" s="1"/>
  <c r="U1440" i="26"/>
  <c r="T1440" i="26"/>
  <c r="Q1440" i="26"/>
  <c r="P1440" i="26"/>
  <c r="N1440" i="26"/>
  <c r="M1440" i="26"/>
  <c r="L1440" i="26"/>
  <c r="I1440" i="26"/>
  <c r="H1440" i="26"/>
  <c r="E1440" i="26"/>
  <c r="U1439" i="26"/>
  <c r="E1439" i="26" s="1"/>
  <c r="T1439" i="26"/>
  <c r="Q1439" i="26"/>
  <c r="P1439" i="26"/>
  <c r="M1439" i="26"/>
  <c r="L1439" i="26"/>
  <c r="H1439" i="26"/>
  <c r="V1438" i="26"/>
  <c r="U1438" i="26"/>
  <c r="T1438" i="26"/>
  <c r="R1438" i="26" s="1"/>
  <c r="Q1438" i="26"/>
  <c r="P1438" i="26"/>
  <c r="N1438" i="26"/>
  <c r="M1438" i="26"/>
  <c r="L1438" i="26"/>
  <c r="I1438" i="26"/>
  <c r="H1438" i="26"/>
  <c r="F1438" i="26" s="1"/>
  <c r="E1438" i="26"/>
  <c r="U1437" i="26"/>
  <c r="T1437" i="26"/>
  <c r="P1437" i="26"/>
  <c r="M1437" i="26"/>
  <c r="L1437" i="26"/>
  <c r="H1437" i="26"/>
  <c r="U1436" i="26"/>
  <c r="T1436" i="26"/>
  <c r="P1436" i="26"/>
  <c r="L1436" i="26"/>
  <c r="H1436" i="26"/>
  <c r="X1434" i="26"/>
  <c r="T1434" i="26"/>
  <c r="Q1434" i="26"/>
  <c r="P1434" i="26"/>
  <c r="M1434" i="26"/>
  <c r="L1434" i="26"/>
  <c r="I1434" i="26"/>
  <c r="V1434" i="26" s="1"/>
  <c r="H1434" i="26"/>
  <c r="E1434" i="26"/>
  <c r="X1433" i="26"/>
  <c r="T1433" i="26"/>
  <c r="Q1433" i="26"/>
  <c r="P1433" i="26"/>
  <c r="M1433" i="26"/>
  <c r="L1433" i="26"/>
  <c r="I1433" i="26"/>
  <c r="V1433" i="26" s="1"/>
  <c r="H1433" i="26"/>
  <c r="E1433" i="26"/>
  <c r="X1432" i="26"/>
  <c r="T1432" i="26"/>
  <c r="Q1432" i="26"/>
  <c r="P1432" i="26"/>
  <c r="M1432" i="26"/>
  <c r="L1432" i="26"/>
  <c r="I1432" i="26"/>
  <c r="V1432" i="26" s="1"/>
  <c r="H1432" i="26"/>
  <c r="E1432" i="26"/>
  <c r="X1431" i="26"/>
  <c r="T1431" i="26"/>
  <c r="Q1431" i="26"/>
  <c r="P1431" i="26"/>
  <c r="M1431" i="26"/>
  <c r="L1431" i="26"/>
  <c r="I1431" i="26"/>
  <c r="H1431" i="26"/>
  <c r="E1431" i="26"/>
  <c r="Y1430" i="26"/>
  <c r="Z1430" i="26" s="1"/>
  <c r="AA1430" i="26" s="1"/>
  <c r="X1430" i="26"/>
  <c r="V1430" i="26"/>
  <c r="T1430" i="26"/>
  <c r="Q1430" i="26"/>
  <c r="P1430" i="26"/>
  <c r="M1430" i="26"/>
  <c r="L1430" i="26"/>
  <c r="J1430" i="26"/>
  <c r="I1430" i="26"/>
  <c r="H1430" i="26"/>
  <c r="E1430" i="26"/>
  <c r="X1429" i="26"/>
  <c r="T1429" i="26"/>
  <c r="Q1429" i="26"/>
  <c r="P1429" i="26"/>
  <c r="M1429" i="26"/>
  <c r="L1429" i="26"/>
  <c r="I1429" i="26"/>
  <c r="H1429" i="26"/>
  <c r="E1429" i="26"/>
  <c r="X1428" i="26"/>
  <c r="T1428" i="26"/>
  <c r="Q1428" i="26"/>
  <c r="P1428" i="26"/>
  <c r="M1428" i="26"/>
  <c r="V1428" i="26" s="1"/>
  <c r="L1428" i="26"/>
  <c r="I1428" i="26"/>
  <c r="H1428" i="26"/>
  <c r="E1428" i="26"/>
  <c r="X1427" i="26"/>
  <c r="V1427" i="26"/>
  <c r="T1427" i="26"/>
  <c r="R1427" i="26" s="1"/>
  <c r="Q1427" i="26"/>
  <c r="P1427" i="26"/>
  <c r="M1427" i="26"/>
  <c r="L1427" i="26"/>
  <c r="I1427" i="26"/>
  <c r="H1427" i="26"/>
  <c r="E1427" i="26"/>
  <c r="X1426" i="26"/>
  <c r="T1426" i="26"/>
  <c r="Q1426" i="26"/>
  <c r="P1426" i="26"/>
  <c r="M1426" i="26"/>
  <c r="L1426" i="26"/>
  <c r="I1426" i="26"/>
  <c r="V1426" i="26" s="1"/>
  <c r="H1426" i="26"/>
  <c r="E1426" i="26"/>
  <c r="X1425" i="26"/>
  <c r="T1425" i="26"/>
  <c r="Q1425" i="26"/>
  <c r="P1425" i="26"/>
  <c r="M1425" i="26"/>
  <c r="L1425" i="26"/>
  <c r="I1425" i="26"/>
  <c r="H1425" i="26"/>
  <c r="E1425" i="26"/>
  <c r="X1424" i="26"/>
  <c r="T1424" i="26"/>
  <c r="Q1424" i="26"/>
  <c r="P1424" i="26"/>
  <c r="M1424" i="26"/>
  <c r="L1424" i="26"/>
  <c r="I1424" i="26"/>
  <c r="H1424" i="26"/>
  <c r="E1424" i="26"/>
  <c r="X1423" i="26"/>
  <c r="V1423" i="26"/>
  <c r="T1423" i="26"/>
  <c r="R1423" i="26" s="1"/>
  <c r="Q1423" i="26"/>
  <c r="P1423" i="26"/>
  <c r="M1423" i="26"/>
  <c r="L1423" i="26"/>
  <c r="I1423" i="26"/>
  <c r="H1423" i="26"/>
  <c r="F1423" i="26"/>
  <c r="E1423" i="26"/>
  <c r="U1422" i="26"/>
  <c r="T1422" i="26"/>
  <c r="P1422" i="26"/>
  <c r="M1422" i="26"/>
  <c r="L1422" i="26"/>
  <c r="H1422" i="26"/>
  <c r="X1421" i="26"/>
  <c r="T1421" i="26"/>
  <c r="Q1421" i="26"/>
  <c r="P1421" i="26"/>
  <c r="M1421" i="26"/>
  <c r="L1421" i="26"/>
  <c r="I1421" i="26"/>
  <c r="H1421" i="26"/>
  <c r="E1421" i="26"/>
  <c r="X1420" i="26"/>
  <c r="T1420" i="26"/>
  <c r="Q1420" i="26"/>
  <c r="P1420" i="26"/>
  <c r="M1420" i="26"/>
  <c r="L1420" i="26"/>
  <c r="I1420" i="26"/>
  <c r="H1420" i="26"/>
  <c r="E1420" i="26"/>
  <c r="X1419" i="26"/>
  <c r="T1419" i="26"/>
  <c r="Q1419" i="26"/>
  <c r="P1419" i="26"/>
  <c r="M1419" i="26"/>
  <c r="L1419" i="26"/>
  <c r="I1419" i="26"/>
  <c r="H1419" i="26"/>
  <c r="E1419" i="26"/>
  <c r="X1418" i="26"/>
  <c r="T1418" i="26"/>
  <c r="Q1418" i="26"/>
  <c r="P1418" i="26"/>
  <c r="M1418" i="26"/>
  <c r="L1418" i="26"/>
  <c r="I1418" i="26"/>
  <c r="H1418" i="26"/>
  <c r="E1418" i="26"/>
  <c r="V1418" i="26" s="1"/>
  <c r="X1417" i="26"/>
  <c r="T1417" i="26"/>
  <c r="Q1417" i="26"/>
  <c r="V1417" i="26" s="1"/>
  <c r="P1417" i="26"/>
  <c r="M1417" i="26"/>
  <c r="L1417" i="26"/>
  <c r="I1417" i="26"/>
  <c r="H1417" i="26"/>
  <c r="E1417" i="26"/>
  <c r="X1416" i="26"/>
  <c r="T1416" i="26"/>
  <c r="Q1416" i="26"/>
  <c r="P1416" i="26"/>
  <c r="M1416" i="26"/>
  <c r="L1416" i="26"/>
  <c r="I1416" i="26"/>
  <c r="H1416" i="26"/>
  <c r="E1416" i="26"/>
  <c r="X1415" i="26"/>
  <c r="T1415" i="26"/>
  <c r="R1415" i="26" s="1"/>
  <c r="Q1415" i="26"/>
  <c r="P1415" i="26"/>
  <c r="N1415" i="26" s="1"/>
  <c r="M1415" i="26"/>
  <c r="L1415" i="26"/>
  <c r="J1415" i="26"/>
  <c r="I1415" i="26"/>
  <c r="H1415" i="26"/>
  <c r="F1415" i="26"/>
  <c r="E1415" i="26"/>
  <c r="V1415" i="26" s="1"/>
  <c r="Y1415" i="26" s="1"/>
  <c r="Z1415" i="26" s="1"/>
  <c r="AA1415" i="26" s="1"/>
  <c r="X1414" i="26"/>
  <c r="T1414" i="26"/>
  <c r="R1414" i="26"/>
  <c r="Q1414" i="26"/>
  <c r="P1414" i="26"/>
  <c r="M1414" i="26"/>
  <c r="L1414" i="26"/>
  <c r="I1414" i="26"/>
  <c r="H1414" i="26"/>
  <c r="E1414" i="26"/>
  <c r="V1414" i="26" s="1"/>
  <c r="Y1413" i="26"/>
  <c r="Z1413" i="26" s="1"/>
  <c r="AA1413" i="26" s="1"/>
  <c r="X1413" i="26"/>
  <c r="T1413" i="26"/>
  <c r="R1413" i="26" s="1"/>
  <c r="Q1413" i="26"/>
  <c r="P1413" i="26"/>
  <c r="M1413" i="26"/>
  <c r="L1413" i="26"/>
  <c r="I1413" i="26"/>
  <c r="H1413" i="26"/>
  <c r="F1413" i="26" s="1"/>
  <c r="E1413" i="26"/>
  <c r="V1413" i="26" s="1"/>
  <c r="X1412" i="26"/>
  <c r="T1412" i="26"/>
  <c r="Q1412" i="26"/>
  <c r="P1412" i="26"/>
  <c r="M1412" i="26"/>
  <c r="L1412" i="26"/>
  <c r="I1412" i="26"/>
  <c r="H1412" i="26"/>
  <c r="E1412" i="26"/>
  <c r="X1411" i="26"/>
  <c r="T1411" i="26"/>
  <c r="Q1411" i="26"/>
  <c r="P1411" i="26"/>
  <c r="M1411" i="26"/>
  <c r="L1411" i="26"/>
  <c r="I1411" i="26"/>
  <c r="H1411" i="26"/>
  <c r="E1411" i="26"/>
  <c r="V1411" i="26" s="1"/>
  <c r="X1410" i="26"/>
  <c r="T1410" i="26"/>
  <c r="R1410" i="26" s="1"/>
  <c r="Q1410" i="26"/>
  <c r="P1410" i="26"/>
  <c r="M1410" i="26"/>
  <c r="L1410" i="26"/>
  <c r="J1410" i="26"/>
  <c r="I1410" i="26"/>
  <c r="H1410" i="26"/>
  <c r="E1410" i="26"/>
  <c r="V1410" i="26" s="1"/>
  <c r="Y1410" i="26" s="1"/>
  <c r="Z1410" i="26" s="1"/>
  <c r="AA1410" i="26" s="1"/>
  <c r="X1409" i="26"/>
  <c r="V1409" i="26"/>
  <c r="T1409" i="26"/>
  <c r="R1409" i="26"/>
  <c r="Q1409" i="26"/>
  <c r="P1409" i="26"/>
  <c r="M1409" i="26"/>
  <c r="L1409" i="26"/>
  <c r="I1409" i="26"/>
  <c r="H1409" i="26"/>
  <c r="F1409" i="26"/>
  <c r="E1409" i="26"/>
  <c r="X1408" i="26"/>
  <c r="T1408" i="26"/>
  <c r="Q1408" i="26"/>
  <c r="P1408" i="26"/>
  <c r="M1408" i="26"/>
  <c r="L1408" i="26"/>
  <c r="I1408" i="26"/>
  <c r="H1408" i="26"/>
  <c r="E1408" i="26"/>
  <c r="X1407" i="26"/>
  <c r="T1407" i="26"/>
  <c r="Q1407" i="26"/>
  <c r="P1407" i="26"/>
  <c r="M1407" i="26"/>
  <c r="L1407" i="26"/>
  <c r="I1407" i="26"/>
  <c r="H1407" i="26"/>
  <c r="E1407" i="26"/>
  <c r="V1407" i="26" s="1"/>
  <c r="X1406" i="26"/>
  <c r="T1406" i="26"/>
  <c r="Q1406" i="26"/>
  <c r="P1406" i="26"/>
  <c r="M1406" i="26"/>
  <c r="L1406" i="26"/>
  <c r="I1406" i="26"/>
  <c r="H1406" i="26"/>
  <c r="F1406" i="26" s="1"/>
  <c r="E1406" i="26"/>
  <c r="V1406" i="26" s="1"/>
  <c r="X1404" i="26"/>
  <c r="T1404" i="26"/>
  <c r="Q1404" i="26"/>
  <c r="P1404" i="26"/>
  <c r="M1404" i="26"/>
  <c r="L1404" i="26"/>
  <c r="I1404" i="26"/>
  <c r="H1404" i="26"/>
  <c r="E1404" i="26"/>
  <c r="X1403" i="26"/>
  <c r="T1403" i="26"/>
  <c r="R1403" i="26" s="1"/>
  <c r="Q1403" i="26"/>
  <c r="P1403" i="26"/>
  <c r="M1403" i="26"/>
  <c r="L1403" i="26"/>
  <c r="I1403" i="26"/>
  <c r="V1403" i="26" s="1"/>
  <c r="H1403" i="26"/>
  <c r="E1403" i="26"/>
  <c r="X1402" i="26"/>
  <c r="T1402" i="26"/>
  <c r="R1402" i="26" s="1"/>
  <c r="Q1402" i="26"/>
  <c r="P1402" i="26"/>
  <c r="M1402" i="26"/>
  <c r="L1402" i="26"/>
  <c r="I1402" i="26"/>
  <c r="V1402" i="26" s="1"/>
  <c r="H1402" i="26"/>
  <c r="E1402" i="26"/>
  <c r="X1400" i="26"/>
  <c r="T1400" i="26"/>
  <c r="Q1400" i="26"/>
  <c r="P1400" i="26"/>
  <c r="M1400" i="26"/>
  <c r="L1400" i="26"/>
  <c r="I1400" i="26"/>
  <c r="H1400" i="26"/>
  <c r="E1400" i="26"/>
  <c r="V1400" i="26" s="1"/>
  <c r="X1399" i="26"/>
  <c r="T1399" i="26"/>
  <c r="Q1399" i="26"/>
  <c r="P1399" i="26"/>
  <c r="M1399" i="26"/>
  <c r="L1399" i="26"/>
  <c r="I1399" i="26"/>
  <c r="H1399" i="26"/>
  <c r="E1399" i="26"/>
  <c r="X1398" i="26"/>
  <c r="T1398" i="26"/>
  <c r="Q1398" i="26"/>
  <c r="P1398" i="26"/>
  <c r="N1398" i="26" s="1"/>
  <c r="M1398" i="26"/>
  <c r="L1398" i="26"/>
  <c r="I1398" i="26"/>
  <c r="H1398" i="26"/>
  <c r="E1398" i="26"/>
  <c r="V1398" i="26" s="1"/>
  <c r="R1398" i="26" s="1"/>
  <c r="X1397" i="26"/>
  <c r="T1397" i="26"/>
  <c r="Q1397" i="26"/>
  <c r="P1397" i="26"/>
  <c r="M1397" i="26"/>
  <c r="L1397" i="26"/>
  <c r="I1397" i="26"/>
  <c r="H1397" i="26"/>
  <c r="E1397" i="26"/>
  <c r="U1396" i="26"/>
  <c r="T1396" i="26"/>
  <c r="P1396" i="26"/>
  <c r="L1396" i="26"/>
  <c r="H1396" i="26"/>
  <c r="V1395" i="26"/>
  <c r="U1395" i="26"/>
  <c r="T1395" i="26"/>
  <c r="Q1395" i="26"/>
  <c r="P1395" i="26"/>
  <c r="M1395" i="26"/>
  <c r="L1395" i="26"/>
  <c r="I1395" i="26"/>
  <c r="H1395" i="26"/>
  <c r="E1395" i="26"/>
  <c r="X1394" i="26"/>
  <c r="T1394" i="26"/>
  <c r="R1394" i="26"/>
  <c r="Q1394" i="26"/>
  <c r="P1394" i="26"/>
  <c r="M1394" i="26"/>
  <c r="L1394" i="26"/>
  <c r="I1394" i="26"/>
  <c r="V1394" i="26" s="1"/>
  <c r="H1394" i="26"/>
  <c r="E1394" i="26"/>
  <c r="X1393" i="26"/>
  <c r="T1393" i="26"/>
  <c r="Q1393" i="26"/>
  <c r="P1393" i="26"/>
  <c r="M1393" i="26"/>
  <c r="L1393" i="26"/>
  <c r="I1393" i="26"/>
  <c r="V1393" i="26" s="1"/>
  <c r="H1393" i="26"/>
  <c r="E1393" i="26"/>
  <c r="AA1392" i="26"/>
  <c r="Y1392" i="26"/>
  <c r="Z1392" i="26" s="1"/>
  <c r="X1392" i="26"/>
  <c r="V1392" i="26"/>
  <c r="F1392" i="26" s="1"/>
  <c r="T1392" i="26"/>
  <c r="Q1392" i="26"/>
  <c r="P1392" i="26"/>
  <c r="M1392" i="26"/>
  <c r="L1392" i="26"/>
  <c r="J1392" i="26" s="1"/>
  <c r="I1392" i="26"/>
  <c r="H1392" i="26"/>
  <c r="E1392" i="26"/>
  <c r="Z1391" i="26"/>
  <c r="AA1391" i="26" s="1"/>
  <c r="T1391" i="26"/>
  <c r="Q1391" i="26"/>
  <c r="P1391" i="26"/>
  <c r="N1391" i="26"/>
  <c r="M1391" i="26"/>
  <c r="L1391" i="26"/>
  <c r="I1391" i="26"/>
  <c r="V1391" i="26" s="1"/>
  <c r="H1391" i="26"/>
  <c r="E1391" i="26"/>
  <c r="AA1390" i="26"/>
  <c r="Z1390" i="26"/>
  <c r="T1390" i="26"/>
  <c r="Q1390" i="26"/>
  <c r="P1390" i="26"/>
  <c r="M1390" i="26"/>
  <c r="L1390" i="26"/>
  <c r="I1390" i="26"/>
  <c r="V1390" i="26" s="1"/>
  <c r="H1390" i="26"/>
  <c r="E1390" i="26"/>
  <c r="Z1389" i="26"/>
  <c r="AA1389" i="26" s="1"/>
  <c r="T1389" i="26"/>
  <c r="R1389" i="26"/>
  <c r="Q1389" i="26"/>
  <c r="P1389" i="26"/>
  <c r="N1389" i="26" s="1"/>
  <c r="M1389" i="26"/>
  <c r="L1389" i="26"/>
  <c r="I1389" i="26"/>
  <c r="H1389" i="26"/>
  <c r="E1389" i="26"/>
  <c r="V1389" i="26" s="1"/>
  <c r="X1388" i="26"/>
  <c r="V1388" i="26"/>
  <c r="T1388" i="26"/>
  <c r="Q1388" i="26"/>
  <c r="P1388" i="26"/>
  <c r="M1388" i="26"/>
  <c r="L1388" i="26"/>
  <c r="I1388" i="26"/>
  <c r="H1388" i="26"/>
  <c r="E1388" i="26"/>
  <c r="X1387" i="26"/>
  <c r="T1387" i="26"/>
  <c r="Q1387" i="26"/>
  <c r="P1387" i="26"/>
  <c r="M1387" i="26"/>
  <c r="L1387" i="26"/>
  <c r="I1387" i="26"/>
  <c r="V1387" i="26" s="1"/>
  <c r="H1387" i="26"/>
  <c r="E1387" i="26"/>
  <c r="X1386" i="26"/>
  <c r="T1386" i="26"/>
  <c r="Q1386" i="26"/>
  <c r="P1386" i="26"/>
  <c r="M1386" i="26"/>
  <c r="V1386" i="26" s="1"/>
  <c r="L1386" i="26"/>
  <c r="I1386" i="26"/>
  <c r="H1386" i="26"/>
  <c r="E1386" i="26"/>
  <c r="X1385" i="26"/>
  <c r="T1385" i="26"/>
  <c r="Q1385" i="26"/>
  <c r="P1385" i="26"/>
  <c r="M1385" i="26"/>
  <c r="L1385" i="26"/>
  <c r="I1385" i="26"/>
  <c r="V1385" i="26" s="1"/>
  <c r="H1385" i="26"/>
  <c r="E1385" i="26"/>
  <c r="X1384" i="26"/>
  <c r="V1384" i="26"/>
  <c r="T1384" i="26"/>
  <c r="Q1384" i="26"/>
  <c r="P1384" i="26"/>
  <c r="M1384" i="26"/>
  <c r="L1384" i="26"/>
  <c r="I1384" i="26"/>
  <c r="H1384" i="26"/>
  <c r="E1384" i="26"/>
  <c r="X1383" i="26"/>
  <c r="T1383" i="26"/>
  <c r="Q1383" i="26"/>
  <c r="P1383" i="26"/>
  <c r="M1383" i="26"/>
  <c r="L1383" i="26"/>
  <c r="I1383" i="26"/>
  <c r="H1383" i="26"/>
  <c r="E1383" i="26"/>
  <c r="X1382" i="26"/>
  <c r="V1382" i="26"/>
  <c r="R1382" i="26" s="1"/>
  <c r="T1382" i="26"/>
  <c r="Q1382" i="26"/>
  <c r="P1382" i="26"/>
  <c r="M1382" i="26"/>
  <c r="L1382" i="26"/>
  <c r="I1382" i="26"/>
  <c r="H1382" i="26"/>
  <c r="E1382" i="26"/>
  <c r="X1381" i="26"/>
  <c r="T1381" i="26"/>
  <c r="Q1381" i="26"/>
  <c r="P1381" i="26"/>
  <c r="M1381" i="26"/>
  <c r="L1381" i="26"/>
  <c r="I1381" i="26"/>
  <c r="H1381" i="26"/>
  <c r="E1381" i="26"/>
  <c r="X1380" i="26"/>
  <c r="T1380" i="26"/>
  <c r="R1380" i="26"/>
  <c r="Q1380" i="26"/>
  <c r="P1380" i="26"/>
  <c r="N1380" i="26" s="1"/>
  <c r="M1380" i="26"/>
  <c r="L1380" i="26"/>
  <c r="I1380" i="26"/>
  <c r="H1380" i="26"/>
  <c r="E1380" i="26"/>
  <c r="V1380" i="26" s="1"/>
  <c r="X1379" i="26"/>
  <c r="T1379" i="26"/>
  <c r="Q1379" i="26"/>
  <c r="P1379" i="26"/>
  <c r="M1379" i="26"/>
  <c r="L1379" i="26"/>
  <c r="I1379" i="26"/>
  <c r="H1379" i="26"/>
  <c r="E1379" i="26"/>
  <c r="X1378" i="26"/>
  <c r="T1378" i="26"/>
  <c r="Q1378" i="26"/>
  <c r="P1378" i="26"/>
  <c r="M1378" i="26"/>
  <c r="L1378" i="26"/>
  <c r="I1378" i="26"/>
  <c r="H1378" i="26"/>
  <c r="E1378" i="26"/>
  <c r="Z1377" i="26"/>
  <c r="AA1377" i="26" s="1"/>
  <c r="Y1377" i="26"/>
  <c r="T1377" i="26"/>
  <c r="R1377" i="26"/>
  <c r="Q1377" i="26"/>
  <c r="P1377" i="26"/>
  <c r="N1377" i="26" s="1"/>
  <c r="M1377" i="26"/>
  <c r="L1377" i="26"/>
  <c r="J1377" i="26" s="1"/>
  <c r="I1377" i="26"/>
  <c r="H1377" i="26"/>
  <c r="F1377" i="26" s="1"/>
  <c r="E1377" i="26"/>
  <c r="X1376" i="26"/>
  <c r="T1376" i="26"/>
  <c r="Q1376" i="26"/>
  <c r="P1376" i="26"/>
  <c r="M1376" i="26"/>
  <c r="L1376" i="26"/>
  <c r="I1376" i="26"/>
  <c r="V1376" i="26" s="1"/>
  <c r="Y1376" i="26" s="1"/>
  <c r="Z1376" i="26" s="1"/>
  <c r="AA1376" i="26" s="1"/>
  <c r="H1376" i="26"/>
  <c r="E1376" i="26"/>
  <c r="Y1375" i="26"/>
  <c r="Z1375" i="26" s="1"/>
  <c r="AA1375" i="26" s="1"/>
  <c r="X1375" i="26"/>
  <c r="V1375" i="26"/>
  <c r="T1375" i="26"/>
  <c r="Q1375" i="26"/>
  <c r="P1375" i="26"/>
  <c r="M1375" i="26"/>
  <c r="L1375" i="26"/>
  <c r="I1375" i="26"/>
  <c r="H1375" i="26"/>
  <c r="E1375" i="26"/>
  <c r="Y1374" i="26"/>
  <c r="Z1374" i="26" s="1"/>
  <c r="AA1374" i="26" s="1"/>
  <c r="X1374" i="26"/>
  <c r="T1374" i="26"/>
  <c r="Q1374" i="26"/>
  <c r="P1374" i="26"/>
  <c r="N1374" i="26" s="1"/>
  <c r="M1374" i="26"/>
  <c r="V1374" i="26" s="1"/>
  <c r="L1374" i="26"/>
  <c r="I1374" i="26"/>
  <c r="H1374" i="26"/>
  <c r="E1374" i="26"/>
  <c r="X1373" i="26"/>
  <c r="T1373" i="26"/>
  <c r="Q1373" i="26"/>
  <c r="P1373" i="26"/>
  <c r="M1373" i="26"/>
  <c r="L1373" i="26"/>
  <c r="I1373" i="26"/>
  <c r="H1373" i="26"/>
  <c r="E1373" i="26"/>
  <c r="X1372" i="26"/>
  <c r="T1372" i="26"/>
  <c r="Q1372" i="26"/>
  <c r="P1372" i="26"/>
  <c r="M1372" i="26"/>
  <c r="L1372" i="26"/>
  <c r="I1372" i="26"/>
  <c r="H1372" i="26"/>
  <c r="E1372" i="26"/>
  <c r="X1370" i="26"/>
  <c r="T1370" i="26"/>
  <c r="Q1370" i="26"/>
  <c r="P1370" i="26"/>
  <c r="M1370" i="26"/>
  <c r="L1370" i="26"/>
  <c r="I1370" i="26"/>
  <c r="H1370" i="26"/>
  <c r="E1370" i="26"/>
  <c r="X1369" i="26"/>
  <c r="T1369" i="26"/>
  <c r="Q1369" i="26"/>
  <c r="P1369" i="26"/>
  <c r="M1369" i="26"/>
  <c r="L1369" i="26"/>
  <c r="I1369" i="26"/>
  <c r="H1369" i="26"/>
  <c r="E1369" i="26"/>
  <c r="X1368" i="26"/>
  <c r="T1368" i="26"/>
  <c r="Q1368" i="26"/>
  <c r="P1368" i="26"/>
  <c r="M1368" i="26"/>
  <c r="L1368" i="26"/>
  <c r="I1368" i="26"/>
  <c r="H1368" i="26"/>
  <c r="E1368" i="26"/>
  <c r="V1368" i="26" s="1"/>
  <c r="X1367" i="26"/>
  <c r="T1367" i="26"/>
  <c r="Q1367" i="26"/>
  <c r="P1367" i="26"/>
  <c r="M1367" i="26"/>
  <c r="L1367" i="26"/>
  <c r="I1367" i="26"/>
  <c r="V1367" i="26" s="1"/>
  <c r="H1367" i="26"/>
  <c r="E1367" i="26"/>
  <c r="Y1366" i="26"/>
  <c r="Z1366" i="26" s="1"/>
  <c r="AA1366" i="26" s="1"/>
  <c r="X1366" i="26"/>
  <c r="V1366" i="26"/>
  <c r="T1366" i="26"/>
  <c r="R1366" i="26" s="1"/>
  <c r="Q1366" i="26"/>
  <c r="P1366" i="26"/>
  <c r="M1366" i="26"/>
  <c r="L1366" i="26"/>
  <c r="I1366" i="26"/>
  <c r="H1366" i="26"/>
  <c r="E1366" i="26"/>
  <c r="Y1365" i="26"/>
  <c r="Z1365" i="26" s="1"/>
  <c r="AA1365" i="26" s="1"/>
  <c r="X1365" i="26"/>
  <c r="T1365" i="26"/>
  <c r="Q1365" i="26"/>
  <c r="P1365" i="26"/>
  <c r="N1365" i="26" s="1"/>
  <c r="M1365" i="26"/>
  <c r="V1365" i="26" s="1"/>
  <c r="L1365" i="26"/>
  <c r="J1365" i="26"/>
  <c r="I1365" i="26"/>
  <c r="H1365" i="26"/>
  <c r="E1365" i="26"/>
  <c r="X1364" i="26"/>
  <c r="T1364" i="26"/>
  <c r="Q1364" i="26"/>
  <c r="P1364" i="26"/>
  <c r="M1364" i="26"/>
  <c r="L1364" i="26"/>
  <c r="I1364" i="26"/>
  <c r="H1364" i="26"/>
  <c r="E1364" i="26"/>
  <c r="AA1362" i="26"/>
  <c r="Z1362" i="26"/>
  <c r="Y1362" i="26"/>
  <c r="X1362" i="26"/>
  <c r="T1362" i="26"/>
  <c r="R1362" i="26" s="1"/>
  <c r="Q1362" i="26"/>
  <c r="P1362" i="26"/>
  <c r="N1362" i="26" s="1"/>
  <c r="M1362" i="26"/>
  <c r="L1362" i="26"/>
  <c r="J1362" i="26" s="1"/>
  <c r="I1362" i="26"/>
  <c r="H1362" i="26"/>
  <c r="F1362" i="26"/>
  <c r="E1362" i="26"/>
  <c r="Y1361" i="26"/>
  <c r="Z1361" i="26" s="1"/>
  <c r="AA1361" i="26" s="1"/>
  <c r="X1361" i="26"/>
  <c r="T1361" i="26"/>
  <c r="R1361" i="26" s="1"/>
  <c r="Q1361" i="26"/>
  <c r="P1361" i="26"/>
  <c r="N1361" i="26"/>
  <c r="M1361" i="26"/>
  <c r="L1361" i="26"/>
  <c r="J1361" i="26"/>
  <c r="I1361" i="26"/>
  <c r="H1361" i="26"/>
  <c r="F1361" i="26"/>
  <c r="E1361" i="26"/>
  <c r="Y1360" i="26"/>
  <c r="Z1360" i="26" s="1"/>
  <c r="AA1360" i="26" s="1"/>
  <c r="X1360" i="26"/>
  <c r="T1360" i="26"/>
  <c r="R1360" i="26" s="1"/>
  <c r="Q1360" i="26"/>
  <c r="P1360" i="26"/>
  <c r="N1360" i="26" s="1"/>
  <c r="M1360" i="26"/>
  <c r="L1360" i="26"/>
  <c r="J1360" i="26"/>
  <c r="I1360" i="26"/>
  <c r="H1360" i="26"/>
  <c r="F1360" i="26"/>
  <c r="E1360" i="26"/>
  <c r="Z1359" i="26"/>
  <c r="AA1359" i="26" s="1"/>
  <c r="Y1359" i="26"/>
  <c r="X1359" i="26"/>
  <c r="T1359" i="26"/>
  <c r="R1359" i="26" s="1"/>
  <c r="Q1359" i="26"/>
  <c r="P1359" i="26"/>
  <c r="N1359" i="26"/>
  <c r="M1359" i="26"/>
  <c r="L1359" i="26"/>
  <c r="J1359" i="26" s="1"/>
  <c r="I1359" i="26"/>
  <c r="H1359" i="26"/>
  <c r="F1359" i="26"/>
  <c r="E1359" i="26"/>
  <c r="Y1358" i="26"/>
  <c r="Z1358" i="26" s="1"/>
  <c r="AA1358" i="26" s="1"/>
  <c r="X1358" i="26"/>
  <c r="V1358" i="26"/>
  <c r="T1358" i="26"/>
  <c r="Q1358" i="26"/>
  <c r="P1358" i="26"/>
  <c r="N1358" i="26" s="1"/>
  <c r="M1358" i="26"/>
  <c r="L1358" i="26"/>
  <c r="J1358" i="26"/>
  <c r="I1358" i="26"/>
  <c r="H1358" i="26"/>
  <c r="E1358" i="26"/>
  <c r="X1357" i="26"/>
  <c r="T1357" i="26"/>
  <c r="Q1357" i="26"/>
  <c r="P1357" i="26"/>
  <c r="M1357" i="26"/>
  <c r="L1357" i="26"/>
  <c r="I1357" i="26"/>
  <c r="H1357" i="26"/>
  <c r="E1357" i="26"/>
  <c r="V1357" i="26" s="1"/>
  <c r="X1356" i="26"/>
  <c r="T1356" i="26"/>
  <c r="Q1356" i="26"/>
  <c r="P1356" i="26"/>
  <c r="N1356" i="26" s="1"/>
  <c r="M1356" i="26"/>
  <c r="L1356" i="26"/>
  <c r="I1356" i="26"/>
  <c r="H1356" i="26"/>
  <c r="E1356" i="26"/>
  <c r="V1356" i="26" s="1"/>
  <c r="X1355" i="26"/>
  <c r="T1355" i="26"/>
  <c r="Q1355" i="26"/>
  <c r="V1355" i="26" s="1"/>
  <c r="P1355" i="26"/>
  <c r="N1355" i="26"/>
  <c r="M1355" i="26"/>
  <c r="L1355" i="26"/>
  <c r="I1355" i="26"/>
  <c r="H1355" i="26"/>
  <c r="F1355" i="26"/>
  <c r="E1355" i="26"/>
  <c r="X1354" i="26"/>
  <c r="T1354" i="26"/>
  <c r="Q1354" i="26"/>
  <c r="P1354" i="26"/>
  <c r="M1354" i="26"/>
  <c r="L1354" i="26"/>
  <c r="I1354" i="26"/>
  <c r="H1354" i="26"/>
  <c r="E1354" i="26"/>
  <c r="X1353" i="26"/>
  <c r="V1353" i="26"/>
  <c r="T1353" i="26"/>
  <c r="Q1353" i="26"/>
  <c r="P1353" i="26"/>
  <c r="M1353" i="26"/>
  <c r="L1353" i="26"/>
  <c r="I1353" i="26"/>
  <c r="H1353" i="26"/>
  <c r="E1353" i="26"/>
  <c r="X1352" i="26"/>
  <c r="V1352" i="26"/>
  <c r="T1352" i="26"/>
  <c r="Q1352" i="26"/>
  <c r="P1352" i="26"/>
  <c r="M1352" i="26"/>
  <c r="L1352" i="26"/>
  <c r="I1352" i="26"/>
  <c r="H1352" i="26"/>
  <c r="E1352" i="26"/>
  <c r="X1351" i="26"/>
  <c r="T1351" i="26"/>
  <c r="Q1351" i="26"/>
  <c r="P1351" i="26"/>
  <c r="M1351" i="26"/>
  <c r="L1351" i="26"/>
  <c r="I1351" i="26"/>
  <c r="H1351" i="26"/>
  <c r="E1351" i="26"/>
  <c r="Y1350" i="26"/>
  <c r="Z1350" i="26" s="1"/>
  <c r="AA1350" i="26" s="1"/>
  <c r="X1350" i="26"/>
  <c r="V1350" i="26"/>
  <c r="T1350" i="26"/>
  <c r="R1350" i="26"/>
  <c r="Q1350" i="26"/>
  <c r="P1350" i="26"/>
  <c r="N1350" i="26" s="1"/>
  <c r="M1350" i="26"/>
  <c r="L1350" i="26"/>
  <c r="J1350" i="26"/>
  <c r="I1350" i="26"/>
  <c r="H1350" i="26"/>
  <c r="F1350" i="26" s="1"/>
  <c r="E1350" i="26"/>
  <c r="X1349" i="26"/>
  <c r="T1349" i="26"/>
  <c r="Q1349" i="26"/>
  <c r="P1349" i="26"/>
  <c r="M1349" i="26"/>
  <c r="L1349" i="26"/>
  <c r="I1349" i="26"/>
  <c r="H1349" i="26"/>
  <c r="E1349" i="26"/>
  <c r="V1349" i="26" s="1"/>
  <c r="R1349" i="26" s="1"/>
  <c r="X1348" i="26"/>
  <c r="T1348" i="26"/>
  <c r="Q1348" i="26"/>
  <c r="P1348" i="26"/>
  <c r="M1348" i="26"/>
  <c r="L1348" i="26"/>
  <c r="I1348" i="26"/>
  <c r="H1348" i="26"/>
  <c r="E1348" i="26"/>
  <c r="V1348" i="26" s="1"/>
  <c r="Z1347" i="26"/>
  <c r="AA1347" i="26" s="1"/>
  <c r="X1347" i="26"/>
  <c r="V1347" i="26"/>
  <c r="Y1347" i="26" s="1"/>
  <c r="T1347" i="26"/>
  <c r="R1347" i="26"/>
  <c r="Q1347" i="26"/>
  <c r="P1347" i="26"/>
  <c r="N1347" i="26"/>
  <c r="M1347" i="26"/>
  <c r="L1347" i="26"/>
  <c r="J1347" i="26" s="1"/>
  <c r="I1347" i="26"/>
  <c r="H1347" i="26"/>
  <c r="F1347" i="26"/>
  <c r="E1347" i="26"/>
  <c r="AA1346" i="26"/>
  <c r="Y1346" i="26"/>
  <c r="Z1346" i="26" s="1"/>
  <c r="X1346" i="26"/>
  <c r="V1346" i="26"/>
  <c r="F1346" i="26" s="1"/>
  <c r="T1346" i="26"/>
  <c r="R1346" i="26"/>
  <c r="Q1346" i="26"/>
  <c r="P1346" i="26"/>
  <c r="M1346" i="26"/>
  <c r="L1346" i="26"/>
  <c r="J1346" i="26" s="1"/>
  <c r="I1346" i="26"/>
  <c r="H1346" i="26"/>
  <c r="E1346" i="26"/>
  <c r="X1345" i="26"/>
  <c r="V1345" i="26"/>
  <c r="T1345" i="26"/>
  <c r="R1345" i="26" s="1"/>
  <c r="Q1345" i="26"/>
  <c r="P1345" i="26"/>
  <c r="M1345" i="26"/>
  <c r="L1345" i="26"/>
  <c r="I1345" i="26"/>
  <c r="H1345" i="26"/>
  <c r="E1345" i="26"/>
  <c r="X1344" i="26"/>
  <c r="V1344" i="26"/>
  <c r="T1344" i="26"/>
  <c r="Q1344" i="26"/>
  <c r="P1344" i="26"/>
  <c r="N1344" i="26"/>
  <c r="M1344" i="26"/>
  <c r="L1344" i="26"/>
  <c r="I1344" i="26"/>
  <c r="H1344" i="26"/>
  <c r="E1344" i="26"/>
  <c r="Z1343" i="26"/>
  <c r="AA1343" i="26" s="1"/>
  <c r="Y1343" i="26"/>
  <c r="X1343" i="26"/>
  <c r="V1343" i="26"/>
  <c r="T1343" i="26"/>
  <c r="R1343" i="26" s="1"/>
  <c r="Q1343" i="26"/>
  <c r="P1343" i="26"/>
  <c r="N1343" i="26"/>
  <c r="M1343" i="26"/>
  <c r="L1343" i="26"/>
  <c r="J1343" i="26" s="1"/>
  <c r="I1343" i="26"/>
  <c r="H1343" i="26"/>
  <c r="F1343" i="26"/>
  <c r="E1343" i="26"/>
  <c r="Y1342" i="26"/>
  <c r="Z1342" i="26" s="1"/>
  <c r="AA1342" i="26" s="1"/>
  <c r="X1342" i="26"/>
  <c r="V1342" i="26"/>
  <c r="T1342" i="26"/>
  <c r="R1342" i="26"/>
  <c r="Q1342" i="26"/>
  <c r="P1342" i="26"/>
  <c r="M1342" i="26"/>
  <c r="L1342" i="26"/>
  <c r="I1342" i="26"/>
  <c r="H1342" i="26"/>
  <c r="E1342" i="26"/>
  <c r="Z1340" i="26"/>
  <c r="AA1340" i="26" s="1"/>
  <c r="Y1340" i="26"/>
  <c r="X1340" i="26"/>
  <c r="T1340" i="26"/>
  <c r="R1340" i="26"/>
  <c r="Q1340" i="26"/>
  <c r="P1340" i="26"/>
  <c r="N1340" i="26"/>
  <c r="M1340" i="26"/>
  <c r="L1340" i="26"/>
  <c r="J1340" i="26"/>
  <c r="I1340" i="26"/>
  <c r="H1340" i="26"/>
  <c r="F1340" i="26" s="1"/>
  <c r="E1340" i="26"/>
  <c r="Z1339" i="26"/>
  <c r="AA1339" i="26" s="1"/>
  <c r="Y1339" i="26"/>
  <c r="X1339" i="26"/>
  <c r="T1339" i="26"/>
  <c r="R1339" i="26"/>
  <c r="Q1339" i="26"/>
  <c r="P1339" i="26"/>
  <c r="N1339" i="26"/>
  <c r="M1339" i="26"/>
  <c r="L1339" i="26"/>
  <c r="J1339" i="26"/>
  <c r="I1339" i="26"/>
  <c r="H1339" i="26"/>
  <c r="F1339" i="26" s="1"/>
  <c r="E1339" i="26"/>
  <c r="T1338" i="26"/>
  <c r="Q1338" i="26"/>
  <c r="P1338" i="26"/>
  <c r="M1338" i="26"/>
  <c r="L1338" i="26"/>
  <c r="I1338" i="26"/>
  <c r="H1338" i="26"/>
  <c r="F1338" i="26"/>
  <c r="E1338" i="26"/>
  <c r="V1338" i="26" s="1"/>
  <c r="X1337" i="26"/>
  <c r="T1337" i="26"/>
  <c r="Q1337" i="26"/>
  <c r="P1337" i="26"/>
  <c r="M1337" i="26"/>
  <c r="L1337" i="26"/>
  <c r="I1337" i="26"/>
  <c r="H1337" i="26"/>
  <c r="E1337" i="26"/>
  <c r="X1336" i="26"/>
  <c r="T1336" i="26"/>
  <c r="Q1336" i="26"/>
  <c r="P1336" i="26"/>
  <c r="M1336" i="26"/>
  <c r="L1336" i="26"/>
  <c r="I1336" i="26"/>
  <c r="H1336" i="26"/>
  <c r="E1336" i="26"/>
  <c r="X1335" i="26"/>
  <c r="T1335" i="26"/>
  <c r="Q1335" i="26"/>
  <c r="V1335" i="26" s="1"/>
  <c r="P1335" i="26"/>
  <c r="M1335" i="26"/>
  <c r="L1335" i="26"/>
  <c r="I1335" i="26"/>
  <c r="H1335" i="26"/>
  <c r="E1335" i="26"/>
  <c r="X1334" i="26"/>
  <c r="T1334" i="26"/>
  <c r="Q1334" i="26"/>
  <c r="P1334" i="26"/>
  <c r="M1334" i="26"/>
  <c r="L1334" i="26"/>
  <c r="I1334" i="26"/>
  <c r="H1334" i="26"/>
  <c r="E1334" i="26"/>
  <c r="V1334" i="26" s="1"/>
  <c r="X1333" i="26"/>
  <c r="T1333" i="26"/>
  <c r="Q1333" i="26"/>
  <c r="P1333" i="26"/>
  <c r="M1333" i="26"/>
  <c r="L1333" i="26"/>
  <c r="I1333" i="26"/>
  <c r="V1333" i="26" s="1"/>
  <c r="H1333" i="26"/>
  <c r="E1333" i="26"/>
  <c r="X1332" i="26"/>
  <c r="V1332" i="26"/>
  <c r="T1332" i="26"/>
  <c r="Q1332" i="26"/>
  <c r="P1332" i="26"/>
  <c r="N1332" i="26"/>
  <c r="M1332" i="26"/>
  <c r="L1332" i="26"/>
  <c r="I1332" i="26"/>
  <c r="H1332" i="26"/>
  <c r="E1332" i="26"/>
  <c r="X1331" i="26"/>
  <c r="T1331" i="26"/>
  <c r="R1331" i="26" s="1"/>
  <c r="Q1331" i="26"/>
  <c r="P1331" i="26"/>
  <c r="M1331" i="26"/>
  <c r="L1331" i="26"/>
  <c r="I1331" i="26"/>
  <c r="H1331" i="26"/>
  <c r="E1331" i="26"/>
  <c r="V1331" i="26" s="1"/>
  <c r="X1330" i="26"/>
  <c r="T1330" i="26"/>
  <c r="Q1330" i="26"/>
  <c r="P1330" i="26"/>
  <c r="M1330" i="26"/>
  <c r="L1330" i="26"/>
  <c r="I1330" i="26"/>
  <c r="H1330" i="26"/>
  <c r="E1330" i="26"/>
  <c r="X1329" i="26"/>
  <c r="T1329" i="26"/>
  <c r="Q1329" i="26"/>
  <c r="P1329" i="26"/>
  <c r="N1329" i="26" s="1"/>
  <c r="M1329" i="26"/>
  <c r="L1329" i="26"/>
  <c r="I1329" i="26"/>
  <c r="H1329" i="26"/>
  <c r="E1329" i="26"/>
  <c r="V1329" i="26" s="1"/>
  <c r="R1329" i="26" s="1"/>
  <c r="X1328" i="26"/>
  <c r="T1328" i="26"/>
  <c r="Q1328" i="26"/>
  <c r="P1328" i="26"/>
  <c r="M1328" i="26"/>
  <c r="L1328" i="26"/>
  <c r="I1328" i="26"/>
  <c r="H1328" i="26"/>
  <c r="E1328" i="26"/>
  <c r="X1327" i="26"/>
  <c r="T1327" i="26"/>
  <c r="Q1327" i="26"/>
  <c r="V1327" i="26" s="1"/>
  <c r="P1327" i="26"/>
  <c r="N1327" i="26"/>
  <c r="M1327" i="26"/>
  <c r="L1327" i="26"/>
  <c r="I1327" i="26"/>
  <c r="H1327" i="26"/>
  <c r="E1327" i="26"/>
  <c r="X1326" i="26"/>
  <c r="T1326" i="26"/>
  <c r="Q1326" i="26"/>
  <c r="P1326" i="26"/>
  <c r="M1326" i="26"/>
  <c r="L1326" i="26"/>
  <c r="I1326" i="26"/>
  <c r="H1326" i="26"/>
  <c r="E1326" i="26"/>
  <c r="V1326" i="26" s="1"/>
  <c r="X1325" i="26"/>
  <c r="V1325" i="26"/>
  <c r="T1325" i="26"/>
  <c r="Q1325" i="26"/>
  <c r="P1325" i="26"/>
  <c r="N1325" i="26" s="1"/>
  <c r="M1325" i="26"/>
  <c r="L1325" i="26"/>
  <c r="I1325" i="26"/>
  <c r="H1325" i="26"/>
  <c r="E1325" i="26"/>
  <c r="Y1324" i="26"/>
  <c r="Z1324" i="26" s="1"/>
  <c r="AA1324" i="26" s="1"/>
  <c r="X1324" i="26"/>
  <c r="T1324" i="26"/>
  <c r="Q1324" i="26"/>
  <c r="P1324" i="26"/>
  <c r="N1324" i="26"/>
  <c r="M1324" i="26"/>
  <c r="V1324" i="26" s="1"/>
  <c r="L1324" i="26"/>
  <c r="I1324" i="26"/>
  <c r="H1324" i="26"/>
  <c r="F1324" i="26"/>
  <c r="E1324" i="26"/>
  <c r="X1323" i="26"/>
  <c r="T1323" i="26"/>
  <c r="Q1323" i="26"/>
  <c r="P1323" i="26"/>
  <c r="M1323" i="26"/>
  <c r="L1323" i="26"/>
  <c r="I1323" i="26"/>
  <c r="H1323" i="26"/>
  <c r="E1323" i="26"/>
  <c r="V1323" i="26" s="1"/>
  <c r="R1323" i="26" s="1"/>
  <c r="X1322" i="26"/>
  <c r="T1322" i="26"/>
  <c r="R1322" i="26" s="1"/>
  <c r="Q1322" i="26"/>
  <c r="P1322" i="26"/>
  <c r="N1322" i="26"/>
  <c r="M1322" i="26"/>
  <c r="L1322" i="26"/>
  <c r="I1322" i="26"/>
  <c r="H1322" i="26"/>
  <c r="F1322" i="26"/>
  <c r="E1322" i="26"/>
  <c r="V1322" i="26" s="1"/>
  <c r="X1321" i="26"/>
  <c r="V1321" i="26"/>
  <c r="T1321" i="26"/>
  <c r="Q1321" i="26"/>
  <c r="P1321" i="26"/>
  <c r="M1321" i="26"/>
  <c r="L1321" i="26"/>
  <c r="I1321" i="26"/>
  <c r="H1321" i="26"/>
  <c r="E1321" i="26"/>
  <c r="X1320" i="26"/>
  <c r="T1320" i="26"/>
  <c r="Q1320" i="26"/>
  <c r="P1320" i="26"/>
  <c r="M1320" i="26"/>
  <c r="L1320" i="26"/>
  <c r="I1320" i="26"/>
  <c r="H1320" i="26"/>
  <c r="E1320" i="26"/>
  <c r="X1319" i="26"/>
  <c r="T1319" i="26"/>
  <c r="Q1319" i="26"/>
  <c r="P1319" i="26"/>
  <c r="M1319" i="26"/>
  <c r="L1319" i="26"/>
  <c r="I1319" i="26"/>
  <c r="H1319" i="26"/>
  <c r="E1319" i="26"/>
  <c r="X1318" i="26"/>
  <c r="T1318" i="26"/>
  <c r="Q1318" i="26"/>
  <c r="P1318" i="26"/>
  <c r="M1318" i="26"/>
  <c r="L1318" i="26"/>
  <c r="I1318" i="26"/>
  <c r="V1318" i="26" s="1"/>
  <c r="H1318" i="26"/>
  <c r="E1318" i="26"/>
  <c r="X1317" i="26"/>
  <c r="T1317" i="26"/>
  <c r="Q1317" i="26"/>
  <c r="P1317" i="26"/>
  <c r="M1317" i="26"/>
  <c r="V1317" i="26" s="1"/>
  <c r="L1317" i="26"/>
  <c r="I1317" i="26"/>
  <c r="H1317" i="26"/>
  <c r="E1317" i="26"/>
  <c r="Y1316" i="26"/>
  <c r="Z1316" i="26" s="1"/>
  <c r="AA1316" i="26" s="1"/>
  <c r="X1316" i="26"/>
  <c r="T1316" i="26"/>
  <c r="Q1316" i="26"/>
  <c r="P1316" i="26"/>
  <c r="N1316" i="26"/>
  <c r="M1316" i="26"/>
  <c r="V1316" i="26" s="1"/>
  <c r="L1316" i="26"/>
  <c r="I1316" i="26"/>
  <c r="H1316" i="26"/>
  <c r="F1316" i="26"/>
  <c r="E1316" i="26"/>
  <c r="X1315" i="26"/>
  <c r="T1315" i="26"/>
  <c r="Q1315" i="26"/>
  <c r="P1315" i="26"/>
  <c r="M1315" i="26"/>
  <c r="L1315" i="26"/>
  <c r="I1315" i="26"/>
  <c r="H1315" i="26"/>
  <c r="E1315" i="26"/>
  <c r="X1313" i="26"/>
  <c r="T1313" i="26"/>
  <c r="R1313" i="26" s="1"/>
  <c r="Q1313" i="26"/>
  <c r="P1313" i="26"/>
  <c r="N1313" i="26"/>
  <c r="M1313" i="26"/>
  <c r="L1313" i="26"/>
  <c r="I1313" i="26"/>
  <c r="H1313" i="26"/>
  <c r="F1313" i="26"/>
  <c r="E1313" i="26"/>
  <c r="V1313" i="26" s="1"/>
  <c r="X1312" i="26"/>
  <c r="V1312" i="26"/>
  <c r="T1312" i="26"/>
  <c r="Q1312" i="26"/>
  <c r="P1312" i="26"/>
  <c r="M1312" i="26"/>
  <c r="L1312" i="26"/>
  <c r="J1312" i="26"/>
  <c r="I1312" i="26"/>
  <c r="H1312" i="26"/>
  <c r="E1312" i="26"/>
  <c r="X1311" i="26"/>
  <c r="T1311" i="26"/>
  <c r="R1311" i="26"/>
  <c r="Q1311" i="26"/>
  <c r="P1311" i="26"/>
  <c r="N1311" i="26" s="1"/>
  <c r="M1311" i="26"/>
  <c r="L1311" i="26"/>
  <c r="I1311" i="26"/>
  <c r="H1311" i="26"/>
  <c r="E1311" i="26"/>
  <c r="V1311" i="26" s="1"/>
  <c r="Y1310" i="26"/>
  <c r="Z1310" i="26" s="1"/>
  <c r="AA1310" i="26" s="1"/>
  <c r="X1310" i="26"/>
  <c r="T1310" i="26"/>
  <c r="Q1310" i="26"/>
  <c r="P1310" i="26"/>
  <c r="N1310" i="26"/>
  <c r="M1310" i="26"/>
  <c r="V1310" i="26" s="1"/>
  <c r="L1310" i="26"/>
  <c r="I1310" i="26"/>
  <c r="H1310" i="26"/>
  <c r="E1310" i="26"/>
  <c r="X1309" i="26"/>
  <c r="V1309" i="26"/>
  <c r="N1309" i="26" s="1"/>
  <c r="T1309" i="26"/>
  <c r="Q1309" i="26"/>
  <c r="P1309" i="26"/>
  <c r="M1309" i="26"/>
  <c r="L1309" i="26"/>
  <c r="J1309" i="26"/>
  <c r="I1309" i="26"/>
  <c r="H1309" i="26"/>
  <c r="E1309" i="26"/>
  <c r="Y1308" i="26"/>
  <c r="Z1308" i="26" s="1"/>
  <c r="AA1308" i="26" s="1"/>
  <c r="X1308" i="26"/>
  <c r="V1308" i="26"/>
  <c r="F1308" i="26" s="1"/>
  <c r="T1308" i="26"/>
  <c r="Q1308" i="26"/>
  <c r="P1308" i="26"/>
  <c r="M1308" i="26"/>
  <c r="L1308" i="26"/>
  <c r="J1308" i="26"/>
  <c r="I1308" i="26"/>
  <c r="H1308" i="26"/>
  <c r="E1308" i="26"/>
  <c r="Z1307" i="26"/>
  <c r="AA1307" i="26" s="1"/>
  <c r="Y1307" i="26"/>
  <c r="X1307" i="26"/>
  <c r="V1307" i="26"/>
  <c r="T1307" i="26"/>
  <c r="R1307" i="26"/>
  <c r="Q1307" i="26"/>
  <c r="P1307" i="26"/>
  <c r="N1307" i="26"/>
  <c r="M1307" i="26"/>
  <c r="L1307" i="26"/>
  <c r="J1307" i="26" s="1"/>
  <c r="I1307" i="26"/>
  <c r="H1307" i="26"/>
  <c r="F1307" i="26"/>
  <c r="E1307" i="26"/>
  <c r="X1306" i="26"/>
  <c r="T1306" i="26"/>
  <c r="Q1306" i="26"/>
  <c r="P1306" i="26"/>
  <c r="M1306" i="26"/>
  <c r="L1306" i="26"/>
  <c r="I1306" i="26"/>
  <c r="H1306" i="26"/>
  <c r="E1306" i="26"/>
  <c r="X1305" i="26"/>
  <c r="T1305" i="26"/>
  <c r="Q1305" i="26"/>
  <c r="P1305" i="26"/>
  <c r="M1305" i="26"/>
  <c r="L1305" i="26"/>
  <c r="I1305" i="26"/>
  <c r="H1305" i="26"/>
  <c r="E1305" i="26"/>
  <c r="V1305" i="26" s="1"/>
  <c r="X1304" i="26"/>
  <c r="V1304" i="26"/>
  <c r="T1304" i="26"/>
  <c r="Q1304" i="26"/>
  <c r="P1304" i="26"/>
  <c r="M1304" i="26"/>
  <c r="L1304" i="26"/>
  <c r="J1304" i="26"/>
  <c r="I1304" i="26"/>
  <c r="H1304" i="26"/>
  <c r="E1304" i="26"/>
  <c r="Y1303" i="26"/>
  <c r="Z1303" i="26" s="1"/>
  <c r="AA1303" i="26" s="1"/>
  <c r="X1303" i="26"/>
  <c r="V1303" i="26"/>
  <c r="T1303" i="26"/>
  <c r="R1303" i="26"/>
  <c r="Q1303" i="26"/>
  <c r="P1303" i="26"/>
  <c r="N1303" i="26" s="1"/>
  <c r="M1303" i="26"/>
  <c r="L1303" i="26"/>
  <c r="J1303" i="26" s="1"/>
  <c r="I1303" i="26"/>
  <c r="H1303" i="26"/>
  <c r="F1303" i="26"/>
  <c r="E1303" i="26"/>
  <c r="Z1302" i="26"/>
  <c r="AA1302" i="26" s="1"/>
  <c r="Y1302" i="26"/>
  <c r="X1302" i="26"/>
  <c r="V1302" i="26"/>
  <c r="F1302" i="26" s="1"/>
  <c r="T1302" i="26"/>
  <c r="R1302" i="26" s="1"/>
  <c r="Q1302" i="26"/>
  <c r="P1302" i="26"/>
  <c r="N1302" i="26"/>
  <c r="M1302" i="26"/>
  <c r="L1302" i="26"/>
  <c r="J1302" i="26"/>
  <c r="I1302" i="26"/>
  <c r="H1302" i="26"/>
  <c r="E1302" i="26"/>
  <c r="X1301" i="26"/>
  <c r="V1301" i="26"/>
  <c r="T1301" i="26"/>
  <c r="R1301" i="26"/>
  <c r="Q1301" i="26"/>
  <c r="P1301" i="26"/>
  <c r="N1301" i="26" s="1"/>
  <c r="M1301" i="26"/>
  <c r="L1301" i="26"/>
  <c r="J1301" i="26" s="1"/>
  <c r="I1301" i="26"/>
  <c r="H1301" i="26"/>
  <c r="E1301" i="26"/>
  <c r="Y1300" i="26"/>
  <c r="Z1300" i="26" s="1"/>
  <c r="AA1300" i="26" s="1"/>
  <c r="X1300" i="26"/>
  <c r="T1300" i="26"/>
  <c r="Q1300" i="26"/>
  <c r="P1300" i="26"/>
  <c r="N1300" i="26" s="1"/>
  <c r="M1300" i="26"/>
  <c r="L1300" i="26"/>
  <c r="I1300" i="26"/>
  <c r="V1300" i="26" s="1"/>
  <c r="H1300" i="26"/>
  <c r="E1300" i="26"/>
  <c r="X1299" i="26"/>
  <c r="V1299" i="26"/>
  <c r="N1299" i="26" s="1"/>
  <c r="T1299" i="26"/>
  <c r="Q1299" i="26"/>
  <c r="P1299" i="26"/>
  <c r="M1299" i="26"/>
  <c r="L1299" i="26"/>
  <c r="J1299" i="26"/>
  <c r="I1299" i="26"/>
  <c r="H1299" i="26"/>
  <c r="E1299" i="26"/>
  <c r="X1298" i="26"/>
  <c r="T1298" i="26"/>
  <c r="Q1298" i="26"/>
  <c r="P1298" i="26"/>
  <c r="M1298" i="26"/>
  <c r="L1298" i="26"/>
  <c r="I1298" i="26"/>
  <c r="H1298" i="26"/>
  <c r="E1298" i="26"/>
  <c r="Y1296" i="26"/>
  <c r="Z1296" i="26" s="1"/>
  <c r="AA1296" i="26" s="1"/>
  <c r="X1296" i="26"/>
  <c r="T1296" i="26"/>
  <c r="R1296" i="26"/>
  <c r="Q1296" i="26"/>
  <c r="P1296" i="26"/>
  <c r="N1296" i="26" s="1"/>
  <c r="M1296" i="26"/>
  <c r="L1296" i="26"/>
  <c r="J1296" i="26" s="1"/>
  <c r="I1296" i="26"/>
  <c r="H1296" i="26"/>
  <c r="F1296" i="26" s="1"/>
  <c r="E1296" i="26"/>
  <c r="X1295" i="26"/>
  <c r="T1295" i="26"/>
  <c r="R1295" i="26" s="1"/>
  <c r="Q1295" i="26"/>
  <c r="P1295" i="26"/>
  <c r="N1295" i="26" s="1"/>
  <c r="M1295" i="26"/>
  <c r="L1295" i="26"/>
  <c r="J1295" i="26"/>
  <c r="I1295" i="26"/>
  <c r="H1295" i="26"/>
  <c r="F1295" i="26"/>
  <c r="E1295" i="26"/>
  <c r="V1295" i="26" s="1"/>
  <c r="Y1295" i="26" s="1"/>
  <c r="Z1295" i="26" s="1"/>
  <c r="AA1295" i="26" s="1"/>
  <c r="X1294" i="26"/>
  <c r="T1294" i="26"/>
  <c r="Q1294" i="26"/>
  <c r="P1294" i="26"/>
  <c r="M1294" i="26"/>
  <c r="L1294" i="26"/>
  <c r="I1294" i="26"/>
  <c r="H1294" i="26"/>
  <c r="E1294" i="26"/>
  <c r="V1294" i="26" s="1"/>
  <c r="X1293" i="26"/>
  <c r="T1293" i="26"/>
  <c r="Q1293" i="26"/>
  <c r="P1293" i="26"/>
  <c r="M1293" i="26"/>
  <c r="L1293" i="26"/>
  <c r="I1293" i="26"/>
  <c r="H1293" i="26"/>
  <c r="E1293" i="26"/>
  <c r="V1293" i="26" s="1"/>
  <c r="X1292" i="26"/>
  <c r="T1292" i="26"/>
  <c r="Q1292" i="26"/>
  <c r="P1292" i="26"/>
  <c r="M1292" i="26"/>
  <c r="L1292" i="26"/>
  <c r="I1292" i="26"/>
  <c r="H1292" i="26"/>
  <c r="E1292" i="26"/>
  <c r="X1291" i="26"/>
  <c r="T1291" i="26"/>
  <c r="Q1291" i="26"/>
  <c r="P1291" i="26"/>
  <c r="M1291" i="26"/>
  <c r="L1291" i="26"/>
  <c r="I1291" i="26"/>
  <c r="H1291" i="26"/>
  <c r="E1291" i="26"/>
  <c r="X1290" i="26"/>
  <c r="T1290" i="26"/>
  <c r="Q1290" i="26"/>
  <c r="P1290" i="26"/>
  <c r="M1290" i="26"/>
  <c r="L1290" i="26"/>
  <c r="I1290" i="26"/>
  <c r="H1290" i="26"/>
  <c r="E1290" i="26"/>
  <c r="X1289" i="26"/>
  <c r="V1289" i="26"/>
  <c r="T1289" i="26"/>
  <c r="Q1289" i="26"/>
  <c r="P1289" i="26"/>
  <c r="M1289" i="26"/>
  <c r="L1289" i="26"/>
  <c r="I1289" i="26"/>
  <c r="H1289" i="26"/>
  <c r="E1289" i="26"/>
  <c r="X1288" i="26"/>
  <c r="T1288" i="26"/>
  <c r="Q1288" i="26"/>
  <c r="P1288" i="26"/>
  <c r="M1288" i="26"/>
  <c r="L1288" i="26"/>
  <c r="I1288" i="26"/>
  <c r="H1288" i="26"/>
  <c r="E1288" i="26"/>
  <c r="X1287" i="26"/>
  <c r="T1287" i="26"/>
  <c r="R1287" i="26" s="1"/>
  <c r="Q1287" i="26"/>
  <c r="P1287" i="26"/>
  <c r="M1287" i="26"/>
  <c r="L1287" i="26"/>
  <c r="I1287" i="26"/>
  <c r="H1287" i="26"/>
  <c r="F1287" i="26"/>
  <c r="E1287" i="26"/>
  <c r="V1287" i="26" s="1"/>
  <c r="Y1287" i="26" s="1"/>
  <c r="Z1287" i="26" s="1"/>
  <c r="AA1287" i="26" s="1"/>
  <c r="X1286" i="26"/>
  <c r="T1286" i="26"/>
  <c r="Q1286" i="26"/>
  <c r="P1286" i="26"/>
  <c r="M1286" i="26"/>
  <c r="L1286" i="26"/>
  <c r="I1286" i="26"/>
  <c r="H1286" i="26"/>
  <c r="E1286" i="26"/>
  <c r="X1285" i="26"/>
  <c r="T1285" i="26"/>
  <c r="Q1285" i="26"/>
  <c r="P1285" i="26"/>
  <c r="M1285" i="26"/>
  <c r="L1285" i="26"/>
  <c r="I1285" i="26"/>
  <c r="H1285" i="26"/>
  <c r="E1285" i="26"/>
  <c r="X1284" i="26"/>
  <c r="T1284" i="26"/>
  <c r="Q1284" i="26"/>
  <c r="P1284" i="26"/>
  <c r="M1284" i="26"/>
  <c r="L1284" i="26"/>
  <c r="I1284" i="26"/>
  <c r="H1284" i="26"/>
  <c r="E1284" i="26"/>
  <c r="X1283" i="26"/>
  <c r="T1283" i="26"/>
  <c r="Q1283" i="26"/>
  <c r="P1283" i="26"/>
  <c r="M1283" i="26"/>
  <c r="L1283" i="26"/>
  <c r="I1283" i="26"/>
  <c r="H1283" i="26"/>
  <c r="E1283" i="26"/>
  <c r="X1282" i="26"/>
  <c r="T1282" i="26"/>
  <c r="R1282" i="26"/>
  <c r="Q1282" i="26"/>
  <c r="P1282" i="26"/>
  <c r="M1282" i="26"/>
  <c r="L1282" i="26"/>
  <c r="I1282" i="26"/>
  <c r="H1282" i="26"/>
  <c r="F1282" i="26" s="1"/>
  <c r="E1282" i="26"/>
  <c r="V1282" i="26" s="1"/>
  <c r="Y1282" i="26" s="1"/>
  <c r="Z1282" i="26" s="1"/>
  <c r="AA1282" i="26" s="1"/>
  <c r="X1281" i="26"/>
  <c r="T1281" i="26"/>
  <c r="Q1281" i="26"/>
  <c r="V1281" i="26" s="1"/>
  <c r="P1281" i="26"/>
  <c r="M1281" i="26"/>
  <c r="L1281" i="26"/>
  <c r="I1281" i="26"/>
  <c r="H1281" i="26"/>
  <c r="E1281" i="26"/>
  <c r="X1280" i="26"/>
  <c r="T1280" i="26"/>
  <c r="Q1280" i="26"/>
  <c r="P1280" i="26"/>
  <c r="M1280" i="26"/>
  <c r="L1280" i="26"/>
  <c r="I1280" i="26"/>
  <c r="H1280" i="26"/>
  <c r="E1280" i="26"/>
  <c r="X1279" i="26"/>
  <c r="T1279" i="26"/>
  <c r="Q1279" i="26"/>
  <c r="P1279" i="26"/>
  <c r="N1279" i="26" s="1"/>
  <c r="M1279" i="26"/>
  <c r="L1279" i="26"/>
  <c r="J1279" i="26"/>
  <c r="I1279" i="26"/>
  <c r="H1279" i="26"/>
  <c r="E1279" i="26"/>
  <c r="V1279" i="26" s="1"/>
  <c r="Y1279" i="26" s="1"/>
  <c r="Z1279" i="26" s="1"/>
  <c r="AA1279" i="26" s="1"/>
  <c r="X1278" i="26"/>
  <c r="T1278" i="26"/>
  <c r="Q1278" i="26"/>
  <c r="P1278" i="26"/>
  <c r="M1278" i="26"/>
  <c r="L1278" i="26"/>
  <c r="I1278" i="26"/>
  <c r="H1278" i="26"/>
  <c r="E1278" i="26"/>
  <c r="X1277" i="26"/>
  <c r="T1277" i="26"/>
  <c r="Q1277" i="26"/>
  <c r="P1277" i="26"/>
  <c r="M1277" i="26"/>
  <c r="L1277" i="26"/>
  <c r="I1277" i="26"/>
  <c r="H1277" i="26"/>
  <c r="E1277" i="26"/>
  <c r="X1276" i="26"/>
  <c r="T1276" i="26"/>
  <c r="Q1276" i="26"/>
  <c r="P1276" i="26"/>
  <c r="M1276" i="26"/>
  <c r="L1276" i="26"/>
  <c r="I1276" i="26"/>
  <c r="H1276" i="26"/>
  <c r="E1276" i="26"/>
  <c r="X1274" i="26"/>
  <c r="T1274" i="26"/>
  <c r="R1274" i="26" s="1"/>
  <c r="Q1274" i="26"/>
  <c r="P1274" i="26"/>
  <c r="M1274" i="26"/>
  <c r="L1274" i="26"/>
  <c r="I1274" i="26"/>
  <c r="H1274" i="26"/>
  <c r="F1274" i="26"/>
  <c r="E1274" i="26"/>
  <c r="V1274" i="26" s="1"/>
  <c r="X1273" i="26"/>
  <c r="T1273" i="26"/>
  <c r="Q1273" i="26"/>
  <c r="P1273" i="26"/>
  <c r="M1273" i="26"/>
  <c r="L1273" i="26"/>
  <c r="I1273" i="26"/>
  <c r="H1273" i="26"/>
  <c r="E1273" i="26"/>
  <c r="X1272" i="26"/>
  <c r="V1272" i="26"/>
  <c r="T1272" i="26"/>
  <c r="R1272" i="26"/>
  <c r="Q1272" i="26"/>
  <c r="P1272" i="26"/>
  <c r="M1272" i="26"/>
  <c r="L1272" i="26"/>
  <c r="I1272" i="26"/>
  <c r="H1272" i="26"/>
  <c r="F1272" i="26"/>
  <c r="E1272" i="26"/>
  <c r="X1271" i="26"/>
  <c r="T1271" i="26"/>
  <c r="R1271" i="26"/>
  <c r="Q1271" i="26"/>
  <c r="P1271" i="26"/>
  <c r="N1271" i="26" s="1"/>
  <c r="M1271" i="26"/>
  <c r="L1271" i="26"/>
  <c r="I1271" i="26"/>
  <c r="H1271" i="26"/>
  <c r="E1271" i="26"/>
  <c r="V1271" i="26" s="1"/>
  <c r="X1269" i="26"/>
  <c r="T1269" i="26"/>
  <c r="Q1269" i="26"/>
  <c r="P1269" i="26"/>
  <c r="M1269" i="26"/>
  <c r="L1269" i="26"/>
  <c r="I1269" i="26"/>
  <c r="H1269" i="26"/>
  <c r="E1269" i="26"/>
  <c r="X1268" i="26"/>
  <c r="T1268" i="26"/>
  <c r="Q1268" i="26"/>
  <c r="P1268" i="26"/>
  <c r="N1268" i="26" s="1"/>
  <c r="M1268" i="26"/>
  <c r="L1268" i="26"/>
  <c r="I1268" i="26"/>
  <c r="H1268" i="26"/>
  <c r="F1268" i="26" s="1"/>
  <c r="E1268" i="26"/>
  <c r="V1268" i="26" s="1"/>
  <c r="X1267" i="26"/>
  <c r="T1267" i="26"/>
  <c r="Q1267" i="26"/>
  <c r="P1267" i="26"/>
  <c r="M1267" i="26"/>
  <c r="L1267" i="26"/>
  <c r="I1267" i="26"/>
  <c r="H1267" i="26"/>
  <c r="E1267" i="26"/>
  <c r="X1265" i="26"/>
  <c r="T1265" i="26"/>
  <c r="R1265" i="26" s="1"/>
  <c r="Q1265" i="26"/>
  <c r="P1265" i="26"/>
  <c r="M1265" i="26"/>
  <c r="L1265" i="26"/>
  <c r="I1265" i="26"/>
  <c r="H1265" i="26"/>
  <c r="F1265" i="26"/>
  <c r="E1265" i="26"/>
  <c r="V1265" i="26" s="1"/>
  <c r="X1264" i="26"/>
  <c r="T1264" i="26"/>
  <c r="Q1264" i="26"/>
  <c r="P1264" i="26"/>
  <c r="M1264" i="26"/>
  <c r="L1264" i="26"/>
  <c r="I1264" i="26"/>
  <c r="H1264" i="26"/>
  <c r="E1264" i="26"/>
  <c r="X1263" i="26"/>
  <c r="T1263" i="26"/>
  <c r="Q1263" i="26"/>
  <c r="P1263" i="26"/>
  <c r="M1263" i="26"/>
  <c r="L1263" i="26"/>
  <c r="I1263" i="26"/>
  <c r="H1263" i="26"/>
  <c r="E1263" i="26"/>
  <c r="X1262" i="26"/>
  <c r="T1262" i="26"/>
  <c r="Q1262" i="26"/>
  <c r="V1262" i="26" s="1"/>
  <c r="P1262" i="26"/>
  <c r="M1262" i="26"/>
  <c r="L1262" i="26"/>
  <c r="I1262" i="26"/>
  <c r="H1262" i="26"/>
  <c r="E1262" i="26"/>
  <c r="X1261" i="26"/>
  <c r="T1261" i="26"/>
  <c r="Q1261" i="26"/>
  <c r="P1261" i="26"/>
  <c r="M1261" i="26"/>
  <c r="L1261" i="26"/>
  <c r="I1261" i="26"/>
  <c r="H1261" i="26"/>
  <c r="E1261" i="26"/>
  <c r="X1260" i="26"/>
  <c r="T1260" i="26"/>
  <c r="R1260" i="26" s="1"/>
  <c r="Q1260" i="26"/>
  <c r="P1260" i="26"/>
  <c r="M1260" i="26"/>
  <c r="L1260" i="26"/>
  <c r="I1260" i="26"/>
  <c r="H1260" i="26"/>
  <c r="F1260" i="26"/>
  <c r="E1260" i="26"/>
  <c r="V1260" i="26" s="1"/>
  <c r="Y1260" i="26" s="1"/>
  <c r="Z1260" i="26" s="1"/>
  <c r="AA1260" i="26" s="1"/>
  <c r="X1259" i="26"/>
  <c r="T1259" i="26"/>
  <c r="R1259" i="26"/>
  <c r="Q1259" i="26"/>
  <c r="P1259" i="26"/>
  <c r="N1259" i="26" s="1"/>
  <c r="M1259" i="26"/>
  <c r="L1259" i="26"/>
  <c r="I1259" i="26"/>
  <c r="H1259" i="26"/>
  <c r="E1259" i="26"/>
  <c r="V1259" i="26" s="1"/>
  <c r="X1258" i="26"/>
  <c r="T1258" i="26"/>
  <c r="R1258" i="26"/>
  <c r="Q1258" i="26"/>
  <c r="P1258" i="26"/>
  <c r="M1258" i="26"/>
  <c r="L1258" i="26"/>
  <c r="I1258" i="26"/>
  <c r="H1258" i="26"/>
  <c r="E1258" i="26"/>
  <c r="V1258" i="26" s="1"/>
  <c r="X1257" i="26"/>
  <c r="T1257" i="26"/>
  <c r="Q1257" i="26"/>
  <c r="P1257" i="26"/>
  <c r="M1257" i="26"/>
  <c r="L1257" i="26"/>
  <c r="I1257" i="26"/>
  <c r="H1257" i="26"/>
  <c r="E1257" i="26"/>
  <c r="X1256" i="26"/>
  <c r="V1256" i="26"/>
  <c r="T1256" i="26"/>
  <c r="R1256" i="26"/>
  <c r="Q1256" i="26"/>
  <c r="P1256" i="26"/>
  <c r="M1256" i="26"/>
  <c r="L1256" i="26"/>
  <c r="I1256" i="26"/>
  <c r="H1256" i="26"/>
  <c r="E1256" i="26"/>
  <c r="X1255" i="26"/>
  <c r="T1255" i="26"/>
  <c r="R1255" i="26" s="1"/>
  <c r="Q1255" i="26"/>
  <c r="P1255" i="26"/>
  <c r="N1255" i="26"/>
  <c r="M1255" i="26"/>
  <c r="L1255" i="26"/>
  <c r="I1255" i="26"/>
  <c r="V1255" i="26" s="1"/>
  <c r="H1255" i="26"/>
  <c r="E1255" i="26"/>
  <c r="AA1254" i="26"/>
  <c r="Y1254" i="26"/>
  <c r="Z1254" i="26" s="1"/>
  <c r="X1254" i="26"/>
  <c r="V1254" i="26"/>
  <c r="F1254" i="26" s="1"/>
  <c r="T1254" i="26"/>
  <c r="Q1254" i="26"/>
  <c r="P1254" i="26"/>
  <c r="N1254" i="26" s="1"/>
  <c r="M1254" i="26"/>
  <c r="L1254" i="26"/>
  <c r="J1254" i="26" s="1"/>
  <c r="I1254" i="26"/>
  <c r="H1254" i="26"/>
  <c r="E1254" i="26"/>
  <c r="X1252" i="26"/>
  <c r="T1252" i="26"/>
  <c r="Q1252" i="26"/>
  <c r="P1252" i="26"/>
  <c r="M1252" i="26"/>
  <c r="L1252" i="26"/>
  <c r="I1252" i="26"/>
  <c r="H1252" i="26"/>
  <c r="E1252" i="26"/>
  <c r="X1251" i="26"/>
  <c r="T1251" i="26"/>
  <c r="Q1251" i="26"/>
  <c r="P1251" i="26"/>
  <c r="M1251" i="26"/>
  <c r="L1251" i="26"/>
  <c r="I1251" i="26"/>
  <c r="H1251" i="26"/>
  <c r="E1251" i="26"/>
  <c r="X1250" i="26"/>
  <c r="T1250" i="26"/>
  <c r="Q1250" i="26"/>
  <c r="P1250" i="26"/>
  <c r="M1250" i="26"/>
  <c r="L1250" i="26"/>
  <c r="I1250" i="26"/>
  <c r="H1250" i="26"/>
  <c r="E1250" i="26"/>
  <c r="X1249" i="26"/>
  <c r="T1249" i="26"/>
  <c r="Q1249" i="26"/>
  <c r="P1249" i="26"/>
  <c r="M1249" i="26"/>
  <c r="L1249" i="26"/>
  <c r="J1249" i="26"/>
  <c r="I1249" i="26"/>
  <c r="H1249" i="26"/>
  <c r="E1249" i="26"/>
  <c r="V1249" i="26" s="1"/>
  <c r="Y1249" i="26" s="1"/>
  <c r="Z1249" i="26" s="1"/>
  <c r="AA1249" i="26" s="1"/>
  <c r="X1248" i="26"/>
  <c r="T1248" i="26"/>
  <c r="Q1248" i="26"/>
  <c r="P1248" i="26"/>
  <c r="M1248" i="26"/>
  <c r="L1248" i="26"/>
  <c r="I1248" i="26"/>
  <c r="H1248" i="26"/>
  <c r="E1248" i="26"/>
  <c r="X1247" i="26"/>
  <c r="V1247" i="26"/>
  <c r="T1247" i="26"/>
  <c r="Q1247" i="26"/>
  <c r="P1247" i="26"/>
  <c r="M1247" i="26"/>
  <c r="L1247" i="26"/>
  <c r="I1247" i="26"/>
  <c r="H1247" i="26"/>
  <c r="E1247" i="26"/>
  <c r="X1246" i="26"/>
  <c r="T1246" i="26"/>
  <c r="Q1246" i="26"/>
  <c r="P1246" i="26"/>
  <c r="N1246" i="26"/>
  <c r="M1246" i="26"/>
  <c r="L1246" i="26"/>
  <c r="I1246" i="26"/>
  <c r="V1246" i="26" s="1"/>
  <c r="H1246" i="26"/>
  <c r="E1246" i="26"/>
  <c r="AA1245" i="26"/>
  <c r="Y1245" i="26"/>
  <c r="Z1245" i="26" s="1"/>
  <c r="X1245" i="26"/>
  <c r="V1245" i="26"/>
  <c r="F1245" i="26" s="1"/>
  <c r="T1245" i="26"/>
  <c r="Q1245" i="26"/>
  <c r="P1245" i="26"/>
  <c r="N1245" i="26" s="1"/>
  <c r="M1245" i="26"/>
  <c r="L1245" i="26"/>
  <c r="J1245" i="26" s="1"/>
  <c r="I1245" i="26"/>
  <c r="H1245" i="26"/>
  <c r="E1245" i="26"/>
  <c r="X1244" i="26"/>
  <c r="T1244" i="26"/>
  <c r="Q1244" i="26"/>
  <c r="P1244" i="26"/>
  <c r="M1244" i="26"/>
  <c r="L1244" i="26"/>
  <c r="I1244" i="26"/>
  <c r="H1244" i="26"/>
  <c r="E1244" i="26"/>
  <c r="X1243" i="26"/>
  <c r="T1243" i="26"/>
  <c r="Q1243" i="26"/>
  <c r="P1243" i="26"/>
  <c r="M1243" i="26"/>
  <c r="L1243" i="26"/>
  <c r="I1243" i="26"/>
  <c r="H1243" i="26"/>
  <c r="E1243" i="26"/>
  <c r="X1242" i="26"/>
  <c r="T1242" i="26"/>
  <c r="Q1242" i="26"/>
  <c r="P1242" i="26"/>
  <c r="M1242" i="26"/>
  <c r="L1242" i="26"/>
  <c r="I1242" i="26"/>
  <c r="H1242" i="26"/>
  <c r="E1242" i="26"/>
  <c r="X1241" i="26"/>
  <c r="T1241" i="26"/>
  <c r="Q1241" i="26"/>
  <c r="P1241" i="26"/>
  <c r="M1241" i="26"/>
  <c r="L1241" i="26"/>
  <c r="I1241" i="26"/>
  <c r="H1241" i="26"/>
  <c r="E1241" i="26"/>
  <c r="V1241" i="26" s="1"/>
  <c r="X1240" i="26"/>
  <c r="T1240" i="26"/>
  <c r="Q1240" i="26"/>
  <c r="P1240" i="26"/>
  <c r="M1240" i="26"/>
  <c r="L1240" i="26"/>
  <c r="I1240" i="26"/>
  <c r="H1240" i="26"/>
  <c r="E1240" i="26"/>
  <c r="X1239" i="26"/>
  <c r="V1239" i="26"/>
  <c r="T1239" i="26"/>
  <c r="Q1239" i="26"/>
  <c r="P1239" i="26"/>
  <c r="M1239" i="26"/>
  <c r="L1239" i="26"/>
  <c r="I1239" i="26"/>
  <c r="H1239" i="26"/>
  <c r="E1239" i="26"/>
  <c r="X1238" i="26"/>
  <c r="V1238" i="26"/>
  <c r="T1238" i="26"/>
  <c r="R1238" i="26" s="1"/>
  <c r="Q1238" i="26"/>
  <c r="P1238" i="26"/>
  <c r="N1238" i="26"/>
  <c r="M1238" i="26"/>
  <c r="L1238" i="26"/>
  <c r="I1238" i="26"/>
  <c r="H1238" i="26"/>
  <c r="E1238" i="26"/>
  <c r="Y1237" i="26"/>
  <c r="Z1237" i="26" s="1"/>
  <c r="AA1237" i="26" s="1"/>
  <c r="X1237" i="26"/>
  <c r="V1237" i="26"/>
  <c r="F1237" i="26" s="1"/>
  <c r="T1237" i="26"/>
  <c r="Q1237" i="26"/>
  <c r="P1237" i="26"/>
  <c r="N1237" i="26" s="1"/>
  <c r="M1237" i="26"/>
  <c r="L1237" i="26"/>
  <c r="J1237" i="26"/>
  <c r="I1237" i="26"/>
  <c r="H1237" i="26"/>
  <c r="E1237" i="26"/>
  <c r="Y1236" i="26"/>
  <c r="Z1236" i="26" s="1"/>
  <c r="AA1236" i="26" s="1"/>
  <c r="X1236" i="26"/>
  <c r="V1236" i="26"/>
  <c r="R1236" i="26" s="1"/>
  <c r="T1236" i="26"/>
  <c r="Q1236" i="26"/>
  <c r="P1236" i="26"/>
  <c r="N1236" i="26"/>
  <c r="M1236" i="26"/>
  <c r="L1236" i="26"/>
  <c r="J1236" i="26" s="1"/>
  <c r="I1236" i="26"/>
  <c r="H1236" i="26"/>
  <c r="F1236" i="26"/>
  <c r="E1236" i="26"/>
  <c r="Y1235" i="26"/>
  <c r="Z1235" i="26" s="1"/>
  <c r="AA1235" i="26" s="1"/>
  <c r="X1235" i="26"/>
  <c r="V1235" i="26"/>
  <c r="T1235" i="26"/>
  <c r="R1235" i="26"/>
  <c r="Q1235" i="26"/>
  <c r="P1235" i="26"/>
  <c r="N1235" i="26" s="1"/>
  <c r="M1235" i="26"/>
  <c r="L1235" i="26"/>
  <c r="J1235" i="26" s="1"/>
  <c r="I1235" i="26"/>
  <c r="H1235" i="26"/>
  <c r="F1235" i="26" s="1"/>
  <c r="E1235" i="26"/>
  <c r="AA1234" i="26"/>
  <c r="Z1234" i="26"/>
  <c r="Y1234" i="26"/>
  <c r="X1234" i="26"/>
  <c r="V1234" i="26"/>
  <c r="T1234" i="26"/>
  <c r="R1234" i="26" s="1"/>
  <c r="Q1234" i="26"/>
  <c r="P1234" i="26"/>
  <c r="N1234" i="26" s="1"/>
  <c r="M1234" i="26"/>
  <c r="L1234" i="26"/>
  <c r="J1234" i="26"/>
  <c r="I1234" i="26"/>
  <c r="H1234" i="26"/>
  <c r="F1234" i="26"/>
  <c r="E1234" i="26"/>
  <c r="AA1233" i="26"/>
  <c r="X1233" i="26"/>
  <c r="V1233" i="26"/>
  <c r="Y1233" i="26" s="1"/>
  <c r="Z1233" i="26" s="1"/>
  <c r="T1233" i="26"/>
  <c r="R1233" i="26"/>
  <c r="Q1233" i="26"/>
  <c r="P1233" i="26"/>
  <c r="N1233" i="26" s="1"/>
  <c r="M1233" i="26"/>
  <c r="L1233" i="26"/>
  <c r="J1233" i="26"/>
  <c r="I1233" i="26"/>
  <c r="H1233" i="26"/>
  <c r="F1233" i="26"/>
  <c r="E1233" i="26"/>
  <c r="Y1232" i="26"/>
  <c r="Z1232" i="26" s="1"/>
  <c r="AA1232" i="26" s="1"/>
  <c r="X1232" i="26"/>
  <c r="V1232" i="26"/>
  <c r="T1232" i="26"/>
  <c r="R1232" i="26" s="1"/>
  <c r="Q1232" i="26"/>
  <c r="P1232" i="26"/>
  <c r="N1232" i="26" s="1"/>
  <c r="M1232" i="26"/>
  <c r="L1232" i="26"/>
  <c r="J1232" i="26" s="1"/>
  <c r="I1232" i="26"/>
  <c r="H1232" i="26"/>
  <c r="F1232" i="26" s="1"/>
  <c r="E1232" i="26"/>
  <c r="X1231" i="26"/>
  <c r="T1231" i="26"/>
  <c r="Q1231" i="26"/>
  <c r="P1231" i="26"/>
  <c r="M1231" i="26"/>
  <c r="L1231" i="26"/>
  <c r="I1231" i="26"/>
  <c r="V1231" i="26" s="1"/>
  <c r="H1231" i="26"/>
  <c r="E1231" i="26"/>
  <c r="X1230" i="26"/>
  <c r="T1230" i="26"/>
  <c r="Q1230" i="26"/>
  <c r="P1230" i="26"/>
  <c r="N1230" i="26"/>
  <c r="M1230" i="26"/>
  <c r="L1230" i="26"/>
  <c r="I1230" i="26"/>
  <c r="V1230" i="26" s="1"/>
  <c r="H1230" i="26"/>
  <c r="E1230" i="26"/>
  <c r="X1229" i="26"/>
  <c r="V1229" i="26"/>
  <c r="T1229" i="26"/>
  <c r="Q1229" i="26"/>
  <c r="P1229" i="26"/>
  <c r="M1229" i="26"/>
  <c r="L1229" i="26"/>
  <c r="I1229" i="26"/>
  <c r="H1229" i="26"/>
  <c r="E1229" i="26"/>
  <c r="X1228" i="26"/>
  <c r="T1228" i="26"/>
  <c r="Q1228" i="26"/>
  <c r="P1228" i="26"/>
  <c r="M1228" i="26"/>
  <c r="L1228" i="26"/>
  <c r="I1228" i="26"/>
  <c r="H1228" i="26"/>
  <c r="E1228" i="26"/>
  <c r="X1226" i="26"/>
  <c r="T1226" i="26"/>
  <c r="Q1226" i="26"/>
  <c r="P1226" i="26"/>
  <c r="M1226" i="26"/>
  <c r="L1226" i="26"/>
  <c r="I1226" i="26"/>
  <c r="H1226" i="26"/>
  <c r="E1226" i="26"/>
  <c r="X1225" i="26"/>
  <c r="T1225" i="26"/>
  <c r="Q1225" i="26"/>
  <c r="P1225" i="26"/>
  <c r="M1225" i="26"/>
  <c r="L1225" i="26"/>
  <c r="I1225" i="26"/>
  <c r="H1225" i="26"/>
  <c r="E1225" i="26"/>
  <c r="X1224" i="26"/>
  <c r="T1224" i="26"/>
  <c r="Q1224" i="26"/>
  <c r="P1224" i="26"/>
  <c r="M1224" i="26"/>
  <c r="L1224" i="26"/>
  <c r="I1224" i="26"/>
  <c r="H1224" i="26"/>
  <c r="E1224" i="26"/>
  <c r="V1224" i="26" s="1"/>
  <c r="X1223" i="26"/>
  <c r="T1223" i="26"/>
  <c r="Q1223" i="26"/>
  <c r="P1223" i="26"/>
  <c r="M1223" i="26"/>
  <c r="L1223" i="26"/>
  <c r="I1223" i="26"/>
  <c r="H1223" i="26"/>
  <c r="E1223" i="26"/>
  <c r="X1222" i="26"/>
  <c r="T1222" i="26"/>
  <c r="R1222" i="26"/>
  <c r="Q1222" i="26"/>
  <c r="P1222" i="26"/>
  <c r="M1222" i="26"/>
  <c r="L1222" i="26"/>
  <c r="J1222" i="26"/>
  <c r="I1222" i="26"/>
  <c r="V1222" i="26" s="1"/>
  <c r="H1222" i="26"/>
  <c r="E1222" i="26"/>
  <c r="X1220" i="26"/>
  <c r="T1220" i="26"/>
  <c r="Q1220" i="26"/>
  <c r="P1220" i="26"/>
  <c r="M1220" i="26"/>
  <c r="L1220" i="26"/>
  <c r="I1220" i="26"/>
  <c r="V1220" i="26" s="1"/>
  <c r="H1220" i="26"/>
  <c r="E1220" i="26"/>
  <c r="X1219" i="26"/>
  <c r="T1219" i="26"/>
  <c r="Q1219" i="26"/>
  <c r="P1219" i="26"/>
  <c r="M1219" i="26"/>
  <c r="V1219" i="26" s="1"/>
  <c r="L1219" i="26"/>
  <c r="I1219" i="26"/>
  <c r="H1219" i="26"/>
  <c r="E1219" i="26"/>
  <c r="X1218" i="26"/>
  <c r="T1218" i="26"/>
  <c r="Q1218" i="26"/>
  <c r="P1218" i="26"/>
  <c r="M1218" i="26"/>
  <c r="L1218" i="26"/>
  <c r="I1218" i="26"/>
  <c r="H1218" i="26"/>
  <c r="E1218" i="26"/>
  <c r="V1218" i="26" s="1"/>
  <c r="X1217" i="26"/>
  <c r="T1217" i="26"/>
  <c r="Q1217" i="26"/>
  <c r="P1217" i="26"/>
  <c r="M1217" i="26"/>
  <c r="L1217" i="26"/>
  <c r="I1217" i="26"/>
  <c r="H1217" i="26"/>
  <c r="E1217" i="26"/>
  <c r="X1216" i="26"/>
  <c r="T1216" i="26"/>
  <c r="Q1216" i="26"/>
  <c r="P1216" i="26"/>
  <c r="M1216" i="26"/>
  <c r="L1216" i="26"/>
  <c r="I1216" i="26"/>
  <c r="H1216" i="26"/>
  <c r="E1216" i="26"/>
  <c r="X1215" i="26"/>
  <c r="T1215" i="26"/>
  <c r="Q1215" i="26"/>
  <c r="P1215" i="26"/>
  <c r="M1215" i="26"/>
  <c r="L1215" i="26"/>
  <c r="I1215" i="26"/>
  <c r="H1215" i="26"/>
  <c r="E1215" i="26"/>
  <c r="V1215" i="26" s="1"/>
  <c r="X1214" i="26"/>
  <c r="T1214" i="26"/>
  <c r="Q1214" i="26"/>
  <c r="P1214" i="26"/>
  <c r="M1214" i="26"/>
  <c r="L1214" i="26"/>
  <c r="I1214" i="26"/>
  <c r="H1214" i="26"/>
  <c r="E1214" i="26"/>
  <c r="X1213" i="26"/>
  <c r="T1213" i="26"/>
  <c r="Q1213" i="26"/>
  <c r="P1213" i="26"/>
  <c r="M1213" i="26"/>
  <c r="L1213" i="26"/>
  <c r="I1213" i="26"/>
  <c r="V1213" i="26" s="1"/>
  <c r="H1213" i="26"/>
  <c r="E1213" i="26"/>
  <c r="X1212" i="26"/>
  <c r="T1212" i="26"/>
  <c r="Q1212" i="26"/>
  <c r="P1212" i="26"/>
  <c r="N1212" i="26"/>
  <c r="M1212" i="26"/>
  <c r="L1212" i="26"/>
  <c r="I1212" i="26"/>
  <c r="V1212" i="26" s="1"/>
  <c r="H1212" i="26"/>
  <c r="E1212" i="26"/>
  <c r="X1211" i="26"/>
  <c r="V1211" i="26"/>
  <c r="F1211" i="26" s="1"/>
  <c r="T1211" i="26"/>
  <c r="Q1211" i="26"/>
  <c r="P1211" i="26"/>
  <c r="M1211" i="26"/>
  <c r="L1211" i="26"/>
  <c r="I1211" i="26"/>
  <c r="H1211" i="26"/>
  <c r="E1211" i="26"/>
  <c r="X1210" i="26"/>
  <c r="T1210" i="26"/>
  <c r="Q1210" i="26"/>
  <c r="P1210" i="26"/>
  <c r="M1210" i="26"/>
  <c r="L1210" i="26"/>
  <c r="I1210" i="26"/>
  <c r="H1210" i="26"/>
  <c r="E1210" i="26"/>
  <c r="X1209" i="26"/>
  <c r="T1209" i="26"/>
  <c r="R1209" i="26"/>
  <c r="Q1209" i="26"/>
  <c r="P1209" i="26"/>
  <c r="N1209" i="26" s="1"/>
  <c r="M1209" i="26"/>
  <c r="L1209" i="26"/>
  <c r="I1209" i="26"/>
  <c r="H1209" i="26"/>
  <c r="E1209" i="26"/>
  <c r="V1209" i="26" s="1"/>
  <c r="X1208" i="26"/>
  <c r="T1208" i="26"/>
  <c r="Q1208" i="26"/>
  <c r="P1208" i="26"/>
  <c r="M1208" i="26"/>
  <c r="L1208" i="26"/>
  <c r="I1208" i="26"/>
  <c r="H1208" i="26"/>
  <c r="E1208" i="26"/>
  <c r="X1207" i="26"/>
  <c r="T1207" i="26"/>
  <c r="Q1207" i="26"/>
  <c r="V1207" i="26" s="1"/>
  <c r="P1207" i="26"/>
  <c r="M1207" i="26"/>
  <c r="L1207" i="26"/>
  <c r="I1207" i="26"/>
  <c r="H1207" i="26"/>
  <c r="F1207" i="26"/>
  <c r="E1207" i="26"/>
  <c r="X1206" i="26"/>
  <c r="T1206" i="26"/>
  <c r="Q1206" i="26"/>
  <c r="P1206" i="26"/>
  <c r="M1206" i="26"/>
  <c r="L1206" i="26"/>
  <c r="I1206" i="26"/>
  <c r="H1206" i="26"/>
  <c r="E1206" i="26"/>
  <c r="X1205" i="26"/>
  <c r="T1205" i="26"/>
  <c r="R1205" i="26" s="1"/>
  <c r="Q1205" i="26"/>
  <c r="P1205" i="26"/>
  <c r="M1205" i="26"/>
  <c r="L1205" i="26"/>
  <c r="J1205" i="26"/>
  <c r="I1205" i="26"/>
  <c r="V1205" i="26" s="1"/>
  <c r="H1205" i="26"/>
  <c r="E1205" i="26"/>
  <c r="X1204" i="26"/>
  <c r="T1204" i="26"/>
  <c r="Q1204" i="26"/>
  <c r="P1204" i="26"/>
  <c r="N1204" i="26"/>
  <c r="M1204" i="26"/>
  <c r="L1204" i="26"/>
  <c r="I1204" i="26"/>
  <c r="V1204" i="26" s="1"/>
  <c r="H1204" i="26"/>
  <c r="E1204" i="26"/>
  <c r="X1203" i="26"/>
  <c r="V1203" i="26"/>
  <c r="T1203" i="26"/>
  <c r="Q1203" i="26"/>
  <c r="P1203" i="26"/>
  <c r="M1203" i="26"/>
  <c r="L1203" i="26"/>
  <c r="I1203" i="26"/>
  <c r="H1203" i="26"/>
  <c r="E1203" i="26"/>
  <c r="X1201" i="26"/>
  <c r="T1201" i="26"/>
  <c r="Q1201" i="26"/>
  <c r="P1201" i="26"/>
  <c r="M1201" i="26"/>
  <c r="L1201" i="26"/>
  <c r="I1201" i="26"/>
  <c r="H1201" i="26"/>
  <c r="E1201" i="26"/>
  <c r="V1201" i="26" s="1"/>
  <c r="N1201" i="26" s="1"/>
  <c r="X1200" i="26"/>
  <c r="T1200" i="26"/>
  <c r="R1200" i="26"/>
  <c r="Q1200" i="26"/>
  <c r="P1200" i="26"/>
  <c r="M1200" i="26"/>
  <c r="L1200" i="26"/>
  <c r="I1200" i="26"/>
  <c r="H1200" i="26"/>
  <c r="E1200" i="26"/>
  <c r="V1200" i="26" s="1"/>
  <c r="X1199" i="26"/>
  <c r="T1199" i="26"/>
  <c r="Q1199" i="26"/>
  <c r="P1199" i="26"/>
  <c r="M1199" i="26"/>
  <c r="L1199" i="26"/>
  <c r="I1199" i="26"/>
  <c r="H1199" i="26"/>
  <c r="E1199" i="26"/>
  <c r="X1198" i="26"/>
  <c r="T1198" i="26"/>
  <c r="Q1198" i="26"/>
  <c r="P1198" i="26"/>
  <c r="M1198" i="26"/>
  <c r="L1198" i="26"/>
  <c r="I1198" i="26"/>
  <c r="H1198" i="26"/>
  <c r="E1198" i="26"/>
  <c r="V1198" i="26" s="1"/>
  <c r="X1197" i="26"/>
  <c r="T1197" i="26"/>
  <c r="Q1197" i="26"/>
  <c r="P1197" i="26"/>
  <c r="M1197" i="26"/>
  <c r="L1197" i="26"/>
  <c r="I1197" i="26"/>
  <c r="H1197" i="26"/>
  <c r="E1197" i="26"/>
  <c r="X1196" i="26"/>
  <c r="T1196" i="26"/>
  <c r="Q1196" i="26"/>
  <c r="P1196" i="26"/>
  <c r="M1196" i="26"/>
  <c r="L1196" i="26"/>
  <c r="J1196" i="26"/>
  <c r="I1196" i="26"/>
  <c r="V1196" i="26" s="1"/>
  <c r="H1196" i="26"/>
  <c r="E1196" i="26"/>
  <c r="X1195" i="26"/>
  <c r="T1195" i="26"/>
  <c r="Q1195" i="26"/>
  <c r="P1195" i="26"/>
  <c r="N1195" i="26"/>
  <c r="M1195" i="26"/>
  <c r="L1195" i="26"/>
  <c r="I1195" i="26"/>
  <c r="V1195" i="26" s="1"/>
  <c r="H1195" i="26"/>
  <c r="E1195" i="26"/>
  <c r="X1194" i="26"/>
  <c r="T1194" i="26"/>
  <c r="Q1194" i="26"/>
  <c r="P1194" i="26"/>
  <c r="M1194" i="26"/>
  <c r="V1194" i="26" s="1"/>
  <c r="L1194" i="26"/>
  <c r="I1194" i="26"/>
  <c r="H1194" i="26"/>
  <c r="E1194" i="26"/>
  <c r="X1192" i="26"/>
  <c r="T1192" i="26"/>
  <c r="Q1192" i="26"/>
  <c r="P1192" i="26"/>
  <c r="M1192" i="26"/>
  <c r="L1192" i="26"/>
  <c r="I1192" i="26"/>
  <c r="H1192" i="26"/>
  <c r="E1192" i="26"/>
  <c r="X1191" i="26"/>
  <c r="T1191" i="26"/>
  <c r="Q1191" i="26"/>
  <c r="P1191" i="26"/>
  <c r="M1191" i="26"/>
  <c r="L1191" i="26"/>
  <c r="I1191" i="26"/>
  <c r="H1191" i="26"/>
  <c r="E1191" i="26"/>
  <c r="V1191" i="26" s="1"/>
  <c r="X1190" i="26"/>
  <c r="T1190" i="26"/>
  <c r="Q1190" i="26"/>
  <c r="P1190" i="26"/>
  <c r="M1190" i="26"/>
  <c r="L1190" i="26"/>
  <c r="I1190" i="26"/>
  <c r="H1190" i="26"/>
  <c r="E1190" i="26"/>
  <c r="X1189" i="26"/>
  <c r="T1189" i="26"/>
  <c r="Q1189" i="26"/>
  <c r="P1189" i="26"/>
  <c r="M1189" i="26"/>
  <c r="L1189" i="26"/>
  <c r="I1189" i="26"/>
  <c r="H1189" i="26"/>
  <c r="E1189" i="26"/>
  <c r="X1188" i="26"/>
  <c r="T1188" i="26"/>
  <c r="Q1188" i="26"/>
  <c r="P1188" i="26"/>
  <c r="M1188" i="26"/>
  <c r="L1188" i="26"/>
  <c r="I1188" i="26"/>
  <c r="H1188" i="26"/>
  <c r="E1188" i="26"/>
  <c r="X1187" i="26"/>
  <c r="T1187" i="26"/>
  <c r="Q1187" i="26"/>
  <c r="P1187" i="26"/>
  <c r="M1187" i="26"/>
  <c r="V1187" i="26" s="1"/>
  <c r="L1187" i="26"/>
  <c r="I1187" i="26"/>
  <c r="H1187" i="26"/>
  <c r="E1187" i="26"/>
  <c r="X1185" i="26"/>
  <c r="T1185" i="26"/>
  <c r="Q1185" i="26"/>
  <c r="P1185" i="26"/>
  <c r="M1185" i="26"/>
  <c r="L1185" i="26"/>
  <c r="I1185" i="26"/>
  <c r="H1185" i="26"/>
  <c r="E1185" i="26"/>
  <c r="X1184" i="26"/>
  <c r="T1184" i="26"/>
  <c r="Q1184" i="26"/>
  <c r="P1184" i="26"/>
  <c r="M1184" i="26"/>
  <c r="L1184" i="26"/>
  <c r="I1184" i="26"/>
  <c r="H1184" i="26"/>
  <c r="E1184" i="26"/>
  <c r="V1184" i="26" s="1"/>
  <c r="X1183" i="26"/>
  <c r="T1183" i="26"/>
  <c r="Q1183" i="26"/>
  <c r="P1183" i="26"/>
  <c r="M1183" i="26"/>
  <c r="L1183" i="26"/>
  <c r="I1183" i="26"/>
  <c r="H1183" i="26"/>
  <c r="E1183" i="26"/>
  <c r="X1182" i="26"/>
  <c r="V1182" i="26"/>
  <c r="T1182" i="26"/>
  <c r="Q1182" i="26"/>
  <c r="P1182" i="26"/>
  <c r="M1182" i="26"/>
  <c r="L1182" i="26"/>
  <c r="J1182" i="26"/>
  <c r="I1182" i="26"/>
  <c r="H1182" i="26"/>
  <c r="E1182" i="26"/>
  <c r="X1180" i="26"/>
  <c r="T1180" i="26"/>
  <c r="Q1180" i="26"/>
  <c r="P1180" i="26"/>
  <c r="M1180" i="26"/>
  <c r="L1180" i="26"/>
  <c r="I1180" i="26"/>
  <c r="H1180" i="26"/>
  <c r="E1180" i="26"/>
  <c r="X1179" i="26"/>
  <c r="T1179" i="26"/>
  <c r="Q1179" i="26"/>
  <c r="P1179" i="26"/>
  <c r="M1179" i="26"/>
  <c r="L1179" i="26"/>
  <c r="I1179" i="26"/>
  <c r="V1179" i="26" s="1"/>
  <c r="H1179" i="26"/>
  <c r="E1179" i="26"/>
  <c r="X1178" i="26"/>
  <c r="V1178" i="26"/>
  <c r="T1178" i="26"/>
  <c r="R1178" i="26" s="1"/>
  <c r="Q1178" i="26"/>
  <c r="P1178" i="26"/>
  <c r="M1178" i="26"/>
  <c r="L1178" i="26"/>
  <c r="I1178" i="26"/>
  <c r="H1178" i="26"/>
  <c r="E1178" i="26"/>
  <c r="X1177" i="26"/>
  <c r="T1177" i="26"/>
  <c r="Q1177" i="26"/>
  <c r="P1177" i="26"/>
  <c r="N1177" i="26" s="1"/>
  <c r="M1177" i="26"/>
  <c r="V1177" i="26" s="1"/>
  <c r="L1177" i="26"/>
  <c r="I1177" i="26"/>
  <c r="H1177" i="26"/>
  <c r="E1177" i="26"/>
  <c r="X1176" i="26"/>
  <c r="T1176" i="26"/>
  <c r="Q1176" i="26"/>
  <c r="P1176" i="26"/>
  <c r="M1176" i="26"/>
  <c r="L1176" i="26"/>
  <c r="I1176" i="26"/>
  <c r="H1176" i="26"/>
  <c r="E1176" i="26"/>
  <c r="X1175" i="26"/>
  <c r="T1175" i="26"/>
  <c r="Q1175" i="26"/>
  <c r="P1175" i="26"/>
  <c r="M1175" i="26"/>
  <c r="L1175" i="26"/>
  <c r="I1175" i="26"/>
  <c r="H1175" i="26"/>
  <c r="E1175" i="26"/>
  <c r="V1175" i="26" s="1"/>
  <c r="X1174" i="26"/>
  <c r="T1174" i="26"/>
  <c r="Q1174" i="26"/>
  <c r="P1174" i="26"/>
  <c r="M1174" i="26"/>
  <c r="L1174" i="26"/>
  <c r="I1174" i="26"/>
  <c r="H1174" i="26"/>
  <c r="E1174" i="26"/>
  <c r="X1173" i="26"/>
  <c r="V1173" i="26"/>
  <c r="T1173" i="26"/>
  <c r="Q1173" i="26"/>
  <c r="P1173" i="26"/>
  <c r="M1173" i="26"/>
  <c r="L1173" i="26"/>
  <c r="J1173" i="26"/>
  <c r="I1173" i="26"/>
  <c r="H1173" i="26"/>
  <c r="E1173" i="26"/>
  <c r="Y1171" i="26"/>
  <c r="Z1171" i="26" s="1"/>
  <c r="AA1171" i="26" s="1"/>
  <c r="X1171" i="26"/>
  <c r="T1171" i="26"/>
  <c r="R1171" i="26"/>
  <c r="Q1171" i="26"/>
  <c r="N1171" i="26"/>
  <c r="M1171" i="26"/>
  <c r="L1171" i="26"/>
  <c r="J1171" i="26"/>
  <c r="I1171" i="26"/>
  <c r="H1171" i="26"/>
  <c r="F1171" i="26"/>
  <c r="E1171" i="26"/>
  <c r="AA1170" i="26"/>
  <c r="Z1170" i="26"/>
  <c r="Y1170" i="26"/>
  <c r="X1170" i="26"/>
  <c r="T1170" i="26"/>
  <c r="R1170" i="26" s="1"/>
  <c r="Q1170" i="26"/>
  <c r="N1170" i="26"/>
  <c r="M1170" i="26"/>
  <c r="L1170" i="26"/>
  <c r="J1170" i="26" s="1"/>
  <c r="I1170" i="26"/>
  <c r="H1170" i="26"/>
  <c r="F1170" i="26" s="1"/>
  <c r="E1170" i="26"/>
  <c r="Z1169" i="26"/>
  <c r="AA1169" i="26" s="1"/>
  <c r="Y1169" i="26"/>
  <c r="X1169" i="26"/>
  <c r="T1169" i="26"/>
  <c r="R1169" i="26"/>
  <c r="Q1169" i="26"/>
  <c r="P1169" i="26"/>
  <c r="N1169" i="26" s="1"/>
  <c r="M1169" i="26"/>
  <c r="L1169" i="26"/>
  <c r="J1169" i="26" s="1"/>
  <c r="I1169" i="26"/>
  <c r="H1169" i="26"/>
  <c r="F1169" i="26" s="1"/>
  <c r="E1169" i="26"/>
  <c r="X1168" i="26"/>
  <c r="T1168" i="26"/>
  <c r="Q1168" i="26"/>
  <c r="P1168" i="26"/>
  <c r="M1168" i="26"/>
  <c r="L1168" i="26"/>
  <c r="I1168" i="26"/>
  <c r="H1168" i="26"/>
  <c r="E1168" i="26"/>
  <c r="AA1167" i="26"/>
  <c r="X1167" i="26"/>
  <c r="V1167" i="26"/>
  <c r="Y1167" i="26" s="1"/>
  <c r="Z1167" i="26" s="1"/>
  <c r="T1167" i="26"/>
  <c r="R1167" i="26"/>
  <c r="Q1167" i="26"/>
  <c r="P1167" i="26"/>
  <c r="N1167" i="26" s="1"/>
  <c r="M1167" i="26"/>
  <c r="L1167" i="26"/>
  <c r="I1167" i="26"/>
  <c r="H1167" i="26"/>
  <c r="F1167" i="26"/>
  <c r="E1167" i="26"/>
  <c r="X1166" i="26"/>
  <c r="T1166" i="26"/>
  <c r="Q1166" i="26"/>
  <c r="P1166" i="26"/>
  <c r="M1166" i="26"/>
  <c r="L1166" i="26"/>
  <c r="I1166" i="26"/>
  <c r="H1166" i="26"/>
  <c r="E1166" i="26"/>
  <c r="V1166" i="26" s="1"/>
  <c r="X1165" i="26"/>
  <c r="T1165" i="26"/>
  <c r="Q1165" i="26"/>
  <c r="P1165" i="26"/>
  <c r="M1165" i="26"/>
  <c r="L1165" i="26"/>
  <c r="I1165" i="26"/>
  <c r="H1165" i="26"/>
  <c r="E1165" i="26"/>
  <c r="X1164" i="26"/>
  <c r="V1164" i="26"/>
  <c r="T1164" i="26"/>
  <c r="Q1164" i="26"/>
  <c r="P1164" i="26"/>
  <c r="M1164" i="26"/>
  <c r="L1164" i="26"/>
  <c r="I1164" i="26"/>
  <c r="H1164" i="26"/>
  <c r="E1164" i="26"/>
  <c r="X1163" i="26"/>
  <c r="V1163" i="26"/>
  <c r="T1163" i="26"/>
  <c r="Q1163" i="26"/>
  <c r="P1163" i="26"/>
  <c r="M1163" i="26"/>
  <c r="L1163" i="26"/>
  <c r="I1163" i="26"/>
  <c r="H1163" i="26"/>
  <c r="E1163" i="26"/>
  <c r="X1162" i="26"/>
  <c r="T1162" i="26"/>
  <c r="Q1162" i="26"/>
  <c r="P1162" i="26"/>
  <c r="M1162" i="26"/>
  <c r="V1162" i="26" s="1"/>
  <c r="L1162" i="26"/>
  <c r="I1162" i="26"/>
  <c r="H1162" i="26"/>
  <c r="E1162" i="26"/>
  <c r="X1160" i="26"/>
  <c r="T1160" i="26"/>
  <c r="Q1160" i="26"/>
  <c r="P1160" i="26"/>
  <c r="M1160" i="26"/>
  <c r="L1160" i="26"/>
  <c r="I1160" i="26"/>
  <c r="H1160" i="26"/>
  <c r="E1160" i="26"/>
  <c r="X1159" i="26"/>
  <c r="T1159" i="26"/>
  <c r="R1159" i="26" s="1"/>
  <c r="Q1159" i="26"/>
  <c r="P1159" i="26"/>
  <c r="N1159" i="26" s="1"/>
  <c r="M1159" i="26"/>
  <c r="L1159" i="26"/>
  <c r="I1159" i="26"/>
  <c r="H1159" i="26"/>
  <c r="E1159" i="26"/>
  <c r="V1159" i="26" s="1"/>
  <c r="AA1158" i="26"/>
  <c r="X1158" i="26"/>
  <c r="V1158" i="26"/>
  <c r="Y1158" i="26" s="1"/>
  <c r="Z1158" i="26" s="1"/>
  <c r="T1158" i="26"/>
  <c r="R1158" i="26"/>
  <c r="Q1158" i="26"/>
  <c r="P1158" i="26"/>
  <c r="N1158" i="26" s="1"/>
  <c r="M1158" i="26"/>
  <c r="L1158" i="26"/>
  <c r="I1158" i="26"/>
  <c r="H1158" i="26"/>
  <c r="F1158" i="26"/>
  <c r="E1158" i="26"/>
  <c r="X1157" i="26"/>
  <c r="T1157" i="26"/>
  <c r="R1157" i="26"/>
  <c r="Q1157" i="26"/>
  <c r="P1157" i="26"/>
  <c r="M1157" i="26"/>
  <c r="L1157" i="26"/>
  <c r="I1157" i="26"/>
  <c r="H1157" i="26"/>
  <c r="E1157" i="26"/>
  <c r="V1157" i="26" s="1"/>
  <c r="X1156" i="26"/>
  <c r="T1156" i="26"/>
  <c r="Q1156" i="26"/>
  <c r="P1156" i="26"/>
  <c r="M1156" i="26"/>
  <c r="L1156" i="26"/>
  <c r="I1156" i="26"/>
  <c r="H1156" i="26"/>
  <c r="E1156" i="26"/>
  <c r="X1155" i="26"/>
  <c r="T1155" i="26"/>
  <c r="Q1155" i="26"/>
  <c r="P1155" i="26"/>
  <c r="M1155" i="26"/>
  <c r="L1155" i="26"/>
  <c r="I1155" i="26"/>
  <c r="V1155" i="26" s="1"/>
  <c r="H1155" i="26"/>
  <c r="E1155" i="26"/>
  <c r="X1154" i="26"/>
  <c r="T1154" i="26"/>
  <c r="Q1154" i="26"/>
  <c r="P1154" i="26"/>
  <c r="M1154" i="26"/>
  <c r="L1154" i="26"/>
  <c r="I1154" i="26"/>
  <c r="H1154" i="26"/>
  <c r="E1154" i="26"/>
  <c r="V1154" i="26" s="1"/>
  <c r="X1153" i="26"/>
  <c r="T1153" i="26"/>
  <c r="Q1153" i="26"/>
  <c r="P1153" i="26"/>
  <c r="M1153" i="26"/>
  <c r="L1153" i="26"/>
  <c r="I1153" i="26"/>
  <c r="H1153" i="26"/>
  <c r="E1153" i="26"/>
  <c r="X1152" i="26"/>
  <c r="T1152" i="26"/>
  <c r="Q1152" i="26"/>
  <c r="P1152" i="26"/>
  <c r="M1152" i="26"/>
  <c r="L1152" i="26"/>
  <c r="I1152" i="26"/>
  <c r="H1152" i="26"/>
  <c r="E1152" i="26"/>
  <c r="X1151" i="26"/>
  <c r="T1151" i="26"/>
  <c r="Q1151" i="26"/>
  <c r="P1151" i="26"/>
  <c r="M1151" i="26"/>
  <c r="L1151" i="26"/>
  <c r="I1151" i="26"/>
  <c r="H1151" i="26"/>
  <c r="E1151" i="26"/>
  <c r="AA1150" i="26"/>
  <c r="X1150" i="26"/>
  <c r="V1150" i="26"/>
  <c r="Y1150" i="26" s="1"/>
  <c r="Z1150" i="26" s="1"/>
  <c r="T1150" i="26"/>
  <c r="R1150" i="26"/>
  <c r="Q1150" i="26"/>
  <c r="P1150" i="26"/>
  <c r="N1150" i="26" s="1"/>
  <c r="M1150" i="26"/>
  <c r="L1150" i="26"/>
  <c r="I1150" i="26"/>
  <c r="H1150" i="26"/>
  <c r="F1150" i="26"/>
  <c r="E1150" i="26"/>
  <c r="X1149" i="26"/>
  <c r="T1149" i="26"/>
  <c r="R1149" i="26" s="1"/>
  <c r="Q1149" i="26"/>
  <c r="P1149" i="26"/>
  <c r="M1149" i="26"/>
  <c r="L1149" i="26"/>
  <c r="I1149" i="26"/>
  <c r="H1149" i="26"/>
  <c r="F1149" i="26" s="1"/>
  <c r="E1149" i="26"/>
  <c r="V1149" i="26" s="1"/>
  <c r="X1148" i="26"/>
  <c r="T1148" i="26"/>
  <c r="Q1148" i="26"/>
  <c r="P1148" i="26"/>
  <c r="M1148" i="26"/>
  <c r="L1148" i="26"/>
  <c r="I1148" i="26"/>
  <c r="H1148" i="26"/>
  <c r="E1148" i="26"/>
  <c r="X1147" i="26"/>
  <c r="T1147" i="26"/>
  <c r="Q1147" i="26"/>
  <c r="P1147" i="26"/>
  <c r="M1147" i="26"/>
  <c r="L1147" i="26"/>
  <c r="J1147" i="26"/>
  <c r="I1147" i="26"/>
  <c r="V1147" i="26" s="1"/>
  <c r="H1147" i="26"/>
  <c r="E1147" i="26"/>
  <c r="X1146" i="26"/>
  <c r="T1146" i="26"/>
  <c r="Q1146" i="26"/>
  <c r="P1146" i="26"/>
  <c r="M1146" i="26"/>
  <c r="L1146" i="26"/>
  <c r="I1146" i="26"/>
  <c r="H1146" i="26"/>
  <c r="E1146" i="26"/>
  <c r="V1146" i="26" s="1"/>
  <c r="X1145" i="26"/>
  <c r="T1145" i="26"/>
  <c r="Q1145" i="26"/>
  <c r="P1145" i="26"/>
  <c r="M1145" i="26"/>
  <c r="L1145" i="26"/>
  <c r="I1145" i="26"/>
  <c r="H1145" i="26"/>
  <c r="E1145" i="26"/>
  <c r="X1144" i="26"/>
  <c r="T1144" i="26"/>
  <c r="Q1144" i="26"/>
  <c r="P1144" i="26"/>
  <c r="M1144" i="26"/>
  <c r="L1144" i="26"/>
  <c r="I1144" i="26"/>
  <c r="H1144" i="26"/>
  <c r="E1144" i="26"/>
  <c r="X1143" i="26"/>
  <c r="T1143" i="26"/>
  <c r="R1143" i="26" s="1"/>
  <c r="Q1143" i="26"/>
  <c r="P1143" i="26"/>
  <c r="M1143" i="26"/>
  <c r="L1143" i="26"/>
  <c r="I1143" i="26"/>
  <c r="H1143" i="26"/>
  <c r="E1143" i="26"/>
  <c r="V1143" i="26" s="1"/>
  <c r="AA1141" i="26"/>
  <c r="Z1141" i="26"/>
  <c r="T1141" i="26"/>
  <c r="Q1141" i="26"/>
  <c r="P1141" i="26"/>
  <c r="M1141" i="26"/>
  <c r="L1141" i="26"/>
  <c r="I1141" i="26"/>
  <c r="H1141" i="26"/>
  <c r="E1141" i="26"/>
  <c r="AA1140" i="26"/>
  <c r="Z1140" i="26"/>
  <c r="T1140" i="26"/>
  <c r="Q1140" i="26"/>
  <c r="P1140" i="26"/>
  <c r="M1140" i="26"/>
  <c r="L1140" i="26"/>
  <c r="I1140" i="26"/>
  <c r="H1140" i="26"/>
  <c r="E1140" i="26"/>
  <c r="AA1139" i="26"/>
  <c r="Z1139" i="26"/>
  <c r="T1139" i="26"/>
  <c r="Q1139" i="26"/>
  <c r="P1139" i="26"/>
  <c r="M1139" i="26"/>
  <c r="V1139" i="26" s="1"/>
  <c r="L1139" i="26"/>
  <c r="I1139" i="26"/>
  <c r="H1139" i="26"/>
  <c r="E1139" i="26"/>
  <c r="Z1138" i="26"/>
  <c r="AA1138" i="26" s="1"/>
  <c r="T1138" i="26"/>
  <c r="R1138" i="26" s="1"/>
  <c r="Q1138" i="26"/>
  <c r="P1138" i="26"/>
  <c r="M1138" i="26"/>
  <c r="L1138" i="26"/>
  <c r="J1138" i="26"/>
  <c r="I1138" i="26"/>
  <c r="V1138" i="26" s="1"/>
  <c r="H1138" i="26"/>
  <c r="E1138" i="26"/>
  <c r="AA1137" i="26"/>
  <c r="Z1137" i="26"/>
  <c r="T1137" i="26"/>
  <c r="Q1137" i="26"/>
  <c r="P1137" i="26"/>
  <c r="M1137" i="26"/>
  <c r="L1137" i="26"/>
  <c r="I1137" i="26"/>
  <c r="V1137" i="26" s="1"/>
  <c r="H1137" i="26"/>
  <c r="E1137" i="26"/>
  <c r="Z1136" i="26"/>
  <c r="AA1136" i="26" s="1"/>
  <c r="V1136" i="26"/>
  <c r="T1136" i="26"/>
  <c r="R1136" i="26"/>
  <c r="Q1136" i="26"/>
  <c r="P1136" i="26"/>
  <c r="N1136" i="26" s="1"/>
  <c r="M1136" i="26"/>
  <c r="L1136" i="26"/>
  <c r="J1136" i="26" s="1"/>
  <c r="I1136" i="26"/>
  <c r="H1136" i="26"/>
  <c r="F1136" i="26" s="1"/>
  <c r="E1136" i="26"/>
  <c r="X1135" i="26"/>
  <c r="T1135" i="26"/>
  <c r="Q1135" i="26"/>
  <c r="P1135" i="26"/>
  <c r="M1135" i="26"/>
  <c r="L1135" i="26"/>
  <c r="I1135" i="26"/>
  <c r="H1135" i="26"/>
  <c r="E1135" i="26"/>
  <c r="X1134" i="26"/>
  <c r="T1134" i="26"/>
  <c r="Q1134" i="26"/>
  <c r="P1134" i="26"/>
  <c r="N1134" i="26"/>
  <c r="M1134" i="26"/>
  <c r="L1134" i="26"/>
  <c r="I1134" i="26"/>
  <c r="V1134" i="26" s="1"/>
  <c r="H1134" i="26"/>
  <c r="E1134" i="26"/>
  <c r="X1133" i="26"/>
  <c r="T1133" i="26"/>
  <c r="Q1133" i="26"/>
  <c r="P1133" i="26"/>
  <c r="M1133" i="26"/>
  <c r="L1133" i="26"/>
  <c r="I1133" i="26"/>
  <c r="H1133" i="26"/>
  <c r="E1133" i="26"/>
  <c r="V1133" i="26" s="1"/>
  <c r="X1132" i="26"/>
  <c r="T1132" i="26"/>
  <c r="Q1132" i="26"/>
  <c r="P1132" i="26"/>
  <c r="M1132" i="26"/>
  <c r="L1132" i="26"/>
  <c r="I1132" i="26"/>
  <c r="H1132" i="26"/>
  <c r="E1132" i="26"/>
  <c r="X1131" i="26"/>
  <c r="T1131" i="26"/>
  <c r="Q1131" i="26"/>
  <c r="P1131" i="26"/>
  <c r="M1131" i="26"/>
  <c r="L1131" i="26"/>
  <c r="I1131" i="26"/>
  <c r="H1131" i="26"/>
  <c r="E1131" i="26"/>
  <c r="X1130" i="26"/>
  <c r="T1130" i="26"/>
  <c r="Q1130" i="26"/>
  <c r="P1130" i="26"/>
  <c r="M1130" i="26"/>
  <c r="L1130" i="26"/>
  <c r="I1130" i="26"/>
  <c r="H1130" i="26"/>
  <c r="E1130" i="26"/>
  <c r="AA1129" i="26"/>
  <c r="X1129" i="26"/>
  <c r="V1129" i="26"/>
  <c r="Y1129" i="26" s="1"/>
  <c r="Z1129" i="26" s="1"/>
  <c r="T1129" i="26"/>
  <c r="R1129" i="26"/>
  <c r="Q1129" i="26"/>
  <c r="P1129" i="26"/>
  <c r="N1129" i="26" s="1"/>
  <c r="M1129" i="26"/>
  <c r="L1129" i="26"/>
  <c r="I1129" i="26"/>
  <c r="H1129" i="26"/>
  <c r="F1129" i="26"/>
  <c r="E1129" i="26"/>
  <c r="X1128" i="26"/>
  <c r="T1128" i="26"/>
  <c r="R1128" i="26" s="1"/>
  <c r="Q1128" i="26"/>
  <c r="P1128" i="26"/>
  <c r="M1128" i="26"/>
  <c r="L1128" i="26"/>
  <c r="I1128" i="26"/>
  <c r="H1128" i="26"/>
  <c r="F1128" i="26"/>
  <c r="E1128" i="26"/>
  <c r="V1128" i="26" s="1"/>
  <c r="X1127" i="26"/>
  <c r="T1127" i="26"/>
  <c r="Q1127" i="26"/>
  <c r="P1127" i="26"/>
  <c r="M1127" i="26"/>
  <c r="L1127" i="26"/>
  <c r="I1127" i="26"/>
  <c r="V1127" i="26" s="1"/>
  <c r="H1127" i="26"/>
  <c r="E1127" i="26"/>
  <c r="X1126" i="26"/>
  <c r="T1126" i="26"/>
  <c r="Q1126" i="26"/>
  <c r="P1126" i="26"/>
  <c r="M1126" i="26"/>
  <c r="L1126" i="26"/>
  <c r="J1126" i="26"/>
  <c r="I1126" i="26"/>
  <c r="V1126" i="26" s="1"/>
  <c r="H1126" i="26"/>
  <c r="E1126" i="26"/>
  <c r="Y1125" i="26"/>
  <c r="Z1125" i="26" s="1"/>
  <c r="AA1125" i="26" s="1"/>
  <c r="X1125" i="26"/>
  <c r="T1125" i="26"/>
  <c r="Q1125" i="26"/>
  <c r="P1125" i="26"/>
  <c r="M1125" i="26"/>
  <c r="L1125" i="26"/>
  <c r="J1125" i="26"/>
  <c r="I1125" i="26"/>
  <c r="H1125" i="26"/>
  <c r="E1125" i="26"/>
  <c r="V1125" i="26" s="1"/>
  <c r="X1124" i="26"/>
  <c r="T1124" i="26"/>
  <c r="Q1124" i="26"/>
  <c r="P1124" i="26"/>
  <c r="M1124" i="26"/>
  <c r="L1124" i="26"/>
  <c r="I1124" i="26"/>
  <c r="H1124" i="26"/>
  <c r="E1124" i="26"/>
  <c r="X1123" i="26"/>
  <c r="T1123" i="26"/>
  <c r="Q1123" i="26"/>
  <c r="P1123" i="26"/>
  <c r="M1123" i="26"/>
  <c r="L1123" i="26"/>
  <c r="I1123" i="26"/>
  <c r="H1123" i="26"/>
  <c r="E1123" i="26"/>
  <c r="X1122" i="26"/>
  <c r="T1122" i="26"/>
  <c r="Q1122" i="26"/>
  <c r="P1122" i="26"/>
  <c r="M1122" i="26"/>
  <c r="L1122" i="26"/>
  <c r="I1122" i="26"/>
  <c r="H1122" i="26"/>
  <c r="E1122" i="26"/>
  <c r="V1122" i="26" s="1"/>
  <c r="AA1121" i="26"/>
  <c r="X1121" i="26"/>
  <c r="V1121" i="26"/>
  <c r="Y1121" i="26" s="1"/>
  <c r="Z1121" i="26" s="1"/>
  <c r="T1121" i="26"/>
  <c r="R1121" i="26"/>
  <c r="Q1121" i="26"/>
  <c r="P1121" i="26"/>
  <c r="N1121" i="26" s="1"/>
  <c r="M1121" i="26"/>
  <c r="L1121" i="26"/>
  <c r="I1121" i="26"/>
  <c r="H1121" i="26"/>
  <c r="F1121" i="26"/>
  <c r="E1121" i="26"/>
  <c r="X1120" i="26"/>
  <c r="T1120" i="26"/>
  <c r="R1120" i="26"/>
  <c r="Q1120" i="26"/>
  <c r="P1120" i="26"/>
  <c r="M1120" i="26"/>
  <c r="L1120" i="26"/>
  <c r="I1120" i="26"/>
  <c r="H1120" i="26"/>
  <c r="E1120" i="26"/>
  <c r="V1120" i="26" s="1"/>
  <c r="X1119" i="26"/>
  <c r="T1119" i="26"/>
  <c r="R1119" i="26" s="1"/>
  <c r="Q1119" i="26"/>
  <c r="P1119" i="26"/>
  <c r="N1119" i="26" s="1"/>
  <c r="M1119" i="26"/>
  <c r="L1119" i="26"/>
  <c r="I1119" i="26"/>
  <c r="V1119" i="26" s="1"/>
  <c r="H1119" i="26"/>
  <c r="E1119" i="26"/>
  <c r="Z1118" i="26"/>
  <c r="AA1118" i="26" s="1"/>
  <c r="Y1118" i="26"/>
  <c r="X1118" i="26"/>
  <c r="S1118" i="26"/>
  <c r="T1118" i="26" s="1"/>
  <c r="R1118" i="26" s="1"/>
  <c r="P1118" i="26"/>
  <c r="O1118" i="26"/>
  <c r="M1118" i="26" s="1"/>
  <c r="N1118" i="26"/>
  <c r="K1118" i="26"/>
  <c r="H1118" i="26"/>
  <c r="G1118" i="26"/>
  <c r="E1118" i="26" s="1"/>
  <c r="F1118" i="26"/>
  <c r="Y1117" i="26"/>
  <c r="Z1117" i="26" s="1"/>
  <c r="AA1117" i="26" s="1"/>
  <c r="X1117" i="26"/>
  <c r="T1117" i="26"/>
  <c r="R1117" i="26" s="1"/>
  <c r="S1117" i="26"/>
  <c r="O1117" i="26"/>
  <c r="P1117" i="26" s="1"/>
  <c r="N1117" i="26"/>
  <c r="K1117" i="26"/>
  <c r="L1117" i="26" s="1"/>
  <c r="J1117" i="26" s="1"/>
  <c r="I1117" i="26"/>
  <c r="G1117" i="26"/>
  <c r="H1117" i="26" s="1"/>
  <c r="F1117" i="26"/>
  <c r="E1117" i="26"/>
  <c r="X1116" i="26"/>
  <c r="T1116" i="26"/>
  <c r="Q1116" i="26"/>
  <c r="P1116" i="26"/>
  <c r="M1116" i="26"/>
  <c r="L1116" i="26"/>
  <c r="I1116" i="26"/>
  <c r="H1116" i="26"/>
  <c r="E1116" i="26"/>
  <c r="X1115" i="26"/>
  <c r="T1115" i="26"/>
  <c r="R1115" i="26"/>
  <c r="Q1115" i="26"/>
  <c r="P1115" i="26"/>
  <c r="M1115" i="26"/>
  <c r="L1115" i="26"/>
  <c r="I1115" i="26"/>
  <c r="H1115" i="26"/>
  <c r="E1115" i="26"/>
  <c r="V1115" i="26" s="1"/>
  <c r="X1114" i="26"/>
  <c r="T1114" i="26"/>
  <c r="Q1114" i="26"/>
  <c r="P1114" i="26"/>
  <c r="M1114" i="26"/>
  <c r="L1114" i="26"/>
  <c r="I1114" i="26"/>
  <c r="V1114" i="26" s="1"/>
  <c r="H1114" i="26"/>
  <c r="E1114" i="26"/>
  <c r="X1113" i="26"/>
  <c r="T1113" i="26"/>
  <c r="Q1113" i="26"/>
  <c r="P1113" i="26"/>
  <c r="M1113" i="26"/>
  <c r="L1113" i="26"/>
  <c r="I1113" i="26"/>
  <c r="H1113" i="26"/>
  <c r="E1113" i="26"/>
  <c r="Y1112" i="26"/>
  <c r="Z1112" i="26" s="1"/>
  <c r="AA1112" i="26" s="1"/>
  <c r="X1112" i="26"/>
  <c r="T1112" i="26"/>
  <c r="Q1112" i="26"/>
  <c r="P1112" i="26"/>
  <c r="M1112" i="26"/>
  <c r="L1112" i="26"/>
  <c r="I1112" i="26"/>
  <c r="V1112" i="26" s="1"/>
  <c r="H1112" i="26"/>
  <c r="E1112" i="26"/>
  <c r="X1111" i="26"/>
  <c r="T1111" i="26"/>
  <c r="Q1111" i="26"/>
  <c r="P1111" i="26"/>
  <c r="M1111" i="26"/>
  <c r="L1111" i="26"/>
  <c r="I1111" i="26"/>
  <c r="H1111" i="26"/>
  <c r="E1111" i="26"/>
  <c r="X1110" i="26"/>
  <c r="T1110" i="26"/>
  <c r="Q1110" i="26"/>
  <c r="P1110" i="26"/>
  <c r="M1110" i="26"/>
  <c r="L1110" i="26"/>
  <c r="I1110" i="26"/>
  <c r="H1110" i="26"/>
  <c r="E1110" i="26"/>
  <c r="X1109" i="26"/>
  <c r="V1109" i="26"/>
  <c r="T1109" i="26"/>
  <c r="Q1109" i="26"/>
  <c r="P1109" i="26"/>
  <c r="N1109" i="26"/>
  <c r="M1109" i="26"/>
  <c r="L1109" i="26"/>
  <c r="I1109" i="26"/>
  <c r="H1109" i="26"/>
  <c r="E1109" i="26"/>
  <c r="X1108" i="26"/>
  <c r="T1108" i="26"/>
  <c r="Q1108" i="26"/>
  <c r="P1108" i="26"/>
  <c r="M1108" i="26"/>
  <c r="L1108" i="26"/>
  <c r="I1108" i="26"/>
  <c r="H1108" i="26"/>
  <c r="E1108" i="26"/>
  <c r="X1107" i="26"/>
  <c r="T1107" i="26"/>
  <c r="Q1107" i="26"/>
  <c r="P1107" i="26"/>
  <c r="M1107" i="26"/>
  <c r="L1107" i="26"/>
  <c r="I1107" i="26"/>
  <c r="V1107" i="26" s="1"/>
  <c r="H1107" i="26"/>
  <c r="E1107" i="26"/>
  <c r="X1106" i="26"/>
  <c r="T1106" i="26"/>
  <c r="Q1106" i="26"/>
  <c r="P1106" i="26"/>
  <c r="M1106" i="26"/>
  <c r="L1106" i="26"/>
  <c r="I1106" i="26"/>
  <c r="V1106" i="26" s="1"/>
  <c r="J1106" i="26" s="1"/>
  <c r="H1106" i="26"/>
  <c r="E1106" i="26"/>
  <c r="X1105" i="26"/>
  <c r="V1105" i="26"/>
  <c r="T1105" i="26"/>
  <c r="Q1105" i="26"/>
  <c r="P1105" i="26"/>
  <c r="M1105" i="26"/>
  <c r="L1105" i="26"/>
  <c r="I1105" i="26"/>
  <c r="H1105" i="26"/>
  <c r="E1105" i="26"/>
  <c r="X1104" i="26"/>
  <c r="T1104" i="26"/>
  <c r="Q1104" i="26"/>
  <c r="P1104" i="26"/>
  <c r="M1104" i="26"/>
  <c r="L1104" i="26"/>
  <c r="I1104" i="26"/>
  <c r="H1104" i="26"/>
  <c r="E1104" i="26"/>
  <c r="X1103" i="26"/>
  <c r="V1103" i="26"/>
  <c r="J1103" i="26" s="1"/>
  <c r="T1103" i="26"/>
  <c r="R1103" i="26" s="1"/>
  <c r="Q1103" i="26"/>
  <c r="P1103" i="26"/>
  <c r="M1103" i="26"/>
  <c r="L1103" i="26"/>
  <c r="I1103" i="26"/>
  <c r="H1103" i="26"/>
  <c r="E1103" i="26"/>
  <c r="X1102" i="26"/>
  <c r="T1102" i="26"/>
  <c r="Q1102" i="26"/>
  <c r="P1102" i="26"/>
  <c r="M1102" i="26"/>
  <c r="V1102" i="26" s="1"/>
  <c r="L1102" i="26"/>
  <c r="I1102" i="26"/>
  <c r="H1102" i="26"/>
  <c r="E1102" i="26"/>
  <c r="X1101" i="26"/>
  <c r="V1101" i="26"/>
  <c r="T1101" i="26"/>
  <c r="Q1101" i="26"/>
  <c r="P1101" i="26"/>
  <c r="N1101" i="26"/>
  <c r="M1101" i="26"/>
  <c r="L1101" i="26"/>
  <c r="J1101" i="26"/>
  <c r="I1101" i="26"/>
  <c r="H1101" i="26"/>
  <c r="E1101" i="26"/>
  <c r="X1100" i="26"/>
  <c r="T1100" i="26"/>
  <c r="Q1100" i="26"/>
  <c r="P1100" i="26"/>
  <c r="M1100" i="26"/>
  <c r="L1100" i="26"/>
  <c r="I1100" i="26"/>
  <c r="H1100" i="26"/>
  <c r="E1100" i="26"/>
  <c r="X1099" i="26"/>
  <c r="T1099" i="26"/>
  <c r="Q1099" i="26"/>
  <c r="P1099" i="26"/>
  <c r="M1099" i="26"/>
  <c r="L1099" i="26"/>
  <c r="J1099" i="26"/>
  <c r="I1099" i="26"/>
  <c r="V1099" i="26" s="1"/>
  <c r="H1099" i="26"/>
  <c r="E1099" i="26"/>
  <c r="X1098" i="26"/>
  <c r="V1098" i="26"/>
  <c r="T1098" i="26"/>
  <c r="R1098" i="26" s="1"/>
  <c r="Q1098" i="26"/>
  <c r="P1098" i="26"/>
  <c r="M1098" i="26"/>
  <c r="L1098" i="26"/>
  <c r="I1098" i="26"/>
  <c r="H1098" i="26"/>
  <c r="E1098" i="26"/>
  <c r="X1097" i="26"/>
  <c r="T1097" i="26"/>
  <c r="R1097" i="26" s="1"/>
  <c r="Q1097" i="26"/>
  <c r="P1097" i="26"/>
  <c r="M1097" i="26"/>
  <c r="V1097" i="26" s="1"/>
  <c r="L1097" i="26"/>
  <c r="I1097" i="26"/>
  <c r="H1097" i="26"/>
  <c r="E1097" i="26"/>
  <c r="X1096" i="26"/>
  <c r="T1096" i="26"/>
  <c r="Q1096" i="26"/>
  <c r="P1096" i="26"/>
  <c r="M1096" i="26"/>
  <c r="L1096" i="26"/>
  <c r="I1096" i="26"/>
  <c r="V1096" i="26" s="1"/>
  <c r="H1096" i="26"/>
  <c r="E1096" i="26"/>
  <c r="X1095" i="26"/>
  <c r="T1095" i="26"/>
  <c r="Q1095" i="26"/>
  <c r="P1095" i="26"/>
  <c r="M1095" i="26"/>
  <c r="L1095" i="26"/>
  <c r="I1095" i="26"/>
  <c r="V1095" i="26" s="1"/>
  <c r="H1095" i="26"/>
  <c r="E1095" i="26"/>
  <c r="X1094" i="26"/>
  <c r="T1094" i="26"/>
  <c r="Q1094" i="26"/>
  <c r="P1094" i="26"/>
  <c r="M1094" i="26"/>
  <c r="L1094" i="26"/>
  <c r="I1094" i="26"/>
  <c r="V1094" i="26" s="1"/>
  <c r="H1094" i="26"/>
  <c r="E1094" i="26"/>
  <c r="X1093" i="26"/>
  <c r="T1093" i="26"/>
  <c r="Q1093" i="26"/>
  <c r="P1093" i="26"/>
  <c r="M1093" i="26"/>
  <c r="L1093" i="26"/>
  <c r="I1093" i="26"/>
  <c r="H1093" i="26"/>
  <c r="E1093" i="26"/>
  <c r="V1093" i="26" s="1"/>
  <c r="X1092" i="26"/>
  <c r="T1092" i="26"/>
  <c r="Q1092" i="26"/>
  <c r="P1092" i="26"/>
  <c r="M1092" i="26"/>
  <c r="L1092" i="26"/>
  <c r="I1092" i="26"/>
  <c r="H1092" i="26"/>
  <c r="E1092" i="26"/>
  <c r="X1091" i="26"/>
  <c r="T1091" i="26"/>
  <c r="Q1091" i="26"/>
  <c r="P1091" i="26"/>
  <c r="M1091" i="26"/>
  <c r="L1091" i="26"/>
  <c r="I1091" i="26"/>
  <c r="H1091" i="26"/>
  <c r="E1091" i="26"/>
  <c r="X1090" i="26"/>
  <c r="T1090" i="26"/>
  <c r="Q1090" i="26"/>
  <c r="P1090" i="26"/>
  <c r="M1090" i="26"/>
  <c r="L1090" i="26"/>
  <c r="I1090" i="26"/>
  <c r="H1090" i="26"/>
  <c r="E1090" i="26"/>
  <c r="X1089" i="26"/>
  <c r="T1089" i="26"/>
  <c r="Q1089" i="26"/>
  <c r="P1089" i="26"/>
  <c r="N1089" i="26" s="1"/>
  <c r="M1089" i="26"/>
  <c r="L1089" i="26"/>
  <c r="I1089" i="26"/>
  <c r="H1089" i="26"/>
  <c r="E1089" i="26"/>
  <c r="V1089" i="26" s="1"/>
  <c r="X1088" i="26"/>
  <c r="T1088" i="26"/>
  <c r="Q1088" i="26"/>
  <c r="P1088" i="26"/>
  <c r="M1088" i="26"/>
  <c r="L1088" i="26"/>
  <c r="I1088" i="26"/>
  <c r="H1088" i="26"/>
  <c r="E1088" i="26"/>
  <c r="X1087" i="26"/>
  <c r="T1087" i="26"/>
  <c r="Q1087" i="26"/>
  <c r="P1087" i="26"/>
  <c r="N1087" i="26" s="1"/>
  <c r="M1087" i="26"/>
  <c r="L1087" i="26"/>
  <c r="I1087" i="26"/>
  <c r="V1087" i="26" s="1"/>
  <c r="H1087" i="26"/>
  <c r="E1087" i="26"/>
  <c r="X1086" i="26"/>
  <c r="T1086" i="26"/>
  <c r="Q1086" i="26"/>
  <c r="P1086" i="26"/>
  <c r="M1086" i="26"/>
  <c r="L1086" i="26"/>
  <c r="I1086" i="26"/>
  <c r="V1086" i="26" s="1"/>
  <c r="J1086" i="26" s="1"/>
  <c r="H1086" i="26"/>
  <c r="E1086" i="26"/>
  <c r="X1085" i="26"/>
  <c r="T1085" i="26"/>
  <c r="Q1085" i="26"/>
  <c r="P1085" i="26"/>
  <c r="M1085" i="26"/>
  <c r="L1085" i="26"/>
  <c r="I1085" i="26"/>
  <c r="H1085" i="26"/>
  <c r="E1085" i="26"/>
  <c r="V1085" i="26" s="1"/>
  <c r="X1084" i="26"/>
  <c r="T1084" i="26"/>
  <c r="Q1084" i="26"/>
  <c r="P1084" i="26"/>
  <c r="M1084" i="26"/>
  <c r="L1084" i="26"/>
  <c r="I1084" i="26"/>
  <c r="H1084" i="26"/>
  <c r="E1084" i="26"/>
  <c r="X1083" i="26"/>
  <c r="T1083" i="26"/>
  <c r="Q1083" i="26"/>
  <c r="P1083" i="26"/>
  <c r="M1083" i="26"/>
  <c r="L1083" i="26"/>
  <c r="I1083" i="26"/>
  <c r="H1083" i="26"/>
  <c r="E1083" i="26"/>
  <c r="X1082" i="26"/>
  <c r="T1082" i="26"/>
  <c r="Q1082" i="26"/>
  <c r="P1082" i="26"/>
  <c r="M1082" i="26"/>
  <c r="L1082" i="26"/>
  <c r="I1082" i="26"/>
  <c r="H1082" i="26"/>
  <c r="E1082" i="26"/>
  <c r="X1081" i="26"/>
  <c r="T1081" i="26"/>
  <c r="Q1081" i="26"/>
  <c r="P1081" i="26"/>
  <c r="M1081" i="26"/>
  <c r="L1081" i="26"/>
  <c r="I1081" i="26"/>
  <c r="H1081" i="26"/>
  <c r="E1081" i="26"/>
  <c r="X1080" i="26"/>
  <c r="T1080" i="26"/>
  <c r="Q1080" i="26"/>
  <c r="P1080" i="26"/>
  <c r="M1080" i="26"/>
  <c r="L1080" i="26"/>
  <c r="I1080" i="26"/>
  <c r="H1080" i="26"/>
  <c r="E1080" i="26"/>
  <c r="X1079" i="26"/>
  <c r="V1079" i="26"/>
  <c r="T1079" i="26"/>
  <c r="Q1079" i="26"/>
  <c r="P1079" i="26"/>
  <c r="N1079" i="26" s="1"/>
  <c r="M1079" i="26"/>
  <c r="L1079" i="26"/>
  <c r="I1079" i="26"/>
  <c r="H1079" i="26"/>
  <c r="E1079" i="26"/>
  <c r="X1078" i="26"/>
  <c r="T1078" i="26"/>
  <c r="Q1078" i="26"/>
  <c r="P1078" i="26"/>
  <c r="M1078" i="26"/>
  <c r="L1078" i="26"/>
  <c r="J1078" i="26"/>
  <c r="I1078" i="26"/>
  <c r="V1078" i="26" s="1"/>
  <c r="H1078" i="26"/>
  <c r="E1078" i="26"/>
  <c r="X1077" i="26"/>
  <c r="T1077" i="26"/>
  <c r="Q1077" i="26"/>
  <c r="P1077" i="26"/>
  <c r="M1077" i="26"/>
  <c r="L1077" i="26"/>
  <c r="I1077" i="26"/>
  <c r="H1077" i="26"/>
  <c r="E1077" i="26"/>
  <c r="V1077" i="26" s="1"/>
  <c r="X1076" i="26"/>
  <c r="T1076" i="26"/>
  <c r="Q1076" i="26"/>
  <c r="P1076" i="26"/>
  <c r="M1076" i="26"/>
  <c r="L1076" i="26"/>
  <c r="I1076" i="26"/>
  <c r="H1076" i="26"/>
  <c r="E1076" i="26"/>
  <c r="X1075" i="26"/>
  <c r="T1075" i="26"/>
  <c r="Q1075" i="26"/>
  <c r="P1075" i="26"/>
  <c r="M1075" i="26"/>
  <c r="L1075" i="26"/>
  <c r="I1075" i="26"/>
  <c r="H1075" i="26"/>
  <c r="E1075" i="26"/>
  <c r="X1074" i="26"/>
  <c r="T1074" i="26"/>
  <c r="Q1074" i="26"/>
  <c r="P1074" i="26"/>
  <c r="M1074" i="26"/>
  <c r="L1074" i="26"/>
  <c r="I1074" i="26"/>
  <c r="H1074" i="26"/>
  <c r="E1074" i="26"/>
  <c r="X1073" i="26"/>
  <c r="T1073" i="26"/>
  <c r="Q1073" i="26"/>
  <c r="P1073" i="26"/>
  <c r="M1073" i="26"/>
  <c r="L1073" i="26"/>
  <c r="I1073" i="26"/>
  <c r="H1073" i="26"/>
  <c r="E1073" i="26"/>
  <c r="X1072" i="26"/>
  <c r="T1072" i="26"/>
  <c r="Q1072" i="26"/>
  <c r="P1072" i="26"/>
  <c r="M1072" i="26"/>
  <c r="L1072" i="26"/>
  <c r="I1072" i="26"/>
  <c r="H1072" i="26"/>
  <c r="E1072" i="26"/>
  <c r="X1071" i="26"/>
  <c r="T1071" i="26"/>
  <c r="R1071" i="26"/>
  <c r="Q1071" i="26"/>
  <c r="P1071" i="26"/>
  <c r="M1071" i="26"/>
  <c r="L1071" i="26"/>
  <c r="I1071" i="26"/>
  <c r="V1071" i="26" s="1"/>
  <c r="H1071" i="26"/>
  <c r="E1071" i="26"/>
  <c r="X1070" i="26"/>
  <c r="T1070" i="26"/>
  <c r="Q1070" i="26"/>
  <c r="P1070" i="26"/>
  <c r="M1070" i="26"/>
  <c r="L1070" i="26"/>
  <c r="I1070" i="26"/>
  <c r="V1070" i="26" s="1"/>
  <c r="H1070" i="26"/>
  <c r="E1070" i="26"/>
  <c r="X1069" i="26"/>
  <c r="T1069" i="26"/>
  <c r="Q1069" i="26"/>
  <c r="P1069" i="26"/>
  <c r="M1069" i="26"/>
  <c r="L1069" i="26"/>
  <c r="I1069" i="26"/>
  <c r="H1069" i="26"/>
  <c r="E1069" i="26"/>
  <c r="V1069" i="26" s="1"/>
  <c r="X1068" i="26"/>
  <c r="T1068" i="26"/>
  <c r="Q1068" i="26"/>
  <c r="P1068" i="26"/>
  <c r="M1068" i="26"/>
  <c r="L1068" i="26"/>
  <c r="I1068" i="26"/>
  <c r="H1068" i="26"/>
  <c r="E1068" i="26"/>
  <c r="X1067" i="26"/>
  <c r="T1067" i="26"/>
  <c r="Q1067" i="26"/>
  <c r="P1067" i="26"/>
  <c r="M1067" i="26"/>
  <c r="L1067" i="26"/>
  <c r="I1067" i="26"/>
  <c r="H1067" i="26"/>
  <c r="E1067" i="26"/>
  <c r="X1066" i="26"/>
  <c r="T1066" i="26"/>
  <c r="R1066" i="26" s="1"/>
  <c r="Q1066" i="26"/>
  <c r="P1066" i="26"/>
  <c r="M1066" i="26"/>
  <c r="L1066" i="26"/>
  <c r="I1066" i="26"/>
  <c r="H1066" i="26"/>
  <c r="E1066" i="26"/>
  <c r="V1066" i="26" s="1"/>
  <c r="X1065" i="26"/>
  <c r="T1065" i="26"/>
  <c r="Q1065" i="26"/>
  <c r="P1065" i="26"/>
  <c r="M1065" i="26"/>
  <c r="L1065" i="26"/>
  <c r="I1065" i="26"/>
  <c r="H1065" i="26"/>
  <c r="E1065" i="26"/>
  <c r="X1064" i="26"/>
  <c r="T1064" i="26"/>
  <c r="Q1064" i="26"/>
  <c r="P1064" i="26"/>
  <c r="M1064" i="26"/>
  <c r="L1064" i="26"/>
  <c r="I1064" i="26"/>
  <c r="H1064" i="26"/>
  <c r="E1064" i="26"/>
  <c r="X1063" i="26"/>
  <c r="V1063" i="26"/>
  <c r="T1063" i="26"/>
  <c r="Q1063" i="26"/>
  <c r="P1063" i="26"/>
  <c r="M1063" i="26"/>
  <c r="L1063" i="26"/>
  <c r="I1063" i="26"/>
  <c r="H1063" i="26"/>
  <c r="E1063" i="26"/>
  <c r="X1062" i="26"/>
  <c r="T1062" i="26"/>
  <c r="Q1062" i="26"/>
  <c r="P1062" i="26"/>
  <c r="M1062" i="26"/>
  <c r="L1062" i="26"/>
  <c r="I1062" i="26"/>
  <c r="V1062" i="26" s="1"/>
  <c r="H1062" i="26"/>
  <c r="E1062" i="26"/>
  <c r="X1061" i="26"/>
  <c r="T1061" i="26"/>
  <c r="Q1061" i="26"/>
  <c r="P1061" i="26"/>
  <c r="M1061" i="26"/>
  <c r="L1061" i="26"/>
  <c r="I1061" i="26"/>
  <c r="H1061" i="26"/>
  <c r="E1061" i="26"/>
  <c r="V1061" i="26" s="1"/>
  <c r="X1060" i="26"/>
  <c r="T1060" i="26"/>
  <c r="Q1060" i="26"/>
  <c r="P1060" i="26"/>
  <c r="M1060" i="26"/>
  <c r="L1060" i="26"/>
  <c r="I1060" i="26"/>
  <c r="H1060" i="26"/>
  <c r="E1060" i="26"/>
  <c r="X1059" i="26"/>
  <c r="T1059" i="26"/>
  <c r="Q1059" i="26"/>
  <c r="P1059" i="26"/>
  <c r="M1059" i="26"/>
  <c r="L1059" i="26"/>
  <c r="I1059" i="26"/>
  <c r="H1059" i="26"/>
  <c r="E1059" i="26"/>
  <c r="X1058" i="26"/>
  <c r="T1058" i="26"/>
  <c r="R1058" i="26" s="1"/>
  <c r="Q1058" i="26"/>
  <c r="P1058" i="26"/>
  <c r="M1058" i="26"/>
  <c r="L1058" i="26"/>
  <c r="I1058" i="26"/>
  <c r="H1058" i="26"/>
  <c r="E1058" i="26"/>
  <c r="V1058" i="26" s="1"/>
  <c r="X1057" i="26"/>
  <c r="T1057" i="26"/>
  <c r="Q1057" i="26"/>
  <c r="P1057" i="26"/>
  <c r="M1057" i="26"/>
  <c r="L1057" i="26"/>
  <c r="I1057" i="26"/>
  <c r="H1057" i="26"/>
  <c r="E1057" i="26"/>
  <c r="V1057" i="26" s="1"/>
  <c r="X1056" i="26"/>
  <c r="T1056" i="26"/>
  <c r="Q1056" i="26"/>
  <c r="P1056" i="26"/>
  <c r="M1056" i="26"/>
  <c r="L1056" i="26"/>
  <c r="I1056" i="26"/>
  <c r="H1056" i="26"/>
  <c r="E1056" i="26"/>
  <c r="AA1054" i="26"/>
  <c r="Z1054" i="26"/>
  <c r="T1054" i="26"/>
  <c r="Q1054" i="26"/>
  <c r="P1054" i="26"/>
  <c r="M1054" i="26"/>
  <c r="L1054" i="26"/>
  <c r="I1054" i="26"/>
  <c r="H1054" i="26"/>
  <c r="E1054" i="26"/>
  <c r="V1054" i="26" s="1"/>
  <c r="Z1053" i="26"/>
  <c r="AA1053" i="26" s="1"/>
  <c r="T1053" i="26"/>
  <c r="Q1053" i="26"/>
  <c r="P1053" i="26"/>
  <c r="M1053" i="26"/>
  <c r="L1053" i="26"/>
  <c r="I1053" i="26"/>
  <c r="H1053" i="26"/>
  <c r="E1053" i="26"/>
  <c r="AA1052" i="26"/>
  <c r="Z1052" i="26"/>
  <c r="T1052" i="26"/>
  <c r="Q1052" i="26"/>
  <c r="P1052" i="26"/>
  <c r="N1052" i="26" s="1"/>
  <c r="M1052" i="26"/>
  <c r="L1052" i="26"/>
  <c r="I1052" i="26"/>
  <c r="H1052" i="26"/>
  <c r="E1052" i="26"/>
  <c r="V1052" i="26" s="1"/>
  <c r="R1052" i="26" s="1"/>
  <c r="AA1051" i="26"/>
  <c r="Z1051" i="26"/>
  <c r="T1051" i="26"/>
  <c r="Q1051" i="26"/>
  <c r="P1051" i="26"/>
  <c r="M1051" i="26"/>
  <c r="L1051" i="26"/>
  <c r="I1051" i="26"/>
  <c r="V1051" i="26" s="1"/>
  <c r="H1051" i="26"/>
  <c r="E1051" i="26"/>
  <c r="Z1050" i="26"/>
  <c r="AA1050" i="26" s="1"/>
  <c r="T1050" i="26"/>
  <c r="Q1050" i="26"/>
  <c r="P1050" i="26"/>
  <c r="M1050" i="26"/>
  <c r="L1050" i="26"/>
  <c r="J1050" i="26"/>
  <c r="I1050" i="26"/>
  <c r="H1050" i="26"/>
  <c r="E1050" i="26"/>
  <c r="V1050" i="26" s="1"/>
  <c r="F1050" i="26" s="1"/>
  <c r="Z1049" i="26"/>
  <c r="AA1049" i="26" s="1"/>
  <c r="T1049" i="26"/>
  <c r="Q1049" i="26"/>
  <c r="P1049" i="26"/>
  <c r="M1049" i="26"/>
  <c r="L1049" i="26"/>
  <c r="I1049" i="26"/>
  <c r="V1049" i="26" s="1"/>
  <c r="H1049" i="26"/>
  <c r="E1049" i="26"/>
  <c r="AA1048" i="26"/>
  <c r="Z1048" i="26"/>
  <c r="V1048" i="26"/>
  <c r="T1048" i="26"/>
  <c r="Q1048" i="26"/>
  <c r="P1048" i="26"/>
  <c r="M1048" i="26"/>
  <c r="L1048" i="26"/>
  <c r="J1048" i="26"/>
  <c r="I1048" i="26"/>
  <c r="H1048" i="26"/>
  <c r="E1048" i="26"/>
  <c r="Z1047" i="26"/>
  <c r="AA1047" i="26" s="1"/>
  <c r="T1047" i="26"/>
  <c r="Q1047" i="26"/>
  <c r="P1047" i="26"/>
  <c r="M1047" i="26"/>
  <c r="L1047" i="26"/>
  <c r="I1047" i="26"/>
  <c r="H1047" i="26"/>
  <c r="E1047" i="26"/>
  <c r="AA1046" i="26"/>
  <c r="Z1046" i="26"/>
  <c r="V1046" i="26"/>
  <c r="T1046" i="26"/>
  <c r="Q1046" i="26"/>
  <c r="P1046" i="26"/>
  <c r="M1046" i="26"/>
  <c r="L1046" i="26"/>
  <c r="J1046" i="26"/>
  <c r="I1046" i="26"/>
  <c r="H1046" i="26"/>
  <c r="E1046" i="26"/>
  <c r="Z1045" i="26"/>
  <c r="AA1045" i="26" s="1"/>
  <c r="T1045" i="26"/>
  <c r="Q1045" i="26"/>
  <c r="P1045" i="26"/>
  <c r="M1045" i="26"/>
  <c r="L1045" i="26"/>
  <c r="I1045" i="26"/>
  <c r="H1045" i="26"/>
  <c r="E1045" i="26"/>
  <c r="AA1044" i="26"/>
  <c r="Z1044" i="26"/>
  <c r="T1044" i="26"/>
  <c r="Q1044" i="26"/>
  <c r="P1044" i="26"/>
  <c r="M1044" i="26"/>
  <c r="L1044" i="26"/>
  <c r="I1044" i="26"/>
  <c r="H1044" i="26"/>
  <c r="E1044" i="26"/>
  <c r="V1044" i="26" s="1"/>
  <c r="Z1043" i="26"/>
  <c r="AA1043" i="26" s="1"/>
  <c r="T1043" i="26"/>
  <c r="Q1043" i="26"/>
  <c r="P1043" i="26"/>
  <c r="M1043" i="26"/>
  <c r="L1043" i="26"/>
  <c r="I1043" i="26"/>
  <c r="H1043" i="26"/>
  <c r="E1043" i="26"/>
  <c r="X1041" i="26"/>
  <c r="T1041" i="26"/>
  <c r="R1041" i="26"/>
  <c r="Q1041" i="26"/>
  <c r="P1041" i="26"/>
  <c r="N1041" i="26" s="1"/>
  <c r="M1041" i="26"/>
  <c r="L1041" i="26"/>
  <c r="I1041" i="26"/>
  <c r="H1041" i="26"/>
  <c r="E1041" i="26"/>
  <c r="V1041" i="26" s="1"/>
  <c r="X1040" i="26"/>
  <c r="T1040" i="26"/>
  <c r="Q1040" i="26"/>
  <c r="P1040" i="26"/>
  <c r="M1040" i="26"/>
  <c r="L1040" i="26"/>
  <c r="I1040" i="26"/>
  <c r="H1040" i="26"/>
  <c r="E1040" i="26"/>
  <c r="X1039" i="26"/>
  <c r="T1039" i="26"/>
  <c r="Q1039" i="26"/>
  <c r="P1039" i="26"/>
  <c r="M1039" i="26"/>
  <c r="L1039" i="26"/>
  <c r="I1039" i="26"/>
  <c r="H1039" i="26"/>
  <c r="E1039" i="26"/>
  <c r="V1039" i="26" s="1"/>
  <c r="X1038" i="26"/>
  <c r="T1038" i="26"/>
  <c r="Q1038" i="26"/>
  <c r="P1038" i="26"/>
  <c r="M1038" i="26"/>
  <c r="L1038" i="26"/>
  <c r="I1038" i="26"/>
  <c r="H1038" i="26"/>
  <c r="E1038" i="26"/>
  <c r="AA1037" i="26"/>
  <c r="Z1037" i="26"/>
  <c r="T1037" i="26"/>
  <c r="Q1037" i="26"/>
  <c r="P1037" i="26"/>
  <c r="M1037" i="26"/>
  <c r="L1037" i="26"/>
  <c r="I1037" i="26"/>
  <c r="H1037" i="26"/>
  <c r="F1037" i="26"/>
  <c r="E1037" i="26"/>
  <c r="V1037" i="26" s="1"/>
  <c r="J1037" i="26" s="1"/>
  <c r="X1035" i="26"/>
  <c r="T1035" i="26"/>
  <c r="Q1035" i="26"/>
  <c r="P1035" i="26"/>
  <c r="M1035" i="26"/>
  <c r="L1035" i="26"/>
  <c r="I1035" i="26"/>
  <c r="H1035" i="26"/>
  <c r="E1035" i="26"/>
  <c r="Y1034" i="26"/>
  <c r="Z1034" i="26" s="1"/>
  <c r="AA1034" i="26" s="1"/>
  <c r="X1034" i="26"/>
  <c r="T1034" i="26"/>
  <c r="Q1034" i="26"/>
  <c r="P1034" i="26"/>
  <c r="M1034" i="26"/>
  <c r="L1034" i="26"/>
  <c r="I1034" i="26"/>
  <c r="V1034" i="26" s="1"/>
  <c r="H1034" i="26"/>
  <c r="E1034" i="26"/>
  <c r="X1033" i="26"/>
  <c r="T1033" i="26"/>
  <c r="Q1033" i="26"/>
  <c r="P1033" i="26"/>
  <c r="M1033" i="26"/>
  <c r="L1033" i="26"/>
  <c r="I1033" i="26"/>
  <c r="V1033" i="26" s="1"/>
  <c r="H1033" i="26"/>
  <c r="E1033" i="26"/>
  <c r="X1032" i="26"/>
  <c r="T1032" i="26"/>
  <c r="Q1032" i="26"/>
  <c r="P1032" i="26"/>
  <c r="M1032" i="26"/>
  <c r="L1032" i="26"/>
  <c r="I1032" i="26"/>
  <c r="H1032" i="26"/>
  <c r="E1032" i="26"/>
  <c r="V1032" i="26" s="1"/>
  <c r="X1031" i="26"/>
  <c r="T1031" i="26"/>
  <c r="Q1031" i="26"/>
  <c r="P1031" i="26"/>
  <c r="M1031" i="26"/>
  <c r="L1031" i="26"/>
  <c r="I1031" i="26"/>
  <c r="H1031" i="26"/>
  <c r="E1031" i="26"/>
  <c r="X1030" i="26"/>
  <c r="T1030" i="26"/>
  <c r="Q1030" i="26"/>
  <c r="P1030" i="26"/>
  <c r="M1030" i="26"/>
  <c r="V1030" i="26" s="1"/>
  <c r="L1030" i="26"/>
  <c r="I1030" i="26"/>
  <c r="H1030" i="26"/>
  <c r="E1030" i="26"/>
  <c r="X1029" i="26"/>
  <c r="T1029" i="26"/>
  <c r="Q1029" i="26"/>
  <c r="P1029" i="26"/>
  <c r="M1029" i="26"/>
  <c r="L1029" i="26"/>
  <c r="I1029" i="26"/>
  <c r="H1029" i="26"/>
  <c r="E1029" i="26"/>
  <c r="V1029" i="26" s="1"/>
  <c r="F1029" i="26" s="1"/>
  <c r="X1028" i="26"/>
  <c r="T1028" i="26"/>
  <c r="Q1028" i="26"/>
  <c r="P1028" i="26"/>
  <c r="M1028" i="26"/>
  <c r="L1028" i="26"/>
  <c r="I1028" i="26"/>
  <c r="H1028" i="26"/>
  <c r="E1028" i="26"/>
  <c r="V1028" i="26" s="1"/>
  <c r="X1027" i="26"/>
  <c r="T1027" i="26"/>
  <c r="Q1027" i="26"/>
  <c r="P1027" i="26"/>
  <c r="M1027" i="26"/>
  <c r="L1027" i="26"/>
  <c r="I1027" i="26"/>
  <c r="H1027" i="26"/>
  <c r="E1027" i="26"/>
  <c r="V1027" i="26" s="1"/>
  <c r="Y1026" i="26"/>
  <c r="Z1026" i="26" s="1"/>
  <c r="AA1026" i="26" s="1"/>
  <c r="X1026" i="26"/>
  <c r="V1026" i="26"/>
  <c r="T1026" i="26"/>
  <c r="Q1026" i="26"/>
  <c r="P1026" i="26"/>
  <c r="N1026" i="26" s="1"/>
  <c r="M1026" i="26"/>
  <c r="L1026" i="26"/>
  <c r="J1026" i="26"/>
  <c r="I1026" i="26"/>
  <c r="H1026" i="26"/>
  <c r="E1026" i="26"/>
  <c r="X1025" i="26"/>
  <c r="T1025" i="26"/>
  <c r="R1025" i="26" s="1"/>
  <c r="Q1025" i="26"/>
  <c r="P1025" i="26"/>
  <c r="M1025" i="26"/>
  <c r="L1025" i="26"/>
  <c r="J1025" i="26"/>
  <c r="I1025" i="26"/>
  <c r="V1025" i="26" s="1"/>
  <c r="H1025" i="26"/>
  <c r="F1025" i="26"/>
  <c r="E1025" i="26"/>
  <c r="X1024" i="26"/>
  <c r="V1024" i="26"/>
  <c r="T1024" i="26"/>
  <c r="Q1024" i="26"/>
  <c r="P1024" i="26"/>
  <c r="N1024" i="26" s="1"/>
  <c r="M1024" i="26"/>
  <c r="L1024" i="26"/>
  <c r="I1024" i="26"/>
  <c r="H1024" i="26"/>
  <c r="E1024" i="26"/>
  <c r="X1023" i="26"/>
  <c r="T1023" i="26"/>
  <c r="Q1023" i="26"/>
  <c r="P1023" i="26"/>
  <c r="M1023" i="26"/>
  <c r="L1023" i="26"/>
  <c r="I1023" i="26"/>
  <c r="H1023" i="26"/>
  <c r="E1023" i="26"/>
  <c r="T1022" i="26"/>
  <c r="R1022" i="26" s="1"/>
  <c r="Q1022" i="26"/>
  <c r="P1022" i="26"/>
  <c r="M1022" i="26"/>
  <c r="V1022" i="26" s="1"/>
  <c r="L1022" i="26"/>
  <c r="I1022" i="26"/>
  <c r="H1022" i="26"/>
  <c r="E1022" i="26"/>
  <c r="X1021" i="26"/>
  <c r="T1021" i="26"/>
  <c r="Q1021" i="26"/>
  <c r="P1021" i="26"/>
  <c r="N1021" i="26"/>
  <c r="M1021" i="26"/>
  <c r="L1021" i="26"/>
  <c r="J1021" i="26"/>
  <c r="I1021" i="26"/>
  <c r="V1021" i="26" s="1"/>
  <c r="H1021" i="26"/>
  <c r="E1021" i="26"/>
  <c r="T1020" i="26"/>
  <c r="Q1020" i="26"/>
  <c r="P1020" i="26"/>
  <c r="M1020" i="26"/>
  <c r="V1020" i="26" s="1"/>
  <c r="L1020" i="26"/>
  <c r="I1020" i="26"/>
  <c r="H1020" i="26"/>
  <c r="E1020" i="26"/>
  <c r="X1019" i="26"/>
  <c r="V1019" i="26"/>
  <c r="T1019" i="26"/>
  <c r="R1019" i="26" s="1"/>
  <c r="Q1019" i="26"/>
  <c r="P1019" i="26"/>
  <c r="M1019" i="26"/>
  <c r="L1019" i="26"/>
  <c r="I1019" i="26"/>
  <c r="H1019" i="26"/>
  <c r="E1019" i="26"/>
  <c r="T1018" i="26"/>
  <c r="R1018" i="26" s="1"/>
  <c r="Q1018" i="26"/>
  <c r="P1018" i="26"/>
  <c r="N1018" i="26"/>
  <c r="M1018" i="26"/>
  <c r="L1018" i="26"/>
  <c r="J1018" i="26"/>
  <c r="I1018" i="26"/>
  <c r="V1018" i="26" s="1"/>
  <c r="F1018" i="26" s="1"/>
  <c r="H1018" i="26"/>
  <c r="E1018" i="26"/>
  <c r="Y1017" i="26"/>
  <c r="Z1017" i="26" s="1"/>
  <c r="AA1017" i="26" s="1"/>
  <c r="X1017" i="26"/>
  <c r="T1017" i="26"/>
  <c r="Q1017" i="26"/>
  <c r="P1017" i="26"/>
  <c r="M1017" i="26"/>
  <c r="L1017" i="26"/>
  <c r="I1017" i="26"/>
  <c r="H1017" i="26"/>
  <c r="E1017" i="26"/>
  <c r="V1017" i="26" s="1"/>
  <c r="T1016" i="26"/>
  <c r="Q1016" i="26"/>
  <c r="P1016" i="26"/>
  <c r="M1016" i="26"/>
  <c r="L1016" i="26"/>
  <c r="I1016" i="26"/>
  <c r="H1016" i="26"/>
  <c r="E1016" i="26"/>
  <c r="V1016" i="26" s="1"/>
  <c r="X1015" i="26"/>
  <c r="T1015" i="26"/>
  <c r="Q1015" i="26"/>
  <c r="P1015" i="26"/>
  <c r="M1015" i="26"/>
  <c r="L1015" i="26"/>
  <c r="I1015" i="26"/>
  <c r="H1015" i="26"/>
  <c r="E1015" i="26"/>
  <c r="X1013" i="26"/>
  <c r="T1013" i="26"/>
  <c r="Q1013" i="26"/>
  <c r="P1013" i="26"/>
  <c r="M1013" i="26"/>
  <c r="L1013" i="26"/>
  <c r="I1013" i="26"/>
  <c r="H1013" i="26"/>
  <c r="E1013" i="26"/>
  <c r="X1012" i="26"/>
  <c r="T1012" i="26"/>
  <c r="Q1012" i="26"/>
  <c r="P1012" i="26"/>
  <c r="M1012" i="26"/>
  <c r="L1012" i="26"/>
  <c r="I1012" i="26"/>
  <c r="H1012" i="26"/>
  <c r="E1012" i="26"/>
  <c r="X1011" i="26"/>
  <c r="T1011" i="26"/>
  <c r="Q1011" i="26"/>
  <c r="P1011" i="26"/>
  <c r="M1011" i="26"/>
  <c r="L1011" i="26"/>
  <c r="I1011" i="26"/>
  <c r="H1011" i="26"/>
  <c r="E1011" i="26"/>
  <c r="V1011" i="26" s="1"/>
  <c r="X1010" i="26"/>
  <c r="T1010" i="26"/>
  <c r="Q1010" i="26"/>
  <c r="P1010" i="26"/>
  <c r="M1010" i="26"/>
  <c r="L1010" i="26"/>
  <c r="I1010" i="26"/>
  <c r="H1010" i="26"/>
  <c r="E1010" i="26"/>
  <c r="V1010" i="26" s="1"/>
  <c r="X1009" i="26"/>
  <c r="T1009" i="26"/>
  <c r="Q1009" i="26"/>
  <c r="P1009" i="26"/>
  <c r="M1009" i="26"/>
  <c r="L1009" i="26"/>
  <c r="I1009" i="26"/>
  <c r="V1009" i="26" s="1"/>
  <c r="H1009" i="26"/>
  <c r="E1009" i="26"/>
  <c r="X1008" i="26"/>
  <c r="T1008" i="26"/>
  <c r="Q1008" i="26"/>
  <c r="P1008" i="26"/>
  <c r="M1008" i="26"/>
  <c r="L1008" i="26"/>
  <c r="J1008" i="26"/>
  <c r="I1008" i="26"/>
  <c r="V1008" i="26" s="1"/>
  <c r="H1008" i="26"/>
  <c r="E1008" i="26"/>
  <c r="X1006" i="26"/>
  <c r="T1006" i="26"/>
  <c r="Q1006" i="26"/>
  <c r="P1006" i="26"/>
  <c r="M1006" i="26"/>
  <c r="L1006" i="26"/>
  <c r="I1006" i="26"/>
  <c r="H1006" i="26"/>
  <c r="E1006" i="26"/>
  <c r="V1006" i="26" s="1"/>
  <c r="X1005" i="26"/>
  <c r="T1005" i="26"/>
  <c r="Q1005" i="26"/>
  <c r="P1005" i="26"/>
  <c r="M1005" i="26"/>
  <c r="L1005" i="26"/>
  <c r="I1005" i="26"/>
  <c r="H1005" i="26"/>
  <c r="E1005" i="26"/>
  <c r="X1004" i="26"/>
  <c r="T1004" i="26"/>
  <c r="Q1004" i="26"/>
  <c r="P1004" i="26"/>
  <c r="M1004" i="26"/>
  <c r="L1004" i="26"/>
  <c r="I1004" i="26"/>
  <c r="H1004" i="26"/>
  <c r="E1004" i="26"/>
  <c r="X1003" i="26"/>
  <c r="T1003" i="26"/>
  <c r="Q1003" i="26"/>
  <c r="P1003" i="26"/>
  <c r="M1003" i="26"/>
  <c r="L1003" i="26"/>
  <c r="I1003" i="26"/>
  <c r="H1003" i="26"/>
  <c r="E1003" i="26"/>
  <c r="X1002" i="26"/>
  <c r="T1002" i="26"/>
  <c r="Q1002" i="26"/>
  <c r="P1002" i="26"/>
  <c r="M1002" i="26"/>
  <c r="L1002" i="26"/>
  <c r="I1002" i="26"/>
  <c r="H1002" i="26"/>
  <c r="E1002" i="26"/>
  <c r="V1002" i="26" s="1"/>
  <c r="X1001" i="26"/>
  <c r="T1001" i="26"/>
  <c r="R1001" i="26" s="1"/>
  <c r="Q1001" i="26"/>
  <c r="P1001" i="26"/>
  <c r="N1001" i="26" s="1"/>
  <c r="M1001" i="26"/>
  <c r="L1001" i="26"/>
  <c r="I1001" i="26"/>
  <c r="H1001" i="26"/>
  <c r="E1001" i="26"/>
  <c r="V1001" i="26" s="1"/>
  <c r="X1000" i="26"/>
  <c r="V1000" i="26"/>
  <c r="T1000" i="26"/>
  <c r="Q1000" i="26"/>
  <c r="P1000" i="26"/>
  <c r="M1000" i="26"/>
  <c r="L1000" i="26"/>
  <c r="I1000" i="26"/>
  <c r="H1000" i="26"/>
  <c r="E1000" i="26"/>
  <c r="X999" i="26"/>
  <c r="V999" i="26"/>
  <c r="T999" i="26"/>
  <c r="Q999" i="26"/>
  <c r="P999" i="26"/>
  <c r="M999" i="26"/>
  <c r="L999" i="26"/>
  <c r="I999" i="26"/>
  <c r="H999" i="26"/>
  <c r="E999" i="26"/>
  <c r="X998" i="26"/>
  <c r="T998" i="26"/>
  <c r="Q998" i="26"/>
  <c r="P998" i="26"/>
  <c r="M998" i="26"/>
  <c r="L998" i="26"/>
  <c r="I998" i="26"/>
  <c r="H998" i="26"/>
  <c r="E998" i="26"/>
  <c r="V998" i="26" s="1"/>
  <c r="X997" i="26"/>
  <c r="T997" i="26"/>
  <c r="Q997" i="26"/>
  <c r="P997" i="26"/>
  <c r="M997" i="26"/>
  <c r="L997" i="26"/>
  <c r="I997" i="26"/>
  <c r="H997" i="26"/>
  <c r="E997" i="26"/>
  <c r="Y996" i="26"/>
  <c r="Z996" i="26" s="1"/>
  <c r="AA996" i="26" s="1"/>
  <c r="X996" i="26"/>
  <c r="V996" i="26"/>
  <c r="T996" i="26"/>
  <c r="R996" i="26"/>
  <c r="Q996" i="26"/>
  <c r="P996" i="26"/>
  <c r="N996" i="26" s="1"/>
  <c r="M996" i="26"/>
  <c r="L996" i="26"/>
  <c r="J996" i="26" s="1"/>
  <c r="I996" i="26"/>
  <c r="H996" i="26"/>
  <c r="E996" i="26"/>
  <c r="Z995" i="26"/>
  <c r="AA995" i="26" s="1"/>
  <c r="Y995" i="26"/>
  <c r="X995" i="26"/>
  <c r="V995" i="26"/>
  <c r="T995" i="26"/>
  <c r="R995" i="26" s="1"/>
  <c r="Q995" i="26"/>
  <c r="P995" i="26"/>
  <c r="N995" i="26" s="1"/>
  <c r="M995" i="26"/>
  <c r="L995" i="26"/>
  <c r="J995" i="26" s="1"/>
  <c r="I995" i="26"/>
  <c r="H995" i="26"/>
  <c r="F995" i="26"/>
  <c r="E995" i="26"/>
  <c r="X994" i="26"/>
  <c r="V994" i="26"/>
  <c r="T994" i="26"/>
  <c r="R994" i="26"/>
  <c r="Q994" i="26"/>
  <c r="P994" i="26"/>
  <c r="M994" i="26"/>
  <c r="L994" i="26"/>
  <c r="I994" i="26"/>
  <c r="H994" i="26"/>
  <c r="F994" i="26"/>
  <c r="E994" i="26"/>
  <c r="Y993" i="26"/>
  <c r="Z993" i="26" s="1"/>
  <c r="AA993" i="26" s="1"/>
  <c r="X993" i="26"/>
  <c r="V993" i="26"/>
  <c r="T993" i="26"/>
  <c r="R993" i="26"/>
  <c r="Q993" i="26"/>
  <c r="P993" i="26"/>
  <c r="N993" i="26" s="1"/>
  <c r="M993" i="26"/>
  <c r="L993" i="26"/>
  <c r="J993" i="26" s="1"/>
  <c r="I993" i="26"/>
  <c r="H993" i="26"/>
  <c r="F993" i="26" s="1"/>
  <c r="E993" i="26"/>
  <c r="X992" i="26"/>
  <c r="V992" i="26"/>
  <c r="T992" i="26"/>
  <c r="Q992" i="26"/>
  <c r="P992" i="26"/>
  <c r="M992" i="26"/>
  <c r="L992" i="26"/>
  <c r="I992" i="26"/>
  <c r="H992" i="26"/>
  <c r="E992" i="26"/>
  <c r="X991" i="26"/>
  <c r="V991" i="26"/>
  <c r="T991" i="26"/>
  <c r="R991" i="26" s="1"/>
  <c r="Q991" i="26"/>
  <c r="P991" i="26"/>
  <c r="M991" i="26"/>
  <c r="L991" i="26"/>
  <c r="I991" i="26"/>
  <c r="H991" i="26"/>
  <c r="E991" i="26"/>
  <c r="X990" i="26"/>
  <c r="V990" i="26"/>
  <c r="T990" i="26"/>
  <c r="Q990" i="26"/>
  <c r="P990" i="26"/>
  <c r="M990" i="26"/>
  <c r="L990" i="26"/>
  <c r="I990" i="26"/>
  <c r="H990" i="26"/>
  <c r="E990" i="26"/>
  <c r="Z989" i="26"/>
  <c r="AA989" i="26" s="1"/>
  <c r="Y989" i="26"/>
  <c r="X989" i="26"/>
  <c r="V989" i="26"/>
  <c r="T989" i="26"/>
  <c r="R989" i="26" s="1"/>
  <c r="Q989" i="26"/>
  <c r="P989" i="26"/>
  <c r="N989" i="26"/>
  <c r="M989" i="26"/>
  <c r="L989" i="26"/>
  <c r="J989" i="26" s="1"/>
  <c r="I989" i="26"/>
  <c r="H989" i="26"/>
  <c r="F989" i="26"/>
  <c r="E989" i="26"/>
  <c r="X988" i="26"/>
  <c r="T988" i="26"/>
  <c r="R988" i="26"/>
  <c r="Q988" i="26"/>
  <c r="P988" i="26"/>
  <c r="M988" i="26"/>
  <c r="L988" i="26"/>
  <c r="I988" i="26"/>
  <c r="H988" i="26"/>
  <c r="E988" i="26"/>
  <c r="V988" i="26" s="1"/>
  <c r="X987" i="26"/>
  <c r="T987" i="26"/>
  <c r="Q987" i="26"/>
  <c r="P987" i="26"/>
  <c r="M987" i="26"/>
  <c r="L987" i="26"/>
  <c r="I987" i="26"/>
  <c r="H987" i="26"/>
  <c r="E987" i="26"/>
  <c r="X986" i="26"/>
  <c r="V986" i="26"/>
  <c r="T986" i="26"/>
  <c r="Q986" i="26"/>
  <c r="P986" i="26"/>
  <c r="M986" i="26"/>
  <c r="L986" i="26"/>
  <c r="J986" i="26"/>
  <c r="I986" i="26"/>
  <c r="H986" i="26"/>
  <c r="E986" i="26"/>
  <c r="X985" i="26"/>
  <c r="T985" i="26"/>
  <c r="Q985" i="26"/>
  <c r="P985" i="26"/>
  <c r="M985" i="26"/>
  <c r="L985" i="26"/>
  <c r="I985" i="26"/>
  <c r="H985" i="26"/>
  <c r="E985" i="26"/>
  <c r="X984" i="26"/>
  <c r="T984" i="26"/>
  <c r="Q984" i="26"/>
  <c r="P984" i="26"/>
  <c r="M984" i="26"/>
  <c r="L984" i="26"/>
  <c r="I984" i="26"/>
  <c r="V984" i="26" s="1"/>
  <c r="H984" i="26"/>
  <c r="E984" i="26"/>
  <c r="X983" i="26"/>
  <c r="T983" i="26"/>
  <c r="Q983" i="26"/>
  <c r="P983" i="26"/>
  <c r="M983" i="26"/>
  <c r="L983" i="26"/>
  <c r="J983" i="26"/>
  <c r="I983" i="26"/>
  <c r="V983" i="26" s="1"/>
  <c r="N983" i="26" s="1"/>
  <c r="H983" i="26"/>
  <c r="E983" i="26"/>
  <c r="Y982" i="26"/>
  <c r="Z982" i="26" s="1"/>
  <c r="AA982" i="26" s="1"/>
  <c r="X982" i="26"/>
  <c r="V982" i="26"/>
  <c r="T982" i="26"/>
  <c r="Q982" i="26"/>
  <c r="P982" i="26"/>
  <c r="N982" i="26" s="1"/>
  <c r="M982" i="26"/>
  <c r="L982" i="26"/>
  <c r="J982" i="26"/>
  <c r="I982" i="26"/>
  <c r="H982" i="26"/>
  <c r="E982" i="26"/>
  <c r="Z981" i="26"/>
  <c r="AA981" i="26" s="1"/>
  <c r="Y981" i="26"/>
  <c r="X981" i="26"/>
  <c r="V981" i="26"/>
  <c r="T981" i="26"/>
  <c r="R981" i="26" s="1"/>
  <c r="Q981" i="26"/>
  <c r="P981" i="26"/>
  <c r="N981" i="26"/>
  <c r="M981" i="26"/>
  <c r="L981" i="26"/>
  <c r="J981" i="26" s="1"/>
  <c r="I981" i="26"/>
  <c r="H981" i="26"/>
  <c r="F981" i="26"/>
  <c r="E981" i="26"/>
  <c r="Y980" i="26"/>
  <c r="Z980" i="26" s="1"/>
  <c r="AA980" i="26" s="1"/>
  <c r="X980" i="26"/>
  <c r="V980" i="26"/>
  <c r="T980" i="26"/>
  <c r="R980" i="26"/>
  <c r="Q980" i="26"/>
  <c r="P980" i="26"/>
  <c r="N980" i="26"/>
  <c r="M980" i="26"/>
  <c r="L980" i="26"/>
  <c r="J980" i="26"/>
  <c r="I980" i="26"/>
  <c r="H980" i="26"/>
  <c r="E980" i="26"/>
  <c r="Z979" i="26"/>
  <c r="AA979" i="26" s="1"/>
  <c r="Y979" i="26"/>
  <c r="X979" i="26"/>
  <c r="V979" i="26"/>
  <c r="T979" i="26"/>
  <c r="R979" i="26" s="1"/>
  <c r="Q979" i="26"/>
  <c r="P979" i="26"/>
  <c r="N979" i="26" s="1"/>
  <c r="M979" i="26"/>
  <c r="L979" i="26"/>
  <c r="J979" i="26" s="1"/>
  <c r="I979" i="26"/>
  <c r="H979" i="26"/>
  <c r="F979" i="26"/>
  <c r="E979" i="26"/>
  <c r="X978" i="26"/>
  <c r="T978" i="26"/>
  <c r="Q978" i="26"/>
  <c r="V978" i="26" s="1"/>
  <c r="P978" i="26"/>
  <c r="M978" i="26"/>
  <c r="L978" i="26"/>
  <c r="I978" i="26"/>
  <c r="H978" i="26"/>
  <c r="E978" i="26"/>
  <c r="X977" i="26"/>
  <c r="T977" i="26"/>
  <c r="R977" i="26" s="1"/>
  <c r="Q977" i="26"/>
  <c r="P977" i="26"/>
  <c r="M977" i="26"/>
  <c r="L977" i="26"/>
  <c r="I977" i="26"/>
  <c r="H977" i="26"/>
  <c r="F977" i="26"/>
  <c r="E977" i="26"/>
  <c r="V977" i="26" s="1"/>
  <c r="X976" i="26"/>
  <c r="T976" i="26"/>
  <c r="Q976" i="26"/>
  <c r="P976" i="26"/>
  <c r="M976" i="26"/>
  <c r="L976" i="26"/>
  <c r="I976" i="26"/>
  <c r="H976" i="26"/>
  <c r="E976" i="26"/>
  <c r="X975" i="26"/>
  <c r="T975" i="26"/>
  <c r="Q975" i="26"/>
  <c r="P975" i="26"/>
  <c r="M975" i="26"/>
  <c r="L975" i="26"/>
  <c r="I975" i="26"/>
  <c r="V975" i="26" s="1"/>
  <c r="H975" i="26"/>
  <c r="E975" i="26"/>
  <c r="X974" i="26"/>
  <c r="T974" i="26"/>
  <c r="Q974" i="26"/>
  <c r="P974" i="26"/>
  <c r="M974" i="26"/>
  <c r="L974" i="26"/>
  <c r="I974" i="26"/>
  <c r="H974" i="26"/>
  <c r="E974" i="26"/>
  <c r="X973" i="26"/>
  <c r="T973" i="26"/>
  <c r="Q973" i="26"/>
  <c r="P973" i="26"/>
  <c r="M973" i="26"/>
  <c r="L973" i="26"/>
  <c r="I973" i="26"/>
  <c r="H973" i="26"/>
  <c r="E973" i="26"/>
  <c r="X972" i="26"/>
  <c r="T972" i="26"/>
  <c r="R972" i="26"/>
  <c r="Q972" i="26"/>
  <c r="P972" i="26"/>
  <c r="M972" i="26"/>
  <c r="L972" i="26"/>
  <c r="I972" i="26"/>
  <c r="H972" i="26"/>
  <c r="E972" i="26"/>
  <c r="V972" i="26" s="1"/>
  <c r="X971" i="26"/>
  <c r="T971" i="26"/>
  <c r="Q971" i="26"/>
  <c r="P971" i="26"/>
  <c r="M971" i="26"/>
  <c r="L971" i="26"/>
  <c r="I971" i="26"/>
  <c r="H971" i="26"/>
  <c r="E971" i="26"/>
  <c r="V971" i="26" s="1"/>
  <c r="X969" i="26"/>
  <c r="T969" i="26"/>
  <c r="R969" i="26"/>
  <c r="Q969" i="26"/>
  <c r="P969" i="26"/>
  <c r="M969" i="26"/>
  <c r="L969" i="26"/>
  <c r="I969" i="26"/>
  <c r="H969" i="26"/>
  <c r="E969" i="26"/>
  <c r="V969" i="26" s="1"/>
  <c r="X968" i="26"/>
  <c r="T968" i="26"/>
  <c r="Q968" i="26"/>
  <c r="P968" i="26"/>
  <c r="M968" i="26"/>
  <c r="L968" i="26"/>
  <c r="I968" i="26"/>
  <c r="H968" i="26"/>
  <c r="E968" i="26"/>
  <c r="V968" i="26" s="1"/>
  <c r="X967" i="26"/>
  <c r="T967" i="26"/>
  <c r="Q967" i="26"/>
  <c r="P967" i="26"/>
  <c r="M967" i="26"/>
  <c r="L967" i="26"/>
  <c r="I967" i="26"/>
  <c r="V967" i="26" s="1"/>
  <c r="H967" i="26"/>
  <c r="E967" i="26"/>
  <c r="X966" i="26"/>
  <c r="T966" i="26"/>
  <c r="R966" i="26" s="1"/>
  <c r="Q966" i="26"/>
  <c r="P966" i="26"/>
  <c r="M966" i="26"/>
  <c r="L966" i="26"/>
  <c r="J966" i="26"/>
  <c r="I966" i="26"/>
  <c r="V966" i="26" s="1"/>
  <c r="H966" i="26"/>
  <c r="E966" i="26"/>
  <c r="X965" i="26"/>
  <c r="T965" i="26"/>
  <c r="Q965" i="26"/>
  <c r="P965" i="26"/>
  <c r="M965" i="26"/>
  <c r="L965" i="26"/>
  <c r="I965" i="26"/>
  <c r="H965" i="26"/>
  <c r="E965" i="26"/>
  <c r="X964" i="26"/>
  <c r="T964" i="26"/>
  <c r="R964" i="26" s="1"/>
  <c r="Q964" i="26"/>
  <c r="P964" i="26"/>
  <c r="M964" i="26"/>
  <c r="L964" i="26"/>
  <c r="I964" i="26"/>
  <c r="V964" i="26" s="1"/>
  <c r="F964" i="26" s="1"/>
  <c r="H964" i="26"/>
  <c r="E964" i="26"/>
  <c r="X963" i="26"/>
  <c r="T963" i="26"/>
  <c r="Q963" i="26"/>
  <c r="P963" i="26"/>
  <c r="N963" i="26" s="1"/>
  <c r="M963" i="26"/>
  <c r="L963" i="26"/>
  <c r="I963" i="26"/>
  <c r="H963" i="26"/>
  <c r="E963" i="26"/>
  <c r="V963" i="26" s="1"/>
  <c r="X962" i="26"/>
  <c r="T962" i="26"/>
  <c r="Q962" i="26"/>
  <c r="P962" i="26"/>
  <c r="M962" i="26"/>
  <c r="L962" i="26"/>
  <c r="I962" i="26"/>
  <c r="H962" i="26"/>
  <c r="E962" i="26"/>
  <c r="X961" i="26"/>
  <c r="V961" i="26"/>
  <c r="T961" i="26"/>
  <c r="Q961" i="26"/>
  <c r="P961" i="26"/>
  <c r="M961" i="26"/>
  <c r="L961" i="26"/>
  <c r="I961" i="26"/>
  <c r="H961" i="26"/>
  <c r="E961" i="26"/>
  <c r="X960" i="26"/>
  <c r="T960" i="26"/>
  <c r="Q960" i="26"/>
  <c r="P960" i="26"/>
  <c r="M960" i="26"/>
  <c r="L960" i="26"/>
  <c r="I960" i="26"/>
  <c r="H960" i="26"/>
  <c r="E960" i="26"/>
  <c r="X959" i="26"/>
  <c r="T959" i="26"/>
  <c r="Q959" i="26"/>
  <c r="P959" i="26"/>
  <c r="M959" i="26"/>
  <c r="L959" i="26"/>
  <c r="I959" i="26"/>
  <c r="H959" i="26"/>
  <c r="E959" i="26"/>
  <c r="X958" i="26"/>
  <c r="V958" i="26"/>
  <c r="T958" i="26"/>
  <c r="R958" i="26"/>
  <c r="Q958" i="26"/>
  <c r="P958" i="26"/>
  <c r="N958" i="26"/>
  <c r="M958" i="26"/>
  <c r="L958" i="26"/>
  <c r="J958" i="26" s="1"/>
  <c r="I958" i="26"/>
  <c r="H958" i="26"/>
  <c r="E958" i="26"/>
  <c r="X957" i="26"/>
  <c r="T957" i="26"/>
  <c r="Q957" i="26"/>
  <c r="P957" i="26"/>
  <c r="N957" i="26" s="1"/>
  <c r="M957" i="26"/>
  <c r="L957" i="26"/>
  <c r="I957" i="26"/>
  <c r="V957" i="26" s="1"/>
  <c r="H957" i="26"/>
  <c r="E957" i="26"/>
  <c r="Y956" i="26"/>
  <c r="Z956" i="26" s="1"/>
  <c r="AA956" i="26" s="1"/>
  <c r="X956" i="26"/>
  <c r="T956" i="26"/>
  <c r="Q956" i="26"/>
  <c r="V956" i="26" s="1"/>
  <c r="F956" i="26" s="1"/>
  <c r="P956" i="26"/>
  <c r="N956" i="26"/>
  <c r="M956" i="26"/>
  <c r="L956" i="26"/>
  <c r="J956" i="26"/>
  <c r="I956" i="26"/>
  <c r="H956" i="26"/>
  <c r="E956" i="26"/>
  <c r="X955" i="26"/>
  <c r="T955" i="26"/>
  <c r="Q955" i="26"/>
  <c r="P955" i="26"/>
  <c r="N955" i="26"/>
  <c r="M955" i="26"/>
  <c r="L955" i="26"/>
  <c r="I955" i="26"/>
  <c r="H955" i="26"/>
  <c r="E955" i="26"/>
  <c r="V955" i="26" s="1"/>
  <c r="X954" i="26"/>
  <c r="T954" i="26"/>
  <c r="Q954" i="26"/>
  <c r="P954" i="26"/>
  <c r="M954" i="26"/>
  <c r="L954" i="26"/>
  <c r="I954" i="26"/>
  <c r="H954" i="26"/>
  <c r="E954" i="26"/>
  <c r="X953" i="26"/>
  <c r="T953" i="26"/>
  <c r="Q953" i="26"/>
  <c r="V953" i="26" s="1"/>
  <c r="P953" i="26"/>
  <c r="N953" i="26"/>
  <c r="M953" i="26"/>
  <c r="L953" i="26"/>
  <c r="I953" i="26"/>
  <c r="H953" i="26"/>
  <c r="E953" i="26"/>
  <c r="X952" i="26"/>
  <c r="T952" i="26"/>
  <c r="Q952" i="26"/>
  <c r="P952" i="26"/>
  <c r="M952" i="26"/>
  <c r="L952" i="26"/>
  <c r="I952" i="26"/>
  <c r="H952" i="26"/>
  <c r="E952" i="26"/>
  <c r="X951" i="26"/>
  <c r="V951" i="26"/>
  <c r="T951" i="26"/>
  <c r="Q951" i="26"/>
  <c r="P951" i="26"/>
  <c r="M951" i="26"/>
  <c r="L951" i="26"/>
  <c r="I951" i="26"/>
  <c r="H951" i="26"/>
  <c r="E951" i="26"/>
  <c r="X950" i="26"/>
  <c r="V950" i="26"/>
  <c r="T950" i="26"/>
  <c r="R950" i="26"/>
  <c r="Q950" i="26"/>
  <c r="P950" i="26"/>
  <c r="N950" i="26"/>
  <c r="M950" i="26"/>
  <c r="L950" i="26"/>
  <c r="J950" i="26"/>
  <c r="I950" i="26"/>
  <c r="H950" i="26"/>
  <c r="E950" i="26"/>
  <c r="X949" i="26"/>
  <c r="T949" i="26"/>
  <c r="Q949" i="26"/>
  <c r="P949" i="26"/>
  <c r="M949" i="26"/>
  <c r="L949" i="26"/>
  <c r="I949" i="26"/>
  <c r="H949" i="26"/>
  <c r="E949" i="26"/>
  <c r="X948" i="26"/>
  <c r="T948" i="26"/>
  <c r="Q948" i="26"/>
  <c r="V948" i="26" s="1"/>
  <c r="P948" i="26"/>
  <c r="M948" i="26"/>
  <c r="L948" i="26"/>
  <c r="J948" i="26"/>
  <c r="I948" i="26"/>
  <c r="H948" i="26"/>
  <c r="E948" i="26"/>
  <c r="X947" i="26"/>
  <c r="T947" i="26"/>
  <c r="R947" i="26"/>
  <c r="Q947" i="26"/>
  <c r="P947" i="26"/>
  <c r="M947" i="26"/>
  <c r="L947" i="26"/>
  <c r="I947" i="26"/>
  <c r="H947" i="26"/>
  <c r="E947" i="26"/>
  <c r="V947" i="26" s="1"/>
  <c r="X946" i="26"/>
  <c r="T946" i="26"/>
  <c r="Q946" i="26"/>
  <c r="P946" i="26"/>
  <c r="M946" i="26"/>
  <c r="L946" i="26"/>
  <c r="I946" i="26"/>
  <c r="H946" i="26"/>
  <c r="E946" i="26"/>
  <c r="X945" i="26"/>
  <c r="V945" i="26"/>
  <c r="T945" i="26"/>
  <c r="Q945" i="26"/>
  <c r="P945" i="26"/>
  <c r="M945" i="26"/>
  <c r="L945" i="26"/>
  <c r="I945" i="26"/>
  <c r="H945" i="26"/>
  <c r="E945" i="26"/>
  <c r="X944" i="26"/>
  <c r="T944" i="26"/>
  <c r="Q944" i="26"/>
  <c r="P944" i="26"/>
  <c r="M944" i="26"/>
  <c r="L944" i="26"/>
  <c r="I944" i="26"/>
  <c r="H944" i="26"/>
  <c r="E944" i="26"/>
  <c r="X943" i="26"/>
  <c r="T943" i="26"/>
  <c r="R943" i="26" s="1"/>
  <c r="Q943" i="26"/>
  <c r="P943" i="26"/>
  <c r="N943" i="26" s="1"/>
  <c r="M943" i="26"/>
  <c r="L943" i="26"/>
  <c r="I943" i="26"/>
  <c r="V943" i="26" s="1"/>
  <c r="Y943" i="26" s="1"/>
  <c r="Z943" i="26" s="1"/>
  <c r="AA943" i="26" s="1"/>
  <c r="H943" i="26"/>
  <c r="E943" i="26"/>
  <c r="X942" i="26"/>
  <c r="V942" i="26"/>
  <c r="T942" i="26"/>
  <c r="R942" i="26"/>
  <c r="Q942" i="26"/>
  <c r="P942" i="26"/>
  <c r="N942" i="26"/>
  <c r="M942" i="26"/>
  <c r="L942" i="26"/>
  <c r="J942" i="26" s="1"/>
  <c r="I942" i="26"/>
  <c r="H942" i="26"/>
  <c r="E942" i="26"/>
  <c r="X941" i="26"/>
  <c r="T941" i="26"/>
  <c r="Q941" i="26"/>
  <c r="P941" i="26"/>
  <c r="M941" i="26"/>
  <c r="L941" i="26"/>
  <c r="I941" i="26"/>
  <c r="V941" i="26" s="1"/>
  <c r="H941" i="26"/>
  <c r="E941" i="26"/>
  <c r="X940" i="26"/>
  <c r="T940" i="26"/>
  <c r="Q940" i="26"/>
  <c r="V940" i="26" s="1"/>
  <c r="P940" i="26"/>
  <c r="M940" i="26"/>
  <c r="L940" i="26"/>
  <c r="I940" i="26"/>
  <c r="H940" i="26"/>
  <c r="E940" i="26"/>
  <c r="X939" i="26"/>
  <c r="T939" i="26"/>
  <c r="Q939" i="26"/>
  <c r="P939" i="26"/>
  <c r="N939" i="26"/>
  <c r="M939" i="26"/>
  <c r="L939" i="26"/>
  <c r="J939" i="26"/>
  <c r="I939" i="26"/>
  <c r="H939" i="26"/>
  <c r="E939" i="26"/>
  <c r="V939" i="26" s="1"/>
  <c r="F939" i="26" s="1"/>
  <c r="X938" i="26"/>
  <c r="T938" i="26"/>
  <c r="Q938" i="26"/>
  <c r="P938" i="26"/>
  <c r="N938" i="26" s="1"/>
  <c r="M938" i="26"/>
  <c r="L938" i="26"/>
  <c r="I938" i="26"/>
  <c r="H938" i="26"/>
  <c r="E938" i="26"/>
  <c r="V938" i="26" s="1"/>
  <c r="Y937" i="26"/>
  <c r="Z937" i="26" s="1"/>
  <c r="AA937" i="26" s="1"/>
  <c r="X937" i="26"/>
  <c r="T937" i="26"/>
  <c r="R937" i="26" s="1"/>
  <c r="Q937" i="26"/>
  <c r="P937" i="26"/>
  <c r="N937" i="26"/>
  <c r="M937" i="26"/>
  <c r="L937" i="26"/>
  <c r="J937" i="26" s="1"/>
  <c r="I937" i="26"/>
  <c r="H937" i="26"/>
  <c r="F937" i="26"/>
  <c r="E937" i="26"/>
  <c r="Y936" i="26"/>
  <c r="Z936" i="26" s="1"/>
  <c r="AA936" i="26" s="1"/>
  <c r="X936" i="26"/>
  <c r="T936" i="26"/>
  <c r="R936" i="26" s="1"/>
  <c r="Q936" i="26"/>
  <c r="P936" i="26"/>
  <c r="N936" i="26"/>
  <c r="M936" i="26"/>
  <c r="L936" i="26"/>
  <c r="J936" i="26" s="1"/>
  <c r="I936" i="26"/>
  <c r="H936" i="26"/>
  <c r="F936" i="26"/>
  <c r="E936" i="26"/>
  <c r="X935" i="26"/>
  <c r="T935" i="26"/>
  <c r="Q935" i="26"/>
  <c r="P935" i="26"/>
  <c r="M935" i="26"/>
  <c r="V935" i="26" s="1"/>
  <c r="Y935" i="26" s="1"/>
  <c r="Z935" i="26" s="1"/>
  <c r="AA935" i="26" s="1"/>
  <c r="L935" i="26"/>
  <c r="I935" i="26"/>
  <c r="H935" i="26"/>
  <c r="E935" i="26"/>
  <c r="X934" i="26"/>
  <c r="T934" i="26"/>
  <c r="Q934" i="26"/>
  <c r="P934" i="26"/>
  <c r="M934" i="26"/>
  <c r="L934" i="26"/>
  <c r="I934" i="26"/>
  <c r="H934" i="26"/>
  <c r="E934" i="26"/>
  <c r="X933" i="26"/>
  <c r="T933" i="26"/>
  <c r="Q933" i="26"/>
  <c r="P933" i="26"/>
  <c r="M933" i="26"/>
  <c r="L933" i="26"/>
  <c r="I933" i="26"/>
  <c r="H933" i="26"/>
  <c r="E933" i="26"/>
  <c r="X932" i="26"/>
  <c r="T932" i="26"/>
  <c r="Q932" i="26"/>
  <c r="P932" i="26"/>
  <c r="M932" i="26"/>
  <c r="L932" i="26"/>
  <c r="I932" i="26"/>
  <c r="H932" i="26"/>
  <c r="E932" i="26"/>
  <c r="X931" i="26"/>
  <c r="T931" i="26"/>
  <c r="Q931" i="26"/>
  <c r="P931" i="26"/>
  <c r="M931" i="26"/>
  <c r="L931" i="26"/>
  <c r="I931" i="26"/>
  <c r="H931" i="26"/>
  <c r="E931" i="26"/>
  <c r="X930" i="26"/>
  <c r="V930" i="26"/>
  <c r="T930" i="26"/>
  <c r="Q930" i="26"/>
  <c r="P930" i="26"/>
  <c r="M930" i="26"/>
  <c r="L930" i="26"/>
  <c r="J930" i="26"/>
  <c r="I930" i="26"/>
  <c r="H930" i="26"/>
  <c r="E930" i="26"/>
  <c r="X929" i="26"/>
  <c r="T929" i="26"/>
  <c r="Q929" i="26"/>
  <c r="P929" i="26"/>
  <c r="M929" i="26"/>
  <c r="L929" i="26"/>
  <c r="I929" i="26"/>
  <c r="H929" i="26"/>
  <c r="E929" i="26"/>
  <c r="X928" i="26"/>
  <c r="T928" i="26"/>
  <c r="Q928" i="26"/>
  <c r="P928" i="26"/>
  <c r="M928" i="26"/>
  <c r="L928" i="26"/>
  <c r="I928" i="26"/>
  <c r="H928" i="26"/>
  <c r="E928" i="26"/>
  <c r="X927" i="26"/>
  <c r="T927" i="26"/>
  <c r="Q927" i="26"/>
  <c r="P927" i="26"/>
  <c r="M927" i="26"/>
  <c r="L927" i="26"/>
  <c r="I927" i="26"/>
  <c r="H927" i="26"/>
  <c r="E927" i="26"/>
  <c r="V927" i="26" s="1"/>
  <c r="X926" i="26"/>
  <c r="T926" i="26"/>
  <c r="Q926" i="26"/>
  <c r="P926" i="26"/>
  <c r="M926" i="26"/>
  <c r="L926" i="26"/>
  <c r="I926" i="26"/>
  <c r="H926" i="26"/>
  <c r="E926" i="26"/>
  <c r="X925" i="26"/>
  <c r="T925" i="26"/>
  <c r="Q925" i="26"/>
  <c r="P925" i="26"/>
  <c r="M925" i="26"/>
  <c r="L925" i="26"/>
  <c r="I925" i="26"/>
  <c r="H925" i="26"/>
  <c r="E925" i="26"/>
  <c r="X924" i="26"/>
  <c r="T924" i="26"/>
  <c r="R924" i="26"/>
  <c r="Q924" i="26"/>
  <c r="P924" i="26"/>
  <c r="N924" i="26" s="1"/>
  <c r="M924" i="26"/>
  <c r="L924" i="26"/>
  <c r="I924" i="26"/>
  <c r="H924" i="26"/>
  <c r="F924" i="26" s="1"/>
  <c r="E924" i="26"/>
  <c r="V924" i="26" s="1"/>
  <c r="X923" i="26"/>
  <c r="T923" i="26"/>
  <c r="Q923" i="26"/>
  <c r="P923" i="26"/>
  <c r="M923" i="26"/>
  <c r="L923" i="26"/>
  <c r="I923" i="26"/>
  <c r="H923" i="26"/>
  <c r="E923" i="26"/>
  <c r="X922" i="26"/>
  <c r="V922" i="26"/>
  <c r="F922" i="26" s="1"/>
  <c r="T922" i="26"/>
  <c r="R922" i="26"/>
  <c r="Q922" i="26"/>
  <c r="P922" i="26"/>
  <c r="N922" i="26"/>
  <c r="M922" i="26"/>
  <c r="L922" i="26"/>
  <c r="J922" i="26" s="1"/>
  <c r="I922" i="26"/>
  <c r="H922" i="26"/>
  <c r="E922" i="26"/>
  <c r="X921" i="26"/>
  <c r="T921" i="26"/>
  <c r="R921" i="26" s="1"/>
  <c r="Q921" i="26"/>
  <c r="P921" i="26"/>
  <c r="N921" i="26"/>
  <c r="M921" i="26"/>
  <c r="L921" i="26"/>
  <c r="I921" i="26"/>
  <c r="H921" i="26"/>
  <c r="E921" i="26"/>
  <c r="V921" i="26" s="1"/>
  <c r="Z920" i="26"/>
  <c r="AA920" i="26" s="1"/>
  <c r="Y920" i="26"/>
  <c r="X920" i="26"/>
  <c r="T920" i="26"/>
  <c r="Q920" i="26"/>
  <c r="P920" i="26"/>
  <c r="N920" i="26"/>
  <c r="M920" i="26"/>
  <c r="L920" i="26"/>
  <c r="J920" i="26" s="1"/>
  <c r="I920" i="26"/>
  <c r="H920" i="26"/>
  <c r="E920" i="26"/>
  <c r="V920" i="26" s="1"/>
  <c r="F920" i="26" s="1"/>
  <c r="Y919" i="26"/>
  <c r="Z919" i="26" s="1"/>
  <c r="AA919" i="26" s="1"/>
  <c r="X919" i="26"/>
  <c r="T919" i="26"/>
  <c r="R919" i="26"/>
  <c r="Q919" i="26"/>
  <c r="P919" i="26"/>
  <c r="N919" i="26" s="1"/>
  <c r="M919" i="26"/>
  <c r="L919" i="26"/>
  <c r="I919" i="26"/>
  <c r="H919" i="26"/>
  <c r="F919" i="26"/>
  <c r="E919" i="26"/>
  <c r="V919" i="26" s="1"/>
  <c r="X918" i="26"/>
  <c r="T918" i="26"/>
  <c r="Q918" i="26"/>
  <c r="P918" i="26"/>
  <c r="M918" i="26"/>
  <c r="L918" i="26"/>
  <c r="I918" i="26"/>
  <c r="H918" i="26"/>
  <c r="E918" i="26"/>
  <c r="X917" i="26"/>
  <c r="T917" i="26"/>
  <c r="Q917" i="26"/>
  <c r="P917" i="26"/>
  <c r="M917" i="26"/>
  <c r="L917" i="26"/>
  <c r="I917" i="26"/>
  <c r="H917" i="26"/>
  <c r="E917" i="26"/>
  <c r="X916" i="26"/>
  <c r="T916" i="26"/>
  <c r="Q916" i="26"/>
  <c r="P916" i="26"/>
  <c r="M916" i="26"/>
  <c r="L916" i="26"/>
  <c r="I916" i="26"/>
  <c r="H916" i="26"/>
  <c r="E916" i="26"/>
  <c r="X915" i="26"/>
  <c r="T915" i="26"/>
  <c r="Q915" i="26"/>
  <c r="P915" i="26"/>
  <c r="M915" i="26"/>
  <c r="L915" i="26"/>
  <c r="I915" i="26"/>
  <c r="H915" i="26"/>
  <c r="E915" i="26"/>
  <c r="V915" i="26" s="1"/>
  <c r="Y914" i="26"/>
  <c r="Z914" i="26" s="1"/>
  <c r="AA914" i="26" s="1"/>
  <c r="X914" i="26"/>
  <c r="T914" i="26"/>
  <c r="Q914" i="26"/>
  <c r="P914" i="26"/>
  <c r="M914" i="26"/>
  <c r="V914" i="26" s="1"/>
  <c r="L914" i="26"/>
  <c r="I914" i="26"/>
  <c r="H914" i="26"/>
  <c r="F914" i="26"/>
  <c r="E914" i="26"/>
  <c r="X913" i="26"/>
  <c r="T913" i="26"/>
  <c r="Q913" i="26"/>
  <c r="P913" i="26"/>
  <c r="M913" i="26"/>
  <c r="L913" i="26"/>
  <c r="I913" i="26"/>
  <c r="H913" i="26"/>
  <c r="E913" i="26"/>
  <c r="X912" i="26"/>
  <c r="T912" i="26"/>
  <c r="Q912" i="26"/>
  <c r="P912" i="26"/>
  <c r="M912" i="26"/>
  <c r="L912" i="26"/>
  <c r="I912" i="26"/>
  <c r="H912" i="26"/>
  <c r="E912" i="26"/>
  <c r="Z911" i="26"/>
  <c r="AA911" i="26" s="1"/>
  <c r="Y911" i="26"/>
  <c r="X911" i="26"/>
  <c r="V911" i="26"/>
  <c r="T911" i="26"/>
  <c r="R911" i="26"/>
  <c r="Q911" i="26"/>
  <c r="P911" i="26"/>
  <c r="N911" i="26"/>
  <c r="M911" i="26"/>
  <c r="L911" i="26"/>
  <c r="J911" i="26" s="1"/>
  <c r="I911" i="26"/>
  <c r="H911" i="26"/>
  <c r="F911" i="26" s="1"/>
  <c r="E911" i="26"/>
  <c r="Z910" i="26"/>
  <c r="AA910" i="26" s="1"/>
  <c r="Y910" i="26"/>
  <c r="X910" i="26"/>
  <c r="V910" i="26"/>
  <c r="T910" i="26"/>
  <c r="R910" i="26" s="1"/>
  <c r="Q910" i="26"/>
  <c r="P910" i="26"/>
  <c r="N910" i="26"/>
  <c r="M910" i="26"/>
  <c r="L910" i="26"/>
  <c r="J910" i="26" s="1"/>
  <c r="I910" i="26"/>
  <c r="H910" i="26"/>
  <c r="F910" i="26" s="1"/>
  <c r="E910" i="26"/>
  <c r="Y909" i="26"/>
  <c r="Z909" i="26" s="1"/>
  <c r="AA909" i="26" s="1"/>
  <c r="X909" i="26"/>
  <c r="V909" i="26"/>
  <c r="T909" i="26"/>
  <c r="Q909" i="26"/>
  <c r="P909" i="26"/>
  <c r="M909" i="26"/>
  <c r="L909" i="26"/>
  <c r="I909" i="26"/>
  <c r="H909" i="26"/>
  <c r="E909" i="26"/>
  <c r="X908" i="26"/>
  <c r="V908" i="26"/>
  <c r="T908" i="26"/>
  <c r="Q908" i="26"/>
  <c r="P908" i="26"/>
  <c r="N908" i="26"/>
  <c r="M908" i="26"/>
  <c r="L908" i="26"/>
  <c r="I908" i="26"/>
  <c r="H908" i="26"/>
  <c r="E908" i="26"/>
  <c r="AA907" i="26"/>
  <c r="Y907" i="26"/>
  <c r="Z907" i="26" s="1"/>
  <c r="X907" i="26"/>
  <c r="T907" i="26"/>
  <c r="Q907" i="26"/>
  <c r="P907" i="26"/>
  <c r="M907" i="26"/>
  <c r="V907" i="26" s="1"/>
  <c r="L907" i="26"/>
  <c r="I907" i="26"/>
  <c r="H907" i="26"/>
  <c r="E907" i="26"/>
  <c r="X906" i="26"/>
  <c r="T906" i="26"/>
  <c r="Q906" i="26"/>
  <c r="P906" i="26"/>
  <c r="M906" i="26"/>
  <c r="L906" i="26"/>
  <c r="I906" i="26"/>
  <c r="H906" i="26"/>
  <c r="E906" i="26"/>
  <c r="X905" i="26"/>
  <c r="V905" i="26"/>
  <c r="T905" i="26"/>
  <c r="Q905" i="26"/>
  <c r="P905" i="26"/>
  <c r="M905" i="26"/>
  <c r="L905" i="26"/>
  <c r="I905" i="26"/>
  <c r="H905" i="26"/>
  <c r="E905" i="26"/>
  <c r="X904" i="26"/>
  <c r="V904" i="26"/>
  <c r="T904" i="26"/>
  <c r="R904" i="26" s="1"/>
  <c r="Q904" i="26"/>
  <c r="P904" i="26"/>
  <c r="N904" i="26" s="1"/>
  <c r="M904" i="26"/>
  <c r="L904" i="26"/>
  <c r="I904" i="26"/>
  <c r="H904" i="26"/>
  <c r="F904" i="26"/>
  <c r="E904" i="26"/>
  <c r="X903" i="26"/>
  <c r="V903" i="26"/>
  <c r="T903" i="26"/>
  <c r="R903" i="26"/>
  <c r="Q903" i="26"/>
  <c r="P903" i="26"/>
  <c r="N903" i="26"/>
  <c r="M903" i="26"/>
  <c r="L903" i="26"/>
  <c r="J903" i="26"/>
  <c r="I903" i="26"/>
  <c r="H903" i="26"/>
  <c r="E903" i="26"/>
  <c r="AA902" i="26"/>
  <c r="Z902" i="26"/>
  <c r="Y902" i="26"/>
  <c r="X902" i="26"/>
  <c r="V902" i="26"/>
  <c r="T902" i="26"/>
  <c r="R902" i="26" s="1"/>
  <c r="Q902" i="26"/>
  <c r="P902" i="26"/>
  <c r="N902" i="26" s="1"/>
  <c r="M902" i="26"/>
  <c r="L902" i="26"/>
  <c r="J902" i="26" s="1"/>
  <c r="I902" i="26"/>
  <c r="H902" i="26"/>
  <c r="F902" i="26" s="1"/>
  <c r="E902" i="26"/>
  <c r="X901" i="26"/>
  <c r="V901" i="26"/>
  <c r="Y901" i="26" s="1"/>
  <c r="Z901" i="26" s="1"/>
  <c r="AA901" i="26" s="1"/>
  <c r="T901" i="26"/>
  <c r="R901" i="26"/>
  <c r="Q901" i="26"/>
  <c r="P901" i="26"/>
  <c r="N901" i="26" s="1"/>
  <c r="M901" i="26"/>
  <c r="L901" i="26"/>
  <c r="J901" i="26"/>
  <c r="I901" i="26"/>
  <c r="H901" i="26"/>
  <c r="E901" i="26"/>
  <c r="AA900" i="26"/>
  <c r="X900" i="26"/>
  <c r="V900" i="26"/>
  <c r="Y900" i="26" s="1"/>
  <c r="Z900" i="26" s="1"/>
  <c r="T900" i="26"/>
  <c r="R900" i="26"/>
  <c r="Q900" i="26"/>
  <c r="P900" i="26"/>
  <c r="N900" i="26"/>
  <c r="M900" i="26"/>
  <c r="L900" i="26"/>
  <c r="J900" i="26"/>
  <c r="I900" i="26"/>
  <c r="H900" i="26"/>
  <c r="F900" i="26" s="1"/>
  <c r="E900" i="26"/>
  <c r="AA899" i="26"/>
  <c r="X899" i="26"/>
  <c r="V899" i="26"/>
  <c r="Y899" i="26" s="1"/>
  <c r="Z899" i="26" s="1"/>
  <c r="T899" i="26"/>
  <c r="R899" i="26" s="1"/>
  <c r="Q899" i="26"/>
  <c r="P899" i="26"/>
  <c r="N899" i="26" s="1"/>
  <c r="M899" i="26"/>
  <c r="L899" i="26"/>
  <c r="J899" i="26"/>
  <c r="I899" i="26"/>
  <c r="H899" i="26"/>
  <c r="F899" i="26" s="1"/>
  <c r="E899" i="26"/>
  <c r="X898" i="26"/>
  <c r="V898" i="26"/>
  <c r="T898" i="26"/>
  <c r="R898" i="26" s="1"/>
  <c r="Q898" i="26"/>
  <c r="P898" i="26"/>
  <c r="N898" i="26"/>
  <c r="M898" i="26"/>
  <c r="L898" i="26"/>
  <c r="J898" i="26"/>
  <c r="I898" i="26"/>
  <c r="H898" i="26"/>
  <c r="E898" i="26"/>
  <c r="X897" i="26"/>
  <c r="V897" i="26"/>
  <c r="T897" i="26"/>
  <c r="R897" i="26" s="1"/>
  <c r="Q897" i="26"/>
  <c r="P897" i="26"/>
  <c r="N897" i="26"/>
  <c r="M897" i="26"/>
  <c r="L897" i="26"/>
  <c r="I897" i="26"/>
  <c r="H897" i="26"/>
  <c r="E897" i="26"/>
  <c r="X896" i="26"/>
  <c r="T896" i="26"/>
  <c r="Q896" i="26"/>
  <c r="P896" i="26"/>
  <c r="M896" i="26"/>
  <c r="L896" i="26"/>
  <c r="I896" i="26"/>
  <c r="H896" i="26"/>
  <c r="E896" i="26"/>
  <c r="Z895" i="26"/>
  <c r="AA895" i="26" s="1"/>
  <c r="X895" i="26"/>
  <c r="V895" i="26"/>
  <c r="Y895" i="26" s="1"/>
  <c r="T895" i="26"/>
  <c r="R895" i="26"/>
  <c r="Q895" i="26"/>
  <c r="P895" i="26"/>
  <c r="N895" i="26" s="1"/>
  <c r="M895" i="26"/>
  <c r="L895" i="26"/>
  <c r="J895" i="26" s="1"/>
  <c r="I895" i="26"/>
  <c r="H895" i="26"/>
  <c r="F895" i="26" s="1"/>
  <c r="E895" i="26"/>
  <c r="Y894" i="26"/>
  <c r="Z894" i="26" s="1"/>
  <c r="AA894" i="26" s="1"/>
  <c r="X894" i="26"/>
  <c r="V894" i="26"/>
  <c r="T894" i="26"/>
  <c r="R894" i="26" s="1"/>
  <c r="Q894" i="26"/>
  <c r="P894" i="26"/>
  <c r="N894" i="26" s="1"/>
  <c r="M894" i="26"/>
  <c r="L894" i="26"/>
  <c r="J894" i="26" s="1"/>
  <c r="I894" i="26"/>
  <c r="H894" i="26"/>
  <c r="F894" i="26"/>
  <c r="E894" i="26"/>
  <c r="X893" i="26"/>
  <c r="V893" i="26"/>
  <c r="T893" i="26"/>
  <c r="R893" i="26" s="1"/>
  <c r="Q893" i="26"/>
  <c r="P893" i="26"/>
  <c r="N893" i="26" s="1"/>
  <c r="M893" i="26"/>
  <c r="L893" i="26"/>
  <c r="I893" i="26"/>
  <c r="H893" i="26"/>
  <c r="E893" i="26"/>
  <c r="Z892" i="26"/>
  <c r="AA892" i="26" s="1"/>
  <c r="X892" i="26"/>
  <c r="V892" i="26"/>
  <c r="Y892" i="26" s="1"/>
  <c r="T892" i="26"/>
  <c r="R892" i="26"/>
  <c r="Q892" i="26"/>
  <c r="P892" i="26"/>
  <c r="M892" i="26"/>
  <c r="L892" i="26"/>
  <c r="J892" i="26" s="1"/>
  <c r="I892" i="26"/>
  <c r="H892" i="26"/>
  <c r="F892" i="26"/>
  <c r="E892" i="26"/>
  <c r="X891" i="26"/>
  <c r="V891" i="26"/>
  <c r="T891" i="26"/>
  <c r="R891" i="26" s="1"/>
  <c r="Q891" i="26"/>
  <c r="P891" i="26"/>
  <c r="M891" i="26"/>
  <c r="L891" i="26"/>
  <c r="J891" i="26"/>
  <c r="I891" i="26"/>
  <c r="H891" i="26"/>
  <c r="E891" i="26"/>
  <c r="Z890" i="26"/>
  <c r="AA890" i="26" s="1"/>
  <c r="X890" i="26"/>
  <c r="V890" i="26"/>
  <c r="Y890" i="26" s="1"/>
  <c r="T890" i="26"/>
  <c r="R890" i="26" s="1"/>
  <c r="Q890" i="26"/>
  <c r="P890" i="26"/>
  <c r="N890" i="26"/>
  <c r="M890" i="26"/>
  <c r="L890" i="26"/>
  <c r="J890" i="26" s="1"/>
  <c r="I890" i="26"/>
  <c r="H890" i="26"/>
  <c r="F890" i="26" s="1"/>
  <c r="E890" i="26"/>
  <c r="X889" i="26"/>
  <c r="T889" i="26"/>
  <c r="R889" i="26"/>
  <c r="Q889" i="26"/>
  <c r="P889" i="26"/>
  <c r="M889" i="26"/>
  <c r="L889" i="26"/>
  <c r="I889" i="26"/>
  <c r="H889" i="26"/>
  <c r="E889" i="26"/>
  <c r="V889" i="26" s="1"/>
  <c r="X888" i="26"/>
  <c r="T888" i="26"/>
  <c r="R888" i="26" s="1"/>
  <c r="Q888" i="26"/>
  <c r="P888" i="26"/>
  <c r="N888" i="26" s="1"/>
  <c r="M888" i="26"/>
  <c r="L888" i="26"/>
  <c r="I888" i="26"/>
  <c r="H888" i="26"/>
  <c r="E888" i="26"/>
  <c r="V888" i="26" s="1"/>
  <c r="X887" i="26"/>
  <c r="T887" i="26"/>
  <c r="Q887" i="26"/>
  <c r="P887" i="26"/>
  <c r="M887" i="26"/>
  <c r="V887" i="26" s="1"/>
  <c r="L887" i="26"/>
  <c r="I887" i="26"/>
  <c r="H887" i="26"/>
  <c r="E887" i="26"/>
  <c r="X886" i="26"/>
  <c r="T886" i="26"/>
  <c r="Q886" i="26"/>
  <c r="P886" i="26"/>
  <c r="M886" i="26"/>
  <c r="L886" i="26"/>
  <c r="I886" i="26"/>
  <c r="H886" i="26"/>
  <c r="E886" i="26"/>
  <c r="X885" i="26"/>
  <c r="T885" i="26"/>
  <c r="Q885" i="26"/>
  <c r="P885" i="26"/>
  <c r="M885" i="26"/>
  <c r="L885" i="26"/>
  <c r="I885" i="26"/>
  <c r="H885" i="26"/>
  <c r="E885" i="26"/>
  <c r="X884" i="26"/>
  <c r="T884" i="26"/>
  <c r="Q884" i="26"/>
  <c r="P884" i="26"/>
  <c r="M884" i="26"/>
  <c r="L884" i="26"/>
  <c r="I884" i="26"/>
  <c r="H884" i="26"/>
  <c r="F884" i="26"/>
  <c r="E884" i="26"/>
  <c r="V884" i="26" s="1"/>
  <c r="X883" i="26"/>
  <c r="T883" i="26"/>
  <c r="Q883" i="26"/>
  <c r="P883" i="26"/>
  <c r="M883" i="26"/>
  <c r="L883" i="26"/>
  <c r="I883" i="26"/>
  <c r="V883" i="26" s="1"/>
  <c r="H883" i="26"/>
  <c r="E883" i="26"/>
  <c r="X882" i="26"/>
  <c r="T882" i="26"/>
  <c r="Q882" i="26"/>
  <c r="V882" i="26" s="1"/>
  <c r="P882" i="26"/>
  <c r="M882" i="26"/>
  <c r="L882" i="26"/>
  <c r="I882" i="26"/>
  <c r="H882" i="26"/>
  <c r="E882" i="26"/>
  <c r="Y881" i="26"/>
  <c r="Z881" i="26" s="1"/>
  <c r="AA881" i="26" s="1"/>
  <c r="X881" i="26"/>
  <c r="T881" i="26"/>
  <c r="R881" i="26" s="1"/>
  <c r="Q881" i="26"/>
  <c r="P881" i="26"/>
  <c r="M881" i="26"/>
  <c r="L881" i="26"/>
  <c r="I881" i="26"/>
  <c r="V881" i="26" s="1"/>
  <c r="H881" i="26"/>
  <c r="E881" i="26"/>
  <c r="X880" i="26"/>
  <c r="V880" i="26"/>
  <c r="T880" i="26"/>
  <c r="Q880" i="26"/>
  <c r="P880" i="26"/>
  <c r="M880" i="26"/>
  <c r="L880" i="26"/>
  <c r="I880" i="26"/>
  <c r="H880" i="26"/>
  <c r="E880" i="26"/>
  <c r="X879" i="26"/>
  <c r="T879" i="26"/>
  <c r="R879" i="26"/>
  <c r="Q879" i="26"/>
  <c r="P879" i="26"/>
  <c r="M879" i="26"/>
  <c r="L879" i="26"/>
  <c r="I879" i="26"/>
  <c r="H879" i="26"/>
  <c r="F879" i="26" s="1"/>
  <c r="E879" i="26"/>
  <c r="V879" i="26" s="1"/>
  <c r="Y879" i="26" s="1"/>
  <c r="Z879" i="26" s="1"/>
  <c r="AA879" i="26" s="1"/>
  <c r="X878" i="26"/>
  <c r="T878" i="26"/>
  <c r="Q878" i="26"/>
  <c r="P878" i="26"/>
  <c r="M878" i="26"/>
  <c r="L878" i="26"/>
  <c r="I878" i="26"/>
  <c r="H878" i="26"/>
  <c r="E878" i="26"/>
  <c r="X877" i="26"/>
  <c r="T877" i="26"/>
  <c r="Q877" i="26"/>
  <c r="P877" i="26"/>
  <c r="M877" i="26"/>
  <c r="L877" i="26"/>
  <c r="I877" i="26"/>
  <c r="H877" i="26"/>
  <c r="E877" i="26"/>
  <c r="V877" i="26" s="1"/>
  <c r="F877" i="26" s="1"/>
  <c r="X876" i="26"/>
  <c r="T876" i="26"/>
  <c r="Q876" i="26"/>
  <c r="P876" i="26"/>
  <c r="M876" i="26"/>
  <c r="L876" i="26"/>
  <c r="I876" i="26"/>
  <c r="V876" i="26" s="1"/>
  <c r="J876" i="26" s="1"/>
  <c r="H876" i="26"/>
  <c r="E876" i="26"/>
  <c r="X875" i="26"/>
  <c r="T875" i="26"/>
  <c r="Q875" i="26"/>
  <c r="P875" i="26"/>
  <c r="M875" i="26"/>
  <c r="L875" i="26"/>
  <c r="I875" i="26"/>
  <c r="H875" i="26"/>
  <c r="E875" i="26"/>
  <c r="V875" i="26" s="1"/>
  <c r="X874" i="26"/>
  <c r="T874" i="26"/>
  <c r="Q874" i="26"/>
  <c r="P874" i="26"/>
  <c r="M874" i="26"/>
  <c r="L874" i="26"/>
  <c r="I874" i="26"/>
  <c r="V874" i="26" s="1"/>
  <c r="H874" i="26"/>
  <c r="E874" i="26"/>
  <c r="X873" i="26"/>
  <c r="T873" i="26"/>
  <c r="Q873" i="26"/>
  <c r="P873" i="26"/>
  <c r="M873" i="26"/>
  <c r="L873" i="26"/>
  <c r="I873" i="26"/>
  <c r="V873" i="26" s="1"/>
  <c r="H873" i="26"/>
  <c r="E873" i="26"/>
  <c r="X872" i="26"/>
  <c r="T872" i="26"/>
  <c r="Q872" i="26"/>
  <c r="P872" i="26"/>
  <c r="M872" i="26"/>
  <c r="L872" i="26"/>
  <c r="I872" i="26"/>
  <c r="H872" i="26"/>
  <c r="E872" i="26"/>
  <c r="X871" i="26"/>
  <c r="T871" i="26"/>
  <c r="Q871" i="26"/>
  <c r="P871" i="26"/>
  <c r="M871" i="26"/>
  <c r="L871" i="26"/>
  <c r="I871" i="26"/>
  <c r="H871" i="26"/>
  <c r="E871" i="26"/>
  <c r="X870" i="26"/>
  <c r="T870" i="26"/>
  <c r="Q870" i="26"/>
  <c r="P870" i="26"/>
  <c r="M870" i="26"/>
  <c r="L870" i="26"/>
  <c r="I870" i="26"/>
  <c r="H870" i="26"/>
  <c r="E870" i="26"/>
  <c r="X869" i="26"/>
  <c r="V869" i="26"/>
  <c r="Y869" i="26" s="1"/>
  <c r="Z869" i="26" s="1"/>
  <c r="AA869" i="26" s="1"/>
  <c r="T869" i="26"/>
  <c r="R869" i="26"/>
  <c r="Q869" i="26"/>
  <c r="P869" i="26"/>
  <c r="N869" i="26" s="1"/>
  <c r="M869" i="26"/>
  <c r="L869" i="26"/>
  <c r="J869" i="26"/>
  <c r="I869" i="26"/>
  <c r="H869" i="26"/>
  <c r="F869" i="26"/>
  <c r="E869" i="26"/>
  <c r="X868" i="26"/>
  <c r="V868" i="26"/>
  <c r="T868" i="26"/>
  <c r="Q868" i="26"/>
  <c r="P868" i="26"/>
  <c r="M868" i="26"/>
  <c r="L868" i="26"/>
  <c r="I868" i="26"/>
  <c r="H868" i="26"/>
  <c r="E868" i="26"/>
  <c r="X867" i="26"/>
  <c r="T867" i="26"/>
  <c r="Q867" i="26"/>
  <c r="V867" i="26" s="1"/>
  <c r="P867" i="26"/>
  <c r="M867" i="26"/>
  <c r="L867" i="26"/>
  <c r="I867" i="26"/>
  <c r="H867" i="26"/>
  <c r="E867" i="26"/>
  <c r="X866" i="26"/>
  <c r="T866" i="26"/>
  <c r="Q866" i="26"/>
  <c r="P866" i="26"/>
  <c r="M866" i="26"/>
  <c r="L866" i="26"/>
  <c r="J866" i="26"/>
  <c r="I866" i="26"/>
  <c r="V866" i="26" s="1"/>
  <c r="H866" i="26"/>
  <c r="E866" i="26"/>
  <c r="X865" i="26"/>
  <c r="T865" i="26"/>
  <c r="Q865" i="26"/>
  <c r="P865" i="26"/>
  <c r="M865" i="26"/>
  <c r="L865" i="26"/>
  <c r="J865" i="26"/>
  <c r="I865" i="26"/>
  <c r="H865" i="26"/>
  <c r="E865" i="26"/>
  <c r="V865" i="26" s="1"/>
  <c r="X864" i="26"/>
  <c r="T864" i="26"/>
  <c r="Q864" i="26"/>
  <c r="P864" i="26"/>
  <c r="M864" i="26"/>
  <c r="L864" i="26"/>
  <c r="I864" i="26"/>
  <c r="H864" i="26"/>
  <c r="E864" i="26"/>
  <c r="V864" i="26" s="1"/>
  <c r="X863" i="26"/>
  <c r="T863" i="26"/>
  <c r="Q863" i="26"/>
  <c r="V863" i="26" s="1"/>
  <c r="Y863" i="26" s="1"/>
  <c r="Z863" i="26" s="1"/>
  <c r="AA863" i="26" s="1"/>
  <c r="P863" i="26"/>
  <c r="M863" i="26"/>
  <c r="L863" i="26"/>
  <c r="J863" i="26"/>
  <c r="I863" i="26"/>
  <c r="H863" i="26"/>
  <c r="E863" i="26"/>
  <c r="X862" i="26"/>
  <c r="T862" i="26"/>
  <c r="R862" i="26"/>
  <c r="Q862" i="26"/>
  <c r="P862" i="26"/>
  <c r="N862" i="26" s="1"/>
  <c r="M862" i="26"/>
  <c r="L862" i="26"/>
  <c r="I862" i="26"/>
  <c r="H862" i="26"/>
  <c r="E862" i="26"/>
  <c r="V862" i="26" s="1"/>
  <c r="X861" i="26"/>
  <c r="V861" i="26"/>
  <c r="T861" i="26"/>
  <c r="Q861" i="26"/>
  <c r="P861" i="26"/>
  <c r="M861" i="26"/>
  <c r="L861" i="26"/>
  <c r="I861" i="26"/>
  <c r="H861" i="26"/>
  <c r="E861" i="26"/>
  <c r="X860" i="26"/>
  <c r="T860" i="26"/>
  <c r="Q860" i="26"/>
  <c r="V860" i="26" s="1"/>
  <c r="P860" i="26"/>
  <c r="M860" i="26"/>
  <c r="L860" i="26"/>
  <c r="I860" i="26"/>
  <c r="H860" i="26"/>
  <c r="E860" i="26"/>
  <c r="X859" i="26"/>
  <c r="V859" i="26"/>
  <c r="T859" i="26"/>
  <c r="Q859" i="26"/>
  <c r="P859" i="26"/>
  <c r="M859" i="26"/>
  <c r="L859" i="26"/>
  <c r="J859" i="26"/>
  <c r="I859" i="26"/>
  <c r="H859" i="26"/>
  <c r="E859" i="26"/>
  <c r="X858" i="26"/>
  <c r="V858" i="26"/>
  <c r="T858" i="26"/>
  <c r="R858" i="26" s="1"/>
  <c r="Q858" i="26"/>
  <c r="P858" i="26"/>
  <c r="M858" i="26"/>
  <c r="L858" i="26"/>
  <c r="J858" i="26"/>
  <c r="I858" i="26"/>
  <c r="H858" i="26"/>
  <c r="F858" i="26"/>
  <c r="E858" i="26"/>
  <c r="X857" i="26"/>
  <c r="V857" i="26"/>
  <c r="T857" i="26"/>
  <c r="R857" i="26"/>
  <c r="Q857" i="26"/>
  <c r="P857" i="26"/>
  <c r="M857" i="26"/>
  <c r="L857" i="26"/>
  <c r="J857" i="26" s="1"/>
  <c r="I857" i="26"/>
  <c r="H857" i="26"/>
  <c r="E857" i="26"/>
  <c r="X856" i="26"/>
  <c r="V856" i="26"/>
  <c r="Y856" i="26" s="1"/>
  <c r="Z856" i="26" s="1"/>
  <c r="AA856" i="26" s="1"/>
  <c r="T856" i="26"/>
  <c r="Q856" i="26"/>
  <c r="P856" i="26"/>
  <c r="N856" i="26" s="1"/>
  <c r="M856" i="26"/>
  <c r="L856" i="26"/>
  <c r="J856" i="26"/>
  <c r="I856" i="26"/>
  <c r="H856" i="26"/>
  <c r="F856" i="26"/>
  <c r="E856" i="26"/>
  <c r="X855" i="26"/>
  <c r="V855" i="26"/>
  <c r="Y855" i="26" s="1"/>
  <c r="Z855" i="26" s="1"/>
  <c r="AA855" i="26" s="1"/>
  <c r="T855" i="26"/>
  <c r="R855" i="26"/>
  <c r="Q855" i="26"/>
  <c r="P855" i="26"/>
  <c r="M855" i="26"/>
  <c r="L855" i="26"/>
  <c r="J855" i="26" s="1"/>
  <c r="I855" i="26"/>
  <c r="H855" i="26"/>
  <c r="F855" i="26"/>
  <c r="E855" i="26"/>
  <c r="Y854" i="26"/>
  <c r="Z854" i="26" s="1"/>
  <c r="AA854" i="26" s="1"/>
  <c r="X854" i="26"/>
  <c r="V854" i="26"/>
  <c r="T854" i="26"/>
  <c r="R854" i="26" s="1"/>
  <c r="Q854" i="26"/>
  <c r="P854" i="26"/>
  <c r="N854" i="26" s="1"/>
  <c r="M854" i="26"/>
  <c r="L854" i="26"/>
  <c r="J854" i="26" s="1"/>
  <c r="I854" i="26"/>
  <c r="H854" i="26"/>
  <c r="F854" i="26"/>
  <c r="E854" i="26"/>
  <c r="X853" i="26"/>
  <c r="T853" i="26"/>
  <c r="Q853" i="26"/>
  <c r="P853" i="26"/>
  <c r="M853" i="26"/>
  <c r="L853" i="26"/>
  <c r="I853" i="26"/>
  <c r="H853" i="26"/>
  <c r="E853" i="26"/>
  <c r="V853" i="26" s="1"/>
  <c r="X852" i="26"/>
  <c r="T852" i="26"/>
  <c r="R852" i="26"/>
  <c r="Q852" i="26"/>
  <c r="P852" i="26"/>
  <c r="M852" i="26"/>
  <c r="L852" i="26"/>
  <c r="I852" i="26"/>
  <c r="H852" i="26"/>
  <c r="E852" i="26"/>
  <c r="V852" i="26" s="1"/>
  <c r="Y851" i="26"/>
  <c r="Z851" i="26" s="1"/>
  <c r="AA851" i="26" s="1"/>
  <c r="X851" i="26"/>
  <c r="T851" i="26"/>
  <c r="Q851" i="26"/>
  <c r="P851" i="26"/>
  <c r="M851" i="26"/>
  <c r="L851" i="26"/>
  <c r="I851" i="26"/>
  <c r="H851" i="26"/>
  <c r="E851" i="26"/>
  <c r="V851" i="26" s="1"/>
  <c r="X850" i="26"/>
  <c r="V850" i="26"/>
  <c r="T850" i="26"/>
  <c r="Q850" i="26"/>
  <c r="P850" i="26"/>
  <c r="M850" i="26"/>
  <c r="L850" i="26"/>
  <c r="I850" i="26"/>
  <c r="H850" i="26"/>
  <c r="F850" i="26"/>
  <c r="E850" i="26"/>
  <c r="X849" i="26"/>
  <c r="T849" i="26"/>
  <c r="Q849" i="26"/>
  <c r="P849" i="26"/>
  <c r="M849" i="26"/>
  <c r="L849" i="26"/>
  <c r="I849" i="26"/>
  <c r="H849" i="26"/>
  <c r="E849" i="26"/>
  <c r="X848" i="26"/>
  <c r="T848" i="26"/>
  <c r="Q848" i="26"/>
  <c r="P848" i="26"/>
  <c r="M848" i="26"/>
  <c r="L848" i="26"/>
  <c r="I848" i="26"/>
  <c r="V848" i="26" s="1"/>
  <c r="H848" i="26"/>
  <c r="E848" i="26"/>
  <c r="X847" i="26"/>
  <c r="T847" i="26"/>
  <c r="Q847" i="26"/>
  <c r="P847" i="26"/>
  <c r="M847" i="26"/>
  <c r="L847" i="26"/>
  <c r="I847" i="26"/>
  <c r="H847" i="26"/>
  <c r="E847" i="26"/>
  <c r="V847" i="26" s="1"/>
  <c r="X846" i="26"/>
  <c r="T846" i="26"/>
  <c r="Q846" i="26"/>
  <c r="P846" i="26"/>
  <c r="M846" i="26"/>
  <c r="L846" i="26"/>
  <c r="I846" i="26"/>
  <c r="H846" i="26"/>
  <c r="E846" i="26"/>
  <c r="X845" i="26"/>
  <c r="T845" i="26"/>
  <c r="Q845" i="26"/>
  <c r="P845" i="26"/>
  <c r="M845" i="26"/>
  <c r="L845" i="26"/>
  <c r="I845" i="26"/>
  <c r="H845" i="26"/>
  <c r="E845" i="26"/>
  <c r="X844" i="26"/>
  <c r="T844" i="26"/>
  <c r="R844" i="26" s="1"/>
  <c r="Q844" i="26"/>
  <c r="P844" i="26"/>
  <c r="N844" i="26" s="1"/>
  <c r="M844" i="26"/>
  <c r="L844" i="26"/>
  <c r="I844" i="26"/>
  <c r="H844" i="26"/>
  <c r="E844" i="26"/>
  <c r="V844" i="26" s="1"/>
  <c r="X843" i="26"/>
  <c r="T843" i="26"/>
  <c r="Q843" i="26"/>
  <c r="P843" i="26"/>
  <c r="M843" i="26"/>
  <c r="L843" i="26"/>
  <c r="I843" i="26"/>
  <c r="H843" i="26"/>
  <c r="E843" i="26"/>
  <c r="V843" i="26" s="1"/>
  <c r="X842" i="26"/>
  <c r="V842" i="26"/>
  <c r="T842" i="26"/>
  <c r="R842" i="26"/>
  <c r="Q842" i="26"/>
  <c r="P842" i="26"/>
  <c r="M842" i="26"/>
  <c r="L842" i="26"/>
  <c r="I842" i="26"/>
  <c r="H842" i="26"/>
  <c r="F842" i="26"/>
  <c r="E842" i="26"/>
  <c r="X841" i="26"/>
  <c r="T841" i="26"/>
  <c r="Q841" i="26"/>
  <c r="P841" i="26"/>
  <c r="N841" i="26" s="1"/>
  <c r="M841" i="26"/>
  <c r="L841" i="26"/>
  <c r="I841" i="26"/>
  <c r="H841" i="26"/>
  <c r="E841" i="26"/>
  <c r="V841" i="26" s="1"/>
  <c r="X840" i="26"/>
  <c r="T840" i="26"/>
  <c r="Q840" i="26"/>
  <c r="P840" i="26"/>
  <c r="M840" i="26"/>
  <c r="L840" i="26"/>
  <c r="I840" i="26"/>
  <c r="V840" i="26" s="1"/>
  <c r="H840" i="26"/>
  <c r="E840" i="26"/>
  <c r="X839" i="26"/>
  <c r="T839" i="26"/>
  <c r="Q839" i="26"/>
  <c r="P839" i="26"/>
  <c r="M839" i="26"/>
  <c r="L839" i="26"/>
  <c r="I839" i="26"/>
  <c r="H839" i="26"/>
  <c r="E839" i="26"/>
  <c r="V839" i="26" s="1"/>
  <c r="X838" i="26"/>
  <c r="T838" i="26"/>
  <c r="Q838" i="26"/>
  <c r="P838" i="26"/>
  <c r="M838" i="26"/>
  <c r="L838" i="26"/>
  <c r="I838" i="26"/>
  <c r="H838" i="26"/>
  <c r="E838" i="26"/>
  <c r="Y837" i="26"/>
  <c r="Z837" i="26" s="1"/>
  <c r="AA837" i="26" s="1"/>
  <c r="X837" i="26"/>
  <c r="V837" i="26"/>
  <c r="T837" i="26"/>
  <c r="R837" i="26"/>
  <c r="Q837" i="26"/>
  <c r="P837" i="26"/>
  <c r="N837" i="26"/>
  <c r="M837" i="26"/>
  <c r="L837" i="26"/>
  <c r="J837" i="26" s="1"/>
  <c r="I837" i="26"/>
  <c r="H837" i="26"/>
  <c r="F837" i="26" s="1"/>
  <c r="E837" i="26"/>
  <c r="AA836" i="26"/>
  <c r="Z836" i="26"/>
  <c r="Y836" i="26"/>
  <c r="X836" i="26"/>
  <c r="V836" i="26"/>
  <c r="F836" i="26" s="1"/>
  <c r="T836" i="26"/>
  <c r="R836" i="26" s="1"/>
  <c r="Q836" i="26"/>
  <c r="P836" i="26"/>
  <c r="N836" i="26" s="1"/>
  <c r="M836" i="26"/>
  <c r="L836" i="26"/>
  <c r="J836" i="26" s="1"/>
  <c r="I836" i="26"/>
  <c r="H836" i="26"/>
  <c r="E836" i="26"/>
  <c r="AA835" i="26"/>
  <c r="X835" i="26"/>
  <c r="V835" i="26"/>
  <c r="Y835" i="26" s="1"/>
  <c r="Z835" i="26" s="1"/>
  <c r="T835" i="26"/>
  <c r="R835" i="26" s="1"/>
  <c r="Q835" i="26"/>
  <c r="P835" i="26"/>
  <c r="N835" i="26" s="1"/>
  <c r="M835" i="26"/>
  <c r="L835" i="26"/>
  <c r="J835" i="26"/>
  <c r="I835" i="26"/>
  <c r="H835" i="26"/>
  <c r="F835" i="26"/>
  <c r="E835" i="26"/>
  <c r="X834" i="26"/>
  <c r="V834" i="26"/>
  <c r="Y834" i="26" s="1"/>
  <c r="Z834" i="26" s="1"/>
  <c r="AA834" i="26" s="1"/>
  <c r="T834" i="26"/>
  <c r="R834" i="26"/>
  <c r="Q834" i="26"/>
  <c r="P834" i="26"/>
  <c r="M834" i="26"/>
  <c r="L834" i="26"/>
  <c r="J834" i="26" s="1"/>
  <c r="I834" i="26"/>
  <c r="H834" i="26"/>
  <c r="F834" i="26"/>
  <c r="E834" i="26"/>
  <c r="X833" i="26"/>
  <c r="T833" i="26"/>
  <c r="Q833" i="26"/>
  <c r="P833" i="26"/>
  <c r="M833" i="26"/>
  <c r="L833" i="26"/>
  <c r="I833" i="26"/>
  <c r="H833" i="26"/>
  <c r="E833" i="26"/>
  <c r="V833" i="26" s="1"/>
  <c r="X832" i="26"/>
  <c r="T832" i="26"/>
  <c r="Q832" i="26"/>
  <c r="P832" i="26"/>
  <c r="M832" i="26"/>
  <c r="L832" i="26"/>
  <c r="I832" i="26"/>
  <c r="H832" i="26"/>
  <c r="E832" i="26"/>
  <c r="X831" i="26"/>
  <c r="V831" i="26"/>
  <c r="T831" i="26"/>
  <c r="Q831" i="26"/>
  <c r="P831" i="26"/>
  <c r="N831" i="26" s="1"/>
  <c r="M831" i="26"/>
  <c r="L831" i="26"/>
  <c r="J831" i="26" s="1"/>
  <c r="I831" i="26"/>
  <c r="H831" i="26"/>
  <c r="E831" i="26"/>
  <c r="AA830" i="26"/>
  <c r="Y830" i="26"/>
  <c r="Z830" i="26" s="1"/>
  <c r="X830" i="26"/>
  <c r="V830" i="26"/>
  <c r="T830" i="26"/>
  <c r="R830" i="26" s="1"/>
  <c r="Q830" i="26"/>
  <c r="P830" i="26"/>
  <c r="N830" i="26" s="1"/>
  <c r="M830" i="26"/>
  <c r="L830" i="26"/>
  <c r="J830" i="26" s="1"/>
  <c r="I830" i="26"/>
  <c r="H830" i="26"/>
  <c r="F830" i="26"/>
  <c r="E830" i="26"/>
  <c r="Z829" i="26"/>
  <c r="AA829" i="26" s="1"/>
  <c r="Y829" i="26"/>
  <c r="X829" i="26"/>
  <c r="V829" i="26"/>
  <c r="T829" i="26"/>
  <c r="R829" i="26"/>
  <c r="Q829" i="26"/>
  <c r="P829" i="26"/>
  <c r="N829" i="26"/>
  <c r="M829" i="26"/>
  <c r="L829" i="26"/>
  <c r="J829" i="26" s="1"/>
  <c r="I829" i="26"/>
  <c r="H829" i="26"/>
  <c r="F829" i="26"/>
  <c r="E829" i="26"/>
  <c r="AA828" i="26"/>
  <c r="Z828" i="26"/>
  <c r="Y828" i="26"/>
  <c r="X828" i="26"/>
  <c r="V828" i="26"/>
  <c r="F828" i="26" s="1"/>
  <c r="T828" i="26"/>
  <c r="R828" i="26"/>
  <c r="Q828" i="26"/>
  <c r="P828" i="26"/>
  <c r="N828" i="26" s="1"/>
  <c r="M828" i="26"/>
  <c r="L828" i="26"/>
  <c r="J828" i="26" s="1"/>
  <c r="I828" i="26"/>
  <c r="H828" i="26"/>
  <c r="E828" i="26"/>
  <c r="Z827" i="26"/>
  <c r="AA827" i="26" s="1"/>
  <c r="X827" i="26"/>
  <c r="V827" i="26"/>
  <c r="Y827" i="26" s="1"/>
  <c r="T827" i="26"/>
  <c r="R827" i="26" s="1"/>
  <c r="Q827" i="26"/>
  <c r="P827" i="26"/>
  <c r="N827" i="26"/>
  <c r="M827" i="26"/>
  <c r="L827" i="26"/>
  <c r="J827" i="26"/>
  <c r="I827" i="26"/>
  <c r="H827" i="26"/>
  <c r="F827" i="26"/>
  <c r="E827" i="26"/>
  <c r="X826" i="26"/>
  <c r="V826" i="26"/>
  <c r="T826" i="26"/>
  <c r="Q826" i="26"/>
  <c r="P826" i="26"/>
  <c r="M826" i="26"/>
  <c r="L826" i="26"/>
  <c r="I826" i="26"/>
  <c r="H826" i="26"/>
  <c r="E826" i="26"/>
  <c r="Y825" i="26"/>
  <c r="Z825" i="26" s="1"/>
  <c r="AA825" i="26" s="1"/>
  <c r="X825" i="26"/>
  <c r="V825" i="26"/>
  <c r="T825" i="26"/>
  <c r="R825" i="26" s="1"/>
  <c r="Q825" i="26"/>
  <c r="P825" i="26"/>
  <c r="N825" i="26" s="1"/>
  <c r="M825" i="26"/>
  <c r="L825" i="26"/>
  <c r="J825" i="26" s="1"/>
  <c r="I825" i="26"/>
  <c r="H825" i="26"/>
  <c r="F825" i="26" s="1"/>
  <c r="E825" i="26"/>
  <c r="X824" i="26"/>
  <c r="V824" i="26"/>
  <c r="T824" i="26"/>
  <c r="Q824" i="26"/>
  <c r="P824" i="26"/>
  <c r="M824" i="26"/>
  <c r="L824" i="26"/>
  <c r="I824" i="26"/>
  <c r="H824" i="26"/>
  <c r="E824" i="26"/>
  <c r="X823" i="26"/>
  <c r="T823" i="26"/>
  <c r="Q823" i="26"/>
  <c r="P823" i="26"/>
  <c r="N823" i="26"/>
  <c r="M823" i="26"/>
  <c r="L823" i="26"/>
  <c r="I823" i="26"/>
  <c r="V823" i="26" s="1"/>
  <c r="H823" i="26"/>
  <c r="E823" i="26"/>
  <c r="Y822" i="26"/>
  <c r="Z822" i="26" s="1"/>
  <c r="AA822" i="26" s="1"/>
  <c r="X822" i="26"/>
  <c r="T822" i="26"/>
  <c r="Q822" i="26"/>
  <c r="P822" i="26"/>
  <c r="N822" i="26" s="1"/>
  <c r="M822" i="26"/>
  <c r="L822" i="26"/>
  <c r="I822" i="26"/>
  <c r="H822" i="26"/>
  <c r="E822" i="26"/>
  <c r="V822" i="26" s="1"/>
  <c r="F822" i="26" s="1"/>
  <c r="X821" i="26"/>
  <c r="T821" i="26"/>
  <c r="Q821" i="26"/>
  <c r="P821" i="26"/>
  <c r="M821" i="26"/>
  <c r="V821" i="26" s="1"/>
  <c r="L821" i="26"/>
  <c r="I821" i="26"/>
  <c r="H821" i="26"/>
  <c r="E821" i="26"/>
  <c r="X820" i="26"/>
  <c r="T820" i="26"/>
  <c r="R820" i="26" s="1"/>
  <c r="Q820" i="26"/>
  <c r="P820" i="26"/>
  <c r="N820" i="26" s="1"/>
  <c r="M820" i="26"/>
  <c r="L820" i="26"/>
  <c r="I820" i="26"/>
  <c r="H820" i="26"/>
  <c r="E820" i="26"/>
  <c r="V820" i="26" s="1"/>
  <c r="X819" i="26"/>
  <c r="T819" i="26"/>
  <c r="R819" i="26" s="1"/>
  <c r="Q819" i="26"/>
  <c r="P819" i="26"/>
  <c r="M819" i="26"/>
  <c r="L819" i="26"/>
  <c r="I819" i="26"/>
  <c r="H819" i="26"/>
  <c r="E819" i="26"/>
  <c r="V819" i="26" s="1"/>
  <c r="X818" i="26"/>
  <c r="T818" i="26"/>
  <c r="Q818" i="26"/>
  <c r="P818" i="26"/>
  <c r="M818" i="26"/>
  <c r="L818" i="26"/>
  <c r="I818" i="26"/>
  <c r="H818" i="26"/>
  <c r="E818" i="26"/>
  <c r="X817" i="26"/>
  <c r="T817" i="26"/>
  <c r="R817" i="26" s="1"/>
  <c r="Q817" i="26"/>
  <c r="P817" i="26"/>
  <c r="M817" i="26"/>
  <c r="L817" i="26"/>
  <c r="I817" i="26"/>
  <c r="H817" i="26"/>
  <c r="F817" i="26"/>
  <c r="E817" i="26"/>
  <c r="V817" i="26" s="1"/>
  <c r="X816" i="26"/>
  <c r="V816" i="26"/>
  <c r="T816" i="26"/>
  <c r="Q816" i="26"/>
  <c r="P816" i="26"/>
  <c r="M816" i="26"/>
  <c r="L816" i="26"/>
  <c r="J816" i="26"/>
  <c r="I816" i="26"/>
  <c r="H816" i="26"/>
  <c r="E816" i="26"/>
  <c r="X815" i="26"/>
  <c r="T815" i="26"/>
  <c r="R815" i="26" s="1"/>
  <c r="Q815" i="26"/>
  <c r="P815" i="26"/>
  <c r="N815" i="26"/>
  <c r="M815" i="26"/>
  <c r="L815" i="26"/>
  <c r="I815" i="26"/>
  <c r="V815" i="26" s="1"/>
  <c r="H815" i="26"/>
  <c r="E815" i="26"/>
  <c r="Y814" i="26"/>
  <c r="Z814" i="26" s="1"/>
  <c r="AA814" i="26" s="1"/>
  <c r="X814" i="26"/>
  <c r="T814" i="26"/>
  <c r="Q814" i="26"/>
  <c r="P814" i="26"/>
  <c r="M814" i="26"/>
  <c r="L814" i="26"/>
  <c r="I814" i="26"/>
  <c r="H814" i="26"/>
  <c r="E814" i="26"/>
  <c r="V814" i="26" s="1"/>
  <c r="X813" i="26"/>
  <c r="T813" i="26"/>
  <c r="Q813" i="26"/>
  <c r="P813" i="26"/>
  <c r="M813" i="26"/>
  <c r="V813" i="26" s="1"/>
  <c r="L813" i="26"/>
  <c r="I813" i="26"/>
  <c r="H813" i="26"/>
  <c r="E813" i="26"/>
  <c r="X812" i="26"/>
  <c r="T812" i="26"/>
  <c r="R812" i="26"/>
  <c r="Q812" i="26"/>
  <c r="P812" i="26"/>
  <c r="M812" i="26"/>
  <c r="L812" i="26"/>
  <c r="I812" i="26"/>
  <c r="H812" i="26"/>
  <c r="E812" i="26"/>
  <c r="V812" i="26" s="1"/>
  <c r="X811" i="26"/>
  <c r="T811" i="26"/>
  <c r="Q811" i="26"/>
  <c r="P811" i="26"/>
  <c r="N811" i="26" s="1"/>
  <c r="M811" i="26"/>
  <c r="L811" i="26"/>
  <c r="I811" i="26"/>
  <c r="H811" i="26"/>
  <c r="E811" i="26"/>
  <c r="V811" i="26" s="1"/>
  <c r="X810" i="26"/>
  <c r="T810" i="26"/>
  <c r="Q810" i="26"/>
  <c r="P810" i="26"/>
  <c r="M810" i="26"/>
  <c r="L810" i="26"/>
  <c r="I810" i="26"/>
  <c r="H810" i="26"/>
  <c r="E810" i="26"/>
  <c r="X809" i="26"/>
  <c r="T809" i="26"/>
  <c r="R809" i="26"/>
  <c r="Q809" i="26"/>
  <c r="P809" i="26"/>
  <c r="M809" i="26"/>
  <c r="L809" i="26"/>
  <c r="I809" i="26"/>
  <c r="H809" i="26"/>
  <c r="E809" i="26"/>
  <c r="V809" i="26" s="1"/>
  <c r="X808" i="26"/>
  <c r="V808" i="26"/>
  <c r="T808" i="26"/>
  <c r="R808" i="26"/>
  <c r="Q808" i="26"/>
  <c r="P808" i="26"/>
  <c r="M808" i="26"/>
  <c r="L808" i="26"/>
  <c r="J808" i="26"/>
  <c r="I808" i="26"/>
  <c r="H808" i="26"/>
  <c r="E808" i="26"/>
  <c r="X807" i="26"/>
  <c r="T807" i="26"/>
  <c r="R807" i="26" s="1"/>
  <c r="Q807" i="26"/>
  <c r="P807" i="26"/>
  <c r="N807" i="26" s="1"/>
  <c r="M807" i="26"/>
  <c r="L807" i="26"/>
  <c r="I807" i="26"/>
  <c r="V807" i="26" s="1"/>
  <c r="H807" i="26"/>
  <c r="E807" i="26"/>
  <c r="AA806" i="26"/>
  <c r="Y806" i="26"/>
  <c r="Z806" i="26" s="1"/>
  <c r="X806" i="26"/>
  <c r="T806" i="26"/>
  <c r="Q806" i="26"/>
  <c r="P806" i="26"/>
  <c r="M806" i="26"/>
  <c r="L806" i="26"/>
  <c r="J806" i="26" s="1"/>
  <c r="I806" i="26"/>
  <c r="H806" i="26"/>
  <c r="E806" i="26"/>
  <c r="V806" i="26" s="1"/>
  <c r="F806" i="26" s="1"/>
  <c r="X805" i="26"/>
  <c r="T805" i="26"/>
  <c r="R805" i="26"/>
  <c r="Q805" i="26"/>
  <c r="P805" i="26"/>
  <c r="M805" i="26"/>
  <c r="V805" i="26" s="1"/>
  <c r="L805" i="26"/>
  <c r="I805" i="26"/>
  <c r="H805" i="26"/>
  <c r="F805" i="26"/>
  <c r="E805" i="26"/>
  <c r="Y804" i="26"/>
  <c r="Z804" i="26" s="1"/>
  <c r="AA804" i="26" s="1"/>
  <c r="X804" i="26"/>
  <c r="T804" i="26"/>
  <c r="R804" i="26"/>
  <c r="Q804" i="26"/>
  <c r="P804" i="26"/>
  <c r="N804" i="26" s="1"/>
  <c r="M804" i="26"/>
  <c r="L804" i="26"/>
  <c r="I804" i="26"/>
  <c r="H804" i="26"/>
  <c r="E804" i="26"/>
  <c r="V804" i="26" s="1"/>
  <c r="AA803" i="26"/>
  <c r="Z803" i="26"/>
  <c r="Y803" i="26"/>
  <c r="X803" i="26"/>
  <c r="T803" i="26"/>
  <c r="R803" i="26" s="1"/>
  <c r="Q803" i="26"/>
  <c r="P803" i="26"/>
  <c r="N803" i="26" s="1"/>
  <c r="M803" i="26"/>
  <c r="L803" i="26"/>
  <c r="J803" i="26" s="1"/>
  <c r="I803" i="26"/>
  <c r="H803" i="26"/>
  <c r="F803" i="26" s="1"/>
  <c r="E803" i="26"/>
  <c r="AA802" i="26"/>
  <c r="Z802" i="26"/>
  <c r="Y802" i="26"/>
  <c r="X802" i="26"/>
  <c r="T802" i="26"/>
  <c r="R802" i="26"/>
  <c r="Q802" i="26"/>
  <c r="P802" i="26"/>
  <c r="N802" i="26"/>
  <c r="M802" i="26"/>
  <c r="L802" i="26"/>
  <c r="J802" i="26" s="1"/>
  <c r="I802" i="26"/>
  <c r="H802" i="26"/>
  <c r="F802" i="26" s="1"/>
  <c r="E802" i="26"/>
  <c r="AA801" i="26"/>
  <c r="Z801" i="26"/>
  <c r="Y801" i="26"/>
  <c r="X801" i="26"/>
  <c r="T801" i="26"/>
  <c r="R801" i="26" s="1"/>
  <c r="Q801" i="26"/>
  <c r="P801" i="26"/>
  <c r="N801" i="26"/>
  <c r="M801" i="26"/>
  <c r="L801" i="26"/>
  <c r="J801" i="26" s="1"/>
  <c r="I801" i="26"/>
  <c r="H801" i="26"/>
  <c r="F801" i="26" s="1"/>
  <c r="E801" i="26"/>
  <c r="Z800" i="26"/>
  <c r="AA800" i="26" s="1"/>
  <c r="Y800" i="26"/>
  <c r="X800" i="26"/>
  <c r="T800" i="26"/>
  <c r="R800" i="26" s="1"/>
  <c r="Q800" i="26"/>
  <c r="P800" i="26"/>
  <c r="N800" i="26" s="1"/>
  <c r="M800" i="26"/>
  <c r="L800" i="26"/>
  <c r="J800" i="26" s="1"/>
  <c r="I800" i="26"/>
  <c r="H800" i="26"/>
  <c r="F800" i="26" s="1"/>
  <c r="E800" i="26"/>
  <c r="X799" i="26"/>
  <c r="T799" i="26"/>
  <c r="Q799" i="26"/>
  <c r="P799" i="26"/>
  <c r="N799" i="26"/>
  <c r="M799" i="26"/>
  <c r="L799" i="26"/>
  <c r="I799" i="26"/>
  <c r="H799" i="26"/>
  <c r="E799" i="26"/>
  <c r="V799" i="26" s="1"/>
  <c r="X798" i="26"/>
  <c r="T798" i="26"/>
  <c r="Q798" i="26"/>
  <c r="P798" i="26"/>
  <c r="M798" i="26"/>
  <c r="L798" i="26"/>
  <c r="I798" i="26"/>
  <c r="H798" i="26"/>
  <c r="E798" i="26"/>
  <c r="V798" i="26" s="1"/>
  <c r="Y797" i="26"/>
  <c r="Z797" i="26" s="1"/>
  <c r="AA797" i="26" s="1"/>
  <c r="X797" i="26"/>
  <c r="T797" i="26"/>
  <c r="R797" i="26"/>
  <c r="Q797" i="26"/>
  <c r="P797" i="26"/>
  <c r="N797" i="26" s="1"/>
  <c r="M797" i="26"/>
  <c r="L797" i="26"/>
  <c r="J797" i="26" s="1"/>
  <c r="I797" i="26"/>
  <c r="H797" i="26"/>
  <c r="F797" i="26"/>
  <c r="E797" i="26"/>
  <c r="Y796" i="26"/>
  <c r="Z796" i="26" s="1"/>
  <c r="AA796" i="26" s="1"/>
  <c r="X796" i="26"/>
  <c r="T796" i="26"/>
  <c r="R796" i="26"/>
  <c r="Q796" i="26"/>
  <c r="P796" i="26"/>
  <c r="N796" i="26" s="1"/>
  <c r="M796" i="26"/>
  <c r="L796" i="26"/>
  <c r="J796" i="26" s="1"/>
  <c r="I796" i="26"/>
  <c r="H796" i="26"/>
  <c r="F796" i="26" s="1"/>
  <c r="E796" i="26"/>
  <c r="X795" i="26"/>
  <c r="T795" i="26"/>
  <c r="Q795" i="26"/>
  <c r="P795" i="26"/>
  <c r="M795" i="26"/>
  <c r="L795" i="26"/>
  <c r="I795" i="26"/>
  <c r="H795" i="26"/>
  <c r="E795" i="26"/>
  <c r="X794" i="26"/>
  <c r="V794" i="26"/>
  <c r="T794" i="26"/>
  <c r="Q794" i="26"/>
  <c r="P794" i="26"/>
  <c r="M794" i="26"/>
  <c r="L794" i="26"/>
  <c r="I794" i="26"/>
  <c r="H794" i="26"/>
  <c r="E794" i="26"/>
  <c r="X793" i="26"/>
  <c r="T793" i="26"/>
  <c r="Q793" i="26"/>
  <c r="P793" i="26"/>
  <c r="N793" i="26" s="1"/>
  <c r="M793" i="26"/>
  <c r="L793" i="26"/>
  <c r="I793" i="26"/>
  <c r="H793" i="26"/>
  <c r="E793" i="26"/>
  <c r="V793" i="26" s="1"/>
  <c r="X792" i="26"/>
  <c r="T792" i="26"/>
  <c r="R792" i="26" s="1"/>
  <c r="Q792" i="26"/>
  <c r="P792" i="26"/>
  <c r="N792" i="26" s="1"/>
  <c r="M792" i="26"/>
  <c r="V792" i="26" s="1"/>
  <c r="L792" i="26"/>
  <c r="I792" i="26"/>
  <c r="H792" i="26"/>
  <c r="F792" i="26"/>
  <c r="E792" i="26"/>
  <c r="X791" i="26"/>
  <c r="T791" i="26"/>
  <c r="Q791" i="26"/>
  <c r="P791" i="26"/>
  <c r="M791" i="26"/>
  <c r="V791" i="26" s="1"/>
  <c r="L791" i="26"/>
  <c r="I791" i="26"/>
  <c r="H791" i="26"/>
  <c r="E791" i="26"/>
  <c r="X790" i="26"/>
  <c r="T790" i="26"/>
  <c r="Q790" i="26"/>
  <c r="P790" i="26"/>
  <c r="M790" i="26"/>
  <c r="L790" i="26"/>
  <c r="I790" i="26"/>
  <c r="H790" i="26"/>
  <c r="E790" i="26"/>
  <c r="X789" i="26"/>
  <c r="T789" i="26"/>
  <c r="R789" i="26" s="1"/>
  <c r="Q789" i="26"/>
  <c r="P789" i="26"/>
  <c r="M789" i="26"/>
  <c r="L789" i="26"/>
  <c r="I789" i="26"/>
  <c r="H789" i="26"/>
  <c r="F789" i="26"/>
  <c r="E789" i="26"/>
  <c r="V789" i="26" s="1"/>
  <c r="Y789" i="26" s="1"/>
  <c r="Z789" i="26" s="1"/>
  <c r="AA789" i="26" s="1"/>
  <c r="X788" i="26"/>
  <c r="T788" i="26"/>
  <c r="Q788" i="26"/>
  <c r="P788" i="26"/>
  <c r="M788" i="26"/>
  <c r="L788" i="26"/>
  <c r="I788" i="26"/>
  <c r="H788" i="26"/>
  <c r="E788" i="26"/>
  <c r="X787" i="26"/>
  <c r="T787" i="26"/>
  <c r="Q787" i="26"/>
  <c r="P787" i="26"/>
  <c r="M787" i="26"/>
  <c r="L787" i="26"/>
  <c r="I787" i="26"/>
  <c r="H787" i="26"/>
  <c r="E787" i="26"/>
  <c r="X786" i="26"/>
  <c r="T786" i="26"/>
  <c r="R786" i="26" s="1"/>
  <c r="Q786" i="26"/>
  <c r="P786" i="26"/>
  <c r="M786" i="26"/>
  <c r="L786" i="26"/>
  <c r="I786" i="26"/>
  <c r="V786" i="26" s="1"/>
  <c r="H786" i="26"/>
  <c r="E786" i="26"/>
  <c r="X785" i="26"/>
  <c r="T785" i="26"/>
  <c r="Q785" i="26"/>
  <c r="P785" i="26"/>
  <c r="M785" i="26"/>
  <c r="L785" i="26"/>
  <c r="J785" i="26"/>
  <c r="I785" i="26"/>
  <c r="H785" i="26"/>
  <c r="E785" i="26"/>
  <c r="V785" i="26" s="1"/>
  <c r="X784" i="26"/>
  <c r="T784" i="26"/>
  <c r="R784" i="26" s="1"/>
  <c r="Q784" i="26"/>
  <c r="P784" i="26"/>
  <c r="N784" i="26" s="1"/>
  <c r="M784" i="26"/>
  <c r="V784" i="26" s="1"/>
  <c r="F784" i="26" s="1"/>
  <c r="L784" i="26"/>
  <c r="I784" i="26"/>
  <c r="H784" i="26"/>
  <c r="E784" i="26"/>
  <c r="Z783" i="26"/>
  <c r="AA783" i="26" s="1"/>
  <c r="Y783" i="26"/>
  <c r="X783" i="26"/>
  <c r="V783" i="26"/>
  <c r="T783" i="26"/>
  <c r="R783" i="26"/>
  <c r="Q783" i="26"/>
  <c r="P783" i="26"/>
  <c r="N783" i="26"/>
  <c r="M783" i="26"/>
  <c r="L783" i="26"/>
  <c r="J783" i="26" s="1"/>
  <c r="I783" i="26"/>
  <c r="H783" i="26"/>
  <c r="F783" i="26"/>
  <c r="E783" i="26"/>
  <c r="Y782" i="26"/>
  <c r="Z782" i="26" s="1"/>
  <c r="AA782" i="26" s="1"/>
  <c r="X782" i="26"/>
  <c r="V782" i="26"/>
  <c r="T782" i="26"/>
  <c r="R782" i="26"/>
  <c r="Q782" i="26"/>
  <c r="P782" i="26"/>
  <c r="N782" i="26"/>
  <c r="M782" i="26"/>
  <c r="L782" i="26"/>
  <c r="J782" i="26" s="1"/>
  <c r="I782" i="26"/>
  <c r="H782" i="26"/>
  <c r="E782" i="26"/>
  <c r="X781" i="26"/>
  <c r="V781" i="26"/>
  <c r="J781" i="26" s="1"/>
  <c r="T781" i="26"/>
  <c r="R781" i="26" s="1"/>
  <c r="Q781" i="26"/>
  <c r="P781" i="26"/>
  <c r="M781" i="26"/>
  <c r="L781" i="26"/>
  <c r="I781" i="26"/>
  <c r="H781" i="26"/>
  <c r="E781" i="26"/>
  <c r="AA780" i="26"/>
  <c r="X780" i="26"/>
  <c r="V780" i="26"/>
  <c r="Y780" i="26" s="1"/>
  <c r="Z780" i="26" s="1"/>
  <c r="T780" i="26"/>
  <c r="R780" i="26"/>
  <c r="Q780" i="26"/>
  <c r="P780" i="26"/>
  <c r="N780" i="26" s="1"/>
  <c r="M780" i="26"/>
  <c r="L780" i="26"/>
  <c r="J780" i="26"/>
  <c r="I780" i="26"/>
  <c r="H780" i="26"/>
  <c r="F780" i="26"/>
  <c r="E780" i="26"/>
  <c r="Y779" i="26"/>
  <c r="Z779" i="26" s="1"/>
  <c r="AA779" i="26" s="1"/>
  <c r="X779" i="26"/>
  <c r="V779" i="26"/>
  <c r="T779" i="26"/>
  <c r="R779" i="26" s="1"/>
  <c r="Q779" i="26"/>
  <c r="P779" i="26"/>
  <c r="N779" i="26" s="1"/>
  <c r="M779" i="26"/>
  <c r="L779" i="26"/>
  <c r="J779" i="26" s="1"/>
  <c r="I779" i="26"/>
  <c r="H779" i="26"/>
  <c r="F779" i="26"/>
  <c r="E779" i="26"/>
  <c r="Y778" i="26"/>
  <c r="Z778" i="26" s="1"/>
  <c r="AA778" i="26" s="1"/>
  <c r="X778" i="26"/>
  <c r="V778" i="26"/>
  <c r="T778" i="26"/>
  <c r="R778" i="26"/>
  <c r="Q778" i="26"/>
  <c r="P778" i="26"/>
  <c r="N778" i="26"/>
  <c r="M778" i="26"/>
  <c r="L778" i="26"/>
  <c r="J778" i="26"/>
  <c r="I778" i="26"/>
  <c r="H778" i="26"/>
  <c r="E778" i="26"/>
  <c r="Z777" i="26"/>
  <c r="AA777" i="26" s="1"/>
  <c r="Y777" i="26"/>
  <c r="X777" i="26"/>
  <c r="T777" i="26"/>
  <c r="R777" i="26" s="1"/>
  <c r="Q777" i="26"/>
  <c r="P777" i="26"/>
  <c r="N777" i="26"/>
  <c r="M777" i="26"/>
  <c r="L777" i="26"/>
  <c r="J777" i="26"/>
  <c r="I777" i="26"/>
  <c r="H777" i="26"/>
  <c r="F777" i="26" s="1"/>
  <c r="E777" i="26"/>
  <c r="AA776" i="26"/>
  <c r="Z776" i="26"/>
  <c r="Y776" i="26"/>
  <c r="X776" i="26"/>
  <c r="T776" i="26"/>
  <c r="R776" i="26" s="1"/>
  <c r="Q776" i="26"/>
  <c r="P776" i="26"/>
  <c r="N776" i="26"/>
  <c r="M776" i="26"/>
  <c r="L776" i="26"/>
  <c r="J776" i="26"/>
  <c r="I776" i="26"/>
  <c r="H776" i="26"/>
  <c r="F776" i="26" s="1"/>
  <c r="E776" i="26"/>
  <c r="X775" i="26"/>
  <c r="V775" i="26"/>
  <c r="T775" i="26"/>
  <c r="Q775" i="26"/>
  <c r="P775" i="26"/>
  <c r="M775" i="26"/>
  <c r="L775" i="26"/>
  <c r="I775" i="26"/>
  <c r="H775" i="26"/>
  <c r="E775" i="26"/>
  <c r="X774" i="26"/>
  <c r="V774" i="26"/>
  <c r="T774" i="26"/>
  <c r="Q774" i="26"/>
  <c r="P774" i="26"/>
  <c r="M774" i="26"/>
  <c r="L774" i="26"/>
  <c r="I774" i="26"/>
  <c r="H774" i="26"/>
  <c r="E774" i="26"/>
  <c r="Z773" i="26"/>
  <c r="AA773" i="26" s="1"/>
  <c r="Y773" i="26"/>
  <c r="X773" i="26"/>
  <c r="V773" i="26"/>
  <c r="T773" i="26"/>
  <c r="R773" i="26"/>
  <c r="Q773" i="26"/>
  <c r="P773" i="26"/>
  <c r="N773" i="26"/>
  <c r="M773" i="26"/>
  <c r="L773" i="26"/>
  <c r="J773" i="26" s="1"/>
  <c r="I773" i="26"/>
  <c r="H773" i="26"/>
  <c r="F773" i="26"/>
  <c r="E773" i="26"/>
  <c r="AA772" i="26"/>
  <c r="Z772" i="26"/>
  <c r="Y772" i="26"/>
  <c r="X772" i="26"/>
  <c r="V772" i="26"/>
  <c r="T772" i="26"/>
  <c r="R772" i="26"/>
  <c r="Q772" i="26"/>
  <c r="P772" i="26"/>
  <c r="N772" i="26" s="1"/>
  <c r="M772" i="26"/>
  <c r="L772" i="26"/>
  <c r="J772" i="26" s="1"/>
  <c r="I772" i="26"/>
  <c r="H772" i="26"/>
  <c r="E772" i="26"/>
  <c r="X771" i="26"/>
  <c r="V771" i="26"/>
  <c r="N771" i="26" s="1"/>
  <c r="T771" i="26"/>
  <c r="Q771" i="26"/>
  <c r="P771" i="26"/>
  <c r="M771" i="26"/>
  <c r="L771" i="26"/>
  <c r="J771" i="26"/>
  <c r="I771" i="26"/>
  <c r="H771" i="26"/>
  <c r="E771" i="26"/>
  <c r="X770" i="26"/>
  <c r="V770" i="26"/>
  <c r="T770" i="26"/>
  <c r="Q770" i="26"/>
  <c r="P770" i="26"/>
  <c r="M770" i="26"/>
  <c r="L770" i="26"/>
  <c r="I770" i="26"/>
  <c r="H770" i="26"/>
  <c r="E770" i="26"/>
  <c r="X769" i="26"/>
  <c r="T769" i="26"/>
  <c r="Q769" i="26"/>
  <c r="P769" i="26"/>
  <c r="M769" i="26"/>
  <c r="L769" i="26"/>
  <c r="I769" i="26"/>
  <c r="H769" i="26"/>
  <c r="E769" i="26"/>
  <c r="Y768" i="26"/>
  <c r="Z768" i="26" s="1"/>
  <c r="AA768" i="26" s="1"/>
  <c r="X768" i="26"/>
  <c r="T768" i="26"/>
  <c r="Q768" i="26"/>
  <c r="P768" i="26"/>
  <c r="N768" i="26"/>
  <c r="M768" i="26"/>
  <c r="V768" i="26" s="1"/>
  <c r="L768" i="26"/>
  <c r="I768" i="26"/>
  <c r="H768" i="26"/>
  <c r="E768" i="26"/>
  <c r="X767" i="26"/>
  <c r="T767" i="26"/>
  <c r="Q767" i="26"/>
  <c r="P767" i="26"/>
  <c r="M767" i="26"/>
  <c r="L767" i="26"/>
  <c r="I767" i="26"/>
  <c r="V767" i="26" s="1"/>
  <c r="H767" i="26"/>
  <c r="E767" i="26"/>
  <c r="X766" i="26"/>
  <c r="V766" i="26"/>
  <c r="T766" i="26"/>
  <c r="R766" i="26" s="1"/>
  <c r="Q766" i="26"/>
  <c r="P766" i="26"/>
  <c r="M766" i="26"/>
  <c r="L766" i="26"/>
  <c r="I766" i="26"/>
  <c r="H766" i="26"/>
  <c r="F766" i="26"/>
  <c r="E766" i="26"/>
  <c r="Z765" i="26"/>
  <c r="AA765" i="26" s="1"/>
  <c r="Y765" i="26"/>
  <c r="X765" i="26"/>
  <c r="V765" i="26"/>
  <c r="T765" i="26"/>
  <c r="R765" i="26"/>
  <c r="Q765" i="26"/>
  <c r="P765" i="26"/>
  <c r="N765" i="26"/>
  <c r="M765" i="26"/>
  <c r="L765" i="26"/>
  <c r="J765" i="26" s="1"/>
  <c r="I765" i="26"/>
  <c r="H765" i="26"/>
  <c r="F765" i="26"/>
  <c r="E765" i="26"/>
  <c r="AA764" i="26"/>
  <c r="Z764" i="26"/>
  <c r="Y764" i="26"/>
  <c r="X764" i="26"/>
  <c r="V764" i="26"/>
  <c r="F764" i="26" s="1"/>
  <c r="T764" i="26"/>
  <c r="R764" i="26"/>
  <c r="Q764" i="26"/>
  <c r="P764" i="26"/>
  <c r="N764" i="26" s="1"/>
  <c r="M764" i="26"/>
  <c r="L764" i="26"/>
  <c r="J764" i="26" s="1"/>
  <c r="I764" i="26"/>
  <c r="H764" i="26"/>
  <c r="E764" i="26"/>
  <c r="Z763" i="26"/>
  <c r="AA763" i="26" s="1"/>
  <c r="X763" i="26"/>
  <c r="V763" i="26"/>
  <c r="Y763" i="26" s="1"/>
  <c r="T763" i="26"/>
  <c r="R763" i="26" s="1"/>
  <c r="Q763" i="26"/>
  <c r="P763" i="26"/>
  <c r="N763" i="26"/>
  <c r="M763" i="26"/>
  <c r="L763" i="26"/>
  <c r="J763" i="26"/>
  <c r="I763" i="26"/>
  <c r="H763" i="26"/>
  <c r="F763" i="26"/>
  <c r="E763" i="26"/>
  <c r="X762" i="26"/>
  <c r="V762" i="26"/>
  <c r="T762" i="26"/>
  <c r="Q762" i="26"/>
  <c r="P762" i="26"/>
  <c r="M762" i="26"/>
  <c r="L762" i="26"/>
  <c r="I762" i="26"/>
  <c r="H762" i="26"/>
  <c r="E762" i="26"/>
  <c r="X761" i="26"/>
  <c r="T761" i="26"/>
  <c r="R761" i="26"/>
  <c r="Q761" i="26"/>
  <c r="P761" i="26"/>
  <c r="M761" i="26"/>
  <c r="L761" i="26"/>
  <c r="I761" i="26"/>
  <c r="H761" i="26"/>
  <c r="E761" i="26"/>
  <c r="V761" i="26" s="1"/>
  <c r="X760" i="26"/>
  <c r="T760" i="26"/>
  <c r="R760" i="26" s="1"/>
  <c r="Q760" i="26"/>
  <c r="P760" i="26"/>
  <c r="M760" i="26"/>
  <c r="L760" i="26"/>
  <c r="I760" i="26"/>
  <c r="V760" i="26" s="1"/>
  <c r="H760" i="26"/>
  <c r="E760" i="26"/>
  <c r="X759" i="26"/>
  <c r="V759" i="26"/>
  <c r="T759" i="26"/>
  <c r="R759" i="26" s="1"/>
  <c r="Q759" i="26"/>
  <c r="P759" i="26"/>
  <c r="N759" i="26"/>
  <c r="M759" i="26"/>
  <c r="L759" i="26"/>
  <c r="J759" i="26" s="1"/>
  <c r="I759" i="26"/>
  <c r="H759" i="26"/>
  <c r="E759" i="26"/>
  <c r="X758" i="26"/>
  <c r="V758" i="26"/>
  <c r="T758" i="26"/>
  <c r="Q758" i="26"/>
  <c r="P758" i="26"/>
  <c r="M758" i="26"/>
  <c r="L758" i="26"/>
  <c r="I758" i="26"/>
  <c r="H758" i="26"/>
  <c r="E758" i="26"/>
  <c r="Y757" i="26"/>
  <c r="Z757" i="26" s="1"/>
  <c r="AA757" i="26" s="1"/>
  <c r="X757" i="26"/>
  <c r="V757" i="26"/>
  <c r="T757" i="26"/>
  <c r="R757" i="26"/>
  <c r="Q757" i="26"/>
  <c r="P757" i="26"/>
  <c r="N757" i="26"/>
  <c r="M757" i="26"/>
  <c r="L757" i="26"/>
  <c r="J757" i="26" s="1"/>
  <c r="I757" i="26"/>
  <c r="H757" i="26"/>
  <c r="F757" i="26" s="1"/>
  <c r="E757" i="26"/>
  <c r="Y756" i="26"/>
  <c r="Z756" i="26" s="1"/>
  <c r="AA756" i="26" s="1"/>
  <c r="X756" i="26"/>
  <c r="V756" i="26"/>
  <c r="F756" i="26" s="1"/>
  <c r="T756" i="26"/>
  <c r="R756" i="26"/>
  <c r="Q756" i="26"/>
  <c r="P756" i="26"/>
  <c r="N756" i="26"/>
  <c r="M756" i="26"/>
  <c r="L756" i="26"/>
  <c r="J756" i="26" s="1"/>
  <c r="I756" i="26"/>
  <c r="H756" i="26"/>
  <c r="E756" i="26"/>
  <c r="X755" i="26"/>
  <c r="V755" i="26"/>
  <c r="T755" i="26"/>
  <c r="Q755" i="26"/>
  <c r="P755" i="26"/>
  <c r="N755" i="26" s="1"/>
  <c r="M755" i="26"/>
  <c r="L755" i="26"/>
  <c r="I755" i="26"/>
  <c r="H755" i="26"/>
  <c r="F755" i="26"/>
  <c r="E755" i="26"/>
  <c r="AA754" i="26"/>
  <c r="X754" i="26"/>
  <c r="V754" i="26"/>
  <c r="Y754" i="26" s="1"/>
  <c r="Z754" i="26" s="1"/>
  <c r="T754" i="26"/>
  <c r="R754" i="26"/>
  <c r="Q754" i="26"/>
  <c r="P754" i="26"/>
  <c r="N754" i="26" s="1"/>
  <c r="M754" i="26"/>
  <c r="L754" i="26"/>
  <c r="J754" i="26" s="1"/>
  <c r="I754" i="26"/>
  <c r="H754" i="26"/>
  <c r="F754" i="26"/>
  <c r="E754" i="26"/>
  <c r="Y753" i="26"/>
  <c r="Z753" i="26" s="1"/>
  <c r="AA753" i="26" s="1"/>
  <c r="X753" i="26"/>
  <c r="V753" i="26"/>
  <c r="T753" i="26"/>
  <c r="R753" i="26" s="1"/>
  <c r="Q753" i="26"/>
  <c r="P753" i="26"/>
  <c r="N753" i="26" s="1"/>
  <c r="M753" i="26"/>
  <c r="L753" i="26"/>
  <c r="J753" i="26" s="1"/>
  <c r="I753" i="26"/>
  <c r="H753" i="26"/>
  <c r="F753" i="26" s="1"/>
  <c r="E753" i="26"/>
  <c r="Y752" i="26"/>
  <c r="Z752" i="26" s="1"/>
  <c r="AA752" i="26" s="1"/>
  <c r="X752" i="26"/>
  <c r="V752" i="26"/>
  <c r="T752" i="26"/>
  <c r="R752" i="26"/>
  <c r="Q752" i="26"/>
  <c r="P752" i="26"/>
  <c r="M752" i="26"/>
  <c r="L752" i="26"/>
  <c r="J752" i="26"/>
  <c r="I752" i="26"/>
  <c r="H752" i="26"/>
  <c r="E752" i="26"/>
  <c r="X751" i="26"/>
  <c r="T751" i="26"/>
  <c r="Q751" i="26"/>
  <c r="P751" i="26"/>
  <c r="M751" i="26"/>
  <c r="L751" i="26"/>
  <c r="I751" i="26"/>
  <c r="H751" i="26"/>
  <c r="E751" i="26"/>
  <c r="V751" i="26" s="1"/>
  <c r="X750" i="26"/>
  <c r="T750" i="26"/>
  <c r="Q750" i="26"/>
  <c r="P750" i="26"/>
  <c r="M750" i="26"/>
  <c r="V750" i="26" s="1"/>
  <c r="L750" i="26"/>
  <c r="I750" i="26"/>
  <c r="H750" i="26"/>
  <c r="F750" i="26"/>
  <c r="E750" i="26"/>
  <c r="X749" i="26"/>
  <c r="T749" i="26"/>
  <c r="Q749" i="26"/>
  <c r="P749" i="26"/>
  <c r="M749" i="26"/>
  <c r="V749" i="26" s="1"/>
  <c r="L749" i="26"/>
  <c r="I749" i="26"/>
  <c r="H749" i="26"/>
  <c r="E749" i="26"/>
  <c r="X748" i="26"/>
  <c r="T748" i="26"/>
  <c r="Q748" i="26"/>
  <c r="P748" i="26"/>
  <c r="M748" i="26"/>
  <c r="L748" i="26"/>
  <c r="I748" i="26"/>
  <c r="H748" i="26"/>
  <c r="E748" i="26"/>
  <c r="X747" i="26"/>
  <c r="T747" i="26"/>
  <c r="Q747" i="26"/>
  <c r="P747" i="26"/>
  <c r="N747" i="26" s="1"/>
  <c r="M747" i="26"/>
  <c r="L747" i="26"/>
  <c r="J747" i="26"/>
  <c r="I747" i="26"/>
  <c r="H747" i="26"/>
  <c r="E747" i="26"/>
  <c r="V747" i="26" s="1"/>
  <c r="Y747" i="26" s="1"/>
  <c r="Z747" i="26" s="1"/>
  <c r="AA747" i="26" s="1"/>
  <c r="X746" i="26"/>
  <c r="T746" i="26"/>
  <c r="Q746" i="26"/>
  <c r="P746" i="26"/>
  <c r="M746" i="26"/>
  <c r="L746" i="26"/>
  <c r="I746" i="26"/>
  <c r="H746" i="26"/>
  <c r="E746" i="26"/>
  <c r="X745" i="26"/>
  <c r="T745" i="26"/>
  <c r="Q745" i="26"/>
  <c r="P745" i="26"/>
  <c r="M745" i="26"/>
  <c r="L745" i="26"/>
  <c r="I745" i="26"/>
  <c r="H745" i="26"/>
  <c r="E745" i="26"/>
  <c r="X744" i="26"/>
  <c r="T744" i="26"/>
  <c r="Q744" i="26"/>
  <c r="P744" i="26"/>
  <c r="M744" i="26"/>
  <c r="L744" i="26"/>
  <c r="I744" i="26"/>
  <c r="H744" i="26"/>
  <c r="E744" i="26"/>
  <c r="X743" i="26"/>
  <c r="T743" i="26"/>
  <c r="Q743" i="26"/>
  <c r="P743" i="26"/>
  <c r="N743" i="26" s="1"/>
  <c r="M743" i="26"/>
  <c r="L743" i="26"/>
  <c r="I743" i="26"/>
  <c r="H743" i="26"/>
  <c r="E743" i="26"/>
  <c r="V743" i="26" s="1"/>
  <c r="X742" i="26"/>
  <c r="T742" i="26"/>
  <c r="R742" i="26" s="1"/>
  <c r="Q742" i="26"/>
  <c r="P742" i="26"/>
  <c r="M742" i="26"/>
  <c r="V742" i="26" s="1"/>
  <c r="L742" i="26"/>
  <c r="I742" i="26"/>
  <c r="H742" i="26"/>
  <c r="F742" i="26"/>
  <c r="E742" i="26"/>
  <c r="X741" i="26"/>
  <c r="T741" i="26"/>
  <c r="Q741" i="26"/>
  <c r="P741" i="26"/>
  <c r="M741" i="26"/>
  <c r="V741" i="26" s="1"/>
  <c r="L741" i="26"/>
  <c r="I741" i="26"/>
  <c r="H741" i="26"/>
  <c r="E741" i="26"/>
  <c r="X740" i="26"/>
  <c r="T740" i="26"/>
  <c r="Q740" i="26"/>
  <c r="P740" i="26"/>
  <c r="M740" i="26"/>
  <c r="L740" i="26"/>
  <c r="I740" i="26"/>
  <c r="H740" i="26"/>
  <c r="E740" i="26"/>
  <c r="X739" i="26"/>
  <c r="T739" i="26"/>
  <c r="R739" i="26" s="1"/>
  <c r="Q739" i="26"/>
  <c r="P739" i="26"/>
  <c r="N739" i="26" s="1"/>
  <c r="M739" i="26"/>
  <c r="L739" i="26"/>
  <c r="J739" i="26"/>
  <c r="I739" i="26"/>
  <c r="H739" i="26"/>
  <c r="F739" i="26"/>
  <c r="E739" i="26"/>
  <c r="V739" i="26" s="1"/>
  <c r="Y739" i="26" s="1"/>
  <c r="Z739" i="26" s="1"/>
  <c r="AA739" i="26" s="1"/>
  <c r="X738" i="26"/>
  <c r="T738" i="26"/>
  <c r="Q738" i="26"/>
  <c r="P738" i="26"/>
  <c r="N738" i="26" s="1"/>
  <c r="M738" i="26"/>
  <c r="L738" i="26"/>
  <c r="I738" i="26"/>
  <c r="H738" i="26"/>
  <c r="E738" i="26"/>
  <c r="V738" i="26" s="1"/>
  <c r="X737" i="26"/>
  <c r="T737" i="26"/>
  <c r="Q737" i="26"/>
  <c r="P737" i="26"/>
  <c r="M737" i="26"/>
  <c r="L737" i="26"/>
  <c r="I737" i="26"/>
  <c r="H737" i="26"/>
  <c r="E737" i="26"/>
  <c r="X736" i="26"/>
  <c r="T736" i="26"/>
  <c r="Q736" i="26"/>
  <c r="P736" i="26"/>
  <c r="M736" i="26"/>
  <c r="L736" i="26"/>
  <c r="I736" i="26"/>
  <c r="V736" i="26" s="1"/>
  <c r="H736" i="26"/>
  <c r="E736" i="26"/>
  <c r="X735" i="26"/>
  <c r="T735" i="26"/>
  <c r="R735" i="26" s="1"/>
  <c r="Q735" i="26"/>
  <c r="P735" i="26"/>
  <c r="M735" i="26"/>
  <c r="L735" i="26"/>
  <c r="I735" i="26"/>
  <c r="H735" i="26"/>
  <c r="E735" i="26"/>
  <c r="V735" i="26" s="1"/>
  <c r="X734" i="26"/>
  <c r="T734" i="26"/>
  <c r="R734" i="26" s="1"/>
  <c r="Q734" i="26"/>
  <c r="P734" i="26"/>
  <c r="N734" i="26" s="1"/>
  <c r="M734" i="26"/>
  <c r="V734" i="26" s="1"/>
  <c r="L734" i="26"/>
  <c r="I734" i="26"/>
  <c r="H734" i="26"/>
  <c r="F734" i="26"/>
  <c r="E734" i="26"/>
  <c r="X733" i="26"/>
  <c r="T733" i="26"/>
  <c r="Q733" i="26"/>
  <c r="P733" i="26"/>
  <c r="M733" i="26"/>
  <c r="L733" i="26"/>
  <c r="I733" i="26"/>
  <c r="H733" i="26"/>
  <c r="E733" i="26"/>
  <c r="X732" i="26"/>
  <c r="T732" i="26"/>
  <c r="Q732" i="26"/>
  <c r="P732" i="26"/>
  <c r="M732" i="26"/>
  <c r="L732" i="26"/>
  <c r="I732" i="26"/>
  <c r="H732" i="26"/>
  <c r="E732" i="26"/>
  <c r="X731" i="26"/>
  <c r="T731" i="26"/>
  <c r="Q731" i="26"/>
  <c r="P731" i="26"/>
  <c r="M731" i="26"/>
  <c r="L731" i="26"/>
  <c r="I731" i="26"/>
  <c r="V731" i="26" s="1"/>
  <c r="H731" i="26"/>
  <c r="E731" i="26"/>
  <c r="X730" i="26"/>
  <c r="V730" i="26"/>
  <c r="T730" i="26"/>
  <c r="Q730" i="26"/>
  <c r="P730" i="26"/>
  <c r="N730" i="26"/>
  <c r="M730" i="26"/>
  <c r="L730" i="26"/>
  <c r="J730" i="26" s="1"/>
  <c r="I730" i="26"/>
  <c r="H730" i="26"/>
  <c r="E730" i="26"/>
  <c r="X729" i="26"/>
  <c r="T729" i="26"/>
  <c r="R729" i="26" s="1"/>
  <c r="Q729" i="26"/>
  <c r="P729" i="26"/>
  <c r="M729" i="26"/>
  <c r="L729" i="26"/>
  <c r="I729" i="26"/>
  <c r="H729" i="26"/>
  <c r="F729" i="26"/>
  <c r="E729" i="26"/>
  <c r="V729" i="26" s="1"/>
  <c r="X728" i="26"/>
  <c r="T728" i="26"/>
  <c r="Q728" i="26"/>
  <c r="V728" i="26" s="1"/>
  <c r="P728" i="26"/>
  <c r="M728" i="26"/>
  <c r="L728" i="26"/>
  <c r="I728" i="26"/>
  <c r="H728" i="26"/>
  <c r="E728" i="26"/>
  <c r="X727" i="26"/>
  <c r="V727" i="26"/>
  <c r="T727" i="26"/>
  <c r="Q727" i="26"/>
  <c r="P727" i="26"/>
  <c r="M727" i="26"/>
  <c r="L727" i="26"/>
  <c r="J727" i="26"/>
  <c r="I727" i="26"/>
  <c r="H727" i="26"/>
  <c r="E727" i="26"/>
  <c r="X726" i="26"/>
  <c r="T726" i="26"/>
  <c r="Q726" i="26"/>
  <c r="P726" i="26"/>
  <c r="M726" i="26"/>
  <c r="V726" i="26" s="1"/>
  <c r="L726" i="26"/>
  <c r="I726" i="26"/>
  <c r="H726" i="26"/>
  <c r="E726" i="26"/>
  <c r="Y725" i="26"/>
  <c r="Z725" i="26" s="1"/>
  <c r="AA725" i="26" s="1"/>
  <c r="X725" i="26"/>
  <c r="T725" i="26"/>
  <c r="Q725" i="26"/>
  <c r="P725" i="26"/>
  <c r="M725" i="26"/>
  <c r="V725" i="26" s="1"/>
  <c r="L725" i="26"/>
  <c r="I725" i="26"/>
  <c r="H725" i="26"/>
  <c r="F725" i="26"/>
  <c r="E725" i="26"/>
  <c r="X724" i="26"/>
  <c r="T724" i="26"/>
  <c r="Q724" i="26"/>
  <c r="P724" i="26"/>
  <c r="M724" i="26"/>
  <c r="L724" i="26"/>
  <c r="I724" i="26"/>
  <c r="H724" i="26"/>
  <c r="E724" i="26"/>
  <c r="Y723" i="26"/>
  <c r="Z723" i="26" s="1"/>
  <c r="AA723" i="26" s="1"/>
  <c r="X723" i="26"/>
  <c r="T723" i="26"/>
  <c r="Q723" i="26"/>
  <c r="P723" i="26"/>
  <c r="M723" i="26"/>
  <c r="L723" i="26"/>
  <c r="I723" i="26"/>
  <c r="V723" i="26" s="1"/>
  <c r="H723" i="26"/>
  <c r="E723" i="26"/>
  <c r="X722" i="26"/>
  <c r="V722" i="26"/>
  <c r="J722" i="26" s="1"/>
  <c r="T722" i="26"/>
  <c r="Q722" i="26"/>
  <c r="P722" i="26"/>
  <c r="M722" i="26"/>
  <c r="L722" i="26"/>
  <c r="I722" i="26"/>
  <c r="H722" i="26"/>
  <c r="E722" i="26"/>
  <c r="X721" i="26"/>
  <c r="T721" i="26"/>
  <c r="R721" i="26" s="1"/>
  <c r="Q721" i="26"/>
  <c r="P721" i="26"/>
  <c r="M721" i="26"/>
  <c r="L721" i="26"/>
  <c r="I721" i="26"/>
  <c r="H721" i="26"/>
  <c r="F721" i="26"/>
  <c r="E721" i="26"/>
  <c r="V721" i="26" s="1"/>
  <c r="X720" i="26"/>
  <c r="V720" i="26"/>
  <c r="T720" i="26"/>
  <c r="Q720" i="26"/>
  <c r="P720" i="26"/>
  <c r="M720" i="26"/>
  <c r="L720" i="26"/>
  <c r="I720" i="26"/>
  <c r="H720" i="26"/>
  <c r="E720" i="26"/>
  <c r="X719" i="26"/>
  <c r="T719" i="26"/>
  <c r="Q719" i="26"/>
  <c r="P719" i="26"/>
  <c r="N719" i="26" s="1"/>
  <c r="M719" i="26"/>
  <c r="L719" i="26"/>
  <c r="I719" i="26"/>
  <c r="H719" i="26"/>
  <c r="E719" i="26"/>
  <c r="V719" i="26" s="1"/>
  <c r="R719" i="26" s="1"/>
  <c r="X718" i="26"/>
  <c r="T718" i="26"/>
  <c r="Q718" i="26"/>
  <c r="P718" i="26"/>
  <c r="M718" i="26"/>
  <c r="V718" i="26" s="1"/>
  <c r="F718" i="26" s="1"/>
  <c r="L718" i="26"/>
  <c r="I718" i="26"/>
  <c r="H718" i="26"/>
  <c r="E718" i="26"/>
  <c r="X717" i="26"/>
  <c r="T717" i="26"/>
  <c r="Q717" i="26"/>
  <c r="P717" i="26"/>
  <c r="M717" i="26"/>
  <c r="L717" i="26"/>
  <c r="I717" i="26"/>
  <c r="H717" i="26"/>
  <c r="E717" i="26"/>
  <c r="X716" i="26"/>
  <c r="T716" i="26"/>
  <c r="Q716" i="26"/>
  <c r="P716" i="26"/>
  <c r="M716" i="26"/>
  <c r="L716" i="26"/>
  <c r="I716" i="26"/>
  <c r="H716" i="26"/>
  <c r="E716" i="26"/>
  <c r="X715" i="26"/>
  <c r="T715" i="26"/>
  <c r="Q715" i="26"/>
  <c r="P715" i="26"/>
  <c r="M715" i="26"/>
  <c r="L715" i="26"/>
  <c r="I715" i="26"/>
  <c r="V715" i="26" s="1"/>
  <c r="H715" i="26"/>
  <c r="E715" i="26"/>
  <c r="X714" i="26"/>
  <c r="V714" i="26"/>
  <c r="T714" i="26"/>
  <c r="Q714" i="26"/>
  <c r="P714" i="26"/>
  <c r="N714" i="26"/>
  <c r="M714" i="26"/>
  <c r="L714" i="26"/>
  <c r="I714" i="26"/>
  <c r="H714" i="26"/>
  <c r="E714" i="26"/>
  <c r="X713" i="26"/>
  <c r="T713" i="26"/>
  <c r="R713" i="26" s="1"/>
  <c r="Q713" i="26"/>
  <c r="P713" i="26"/>
  <c r="M713" i="26"/>
  <c r="L713" i="26"/>
  <c r="I713" i="26"/>
  <c r="H713" i="26"/>
  <c r="F713" i="26" s="1"/>
  <c r="E713" i="26"/>
  <c r="V713" i="26" s="1"/>
  <c r="X712" i="26"/>
  <c r="V712" i="26"/>
  <c r="T712" i="26"/>
  <c r="Q712" i="26"/>
  <c r="P712" i="26"/>
  <c r="M712" i="26"/>
  <c r="L712" i="26"/>
  <c r="I712" i="26"/>
  <c r="H712" i="26"/>
  <c r="E712" i="26"/>
  <c r="X711" i="26"/>
  <c r="V711" i="26"/>
  <c r="R711" i="26" s="1"/>
  <c r="T711" i="26"/>
  <c r="Q711" i="26"/>
  <c r="P711" i="26"/>
  <c r="M711" i="26"/>
  <c r="L711" i="26"/>
  <c r="J711" i="26"/>
  <c r="I711" i="26"/>
  <c r="H711" i="26"/>
  <c r="E711" i="26"/>
  <c r="X710" i="26"/>
  <c r="T710" i="26"/>
  <c r="Q710" i="26"/>
  <c r="P710" i="26"/>
  <c r="M710" i="26"/>
  <c r="L710" i="26"/>
  <c r="I710" i="26"/>
  <c r="H710" i="26"/>
  <c r="E710" i="26"/>
  <c r="X709" i="26"/>
  <c r="T709" i="26"/>
  <c r="Q709" i="26"/>
  <c r="P709" i="26"/>
  <c r="M709" i="26"/>
  <c r="L709" i="26"/>
  <c r="I709" i="26"/>
  <c r="V709" i="26" s="1"/>
  <c r="H709" i="26"/>
  <c r="E709" i="26"/>
  <c r="X708" i="26"/>
  <c r="T708" i="26"/>
  <c r="R708" i="26" s="1"/>
  <c r="Q708" i="26"/>
  <c r="P708" i="26"/>
  <c r="M708" i="26"/>
  <c r="L708" i="26"/>
  <c r="I708" i="26"/>
  <c r="H708" i="26"/>
  <c r="E708" i="26"/>
  <c r="V708" i="26" s="1"/>
  <c r="X707" i="26"/>
  <c r="T707" i="26"/>
  <c r="Q707" i="26"/>
  <c r="P707" i="26"/>
  <c r="M707" i="26"/>
  <c r="L707" i="26"/>
  <c r="I707" i="26"/>
  <c r="H707" i="26"/>
  <c r="E707" i="26"/>
  <c r="X706" i="26"/>
  <c r="T706" i="26"/>
  <c r="Q706" i="26"/>
  <c r="P706" i="26"/>
  <c r="N706" i="26" s="1"/>
  <c r="M706" i="26"/>
  <c r="L706" i="26"/>
  <c r="I706" i="26"/>
  <c r="H706" i="26"/>
  <c r="E706" i="26"/>
  <c r="V706" i="26" s="1"/>
  <c r="F706" i="26" s="1"/>
  <c r="X705" i="26"/>
  <c r="T705" i="26"/>
  <c r="Q705" i="26"/>
  <c r="P705" i="26"/>
  <c r="M705" i="26"/>
  <c r="L705" i="26"/>
  <c r="I705" i="26"/>
  <c r="H705" i="26"/>
  <c r="E705" i="26"/>
  <c r="X704" i="26"/>
  <c r="T704" i="26"/>
  <c r="Q704" i="26"/>
  <c r="P704" i="26"/>
  <c r="M704" i="26"/>
  <c r="L704" i="26"/>
  <c r="I704" i="26"/>
  <c r="H704" i="26"/>
  <c r="E704" i="26"/>
  <c r="X703" i="26"/>
  <c r="T703" i="26"/>
  <c r="Q703" i="26"/>
  <c r="P703" i="26"/>
  <c r="M703" i="26"/>
  <c r="L703" i="26"/>
  <c r="I703" i="26"/>
  <c r="H703" i="26"/>
  <c r="E703" i="26"/>
  <c r="X702" i="26"/>
  <c r="T702" i="26"/>
  <c r="Q702" i="26"/>
  <c r="P702" i="26"/>
  <c r="M702" i="26"/>
  <c r="L702" i="26"/>
  <c r="I702" i="26"/>
  <c r="H702" i="26"/>
  <c r="E702" i="26"/>
  <c r="Y701" i="26"/>
  <c r="Z701" i="26" s="1"/>
  <c r="AA701" i="26" s="1"/>
  <c r="X701" i="26"/>
  <c r="T701" i="26"/>
  <c r="Q701" i="26"/>
  <c r="P701" i="26"/>
  <c r="M701" i="26"/>
  <c r="L701" i="26"/>
  <c r="I701" i="26"/>
  <c r="V701" i="26" s="1"/>
  <c r="H701" i="26"/>
  <c r="E701" i="26"/>
  <c r="X700" i="26"/>
  <c r="T700" i="26"/>
  <c r="Q700" i="26"/>
  <c r="P700" i="26"/>
  <c r="M700" i="26"/>
  <c r="L700" i="26"/>
  <c r="I700" i="26"/>
  <c r="H700" i="26"/>
  <c r="E700" i="26"/>
  <c r="V700" i="26" s="1"/>
  <c r="X699" i="26"/>
  <c r="T699" i="26"/>
  <c r="Q699" i="26"/>
  <c r="P699" i="26"/>
  <c r="M699" i="26"/>
  <c r="L699" i="26"/>
  <c r="I699" i="26"/>
  <c r="H699" i="26"/>
  <c r="E699" i="26"/>
  <c r="X698" i="26"/>
  <c r="T698" i="26"/>
  <c r="Q698" i="26"/>
  <c r="P698" i="26"/>
  <c r="M698" i="26"/>
  <c r="L698" i="26"/>
  <c r="I698" i="26"/>
  <c r="H698" i="26"/>
  <c r="E698" i="26"/>
  <c r="X697" i="26"/>
  <c r="T697" i="26"/>
  <c r="Q697" i="26"/>
  <c r="P697" i="26"/>
  <c r="M697" i="26"/>
  <c r="L697" i="26"/>
  <c r="I697" i="26"/>
  <c r="H697" i="26"/>
  <c r="E697" i="26"/>
  <c r="X696" i="26"/>
  <c r="T696" i="26"/>
  <c r="Q696" i="26"/>
  <c r="P696" i="26"/>
  <c r="M696" i="26"/>
  <c r="L696" i="26"/>
  <c r="I696" i="26"/>
  <c r="H696" i="26"/>
  <c r="E696" i="26"/>
  <c r="X695" i="26"/>
  <c r="T695" i="26"/>
  <c r="Q695" i="26"/>
  <c r="P695" i="26"/>
  <c r="M695" i="26"/>
  <c r="L695" i="26"/>
  <c r="I695" i="26"/>
  <c r="H695" i="26"/>
  <c r="E695" i="26"/>
  <c r="X694" i="26"/>
  <c r="T694" i="26"/>
  <c r="Q694" i="26"/>
  <c r="P694" i="26"/>
  <c r="M694" i="26"/>
  <c r="L694" i="26"/>
  <c r="I694" i="26"/>
  <c r="H694" i="26"/>
  <c r="E694" i="26"/>
  <c r="X693" i="26"/>
  <c r="T693" i="26"/>
  <c r="Q693" i="26"/>
  <c r="P693" i="26"/>
  <c r="M693" i="26"/>
  <c r="L693" i="26"/>
  <c r="I693" i="26"/>
  <c r="V693" i="26" s="1"/>
  <c r="H693" i="26"/>
  <c r="E693" i="26"/>
  <c r="X692" i="26"/>
  <c r="T692" i="26"/>
  <c r="R692" i="26" s="1"/>
  <c r="Q692" i="26"/>
  <c r="P692" i="26"/>
  <c r="M692" i="26"/>
  <c r="L692" i="26"/>
  <c r="I692" i="26"/>
  <c r="H692" i="26"/>
  <c r="E692" i="26"/>
  <c r="V692" i="26" s="1"/>
  <c r="X691" i="26"/>
  <c r="T691" i="26"/>
  <c r="Q691" i="26"/>
  <c r="P691" i="26"/>
  <c r="M691" i="26"/>
  <c r="L691" i="26"/>
  <c r="I691" i="26"/>
  <c r="H691" i="26"/>
  <c r="E691" i="26"/>
  <c r="X690" i="26"/>
  <c r="T690" i="26"/>
  <c r="Q690" i="26"/>
  <c r="P690" i="26"/>
  <c r="N690" i="26" s="1"/>
  <c r="M690" i="26"/>
  <c r="L690" i="26"/>
  <c r="I690" i="26"/>
  <c r="H690" i="26"/>
  <c r="E690" i="26"/>
  <c r="V690" i="26" s="1"/>
  <c r="F690" i="26" s="1"/>
  <c r="X689" i="26"/>
  <c r="T689" i="26"/>
  <c r="Q689" i="26"/>
  <c r="P689" i="26"/>
  <c r="M689" i="26"/>
  <c r="L689" i="26"/>
  <c r="I689" i="26"/>
  <c r="H689" i="26"/>
  <c r="E689" i="26"/>
  <c r="X688" i="26"/>
  <c r="T688" i="26"/>
  <c r="Q688" i="26"/>
  <c r="P688" i="26"/>
  <c r="M688" i="26"/>
  <c r="L688" i="26"/>
  <c r="I688" i="26"/>
  <c r="H688" i="26"/>
  <c r="E688" i="26"/>
  <c r="X687" i="26"/>
  <c r="T687" i="26"/>
  <c r="Q687" i="26"/>
  <c r="P687" i="26"/>
  <c r="M687" i="26"/>
  <c r="L687" i="26"/>
  <c r="I687" i="26"/>
  <c r="H687" i="26"/>
  <c r="E687" i="26"/>
  <c r="X686" i="26"/>
  <c r="T686" i="26"/>
  <c r="Q686" i="26"/>
  <c r="P686" i="26"/>
  <c r="M686" i="26"/>
  <c r="L686" i="26"/>
  <c r="I686" i="26"/>
  <c r="H686" i="26"/>
  <c r="E686" i="26"/>
  <c r="Y685" i="26"/>
  <c r="Z685" i="26" s="1"/>
  <c r="AA685" i="26" s="1"/>
  <c r="X685" i="26"/>
  <c r="T685" i="26"/>
  <c r="Q685" i="26"/>
  <c r="P685" i="26"/>
  <c r="M685" i="26"/>
  <c r="L685" i="26"/>
  <c r="I685" i="26"/>
  <c r="V685" i="26" s="1"/>
  <c r="H685" i="26"/>
  <c r="E685" i="26"/>
  <c r="X684" i="26"/>
  <c r="T684" i="26"/>
  <c r="Q684" i="26"/>
  <c r="P684" i="26"/>
  <c r="M684" i="26"/>
  <c r="L684" i="26"/>
  <c r="I684" i="26"/>
  <c r="H684" i="26"/>
  <c r="E684" i="26"/>
  <c r="V684" i="26" s="1"/>
  <c r="X683" i="26"/>
  <c r="T683" i="26"/>
  <c r="Q683" i="26"/>
  <c r="P683" i="26"/>
  <c r="M683" i="26"/>
  <c r="L683" i="26"/>
  <c r="I683" i="26"/>
  <c r="H683" i="26"/>
  <c r="E683" i="26"/>
  <c r="X682" i="26"/>
  <c r="T682" i="26"/>
  <c r="Q682" i="26"/>
  <c r="P682" i="26"/>
  <c r="M682" i="26"/>
  <c r="L682" i="26"/>
  <c r="I682" i="26"/>
  <c r="H682" i="26"/>
  <c r="E682" i="26"/>
  <c r="X681" i="26"/>
  <c r="T681" i="26"/>
  <c r="Q681" i="26"/>
  <c r="P681" i="26"/>
  <c r="M681" i="26"/>
  <c r="L681" i="26"/>
  <c r="I681" i="26"/>
  <c r="H681" i="26"/>
  <c r="E681" i="26"/>
  <c r="X680" i="26"/>
  <c r="T680" i="26"/>
  <c r="Q680" i="26"/>
  <c r="P680" i="26"/>
  <c r="M680" i="26"/>
  <c r="L680" i="26"/>
  <c r="I680" i="26"/>
  <c r="H680" i="26"/>
  <c r="E680" i="26"/>
  <c r="X679" i="26"/>
  <c r="T679" i="26"/>
  <c r="Q679" i="26"/>
  <c r="P679" i="26"/>
  <c r="M679" i="26"/>
  <c r="L679" i="26"/>
  <c r="I679" i="26"/>
  <c r="H679" i="26"/>
  <c r="E679" i="26"/>
  <c r="X678" i="26"/>
  <c r="T678" i="26"/>
  <c r="Q678" i="26"/>
  <c r="P678" i="26"/>
  <c r="M678" i="26"/>
  <c r="L678" i="26"/>
  <c r="I678" i="26"/>
  <c r="H678" i="26"/>
  <c r="E678" i="26"/>
  <c r="X677" i="26"/>
  <c r="T677" i="26"/>
  <c r="Q677" i="26"/>
  <c r="P677" i="26"/>
  <c r="M677" i="26"/>
  <c r="L677" i="26"/>
  <c r="I677" i="26"/>
  <c r="V677" i="26" s="1"/>
  <c r="H677" i="26"/>
  <c r="E677" i="26"/>
  <c r="X676" i="26"/>
  <c r="T676" i="26"/>
  <c r="R676" i="26" s="1"/>
  <c r="Q676" i="26"/>
  <c r="P676" i="26"/>
  <c r="M676" i="26"/>
  <c r="L676" i="26"/>
  <c r="I676" i="26"/>
  <c r="H676" i="26"/>
  <c r="E676" i="26"/>
  <c r="V676" i="26" s="1"/>
  <c r="X675" i="26"/>
  <c r="T675" i="26"/>
  <c r="Q675" i="26"/>
  <c r="P675" i="26"/>
  <c r="M675" i="26"/>
  <c r="L675" i="26"/>
  <c r="I675" i="26"/>
  <c r="H675" i="26"/>
  <c r="E675" i="26"/>
  <c r="X674" i="26"/>
  <c r="T674" i="26"/>
  <c r="Q674" i="26"/>
  <c r="P674" i="26"/>
  <c r="N674" i="26" s="1"/>
  <c r="M674" i="26"/>
  <c r="L674" i="26"/>
  <c r="I674" i="26"/>
  <c r="H674" i="26"/>
  <c r="E674" i="26"/>
  <c r="V674" i="26" s="1"/>
  <c r="F674" i="26" s="1"/>
  <c r="AA673" i="26"/>
  <c r="Z673" i="26"/>
  <c r="Y673" i="26"/>
  <c r="X673" i="26"/>
  <c r="T673" i="26"/>
  <c r="R673" i="26"/>
  <c r="Q673" i="26"/>
  <c r="P673" i="26"/>
  <c r="N673" i="26" s="1"/>
  <c r="M673" i="26"/>
  <c r="L673" i="26"/>
  <c r="J673" i="26"/>
  <c r="I673" i="26"/>
  <c r="H673" i="26"/>
  <c r="F673" i="26"/>
  <c r="E673" i="26"/>
  <c r="AA672" i="26"/>
  <c r="Z672" i="26"/>
  <c r="Y672" i="26"/>
  <c r="X672" i="26"/>
  <c r="T672" i="26"/>
  <c r="R672" i="26"/>
  <c r="Q672" i="26"/>
  <c r="P672" i="26"/>
  <c r="N672" i="26" s="1"/>
  <c r="M672" i="26"/>
  <c r="L672" i="26"/>
  <c r="J672" i="26"/>
  <c r="I672" i="26"/>
  <c r="H672" i="26"/>
  <c r="F672" i="26"/>
  <c r="E672" i="26"/>
  <c r="X670" i="26"/>
  <c r="T670" i="26"/>
  <c r="Q670" i="26"/>
  <c r="P670" i="26"/>
  <c r="M670" i="26"/>
  <c r="L670" i="26"/>
  <c r="I670" i="26"/>
  <c r="H670" i="26"/>
  <c r="E670" i="26"/>
  <c r="X669" i="26"/>
  <c r="T669" i="26"/>
  <c r="Q669" i="26"/>
  <c r="P669" i="26"/>
  <c r="M669" i="26"/>
  <c r="L669" i="26"/>
  <c r="I669" i="26"/>
  <c r="H669" i="26"/>
  <c r="E669" i="26"/>
  <c r="V669" i="26" s="1"/>
  <c r="X668" i="26"/>
  <c r="T668" i="26"/>
  <c r="Q668" i="26"/>
  <c r="P668" i="26"/>
  <c r="M668" i="26"/>
  <c r="L668" i="26"/>
  <c r="I668" i="26"/>
  <c r="H668" i="26"/>
  <c r="E668" i="26"/>
  <c r="X667" i="26"/>
  <c r="T667" i="26"/>
  <c r="Q667" i="26"/>
  <c r="P667" i="26"/>
  <c r="M667" i="26"/>
  <c r="L667" i="26"/>
  <c r="I667" i="26"/>
  <c r="H667" i="26"/>
  <c r="E667" i="26"/>
  <c r="X666" i="26"/>
  <c r="T666" i="26"/>
  <c r="Q666" i="26"/>
  <c r="P666" i="26"/>
  <c r="M666" i="26"/>
  <c r="L666" i="26"/>
  <c r="I666" i="26"/>
  <c r="V666" i="26" s="1"/>
  <c r="H666" i="26"/>
  <c r="E666" i="26"/>
  <c r="X665" i="26"/>
  <c r="T665" i="26"/>
  <c r="Q665" i="26"/>
  <c r="P665" i="26"/>
  <c r="M665" i="26"/>
  <c r="L665" i="26"/>
  <c r="I665" i="26"/>
  <c r="H665" i="26"/>
  <c r="E665" i="26"/>
  <c r="V665" i="26" s="1"/>
  <c r="X664" i="26"/>
  <c r="T664" i="26"/>
  <c r="Q664" i="26"/>
  <c r="P664" i="26"/>
  <c r="M664" i="26"/>
  <c r="L664" i="26"/>
  <c r="I664" i="26"/>
  <c r="H664" i="26"/>
  <c r="E664" i="26"/>
  <c r="X663" i="26"/>
  <c r="T663" i="26"/>
  <c r="Q663" i="26"/>
  <c r="P663" i="26"/>
  <c r="M663" i="26"/>
  <c r="L663" i="26"/>
  <c r="I663" i="26"/>
  <c r="H663" i="26"/>
  <c r="E663" i="26"/>
  <c r="X662" i="26"/>
  <c r="T662" i="26"/>
  <c r="Q662" i="26"/>
  <c r="P662" i="26"/>
  <c r="M662" i="26"/>
  <c r="L662" i="26"/>
  <c r="I662" i="26"/>
  <c r="H662" i="26"/>
  <c r="E662" i="26"/>
  <c r="X661" i="26"/>
  <c r="T661" i="26"/>
  <c r="Q661" i="26"/>
  <c r="P661" i="26"/>
  <c r="M661" i="26"/>
  <c r="L661" i="26"/>
  <c r="I661" i="26"/>
  <c r="H661" i="26"/>
  <c r="E661" i="26"/>
  <c r="X660" i="26"/>
  <c r="T660" i="26"/>
  <c r="Q660" i="26"/>
  <c r="P660" i="26"/>
  <c r="M660" i="26"/>
  <c r="L660" i="26"/>
  <c r="I660" i="26"/>
  <c r="H660" i="26"/>
  <c r="E660" i="26"/>
  <c r="X659" i="26"/>
  <c r="T659" i="26"/>
  <c r="Q659" i="26"/>
  <c r="P659" i="26"/>
  <c r="M659" i="26"/>
  <c r="L659" i="26"/>
  <c r="I659" i="26"/>
  <c r="H659" i="26"/>
  <c r="E659" i="26"/>
  <c r="X658" i="26"/>
  <c r="T658" i="26"/>
  <c r="Q658" i="26"/>
  <c r="P658" i="26"/>
  <c r="M658" i="26"/>
  <c r="L658" i="26"/>
  <c r="I658" i="26"/>
  <c r="V658" i="26" s="1"/>
  <c r="H658" i="26"/>
  <c r="E658" i="26"/>
  <c r="X657" i="26"/>
  <c r="T657" i="26"/>
  <c r="Q657" i="26"/>
  <c r="P657" i="26"/>
  <c r="N657" i="26" s="1"/>
  <c r="M657" i="26"/>
  <c r="L657" i="26"/>
  <c r="I657" i="26"/>
  <c r="H657" i="26"/>
  <c r="E657" i="26"/>
  <c r="V657" i="26" s="1"/>
  <c r="X656" i="26"/>
  <c r="T656" i="26"/>
  <c r="Q656" i="26"/>
  <c r="P656" i="26"/>
  <c r="M656" i="26"/>
  <c r="L656" i="26"/>
  <c r="I656" i="26"/>
  <c r="H656" i="26"/>
  <c r="E656" i="26"/>
  <c r="X655" i="26"/>
  <c r="T655" i="26"/>
  <c r="Q655" i="26"/>
  <c r="P655" i="26"/>
  <c r="N655" i="26" s="1"/>
  <c r="M655" i="26"/>
  <c r="L655" i="26"/>
  <c r="I655" i="26"/>
  <c r="H655" i="26"/>
  <c r="E655" i="26"/>
  <c r="V655" i="26" s="1"/>
  <c r="F655" i="26" s="1"/>
  <c r="X654" i="26"/>
  <c r="T654" i="26"/>
  <c r="Q654" i="26"/>
  <c r="P654" i="26"/>
  <c r="M654" i="26"/>
  <c r="L654" i="26"/>
  <c r="I654" i="26"/>
  <c r="H654" i="26"/>
  <c r="E654" i="26"/>
  <c r="X653" i="26"/>
  <c r="T653" i="26"/>
  <c r="Q653" i="26"/>
  <c r="P653" i="26"/>
  <c r="M653" i="26"/>
  <c r="L653" i="26"/>
  <c r="I653" i="26"/>
  <c r="H653" i="26"/>
  <c r="E653" i="26"/>
  <c r="V653" i="26" s="1"/>
  <c r="X652" i="26"/>
  <c r="T652" i="26"/>
  <c r="Q652" i="26"/>
  <c r="P652" i="26"/>
  <c r="M652" i="26"/>
  <c r="L652" i="26"/>
  <c r="I652" i="26"/>
  <c r="H652" i="26"/>
  <c r="E652" i="26"/>
  <c r="X651" i="26"/>
  <c r="T651" i="26"/>
  <c r="Q651" i="26"/>
  <c r="P651" i="26"/>
  <c r="M651" i="26"/>
  <c r="L651" i="26"/>
  <c r="I651" i="26"/>
  <c r="H651" i="26"/>
  <c r="E651" i="26"/>
  <c r="X650" i="26"/>
  <c r="T650" i="26"/>
  <c r="Q650" i="26"/>
  <c r="P650" i="26"/>
  <c r="M650" i="26"/>
  <c r="L650" i="26"/>
  <c r="I650" i="26"/>
  <c r="V650" i="26" s="1"/>
  <c r="H650" i="26"/>
  <c r="E650" i="26"/>
  <c r="X649" i="26"/>
  <c r="T649" i="26"/>
  <c r="Q649" i="26"/>
  <c r="P649" i="26"/>
  <c r="M649" i="26"/>
  <c r="L649" i="26"/>
  <c r="I649" i="26"/>
  <c r="H649" i="26"/>
  <c r="E649" i="26"/>
  <c r="V649" i="26" s="1"/>
  <c r="X648" i="26"/>
  <c r="T648" i="26"/>
  <c r="Q648" i="26"/>
  <c r="P648" i="26"/>
  <c r="M648" i="26"/>
  <c r="L648" i="26"/>
  <c r="I648" i="26"/>
  <c r="H648" i="26"/>
  <c r="E648" i="26"/>
  <c r="X647" i="26"/>
  <c r="T647" i="26"/>
  <c r="Q647" i="26"/>
  <c r="P647" i="26"/>
  <c r="M647" i="26"/>
  <c r="L647" i="26"/>
  <c r="I647" i="26"/>
  <c r="H647" i="26"/>
  <c r="E647" i="26"/>
  <c r="X646" i="26"/>
  <c r="T646" i="26"/>
  <c r="Q646" i="26"/>
  <c r="P646" i="26"/>
  <c r="M646" i="26"/>
  <c r="L646" i="26"/>
  <c r="I646" i="26"/>
  <c r="H646" i="26"/>
  <c r="E646" i="26"/>
  <c r="X645" i="26"/>
  <c r="T645" i="26"/>
  <c r="Q645" i="26"/>
  <c r="P645" i="26"/>
  <c r="M645" i="26"/>
  <c r="L645" i="26"/>
  <c r="I645" i="26"/>
  <c r="H645" i="26"/>
  <c r="E645" i="26"/>
  <c r="X644" i="26"/>
  <c r="T644" i="26"/>
  <c r="Q644" i="26"/>
  <c r="P644" i="26"/>
  <c r="M644" i="26"/>
  <c r="L644" i="26"/>
  <c r="I644" i="26"/>
  <c r="H644" i="26"/>
  <c r="E644" i="26"/>
  <c r="X643" i="26"/>
  <c r="T643" i="26"/>
  <c r="Q643" i="26"/>
  <c r="P643" i="26"/>
  <c r="M643" i="26"/>
  <c r="L643" i="26"/>
  <c r="I643" i="26"/>
  <c r="H643" i="26"/>
  <c r="E643" i="26"/>
  <c r="X642" i="26"/>
  <c r="T642" i="26"/>
  <c r="Q642" i="26"/>
  <c r="P642" i="26"/>
  <c r="M642" i="26"/>
  <c r="L642" i="26"/>
  <c r="I642" i="26"/>
  <c r="V642" i="26" s="1"/>
  <c r="H642" i="26"/>
  <c r="E642" i="26"/>
  <c r="X641" i="26"/>
  <c r="T641" i="26"/>
  <c r="R641" i="26" s="1"/>
  <c r="Q641" i="26"/>
  <c r="P641" i="26"/>
  <c r="N641" i="26" s="1"/>
  <c r="M641" i="26"/>
  <c r="L641" i="26"/>
  <c r="I641" i="26"/>
  <c r="H641" i="26"/>
  <c r="E641" i="26"/>
  <c r="V641" i="26" s="1"/>
  <c r="X640" i="26"/>
  <c r="T640" i="26"/>
  <c r="Q640" i="26"/>
  <c r="P640" i="26"/>
  <c r="M640" i="26"/>
  <c r="L640" i="26"/>
  <c r="I640" i="26"/>
  <c r="H640" i="26"/>
  <c r="E640" i="26"/>
  <c r="X639" i="26"/>
  <c r="T639" i="26"/>
  <c r="Q639" i="26"/>
  <c r="P639" i="26"/>
  <c r="N639" i="26" s="1"/>
  <c r="M639" i="26"/>
  <c r="L639" i="26"/>
  <c r="I639" i="26"/>
  <c r="H639" i="26"/>
  <c r="E639" i="26"/>
  <c r="V639" i="26" s="1"/>
  <c r="F639" i="26" s="1"/>
  <c r="X638" i="26"/>
  <c r="T638" i="26"/>
  <c r="Q638" i="26"/>
  <c r="P638" i="26"/>
  <c r="M638" i="26"/>
  <c r="L638" i="26"/>
  <c r="I638" i="26"/>
  <c r="H638" i="26"/>
  <c r="E638" i="26"/>
  <c r="X637" i="26"/>
  <c r="T637" i="26"/>
  <c r="Q637" i="26"/>
  <c r="P637" i="26"/>
  <c r="M637" i="26"/>
  <c r="L637" i="26"/>
  <c r="I637" i="26"/>
  <c r="H637" i="26"/>
  <c r="E637" i="26"/>
  <c r="V637" i="26" s="1"/>
  <c r="AA635" i="26"/>
  <c r="Z635" i="26"/>
  <c r="X635" i="26"/>
  <c r="V635" i="26"/>
  <c r="Y635" i="26" s="1"/>
  <c r="T635" i="26"/>
  <c r="R635" i="26" s="1"/>
  <c r="Q635" i="26"/>
  <c r="P635" i="26"/>
  <c r="N635" i="26"/>
  <c r="M635" i="26"/>
  <c r="L635" i="26"/>
  <c r="J635" i="26"/>
  <c r="I635" i="26"/>
  <c r="H635" i="26"/>
  <c r="F635" i="26"/>
  <c r="E635" i="26"/>
  <c r="AA634" i="26"/>
  <c r="Y634" i="26"/>
  <c r="Z634" i="26" s="1"/>
  <c r="X634" i="26"/>
  <c r="V634" i="26"/>
  <c r="J634" i="26" s="1"/>
  <c r="T634" i="26"/>
  <c r="R634" i="26" s="1"/>
  <c r="Q634" i="26"/>
  <c r="P634" i="26"/>
  <c r="N634" i="26" s="1"/>
  <c r="M634" i="26"/>
  <c r="L634" i="26"/>
  <c r="I634" i="26"/>
  <c r="H634" i="26"/>
  <c r="E634" i="26"/>
  <c r="X632" i="26"/>
  <c r="T632" i="26"/>
  <c r="Q632" i="26"/>
  <c r="P632" i="26"/>
  <c r="M632" i="26"/>
  <c r="L632" i="26"/>
  <c r="I632" i="26"/>
  <c r="H632" i="26"/>
  <c r="E632" i="26"/>
  <c r="X631" i="26"/>
  <c r="T631" i="26"/>
  <c r="Q631" i="26"/>
  <c r="P631" i="26"/>
  <c r="M631" i="26"/>
  <c r="L631" i="26"/>
  <c r="I631" i="26"/>
  <c r="H631" i="26"/>
  <c r="E631" i="26"/>
  <c r="AA630" i="26"/>
  <c r="Z630" i="26"/>
  <c r="Y630" i="26"/>
  <c r="X630" i="26"/>
  <c r="T630" i="26"/>
  <c r="R630" i="26"/>
  <c r="Q630" i="26"/>
  <c r="P630" i="26"/>
  <c r="N630" i="26"/>
  <c r="M630" i="26"/>
  <c r="L630" i="26"/>
  <c r="J630" i="26" s="1"/>
  <c r="I630" i="26"/>
  <c r="H630" i="26"/>
  <c r="F630" i="26" s="1"/>
  <c r="E630" i="26"/>
  <c r="Y629" i="26"/>
  <c r="Z629" i="26" s="1"/>
  <c r="AA629" i="26" s="1"/>
  <c r="X629" i="26"/>
  <c r="T629" i="26"/>
  <c r="R629" i="26"/>
  <c r="Q629" i="26"/>
  <c r="P629" i="26"/>
  <c r="N629" i="26"/>
  <c r="M629" i="26"/>
  <c r="L629" i="26"/>
  <c r="J629" i="26" s="1"/>
  <c r="I629" i="26"/>
  <c r="H629" i="26"/>
  <c r="F629" i="26" s="1"/>
  <c r="E629" i="26"/>
  <c r="Z628" i="26"/>
  <c r="AA628" i="26" s="1"/>
  <c r="Y628" i="26"/>
  <c r="X628" i="26"/>
  <c r="T628" i="26"/>
  <c r="R628" i="26" s="1"/>
  <c r="Q628" i="26"/>
  <c r="P628" i="26"/>
  <c r="N628" i="26" s="1"/>
  <c r="M628" i="26"/>
  <c r="L628" i="26"/>
  <c r="J628" i="26" s="1"/>
  <c r="I628" i="26"/>
  <c r="H628" i="26"/>
  <c r="F628" i="26" s="1"/>
  <c r="E628" i="26"/>
  <c r="AA627" i="26"/>
  <c r="Y627" i="26"/>
  <c r="Z627" i="26" s="1"/>
  <c r="X627" i="26"/>
  <c r="T627" i="26"/>
  <c r="R627" i="26" s="1"/>
  <c r="Q627" i="26"/>
  <c r="P627" i="26"/>
  <c r="N627" i="26"/>
  <c r="M627" i="26"/>
  <c r="L627" i="26"/>
  <c r="J627" i="26" s="1"/>
  <c r="I627" i="26"/>
  <c r="H627" i="26"/>
  <c r="F627" i="26" s="1"/>
  <c r="E627" i="26"/>
  <c r="Z626" i="26"/>
  <c r="AA626" i="26" s="1"/>
  <c r="Y626" i="26"/>
  <c r="X626" i="26"/>
  <c r="T626" i="26"/>
  <c r="R626" i="26" s="1"/>
  <c r="Q626" i="26"/>
  <c r="P626" i="26"/>
  <c r="N626" i="26"/>
  <c r="M626" i="26"/>
  <c r="L626" i="26"/>
  <c r="J626" i="26"/>
  <c r="I626" i="26"/>
  <c r="H626" i="26"/>
  <c r="F626" i="26" s="1"/>
  <c r="E626" i="26"/>
  <c r="Y625" i="26"/>
  <c r="Z625" i="26" s="1"/>
  <c r="AA625" i="26" s="1"/>
  <c r="X625" i="26"/>
  <c r="T625" i="26"/>
  <c r="R625" i="26" s="1"/>
  <c r="Q625" i="26"/>
  <c r="P625" i="26"/>
  <c r="N625" i="26" s="1"/>
  <c r="M625" i="26"/>
  <c r="L625" i="26"/>
  <c r="J625" i="26" s="1"/>
  <c r="I625" i="26"/>
  <c r="H625" i="26"/>
  <c r="F625" i="26" s="1"/>
  <c r="E625" i="26"/>
  <c r="Y624" i="26"/>
  <c r="Z624" i="26" s="1"/>
  <c r="AA624" i="26" s="1"/>
  <c r="X624" i="26"/>
  <c r="T624" i="26"/>
  <c r="R624" i="26"/>
  <c r="Q624" i="26"/>
  <c r="P624" i="26"/>
  <c r="N624" i="26" s="1"/>
  <c r="M624" i="26"/>
  <c r="L624" i="26"/>
  <c r="J624" i="26"/>
  <c r="I624" i="26"/>
  <c r="H624" i="26"/>
  <c r="F624" i="26" s="1"/>
  <c r="E624" i="26"/>
  <c r="AA623" i="26"/>
  <c r="Z623" i="26"/>
  <c r="Y623" i="26"/>
  <c r="X623" i="26"/>
  <c r="T623" i="26"/>
  <c r="R623" i="26" s="1"/>
  <c r="Q623" i="26"/>
  <c r="P623" i="26"/>
  <c r="N623" i="26" s="1"/>
  <c r="M623" i="26"/>
  <c r="L623" i="26"/>
  <c r="J623" i="26"/>
  <c r="I623" i="26"/>
  <c r="H623" i="26"/>
  <c r="F623" i="26"/>
  <c r="E623" i="26"/>
  <c r="AA622" i="26"/>
  <c r="Z622" i="26"/>
  <c r="Y622" i="26"/>
  <c r="X622" i="26"/>
  <c r="T622" i="26"/>
  <c r="R622" i="26" s="1"/>
  <c r="Q622" i="26"/>
  <c r="P622" i="26"/>
  <c r="N622" i="26"/>
  <c r="M622" i="26"/>
  <c r="L622" i="26"/>
  <c r="J622" i="26"/>
  <c r="I622" i="26"/>
  <c r="H622" i="26"/>
  <c r="F622" i="26"/>
  <c r="E622" i="26"/>
  <c r="AA621" i="26"/>
  <c r="Z621" i="26"/>
  <c r="Y621" i="26"/>
  <c r="X621" i="26"/>
  <c r="T621" i="26"/>
  <c r="R621" i="26" s="1"/>
  <c r="Q621" i="26"/>
  <c r="P621" i="26"/>
  <c r="N621" i="26"/>
  <c r="M621" i="26"/>
  <c r="L621" i="26"/>
  <c r="J621" i="26"/>
  <c r="I621" i="26"/>
  <c r="H621" i="26"/>
  <c r="F621" i="26"/>
  <c r="E621" i="26"/>
  <c r="Z620" i="26"/>
  <c r="AA620" i="26" s="1"/>
  <c r="Y620" i="26"/>
  <c r="X620" i="26"/>
  <c r="T620" i="26"/>
  <c r="R620" i="26" s="1"/>
  <c r="Q620" i="26"/>
  <c r="P620" i="26"/>
  <c r="N620" i="26" s="1"/>
  <c r="M620" i="26"/>
  <c r="L620" i="26"/>
  <c r="J620" i="26"/>
  <c r="I620" i="26"/>
  <c r="H620" i="26"/>
  <c r="F620" i="26"/>
  <c r="E620" i="26"/>
  <c r="Z619" i="26"/>
  <c r="AA619" i="26" s="1"/>
  <c r="Y619" i="26"/>
  <c r="X619" i="26"/>
  <c r="T619" i="26"/>
  <c r="R619" i="26" s="1"/>
  <c r="Q619" i="26"/>
  <c r="P619" i="26"/>
  <c r="N619" i="26" s="1"/>
  <c r="M619" i="26"/>
  <c r="L619" i="26"/>
  <c r="J619" i="26"/>
  <c r="I619" i="26"/>
  <c r="H619" i="26"/>
  <c r="F619" i="26"/>
  <c r="E619" i="26"/>
  <c r="AA618" i="26"/>
  <c r="Z618" i="26"/>
  <c r="Y618" i="26"/>
  <c r="X618" i="26"/>
  <c r="T618" i="26"/>
  <c r="R618" i="26" s="1"/>
  <c r="Q618" i="26"/>
  <c r="P618" i="26"/>
  <c r="N618" i="26" s="1"/>
  <c r="M618" i="26"/>
  <c r="L618" i="26"/>
  <c r="J618" i="26"/>
  <c r="I618" i="26"/>
  <c r="H618" i="26"/>
  <c r="F618" i="26"/>
  <c r="E618" i="26"/>
  <c r="AA617" i="26"/>
  <c r="Z617" i="26"/>
  <c r="Y617" i="26"/>
  <c r="X617" i="26"/>
  <c r="T617" i="26"/>
  <c r="R617" i="26" s="1"/>
  <c r="Q617" i="26"/>
  <c r="P617" i="26"/>
  <c r="N617" i="26"/>
  <c r="M617" i="26"/>
  <c r="L617" i="26"/>
  <c r="J617" i="26"/>
  <c r="I617" i="26"/>
  <c r="H617" i="26"/>
  <c r="F617" i="26"/>
  <c r="E617" i="26"/>
  <c r="AA616" i="26"/>
  <c r="Z616" i="26"/>
  <c r="Y616" i="26"/>
  <c r="X616" i="26"/>
  <c r="T616" i="26"/>
  <c r="R616" i="26" s="1"/>
  <c r="Q616" i="26"/>
  <c r="P616" i="26"/>
  <c r="N616" i="26"/>
  <c r="M616" i="26"/>
  <c r="L616" i="26"/>
  <c r="J616" i="26"/>
  <c r="I616" i="26"/>
  <c r="H616" i="26"/>
  <c r="F616" i="26"/>
  <c r="E616" i="26"/>
  <c r="Z615" i="26"/>
  <c r="AA615" i="26" s="1"/>
  <c r="Y615" i="26"/>
  <c r="X615" i="26"/>
  <c r="T615" i="26"/>
  <c r="R615" i="26" s="1"/>
  <c r="Q615" i="26"/>
  <c r="P615" i="26"/>
  <c r="N615" i="26" s="1"/>
  <c r="M615" i="26"/>
  <c r="L615" i="26"/>
  <c r="J615" i="26"/>
  <c r="I615" i="26"/>
  <c r="H615" i="26"/>
  <c r="F615" i="26"/>
  <c r="E615" i="26"/>
  <c r="Z614" i="26"/>
  <c r="AA614" i="26" s="1"/>
  <c r="Y614" i="26"/>
  <c r="X614" i="26"/>
  <c r="T614" i="26"/>
  <c r="R614" i="26" s="1"/>
  <c r="Q614" i="26"/>
  <c r="P614" i="26"/>
  <c r="N614" i="26"/>
  <c r="M614" i="26"/>
  <c r="L614" i="26"/>
  <c r="J614" i="26"/>
  <c r="I614" i="26"/>
  <c r="H614" i="26"/>
  <c r="F614" i="26"/>
  <c r="E614" i="26"/>
  <c r="AA613" i="26"/>
  <c r="Z613" i="26"/>
  <c r="Y613" i="26"/>
  <c r="X613" i="26"/>
  <c r="T613" i="26"/>
  <c r="R613" i="26" s="1"/>
  <c r="Q613" i="26"/>
  <c r="P613" i="26"/>
  <c r="N613" i="26"/>
  <c r="M613" i="26"/>
  <c r="L613" i="26"/>
  <c r="J613" i="26"/>
  <c r="I613" i="26"/>
  <c r="H613" i="26"/>
  <c r="F613" i="26"/>
  <c r="E613" i="26"/>
  <c r="X612" i="26"/>
  <c r="V612" i="26"/>
  <c r="T612" i="26"/>
  <c r="R612" i="26"/>
  <c r="Q612" i="26"/>
  <c r="P612" i="26"/>
  <c r="M612" i="26"/>
  <c r="L612" i="26"/>
  <c r="J612" i="26"/>
  <c r="I612" i="26"/>
  <c r="H612" i="26"/>
  <c r="E612" i="26"/>
  <c r="Y611" i="26"/>
  <c r="Z611" i="26" s="1"/>
  <c r="AA611" i="26" s="1"/>
  <c r="X611" i="26"/>
  <c r="V611" i="26"/>
  <c r="T611" i="26"/>
  <c r="R611" i="26"/>
  <c r="Q611" i="26"/>
  <c r="P611" i="26"/>
  <c r="N611" i="26" s="1"/>
  <c r="M611" i="26"/>
  <c r="L611" i="26"/>
  <c r="J611" i="26" s="1"/>
  <c r="I611" i="26"/>
  <c r="H611" i="26"/>
  <c r="F611" i="26"/>
  <c r="E611" i="26"/>
  <c r="Y610" i="26"/>
  <c r="Z610" i="26" s="1"/>
  <c r="AA610" i="26" s="1"/>
  <c r="X610" i="26"/>
  <c r="V610" i="26"/>
  <c r="N610" i="26" s="1"/>
  <c r="T610" i="26"/>
  <c r="R610" i="26" s="1"/>
  <c r="Q610" i="26"/>
  <c r="P610" i="26"/>
  <c r="M610" i="26"/>
  <c r="L610" i="26"/>
  <c r="I610" i="26"/>
  <c r="H610" i="26"/>
  <c r="E610" i="26"/>
  <c r="X609" i="26"/>
  <c r="V609" i="26"/>
  <c r="R609" i="26" s="1"/>
  <c r="T609" i="26"/>
  <c r="Q609" i="26"/>
  <c r="P609" i="26"/>
  <c r="N609" i="26"/>
  <c r="M609" i="26"/>
  <c r="L609" i="26"/>
  <c r="J609" i="26" s="1"/>
  <c r="I609" i="26"/>
  <c r="H609" i="26"/>
  <c r="E609" i="26"/>
  <c r="X608" i="26"/>
  <c r="V608" i="26"/>
  <c r="T608" i="26"/>
  <c r="Q608" i="26"/>
  <c r="P608" i="26"/>
  <c r="M608" i="26"/>
  <c r="L608" i="26"/>
  <c r="I608" i="26"/>
  <c r="H608" i="26"/>
  <c r="E608" i="26"/>
  <c r="Y607" i="26"/>
  <c r="Z607" i="26" s="1"/>
  <c r="AA607" i="26" s="1"/>
  <c r="X607" i="26"/>
  <c r="V607" i="26"/>
  <c r="R607" i="26" s="1"/>
  <c r="T607" i="26"/>
  <c r="Q607" i="26"/>
  <c r="P607" i="26"/>
  <c r="N607" i="26"/>
  <c r="M607" i="26"/>
  <c r="L607" i="26"/>
  <c r="J607" i="26"/>
  <c r="I607" i="26"/>
  <c r="H607" i="26"/>
  <c r="F607" i="26"/>
  <c r="E607" i="26"/>
  <c r="Y606" i="26"/>
  <c r="Z606" i="26" s="1"/>
  <c r="AA606" i="26" s="1"/>
  <c r="X606" i="26"/>
  <c r="T606" i="26"/>
  <c r="R606" i="26"/>
  <c r="Q606" i="26"/>
  <c r="P606" i="26"/>
  <c r="N606" i="26"/>
  <c r="M606" i="26"/>
  <c r="L606" i="26"/>
  <c r="J606" i="26"/>
  <c r="I606" i="26"/>
  <c r="H606" i="26"/>
  <c r="F606" i="26"/>
  <c r="E606" i="26"/>
  <c r="Y605" i="26"/>
  <c r="Z605" i="26" s="1"/>
  <c r="AA605" i="26" s="1"/>
  <c r="X605" i="26"/>
  <c r="T605" i="26"/>
  <c r="R605" i="26"/>
  <c r="Q605" i="26"/>
  <c r="P605" i="26"/>
  <c r="N605" i="26"/>
  <c r="M605" i="26"/>
  <c r="L605" i="26"/>
  <c r="J605" i="26"/>
  <c r="I605" i="26"/>
  <c r="H605" i="26"/>
  <c r="F605" i="26"/>
  <c r="E605" i="26"/>
  <c r="X604" i="26"/>
  <c r="T604" i="26"/>
  <c r="R604" i="26"/>
  <c r="Q604" i="26"/>
  <c r="P604" i="26"/>
  <c r="N604" i="26" s="1"/>
  <c r="M604" i="26"/>
  <c r="L604" i="26"/>
  <c r="I604" i="26"/>
  <c r="H604" i="26"/>
  <c r="E604" i="26"/>
  <c r="V604" i="26" s="1"/>
  <c r="X603" i="26"/>
  <c r="T603" i="26"/>
  <c r="Q603" i="26"/>
  <c r="P603" i="26"/>
  <c r="M603" i="26"/>
  <c r="L603" i="26"/>
  <c r="I603" i="26"/>
  <c r="H603" i="26"/>
  <c r="E603" i="26"/>
  <c r="X602" i="26"/>
  <c r="T602" i="26"/>
  <c r="Q602" i="26"/>
  <c r="P602" i="26"/>
  <c r="M602" i="26"/>
  <c r="L602" i="26"/>
  <c r="I602" i="26"/>
  <c r="H602" i="26"/>
  <c r="E602" i="26"/>
  <c r="V602" i="26" s="1"/>
  <c r="X601" i="26"/>
  <c r="T601" i="26"/>
  <c r="R601" i="26"/>
  <c r="Q601" i="26"/>
  <c r="P601" i="26"/>
  <c r="M601" i="26"/>
  <c r="L601" i="26"/>
  <c r="I601" i="26"/>
  <c r="H601" i="26"/>
  <c r="E601" i="26"/>
  <c r="V601" i="26" s="1"/>
  <c r="T600" i="26"/>
  <c r="Q600" i="26"/>
  <c r="P600" i="26"/>
  <c r="M600" i="26"/>
  <c r="L600" i="26"/>
  <c r="I600" i="26"/>
  <c r="H600" i="26"/>
  <c r="E600" i="26"/>
  <c r="X599" i="26"/>
  <c r="T599" i="26"/>
  <c r="Q599" i="26"/>
  <c r="P599" i="26"/>
  <c r="M599" i="26"/>
  <c r="L599" i="26"/>
  <c r="I599" i="26"/>
  <c r="V599" i="26" s="1"/>
  <c r="Y599" i="26" s="1"/>
  <c r="Z599" i="26" s="1"/>
  <c r="AA599" i="26" s="1"/>
  <c r="H599" i="26"/>
  <c r="E599" i="26"/>
  <c r="X598" i="26"/>
  <c r="V598" i="26"/>
  <c r="T598" i="26"/>
  <c r="R598" i="26"/>
  <c r="Q598" i="26"/>
  <c r="P598" i="26"/>
  <c r="M598" i="26"/>
  <c r="L598" i="26"/>
  <c r="J598" i="26"/>
  <c r="I598" i="26"/>
  <c r="H598" i="26"/>
  <c r="E598" i="26"/>
  <c r="X597" i="26"/>
  <c r="T597" i="26"/>
  <c r="Q597" i="26"/>
  <c r="P597" i="26"/>
  <c r="N597" i="26" s="1"/>
  <c r="M597" i="26"/>
  <c r="L597" i="26"/>
  <c r="I597" i="26"/>
  <c r="H597" i="26"/>
  <c r="E597" i="26"/>
  <c r="V597" i="26" s="1"/>
  <c r="X595" i="26"/>
  <c r="V595" i="26"/>
  <c r="T595" i="26"/>
  <c r="Q595" i="26"/>
  <c r="P595" i="26"/>
  <c r="M595" i="26"/>
  <c r="L595" i="26"/>
  <c r="I595" i="26"/>
  <c r="H595" i="26"/>
  <c r="E595" i="26"/>
  <c r="AA594" i="26"/>
  <c r="Y594" i="26"/>
  <c r="Z594" i="26" s="1"/>
  <c r="X594" i="26"/>
  <c r="V594" i="26"/>
  <c r="F594" i="26" s="1"/>
  <c r="T594" i="26"/>
  <c r="R594" i="26"/>
  <c r="Q594" i="26"/>
  <c r="P594" i="26"/>
  <c r="N594" i="26" s="1"/>
  <c r="M594" i="26"/>
  <c r="L594" i="26"/>
  <c r="J594" i="26" s="1"/>
  <c r="I594" i="26"/>
  <c r="H594" i="26"/>
  <c r="E594" i="26"/>
  <c r="X593" i="26"/>
  <c r="T593" i="26"/>
  <c r="Q593" i="26"/>
  <c r="P593" i="26"/>
  <c r="M593" i="26"/>
  <c r="L593" i="26"/>
  <c r="I593" i="26"/>
  <c r="H593" i="26"/>
  <c r="E593" i="26"/>
  <c r="V593" i="26" s="1"/>
  <c r="X592" i="26"/>
  <c r="T592" i="26"/>
  <c r="Q592" i="26"/>
  <c r="P592" i="26"/>
  <c r="M592" i="26"/>
  <c r="L592" i="26"/>
  <c r="I592" i="26"/>
  <c r="H592" i="26"/>
  <c r="E592" i="26"/>
  <c r="X591" i="26"/>
  <c r="T591" i="26"/>
  <c r="R591" i="26"/>
  <c r="Q591" i="26"/>
  <c r="P591" i="26"/>
  <c r="N591" i="26" s="1"/>
  <c r="M591" i="26"/>
  <c r="L591" i="26"/>
  <c r="I591" i="26"/>
  <c r="H591" i="26"/>
  <c r="E591" i="26"/>
  <c r="V591" i="26" s="1"/>
  <c r="X590" i="26"/>
  <c r="T590" i="26"/>
  <c r="Q590" i="26"/>
  <c r="P590" i="26"/>
  <c r="M590" i="26"/>
  <c r="L590" i="26"/>
  <c r="I590" i="26"/>
  <c r="V590" i="26" s="1"/>
  <c r="H590" i="26"/>
  <c r="E590" i="26"/>
  <c r="X589" i="26"/>
  <c r="T589" i="26"/>
  <c r="R589" i="26"/>
  <c r="Q589" i="26"/>
  <c r="P589" i="26"/>
  <c r="M589" i="26"/>
  <c r="L589" i="26"/>
  <c r="I589" i="26"/>
  <c r="V589" i="26" s="1"/>
  <c r="H589" i="26"/>
  <c r="E589" i="26"/>
  <c r="X588" i="26"/>
  <c r="V588" i="26"/>
  <c r="T588" i="26"/>
  <c r="Q588" i="26"/>
  <c r="P588" i="26"/>
  <c r="M588" i="26"/>
  <c r="L588" i="26"/>
  <c r="I588" i="26"/>
  <c r="H588" i="26"/>
  <c r="E588" i="26"/>
  <c r="X587" i="26"/>
  <c r="T587" i="26"/>
  <c r="Q587" i="26"/>
  <c r="P587" i="26"/>
  <c r="M587" i="26"/>
  <c r="V587" i="26" s="1"/>
  <c r="L587" i="26"/>
  <c r="I587" i="26"/>
  <c r="H587" i="26"/>
  <c r="E587" i="26"/>
  <c r="X586" i="26"/>
  <c r="T586" i="26"/>
  <c r="Q586" i="26"/>
  <c r="P586" i="26"/>
  <c r="M586" i="26"/>
  <c r="L586" i="26"/>
  <c r="I586" i="26"/>
  <c r="H586" i="26"/>
  <c r="E586" i="26"/>
  <c r="Z585" i="26"/>
  <c r="AA585" i="26" s="1"/>
  <c r="Y585" i="26"/>
  <c r="X585" i="26"/>
  <c r="T585" i="26"/>
  <c r="R585" i="26"/>
  <c r="Q585" i="26"/>
  <c r="P585" i="26"/>
  <c r="N585" i="26"/>
  <c r="M585" i="26"/>
  <c r="L585" i="26"/>
  <c r="J585" i="26" s="1"/>
  <c r="I585" i="26"/>
  <c r="H585" i="26"/>
  <c r="F585" i="26" s="1"/>
  <c r="E585" i="26"/>
  <c r="Y584" i="26"/>
  <c r="Z584" i="26" s="1"/>
  <c r="AA584" i="26" s="1"/>
  <c r="X584" i="26"/>
  <c r="T584" i="26"/>
  <c r="R584" i="26"/>
  <c r="Q584" i="26"/>
  <c r="P584" i="26"/>
  <c r="N584" i="26" s="1"/>
  <c r="M584" i="26"/>
  <c r="L584" i="26"/>
  <c r="J584" i="26" s="1"/>
  <c r="I584" i="26"/>
  <c r="H584" i="26"/>
  <c r="F584" i="26" s="1"/>
  <c r="E584" i="26"/>
  <c r="AA583" i="26"/>
  <c r="Z583" i="26"/>
  <c r="Y583" i="26"/>
  <c r="X583" i="26"/>
  <c r="T583" i="26"/>
  <c r="R583" i="26"/>
  <c r="Q583" i="26"/>
  <c r="P583" i="26"/>
  <c r="N583" i="26"/>
  <c r="M583" i="26"/>
  <c r="L583" i="26"/>
  <c r="J583" i="26" s="1"/>
  <c r="I583" i="26"/>
  <c r="H583" i="26"/>
  <c r="F583" i="26" s="1"/>
  <c r="E583" i="26"/>
  <c r="Y582" i="26"/>
  <c r="Z582" i="26" s="1"/>
  <c r="AA582" i="26" s="1"/>
  <c r="X582" i="26"/>
  <c r="T582" i="26"/>
  <c r="R582" i="26"/>
  <c r="Q582" i="26"/>
  <c r="P582" i="26"/>
  <c r="N582" i="26" s="1"/>
  <c r="M582" i="26"/>
  <c r="L582" i="26"/>
  <c r="J582" i="26" s="1"/>
  <c r="I582" i="26"/>
  <c r="H582" i="26"/>
  <c r="F582" i="26" s="1"/>
  <c r="E582" i="26"/>
  <c r="Z581" i="26"/>
  <c r="AA581" i="26" s="1"/>
  <c r="Y581" i="26"/>
  <c r="X581" i="26"/>
  <c r="T581" i="26"/>
  <c r="R581" i="26"/>
  <c r="Q581" i="26"/>
  <c r="P581" i="26"/>
  <c r="N581" i="26"/>
  <c r="M581" i="26"/>
  <c r="L581" i="26"/>
  <c r="J581" i="26" s="1"/>
  <c r="I581" i="26"/>
  <c r="H581" i="26"/>
  <c r="F581" i="26" s="1"/>
  <c r="E581" i="26"/>
  <c r="Y580" i="26"/>
  <c r="Z580" i="26" s="1"/>
  <c r="AA580" i="26" s="1"/>
  <c r="X580" i="26"/>
  <c r="T580" i="26"/>
  <c r="R580" i="26"/>
  <c r="Q580" i="26"/>
  <c r="P580" i="26"/>
  <c r="N580" i="26" s="1"/>
  <c r="M580" i="26"/>
  <c r="L580" i="26"/>
  <c r="J580" i="26" s="1"/>
  <c r="I580" i="26"/>
  <c r="H580" i="26"/>
  <c r="F580" i="26" s="1"/>
  <c r="E580" i="26"/>
  <c r="Z579" i="26"/>
  <c r="AA579" i="26" s="1"/>
  <c r="Y579" i="26"/>
  <c r="X579" i="26"/>
  <c r="T579" i="26"/>
  <c r="R579" i="26"/>
  <c r="Q579" i="26"/>
  <c r="P579" i="26"/>
  <c r="N579" i="26"/>
  <c r="M579" i="26"/>
  <c r="L579" i="26"/>
  <c r="J579" i="26" s="1"/>
  <c r="I579" i="26"/>
  <c r="H579" i="26"/>
  <c r="F579" i="26" s="1"/>
  <c r="E579" i="26"/>
  <c r="Z578" i="26"/>
  <c r="AA578" i="26" s="1"/>
  <c r="Y578" i="26"/>
  <c r="X578" i="26"/>
  <c r="T578" i="26"/>
  <c r="R578" i="26"/>
  <c r="Q578" i="26"/>
  <c r="P578" i="26"/>
  <c r="N578" i="26" s="1"/>
  <c r="M578" i="26"/>
  <c r="L578" i="26"/>
  <c r="J578" i="26" s="1"/>
  <c r="I578" i="26"/>
  <c r="H578" i="26"/>
  <c r="F578" i="26" s="1"/>
  <c r="E578" i="26"/>
  <c r="U577" i="26"/>
  <c r="T577" i="26"/>
  <c r="P577" i="26"/>
  <c r="L577" i="26"/>
  <c r="H577" i="26"/>
  <c r="E577" i="26"/>
  <c r="AA576" i="26"/>
  <c r="Y576" i="26"/>
  <c r="Z576" i="26" s="1"/>
  <c r="X576" i="26"/>
  <c r="T576" i="26"/>
  <c r="R576" i="26"/>
  <c r="Q576" i="26"/>
  <c r="P576" i="26"/>
  <c r="N576" i="26" s="1"/>
  <c r="M576" i="26"/>
  <c r="L576" i="26"/>
  <c r="J576" i="26"/>
  <c r="I576" i="26"/>
  <c r="H576" i="26"/>
  <c r="F576" i="26"/>
  <c r="E576" i="26"/>
  <c r="AA575" i="26"/>
  <c r="Y575" i="26"/>
  <c r="Z575" i="26" s="1"/>
  <c r="X575" i="26"/>
  <c r="T575" i="26"/>
  <c r="R575" i="26"/>
  <c r="Q575" i="26"/>
  <c r="P575" i="26"/>
  <c r="N575" i="26"/>
  <c r="M575" i="26"/>
  <c r="L575" i="26"/>
  <c r="J575" i="26"/>
  <c r="I575" i="26"/>
  <c r="H575" i="26"/>
  <c r="F575" i="26" s="1"/>
  <c r="E575" i="26"/>
  <c r="Y574" i="26"/>
  <c r="Z574" i="26" s="1"/>
  <c r="AA574" i="26" s="1"/>
  <c r="X574" i="26"/>
  <c r="T574" i="26"/>
  <c r="R574" i="26"/>
  <c r="Q574" i="26"/>
  <c r="P574" i="26"/>
  <c r="N574" i="26"/>
  <c r="M574" i="26"/>
  <c r="L574" i="26"/>
  <c r="J574" i="26"/>
  <c r="I574" i="26"/>
  <c r="H574" i="26"/>
  <c r="F574" i="26"/>
  <c r="E574" i="26"/>
  <c r="Y573" i="26"/>
  <c r="Z573" i="26" s="1"/>
  <c r="AA573" i="26" s="1"/>
  <c r="X573" i="26"/>
  <c r="T573" i="26"/>
  <c r="R573" i="26"/>
  <c r="Q573" i="26"/>
  <c r="P573" i="26"/>
  <c r="N573" i="26" s="1"/>
  <c r="M573" i="26"/>
  <c r="L573" i="26"/>
  <c r="J573" i="26"/>
  <c r="I573" i="26"/>
  <c r="H573" i="26"/>
  <c r="F573" i="26"/>
  <c r="E573" i="26"/>
  <c r="U572" i="26"/>
  <c r="M572" i="26" s="1"/>
  <c r="T572" i="26"/>
  <c r="P572" i="26"/>
  <c r="L572" i="26"/>
  <c r="H572" i="26"/>
  <c r="X571" i="26"/>
  <c r="U571" i="26"/>
  <c r="Q571" i="26" s="1"/>
  <c r="T571" i="26"/>
  <c r="P571" i="26"/>
  <c r="M571" i="26"/>
  <c r="V571" i="26" s="1"/>
  <c r="L571" i="26"/>
  <c r="I571" i="26"/>
  <c r="H571" i="26"/>
  <c r="E571" i="26"/>
  <c r="X570" i="26"/>
  <c r="U570" i="26"/>
  <c r="Q570" i="26" s="1"/>
  <c r="T570" i="26"/>
  <c r="P570" i="26"/>
  <c r="M570" i="26"/>
  <c r="V570" i="26" s="1"/>
  <c r="L570" i="26"/>
  <c r="I570" i="26"/>
  <c r="H570" i="26"/>
  <c r="E570" i="26"/>
  <c r="U569" i="26"/>
  <c r="T569" i="26"/>
  <c r="P569" i="26"/>
  <c r="L569" i="26"/>
  <c r="H569" i="26"/>
  <c r="U568" i="26"/>
  <c r="T568" i="26"/>
  <c r="Q568" i="26"/>
  <c r="P568" i="26"/>
  <c r="L568" i="26"/>
  <c r="I568" i="26"/>
  <c r="H568" i="26"/>
  <c r="X567" i="26"/>
  <c r="U567" i="26"/>
  <c r="Q567" i="26" s="1"/>
  <c r="T567" i="26"/>
  <c r="P567" i="26"/>
  <c r="M567" i="26"/>
  <c r="L567" i="26"/>
  <c r="I567" i="26"/>
  <c r="V567" i="26" s="1"/>
  <c r="H567" i="26"/>
  <c r="E567" i="26"/>
  <c r="Y566" i="26"/>
  <c r="Z566" i="26" s="1"/>
  <c r="AA566" i="26" s="1"/>
  <c r="X566" i="26"/>
  <c r="T566" i="26"/>
  <c r="R566" i="26" s="1"/>
  <c r="Q566" i="26"/>
  <c r="P566" i="26"/>
  <c r="N566" i="26" s="1"/>
  <c r="M566" i="26"/>
  <c r="L566" i="26"/>
  <c r="J566" i="26"/>
  <c r="I566" i="26"/>
  <c r="H566" i="26"/>
  <c r="F566" i="26"/>
  <c r="E566" i="26"/>
  <c r="Z565" i="26"/>
  <c r="AA565" i="26" s="1"/>
  <c r="Y565" i="26"/>
  <c r="X565" i="26"/>
  <c r="T565" i="26"/>
  <c r="R565" i="26" s="1"/>
  <c r="Q565" i="26"/>
  <c r="P565" i="26"/>
  <c r="N565" i="26" s="1"/>
  <c r="M565" i="26"/>
  <c r="L565" i="26"/>
  <c r="J565" i="26" s="1"/>
  <c r="I565" i="26"/>
  <c r="H565" i="26"/>
  <c r="F565" i="26"/>
  <c r="E565" i="26"/>
  <c r="X564" i="26"/>
  <c r="V564" i="26"/>
  <c r="U564" i="26"/>
  <c r="Q564" i="26" s="1"/>
  <c r="T564" i="26"/>
  <c r="P564" i="26"/>
  <c r="M564" i="26"/>
  <c r="L564" i="26"/>
  <c r="I564" i="26"/>
  <c r="H564" i="26"/>
  <c r="E564" i="26"/>
  <c r="U563" i="26"/>
  <c r="T563" i="26"/>
  <c r="P563" i="26"/>
  <c r="L563" i="26"/>
  <c r="H563" i="26"/>
  <c r="U562" i="26"/>
  <c r="E562" i="26" s="1"/>
  <c r="T562" i="26"/>
  <c r="Q562" i="26"/>
  <c r="P562" i="26"/>
  <c r="M562" i="26"/>
  <c r="L562" i="26"/>
  <c r="I562" i="26"/>
  <c r="H562" i="26"/>
  <c r="X561" i="26"/>
  <c r="U561" i="26"/>
  <c r="Q561" i="26" s="1"/>
  <c r="T561" i="26"/>
  <c r="P561" i="26"/>
  <c r="M561" i="26"/>
  <c r="L561" i="26"/>
  <c r="I561" i="26"/>
  <c r="H561" i="26"/>
  <c r="E561" i="26"/>
  <c r="X560" i="26"/>
  <c r="U560" i="26"/>
  <c r="Q560" i="26" s="1"/>
  <c r="T560" i="26"/>
  <c r="P560" i="26"/>
  <c r="M560" i="26"/>
  <c r="L560" i="26"/>
  <c r="I560" i="26"/>
  <c r="H560" i="26"/>
  <c r="E560" i="26"/>
  <c r="U559" i="26"/>
  <c r="E559" i="26" s="1"/>
  <c r="T559" i="26"/>
  <c r="Q559" i="26"/>
  <c r="P559" i="26"/>
  <c r="L559" i="26"/>
  <c r="H559" i="26"/>
  <c r="U558" i="26"/>
  <c r="T558" i="26"/>
  <c r="P558" i="26"/>
  <c r="L558" i="26"/>
  <c r="H558" i="26"/>
  <c r="U557" i="26"/>
  <c r="T557" i="26"/>
  <c r="P557" i="26"/>
  <c r="L557" i="26"/>
  <c r="I557" i="26"/>
  <c r="H557" i="26"/>
  <c r="Y556" i="26"/>
  <c r="Z556" i="26" s="1"/>
  <c r="AA556" i="26" s="1"/>
  <c r="X556" i="26"/>
  <c r="T556" i="26"/>
  <c r="R556" i="26" s="1"/>
  <c r="S556" i="26"/>
  <c r="Q556" i="26"/>
  <c r="O556" i="26"/>
  <c r="P556" i="26" s="1"/>
  <c r="N556" i="26"/>
  <c r="M556" i="26"/>
  <c r="L556" i="26"/>
  <c r="J556" i="26" s="1"/>
  <c r="K556" i="26"/>
  <c r="I556" i="26"/>
  <c r="G556" i="26"/>
  <c r="H556" i="26" s="1"/>
  <c r="F556" i="26"/>
  <c r="AA555" i="26"/>
  <c r="Y555" i="26"/>
  <c r="Z555" i="26" s="1"/>
  <c r="X555" i="26"/>
  <c r="S555" i="26"/>
  <c r="T555" i="26" s="1"/>
  <c r="R555" i="26" s="1"/>
  <c r="P555" i="26"/>
  <c r="N555" i="26" s="1"/>
  <c r="O555" i="26"/>
  <c r="M555" i="26"/>
  <c r="K555" i="26"/>
  <c r="H555" i="26"/>
  <c r="F555" i="26" s="1"/>
  <c r="G555" i="26"/>
  <c r="E555" i="26"/>
  <c r="X554" i="26"/>
  <c r="U554" i="26"/>
  <c r="Q554" i="26" s="1"/>
  <c r="T554" i="26"/>
  <c r="P554" i="26"/>
  <c r="M554" i="26"/>
  <c r="V554" i="26" s="1"/>
  <c r="L554" i="26"/>
  <c r="I554" i="26"/>
  <c r="H554" i="26"/>
  <c r="E554" i="26"/>
  <c r="U553" i="26"/>
  <c r="T553" i="26"/>
  <c r="P553" i="26"/>
  <c r="L553" i="26"/>
  <c r="H553" i="26"/>
  <c r="E553" i="26"/>
  <c r="U552" i="26"/>
  <c r="E552" i="26" s="1"/>
  <c r="T552" i="26"/>
  <c r="Q552" i="26"/>
  <c r="P552" i="26"/>
  <c r="M552" i="26"/>
  <c r="L552" i="26"/>
  <c r="I552" i="26"/>
  <c r="H552" i="26"/>
  <c r="X551" i="26"/>
  <c r="V551" i="26"/>
  <c r="T551" i="26"/>
  <c r="R551" i="26" s="1"/>
  <c r="Q551" i="26"/>
  <c r="P551" i="26"/>
  <c r="M551" i="26"/>
  <c r="L551" i="26"/>
  <c r="I551" i="26"/>
  <c r="H551" i="26"/>
  <c r="E551" i="26"/>
  <c r="U550" i="26"/>
  <c r="T550" i="26"/>
  <c r="P550" i="26"/>
  <c r="L550" i="26"/>
  <c r="H550" i="26"/>
  <c r="X549" i="26"/>
  <c r="U549" i="26"/>
  <c r="T549" i="26"/>
  <c r="Q549" i="26"/>
  <c r="P549" i="26"/>
  <c r="M549" i="26"/>
  <c r="L549" i="26"/>
  <c r="I549" i="26"/>
  <c r="H549" i="26"/>
  <c r="E549" i="26"/>
  <c r="X548" i="26"/>
  <c r="V548" i="26"/>
  <c r="U548" i="26"/>
  <c r="T548" i="26"/>
  <c r="Q548" i="26"/>
  <c r="P548" i="26"/>
  <c r="M548" i="26"/>
  <c r="L548" i="26"/>
  <c r="I548" i="26"/>
  <c r="H548" i="26"/>
  <c r="E548" i="26"/>
  <c r="U547" i="26"/>
  <c r="T547" i="26"/>
  <c r="P547" i="26"/>
  <c r="L547" i="26"/>
  <c r="I547" i="26"/>
  <c r="H547" i="26"/>
  <c r="U546" i="26"/>
  <c r="T546" i="26"/>
  <c r="P546" i="26"/>
  <c r="L546" i="26"/>
  <c r="H546" i="26"/>
  <c r="X545" i="26"/>
  <c r="T545" i="26"/>
  <c r="Q545" i="26"/>
  <c r="P545" i="26"/>
  <c r="N545" i="26" s="1"/>
  <c r="M545" i="26"/>
  <c r="L545" i="26"/>
  <c r="I545" i="26"/>
  <c r="H545" i="26"/>
  <c r="E545" i="26"/>
  <c r="V545" i="26" s="1"/>
  <c r="X543" i="26"/>
  <c r="T543" i="26"/>
  <c r="Q543" i="26"/>
  <c r="P543" i="26"/>
  <c r="M543" i="26"/>
  <c r="L543" i="26"/>
  <c r="I543" i="26"/>
  <c r="H543" i="26"/>
  <c r="E543" i="26"/>
  <c r="V543" i="26" s="1"/>
  <c r="X542" i="26"/>
  <c r="V542" i="26"/>
  <c r="T542" i="26"/>
  <c r="Q542" i="26"/>
  <c r="P542" i="26"/>
  <c r="M542" i="26"/>
  <c r="L542" i="26"/>
  <c r="I542" i="26"/>
  <c r="H542" i="26"/>
  <c r="E542" i="26"/>
  <c r="X541" i="26"/>
  <c r="T541" i="26"/>
  <c r="R541" i="26"/>
  <c r="Q541" i="26"/>
  <c r="P541" i="26"/>
  <c r="M541" i="26"/>
  <c r="L541" i="26"/>
  <c r="I541" i="26"/>
  <c r="H541" i="26"/>
  <c r="E541" i="26"/>
  <c r="V541" i="26" s="1"/>
  <c r="X540" i="26"/>
  <c r="T540" i="26"/>
  <c r="Q540" i="26"/>
  <c r="P540" i="26"/>
  <c r="M540" i="26"/>
  <c r="L540" i="26"/>
  <c r="I540" i="26"/>
  <c r="H540" i="26"/>
  <c r="E540" i="26"/>
  <c r="X539" i="26"/>
  <c r="V539" i="26"/>
  <c r="R539" i="26" s="1"/>
  <c r="T539" i="26"/>
  <c r="Q539" i="26"/>
  <c r="P539" i="26"/>
  <c r="N539" i="26"/>
  <c r="M539" i="26"/>
  <c r="L539" i="26"/>
  <c r="J539" i="26" s="1"/>
  <c r="I539" i="26"/>
  <c r="H539" i="26"/>
  <c r="E539" i="26"/>
  <c r="X538" i="26"/>
  <c r="V538" i="26"/>
  <c r="T538" i="26"/>
  <c r="Q538" i="26"/>
  <c r="P538" i="26"/>
  <c r="M538" i="26"/>
  <c r="L538" i="26"/>
  <c r="I538" i="26"/>
  <c r="H538" i="26"/>
  <c r="E538" i="26"/>
  <c r="X537" i="26"/>
  <c r="T537" i="26"/>
  <c r="Q537" i="26"/>
  <c r="V537" i="26" s="1"/>
  <c r="P537" i="26"/>
  <c r="M537" i="26"/>
  <c r="L537" i="26"/>
  <c r="J537" i="26"/>
  <c r="I537" i="26"/>
  <c r="H537" i="26"/>
  <c r="E537" i="26"/>
  <c r="X536" i="26"/>
  <c r="T536" i="26"/>
  <c r="R536" i="26"/>
  <c r="Q536" i="26"/>
  <c r="P536" i="26"/>
  <c r="N536" i="26" s="1"/>
  <c r="M536" i="26"/>
  <c r="L536" i="26"/>
  <c r="I536" i="26"/>
  <c r="H536" i="26"/>
  <c r="E536" i="26"/>
  <c r="V536" i="26" s="1"/>
  <c r="X535" i="26"/>
  <c r="T535" i="26"/>
  <c r="Q535" i="26"/>
  <c r="P535" i="26"/>
  <c r="M535" i="26"/>
  <c r="L535" i="26"/>
  <c r="I535" i="26"/>
  <c r="H535" i="26"/>
  <c r="E535" i="26"/>
  <c r="X534" i="26"/>
  <c r="V534" i="26"/>
  <c r="T534" i="26"/>
  <c r="Q534" i="26"/>
  <c r="P534" i="26"/>
  <c r="N534" i="26" s="1"/>
  <c r="M534" i="26"/>
  <c r="L534" i="26"/>
  <c r="J534" i="26"/>
  <c r="I534" i="26"/>
  <c r="H534" i="26"/>
  <c r="E534" i="26"/>
  <c r="X533" i="26"/>
  <c r="T533" i="26"/>
  <c r="R533" i="26"/>
  <c r="Q533" i="26"/>
  <c r="P533" i="26"/>
  <c r="M533" i="26"/>
  <c r="L533" i="26"/>
  <c r="I533" i="26"/>
  <c r="H533" i="26"/>
  <c r="E533" i="26"/>
  <c r="V533" i="26" s="1"/>
  <c r="X532" i="26"/>
  <c r="T532" i="26"/>
  <c r="Q532" i="26"/>
  <c r="P532" i="26"/>
  <c r="M532" i="26"/>
  <c r="L532" i="26"/>
  <c r="I532" i="26"/>
  <c r="V532" i="26" s="1"/>
  <c r="H532" i="26"/>
  <c r="E532" i="26"/>
  <c r="X531" i="26"/>
  <c r="V531" i="26"/>
  <c r="R531" i="26" s="1"/>
  <c r="T531" i="26"/>
  <c r="Q531" i="26"/>
  <c r="P531" i="26"/>
  <c r="N531" i="26"/>
  <c r="M531" i="26"/>
  <c r="L531" i="26"/>
  <c r="J531" i="26" s="1"/>
  <c r="I531" i="26"/>
  <c r="H531" i="26"/>
  <c r="E531" i="26"/>
  <c r="X530" i="26"/>
  <c r="T530" i="26"/>
  <c r="Q530" i="26"/>
  <c r="P530" i="26"/>
  <c r="M530" i="26"/>
  <c r="L530" i="26"/>
  <c r="I530" i="26"/>
  <c r="V530" i="26" s="1"/>
  <c r="H530" i="26"/>
  <c r="E530" i="26"/>
  <c r="X529" i="26"/>
  <c r="T529" i="26"/>
  <c r="Q529" i="26"/>
  <c r="V529" i="26" s="1"/>
  <c r="P529" i="26"/>
  <c r="M529" i="26"/>
  <c r="L529" i="26"/>
  <c r="J529" i="26"/>
  <c r="I529" i="26"/>
  <c r="H529" i="26"/>
  <c r="F529" i="26"/>
  <c r="E529" i="26"/>
  <c r="X528" i="26"/>
  <c r="T528" i="26"/>
  <c r="R528" i="26"/>
  <c r="Q528" i="26"/>
  <c r="P528" i="26"/>
  <c r="M528" i="26"/>
  <c r="L528" i="26"/>
  <c r="I528" i="26"/>
  <c r="H528" i="26"/>
  <c r="E528" i="26"/>
  <c r="V528" i="26" s="1"/>
  <c r="X527" i="26"/>
  <c r="T527" i="26"/>
  <c r="Q527" i="26"/>
  <c r="P527" i="26"/>
  <c r="M527" i="26"/>
  <c r="L527" i="26"/>
  <c r="I527" i="26"/>
  <c r="H527" i="26"/>
  <c r="E527" i="26"/>
  <c r="X526" i="26"/>
  <c r="T526" i="26"/>
  <c r="Q526" i="26"/>
  <c r="P526" i="26"/>
  <c r="N526" i="26" s="1"/>
  <c r="M526" i="26"/>
  <c r="L526" i="26"/>
  <c r="J526" i="26"/>
  <c r="I526" i="26"/>
  <c r="H526" i="26"/>
  <c r="E526" i="26"/>
  <c r="V526" i="26" s="1"/>
  <c r="X525" i="26"/>
  <c r="T525" i="26"/>
  <c r="R525" i="26" s="1"/>
  <c r="Q525" i="26"/>
  <c r="P525" i="26"/>
  <c r="M525" i="26"/>
  <c r="L525" i="26"/>
  <c r="I525" i="26"/>
  <c r="H525" i="26"/>
  <c r="F525" i="26"/>
  <c r="E525" i="26"/>
  <c r="V525" i="26" s="1"/>
  <c r="X524" i="26"/>
  <c r="T524" i="26"/>
  <c r="Q524" i="26"/>
  <c r="P524" i="26"/>
  <c r="M524" i="26"/>
  <c r="L524" i="26"/>
  <c r="I524" i="26"/>
  <c r="V524" i="26" s="1"/>
  <c r="H524" i="26"/>
  <c r="E524" i="26"/>
  <c r="X523" i="26"/>
  <c r="V523" i="26"/>
  <c r="R523" i="26" s="1"/>
  <c r="T523" i="26"/>
  <c r="Q523" i="26"/>
  <c r="P523" i="26"/>
  <c r="N523" i="26"/>
  <c r="M523" i="26"/>
  <c r="L523" i="26"/>
  <c r="J523" i="26" s="1"/>
  <c r="I523" i="26"/>
  <c r="H523" i="26"/>
  <c r="E523" i="26"/>
  <c r="X522" i="26"/>
  <c r="T522" i="26"/>
  <c r="Q522" i="26"/>
  <c r="P522" i="26"/>
  <c r="M522" i="26"/>
  <c r="L522" i="26"/>
  <c r="J522" i="26"/>
  <c r="I522" i="26"/>
  <c r="V522" i="26" s="1"/>
  <c r="F522" i="26" s="1"/>
  <c r="H522" i="26"/>
  <c r="E522" i="26"/>
  <c r="X521" i="26"/>
  <c r="T521" i="26"/>
  <c r="Q521" i="26"/>
  <c r="V521" i="26" s="1"/>
  <c r="J521" i="26" s="1"/>
  <c r="P521" i="26"/>
  <c r="M521" i="26"/>
  <c r="L521" i="26"/>
  <c r="I521" i="26"/>
  <c r="H521" i="26"/>
  <c r="F521" i="26"/>
  <c r="E521" i="26"/>
  <c r="X519" i="26"/>
  <c r="T519" i="26"/>
  <c r="Q519" i="26"/>
  <c r="P519" i="26"/>
  <c r="M519" i="26"/>
  <c r="L519" i="26"/>
  <c r="I519" i="26"/>
  <c r="H519" i="26"/>
  <c r="E519" i="26"/>
  <c r="V519" i="26" s="1"/>
  <c r="X518" i="26"/>
  <c r="T518" i="26"/>
  <c r="Q518" i="26"/>
  <c r="P518" i="26"/>
  <c r="M518" i="26"/>
  <c r="L518" i="26"/>
  <c r="I518" i="26"/>
  <c r="H518" i="26"/>
  <c r="E518" i="26"/>
  <c r="V518" i="26" s="1"/>
  <c r="X517" i="26"/>
  <c r="T517" i="26"/>
  <c r="Q517" i="26"/>
  <c r="P517" i="26"/>
  <c r="M517" i="26"/>
  <c r="L517" i="26"/>
  <c r="I517" i="26"/>
  <c r="H517" i="26"/>
  <c r="E517" i="26"/>
  <c r="V517" i="26" s="1"/>
  <c r="X516" i="26"/>
  <c r="T516" i="26"/>
  <c r="Q516" i="26"/>
  <c r="P516" i="26"/>
  <c r="M516" i="26"/>
  <c r="L516" i="26"/>
  <c r="I516" i="26"/>
  <c r="H516" i="26"/>
  <c r="E516" i="26"/>
  <c r="V516" i="26" s="1"/>
  <c r="X515" i="26"/>
  <c r="T515" i="26"/>
  <c r="Q515" i="26"/>
  <c r="P515" i="26"/>
  <c r="M515" i="26"/>
  <c r="L515" i="26"/>
  <c r="I515" i="26"/>
  <c r="H515" i="26"/>
  <c r="E515" i="26"/>
  <c r="X514" i="26"/>
  <c r="V514" i="26"/>
  <c r="R514" i="26" s="1"/>
  <c r="T514" i="26"/>
  <c r="Q514" i="26"/>
  <c r="P514" i="26"/>
  <c r="N514" i="26"/>
  <c r="M514" i="26"/>
  <c r="L514" i="26"/>
  <c r="J514" i="26" s="1"/>
  <c r="I514" i="26"/>
  <c r="H514" i="26"/>
  <c r="E514" i="26"/>
  <c r="X513" i="26"/>
  <c r="V513" i="26"/>
  <c r="F513" i="26" s="1"/>
  <c r="T513" i="26"/>
  <c r="Q513" i="26"/>
  <c r="P513" i="26"/>
  <c r="M513" i="26"/>
  <c r="L513" i="26"/>
  <c r="I513" i="26"/>
  <c r="H513" i="26"/>
  <c r="E513" i="26"/>
  <c r="X512" i="26"/>
  <c r="T512" i="26"/>
  <c r="Q512" i="26"/>
  <c r="V512" i="26" s="1"/>
  <c r="P512" i="26"/>
  <c r="M512" i="26"/>
  <c r="L512" i="26"/>
  <c r="J512" i="26"/>
  <c r="I512" i="26"/>
  <c r="H512" i="26"/>
  <c r="E512" i="26"/>
  <c r="Y511" i="26"/>
  <c r="Z511" i="26" s="1"/>
  <c r="AA511" i="26" s="1"/>
  <c r="X511" i="26"/>
  <c r="V511" i="26"/>
  <c r="T511" i="26"/>
  <c r="R511" i="26"/>
  <c r="Q511" i="26"/>
  <c r="P511" i="26"/>
  <c r="N511" i="26" s="1"/>
  <c r="M511" i="26"/>
  <c r="L511" i="26"/>
  <c r="J511" i="26" s="1"/>
  <c r="I511" i="26"/>
  <c r="H511" i="26"/>
  <c r="E511" i="26"/>
  <c r="X510" i="26"/>
  <c r="T510" i="26"/>
  <c r="Q510" i="26"/>
  <c r="P510" i="26"/>
  <c r="M510" i="26"/>
  <c r="L510" i="26"/>
  <c r="I510" i="26"/>
  <c r="H510" i="26"/>
  <c r="E510" i="26"/>
  <c r="Z509" i="26"/>
  <c r="AA509" i="26" s="1"/>
  <c r="X509" i="26"/>
  <c r="V509" i="26"/>
  <c r="Y509" i="26" s="1"/>
  <c r="T509" i="26"/>
  <c r="Q509" i="26"/>
  <c r="P509" i="26"/>
  <c r="N509" i="26"/>
  <c r="M509" i="26"/>
  <c r="L509" i="26"/>
  <c r="J509" i="26"/>
  <c r="I509" i="26"/>
  <c r="H509" i="26"/>
  <c r="F509" i="26"/>
  <c r="E509" i="26"/>
  <c r="X508" i="26"/>
  <c r="T508" i="26"/>
  <c r="Q508" i="26"/>
  <c r="P508" i="26"/>
  <c r="M508" i="26"/>
  <c r="L508" i="26"/>
  <c r="I508" i="26"/>
  <c r="H508" i="26"/>
  <c r="E508" i="26"/>
  <c r="X507" i="26"/>
  <c r="V507" i="26"/>
  <c r="T507" i="26"/>
  <c r="Q507" i="26"/>
  <c r="P507" i="26"/>
  <c r="M507" i="26"/>
  <c r="L507" i="26"/>
  <c r="I507" i="26"/>
  <c r="H507" i="26"/>
  <c r="F507" i="26"/>
  <c r="E507" i="26"/>
  <c r="X506" i="26"/>
  <c r="T506" i="26"/>
  <c r="R506" i="26"/>
  <c r="Q506" i="26"/>
  <c r="P506" i="26"/>
  <c r="N506" i="26"/>
  <c r="M506" i="26"/>
  <c r="L506" i="26"/>
  <c r="I506" i="26"/>
  <c r="V506" i="26" s="1"/>
  <c r="H506" i="26"/>
  <c r="E506" i="26"/>
  <c r="X505" i="26"/>
  <c r="T505" i="26"/>
  <c r="Q505" i="26"/>
  <c r="P505" i="26"/>
  <c r="M505" i="26"/>
  <c r="L505" i="26"/>
  <c r="I505" i="26"/>
  <c r="V505" i="26" s="1"/>
  <c r="H505" i="26"/>
  <c r="E505" i="26"/>
  <c r="X504" i="26"/>
  <c r="V504" i="26"/>
  <c r="T504" i="26"/>
  <c r="Q504" i="26"/>
  <c r="P504" i="26"/>
  <c r="N504" i="26"/>
  <c r="M504" i="26"/>
  <c r="L504" i="26"/>
  <c r="I504" i="26"/>
  <c r="H504" i="26"/>
  <c r="E504" i="26"/>
  <c r="X503" i="26"/>
  <c r="T503" i="26"/>
  <c r="Q503" i="26"/>
  <c r="P503" i="26"/>
  <c r="M503" i="26"/>
  <c r="L503" i="26"/>
  <c r="I503" i="26"/>
  <c r="H503" i="26"/>
  <c r="E503" i="26"/>
  <c r="X502" i="26"/>
  <c r="V502" i="26"/>
  <c r="T502" i="26"/>
  <c r="Q502" i="26"/>
  <c r="P502" i="26"/>
  <c r="M502" i="26"/>
  <c r="L502" i="26"/>
  <c r="I502" i="26"/>
  <c r="H502" i="26"/>
  <c r="F502" i="26"/>
  <c r="E502" i="26"/>
  <c r="Y501" i="26"/>
  <c r="Z501" i="26" s="1"/>
  <c r="AA501" i="26" s="1"/>
  <c r="X501" i="26"/>
  <c r="V501" i="26"/>
  <c r="T501" i="26"/>
  <c r="Q501" i="26"/>
  <c r="P501" i="26"/>
  <c r="M501" i="26"/>
  <c r="L501" i="26"/>
  <c r="J501" i="26"/>
  <c r="I501" i="26"/>
  <c r="H501" i="26"/>
  <c r="E501" i="26"/>
  <c r="X500" i="26"/>
  <c r="T500" i="26"/>
  <c r="Q500" i="26"/>
  <c r="P500" i="26"/>
  <c r="M500" i="26"/>
  <c r="L500" i="26"/>
  <c r="I500" i="26"/>
  <c r="H500" i="26"/>
  <c r="E500" i="26"/>
  <c r="Y499" i="26"/>
  <c r="Z499" i="26" s="1"/>
  <c r="AA499" i="26" s="1"/>
  <c r="X499" i="26"/>
  <c r="T499" i="26"/>
  <c r="Q499" i="26"/>
  <c r="P499" i="26"/>
  <c r="M499" i="26"/>
  <c r="L499" i="26"/>
  <c r="I499" i="26"/>
  <c r="V499" i="26" s="1"/>
  <c r="H499" i="26"/>
  <c r="E499" i="26"/>
  <c r="X498" i="26"/>
  <c r="T498" i="26"/>
  <c r="Q498" i="26"/>
  <c r="P498" i="26"/>
  <c r="M498" i="26"/>
  <c r="L498" i="26"/>
  <c r="I498" i="26"/>
  <c r="V498" i="26" s="1"/>
  <c r="H498" i="26"/>
  <c r="E498" i="26"/>
  <c r="X497" i="26"/>
  <c r="V497" i="26"/>
  <c r="T497" i="26"/>
  <c r="Q497" i="26"/>
  <c r="P497" i="26"/>
  <c r="M497" i="26"/>
  <c r="L497" i="26"/>
  <c r="I497" i="26"/>
  <c r="H497" i="26"/>
  <c r="F497" i="26"/>
  <c r="E497" i="26"/>
  <c r="X496" i="26"/>
  <c r="T496" i="26"/>
  <c r="Q496" i="26"/>
  <c r="P496" i="26"/>
  <c r="M496" i="26"/>
  <c r="L496" i="26"/>
  <c r="I496" i="26"/>
  <c r="H496" i="26"/>
  <c r="E496" i="26"/>
  <c r="X495" i="26"/>
  <c r="V495" i="26"/>
  <c r="T495" i="26"/>
  <c r="Q495" i="26"/>
  <c r="P495" i="26"/>
  <c r="M495" i="26"/>
  <c r="L495" i="26"/>
  <c r="I495" i="26"/>
  <c r="H495" i="26"/>
  <c r="E495" i="26"/>
  <c r="X494" i="26"/>
  <c r="T494" i="26"/>
  <c r="Q494" i="26"/>
  <c r="P494" i="26"/>
  <c r="M494" i="26"/>
  <c r="L494" i="26"/>
  <c r="I494" i="26"/>
  <c r="V494" i="26" s="1"/>
  <c r="H494" i="26"/>
  <c r="E494" i="26"/>
  <c r="T493" i="26"/>
  <c r="Q493" i="26"/>
  <c r="P493" i="26"/>
  <c r="M493" i="26"/>
  <c r="L493" i="26"/>
  <c r="I493" i="26"/>
  <c r="H493" i="26"/>
  <c r="E493" i="26"/>
  <c r="V493" i="26" s="1"/>
  <c r="U492" i="26"/>
  <c r="I492" i="26" s="1"/>
  <c r="T492" i="26"/>
  <c r="Q492" i="26"/>
  <c r="P492" i="26"/>
  <c r="M492" i="26"/>
  <c r="L492" i="26"/>
  <c r="H492" i="26"/>
  <c r="F492" i="26"/>
  <c r="E492" i="26"/>
  <c r="V492" i="26" s="1"/>
  <c r="U491" i="26"/>
  <c r="T491" i="26"/>
  <c r="Q491" i="26"/>
  <c r="P491" i="26"/>
  <c r="M491" i="26"/>
  <c r="L491" i="26"/>
  <c r="I491" i="26"/>
  <c r="H491" i="26"/>
  <c r="E491" i="26"/>
  <c r="X490" i="26"/>
  <c r="T490" i="26"/>
  <c r="Q490" i="26"/>
  <c r="P490" i="26"/>
  <c r="M490" i="26"/>
  <c r="L490" i="26"/>
  <c r="I490" i="26"/>
  <c r="H490" i="26"/>
  <c r="E490" i="26"/>
  <c r="V490" i="26" s="1"/>
  <c r="X489" i="26"/>
  <c r="T489" i="26"/>
  <c r="Q489" i="26"/>
  <c r="P489" i="26"/>
  <c r="M489" i="26"/>
  <c r="L489" i="26"/>
  <c r="I489" i="26"/>
  <c r="H489" i="26"/>
  <c r="E489" i="26"/>
  <c r="X488" i="26"/>
  <c r="T488" i="26"/>
  <c r="R488" i="26"/>
  <c r="Q488" i="26"/>
  <c r="P488" i="26"/>
  <c r="M488" i="26"/>
  <c r="L488" i="26"/>
  <c r="J488" i="26"/>
  <c r="I488" i="26"/>
  <c r="H488" i="26"/>
  <c r="F488" i="26"/>
  <c r="E488" i="26"/>
  <c r="V488" i="26" s="1"/>
  <c r="Y488" i="26" s="1"/>
  <c r="Z488" i="26" s="1"/>
  <c r="AA488" i="26" s="1"/>
  <c r="X487" i="26"/>
  <c r="V487" i="26"/>
  <c r="T487" i="26"/>
  <c r="Q487" i="26"/>
  <c r="P487" i="26"/>
  <c r="M487" i="26"/>
  <c r="L487" i="26"/>
  <c r="I487" i="26"/>
  <c r="H487" i="26"/>
  <c r="E487" i="26"/>
  <c r="X486" i="26"/>
  <c r="T486" i="26"/>
  <c r="R486" i="26" s="1"/>
  <c r="Q486" i="26"/>
  <c r="P486" i="26"/>
  <c r="N486" i="26" s="1"/>
  <c r="M486" i="26"/>
  <c r="L486" i="26"/>
  <c r="I486" i="26"/>
  <c r="H486" i="26"/>
  <c r="E486" i="26"/>
  <c r="V486" i="26" s="1"/>
  <c r="X485" i="26"/>
  <c r="T485" i="26"/>
  <c r="Q485" i="26"/>
  <c r="P485" i="26"/>
  <c r="M485" i="26"/>
  <c r="L485" i="26"/>
  <c r="I485" i="26"/>
  <c r="H485" i="26"/>
  <c r="E485" i="26"/>
  <c r="V485" i="26" s="1"/>
  <c r="Y485" i="26" s="1"/>
  <c r="Z485" i="26" s="1"/>
  <c r="AA485" i="26" s="1"/>
  <c r="X484" i="26"/>
  <c r="T484" i="26"/>
  <c r="Q484" i="26"/>
  <c r="P484" i="26"/>
  <c r="M484" i="26"/>
  <c r="L484" i="26"/>
  <c r="I484" i="26"/>
  <c r="H484" i="26"/>
  <c r="E484" i="26"/>
  <c r="X483" i="26"/>
  <c r="T483" i="26"/>
  <c r="Q483" i="26"/>
  <c r="P483" i="26"/>
  <c r="M483" i="26"/>
  <c r="L483" i="26"/>
  <c r="I483" i="26"/>
  <c r="H483" i="26"/>
  <c r="E483" i="26"/>
  <c r="V483" i="26" s="1"/>
  <c r="X482" i="26"/>
  <c r="T482" i="26"/>
  <c r="Q482" i="26"/>
  <c r="P482" i="26"/>
  <c r="M482" i="26"/>
  <c r="L482" i="26"/>
  <c r="I482" i="26"/>
  <c r="H482" i="26"/>
  <c r="E482" i="26"/>
  <c r="X481" i="26"/>
  <c r="T481" i="26"/>
  <c r="R481" i="26" s="1"/>
  <c r="Q481" i="26"/>
  <c r="P481" i="26"/>
  <c r="M481" i="26"/>
  <c r="L481" i="26"/>
  <c r="I481" i="26"/>
  <c r="H481" i="26"/>
  <c r="F481" i="26"/>
  <c r="E481" i="26"/>
  <c r="V481" i="26" s="1"/>
  <c r="X480" i="26"/>
  <c r="T480" i="26"/>
  <c r="R480" i="26"/>
  <c r="Q480" i="26"/>
  <c r="P480" i="26"/>
  <c r="M480" i="26"/>
  <c r="L480" i="26"/>
  <c r="J480" i="26"/>
  <c r="I480" i="26"/>
  <c r="H480" i="26"/>
  <c r="F480" i="26"/>
  <c r="E480" i="26"/>
  <c r="V480" i="26" s="1"/>
  <c r="Y480" i="26" s="1"/>
  <c r="Z480" i="26" s="1"/>
  <c r="AA480" i="26" s="1"/>
  <c r="X479" i="26"/>
  <c r="V479" i="26"/>
  <c r="T479" i="26"/>
  <c r="R479" i="26"/>
  <c r="Q479" i="26"/>
  <c r="P479" i="26"/>
  <c r="M479" i="26"/>
  <c r="L479" i="26"/>
  <c r="I479" i="26"/>
  <c r="H479" i="26"/>
  <c r="F479" i="26"/>
  <c r="E479" i="26"/>
  <c r="X478" i="26"/>
  <c r="T478" i="26"/>
  <c r="Q478" i="26"/>
  <c r="P478" i="26"/>
  <c r="M478" i="26"/>
  <c r="L478" i="26"/>
  <c r="I478" i="26"/>
  <c r="H478" i="26"/>
  <c r="E478" i="26"/>
  <c r="V478" i="26" s="1"/>
  <c r="X477" i="26"/>
  <c r="T477" i="26"/>
  <c r="Q477" i="26"/>
  <c r="P477" i="26"/>
  <c r="N477" i="26" s="1"/>
  <c r="M477" i="26"/>
  <c r="L477" i="26"/>
  <c r="J477" i="26"/>
  <c r="I477" i="26"/>
  <c r="H477" i="26"/>
  <c r="E477" i="26"/>
  <c r="V477" i="26" s="1"/>
  <c r="Y477" i="26" s="1"/>
  <c r="Z477" i="26" s="1"/>
  <c r="AA477" i="26" s="1"/>
  <c r="X476" i="26"/>
  <c r="T476" i="26"/>
  <c r="Q476" i="26"/>
  <c r="P476" i="26"/>
  <c r="M476" i="26"/>
  <c r="L476" i="26"/>
  <c r="I476" i="26"/>
  <c r="H476" i="26"/>
  <c r="E476" i="26"/>
  <c r="X475" i="26"/>
  <c r="T475" i="26"/>
  <c r="Q475" i="26"/>
  <c r="P475" i="26"/>
  <c r="M475" i="26"/>
  <c r="L475" i="26"/>
  <c r="I475" i="26"/>
  <c r="H475" i="26"/>
  <c r="E475" i="26"/>
  <c r="X474" i="26"/>
  <c r="T474" i="26"/>
  <c r="R474" i="26" s="1"/>
  <c r="Q474" i="26"/>
  <c r="P474" i="26"/>
  <c r="N474" i="26" s="1"/>
  <c r="M474" i="26"/>
  <c r="L474" i="26"/>
  <c r="I474" i="26"/>
  <c r="H474" i="26"/>
  <c r="F474" i="26"/>
  <c r="E474" i="26"/>
  <c r="V474" i="26" s="1"/>
  <c r="X473" i="26"/>
  <c r="T473" i="26"/>
  <c r="Q473" i="26"/>
  <c r="P473" i="26"/>
  <c r="M473" i="26"/>
  <c r="L473" i="26"/>
  <c r="I473" i="26"/>
  <c r="H473" i="26"/>
  <c r="E473" i="26"/>
  <c r="X472" i="26"/>
  <c r="T472" i="26"/>
  <c r="Q472" i="26"/>
  <c r="P472" i="26"/>
  <c r="M472" i="26"/>
  <c r="L472" i="26"/>
  <c r="I472" i="26"/>
  <c r="H472" i="26"/>
  <c r="E472" i="26"/>
  <c r="V472" i="26" s="1"/>
  <c r="X471" i="26"/>
  <c r="T471" i="26"/>
  <c r="Q471" i="26"/>
  <c r="V471" i="26" s="1"/>
  <c r="R471" i="26" s="1"/>
  <c r="P471" i="26"/>
  <c r="M471" i="26"/>
  <c r="L471" i="26"/>
  <c r="J471" i="26"/>
  <c r="I471" i="26"/>
  <c r="H471" i="26"/>
  <c r="E471" i="26"/>
  <c r="X470" i="26"/>
  <c r="T470" i="26"/>
  <c r="Q470" i="26"/>
  <c r="P470" i="26"/>
  <c r="M470" i="26"/>
  <c r="L470" i="26"/>
  <c r="I470" i="26"/>
  <c r="H470" i="26"/>
  <c r="E470" i="26"/>
  <c r="X469" i="26"/>
  <c r="T469" i="26"/>
  <c r="R469" i="26" s="1"/>
  <c r="Q469" i="26"/>
  <c r="P469" i="26"/>
  <c r="N469" i="26" s="1"/>
  <c r="M469" i="26"/>
  <c r="L469" i="26"/>
  <c r="J469" i="26"/>
  <c r="I469" i="26"/>
  <c r="H469" i="26"/>
  <c r="F469" i="26"/>
  <c r="E469" i="26"/>
  <c r="V469" i="26" s="1"/>
  <c r="Y469" i="26" s="1"/>
  <c r="Z469" i="26" s="1"/>
  <c r="AA469" i="26" s="1"/>
  <c r="X468" i="26"/>
  <c r="T468" i="26"/>
  <c r="Q468" i="26"/>
  <c r="P468" i="26"/>
  <c r="M468" i="26"/>
  <c r="L468" i="26"/>
  <c r="I468" i="26"/>
  <c r="H468" i="26"/>
  <c r="F468" i="26" s="1"/>
  <c r="E468" i="26"/>
  <c r="V468" i="26" s="1"/>
  <c r="X467" i="26"/>
  <c r="T467" i="26"/>
  <c r="R467" i="26" s="1"/>
  <c r="Q467" i="26"/>
  <c r="P467" i="26"/>
  <c r="N467" i="26" s="1"/>
  <c r="M467" i="26"/>
  <c r="L467" i="26"/>
  <c r="I467" i="26"/>
  <c r="H467" i="26"/>
  <c r="F467" i="26"/>
  <c r="E467" i="26"/>
  <c r="V467" i="26" s="1"/>
  <c r="X466" i="26"/>
  <c r="T466" i="26"/>
  <c r="R466" i="26" s="1"/>
  <c r="Q466" i="26"/>
  <c r="P466" i="26"/>
  <c r="M466" i="26"/>
  <c r="L466" i="26"/>
  <c r="I466" i="26"/>
  <c r="H466" i="26"/>
  <c r="F466" i="26"/>
  <c r="E466" i="26"/>
  <c r="V466" i="26" s="1"/>
  <c r="X465" i="26"/>
  <c r="T465" i="26"/>
  <c r="Q465" i="26"/>
  <c r="P465" i="26"/>
  <c r="M465" i="26"/>
  <c r="L465" i="26"/>
  <c r="I465" i="26"/>
  <c r="H465" i="26"/>
  <c r="E465" i="26"/>
  <c r="X464" i="26"/>
  <c r="T464" i="26"/>
  <c r="Q464" i="26"/>
  <c r="P464" i="26"/>
  <c r="M464" i="26"/>
  <c r="L464" i="26"/>
  <c r="I464" i="26"/>
  <c r="H464" i="26"/>
  <c r="E464" i="26"/>
  <c r="X463" i="26"/>
  <c r="T463" i="26"/>
  <c r="Q463" i="26"/>
  <c r="V463" i="26" s="1"/>
  <c r="P463" i="26"/>
  <c r="M463" i="26"/>
  <c r="L463" i="26"/>
  <c r="J463" i="26"/>
  <c r="I463" i="26"/>
  <c r="H463" i="26"/>
  <c r="E463" i="26"/>
  <c r="X462" i="26"/>
  <c r="T462" i="26"/>
  <c r="Q462" i="26"/>
  <c r="P462" i="26"/>
  <c r="M462" i="26"/>
  <c r="L462" i="26"/>
  <c r="I462" i="26"/>
  <c r="H462" i="26"/>
  <c r="E462" i="26"/>
  <c r="X461" i="26"/>
  <c r="T461" i="26"/>
  <c r="R461" i="26" s="1"/>
  <c r="Q461" i="26"/>
  <c r="P461" i="26"/>
  <c r="M461" i="26"/>
  <c r="L461" i="26"/>
  <c r="J461" i="26"/>
  <c r="I461" i="26"/>
  <c r="H461" i="26"/>
  <c r="F461" i="26"/>
  <c r="E461" i="26"/>
  <c r="V461" i="26" s="1"/>
  <c r="Y461" i="26" s="1"/>
  <c r="Z461" i="26" s="1"/>
  <c r="AA461" i="26" s="1"/>
  <c r="X460" i="26"/>
  <c r="T460" i="26"/>
  <c r="R460" i="26"/>
  <c r="Q460" i="26"/>
  <c r="P460" i="26"/>
  <c r="M460" i="26"/>
  <c r="L460" i="26"/>
  <c r="I460" i="26"/>
  <c r="H460" i="26"/>
  <c r="E460" i="26"/>
  <c r="V460" i="26" s="1"/>
  <c r="Y459" i="26"/>
  <c r="Z459" i="26" s="1"/>
  <c r="AA459" i="26" s="1"/>
  <c r="X459" i="26"/>
  <c r="T459" i="26"/>
  <c r="R459" i="26"/>
  <c r="Q459" i="26"/>
  <c r="P459" i="26"/>
  <c r="M459" i="26"/>
  <c r="L459" i="26"/>
  <c r="I459" i="26"/>
  <c r="H459" i="26"/>
  <c r="E459" i="26"/>
  <c r="V459" i="26" s="1"/>
  <c r="X458" i="26"/>
  <c r="T458" i="26"/>
  <c r="Q458" i="26"/>
  <c r="P458" i="26"/>
  <c r="M458" i="26"/>
  <c r="L458" i="26"/>
  <c r="I458" i="26"/>
  <c r="H458" i="26"/>
  <c r="E458" i="26"/>
  <c r="X457" i="26"/>
  <c r="T457" i="26"/>
  <c r="Q457" i="26"/>
  <c r="P457" i="26"/>
  <c r="M457" i="26"/>
  <c r="L457" i="26"/>
  <c r="I457" i="26"/>
  <c r="H457" i="26"/>
  <c r="E457" i="26"/>
  <c r="X456" i="26"/>
  <c r="T456" i="26"/>
  <c r="R456" i="26" s="1"/>
  <c r="Q456" i="26"/>
  <c r="P456" i="26"/>
  <c r="M456" i="26"/>
  <c r="L456" i="26"/>
  <c r="I456" i="26"/>
  <c r="H456" i="26"/>
  <c r="F456" i="26" s="1"/>
  <c r="E456" i="26"/>
  <c r="V456" i="26" s="1"/>
  <c r="Y456" i="26" s="1"/>
  <c r="Z456" i="26" s="1"/>
  <c r="AA456" i="26" s="1"/>
  <c r="X455" i="26"/>
  <c r="T455" i="26"/>
  <c r="Q455" i="26"/>
  <c r="V455" i="26" s="1"/>
  <c r="P455" i="26"/>
  <c r="M455" i="26"/>
  <c r="L455" i="26"/>
  <c r="I455" i="26"/>
  <c r="H455" i="26"/>
  <c r="E455" i="26"/>
  <c r="X454" i="26"/>
  <c r="T454" i="26"/>
  <c r="Q454" i="26"/>
  <c r="P454" i="26"/>
  <c r="M454" i="26"/>
  <c r="L454" i="26"/>
  <c r="I454" i="26"/>
  <c r="H454" i="26"/>
  <c r="E454" i="26"/>
  <c r="X453" i="26"/>
  <c r="T453" i="26"/>
  <c r="Q453" i="26"/>
  <c r="P453" i="26"/>
  <c r="M453" i="26"/>
  <c r="L453" i="26"/>
  <c r="I453" i="26"/>
  <c r="H453" i="26"/>
  <c r="E453" i="26"/>
  <c r="V453" i="26" s="1"/>
  <c r="X452" i="26"/>
  <c r="Y452" i="26" s="1"/>
  <c r="Z452" i="26" s="1"/>
  <c r="AA452" i="26" s="1"/>
  <c r="T452" i="26"/>
  <c r="R452" i="26" s="1"/>
  <c r="Q452" i="26"/>
  <c r="P452" i="26"/>
  <c r="N452" i="26" s="1"/>
  <c r="M452" i="26"/>
  <c r="L452" i="26"/>
  <c r="J452" i="26"/>
  <c r="I452" i="26"/>
  <c r="H452" i="26"/>
  <c r="F452" i="26"/>
  <c r="E452" i="26"/>
  <c r="AA451" i="26"/>
  <c r="X451" i="26"/>
  <c r="V451" i="26"/>
  <c r="Y451" i="26" s="1"/>
  <c r="Z451" i="26" s="1"/>
  <c r="T451" i="26"/>
  <c r="R451" i="26"/>
  <c r="Q451" i="26"/>
  <c r="P451" i="26"/>
  <c r="N451" i="26" s="1"/>
  <c r="M451" i="26"/>
  <c r="L451" i="26"/>
  <c r="I451" i="26"/>
  <c r="H451" i="26"/>
  <c r="F451" i="26"/>
  <c r="E451" i="26"/>
  <c r="X450" i="26"/>
  <c r="Y450" i="26" s="1"/>
  <c r="Z450" i="26" s="1"/>
  <c r="AA450" i="26" s="1"/>
  <c r="T450" i="26"/>
  <c r="R450" i="26"/>
  <c r="Q450" i="26"/>
  <c r="P450" i="26"/>
  <c r="N450" i="26" s="1"/>
  <c r="M450" i="26"/>
  <c r="L450" i="26"/>
  <c r="J450" i="26"/>
  <c r="I450" i="26"/>
  <c r="H450" i="26"/>
  <c r="F450" i="26" s="1"/>
  <c r="E450" i="26"/>
  <c r="X449" i="26"/>
  <c r="T449" i="26"/>
  <c r="Q449" i="26"/>
  <c r="P449" i="26"/>
  <c r="N449" i="26" s="1"/>
  <c r="M449" i="26"/>
  <c r="L449" i="26"/>
  <c r="I449" i="26"/>
  <c r="H449" i="26"/>
  <c r="E449" i="26"/>
  <c r="V449" i="26" s="1"/>
  <c r="X448" i="26"/>
  <c r="V448" i="26"/>
  <c r="T448" i="26"/>
  <c r="Q448" i="26"/>
  <c r="P448" i="26"/>
  <c r="M448" i="26"/>
  <c r="L448" i="26"/>
  <c r="I448" i="26"/>
  <c r="H448" i="26"/>
  <c r="E448" i="26"/>
  <c r="X447" i="26"/>
  <c r="V447" i="26"/>
  <c r="Y447" i="26" s="1"/>
  <c r="Z447" i="26" s="1"/>
  <c r="AA447" i="26" s="1"/>
  <c r="T447" i="26"/>
  <c r="Q447" i="26"/>
  <c r="P447" i="26"/>
  <c r="M447" i="26"/>
  <c r="L447" i="26"/>
  <c r="I447" i="26"/>
  <c r="H447" i="26"/>
  <c r="E447" i="26"/>
  <c r="X446" i="26"/>
  <c r="T446" i="26"/>
  <c r="Q446" i="26"/>
  <c r="P446" i="26"/>
  <c r="M446" i="26"/>
  <c r="L446" i="26"/>
  <c r="I446" i="26"/>
  <c r="H446" i="26"/>
  <c r="E446" i="26"/>
  <c r="V446" i="26" s="1"/>
  <c r="X445" i="26"/>
  <c r="T445" i="26"/>
  <c r="Q445" i="26"/>
  <c r="P445" i="26"/>
  <c r="M445" i="26"/>
  <c r="L445" i="26"/>
  <c r="I445" i="26"/>
  <c r="V445" i="26" s="1"/>
  <c r="H445" i="26"/>
  <c r="E445" i="26"/>
  <c r="X444" i="26"/>
  <c r="T444" i="26"/>
  <c r="R444" i="26"/>
  <c r="Q444" i="26"/>
  <c r="P444" i="26"/>
  <c r="N444" i="26" s="1"/>
  <c r="M444" i="26"/>
  <c r="L444" i="26"/>
  <c r="I444" i="26"/>
  <c r="H444" i="26"/>
  <c r="E444" i="26"/>
  <c r="V444" i="26" s="1"/>
  <c r="X443" i="26"/>
  <c r="V443" i="26"/>
  <c r="T443" i="26"/>
  <c r="Q443" i="26"/>
  <c r="P443" i="26"/>
  <c r="M443" i="26"/>
  <c r="L443" i="26"/>
  <c r="I443" i="26"/>
  <c r="H443" i="26"/>
  <c r="E443" i="26"/>
  <c r="X442" i="26"/>
  <c r="V442" i="26"/>
  <c r="Y442" i="26" s="1"/>
  <c r="Z442" i="26" s="1"/>
  <c r="AA442" i="26" s="1"/>
  <c r="T442" i="26"/>
  <c r="R442" i="26"/>
  <c r="Q442" i="26"/>
  <c r="P442" i="26"/>
  <c r="M442" i="26"/>
  <c r="L442" i="26"/>
  <c r="J442" i="26"/>
  <c r="I442" i="26"/>
  <c r="H442" i="26"/>
  <c r="F442" i="26"/>
  <c r="E442" i="26"/>
  <c r="X441" i="26"/>
  <c r="T441" i="26"/>
  <c r="Q441" i="26"/>
  <c r="P441" i="26"/>
  <c r="M441" i="26"/>
  <c r="L441" i="26"/>
  <c r="I441" i="26"/>
  <c r="H441" i="26"/>
  <c r="E441" i="26"/>
  <c r="AA440" i="26"/>
  <c r="X440" i="26"/>
  <c r="T440" i="26"/>
  <c r="Q440" i="26"/>
  <c r="P440" i="26"/>
  <c r="M440" i="26"/>
  <c r="L440" i="26"/>
  <c r="J440" i="26"/>
  <c r="I440" i="26"/>
  <c r="H440" i="26"/>
  <c r="E440" i="26"/>
  <c r="V440" i="26" s="1"/>
  <c r="Y440" i="26" s="1"/>
  <c r="Z440" i="26" s="1"/>
  <c r="X439" i="26"/>
  <c r="V439" i="26"/>
  <c r="Y439" i="26" s="1"/>
  <c r="Z439" i="26" s="1"/>
  <c r="AA439" i="26" s="1"/>
  <c r="T439" i="26"/>
  <c r="R439" i="26"/>
  <c r="Q439" i="26"/>
  <c r="P439" i="26"/>
  <c r="N439" i="26" s="1"/>
  <c r="M439" i="26"/>
  <c r="L439" i="26"/>
  <c r="I439" i="26"/>
  <c r="H439" i="26"/>
  <c r="F439" i="26"/>
  <c r="E439" i="26"/>
  <c r="X438" i="26"/>
  <c r="T438" i="26"/>
  <c r="Q438" i="26"/>
  <c r="P438" i="26"/>
  <c r="N438" i="26" s="1"/>
  <c r="M438" i="26"/>
  <c r="L438" i="26"/>
  <c r="I438" i="26"/>
  <c r="V438" i="26" s="1"/>
  <c r="H438" i="26"/>
  <c r="E438" i="26"/>
  <c r="X437" i="26"/>
  <c r="T437" i="26"/>
  <c r="R437" i="26" s="1"/>
  <c r="Q437" i="26"/>
  <c r="P437" i="26"/>
  <c r="N437" i="26"/>
  <c r="M437" i="26"/>
  <c r="L437" i="26"/>
  <c r="I437" i="26"/>
  <c r="V437" i="26" s="1"/>
  <c r="H437" i="26"/>
  <c r="F437" i="26"/>
  <c r="E437" i="26"/>
  <c r="X436" i="26"/>
  <c r="V436" i="26"/>
  <c r="T436" i="26"/>
  <c r="Q436" i="26"/>
  <c r="P436" i="26"/>
  <c r="N436" i="26" s="1"/>
  <c r="M436" i="26"/>
  <c r="L436" i="26"/>
  <c r="J436" i="26"/>
  <c r="I436" i="26"/>
  <c r="H436" i="26"/>
  <c r="E436" i="26"/>
  <c r="X435" i="26"/>
  <c r="T435" i="26"/>
  <c r="Q435" i="26"/>
  <c r="P435" i="26"/>
  <c r="M435" i="26"/>
  <c r="L435" i="26"/>
  <c r="I435" i="26"/>
  <c r="H435" i="26"/>
  <c r="E435" i="26"/>
  <c r="AA434" i="26"/>
  <c r="X434" i="26"/>
  <c r="V434" i="26"/>
  <c r="Y434" i="26" s="1"/>
  <c r="Z434" i="26" s="1"/>
  <c r="T434" i="26"/>
  <c r="R434" i="26"/>
  <c r="Q434" i="26"/>
  <c r="P434" i="26"/>
  <c r="N434" i="26" s="1"/>
  <c r="M434" i="26"/>
  <c r="L434" i="26"/>
  <c r="I434" i="26"/>
  <c r="H434" i="26"/>
  <c r="F434" i="26"/>
  <c r="E434" i="26"/>
  <c r="X433" i="26"/>
  <c r="T433" i="26"/>
  <c r="Q433" i="26"/>
  <c r="P433" i="26"/>
  <c r="M433" i="26"/>
  <c r="L433" i="26"/>
  <c r="I433" i="26"/>
  <c r="H433" i="26"/>
  <c r="F433" i="26"/>
  <c r="E433" i="26"/>
  <c r="V433" i="26" s="1"/>
  <c r="AA432" i="26"/>
  <c r="Z432" i="26"/>
  <c r="Y432" i="26"/>
  <c r="X432" i="26"/>
  <c r="T432" i="26"/>
  <c r="R432" i="26" s="1"/>
  <c r="Q432" i="26"/>
  <c r="P432" i="26"/>
  <c r="N432" i="26" s="1"/>
  <c r="M432" i="26"/>
  <c r="L432" i="26"/>
  <c r="J432" i="26" s="1"/>
  <c r="I432" i="26"/>
  <c r="H432" i="26"/>
  <c r="F432" i="26" s="1"/>
  <c r="E432" i="26"/>
  <c r="X431" i="26"/>
  <c r="T431" i="26"/>
  <c r="Q431" i="26"/>
  <c r="P431" i="26"/>
  <c r="M431" i="26"/>
  <c r="L431" i="26"/>
  <c r="I431" i="26"/>
  <c r="H431" i="26"/>
  <c r="E431" i="26"/>
  <c r="AA430" i="26"/>
  <c r="Z430" i="26"/>
  <c r="X430" i="26"/>
  <c r="Y430" i="26" s="1"/>
  <c r="T430" i="26"/>
  <c r="R430" i="26"/>
  <c r="Q430" i="26"/>
  <c r="P430" i="26"/>
  <c r="N430" i="26"/>
  <c r="M430" i="26"/>
  <c r="L430" i="26"/>
  <c r="J430" i="26"/>
  <c r="I430" i="26"/>
  <c r="H430" i="26"/>
  <c r="F430" i="26" s="1"/>
  <c r="E430" i="26"/>
  <c r="X428" i="26"/>
  <c r="T428" i="26"/>
  <c r="Q428" i="26"/>
  <c r="P428" i="26"/>
  <c r="N428" i="26" s="1"/>
  <c r="M428" i="26"/>
  <c r="L428" i="26"/>
  <c r="I428" i="26"/>
  <c r="H428" i="26"/>
  <c r="E428" i="26"/>
  <c r="V428" i="26" s="1"/>
  <c r="Y427" i="26"/>
  <c r="Z427" i="26" s="1"/>
  <c r="AA427" i="26" s="1"/>
  <c r="X427" i="26"/>
  <c r="T427" i="26"/>
  <c r="Q427" i="26"/>
  <c r="P427" i="26"/>
  <c r="N427" i="26" s="1"/>
  <c r="M427" i="26"/>
  <c r="L427" i="26"/>
  <c r="I427" i="26"/>
  <c r="H427" i="26"/>
  <c r="E427" i="26"/>
  <c r="V427" i="26" s="1"/>
  <c r="X426" i="26"/>
  <c r="T426" i="26"/>
  <c r="Q426" i="26"/>
  <c r="P426" i="26"/>
  <c r="M426" i="26"/>
  <c r="L426" i="26"/>
  <c r="I426" i="26"/>
  <c r="H426" i="26"/>
  <c r="E426" i="26"/>
  <c r="X425" i="26"/>
  <c r="T425" i="26"/>
  <c r="Q425" i="26"/>
  <c r="P425" i="26"/>
  <c r="M425" i="26"/>
  <c r="L425" i="26"/>
  <c r="I425" i="26"/>
  <c r="H425" i="26"/>
  <c r="E425" i="26"/>
  <c r="X424" i="26"/>
  <c r="T424" i="26"/>
  <c r="Q424" i="26"/>
  <c r="P424" i="26"/>
  <c r="M424" i="26"/>
  <c r="L424" i="26"/>
  <c r="I424" i="26"/>
  <c r="H424" i="26"/>
  <c r="E424" i="26"/>
  <c r="V424" i="26" s="1"/>
  <c r="Y423" i="26"/>
  <c r="Z423" i="26" s="1"/>
  <c r="AA423" i="26" s="1"/>
  <c r="X423" i="26"/>
  <c r="T423" i="26"/>
  <c r="Q423" i="26"/>
  <c r="P423" i="26"/>
  <c r="N423" i="26"/>
  <c r="M423" i="26"/>
  <c r="L423" i="26"/>
  <c r="I423" i="26"/>
  <c r="H423" i="26"/>
  <c r="E423" i="26"/>
  <c r="V423" i="26" s="1"/>
  <c r="X422" i="26"/>
  <c r="T422" i="26"/>
  <c r="Q422" i="26"/>
  <c r="P422" i="26"/>
  <c r="M422" i="26"/>
  <c r="L422" i="26"/>
  <c r="I422" i="26"/>
  <c r="H422" i="26"/>
  <c r="E422" i="26"/>
  <c r="X421" i="26"/>
  <c r="T421" i="26"/>
  <c r="Q421" i="26"/>
  <c r="P421" i="26"/>
  <c r="M421" i="26"/>
  <c r="L421" i="26"/>
  <c r="I421" i="26"/>
  <c r="H421" i="26"/>
  <c r="E421" i="26"/>
  <c r="X420" i="26"/>
  <c r="T420" i="26"/>
  <c r="Q420" i="26"/>
  <c r="P420" i="26"/>
  <c r="N420" i="26" s="1"/>
  <c r="M420" i="26"/>
  <c r="L420" i="26"/>
  <c r="I420" i="26"/>
  <c r="H420" i="26"/>
  <c r="E420" i="26"/>
  <c r="V420" i="26" s="1"/>
  <c r="AA419" i="26"/>
  <c r="Y419" i="26"/>
  <c r="Z419" i="26" s="1"/>
  <c r="X419" i="26"/>
  <c r="T419" i="26"/>
  <c r="Q419" i="26"/>
  <c r="P419" i="26"/>
  <c r="M419" i="26"/>
  <c r="L419" i="26"/>
  <c r="I419" i="26"/>
  <c r="H419" i="26"/>
  <c r="F419" i="26"/>
  <c r="E419" i="26"/>
  <c r="V419" i="26" s="1"/>
  <c r="X417" i="26"/>
  <c r="T417" i="26"/>
  <c r="Q417" i="26"/>
  <c r="P417" i="26"/>
  <c r="M417" i="26"/>
  <c r="L417" i="26"/>
  <c r="I417" i="26"/>
  <c r="H417" i="26"/>
  <c r="E417" i="26"/>
  <c r="X416" i="26"/>
  <c r="T416" i="26"/>
  <c r="Q416" i="26"/>
  <c r="P416" i="26"/>
  <c r="M416" i="26"/>
  <c r="L416" i="26"/>
  <c r="I416" i="26"/>
  <c r="H416" i="26"/>
  <c r="E416" i="26"/>
  <c r="X414" i="26"/>
  <c r="T414" i="26"/>
  <c r="Q414" i="26"/>
  <c r="P414" i="26"/>
  <c r="M414" i="26"/>
  <c r="L414" i="26"/>
  <c r="I414" i="26"/>
  <c r="H414" i="26"/>
  <c r="E414" i="26"/>
  <c r="Y413" i="26"/>
  <c r="Z413" i="26" s="1"/>
  <c r="AA413" i="26" s="1"/>
  <c r="X413" i="26"/>
  <c r="T413" i="26"/>
  <c r="R413" i="26"/>
  <c r="Q413" i="26"/>
  <c r="P413" i="26"/>
  <c r="M413" i="26"/>
  <c r="L413" i="26"/>
  <c r="I413" i="26"/>
  <c r="H413" i="26"/>
  <c r="E413" i="26"/>
  <c r="V413" i="26" s="1"/>
  <c r="X412" i="26"/>
  <c r="T412" i="26"/>
  <c r="Q412" i="26"/>
  <c r="P412" i="26"/>
  <c r="M412" i="26"/>
  <c r="L412" i="26"/>
  <c r="I412" i="26"/>
  <c r="H412" i="26"/>
  <c r="E412" i="26"/>
  <c r="X411" i="26"/>
  <c r="T411" i="26"/>
  <c r="Q411" i="26"/>
  <c r="P411" i="26"/>
  <c r="M411" i="26"/>
  <c r="L411" i="26"/>
  <c r="I411" i="26"/>
  <c r="H411" i="26"/>
  <c r="E411" i="26"/>
  <c r="X410" i="26"/>
  <c r="T410" i="26"/>
  <c r="R410" i="26"/>
  <c r="Q410" i="26"/>
  <c r="P410" i="26"/>
  <c r="M410" i="26"/>
  <c r="L410" i="26"/>
  <c r="I410" i="26"/>
  <c r="H410" i="26"/>
  <c r="E410" i="26"/>
  <c r="V410" i="26" s="1"/>
  <c r="X409" i="26"/>
  <c r="T409" i="26"/>
  <c r="Q409" i="26"/>
  <c r="P409" i="26"/>
  <c r="M409" i="26"/>
  <c r="L409" i="26"/>
  <c r="I409" i="26"/>
  <c r="H409" i="26"/>
  <c r="E409" i="26"/>
  <c r="X407" i="26"/>
  <c r="T407" i="26"/>
  <c r="Q407" i="26"/>
  <c r="P407" i="26"/>
  <c r="M407" i="26"/>
  <c r="V407" i="26" s="1"/>
  <c r="L407" i="26"/>
  <c r="I407" i="26"/>
  <c r="H407" i="26"/>
  <c r="E407" i="26"/>
  <c r="X406" i="26"/>
  <c r="T406" i="26"/>
  <c r="Q406" i="26"/>
  <c r="P406" i="26"/>
  <c r="M406" i="26"/>
  <c r="L406" i="26"/>
  <c r="I406" i="26"/>
  <c r="H406" i="26"/>
  <c r="E406" i="26"/>
  <c r="X405" i="26"/>
  <c r="T405" i="26"/>
  <c r="Q405" i="26"/>
  <c r="P405" i="26"/>
  <c r="M405" i="26"/>
  <c r="L405" i="26"/>
  <c r="I405" i="26"/>
  <c r="H405" i="26"/>
  <c r="E405" i="26"/>
  <c r="X404" i="26"/>
  <c r="T404" i="26"/>
  <c r="R404" i="26"/>
  <c r="Q404" i="26"/>
  <c r="P404" i="26"/>
  <c r="M404" i="26"/>
  <c r="L404" i="26"/>
  <c r="I404" i="26"/>
  <c r="H404" i="26"/>
  <c r="E404" i="26"/>
  <c r="V404" i="26" s="1"/>
  <c r="X403" i="26"/>
  <c r="T403" i="26"/>
  <c r="Q403" i="26"/>
  <c r="P403" i="26"/>
  <c r="M403" i="26"/>
  <c r="L403" i="26"/>
  <c r="I403" i="26"/>
  <c r="H403" i="26"/>
  <c r="E403" i="26"/>
  <c r="X402" i="26"/>
  <c r="T402" i="26"/>
  <c r="R402" i="26"/>
  <c r="Q402" i="26"/>
  <c r="P402" i="26"/>
  <c r="M402" i="26"/>
  <c r="L402" i="26"/>
  <c r="I402" i="26"/>
  <c r="H402" i="26"/>
  <c r="E402" i="26"/>
  <c r="V402" i="26" s="1"/>
  <c r="X401" i="26"/>
  <c r="U401" i="26"/>
  <c r="T401" i="26"/>
  <c r="Q401" i="26"/>
  <c r="P401" i="26"/>
  <c r="N401" i="26" s="1"/>
  <c r="M401" i="26"/>
  <c r="L401" i="26"/>
  <c r="I401" i="26"/>
  <c r="H401" i="26"/>
  <c r="E401" i="26"/>
  <c r="V401" i="26" s="1"/>
  <c r="X400" i="26"/>
  <c r="T400" i="26"/>
  <c r="Q400" i="26"/>
  <c r="P400" i="26"/>
  <c r="M400" i="26"/>
  <c r="L400" i="26"/>
  <c r="I400" i="26"/>
  <c r="H400" i="26"/>
  <c r="E400" i="26"/>
  <c r="X399" i="26"/>
  <c r="T399" i="26"/>
  <c r="Q399" i="26"/>
  <c r="P399" i="26"/>
  <c r="M399" i="26"/>
  <c r="L399" i="26"/>
  <c r="I399" i="26"/>
  <c r="H399" i="26"/>
  <c r="E399" i="26"/>
  <c r="X398" i="26"/>
  <c r="U398" i="26"/>
  <c r="T398" i="26"/>
  <c r="R398" i="26"/>
  <c r="Q398" i="26"/>
  <c r="P398" i="26"/>
  <c r="M398" i="26"/>
  <c r="L398" i="26"/>
  <c r="I398" i="26"/>
  <c r="V398" i="26" s="1"/>
  <c r="H398" i="26"/>
  <c r="E398" i="26"/>
  <c r="Y397" i="26"/>
  <c r="Z397" i="26" s="1"/>
  <c r="AA397" i="26" s="1"/>
  <c r="X397" i="26"/>
  <c r="T397" i="26"/>
  <c r="Q397" i="26"/>
  <c r="P397" i="26"/>
  <c r="M397" i="26"/>
  <c r="L397" i="26"/>
  <c r="I397" i="26"/>
  <c r="V397" i="26" s="1"/>
  <c r="H397" i="26"/>
  <c r="E397" i="26"/>
  <c r="X396" i="26"/>
  <c r="V396" i="26"/>
  <c r="T396" i="26"/>
  <c r="Q396" i="26"/>
  <c r="P396" i="26"/>
  <c r="N396" i="26"/>
  <c r="M396" i="26"/>
  <c r="L396" i="26"/>
  <c r="I396" i="26"/>
  <c r="H396" i="26"/>
  <c r="E396" i="26"/>
  <c r="Y394" i="26"/>
  <c r="Z394" i="26" s="1"/>
  <c r="AA394" i="26" s="1"/>
  <c r="X394" i="26"/>
  <c r="V394" i="26"/>
  <c r="F394" i="26" s="1"/>
  <c r="T394" i="26"/>
  <c r="R394" i="26" s="1"/>
  <c r="Q394" i="26"/>
  <c r="P394" i="26"/>
  <c r="N394" i="26" s="1"/>
  <c r="M394" i="26"/>
  <c r="L394" i="26"/>
  <c r="J394" i="26"/>
  <c r="I394" i="26"/>
  <c r="H394" i="26"/>
  <c r="E394" i="26"/>
  <c r="Z393" i="26"/>
  <c r="AA393" i="26" s="1"/>
  <c r="Y393" i="26"/>
  <c r="X393" i="26"/>
  <c r="V393" i="26"/>
  <c r="R393" i="26" s="1"/>
  <c r="T393" i="26"/>
  <c r="Q393" i="26"/>
  <c r="P393" i="26"/>
  <c r="N393" i="26"/>
  <c r="M393" i="26"/>
  <c r="L393" i="26"/>
  <c r="J393" i="26" s="1"/>
  <c r="I393" i="26"/>
  <c r="H393" i="26"/>
  <c r="F393" i="26"/>
  <c r="E393" i="26"/>
  <c r="X392" i="26"/>
  <c r="T392" i="26"/>
  <c r="R392" i="26"/>
  <c r="Q392" i="26"/>
  <c r="P392" i="26"/>
  <c r="M392" i="26"/>
  <c r="L392" i="26"/>
  <c r="I392" i="26"/>
  <c r="H392" i="26"/>
  <c r="E392" i="26"/>
  <c r="V392" i="26" s="1"/>
  <c r="X391" i="26"/>
  <c r="T391" i="26"/>
  <c r="Q391" i="26"/>
  <c r="P391" i="26"/>
  <c r="M391" i="26"/>
  <c r="L391" i="26"/>
  <c r="I391" i="26"/>
  <c r="H391" i="26"/>
  <c r="E391" i="26"/>
  <c r="X389" i="26"/>
  <c r="V389" i="26"/>
  <c r="T389" i="26"/>
  <c r="Q389" i="26"/>
  <c r="P389" i="26"/>
  <c r="M389" i="26"/>
  <c r="L389" i="26"/>
  <c r="I389" i="26"/>
  <c r="H389" i="26"/>
  <c r="E389" i="26"/>
  <c r="X388" i="26"/>
  <c r="T388" i="26"/>
  <c r="R388" i="26"/>
  <c r="Q388" i="26"/>
  <c r="P388" i="26"/>
  <c r="M388" i="26"/>
  <c r="L388" i="26"/>
  <c r="I388" i="26"/>
  <c r="H388" i="26"/>
  <c r="E388" i="26"/>
  <c r="V388" i="26" s="1"/>
  <c r="X387" i="26"/>
  <c r="T387" i="26"/>
  <c r="Q387" i="26"/>
  <c r="P387" i="26"/>
  <c r="M387" i="26"/>
  <c r="L387" i="26"/>
  <c r="J387" i="26"/>
  <c r="I387" i="26"/>
  <c r="V387" i="26" s="1"/>
  <c r="H387" i="26"/>
  <c r="E387" i="26"/>
  <c r="X386" i="26"/>
  <c r="V386" i="26"/>
  <c r="T386" i="26"/>
  <c r="Q386" i="26"/>
  <c r="P386" i="26"/>
  <c r="M386" i="26"/>
  <c r="L386" i="26"/>
  <c r="I386" i="26"/>
  <c r="H386" i="26"/>
  <c r="E386" i="26"/>
  <c r="X385" i="26"/>
  <c r="T385" i="26"/>
  <c r="R385" i="26" s="1"/>
  <c r="Q385" i="26"/>
  <c r="P385" i="26"/>
  <c r="M385" i="26"/>
  <c r="L385" i="26"/>
  <c r="I385" i="26"/>
  <c r="H385" i="26"/>
  <c r="E385" i="26"/>
  <c r="V385" i="26" s="1"/>
  <c r="X384" i="26"/>
  <c r="T384" i="26"/>
  <c r="Q384" i="26"/>
  <c r="P384" i="26"/>
  <c r="M384" i="26"/>
  <c r="V384" i="26" s="1"/>
  <c r="L384" i="26"/>
  <c r="I384" i="26"/>
  <c r="H384" i="26"/>
  <c r="F384" i="26"/>
  <c r="E384" i="26"/>
  <c r="Y383" i="26"/>
  <c r="Z383" i="26" s="1"/>
  <c r="AA383" i="26" s="1"/>
  <c r="X383" i="26"/>
  <c r="T383" i="26"/>
  <c r="R383" i="26"/>
  <c r="Q383" i="26"/>
  <c r="P383" i="26"/>
  <c r="N383" i="26" s="1"/>
  <c r="M383" i="26"/>
  <c r="L383" i="26"/>
  <c r="I383" i="26"/>
  <c r="H383" i="26"/>
  <c r="E383" i="26"/>
  <c r="V383" i="26" s="1"/>
  <c r="X382" i="26"/>
  <c r="T382" i="26"/>
  <c r="Q382" i="26"/>
  <c r="P382" i="26"/>
  <c r="M382" i="26"/>
  <c r="L382" i="26"/>
  <c r="I382" i="26"/>
  <c r="H382" i="26"/>
  <c r="E382" i="26"/>
  <c r="V382" i="26" s="1"/>
  <c r="X381" i="26"/>
  <c r="V381" i="26"/>
  <c r="T381" i="26"/>
  <c r="Q381" i="26"/>
  <c r="P381" i="26"/>
  <c r="M381" i="26"/>
  <c r="L381" i="26"/>
  <c r="I381" i="26"/>
  <c r="H381" i="26"/>
  <c r="E381" i="26"/>
  <c r="X380" i="26"/>
  <c r="T380" i="26"/>
  <c r="R380" i="26" s="1"/>
  <c r="Q380" i="26"/>
  <c r="P380" i="26"/>
  <c r="N380" i="26" s="1"/>
  <c r="M380" i="26"/>
  <c r="L380" i="26"/>
  <c r="I380" i="26"/>
  <c r="H380" i="26"/>
  <c r="F380" i="26"/>
  <c r="E380" i="26"/>
  <c r="V380" i="26" s="1"/>
  <c r="X379" i="26"/>
  <c r="V379" i="26"/>
  <c r="T379" i="26"/>
  <c r="Q379" i="26"/>
  <c r="P379" i="26"/>
  <c r="M379" i="26"/>
  <c r="L379" i="26"/>
  <c r="I379" i="26"/>
  <c r="H379" i="26"/>
  <c r="E379" i="26"/>
  <c r="X378" i="26"/>
  <c r="T378" i="26"/>
  <c r="Q378" i="26"/>
  <c r="P378" i="26"/>
  <c r="M378" i="26"/>
  <c r="L378" i="26"/>
  <c r="J378" i="26"/>
  <c r="I378" i="26"/>
  <c r="V378" i="26" s="1"/>
  <c r="H378" i="26"/>
  <c r="E378" i="26"/>
  <c r="X377" i="26"/>
  <c r="T377" i="26"/>
  <c r="Q377" i="26"/>
  <c r="P377" i="26"/>
  <c r="M377" i="26"/>
  <c r="L377" i="26"/>
  <c r="I377" i="26"/>
  <c r="H377" i="26"/>
  <c r="E377" i="26"/>
  <c r="X376" i="26"/>
  <c r="T376" i="26"/>
  <c r="Q376" i="26"/>
  <c r="P376" i="26"/>
  <c r="M376" i="26"/>
  <c r="V376" i="26" s="1"/>
  <c r="L376" i="26"/>
  <c r="I376" i="26"/>
  <c r="H376" i="26"/>
  <c r="F376" i="26"/>
  <c r="E376" i="26"/>
  <c r="X375" i="26"/>
  <c r="T375" i="26"/>
  <c r="R375" i="26"/>
  <c r="Q375" i="26"/>
  <c r="P375" i="26"/>
  <c r="M375" i="26"/>
  <c r="L375" i="26"/>
  <c r="I375" i="26"/>
  <c r="H375" i="26"/>
  <c r="E375" i="26"/>
  <c r="V375" i="26" s="1"/>
  <c r="X374" i="26"/>
  <c r="T374" i="26"/>
  <c r="Q374" i="26"/>
  <c r="P374" i="26"/>
  <c r="M374" i="26"/>
  <c r="L374" i="26"/>
  <c r="I374" i="26"/>
  <c r="H374" i="26"/>
  <c r="E374" i="26"/>
  <c r="X373" i="26"/>
  <c r="V373" i="26"/>
  <c r="T373" i="26"/>
  <c r="Q373" i="26"/>
  <c r="P373" i="26"/>
  <c r="M373" i="26"/>
  <c r="L373" i="26"/>
  <c r="I373" i="26"/>
  <c r="H373" i="26"/>
  <c r="E373" i="26"/>
  <c r="X372" i="26"/>
  <c r="T372" i="26"/>
  <c r="Q372" i="26"/>
  <c r="P372" i="26"/>
  <c r="M372" i="26"/>
  <c r="L372" i="26"/>
  <c r="I372" i="26"/>
  <c r="H372" i="26"/>
  <c r="E372" i="26"/>
  <c r="V372" i="26" s="1"/>
  <c r="F372" i="26" s="1"/>
  <c r="X371" i="26"/>
  <c r="T371" i="26"/>
  <c r="Q371" i="26"/>
  <c r="P371" i="26"/>
  <c r="M371" i="26"/>
  <c r="L371" i="26"/>
  <c r="I371" i="26"/>
  <c r="V371" i="26" s="1"/>
  <c r="H371" i="26"/>
  <c r="E371" i="26"/>
  <c r="X370" i="26"/>
  <c r="V370" i="26"/>
  <c r="T370" i="26"/>
  <c r="Q370" i="26"/>
  <c r="P370" i="26"/>
  <c r="M370" i="26"/>
  <c r="L370" i="26"/>
  <c r="I370" i="26"/>
  <c r="H370" i="26"/>
  <c r="E370" i="26"/>
  <c r="X369" i="26"/>
  <c r="T369" i="26"/>
  <c r="Q369" i="26"/>
  <c r="P369" i="26"/>
  <c r="M369" i="26"/>
  <c r="L369" i="26"/>
  <c r="I369" i="26"/>
  <c r="H369" i="26"/>
  <c r="E369" i="26"/>
  <c r="X368" i="26"/>
  <c r="T368" i="26"/>
  <c r="Q368" i="26"/>
  <c r="P368" i="26"/>
  <c r="M368" i="26"/>
  <c r="V368" i="26" s="1"/>
  <c r="F368" i="26" s="1"/>
  <c r="L368" i="26"/>
  <c r="I368" i="26"/>
  <c r="H368" i="26"/>
  <c r="E368" i="26"/>
  <c r="Y367" i="26"/>
  <c r="Z367" i="26" s="1"/>
  <c r="AA367" i="26" s="1"/>
  <c r="X367" i="26"/>
  <c r="T367" i="26"/>
  <c r="Q367" i="26"/>
  <c r="P367" i="26"/>
  <c r="N367" i="26" s="1"/>
  <c r="M367" i="26"/>
  <c r="L367" i="26"/>
  <c r="I367" i="26"/>
  <c r="H367" i="26"/>
  <c r="E367" i="26"/>
  <c r="V367" i="26" s="1"/>
  <c r="R367" i="26" s="1"/>
  <c r="X366" i="26"/>
  <c r="T366" i="26"/>
  <c r="Q366" i="26"/>
  <c r="P366" i="26"/>
  <c r="M366" i="26"/>
  <c r="L366" i="26"/>
  <c r="I366" i="26"/>
  <c r="H366" i="26"/>
  <c r="E366" i="26"/>
  <c r="V366" i="26" s="1"/>
  <c r="X365" i="26"/>
  <c r="V365" i="26"/>
  <c r="T365" i="26"/>
  <c r="Q365" i="26"/>
  <c r="P365" i="26"/>
  <c r="M365" i="26"/>
  <c r="L365" i="26"/>
  <c r="I365" i="26"/>
  <c r="H365" i="26"/>
  <c r="E365" i="26"/>
  <c r="X364" i="26"/>
  <c r="T364" i="26"/>
  <c r="R364" i="26" s="1"/>
  <c r="Q364" i="26"/>
  <c r="P364" i="26"/>
  <c r="N364" i="26" s="1"/>
  <c r="M364" i="26"/>
  <c r="L364" i="26"/>
  <c r="I364" i="26"/>
  <c r="H364" i="26"/>
  <c r="F364" i="26"/>
  <c r="E364" i="26"/>
  <c r="V364" i="26" s="1"/>
  <c r="X363" i="26"/>
  <c r="T363" i="26"/>
  <c r="Q363" i="26"/>
  <c r="P363" i="26"/>
  <c r="M363" i="26"/>
  <c r="V363" i="26" s="1"/>
  <c r="L363" i="26"/>
  <c r="I363" i="26"/>
  <c r="H363" i="26"/>
  <c r="E363" i="26"/>
  <c r="X362" i="26"/>
  <c r="V362" i="26"/>
  <c r="T362" i="26"/>
  <c r="Q362" i="26"/>
  <c r="P362" i="26"/>
  <c r="M362" i="26"/>
  <c r="L362" i="26"/>
  <c r="J362" i="26"/>
  <c r="I362" i="26"/>
  <c r="H362" i="26"/>
  <c r="E362" i="26"/>
  <c r="X361" i="26"/>
  <c r="T361" i="26"/>
  <c r="Q361" i="26"/>
  <c r="P361" i="26"/>
  <c r="M361" i="26"/>
  <c r="L361" i="26"/>
  <c r="I361" i="26"/>
  <c r="H361" i="26"/>
  <c r="E361" i="26"/>
  <c r="V361" i="26" s="1"/>
  <c r="X360" i="26"/>
  <c r="T360" i="26"/>
  <c r="Q360" i="26"/>
  <c r="P360" i="26"/>
  <c r="M360" i="26"/>
  <c r="V360" i="26" s="1"/>
  <c r="L360" i="26"/>
  <c r="I360" i="26"/>
  <c r="H360" i="26"/>
  <c r="E360" i="26"/>
  <c r="X359" i="26"/>
  <c r="T359" i="26"/>
  <c r="Q359" i="26"/>
  <c r="P359" i="26"/>
  <c r="M359" i="26"/>
  <c r="L359" i="26"/>
  <c r="I359" i="26"/>
  <c r="H359" i="26"/>
  <c r="E359" i="26"/>
  <c r="V359" i="26" s="1"/>
  <c r="R359" i="26" s="1"/>
  <c r="X358" i="26"/>
  <c r="T358" i="26"/>
  <c r="Q358" i="26"/>
  <c r="P358" i="26"/>
  <c r="M358" i="26"/>
  <c r="L358" i="26"/>
  <c r="I358" i="26"/>
  <c r="H358" i="26"/>
  <c r="E358" i="26"/>
  <c r="X357" i="26"/>
  <c r="V357" i="26"/>
  <c r="T357" i="26"/>
  <c r="Q357" i="26"/>
  <c r="P357" i="26"/>
  <c r="M357" i="26"/>
  <c r="L357" i="26"/>
  <c r="I357" i="26"/>
  <c r="H357" i="26"/>
  <c r="E357" i="26"/>
  <c r="X356" i="26"/>
  <c r="T356" i="26"/>
  <c r="R356" i="26"/>
  <c r="Q356" i="26"/>
  <c r="P356" i="26"/>
  <c r="M356" i="26"/>
  <c r="L356" i="26"/>
  <c r="I356" i="26"/>
  <c r="H356" i="26"/>
  <c r="E356" i="26"/>
  <c r="V356" i="26" s="1"/>
  <c r="X355" i="26"/>
  <c r="T355" i="26"/>
  <c r="Q355" i="26"/>
  <c r="P355" i="26"/>
  <c r="M355" i="26"/>
  <c r="L355" i="26"/>
  <c r="I355" i="26"/>
  <c r="V355" i="26" s="1"/>
  <c r="H355" i="26"/>
  <c r="E355" i="26"/>
  <c r="X354" i="26"/>
  <c r="V354" i="26"/>
  <c r="T354" i="26"/>
  <c r="Q354" i="26"/>
  <c r="P354" i="26"/>
  <c r="M354" i="26"/>
  <c r="L354" i="26"/>
  <c r="I354" i="26"/>
  <c r="H354" i="26"/>
  <c r="E354" i="26"/>
  <c r="X353" i="26"/>
  <c r="T353" i="26"/>
  <c r="R353" i="26" s="1"/>
  <c r="Q353" i="26"/>
  <c r="P353" i="26"/>
  <c r="M353" i="26"/>
  <c r="L353" i="26"/>
  <c r="I353" i="26"/>
  <c r="H353" i="26"/>
  <c r="E353" i="26"/>
  <c r="V353" i="26" s="1"/>
  <c r="X352" i="26"/>
  <c r="T352" i="26"/>
  <c r="Q352" i="26"/>
  <c r="P352" i="26"/>
  <c r="M352" i="26"/>
  <c r="V352" i="26" s="1"/>
  <c r="L352" i="26"/>
  <c r="I352" i="26"/>
  <c r="H352" i="26"/>
  <c r="F352" i="26"/>
  <c r="E352" i="26"/>
  <c r="Y351" i="26"/>
  <c r="Z351" i="26" s="1"/>
  <c r="AA351" i="26" s="1"/>
  <c r="T351" i="26"/>
  <c r="Q351" i="26"/>
  <c r="P351" i="26"/>
  <c r="N351" i="26"/>
  <c r="M351" i="26"/>
  <c r="V351" i="26" s="1"/>
  <c r="L351" i="26"/>
  <c r="I351" i="26"/>
  <c r="H351" i="26"/>
  <c r="F351" i="26"/>
  <c r="E351" i="26"/>
  <c r="X350" i="26"/>
  <c r="T350" i="26"/>
  <c r="Q350" i="26"/>
  <c r="P350" i="26"/>
  <c r="M350" i="26"/>
  <c r="L350" i="26"/>
  <c r="I350" i="26"/>
  <c r="H350" i="26"/>
  <c r="E350" i="26"/>
  <c r="X349" i="26"/>
  <c r="T349" i="26"/>
  <c r="Q349" i="26"/>
  <c r="P349" i="26"/>
  <c r="M349" i="26"/>
  <c r="L349" i="26"/>
  <c r="I349" i="26"/>
  <c r="H349" i="26"/>
  <c r="E349" i="26"/>
  <c r="X348" i="26"/>
  <c r="T348" i="26"/>
  <c r="Q348" i="26"/>
  <c r="P348" i="26"/>
  <c r="M348" i="26"/>
  <c r="L348" i="26"/>
  <c r="I348" i="26"/>
  <c r="H348" i="26"/>
  <c r="E348" i="26"/>
  <c r="V348" i="26" s="1"/>
  <c r="X347" i="26"/>
  <c r="T347" i="26"/>
  <c r="Q347" i="26"/>
  <c r="P347" i="26"/>
  <c r="M347" i="26"/>
  <c r="L347" i="26"/>
  <c r="I347" i="26"/>
  <c r="H347" i="26"/>
  <c r="E347" i="26"/>
  <c r="X346" i="26"/>
  <c r="V346" i="26"/>
  <c r="T346" i="26"/>
  <c r="Q346" i="26"/>
  <c r="P346" i="26"/>
  <c r="M346" i="26"/>
  <c r="L346" i="26"/>
  <c r="I346" i="26"/>
  <c r="H346" i="26"/>
  <c r="E346" i="26"/>
  <c r="X345" i="26"/>
  <c r="V345" i="26"/>
  <c r="N345" i="26" s="1"/>
  <c r="T345" i="26"/>
  <c r="R345" i="26" s="1"/>
  <c r="Q345" i="26"/>
  <c r="P345" i="26"/>
  <c r="M345" i="26"/>
  <c r="L345" i="26"/>
  <c r="J345" i="26"/>
  <c r="I345" i="26"/>
  <c r="H345" i="26"/>
  <c r="E345" i="26"/>
  <c r="X344" i="26"/>
  <c r="V344" i="26"/>
  <c r="T344" i="26"/>
  <c r="R344" i="26" s="1"/>
  <c r="Q344" i="26"/>
  <c r="P344" i="26"/>
  <c r="M344" i="26"/>
  <c r="L344" i="26"/>
  <c r="I344" i="26"/>
  <c r="H344" i="26"/>
  <c r="E344" i="26"/>
  <c r="Y343" i="26"/>
  <c r="Z343" i="26" s="1"/>
  <c r="AA343" i="26" s="1"/>
  <c r="X343" i="26"/>
  <c r="V343" i="26"/>
  <c r="R343" i="26" s="1"/>
  <c r="T343" i="26"/>
  <c r="Q343" i="26"/>
  <c r="P343" i="26"/>
  <c r="N343" i="26"/>
  <c r="M343" i="26"/>
  <c r="L343" i="26"/>
  <c r="J343" i="26" s="1"/>
  <c r="I343" i="26"/>
  <c r="H343" i="26"/>
  <c r="F343" i="26"/>
  <c r="E343" i="26"/>
  <c r="Z342" i="26"/>
  <c r="AA342" i="26" s="1"/>
  <c r="Y342" i="26"/>
  <c r="X342" i="26"/>
  <c r="V342" i="26"/>
  <c r="T342" i="26"/>
  <c r="R342" i="26"/>
  <c r="Q342" i="26"/>
  <c r="P342" i="26"/>
  <c r="N342" i="26"/>
  <c r="M342" i="26"/>
  <c r="L342" i="26"/>
  <c r="J342" i="26" s="1"/>
  <c r="I342" i="26"/>
  <c r="H342" i="26"/>
  <c r="F342" i="26" s="1"/>
  <c r="E342" i="26"/>
  <c r="Z341" i="26"/>
  <c r="AA341" i="26" s="1"/>
  <c r="Y341" i="26"/>
  <c r="X341" i="26"/>
  <c r="V341" i="26"/>
  <c r="T341" i="26"/>
  <c r="R341" i="26" s="1"/>
  <c r="Q341" i="26"/>
  <c r="P341" i="26"/>
  <c r="N341" i="26"/>
  <c r="M341" i="26"/>
  <c r="L341" i="26"/>
  <c r="J341" i="26"/>
  <c r="I341" i="26"/>
  <c r="H341" i="26"/>
  <c r="F341" i="26"/>
  <c r="E341" i="26"/>
  <c r="X340" i="26"/>
  <c r="V340" i="26"/>
  <c r="T340" i="26"/>
  <c r="Q340" i="26"/>
  <c r="P340" i="26"/>
  <c r="N340" i="26" s="1"/>
  <c r="M340" i="26"/>
  <c r="L340" i="26"/>
  <c r="I340" i="26"/>
  <c r="H340" i="26"/>
  <c r="E340" i="26"/>
  <c r="Y339" i="26"/>
  <c r="Z339" i="26" s="1"/>
  <c r="AA339" i="26" s="1"/>
  <c r="X339" i="26"/>
  <c r="T339" i="26"/>
  <c r="R339" i="26"/>
  <c r="Q339" i="26"/>
  <c r="P339" i="26"/>
  <c r="N339" i="26" s="1"/>
  <c r="M339" i="26"/>
  <c r="L339" i="26"/>
  <c r="J339" i="26"/>
  <c r="I339" i="26"/>
  <c r="H339" i="26"/>
  <c r="F339" i="26" s="1"/>
  <c r="E339" i="26"/>
  <c r="Y338" i="26"/>
  <c r="Z338" i="26" s="1"/>
  <c r="AA338" i="26" s="1"/>
  <c r="X338" i="26"/>
  <c r="T338" i="26"/>
  <c r="R338" i="26"/>
  <c r="Q338" i="26"/>
  <c r="P338" i="26"/>
  <c r="N338" i="26" s="1"/>
  <c r="M338" i="26"/>
  <c r="L338" i="26"/>
  <c r="J338" i="26"/>
  <c r="I338" i="26"/>
  <c r="H338" i="26"/>
  <c r="F338" i="26"/>
  <c r="E338" i="26"/>
  <c r="X337" i="26"/>
  <c r="T337" i="26"/>
  <c r="Q337" i="26"/>
  <c r="P337" i="26"/>
  <c r="M337" i="26"/>
  <c r="L337" i="26"/>
  <c r="I337" i="26"/>
  <c r="H337" i="26"/>
  <c r="E337" i="26"/>
  <c r="V337" i="26" s="1"/>
  <c r="X336" i="26"/>
  <c r="T336" i="26"/>
  <c r="Q336" i="26"/>
  <c r="P336" i="26"/>
  <c r="M336" i="26"/>
  <c r="V336" i="26" s="1"/>
  <c r="L336" i="26"/>
  <c r="I336" i="26"/>
  <c r="H336" i="26"/>
  <c r="E336" i="26"/>
  <c r="X335" i="26"/>
  <c r="V335" i="26"/>
  <c r="T335" i="26"/>
  <c r="Q335" i="26"/>
  <c r="P335" i="26"/>
  <c r="M335" i="26"/>
  <c r="L335" i="26"/>
  <c r="I335" i="26"/>
  <c r="H335" i="26"/>
  <c r="E335" i="26"/>
  <c r="X334" i="26"/>
  <c r="T334" i="26"/>
  <c r="Q334" i="26"/>
  <c r="P334" i="26"/>
  <c r="M334" i="26"/>
  <c r="L334" i="26"/>
  <c r="I334" i="26"/>
  <c r="H334" i="26"/>
  <c r="E334" i="26"/>
  <c r="V334" i="26" s="1"/>
  <c r="X333" i="26"/>
  <c r="T333" i="26"/>
  <c r="Q333" i="26"/>
  <c r="P333" i="26"/>
  <c r="M333" i="26"/>
  <c r="V333" i="26" s="1"/>
  <c r="L333" i="26"/>
  <c r="I333" i="26"/>
  <c r="H333" i="26"/>
  <c r="E333" i="26"/>
  <c r="AA332" i="26"/>
  <c r="Y332" i="26"/>
  <c r="Z332" i="26" s="1"/>
  <c r="X332" i="26"/>
  <c r="T332" i="26"/>
  <c r="Q332" i="26"/>
  <c r="P332" i="26"/>
  <c r="N332" i="26"/>
  <c r="M332" i="26"/>
  <c r="L332" i="26"/>
  <c r="I332" i="26"/>
  <c r="H332" i="26"/>
  <c r="E332" i="26"/>
  <c r="V332" i="26" s="1"/>
  <c r="X331" i="26"/>
  <c r="T331" i="26"/>
  <c r="Q331" i="26"/>
  <c r="P331" i="26"/>
  <c r="M331" i="26"/>
  <c r="L331" i="26"/>
  <c r="I331" i="26"/>
  <c r="H331" i="26"/>
  <c r="E331" i="26"/>
  <c r="V331" i="26" s="1"/>
  <c r="X330" i="26"/>
  <c r="T330" i="26"/>
  <c r="Q330" i="26"/>
  <c r="P330" i="26"/>
  <c r="M330" i="26"/>
  <c r="L330" i="26"/>
  <c r="I330" i="26"/>
  <c r="H330" i="26"/>
  <c r="E330" i="26"/>
  <c r="V330" i="26" s="1"/>
  <c r="X329" i="26"/>
  <c r="T329" i="26"/>
  <c r="R329" i="26" s="1"/>
  <c r="Q329" i="26"/>
  <c r="P329" i="26"/>
  <c r="M329" i="26"/>
  <c r="L329" i="26"/>
  <c r="I329" i="26"/>
  <c r="H329" i="26"/>
  <c r="F329" i="26"/>
  <c r="E329" i="26"/>
  <c r="V329" i="26" s="1"/>
  <c r="X328" i="26"/>
  <c r="V328" i="26"/>
  <c r="T328" i="26"/>
  <c r="R328" i="26"/>
  <c r="Q328" i="26"/>
  <c r="P328" i="26"/>
  <c r="M328" i="26"/>
  <c r="L328" i="26"/>
  <c r="I328" i="26"/>
  <c r="H328" i="26"/>
  <c r="F328" i="26"/>
  <c r="E328" i="26"/>
  <c r="X327" i="26"/>
  <c r="V327" i="26"/>
  <c r="T327" i="26"/>
  <c r="Q327" i="26"/>
  <c r="P327" i="26"/>
  <c r="M327" i="26"/>
  <c r="L327" i="26"/>
  <c r="I327" i="26"/>
  <c r="H327" i="26"/>
  <c r="E327" i="26"/>
  <c r="X326" i="26"/>
  <c r="T326" i="26"/>
  <c r="Q326" i="26"/>
  <c r="P326" i="26"/>
  <c r="M326" i="26"/>
  <c r="V326" i="26" s="1"/>
  <c r="L326" i="26"/>
  <c r="I326" i="26"/>
  <c r="H326" i="26"/>
  <c r="E326" i="26"/>
  <c r="X325" i="26"/>
  <c r="T325" i="26"/>
  <c r="Q325" i="26"/>
  <c r="P325" i="26"/>
  <c r="M325" i="26"/>
  <c r="L325" i="26"/>
  <c r="I325" i="26"/>
  <c r="H325" i="26"/>
  <c r="E325" i="26"/>
  <c r="Y324" i="26"/>
  <c r="Z324" i="26" s="1"/>
  <c r="AA324" i="26" s="1"/>
  <c r="X324" i="26"/>
  <c r="T324" i="26"/>
  <c r="Q324" i="26"/>
  <c r="P324" i="26"/>
  <c r="N324" i="26"/>
  <c r="M324" i="26"/>
  <c r="L324" i="26"/>
  <c r="I324" i="26"/>
  <c r="H324" i="26"/>
  <c r="E324" i="26"/>
  <c r="V324" i="26" s="1"/>
  <c r="X323" i="26"/>
  <c r="T323" i="26"/>
  <c r="Q323" i="26"/>
  <c r="P323" i="26"/>
  <c r="N323" i="26" s="1"/>
  <c r="M323" i="26"/>
  <c r="L323" i="26"/>
  <c r="J323" i="26"/>
  <c r="I323" i="26"/>
  <c r="H323" i="26"/>
  <c r="E323" i="26"/>
  <c r="V323" i="26" s="1"/>
  <c r="X322" i="26"/>
  <c r="T322" i="26"/>
  <c r="Q322" i="26"/>
  <c r="P322" i="26"/>
  <c r="M322" i="26"/>
  <c r="L322" i="26"/>
  <c r="I322" i="26"/>
  <c r="H322" i="26"/>
  <c r="E322" i="26"/>
  <c r="V322" i="26" s="1"/>
  <c r="X321" i="26"/>
  <c r="T321" i="26"/>
  <c r="R321" i="26"/>
  <c r="Q321" i="26"/>
  <c r="P321" i="26"/>
  <c r="M321" i="26"/>
  <c r="L321" i="26"/>
  <c r="I321" i="26"/>
  <c r="H321" i="26"/>
  <c r="E321" i="26"/>
  <c r="V321" i="26" s="1"/>
  <c r="X320" i="26"/>
  <c r="V320" i="26"/>
  <c r="T320" i="26"/>
  <c r="R320" i="26"/>
  <c r="Q320" i="26"/>
  <c r="P320" i="26"/>
  <c r="M320" i="26"/>
  <c r="L320" i="26"/>
  <c r="I320" i="26"/>
  <c r="H320" i="26"/>
  <c r="F320" i="26"/>
  <c r="E320" i="26"/>
  <c r="X319" i="26"/>
  <c r="V319" i="26"/>
  <c r="T319" i="26"/>
  <c r="Q319" i="26"/>
  <c r="P319" i="26"/>
  <c r="M319" i="26"/>
  <c r="L319" i="26"/>
  <c r="I319" i="26"/>
  <c r="H319" i="26"/>
  <c r="E319" i="26"/>
  <c r="X318" i="26"/>
  <c r="V318" i="26"/>
  <c r="T318" i="26"/>
  <c r="Q318" i="26"/>
  <c r="P318" i="26"/>
  <c r="M318" i="26"/>
  <c r="L318" i="26"/>
  <c r="I318" i="26"/>
  <c r="H318" i="26"/>
  <c r="F318" i="26"/>
  <c r="E318" i="26"/>
  <c r="X317" i="26"/>
  <c r="T317" i="26"/>
  <c r="Q317" i="26"/>
  <c r="P317" i="26"/>
  <c r="M317" i="26"/>
  <c r="L317" i="26"/>
  <c r="I317" i="26"/>
  <c r="H317" i="26"/>
  <c r="E317" i="26"/>
  <c r="Y316" i="26"/>
  <c r="Z316" i="26" s="1"/>
  <c r="AA316" i="26" s="1"/>
  <c r="X316" i="26"/>
  <c r="T316" i="26"/>
  <c r="Q316" i="26"/>
  <c r="P316" i="26"/>
  <c r="N316" i="26"/>
  <c r="M316" i="26"/>
  <c r="L316" i="26"/>
  <c r="I316" i="26"/>
  <c r="H316" i="26"/>
  <c r="E316" i="26"/>
  <c r="V316" i="26" s="1"/>
  <c r="X315" i="26"/>
  <c r="T315" i="26"/>
  <c r="Q315" i="26"/>
  <c r="P315" i="26"/>
  <c r="N315" i="26" s="1"/>
  <c r="M315" i="26"/>
  <c r="L315" i="26"/>
  <c r="I315" i="26"/>
  <c r="H315" i="26"/>
  <c r="E315" i="26"/>
  <c r="V315" i="26" s="1"/>
  <c r="X314" i="26"/>
  <c r="T314" i="26"/>
  <c r="Q314" i="26"/>
  <c r="P314" i="26"/>
  <c r="M314" i="26"/>
  <c r="L314" i="26"/>
  <c r="I314" i="26"/>
  <c r="H314" i="26"/>
  <c r="E314" i="26"/>
  <c r="V314" i="26" s="1"/>
  <c r="X313" i="26"/>
  <c r="T313" i="26"/>
  <c r="R313" i="26" s="1"/>
  <c r="Q313" i="26"/>
  <c r="P313" i="26"/>
  <c r="M313" i="26"/>
  <c r="L313" i="26"/>
  <c r="I313" i="26"/>
  <c r="H313" i="26"/>
  <c r="F313" i="26"/>
  <c r="E313" i="26"/>
  <c r="V313" i="26" s="1"/>
  <c r="X312" i="26"/>
  <c r="V312" i="26"/>
  <c r="T312" i="26"/>
  <c r="R312" i="26"/>
  <c r="Q312" i="26"/>
  <c r="P312" i="26"/>
  <c r="M312" i="26"/>
  <c r="L312" i="26"/>
  <c r="I312" i="26"/>
  <c r="H312" i="26"/>
  <c r="F312" i="26"/>
  <c r="E312" i="26"/>
  <c r="X311" i="26"/>
  <c r="V311" i="26"/>
  <c r="T311" i="26"/>
  <c r="Q311" i="26"/>
  <c r="P311" i="26"/>
  <c r="M311" i="26"/>
  <c r="L311" i="26"/>
  <c r="I311" i="26"/>
  <c r="H311" i="26"/>
  <c r="E311" i="26"/>
  <c r="X310" i="26"/>
  <c r="V310" i="26"/>
  <c r="T310" i="26"/>
  <c r="Q310" i="26"/>
  <c r="P310" i="26"/>
  <c r="N310" i="26" s="1"/>
  <c r="M310" i="26"/>
  <c r="L310" i="26"/>
  <c r="I310" i="26"/>
  <c r="H310" i="26"/>
  <c r="F310" i="26"/>
  <c r="E310" i="26"/>
  <c r="X309" i="26"/>
  <c r="T309" i="26"/>
  <c r="Q309" i="26"/>
  <c r="P309" i="26"/>
  <c r="M309" i="26"/>
  <c r="L309" i="26"/>
  <c r="I309" i="26"/>
  <c r="H309" i="26"/>
  <c r="E309" i="26"/>
  <c r="Y308" i="26"/>
  <c r="Z308" i="26" s="1"/>
  <c r="AA308" i="26" s="1"/>
  <c r="X308" i="26"/>
  <c r="T308" i="26"/>
  <c r="Q308" i="26"/>
  <c r="P308" i="26"/>
  <c r="N308" i="26"/>
  <c r="M308" i="26"/>
  <c r="L308" i="26"/>
  <c r="I308" i="26"/>
  <c r="H308" i="26"/>
  <c r="E308" i="26"/>
  <c r="V308" i="26" s="1"/>
  <c r="X307" i="26"/>
  <c r="T307" i="26"/>
  <c r="Q307" i="26"/>
  <c r="P307" i="26"/>
  <c r="M307" i="26"/>
  <c r="L307" i="26"/>
  <c r="J307" i="26"/>
  <c r="I307" i="26"/>
  <c r="H307" i="26"/>
  <c r="E307" i="26"/>
  <c r="V307" i="26" s="1"/>
  <c r="X306" i="26"/>
  <c r="T306" i="26"/>
  <c r="Q306" i="26"/>
  <c r="P306" i="26"/>
  <c r="M306" i="26"/>
  <c r="L306" i="26"/>
  <c r="I306" i="26"/>
  <c r="H306" i="26"/>
  <c r="E306" i="26"/>
  <c r="V306" i="26" s="1"/>
  <c r="X305" i="26"/>
  <c r="V305" i="26"/>
  <c r="T305" i="26"/>
  <c r="R305" i="26" s="1"/>
  <c r="Q305" i="26"/>
  <c r="P305" i="26"/>
  <c r="M305" i="26"/>
  <c r="L305" i="26"/>
  <c r="I305" i="26"/>
  <c r="H305" i="26"/>
  <c r="E305" i="26"/>
  <c r="X304" i="26"/>
  <c r="V304" i="26"/>
  <c r="T304" i="26"/>
  <c r="Q304" i="26"/>
  <c r="P304" i="26"/>
  <c r="M304" i="26"/>
  <c r="L304" i="26"/>
  <c r="I304" i="26"/>
  <c r="H304" i="26"/>
  <c r="E304" i="26"/>
  <c r="X303" i="26"/>
  <c r="T303" i="26"/>
  <c r="Q303" i="26"/>
  <c r="P303" i="26"/>
  <c r="N303" i="26"/>
  <c r="M303" i="26"/>
  <c r="L303" i="26"/>
  <c r="I303" i="26"/>
  <c r="V303" i="26" s="1"/>
  <c r="H303" i="26"/>
  <c r="E303" i="26"/>
  <c r="X302" i="26"/>
  <c r="T302" i="26"/>
  <c r="Q302" i="26"/>
  <c r="P302" i="26"/>
  <c r="M302" i="26"/>
  <c r="L302" i="26"/>
  <c r="J302" i="26"/>
  <c r="I302" i="26"/>
  <c r="V302" i="26" s="1"/>
  <c r="H302" i="26"/>
  <c r="E302" i="26"/>
  <c r="X301" i="26"/>
  <c r="V301" i="26"/>
  <c r="T301" i="26"/>
  <c r="Q301" i="26"/>
  <c r="P301" i="26"/>
  <c r="M301" i="26"/>
  <c r="L301" i="26"/>
  <c r="I301" i="26"/>
  <c r="H301" i="26"/>
  <c r="E301" i="26"/>
  <c r="X300" i="26"/>
  <c r="T300" i="26"/>
  <c r="Q300" i="26"/>
  <c r="P300" i="26"/>
  <c r="M300" i="26"/>
  <c r="L300" i="26"/>
  <c r="I300" i="26"/>
  <c r="H300" i="26"/>
  <c r="E300" i="26"/>
  <c r="X299" i="26"/>
  <c r="T299" i="26"/>
  <c r="Q299" i="26"/>
  <c r="P299" i="26"/>
  <c r="M299" i="26"/>
  <c r="L299" i="26"/>
  <c r="I299" i="26"/>
  <c r="H299" i="26"/>
  <c r="E299" i="26"/>
  <c r="V299" i="26" s="1"/>
  <c r="X298" i="26"/>
  <c r="T298" i="26"/>
  <c r="R298" i="26" s="1"/>
  <c r="Q298" i="26"/>
  <c r="P298" i="26"/>
  <c r="M298" i="26"/>
  <c r="L298" i="26"/>
  <c r="I298" i="26"/>
  <c r="H298" i="26"/>
  <c r="E298" i="26"/>
  <c r="V298" i="26" s="1"/>
  <c r="X297" i="26"/>
  <c r="T297" i="26"/>
  <c r="R297" i="26" s="1"/>
  <c r="Q297" i="26"/>
  <c r="P297" i="26"/>
  <c r="M297" i="26"/>
  <c r="V297" i="26" s="1"/>
  <c r="L297" i="26"/>
  <c r="I297" i="26"/>
  <c r="H297" i="26"/>
  <c r="E297" i="26"/>
  <c r="X296" i="26"/>
  <c r="V296" i="26"/>
  <c r="T296" i="26"/>
  <c r="Q296" i="26"/>
  <c r="P296" i="26"/>
  <c r="M296" i="26"/>
  <c r="L296" i="26"/>
  <c r="J296" i="26"/>
  <c r="I296" i="26"/>
  <c r="H296" i="26"/>
  <c r="E296" i="26"/>
  <c r="X295" i="26"/>
  <c r="V295" i="26"/>
  <c r="T295" i="26"/>
  <c r="Q295" i="26"/>
  <c r="P295" i="26"/>
  <c r="M295" i="26"/>
  <c r="L295" i="26"/>
  <c r="I295" i="26"/>
  <c r="H295" i="26"/>
  <c r="E295" i="26"/>
  <c r="X294" i="26"/>
  <c r="T294" i="26"/>
  <c r="Q294" i="26"/>
  <c r="P294" i="26"/>
  <c r="M294" i="26"/>
  <c r="L294" i="26"/>
  <c r="J294" i="26"/>
  <c r="I294" i="26"/>
  <c r="V294" i="26" s="1"/>
  <c r="H294" i="26"/>
  <c r="E294" i="26"/>
  <c r="X293" i="26"/>
  <c r="V293" i="26"/>
  <c r="T293" i="26"/>
  <c r="Q293" i="26"/>
  <c r="P293" i="26"/>
  <c r="N293" i="26"/>
  <c r="M293" i="26"/>
  <c r="L293" i="26"/>
  <c r="I293" i="26"/>
  <c r="H293" i="26"/>
  <c r="E293" i="26"/>
  <c r="X292" i="26"/>
  <c r="T292" i="26"/>
  <c r="Q292" i="26"/>
  <c r="P292" i="26"/>
  <c r="M292" i="26"/>
  <c r="L292" i="26"/>
  <c r="I292" i="26"/>
  <c r="H292" i="26"/>
  <c r="E292" i="26"/>
  <c r="X290" i="26"/>
  <c r="V290" i="26"/>
  <c r="T290" i="26"/>
  <c r="R290" i="26" s="1"/>
  <c r="Q290" i="26"/>
  <c r="P290" i="26"/>
  <c r="N290" i="26" s="1"/>
  <c r="M290" i="26"/>
  <c r="L290" i="26"/>
  <c r="J290" i="26"/>
  <c r="I290" i="26"/>
  <c r="H290" i="26"/>
  <c r="E290" i="26"/>
  <c r="X289" i="26"/>
  <c r="V289" i="26"/>
  <c r="T289" i="26"/>
  <c r="R289" i="26" s="1"/>
  <c r="Q289" i="26"/>
  <c r="P289" i="26"/>
  <c r="N289" i="26"/>
  <c r="M289" i="26"/>
  <c r="L289" i="26"/>
  <c r="I289" i="26"/>
  <c r="H289" i="26"/>
  <c r="E289" i="26"/>
  <c r="X288" i="26"/>
  <c r="V288" i="26"/>
  <c r="T288" i="26"/>
  <c r="R288" i="26" s="1"/>
  <c r="Q288" i="26"/>
  <c r="P288" i="26"/>
  <c r="M288" i="26"/>
  <c r="L288" i="26"/>
  <c r="I288" i="26"/>
  <c r="H288" i="26"/>
  <c r="E288" i="26"/>
  <c r="X287" i="26"/>
  <c r="V287" i="26"/>
  <c r="T287" i="26"/>
  <c r="Q287" i="26"/>
  <c r="P287" i="26"/>
  <c r="M287" i="26"/>
  <c r="L287" i="26"/>
  <c r="J287" i="26"/>
  <c r="I287" i="26"/>
  <c r="H287" i="26"/>
  <c r="E287" i="26"/>
  <c r="X286" i="26"/>
  <c r="V286" i="26"/>
  <c r="T286" i="26"/>
  <c r="R286" i="26" s="1"/>
  <c r="Q286" i="26"/>
  <c r="P286" i="26"/>
  <c r="N286" i="26"/>
  <c r="M286" i="26"/>
  <c r="L286" i="26"/>
  <c r="I286" i="26"/>
  <c r="H286" i="26"/>
  <c r="E286" i="26"/>
  <c r="X285" i="26"/>
  <c r="T285" i="26"/>
  <c r="Q285" i="26"/>
  <c r="P285" i="26"/>
  <c r="M285" i="26"/>
  <c r="L285" i="26"/>
  <c r="I285" i="26"/>
  <c r="V285" i="26" s="1"/>
  <c r="H285" i="26"/>
  <c r="E285" i="26"/>
  <c r="X284" i="26"/>
  <c r="V284" i="26"/>
  <c r="T284" i="26"/>
  <c r="Q284" i="26"/>
  <c r="P284" i="26"/>
  <c r="M284" i="26"/>
  <c r="L284" i="26"/>
  <c r="I284" i="26"/>
  <c r="H284" i="26"/>
  <c r="E284" i="26"/>
  <c r="X283" i="26"/>
  <c r="T283" i="26"/>
  <c r="Q283" i="26"/>
  <c r="P283" i="26"/>
  <c r="M283" i="26"/>
  <c r="L283" i="26"/>
  <c r="I283" i="26"/>
  <c r="H283" i="26"/>
  <c r="E283" i="26"/>
  <c r="X282" i="26"/>
  <c r="V282" i="26"/>
  <c r="T282" i="26"/>
  <c r="R282" i="26" s="1"/>
  <c r="Q282" i="26"/>
  <c r="P282" i="26"/>
  <c r="N282" i="26" s="1"/>
  <c r="M282" i="26"/>
  <c r="L282" i="26"/>
  <c r="J282" i="26"/>
  <c r="I282" i="26"/>
  <c r="H282" i="26"/>
  <c r="E282" i="26"/>
  <c r="X281" i="26"/>
  <c r="T281" i="26"/>
  <c r="R281" i="26" s="1"/>
  <c r="Q281" i="26"/>
  <c r="P281" i="26"/>
  <c r="M281" i="26"/>
  <c r="L281" i="26"/>
  <c r="I281" i="26"/>
  <c r="H281" i="26"/>
  <c r="E281" i="26"/>
  <c r="V281" i="26" s="1"/>
  <c r="X280" i="26"/>
  <c r="V280" i="26"/>
  <c r="T280" i="26"/>
  <c r="R280" i="26" s="1"/>
  <c r="Q280" i="26"/>
  <c r="P280" i="26"/>
  <c r="M280" i="26"/>
  <c r="L280" i="26"/>
  <c r="I280" i="26"/>
  <c r="H280" i="26"/>
  <c r="E280" i="26"/>
  <c r="X279" i="26"/>
  <c r="V279" i="26"/>
  <c r="T279" i="26"/>
  <c r="Q279" i="26"/>
  <c r="P279" i="26"/>
  <c r="M279" i="26"/>
  <c r="L279" i="26"/>
  <c r="I279" i="26"/>
  <c r="H279" i="26"/>
  <c r="E279" i="26"/>
  <c r="X278" i="26"/>
  <c r="V278" i="26"/>
  <c r="T278" i="26"/>
  <c r="R278" i="26" s="1"/>
  <c r="Q278" i="26"/>
  <c r="P278" i="26"/>
  <c r="M278" i="26"/>
  <c r="L278" i="26"/>
  <c r="I278" i="26"/>
  <c r="H278" i="26"/>
  <c r="E278" i="26"/>
  <c r="X277" i="26"/>
  <c r="T277" i="26"/>
  <c r="Q277" i="26"/>
  <c r="P277" i="26"/>
  <c r="M277" i="26"/>
  <c r="L277" i="26"/>
  <c r="I277" i="26"/>
  <c r="V277" i="26" s="1"/>
  <c r="H277" i="26"/>
  <c r="E277" i="26"/>
  <c r="X276" i="26"/>
  <c r="V276" i="26"/>
  <c r="T276" i="26"/>
  <c r="Q276" i="26"/>
  <c r="P276" i="26"/>
  <c r="N276" i="26"/>
  <c r="M276" i="26"/>
  <c r="L276" i="26"/>
  <c r="I276" i="26"/>
  <c r="H276" i="26"/>
  <c r="E276" i="26"/>
  <c r="X275" i="26"/>
  <c r="T275" i="26"/>
  <c r="Q275" i="26"/>
  <c r="P275" i="26"/>
  <c r="M275" i="26"/>
  <c r="L275" i="26"/>
  <c r="I275" i="26"/>
  <c r="H275" i="26"/>
  <c r="E275" i="26"/>
  <c r="X274" i="26"/>
  <c r="V274" i="26"/>
  <c r="T274" i="26"/>
  <c r="R274" i="26" s="1"/>
  <c r="Q274" i="26"/>
  <c r="P274" i="26"/>
  <c r="N274" i="26" s="1"/>
  <c r="M274" i="26"/>
  <c r="L274" i="26"/>
  <c r="J274" i="26"/>
  <c r="I274" i="26"/>
  <c r="H274" i="26"/>
  <c r="E274" i="26"/>
  <c r="X273" i="26"/>
  <c r="T273" i="26"/>
  <c r="Q273" i="26"/>
  <c r="P273" i="26"/>
  <c r="M273" i="26"/>
  <c r="L273" i="26"/>
  <c r="I273" i="26"/>
  <c r="H273" i="26"/>
  <c r="E273" i="26"/>
  <c r="V273" i="26" s="1"/>
  <c r="X272" i="26"/>
  <c r="V272" i="26"/>
  <c r="T272" i="26"/>
  <c r="R272" i="26" s="1"/>
  <c r="Q272" i="26"/>
  <c r="P272" i="26"/>
  <c r="M272" i="26"/>
  <c r="L272" i="26"/>
  <c r="I272" i="26"/>
  <c r="H272" i="26"/>
  <c r="E272" i="26"/>
  <c r="X271" i="26"/>
  <c r="V271" i="26"/>
  <c r="T271" i="26"/>
  <c r="Q271" i="26"/>
  <c r="P271" i="26"/>
  <c r="M271" i="26"/>
  <c r="L271" i="26"/>
  <c r="J271" i="26"/>
  <c r="I271" i="26"/>
  <c r="H271" i="26"/>
  <c r="E271" i="26"/>
  <c r="X270" i="26"/>
  <c r="T270" i="26"/>
  <c r="Q270" i="26"/>
  <c r="P270" i="26"/>
  <c r="N270" i="26"/>
  <c r="M270" i="26"/>
  <c r="L270" i="26"/>
  <c r="I270" i="26"/>
  <c r="V270" i="26" s="1"/>
  <c r="H270" i="26"/>
  <c r="E270" i="26"/>
  <c r="X269" i="26"/>
  <c r="T269" i="26"/>
  <c r="Q269" i="26"/>
  <c r="P269" i="26"/>
  <c r="M269" i="26"/>
  <c r="L269" i="26"/>
  <c r="I269" i="26"/>
  <c r="V269" i="26" s="1"/>
  <c r="J269" i="26" s="1"/>
  <c r="H269" i="26"/>
  <c r="E269" i="26"/>
  <c r="X268" i="26"/>
  <c r="V268" i="26"/>
  <c r="T268" i="26"/>
  <c r="Q268" i="26"/>
  <c r="P268" i="26"/>
  <c r="M268" i="26"/>
  <c r="L268" i="26"/>
  <c r="I268" i="26"/>
  <c r="H268" i="26"/>
  <c r="E268" i="26"/>
  <c r="X266" i="26"/>
  <c r="T266" i="26"/>
  <c r="Q266" i="26"/>
  <c r="P266" i="26"/>
  <c r="M266" i="26"/>
  <c r="L266" i="26"/>
  <c r="I266" i="26"/>
  <c r="H266" i="26"/>
  <c r="E266" i="26"/>
  <c r="X265" i="26"/>
  <c r="T265" i="26"/>
  <c r="Q265" i="26"/>
  <c r="P265" i="26"/>
  <c r="M265" i="26"/>
  <c r="L265" i="26"/>
  <c r="I265" i="26"/>
  <c r="H265" i="26"/>
  <c r="E265" i="26"/>
  <c r="V265" i="26" s="1"/>
  <c r="X264" i="26"/>
  <c r="V264" i="26"/>
  <c r="T264" i="26"/>
  <c r="R264" i="26" s="1"/>
  <c r="Q264" i="26"/>
  <c r="P264" i="26"/>
  <c r="M264" i="26"/>
  <c r="L264" i="26"/>
  <c r="I264" i="26"/>
  <c r="H264" i="26"/>
  <c r="E264" i="26"/>
  <c r="X263" i="26"/>
  <c r="V263" i="26"/>
  <c r="T263" i="26"/>
  <c r="R263" i="26" s="1"/>
  <c r="Q263" i="26"/>
  <c r="P263" i="26"/>
  <c r="M263" i="26"/>
  <c r="L263" i="26"/>
  <c r="I263" i="26"/>
  <c r="H263" i="26"/>
  <c r="E263" i="26"/>
  <c r="X262" i="26"/>
  <c r="V262" i="26"/>
  <c r="T262" i="26"/>
  <c r="Q262" i="26"/>
  <c r="P262" i="26"/>
  <c r="M262" i="26"/>
  <c r="L262" i="26"/>
  <c r="I262" i="26"/>
  <c r="H262" i="26"/>
  <c r="E262" i="26"/>
  <c r="X261" i="26"/>
  <c r="V261" i="26"/>
  <c r="T261" i="26"/>
  <c r="Q261" i="26"/>
  <c r="P261" i="26"/>
  <c r="M261" i="26"/>
  <c r="L261" i="26"/>
  <c r="I261" i="26"/>
  <c r="H261" i="26"/>
  <c r="E261" i="26"/>
  <c r="X260" i="26"/>
  <c r="T260" i="26"/>
  <c r="Q260" i="26"/>
  <c r="P260" i="26"/>
  <c r="M260" i="26"/>
  <c r="L260" i="26"/>
  <c r="I260" i="26"/>
  <c r="V260" i="26" s="1"/>
  <c r="H260" i="26"/>
  <c r="E260" i="26"/>
  <c r="X259" i="26"/>
  <c r="V259" i="26"/>
  <c r="T259" i="26"/>
  <c r="Q259" i="26"/>
  <c r="P259" i="26"/>
  <c r="N259" i="26"/>
  <c r="M259" i="26"/>
  <c r="L259" i="26"/>
  <c r="I259" i="26"/>
  <c r="H259" i="26"/>
  <c r="E259" i="26"/>
  <c r="X258" i="26"/>
  <c r="T258" i="26"/>
  <c r="Q258" i="26"/>
  <c r="P258" i="26"/>
  <c r="M258" i="26"/>
  <c r="L258" i="26"/>
  <c r="I258" i="26"/>
  <c r="H258" i="26"/>
  <c r="E258" i="26"/>
  <c r="X257" i="26"/>
  <c r="T257" i="26"/>
  <c r="Q257" i="26"/>
  <c r="P257" i="26"/>
  <c r="N257" i="26" s="1"/>
  <c r="M257" i="26"/>
  <c r="L257" i="26"/>
  <c r="J257" i="26"/>
  <c r="I257" i="26"/>
  <c r="H257" i="26"/>
  <c r="E257" i="26"/>
  <c r="V257" i="26" s="1"/>
  <c r="X256" i="26"/>
  <c r="T256" i="26"/>
  <c r="Q256" i="26"/>
  <c r="P256" i="26"/>
  <c r="M256" i="26"/>
  <c r="L256" i="26"/>
  <c r="I256" i="26"/>
  <c r="H256" i="26"/>
  <c r="E256" i="26"/>
  <c r="V256" i="26" s="1"/>
  <c r="X255" i="26"/>
  <c r="T255" i="26"/>
  <c r="Q255" i="26"/>
  <c r="P255" i="26"/>
  <c r="M255" i="26"/>
  <c r="V255" i="26" s="1"/>
  <c r="L255" i="26"/>
  <c r="I255" i="26"/>
  <c r="H255" i="26"/>
  <c r="E255" i="26"/>
  <c r="T254" i="26"/>
  <c r="Q254" i="26"/>
  <c r="P254" i="26"/>
  <c r="M254" i="26"/>
  <c r="L254" i="26"/>
  <c r="I254" i="26"/>
  <c r="H254" i="26"/>
  <c r="E254" i="26"/>
  <c r="V254" i="26" s="1"/>
  <c r="V253" i="26"/>
  <c r="R253" i="26" s="1"/>
  <c r="U253" i="26"/>
  <c r="E253" i="26" s="1"/>
  <c r="T253" i="26"/>
  <c r="Q253" i="26"/>
  <c r="P253" i="26"/>
  <c r="N253" i="26"/>
  <c r="M253" i="26"/>
  <c r="L253" i="26"/>
  <c r="I253" i="26"/>
  <c r="H253" i="26"/>
  <c r="X252" i="26"/>
  <c r="T252" i="26"/>
  <c r="Q252" i="26"/>
  <c r="P252" i="26"/>
  <c r="M252" i="26"/>
  <c r="L252" i="26"/>
  <c r="I252" i="26"/>
  <c r="H252" i="26"/>
  <c r="E252" i="26"/>
  <c r="X251" i="26"/>
  <c r="T251" i="26"/>
  <c r="Q251" i="26"/>
  <c r="P251" i="26"/>
  <c r="M251" i="26"/>
  <c r="L251" i="26"/>
  <c r="I251" i="26"/>
  <c r="V251" i="26" s="1"/>
  <c r="H251" i="26"/>
  <c r="E251" i="26"/>
  <c r="X250" i="26"/>
  <c r="T250" i="26"/>
  <c r="Q250" i="26"/>
  <c r="P250" i="26"/>
  <c r="M250" i="26"/>
  <c r="L250" i="26"/>
  <c r="I250" i="26"/>
  <c r="H250" i="26"/>
  <c r="E250" i="26"/>
  <c r="V249" i="26"/>
  <c r="Y249" i="26" s="1"/>
  <c r="Z249" i="26" s="1"/>
  <c r="AA249" i="26" s="1"/>
  <c r="T249" i="26"/>
  <c r="R249" i="26"/>
  <c r="Q249" i="26"/>
  <c r="P249" i="26"/>
  <c r="N249" i="26" s="1"/>
  <c r="M249" i="26"/>
  <c r="L249" i="26"/>
  <c r="I249" i="26"/>
  <c r="H249" i="26"/>
  <c r="F249" i="26"/>
  <c r="E249" i="26"/>
  <c r="X248" i="26"/>
  <c r="T248" i="26"/>
  <c r="Q248" i="26"/>
  <c r="P248" i="26"/>
  <c r="M248" i="26"/>
  <c r="L248" i="26"/>
  <c r="I248" i="26"/>
  <c r="H248" i="26"/>
  <c r="E248" i="26"/>
  <c r="Y247" i="26"/>
  <c r="Z247" i="26" s="1"/>
  <c r="AA247" i="26" s="1"/>
  <c r="V247" i="26"/>
  <c r="U247" i="26"/>
  <c r="T247" i="26"/>
  <c r="R247" i="26"/>
  <c r="P247" i="26"/>
  <c r="N247" i="26"/>
  <c r="M247" i="26"/>
  <c r="L247" i="26"/>
  <c r="J247" i="26"/>
  <c r="I247" i="26"/>
  <c r="H247" i="26"/>
  <c r="F247" i="26" s="1"/>
  <c r="X246" i="26"/>
  <c r="T246" i="26"/>
  <c r="Q246" i="26"/>
  <c r="P246" i="26"/>
  <c r="M246" i="26"/>
  <c r="L246" i="26"/>
  <c r="I246" i="26"/>
  <c r="H246" i="26"/>
  <c r="E246" i="26"/>
  <c r="V246" i="26" s="1"/>
  <c r="V245" i="26"/>
  <c r="U245" i="26"/>
  <c r="T245" i="26"/>
  <c r="P245" i="26"/>
  <c r="L245" i="26"/>
  <c r="H245" i="26"/>
  <c r="F245" i="26"/>
  <c r="X244" i="26"/>
  <c r="T244" i="26"/>
  <c r="Q244" i="26"/>
  <c r="P244" i="26"/>
  <c r="M244" i="26"/>
  <c r="L244" i="26"/>
  <c r="I244" i="26"/>
  <c r="V244" i="26" s="1"/>
  <c r="H244" i="26"/>
  <c r="E244" i="26"/>
  <c r="Y243" i="26"/>
  <c r="Z243" i="26" s="1"/>
  <c r="AA243" i="26" s="1"/>
  <c r="V243" i="26"/>
  <c r="F243" i="26" s="1"/>
  <c r="U243" i="26"/>
  <c r="Q243" i="26" s="1"/>
  <c r="T243" i="26"/>
  <c r="R243" i="26"/>
  <c r="P243" i="26"/>
  <c r="N243" i="26" s="1"/>
  <c r="M243" i="26"/>
  <c r="L243" i="26"/>
  <c r="J243" i="26"/>
  <c r="I243" i="26"/>
  <c r="H243" i="26"/>
  <c r="E243" i="26"/>
  <c r="X242" i="26"/>
  <c r="T242" i="26"/>
  <c r="Q242" i="26"/>
  <c r="P242" i="26"/>
  <c r="M242" i="26"/>
  <c r="L242" i="26"/>
  <c r="I242" i="26"/>
  <c r="H242" i="26"/>
  <c r="E242" i="26"/>
  <c r="V241" i="26"/>
  <c r="U241" i="26"/>
  <c r="T241" i="26"/>
  <c r="P241" i="26"/>
  <c r="L241" i="26"/>
  <c r="H241" i="26"/>
  <c r="X240" i="26"/>
  <c r="T240" i="26"/>
  <c r="Q240" i="26"/>
  <c r="P240" i="26"/>
  <c r="M240" i="26"/>
  <c r="L240" i="26"/>
  <c r="I240" i="26"/>
  <c r="H240" i="26"/>
  <c r="E240" i="26"/>
  <c r="Y239" i="26"/>
  <c r="Z239" i="26" s="1"/>
  <c r="AA239" i="26" s="1"/>
  <c r="X239" i="26"/>
  <c r="V239" i="26"/>
  <c r="T239" i="26"/>
  <c r="R239" i="26"/>
  <c r="Q239" i="26"/>
  <c r="P239" i="26"/>
  <c r="N239" i="26"/>
  <c r="M239" i="26"/>
  <c r="L239" i="26"/>
  <c r="J239" i="26"/>
  <c r="I239" i="26"/>
  <c r="H239" i="26"/>
  <c r="E239" i="26"/>
  <c r="X238" i="26"/>
  <c r="V238" i="26"/>
  <c r="T238" i="26"/>
  <c r="Q238" i="26"/>
  <c r="P238" i="26"/>
  <c r="M238" i="26"/>
  <c r="L238" i="26"/>
  <c r="J238" i="26"/>
  <c r="I238" i="26"/>
  <c r="H238" i="26"/>
  <c r="E238" i="26"/>
  <c r="Y237" i="26"/>
  <c r="Z237" i="26" s="1"/>
  <c r="AA237" i="26" s="1"/>
  <c r="V237" i="26"/>
  <c r="R237" i="26" s="1"/>
  <c r="U237" i="26"/>
  <c r="I237" i="26" s="1"/>
  <c r="T237" i="26"/>
  <c r="Q237" i="26"/>
  <c r="P237" i="26"/>
  <c r="N237" i="26" s="1"/>
  <c r="L237" i="26"/>
  <c r="J237" i="26"/>
  <c r="H237" i="26"/>
  <c r="F237" i="26"/>
  <c r="E237" i="26"/>
  <c r="X236" i="26"/>
  <c r="T236" i="26"/>
  <c r="Q236" i="26"/>
  <c r="P236" i="26"/>
  <c r="M236" i="26"/>
  <c r="L236" i="26"/>
  <c r="I236" i="26"/>
  <c r="H236" i="26"/>
  <c r="E236" i="26"/>
  <c r="Z234" i="26"/>
  <c r="AA234" i="26" s="1"/>
  <c r="T234" i="26"/>
  <c r="Q234" i="26"/>
  <c r="P234" i="26"/>
  <c r="M234" i="26"/>
  <c r="V234" i="26" s="1"/>
  <c r="L234" i="26"/>
  <c r="I234" i="26"/>
  <c r="H234" i="26"/>
  <c r="E234" i="26"/>
  <c r="X232" i="26"/>
  <c r="T232" i="26"/>
  <c r="Q232" i="26"/>
  <c r="P232" i="26"/>
  <c r="M232" i="26"/>
  <c r="L232" i="26"/>
  <c r="I232" i="26"/>
  <c r="H232" i="26"/>
  <c r="E232" i="26"/>
  <c r="X231" i="26"/>
  <c r="T231" i="26"/>
  <c r="Q231" i="26"/>
  <c r="P231" i="26"/>
  <c r="M231" i="26"/>
  <c r="L231" i="26"/>
  <c r="I231" i="26"/>
  <c r="H231" i="26"/>
  <c r="E231" i="26"/>
  <c r="X230" i="26"/>
  <c r="T230" i="26"/>
  <c r="Q230" i="26"/>
  <c r="P230" i="26"/>
  <c r="M230" i="26"/>
  <c r="L230" i="26"/>
  <c r="I230" i="26"/>
  <c r="H230" i="26"/>
  <c r="E230" i="26"/>
  <c r="X229" i="26"/>
  <c r="V229" i="26"/>
  <c r="T229" i="26"/>
  <c r="Q229" i="26"/>
  <c r="P229" i="26"/>
  <c r="M229" i="26"/>
  <c r="L229" i="26"/>
  <c r="I229" i="26"/>
  <c r="H229" i="26"/>
  <c r="E229" i="26"/>
  <c r="X228" i="26"/>
  <c r="T228" i="26"/>
  <c r="Q228" i="26"/>
  <c r="P228" i="26"/>
  <c r="M228" i="26"/>
  <c r="L228" i="26"/>
  <c r="I228" i="26"/>
  <c r="H228" i="26"/>
  <c r="E228" i="26"/>
  <c r="V228" i="26" s="1"/>
  <c r="X227" i="26"/>
  <c r="T227" i="26"/>
  <c r="R227" i="26" s="1"/>
  <c r="Q227" i="26"/>
  <c r="P227" i="26"/>
  <c r="M227" i="26"/>
  <c r="L227" i="26"/>
  <c r="I227" i="26"/>
  <c r="V227" i="26" s="1"/>
  <c r="H227" i="26"/>
  <c r="E227" i="26"/>
  <c r="X226" i="26"/>
  <c r="T226" i="26"/>
  <c r="Q226" i="26"/>
  <c r="P226" i="26"/>
  <c r="M226" i="26"/>
  <c r="L226" i="26"/>
  <c r="I226" i="26"/>
  <c r="H226" i="26"/>
  <c r="E226" i="26"/>
  <c r="V226" i="26" s="1"/>
  <c r="X225" i="26"/>
  <c r="T225" i="26"/>
  <c r="Q225" i="26"/>
  <c r="P225" i="26"/>
  <c r="M225" i="26"/>
  <c r="V225" i="26" s="1"/>
  <c r="L225" i="26"/>
  <c r="I225" i="26"/>
  <c r="H225" i="26"/>
  <c r="E225" i="26"/>
  <c r="X223" i="26"/>
  <c r="T223" i="26"/>
  <c r="Q223" i="26"/>
  <c r="P223" i="26"/>
  <c r="M223" i="26"/>
  <c r="L223" i="26"/>
  <c r="I223" i="26"/>
  <c r="H223" i="26"/>
  <c r="E223" i="26"/>
  <c r="X222" i="26"/>
  <c r="T222" i="26"/>
  <c r="Q222" i="26"/>
  <c r="P222" i="26"/>
  <c r="M222" i="26"/>
  <c r="L222" i="26"/>
  <c r="I222" i="26"/>
  <c r="H222" i="26"/>
  <c r="E222" i="26"/>
  <c r="X221" i="26"/>
  <c r="T221" i="26"/>
  <c r="Q221" i="26"/>
  <c r="P221" i="26"/>
  <c r="M221" i="26"/>
  <c r="L221" i="26"/>
  <c r="I221" i="26"/>
  <c r="V221" i="26" s="1"/>
  <c r="H221" i="26"/>
  <c r="F221" i="26"/>
  <c r="E221" i="26"/>
  <c r="X220" i="26"/>
  <c r="V220" i="26"/>
  <c r="T220" i="26"/>
  <c r="Q220" i="26"/>
  <c r="P220" i="26"/>
  <c r="M220" i="26"/>
  <c r="L220" i="26"/>
  <c r="I220" i="26"/>
  <c r="H220" i="26"/>
  <c r="E220" i="26"/>
  <c r="X219" i="26"/>
  <c r="T219" i="26"/>
  <c r="Q219" i="26"/>
  <c r="P219" i="26"/>
  <c r="M219" i="26"/>
  <c r="L219" i="26"/>
  <c r="I219" i="26"/>
  <c r="H219" i="26"/>
  <c r="E219" i="26"/>
  <c r="X218" i="26"/>
  <c r="T218" i="26"/>
  <c r="Q218" i="26"/>
  <c r="P218" i="26"/>
  <c r="N218" i="26"/>
  <c r="M218" i="26"/>
  <c r="L218" i="26"/>
  <c r="I218" i="26"/>
  <c r="V218" i="26" s="1"/>
  <c r="H218" i="26"/>
  <c r="E218" i="26"/>
  <c r="X216" i="26"/>
  <c r="T216" i="26"/>
  <c r="Q216" i="26"/>
  <c r="P216" i="26"/>
  <c r="M216" i="26"/>
  <c r="L216" i="26"/>
  <c r="I216" i="26"/>
  <c r="H216" i="26"/>
  <c r="E216" i="26"/>
  <c r="V216" i="26" s="1"/>
  <c r="X215" i="26"/>
  <c r="T215" i="26"/>
  <c r="Q215" i="26"/>
  <c r="P215" i="26"/>
  <c r="M215" i="26"/>
  <c r="V215" i="26" s="1"/>
  <c r="L215" i="26"/>
  <c r="I215" i="26"/>
  <c r="H215" i="26"/>
  <c r="E215" i="26"/>
  <c r="X214" i="26"/>
  <c r="T214" i="26"/>
  <c r="Q214" i="26"/>
  <c r="P214" i="26"/>
  <c r="M214" i="26"/>
  <c r="L214" i="26"/>
  <c r="I214" i="26"/>
  <c r="H214" i="26"/>
  <c r="E214" i="26"/>
  <c r="X213" i="26"/>
  <c r="T213" i="26"/>
  <c r="Q213" i="26"/>
  <c r="P213" i="26"/>
  <c r="M213" i="26"/>
  <c r="L213" i="26"/>
  <c r="I213" i="26"/>
  <c r="H213" i="26"/>
  <c r="E213" i="26"/>
  <c r="X212" i="26"/>
  <c r="T212" i="26"/>
  <c r="Q212" i="26"/>
  <c r="P212" i="26"/>
  <c r="M212" i="26"/>
  <c r="L212" i="26"/>
  <c r="I212" i="26"/>
  <c r="V212" i="26" s="1"/>
  <c r="H212" i="26"/>
  <c r="E212" i="26"/>
  <c r="X211" i="26"/>
  <c r="V211" i="26"/>
  <c r="T211" i="26"/>
  <c r="Q211" i="26"/>
  <c r="P211" i="26"/>
  <c r="N211" i="26" s="1"/>
  <c r="M211" i="26"/>
  <c r="L211" i="26"/>
  <c r="J211" i="26"/>
  <c r="I211" i="26"/>
  <c r="H211" i="26"/>
  <c r="E211" i="26"/>
  <c r="X210" i="26"/>
  <c r="T210" i="26"/>
  <c r="Q210" i="26"/>
  <c r="P210" i="26"/>
  <c r="M210" i="26"/>
  <c r="L210" i="26"/>
  <c r="I210" i="26"/>
  <c r="H210" i="26"/>
  <c r="E210" i="26"/>
  <c r="X209" i="26"/>
  <c r="T209" i="26"/>
  <c r="Q209" i="26"/>
  <c r="P209" i="26"/>
  <c r="N209" i="26"/>
  <c r="M209" i="26"/>
  <c r="L209" i="26"/>
  <c r="I209" i="26"/>
  <c r="V209" i="26" s="1"/>
  <c r="H209" i="26"/>
  <c r="E209" i="26"/>
  <c r="X208" i="26"/>
  <c r="T208" i="26"/>
  <c r="Q208" i="26"/>
  <c r="P208" i="26"/>
  <c r="M208" i="26"/>
  <c r="L208" i="26"/>
  <c r="I208" i="26"/>
  <c r="H208" i="26"/>
  <c r="E208" i="26"/>
  <c r="V208" i="26" s="1"/>
  <c r="X207" i="26"/>
  <c r="V207" i="26"/>
  <c r="T207" i="26"/>
  <c r="Q207" i="26"/>
  <c r="P207" i="26"/>
  <c r="M207" i="26"/>
  <c r="L207" i="26"/>
  <c r="I207" i="26"/>
  <c r="H207" i="26"/>
  <c r="E207" i="26"/>
  <c r="X206" i="26"/>
  <c r="T206" i="26"/>
  <c r="Q206" i="26"/>
  <c r="P206" i="26"/>
  <c r="M206" i="26"/>
  <c r="L206" i="26"/>
  <c r="I206" i="26"/>
  <c r="H206" i="26"/>
  <c r="E206" i="26"/>
  <c r="Z204" i="26"/>
  <c r="AA204" i="26" s="1"/>
  <c r="T204" i="26"/>
  <c r="Q204" i="26"/>
  <c r="P204" i="26"/>
  <c r="M204" i="26"/>
  <c r="V204" i="26" s="1"/>
  <c r="F204" i="26" s="1"/>
  <c r="L204" i="26"/>
  <c r="I204" i="26"/>
  <c r="H204" i="26"/>
  <c r="E204" i="26"/>
  <c r="Z202" i="26"/>
  <c r="AA202" i="26" s="1"/>
  <c r="T202" i="26"/>
  <c r="Q202" i="26"/>
  <c r="P202" i="26"/>
  <c r="M202" i="26"/>
  <c r="L202" i="26"/>
  <c r="I202" i="26"/>
  <c r="V202" i="26" s="1"/>
  <c r="H202" i="26"/>
  <c r="E202" i="26"/>
  <c r="Y201" i="26"/>
  <c r="Z201" i="26" s="1"/>
  <c r="AA201" i="26" s="1"/>
  <c r="X201" i="26"/>
  <c r="V201" i="26"/>
  <c r="R201" i="26" s="1"/>
  <c r="T201" i="26"/>
  <c r="Q201" i="26"/>
  <c r="P201" i="26"/>
  <c r="N201" i="26" s="1"/>
  <c r="M201" i="26"/>
  <c r="L201" i="26"/>
  <c r="J201" i="26"/>
  <c r="I201" i="26"/>
  <c r="H201" i="26"/>
  <c r="F201" i="26"/>
  <c r="E201" i="26"/>
  <c r="X200" i="26"/>
  <c r="T200" i="26"/>
  <c r="Q200" i="26"/>
  <c r="P200" i="26"/>
  <c r="M200" i="26"/>
  <c r="L200" i="26"/>
  <c r="I200" i="26"/>
  <c r="H200" i="26"/>
  <c r="E200" i="26"/>
  <c r="X199" i="26"/>
  <c r="T199" i="26"/>
  <c r="Q199" i="26"/>
  <c r="P199" i="26"/>
  <c r="M199" i="26"/>
  <c r="L199" i="26"/>
  <c r="I199" i="26"/>
  <c r="H199" i="26"/>
  <c r="E199" i="26"/>
  <c r="X198" i="26"/>
  <c r="T198" i="26"/>
  <c r="Q198" i="26"/>
  <c r="P198" i="26"/>
  <c r="M198" i="26"/>
  <c r="L198" i="26"/>
  <c r="I198" i="26"/>
  <c r="V198" i="26" s="1"/>
  <c r="H198" i="26"/>
  <c r="E198" i="26"/>
  <c r="X197" i="26"/>
  <c r="T197" i="26"/>
  <c r="R197" i="26"/>
  <c r="Q197" i="26"/>
  <c r="P197" i="26"/>
  <c r="M197" i="26"/>
  <c r="L197" i="26"/>
  <c r="J197" i="26"/>
  <c r="I197" i="26"/>
  <c r="H197" i="26"/>
  <c r="F197" i="26"/>
  <c r="E197" i="26"/>
  <c r="V197" i="26" s="1"/>
  <c r="Y197" i="26" s="1"/>
  <c r="Z197" i="26" s="1"/>
  <c r="AA197" i="26" s="1"/>
  <c r="X195" i="26"/>
  <c r="T195" i="26"/>
  <c r="Q195" i="26"/>
  <c r="P195" i="26"/>
  <c r="M195" i="26"/>
  <c r="L195" i="26"/>
  <c r="I195" i="26"/>
  <c r="H195" i="26"/>
  <c r="E195" i="26"/>
  <c r="V195" i="26" s="1"/>
  <c r="X194" i="26"/>
  <c r="V194" i="26"/>
  <c r="T194" i="26"/>
  <c r="Q194" i="26"/>
  <c r="P194" i="26"/>
  <c r="M194" i="26"/>
  <c r="L194" i="26"/>
  <c r="J194" i="26"/>
  <c r="I194" i="26"/>
  <c r="H194" i="26"/>
  <c r="E194" i="26"/>
  <c r="X193" i="26"/>
  <c r="T193" i="26"/>
  <c r="Q193" i="26"/>
  <c r="P193" i="26"/>
  <c r="M193" i="26"/>
  <c r="L193" i="26"/>
  <c r="I193" i="26"/>
  <c r="V193" i="26" s="1"/>
  <c r="H193" i="26"/>
  <c r="E193" i="26"/>
  <c r="X192" i="26"/>
  <c r="T192" i="26"/>
  <c r="Q192" i="26"/>
  <c r="P192" i="26"/>
  <c r="M192" i="26"/>
  <c r="L192" i="26"/>
  <c r="I192" i="26"/>
  <c r="H192" i="26"/>
  <c r="E192" i="26"/>
  <c r="X191" i="26"/>
  <c r="T191" i="26"/>
  <c r="Q191" i="26"/>
  <c r="P191" i="26"/>
  <c r="M191" i="26"/>
  <c r="L191" i="26"/>
  <c r="I191" i="26"/>
  <c r="H191" i="26"/>
  <c r="E191" i="26"/>
  <c r="X190" i="26"/>
  <c r="T190" i="26"/>
  <c r="Q190" i="26"/>
  <c r="P190" i="26"/>
  <c r="M190" i="26"/>
  <c r="L190" i="26"/>
  <c r="I190" i="26"/>
  <c r="H190" i="26"/>
  <c r="E190" i="26"/>
  <c r="X188" i="26"/>
  <c r="T188" i="26"/>
  <c r="Q188" i="26"/>
  <c r="P188" i="26"/>
  <c r="M188" i="26"/>
  <c r="L188" i="26"/>
  <c r="I188" i="26"/>
  <c r="V188" i="26" s="1"/>
  <c r="H188" i="26"/>
  <c r="E188" i="26"/>
  <c r="X187" i="26"/>
  <c r="T187" i="26"/>
  <c r="R187" i="26"/>
  <c r="Q187" i="26"/>
  <c r="P187" i="26"/>
  <c r="M187" i="26"/>
  <c r="L187" i="26"/>
  <c r="I187" i="26"/>
  <c r="H187" i="26"/>
  <c r="F187" i="26"/>
  <c r="E187" i="26"/>
  <c r="V187" i="26" s="1"/>
  <c r="Y187" i="26" s="1"/>
  <c r="Z187" i="26" s="1"/>
  <c r="AA187" i="26" s="1"/>
  <c r="X186" i="26"/>
  <c r="T186" i="26"/>
  <c r="Q186" i="26"/>
  <c r="P186" i="26"/>
  <c r="M186" i="26"/>
  <c r="L186" i="26"/>
  <c r="I186" i="26"/>
  <c r="H186" i="26"/>
  <c r="E186" i="26"/>
  <c r="V186" i="26" s="1"/>
  <c r="X185" i="26"/>
  <c r="V185" i="26"/>
  <c r="T185" i="26"/>
  <c r="Q185" i="26"/>
  <c r="P185" i="26"/>
  <c r="M185" i="26"/>
  <c r="L185" i="26"/>
  <c r="J185" i="26"/>
  <c r="I185" i="26"/>
  <c r="H185" i="26"/>
  <c r="E185" i="26"/>
  <c r="X184" i="26"/>
  <c r="T184" i="26"/>
  <c r="Q184" i="26"/>
  <c r="P184" i="26"/>
  <c r="M184" i="26"/>
  <c r="L184" i="26"/>
  <c r="I184" i="26"/>
  <c r="V184" i="26" s="1"/>
  <c r="H184" i="26"/>
  <c r="E184" i="26"/>
  <c r="X183" i="26"/>
  <c r="T183" i="26"/>
  <c r="Q183" i="26"/>
  <c r="P183" i="26"/>
  <c r="M183" i="26"/>
  <c r="L183" i="26"/>
  <c r="I183" i="26"/>
  <c r="H183" i="26"/>
  <c r="E183" i="26"/>
  <c r="X182" i="26"/>
  <c r="T182" i="26"/>
  <c r="Q182" i="26"/>
  <c r="P182" i="26"/>
  <c r="M182" i="26"/>
  <c r="L182" i="26"/>
  <c r="I182" i="26"/>
  <c r="H182" i="26"/>
  <c r="E182" i="26"/>
  <c r="U181" i="26"/>
  <c r="Q181" i="26" s="1"/>
  <c r="T181" i="26"/>
  <c r="P181" i="26"/>
  <c r="M181" i="26"/>
  <c r="L181" i="26"/>
  <c r="I181" i="26"/>
  <c r="H181" i="26"/>
  <c r="E181" i="26"/>
  <c r="X180" i="26"/>
  <c r="T180" i="26"/>
  <c r="R180" i="26" s="1"/>
  <c r="Q180" i="26"/>
  <c r="P180" i="26"/>
  <c r="M180" i="26"/>
  <c r="L180" i="26"/>
  <c r="I180" i="26"/>
  <c r="V180" i="26" s="1"/>
  <c r="H180" i="26"/>
  <c r="F180" i="26"/>
  <c r="E180" i="26"/>
  <c r="X179" i="26"/>
  <c r="T179" i="26"/>
  <c r="Q179" i="26"/>
  <c r="P179" i="26"/>
  <c r="M179" i="26"/>
  <c r="L179" i="26"/>
  <c r="I179" i="26"/>
  <c r="H179" i="26"/>
  <c r="E179" i="26"/>
  <c r="V179" i="26" s="1"/>
  <c r="X178" i="26"/>
  <c r="T178" i="26"/>
  <c r="Q178" i="26"/>
  <c r="P178" i="26"/>
  <c r="M178" i="26"/>
  <c r="L178" i="26"/>
  <c r="I178" i="26"/>
  <c r="H178" i="26"/>
  <c r="E178" i="26"/>
  <c r="X177" i="26"/>
  <c r="T177" i="26"/>
  <c r="Q177" i="26"/>
  <c r="P177" i="26"/>
  <c r="M177" i="26"/>
  <c r="L177" i="26"/>
  <c r="I177" i="26"/>
  <c r="V177" i="26" s="1"/>
  <c r="H177" i="26"/>
  <c r="E177" i="26"/>
  <c r="X176" i="26"/>
  <c r="T176" i="26"/>
  <c r="Q176" i="26"/>
  <c r="P176" i="26"/>
  <c r="M176" i="26"/>
  <c r="L176" i="26"/>
  <c r="I176" i="26"/>
  <c r="H176" i="26"/>
  <c r="E176" i="26"/>
  <c r="V176" i="26" s="1"/>
  <c r="T174" i="26"/>
  <c r="Q174" i="26"/>
  <c r="P174" i="26"/>
  <c r="M174" i="26"/>
  <c r="L174" i="26"/>
  <c r="I174" i="26"/>
  <c r="V174" i="26" s="1"/>
  <c r="H174" i="26"/>
  <c r="E174" i="26"/>
  <c r="Y172" i="26"/>
  <c r="Z172" i="26" s="1"/>
  <c r="AA172" i="26" s="1"/>
  <c r="X172" i="26"/>
  <c r="T172" i="26"/>
  <c r="R172" i="26" s="1"/>
  <c r="Q172" i="26"/>
  <c r="P172" i="26"/>
  <c r="N172" i="26"/>
  <c r="M172" i="26"/>
  <c r="L172" i="26"/>
  <c r="J172" i="26"/>
  <c r="I172" i="26"/>
  <c r="H172" i="26"/>
  <c r="F172" i="26"/>
  <c r="E172" i="26"/>
  <c r="AA171" i="26"/>
  <c r="Y171" i="26"/>
  <c r="Z171" i="26" s="1"/>
  <c r="X171" i="26"/>
  <c r="T171" i="26"/>
  <c r="R171" i="26" s="1"/>
  <c r="Q171" i="26"/>
  <c r="P171" i="26"/>
  <c r="N171" i="26"/>
  <c r="M171" i="26"/>
  <c r="L171" i="26"/>
  <c r="J171" i="26" s="1"/>
  <c r="I171" i="26"/>
  <c r="H171" i="26"/>
  <c r="F171" i="26"/>
  <c r="E171" i="26"/>
  <c r="Y170" i="26"/>
  <c r="Z170" i="26" s="1"/>
  <c r="AA170" i="26" s="1"/>
  <c r="X170" i="26"/>
  <c r="T170" i="26"/>
  <c r="R170" i="26" s="1"/>
  <c r="Q170" i="26"/>
  <c r="P170" i="26"/>
  <c r="N170" i="26" s="1"/>
  <c r="M170" i="26"/>
  <c r="L170" i="26"/>
  <c r="J170" i="26"/>
  <c r="I170" i="26"/>
  <c r="H170" i="26"/>
  <c r="F170" i="26"/>
  <c r="E170" i="26"/>
  <c r="AA169" i="26"/>
  <c r="Y169" i="26"/>
  <c r="Z169" i="26" s="1"/>
  <c r="X169" i="26"/>
  <c r="T169" i="26"/>
  <c r="R169" i="26" s="1"/>
  <c r="Q169" i="26"/>
  <c r="P169" i="26"/>
  <c r="N169" i="26"/>
  <c r="M169" i="26"/>
  <c r="L169" i="26"/>
  <c r="J169" i="26" s="1"/>
  <c r="I169" i="26"/>
  <c r="H169" i="26"/>
  <c r="F169" i="26"/>
  <c r="E169" i="26"/>
  <c r="X168" i="26"/>
  <c r="T168" i="26"/>
  <c r="Q168" i="26"/>
  <c r="P168" i="26"/>
  <c r="M168" i="26"/>
  <c r="L168" i="26"/>
  <c r="J168" i="26"/>
  <c r="I168" i="26"/>
  <c r="H168" i="26"/>
  <c r="E168" i="26"/>
  <c r="V168" i="26" s="1"/>
  <c r="X167" i="26"/>
  <c r="T167" i="26"/>
  <c r="Q167" i="26"/>
  <c r="P167" i="26"/>
  <c r="M167" i="26"/>
  <c r="L167" i="26"/>
  <c r="I167" i="26"/>
  <c r="H167" i="26"/>
  <c r="E167" i="26"/>
  <c r="Y166" i="26"/>
  <c r="Z166" i="26" s="1"/>
  <c r="AA166" i="26" s="1"/>
  <c r="X166" i="26"/>
  <c r="T166" i="26"/>
  <c r="R166" i="26"/>
  <c r="Q166" i="26"/>
  <c r="P166" i="26"/>
  <c r="M166" i="26"/>
  <c r="L166" i="26"/>
  <c r="I166" i="26"/>
  <c r="H166" i="26"/>
  <c r="E166" i="26"/>
  <c r="V166" i="26" s="1"/>
  <c r="X165" i="26"/>
  <c r="T165" i="26"/>
  <c r="Q165" i="26"/>
  <c r="P165" i="26"/>
  <c r="N165" i="26"/>
  <c r="M165" i="26"/>
  <c r="L165" i="26"/>
  <c r="I165" i="26"/>
  <c r="V165" i="26" s="1"/>
  <c r="H165" i="26"/>
  <c r="E165" i="26"/>
  <c r="X164" i="26"/>
  <c r="T164" i="26"/>
  <c r="Q164" i="26"/>
  <c r="P164" i="26"/>
  <c r="M164" i="26"/>
  <c r="L164" i="26"/>
  <c r="I164" i="26"/>
  <c r="H164" i="26"/>
  <c r="E164" i="26"/>
  <c r="V164" i="26" s="1"/>
  <c r="X163" i="26"/>
  <c r="T163" i="26"/>
  <c r="R163" i="26" s="1"/>
  <c r="Q163" i="26"/>
  <c r="P163" i="26"/>
  <c r="M163" i="26"/>
  <c r="L163" i="26"/>
  <c r="I163" i="26"/>
  <c r="H163" i="26"/>
  <c r="F163" i="26"/>
  <c r="E163" i="26"/>
  <c r="V163" i="26" s="1"/>
  <c r="X162" i="26"/>
  <c r="V162" i="26"/>
  <c r="T162" i="26"/>
  <c r="Q162" i="26"/>
  <c r="P162" i="26"/>
  <c r="M162" i="26"/>
  <c r="L162" i="26"/>
  <c r="J162" i="26"/>
  <c r="I162" i="26"/>
  <c r="H162" i="26"/>
  <c r="E162" i="26"/>
  <c r="X161" i="26"/>
  <c r="T161" i="26"/>
  <c r="Q161" i="26"/>
  <c r="P161" i="26"/>
  <c r="M161" i="26"/>
  <c r="L161" i="26"/>
  <c r="I161" i="26"/>
  <c r="V161" i="26" s="1"/>
  <c r="H161" i="26"/>
  <c r="E161" i="26"/>
  <c r="Y160" i="26"/>
  <c r="Z160" i="26" s="1"/>
  <c r="AA160" i="26" s="1"/>
  <c r="X160" i="26"/>
  <c r="T160" i="26"/>
  <c r="Q160" i="26"/>
  <c r="P160" i="26"/>
  <c r="N160" i="26" s="1"/>
  <c r="M160" i="26"/>
  <c r="L160" i="26"/>
  <c r="I160" i="26"/>
  <c r="H160" i="26"/>
  <c r="E160" i="26"/>
  <c r="V160" i="26" s="1"/>
  <c r="X159" i="26"/>
  <c r="T159" i="26"/>
  <c r="Q159" i="26"/>
  <c r="P159" i="26"/>
  <c r="M159" i="26"/>
  <c r="L159" i="26"/>
  <c r="I159" i="26"/>
  <c r="H159" i="26"/>
  <c r="E159" i="26"/>
  <c r="X158" i="26"/>
  <c r="T158" i="26"/>
  <c r="Q158" i="26"/>
  <c r="P158" i="26"/>
  <c r="M158" i="26"/>
  <c r="L158" i="26"/>
  <c r="I158" i="26"/>
  <c r="H158" i="26"/>
  <c r="E158" i="26"/>
  <c r="X157" i="26"/>
  <c r="V157" i="26"/>
  <c r="T157" i="26"/>
  <c r="R157" i="26" s="1"/>
  <c r="Q157" i="26"/>
  <c r="P157" i="26"/>
  <c r="N157" i="26"/>
  <c r="M157" i="26"/>
  <c r="L157" i="26"/>
  <c r="I157" i="26"/>
  <c r="H157" i="26"/>
  <c r="E157" i="26"/>
  <c r="AA156" i="26"/>
  <c r="X156" i="26"/>
  <c r="T156" i="26"/>
  <c r="R156" i="26"/>
  <c r="Q156" i="26"/>
  <c r="P156" i="26"/>
  <c r="M156" i="26"/>
  <c r="L156" i="26"/>
  <c r="J156" i="26"/>
  <c r="I156" i="26"/>
  <c r="H156" i="26"/>
  <c r="F156" i="26"/>
  <c r="E156" i="26"/>
  <c r="V156" i="26" s="1"/>
  <c r="Y156" i="26" s="1"/>
  <c r="Z156" i="26" s="1"/>
  <c r="Y155" i="26"/>
  <c r="Z155" i="26" s="1"/>
  <c r="AA155" i="26" s="1"/>
  <c r="X155" i="26"/>
  <c r="V155" i="26"/>
  <c r="T155" i="26"/>
  <c r="R155" i="26" s="1"/>
  <c r="Q155" i="26"/>
  <c r="P155" i="26"/>
  <c r="N155" i="26"/>
  <c r="M155" i="26"/>
  <c r="L155" i="26"/>
  <c r="J155" i="26" s="1"/>
  <c r="I155" i="26"/>
  <c r="H155" i="26"/>
  <c r="F155" i="26" s="1"/>
  <c r="E155" i="26"/>
  <c r="Y154" i="26"/>
  <c r="Z154" i="26" s="1"/>
  <c r="AA154" i="26" s="1"/>
  <c r="V154" i="26"/>
  <c r="T154" i="26"/>
  <c r="R154" i="26"/>
  <c r="Q154" i="26"/>
  <c r="P154" i="26"/>
  <c r="N154" i="26"/>
  <c r="M154" i="26"/>
  <c r="L154" i="26"/>
  <c r="J154" i="26" s="1"/>
  <c r="I154" i="26"/>
  <c r="H154" i="26"/>
  <c r="F154" i="26"/>
  <c r="E154" i="26"/>
  <c r="X153" i="26"/>
  <c r="V153" i="26"/>
  <c r="T153" i="26"/>
  <c r="Q153" i="26"/>
  <c r="P153" i="26"/>
  <c r="M153" i="26"/>
  <c r="L153" i="26"/>
  <c r="I153" i="26"/>
  <c r="H153" i="26"/>
  <c r="E153" i="26"/>
  <c r="X152" i="26"/>
  <c r="T152" i="26"/>
  <c r="Q152" i="26"/>
  <c r="P152" i="26"/>
  <c r="N152" i="26"/>
  <c r="M152" i="26"/>
  <c r="L152" i="26"/>
  <c r="I152" i="26"/>
  <c r="V152" i="26" s="1"/>
  <c r="H152" i="26"/>
  <c r="E152" i="26"/>
  <c r="Y151" i="26"/>
  <c r="Z151" i="26" s="1"/>
  <c r="AA151" i="26" s="1"/>
  <c r="X151" i="26"/>
  <c r="T151" i="26"/>
  <c r="Q151" i="26"/>
  <c r="P151" i="26"/>
  <c r="N151" i="26" s="1"/>
  <c r="M151" i="26"/>
  <c r="L151" i="26"/>
  <c r="I151" i="26"/>
  <c r="H151" i="26"/>
  <c r="E151" i="26"/>
  <c r="V151" i="26" s="1"/>
  <c r="Z150" i="26"/>
  <c r="AA150" i="26" s="1"/>
  <c r="Y150" i="26"/>
  <c r="X150" i="26"/>
  <c r="V150" i="26"/>
  <c r="T150" i="26"/>
  <c r="R150" i="26"/>
  <c r="Q150" i="26"/>
  <c r="P150" i="26"/>
  <c r="N150" i="26"/>
  <c r="M150" i="26"/>
  <c r="L150" i="26"/>
  <c r="J150" i="26" s="1"/>
  <c r="I150" i="26"/>
  <c r="H150" i="26"/>
  <c r="F150" i="26" s="1"/>
  <c r="E150" i="26"/>
  <c r="AA149" i="26"/>
  <c r="Z149" i="26"/>
  <c r="Y149" i="26"/>
  <c r="X149" i="26"/>
  <c r="V149" i="26"/>
  <c r="F149" i="26" s="1"/>
  <c r="T149" i="26"/>
  <c r="R149" i="26" s="1"/>
  <c r="Q149" i="26"/>
  <c r="P149" i="26"/>
  <c r="N149" i="26"/>
  <c r="M149" i="26"/>
  <c r="L149" i="26"/>
  <c r="J149" i="26"/>
  <c r="I149" i="26"/>
  <c r="H149" i="26"/>
  <c r="E149" i="26"/>
  <c r="X148" i="26"/>
  <c r="T148" i="26"/>
  <c r="Q148" i="26"/>
  <c r="P148" i="26"/>
  <c r="M148" i="26"/>
  <c r="L148" i="26"/>
  <c r="I148" i="26"/>
  <c r="H148" i="26"/>
  <c r="E148" i="26"/>
  <c r="X147" i="26"/>
  <c r="V147" i="26"/>
  <c r="T147" i="26"/>
  <c r="Q147" i="26"/>
  <c r="P147" i="26"/>
  <c r="M147" i="26"/>
  <c r="L147" i="26"/>
  <c r="I147" i="26"/>
  <c r="H147" i="26"/>
  <c r="E147" i="26"/>
  <c r="X146" i="26"/>
  <c r="T146" i="26"/>
  <c r="R146" i="26"/>
  <c r="Q146" i="26"/>
  <c r="P146" i="26"/>
  <c r="M146" i="26"/>
  <c r="L146" i="26"/>
  <c r="I146" i="26"/>
  <c r="H146" i="26"/>
  <c r="E146" i="26"/>
  <c r="V146" i="26" s="1"/>
  <c r="X145" i="26"/>
  <c r="T145" i="26"/>
  <c r="Q145" i="26"/>
  <c r="P145" i="26"/>
  <c r="M145" i="26"/>
  <c r="L145" i="26"/>
  <c r="I145" i="26"/>
  <c r="V145" i="26" s="1"/>
  <c r="H145" i="26"/>
  <c r="E145" i="26"/>
  <c r="X144" i="26"/>
  <c r="T144" i="26"/>
  <c r="Q144" i="26"/>
  <c r="P144" i="26"/>
  <c r="M144" i="26"/>
  <c r="L144" i="26"/>
  <c r="I144" i="26"/>
  <c r="H144" i="26"/>
  <c r="E144" i="26"/>
  <c r="V144" i="26" s="1"/>
  <c r="X143" i="26"/>
  <c r="V143" i="26"/>
  <c r="T143" i="26"/>
  <c r="Q143" i="26"/>
  <c r="P143" i="26"/>
  <c r="N143" i="26" s="1"/>
  <c r="M143" i="26"/>
  <c r="L143" i="26"/>
  <c r="I143" i="26"/>
  <c r="H143" i="26"/>
  <c r="E143" i="26"/>
  <c r="X142" i="26"/>
  <c r="T142" i="26"/>
  <c r="Q142" i="26"/>
  <c r="P142" i="26"/>
  <c r="M142" i="26"/>
  <c r="L142" i="26"/>
  <c r="I142" i="26"/>
  <c r="H142" i="26"/>
  <c r="E142" i="26"/>
  <c r="X141" i="26"/>
  <c r="T141" i="26"/>
  <c r="Q141" i="26"/>
  <c r="P141" i="26"/>
  <c r="M141" i="26"/>
  <c r="L141" i="26"/>
  <c r="I141" i="26"/>
  <c r="H141" i="26"/>
  <c r="E141" i="26"/>
  <c r="X140" i="26"/>
  <c r="T140" i="26"/>
  <c r="R140" i="26" s="1"/>
  <c r="Q140" i="26"/>
  <c r="P140" i="26"/>
  <c r="M140" i="26"/>
  <c r="L140" i="26"/>
  <c r="I140" i="26"/>
  <c r="V140" i="26" s="1"/>
  <c r="H140" i="26"/>
  <c r="F140" i="26"/>
  <c r="E140" i="26"/>
  <c r="X139" i="26"/>
  <c r="T139" i="26"/>
  <c r="Q139" i="26"/>
  <c r="P139" i="26"/>
  <c r="M139" i="26"/>
  <c r="L139" i="26"/>
  <c r="I139" i="26"/>
  <c r="H139" i="26"/>
  <c r="E139" i="26"/>
  <c r="V139" i="26" s="1"/>
  <c r="X138" i="26"/>
  <c r="T138" i="26"/>
  <c r="Q138" i="26"/>
  <c r="P138" i="26"/>
  <c r="M138" i="26"/>
  <c r="L138" i="26"/>
  <c r="I138" i="26"/>
  <c r="H138" i="26"/>
  <c r="E138" i="26"/>
  <c r="V138" i="26" s="1"/>
  <c r="X137" i="26"/>
  <c r="T137" i="26"/>
  <c r="Q137" i="26"/>
  <c r="P137" i="26"/>
  <c r="M137" i="26"/>
  <c r="L137" i="26"/>
  <c r="I137" i="26"/>
  <c r="V137" i="26" s="1"/>
  <c r="H137" i="26"/>
  <c r="E137" i="26"/>
  <c r="X136" i="26"/>
  <c r="T136" i="26"/>
  <c r="Q136" i="26"/>
  <c r="P136" i="26"/>
  <c r="M136" i="26"/>
  <c r="L136" i="26"/>
  <c r="I136" i="26"/>
  <c r="H136" i="26"/>
  <c r="E136" i="26"/>
  <c r="V136" i="26" s="1"/>
  <c r="X135" i="26"/>
  <c r="T135" i="26"/>
  <c r="Q135" i="26"/>
  <c r="P135" i="26"/>
  <c r="N135" i="26" s="1"/>
  <c r="M135" i="26"/>
  <c r="V135" i="26" s="1"/>
  <c r="L135" i="26"/>
  <c r="I135" i="26"/>
  <c r="H135" i="26"/>
  <c r="E135" i="26"/>
  <c r="X134" i="26"/>
  <c r="T134" i="26"/>
  <c r="Q134" i="26"/>
  <c r="P134" i="26"/>
  <c r="M134" i="26"/>
  <c r="L134" i="26"/>
  <c r="I134" i="26"/>
  <c r="H134" i="26"/>
  <c r="E134" i="26"/>
  <c r="X133" i="26"/>
  <c r="T133" i="26"/>
  <c r="Q133" i="26"/>
  <c r="P133" i="26"/>
  <c r="M133" i="26"/>
  <c r="L133" i="26"/>
  <c r="I133" i="26"/>
  <c r="H133" i="26"/>
  <c r="E133" i="26"/>
  <c r="U132" i="26"/>
  <c r="T132" i="26"/>
  <c r="P132" i="26"/>
  <c r="L132" i="26"/>
  <c r="H132" i="26"/>
  <c r="E132" i="26"/>
  <c r="X131" i="26"/>
  <c r="T131" i="26"/>
  <c r="Q131" i="26"/>
  <c r="P131" i="26"/>
  <c r="M131" i="26"/>
  <c r="L131" i="26"/>
  <c r="I131" i="26"/>
  <c r="H131" i="26"/>
  <c r="E131" i="26"/>
  <c r="V131" i="26" s="1"/>
  <c r="X130" i="26"/>
  <c r="T130" i="26"/>
  <c r="Q130" i="26"/>
  <c r="P130" i="26"/>
  <c r="M130" i="26"/>
  <c r="L130" i="26"/>
  <c r="I130" i="26"/>
  <c r="V130" i="26" s="1"/>
  <c r="H130" i="26"/>
  <c r="E130" i="26"/>
  <c r="X129" i="26"/>
  <c r="T129" i="26"/>
  <c r="Q129" i="26"/>
  <c r="P129" i="26"/>
  <c r="M129" i="26"/>
  <c r="L129" i="26"/>
  <c r="I129" i="26"/>
  <c r="H129" i="26"/>
  <c r="E129" i="26"/>
  <c r="V129" i="26" s="1"/>
  <c r="X128" i="26"/>
  <c r="T128" i="26"/>
  <c r="Q128" i="26"/>
  <c r="P128" i="26"/>
  <c r="M128" i="26"/>
  <c r="V128" i="26" s="1"/>
  <c r="L128" i="26"/>
  <c r="I128" i="26"/>
  <c r="H128" i="26"/>
  <c r="E128" i="26"/>
  <c r="X127" i="26"/>
  <c r="T127" i="26"/>
  <c r="Q127" i="26"/>
  <c r="P127" i="26"/>
  <c r="M127" i="26"/>
  <c r="L127" i="26"/>
  <c r="I127" i="26"/>
  <c r="H127" i="26"/>
  <c r="E127" i="26"/>
  <c r="X126" i="26"/>
  <c r="T126" i="26"/>
  <c r="Q126" i="26"/>
  <c r="P126" i="26"/>
  <c r="M126" i="26"/>
  <c r="L126" i="26"/>
  <c r="I126" i="26"/>
  <c r="H126" i="26"/>
  <c r="E126" i="26"/>
  <c r="X125" i="26"/>
  <c r="T125" i="26"/>
  <c r="Q125" i="26"/>
  <c r="P125" i="26"/>
  <c r="M125" i="26"/>
  <c r="L125" i="26"/>
  <c r="I125" i="26"/>
  <c r="H125" i="26"/>
  <c r="E125" i="26"/>
  <c r="X124" i="26"/>
  <c r="T124" i="26"/>
  <c r="Q124" i="26"/>
  <c r="P124" i="26"/>
  <c r="M124" i="26"/>
  <c r="L124" i="26"/>
  <c r="I124" i="26"/>
  <c r="H124" i="26"/>
  <c r="E124" i="26"/>
  <c r="V124" i="26" s="1"/>
  <c r="X123" i="26"/>
  <c r="T123" i="26"/>
  <c r="Q123" i="26"/>
  <c r="P123" i="26"/>
  <c r="M123" i="26"/>
  <c r="L123" i="26"/>
  <c r="I123" i="26"/>
  <c r="H123" i="26"/>
  <c r="E123" i="26"/>
  <c r="V123" i="26" s="1"/>
  <c r="X122" i="26"/>
  <c r="V122" i="26"/>
  <c r="T122" i="26"/>
  <c r="R122" i="26" s="1"/>
  <c r="Q122" i="26"/>
  <c r="P122" i="26"/>
  <c r="N122" i="26"/>
  <c r="M122" i="26"/>
  <c r="L122" i="26"/>
  <c r="I122" i="26"/>
  <c r="H122" i="26"/>
  <c r="E122" i="26"/>
  <c r="X121" i="26"/>
  <c r="T121" i="26"/>
  <c r="Q121" i="26"/>
  <c r="P121" i="26"/>
  <c r="M121" i="26"/>
  <c r="L121" i="26"/>
  <c r="I121" i="26"/>
  <c r="H121" i="26"/>
  <c r="E121" i="26"/>
  <c r="V121" i="26" s="1"/>
  <c r="X120" i="26"/>
  <c r="T120" i="26"/>
  <c r="Q120" i="26"/>
  <c r="P120" i="26"/>
  <c r="M120" i="26"/>
  <c r="V120" i="26" s="1"/>
  <c r="L120" i="26"/>
  <c r="I120" i="26"/>
  <c r="H120" i="26"/>
  <c r="E120" i="26"/>
  <c r="X119" i="26"/>
  <c r="T119" i="26"/>
  <c r="Q119" i="26"/>
  <c r="P119" i="26"/>
  <c r="M119" i="26"/>
  <c r="L119" i="26"/>
  <c r="I119" i="26"/>
  <c r="H119" i="26"/>
  <c r="E119" i="26"/>
  <c r="X118" i="26"/>
  <c r="T118" i="26"/>
  <c r="Q118" i="26"/>
  <c r="P118" i="26"/>
  <c r="M118" i="26"/>
  <c r="L118" i="26"/>
  <c r="I118" i="26"/>
  <c r="H118" i="26"/>
  <c r="E118" i="26"/>
  <c r="X117" i="26"/>
  <c r="T117" i="26"/>
  <c r="R117" i="26" s="1"/>
  <c r="Q117" i="26"/>
  <c r="P117" i="26"/>
  <c r="M117" i="26"/>
  <c r="L117" i="26"/>
  <c r="I117" i="26"/>
  <c r="V117" i="26" s="1"/>
  <c r="H117" i="26"/>
  <c r="F117" i="26"/>
  <c r="E117" i="26"/>
  <c r="X116" i="26"/>
  <c r="T116" i="26"/>
  <c r="Q116" i="26"/>
  <c r="P116" i="26"/>
  <c r="M116" i="26"/>
  <c r="L116" i="26"/>
  <c r="I116" i="26"/>
  <c r="H116" i="26"/>
  <c r="E116" i="26"/>
  <c r="V116" i="26" s="1"/>
  <c r="X115" i="26"/>
  <c r="T115" i="26"/>
  <c r="Q115" i="26"/>
  <c r="P115" i="26"/>
  <c r="M115" i="26"/>
  <c r="L115" i="26"/>
  <c r="I115" i="26"/>
  <c r="H115" i="26"/>
  <c r="E115" i="26"/>
  <c r="X114" i="26"/>
  <c r="T114" i="26"/>
  <c r="R114" i="26" s="1"/>
  <c r="Q114" i="26"/>
  <c r="P114" i="26"/>
  <c r="M114" i="26"/>
  <c r="L114" i="26"/>
  <c r="I114" i="26"/>
  <c r="V114" i="26" s="1"/>
  <c r="H114" i="26"/>
  <c r="E114" i="26"/>
  <c r="X113" i="26"/>
  <c r="T113" i="26"/>
  <c r="R113" i="26" s="1"/>
  <c r="Q113" i="26"/>
  <c r="P113" i="26"/>
  <c r="M113" i="26"/>
  <c r="L113" i="26"/>
  <c r="I113" i="26"/>
  <c r="H113" i="26"/>
  <c r="E113" i="26"/>
  <c r="V113" i="26" s="1"/>
  <c r="X112" i="26"/>
  <c r="V112" i="26"/>
  <c r="T112" i="26"/>
  <c r="Q112" i="26"/>
  <c r="P112" i="26"/>
  <c r="M112" i="26"/>
  <c r="L112" i="26"/>
  <c r="I112" i="26"/>
  <c r="H112" i="26"/>
  <c r="E112" i="26"/>
  <c r="X111" i="26"/>
  <c r="T111" i="26"/>
  <c r="Q111" i="26"/>
  <c r="P111" i="26"/>
  <c r="M111" i="26"/>
  <c r="L111" i="26"/>
  <c r="I111" i="26"/>
  <c r="H111" i="26"/>
  <c r="E111" i="26"/>
  <c r="X110" i="26"/>
  <c r="T110" i="26"/>
  <c r="Q110" i="26"/>
  <c r="P110" i="26"/>
  <c r="M110" i="26"/>
  <c r="L110" i="26"/>
  <c r="I110" i="26"/>
  <c r="H110" i="26"/>
  <c r="E110" i="26"/>
  <c r="X109" i="26"/>
  <c r="T109" i="26"/>
  <c r="Q109" i="26"/>
  <c r="P109" i="26"/>
  <c r="M109" i="26"/>
  <c r="L109" i="26"/>
  <c r="I109" i="26"/>
  <c r="V109" i="26" s="1"/>
  <c r="H109" i="26"/>
  <c r="E109" i="26"/>
  <c r="X108" i="26"/>
  <c r="T108" i="26"/>
  <c r="Q108" i="26"/>
  <c r="P108" i="26"/>
  <c r="M108" i="26"/>
  <c r="L108" i="26"/>
  <c r="I108" i="26"/>
  <c r="H108" i="26"/>
  <c r="E108" i="26"/>
  <c r="V108" i="26" s="1"/>
  <c r="X107" i="26"/>
  <c r="T107" i="26"/>
  <c r="Q107" i="26"/>
  <c r="P107" i="26"/>
  <c r="M107" i="26"/>
  <c r="L107" i="26"/>
  <c r="I107" i="26"/>
  <c r="H107" i="26"/>
  <c r="E107" i="26"/>
  <c r="X106" i="26"/>
  <c r="T106" i="26"/>
  <c r="Q106" i="26"/>
  <c r="P106" i="26"/>
  <c r="M106" i="26"/>
  <c r="L106" i="26"/>
  <c r="J106" i="26"/>
  <c r="I106" i="26"/>
  <c r="V106" i="26" s="1"/>
  <c r="N106" i="26" s="1"/>
  <c r="H106" i="26"/>
  <c r="E106" i="26"/>
  <c r="X105" i="26"/>
  <c r="T105" i="26"/>
  <c r="R105" i="26" s="1"/>
  <c r="Q105" i="26"/>
  <c r="P105" i="26"/>
  <c r="M105" i="26"/>
  <c r="L105" i="26"/>
  <c r="I105" i="26"/>
  <c r="H105" i="26"/>
  <c r="E105" i="26"/>
  <c r="V105" i="26" s="1"/>
  <c r="X104" i="26"/>
  <c r="V104" i="26"/>
  <c r="T104" i="26"/>
  <c r="Q104" i="26"/>
  <c r="P104" i="26"/>
  <c r="M104" i="26"/>
  <c r="L104" i="26"/>
  <c r="I104" i="26"/>
  <c r="H104" i="26"/>
  <c r="E104" i="26"/>
  <c r="X103" i="26"/>
  <c r="T103" i="26"/>
  <c r="Q103" i="26"/>
  <c r="P103" i="26"/>
  <c r="M103" i="26"/>
  <c r="L103" i="26"/>
  <c r="I103" i="26"/>
  <c r="H103" i="26"/>
  <c r="E103" i="26"/>
  <c r="X102" i="26"/>
  <c r="T102" i="26"/>
  <c r="Q102" i="26"/>
  <c r="P102" i="26"/>
  <c r="M102" i="26"/>
  <c r="L102" i="26"/>
  <c r="I102" i="26"/>
  <c r="H102" i="26"/>
  <c r="E102" i="26"/>
  <c r="X101" i="26"/>
  <c r="T101" i="26"/>
  <c r="Q101" i="26"/>
  <c r="P101" i="26"/>
  <c r="M101" i="26"/>
  <c r="L101" i="26"/>
  <c r="I101" i="26"/>
  <c r="H101" i="26"/>
  <c r="E101" i="26"/>
  <c r="X100" i="26"/>
  <c r="V100" i="26"/>
  <c r="T100" i="26"/>
  <c r="Q100" i="26"/>
  <c r="P100" i="26"/>
  <c r="M100" i="26"/>
  <c r="L100" i="26"/>
  <c r="I100" i="26"/>
  <c r="H100" i="26"/>
  <c r="E100" i="26"/>
  <c r="X99" i="26"/>
  <c r="T99" i="26"/>
  <c r="Q99" i="26"/>
  <c r="P99" i="26"/>
  <c r="M99" i="26"/>
  <c r="L99" i="26"/>
  <c r="I99" i="26"/>
  <c r="H99" i="26"/>
  <c r="E99" i="26"/>
  <c r="X98" i="26"/>
  <c r="T98" i="26"/>
  <c r="Q98" i="26"/>
  <c r="P98" i="26"/>
  <c r="M98" i="26"/>
  <c r="L98" i="26"/>
  <c r="I98" i="26"/>
  <c r="V98" i="26" s="1"/>
  <c r="H98" i="26"/>
  <c r="E98" i="26"/>
  <c r="X97" i="26"/>
  <c r="T97" i="26"/>
  <c r="Q97" i="26"/>
  <c r="P97" i="26"/>
  <c r="M97" i="26"/>
  <c r="L97" i="26"/>
  <c r="I97" i="26"/>
  <c r="H97" i="26"/>
  <c r="E97" i="26"/>
  <c r="V97" i="26" s="1"/>
  <c r="X96" i="26"/>
  <c r="T96" i="26"/>
  <c r="Q96" i="26"/>
  <c r="P96" i="26"/>
  <c r="M96" i="26"/>
  <c r="V96" i="26" s="1"/>
  <c r="L96" i="26"/>
  <c r="I96" i="26"/>
  <c r="H96" i="26"/>
  <c r="E96" i="26"/>
  <c r="X95" i="26"/>
  <c r="T95" i="26"/>
  <c r="Q95" i="26"/>
  <c r="P95" i="26"/>
  <c r="M95" i="26"/>
  <c r="L95" i="26"/>
  <c r="I95" i="26"/>
  <c r="H95" i="26"/>
  <c r="E95" i="26"/>
  <c r="X94" i="26"/>
  <c r="T94" i="26"/>
  <c r="Q94" i="26"/>
  <c r="P94" i="26"/>
  <c r="M94" i="26"/>
  <c r="L94" i="26"/>
  <c r="I94" i="26"/>
  <c r="H94" i="26"/>
  <c r="E94" i="26"/>
  <c r="X93" i="26"/>
  <c r="T93" i="26"/>
  <c r="Q93" i="26"/>
  <c r="P93" i="26"/>
  <c r="M93" i="26"/>
  <c r="L93" i="26"/>
  <c r="I93" i="26"/>
  <c r="H93" i="26"/>
  <c r="E93" i="26"/>
  <c r="X92" i="26"/>
  <c r="V92" i="26"/>
  <c r="T92" i="26"/>
  <c r="Q92" i="26"/>
  <c r="P92" i="26"/>
  <c r="M92" i="26"/>
  <c r="L92" i="26"/>
  <c r="I92" i="26"/>
  <c r="H92" i="26"/>
  <c r="E92" i="26"/>
  <c r="X91" i="26"/>
  <c r="T91" i="26"/>
  <c r="R91" i="26"/>
  <c r="Q91" i="26"/>
  <c r="P91" i="26"/>
  <c r="M91" i="26"/>
  <c r="L91" i="26"/>
  <c r="I91" i="26"/>
  <c r="H91" i="26"/>
  <c r="E91" i="26"/>
  <c r="V91" i="26" s="1"/>
  <c r="X90" i="26"/>
  <c r="T90" i="26"/>
  <c r="Q90" i="26"/>
  <c r="P90" i="26"/>
  <c r="M90" i="26"/>
  <c r="L90" i="26"/>
  <c r="I90" i="26"/>
  <c r="V90" i="26" s="1"/>
  <c r="H90" i="26"/>
  <c r="E90" i="26"/>
  <c r="X89" i="26"/>
  <c r="T89" i="26"/>
  <c r="Q89" i="26"/>
  <c r="P89" i="26"/>
  <c r="M89" i="26"/>
  <c r="L89" i="26"/>
  <c r="I89" i="26"/>
  <c r="H89" i="26"/>
  <c r="E89" i="26"/>
  <c r="V89" i="26" s="1"/>
  <c r="X88" i="26"/>
  <c r="T88" i="26"/>
  <c r="Q88" i="26"/>
  <c r="P88" i="26"/>
  <c r="M88" i="26"/>
  <c r="L88" i="26"/>
  <c r="I88" i="26"/>
  <c r="H88" i="26"/>
  <c r="E88" i="26"/>
  <c r="X87" i="26"/>
  <c r="T87" i="26"/>
  <c r="Q87" i="26"/>
  <c r="P87" i="26"/>
  <c r="M87" i="26"/>
  <c r="L87" i="26"/>
  <c r="I87" i="26"/>
  <c r="H87" i="26"/>
  <c r="E87" i="26"/>
  <c r="X86" i="26"/>
  <c r="T86" i="26"/>
  <c r="Q86" i="26"/>
  <c r="P86" i="26"/>
  <c r="N86" i="26"/>
  <c r="M86" i="26"/>
  <c r="L86" i="26"/>
  <c r="I86" i="26"/>
  <c r="V86" i="26" s="1"/>
  <c r="H86" i="26"/>
  <c r="E86" i="26"/>
  <c r="X85" i="26"/>
  <c r="T85" i="26"/>
  <c r="Q85" i="26"/>
  <c r="P85" i="26"/>
  <c r="M85" i="26"/>
  <c r="L85" i="26"/>
  <c r="I85" i="26"/>
  <c r="H85" i="26"/>
  <c r="E85" i="26"/>
  <c r="X84" i="26"/>
  <c r="T84" i="26"/>
  <c r="Q84" i="26"/>
  <c r="P84" i="26"/>
  <c r="M84" i="26"/>
  <c r="L84" i="26"/>
  <c r="I84" i="26"/>
  <c r="H84" i="26"/>
  <c r="E84" i="26"/>
  <c r="V84" i="26" s="1"/>
  <c r="X83" i="26"/>
  <c r="T83" i="26"/>
  <c r="Q83" i="26"/>
  <c r="P83" i="26"/>
  <c r="M83" i="26"/>
  <c r="L83" i="26"/>
  <c r="I83" i="26"/>
  <c r="H83" i="26"/>
  <c r="E83" i="26"/>
  <c r="X82" i="26"/>
  <c r="T82" i="26"/>
  <c r="Q82" i="26"/>
  <c r="P82" i="26"/>
  <c r="N82" i="26"/>
  <c r="M82" i="26"/>
  <c r="L82" i="26"/>
  <c r="I82" i="26"/>
  <c r="V82" i="26" s="1"/>
  <c r="H82" i="26"/>
  <c r="E82" i="26"/>
  <c r="Z81" i="26"/>
  <c r="AA81" i="26" s="1"/>
  <c r="X81" i="26"/>
  <c r="T81" i="26"/>
  <c r="Q81" i="26"/>
  <c r="P81" i="26"/>
  <c r="N81" i="26" s="1"/>
  <c r="M81" i="26"/>
  <c r="L81" i="26"/>
  <c r="I81" i="26"/>
  <c r="H81" i="26"/>
  <c r="F81" i="26"/>
  <c r="E81" i="26"/>
  <c r="V81" i="26" s="1"/>
  <c r="Y81" i="26" s="1"/>
  <c r="X80" i="26"/>
  <c r="V80" i="26"/>
  <c r="T80" i="26"/>
  <c r="Q80" i="26"/>
  <c r="P80" i="26"/>
  <c r="M80" i="26"/>
  <c r="L80" i="26"/>
  <c r="I80" i="26"/>
  <c r="H80" i="26"/>
  <c r="E80" i="26"/>
  <c r="X79" i="26"/>
  <c r="T79" i="26"/>
  <c r="Q79" i="26"/>
  <c r="P79" i="26"/>
  <c r="M79" i="26"/>
  <c r="L79" i="26"/>
  <c r="I79" i="26"/>
  <c r="H79" i="26"/>
  <c r="E79" i="26"/>
  <c r="X78" i="26"/>
  <c r="T78" i="26"/>
  <c r="Q78" i="26"/>
  <c r="P78" i="26"/>
  <c r="M78" i="26"/>
  <c r="L78" i="26"/>
  <c r="I78" i="26"/>
  <c r="H78" i="26"/>
  <c r="E78" i="26"/>
  <c r="X77" i="26"/>
  <c r="T77" i="26"/>
  <c r="Q77" i="26"/>
  <c r="P77" i="26"/>
  <c r="M77" i="26"/>
  <c r="L77" i="26"/>
  <c r="I77" i="26"/>
  <c r="H77" i="26"/>
  <c r="E77" i="26"/>
  <c r="X76" i="26"/>
  <c r="T76" i="26"/>
  <c r="Q76" i="26"/>
  <c r="V76" i="26" s="1"/>
  <c r="P76" i="26"/>
  <c r="M76" i="26"/>
  <c r="L76" i="26"/>
  <c r="I76" i="26"/>
  <c r="H76" i="26"/>
  <c r="E76" i="26"/>
  <c r="X75" i="26"/>
  <c r="T75" i="26"/>
  <c r="Q75" i="26"/>
  <c r="P75" i="26"/>
  <c r="M75" i="26"/>
  <c r="L75" i="26"/>
  <c r="I75" i="26"/>
  <c r="H75" i="26"/>
  <c r="E75" i="26"/>
  <c r="X74" i="26"/>
  <c r="T74" i="26"/>
  <c r="Q74" i="26"/>
  <c r="P74" i="26"/>
  <c r="M74" i="26"/>
  <c r="L74" i="26"/>
  <c r="I74" i="26"/>
  <c r="H74" i="26"/>
  <c r="E74" i="26"/>
  <c r="Z73" i="26"/>
  <c r="AA73" i="26" s="1"/>
  <c r="X73" i="26"/>
  <c r="T73" i="26"/>
  <c r="Q73" i="26"/>
  <c r="P73" i="26"/>
  <c r="M73" i="26"/>
  <c r="L73" i="26"/>
  <c r="I73" i="26"/>
  <c r="H73" i="26"/>
  <c r="F73" i="26"/>
  <c r="E73" i="26"/>
  <c r="V73" i="26" s="1"/>
  <c r="Y73" i="26" s="1"/>
  <c r="X72" i="26"/>
  <c r="T72" i="26"/>
  <c r="Q72" i="26"/>
  <c r="P72" i="26"/>
  <c r="M72" i="26"/>
  <c r="L72" i="26"/>
  <c r="I72" i="26"/>
  <c r="H72" i="26"/>
  <c r="E72" i="26"/>
  <c r="X71" i="26"/>
  <c r="T71" i="26"/>
  <c r="Q71" i="26"/>
  <c r="P71" i="26"/>
  <c r="M71" i="26"/>
  <c r="L71" i="26"/>
  <c r="I71" i="26"/>
  <c r="H71" i="26"/>
  <c r="E71" i="26"/>
  <c r="U70" i="26"/>
  <c r="Q70" i="26" s="1"/>
  <c r="T70" i="26"/>
  <c r="P70" i="26"/>
  <c r="M70" i="26"/>
  <c r="L70" i="26"/>
  <c r="I70" i="26"/>
  <c r="H70" i="26"/>
  <c r="E70" i="26"/>
  <c r="V70" i="26" s="1"/>
  <c r="X69" i="26"/>
  <c r="V69" i="26"/>
  <c r="T69" i="26"/>
  <c r="R69" i="26" s="1"/>
  <c r="Q69" i="26"/>
  <c r="P69" i="26"/>
  <c r="N69" i="26"/>
  <c r="M69" i="26"/>
  <c r="L69" i="26"/>
  <c r="I69" i="26"/>
  <c r="H69" i="26"/>
  <c r="E69" i="26"/>
  <c r="X68" i="26"/>
  <c r="T68" i="26"/>
  <c r="R68" i="26"/>
  <c r="Q68" i="26"/>
  <c r="P68" i="26"/>
  <c r="M68" i="26"/>
  <c r="V68" i="26" s="1"/>
  <c r="F68" i="26" s="1"/>
  <c r="L68" i="26"/>
  <c r="I68" i="26"/>
  <c r="H68" i="26"/>
  <c r="E68" i="26"/>
  <c r="X67" i="26"/>
  <c r="T67" i="26"/>
  <c r="Q67" i="26"/>
  <c r="P67" i="26"/>
  <c r="M67" i="26"/>
  <c r="L67" i="26"/>
  <c r="I67" i="26"/>
  <c r="H67" i="26"/>
  <c r="E67" i="26"/>
  <c r="V67" i="26" s="1"/>
  <c r="U66" i="26"/>
  <c r="T66" i="26"/>
  <c r="P66" i="26"/>
  <c r="M66" i="26"/>
  <c r="L66" i="26"/>
  <c r="I66" i="26"/>
  <c r="H66" i="26"/>
  <c r="U65" i="26"/>
  <c r="M65" i="26" s="1"/>
  <c r="T65" i="26"/>
  <c r="Q65" i="26"/>
  <c r="P65" i="26"/>
  <c r="L65" i="26"/>
  <c r="I65" i="26"/>
  <c r="H65" i="26"/>
  <c r="E65" i="26"/>
  <c r="U64" i="26"/>
  <c r="M64" i="26" s="1"/>
  <c r="T64" i="26"/>
  <c r="P64" i="26"/>
  <c r="L64" i="26"/>
  <c r="H64" i="26"/>
  <c r="V63" i="26"/>
  <c r="F63" i="26" s="1"/>
  <c r="U63" i="26"/>
  <c r="T63" i="26"/>
  <c r="Q63" i="26"/>
  <c r="P63" i="26"/>
  <c r="M63" i="26"/>
  <c r="L63" i="26"/>
  <c r="I63" i="26"/>
  <c r="H63" i="26"/>
  <c r="E63" i="26"/>
  <c r="X62" i="26"/>
  <c r="T62" i="26"/>
  <c r="R62" i="26"/>
  <c r="Q62" i="26"/>
  <c r="P62" i="26"/>
  <c r="M62" i="26"/>
  <c r="L62" i="26"/>
  <c r="I62" i="26"/>
  <c r="H62" i="26"/>
  <c r="E62" i="26"/>
  <c r="V62" i="26" s="1"/>
  <c r="X61" i="26"/>
  <c r="T61" i="26"/>
  <c r="Q61" i="26"/>
  <c r="P61" i="26"/>
  <c r="M61" i="26"/>
  <c r="L61" i="26"/>
  <c r="I61" i="26"/>
  <c r="H61" i="26"/>
  <c r="E61" i="26"/>
  <c r="V61" i="26" s="1"/>
  <c r="AA60" i="26"/>
  <c r="Y60" i="26"/>
  <c r="Z60" i="26" s="1"/>
  <c r="X60" i="26"/>
  <c r="T60" i="26"/>
  <c r="R60" i="26" s="1"/>
  <c r="Q60" i="26"/>
  <c r="P60" i="26"/>
  <c r="N60" i="26"/>
  <c r="M60" i="26"/>
  <c r="L60" i="26"/>
  <c r="J60" i="26" s="1"/>
  <c r="I60" i="26"/>
  <c r="H60" i="26"/>
  <c r="F60" i="26"/>
  <c r="E60" i="26"/>
  <c r="Y59" i="26"/>
  <c r="Z59" i="26" s="1"/>
  <c r="AA59" i="26" s="1"/>
  <c r="X59" i="26"/>
  <c r="T59" i="26"/>
  <c r="R59" i="26" s="1"/>
  <c r="Q59" i="26"/>
  <c r="P59" i="26"/>
  <c r="N59" i="26" s="1"/>
  <c r="M59" i="26"/>
  <c r="L59" i="26"/>
  <c r="J59" i="26"/>
  <c r="I59" i="26"/>
  <c r="H59" i="26"/>
  <c r="F59" i="26"/>
  <c r="E59" i="26"/>
  <c r="X58" i="26"/>
  <c r="V58" i="26"/>
  <c r="T58" i="26"/>
  <c r="Q58" i="26"/>
  <c r="P58" i="26"/>
  <c r="M58" i="26"/>
  <c r="L58" i="26"/>
  <c r="I58" i="26"/>
  <c r="H58" i="26"/>
  <c r="E58" i="26"/>
  <c r="Z57" i="26"/>
  <c r="AA57" i="26" s="1"/>
  <c r="Y57" i="26"/>
  <c r="X57" i="26"/>
  <c r="T57" i="26"/>
  <c r="R57" i="26"/>
  <c r="Q57" i="26"/>
  <c r="P57" i="26"/>
  <c r="N57" i="26" s="1"/>
  <c r="M57" i="26"/>
  <c r="L57" i="26"/>
  <c r="J57" i="26" s="1"/>
  <c r="I57" i="26"/>
  <c r="H57" i="26"/>
  <c r="F57" i="26"/>
  <c r="E57" i="26"/>
  <c r="Y56" i="26"/>
  <c r="Z56" i="26" s="1"/>
  <c r="AA56" i="26" s="1"/>
  <c r="X56" i="26"/>
  <c r="T56" i="26"/>
  <c r="R56" i="26"/>
  <c r="Q56" i="26"/>
  <c r="P56" i="26"/>
  <c r="N56" i="26" s="1"/>
  <c r="M56" i="26"/>
  <c r="L56" i="26"/>
  <c r="J56" i="26"/>
  <c r="I56" i="26"/>
  <c r="H56" i="26"/>
  <c r="F56" i="26" s="1"/>
  <c r="E56" i="26"/>
  <c r="Y55" i="26"/>
  <c r="Z55" i="26" s="1"/>
  <c r="AA55" i="26" s="1"/>
  <c r="X55" i="26"/>
  <c r="T55" i="26"/>
  <c r="R55" i="26"/>
  <c r="Q55" i="26"/>
  <c r="P55" i="26"/>
  <c r="N55" i="26" s="1"/>
  <c r="M55" i="26"/>
  <c r="L55" i="26"/>
  <c r="J55" i="26"/>
  <c r="I55" i="26"/>
  <c r="H55" i="26"/>
  <c r="F55" i="26"/>
  <c r="E55" i="26"/>
  <c r="X54" i="26"/>
  <c r="T54" i="26"/>
  <c r="Q54" i="26"/>
  <c r="P54" i="26"/>
  <c r="M54" i="26"/>
  <c r="L54" i="26"/>
  <c r="I54" i="26"/>
  <c r="H54" i="26"/>
  <c r="E54" i="26"/>
  <c r="U53" i="26"/>
  <c r="Q53" i="26" s="1"/>
  <c r="T53" i="26"/>
  <c r="P53" i="26"/>
  <c r="M53" i="26"/>
  <c r="L53" i="26"/>
  <c r="I53" i="26"/>
  <c r="H53" i="26"/>
  <c r="E53" i="26"/>
  <c r="X52" i="26"/>
  <c r="V52" i="26"/>
  <c r="F52" i="26" s="1"/>
  <c r="T52" i="26"/>
  <c r="Q52" i="26"/>
  <c r="P52" i="26"/>
  <c r="N52" i="26"/>
  <c r="M52" i="26"/>
  <c r="L52" i="26"/>
  <c r="I52" i="26"/>
  <c r="H52" i="26"/>
  <c r="E52" i="26"/>
  <c r="AA51" i="26"/>
  <c r="Y51" i="26"/>
  <c r="Z51" i="26" s="1"/>
  <c r="X51" i="26"/>
  <c r="T51" i="26"/>
  <c r="R51" i="26" s="1"/>
  <c r="Q51" i="26"/>
  <c r="P51" i="26"/>
  <c r="N51" i="26"/>
  <c r="M51" i="26"/>
  <c r="L51" i="26"/>
  <c r="J51" i="26" s="1"/>
  <c r="I51" i="26"/>
  <c r="H51" i="26"/>
  <c r="F51" i="26"/>
  <c r="E51" i="26"/>
  <c r="AA50" i="26"/>
  <c r="Y50" i="26"/>
  <c r="Z50" i="26" s="1"/>
  <c r="X50" i="26"/>
  <c r="T50" i="26"/>
  <c r="R50" i="26" s="1"/>
  <c r="Q50" i="26"/>
  <c r="P50" i="26"/>
  <c r="N50" i="26" s="1"/>
  <c r="M50" i="26"/>
  <c r="L50" i="26"/>
  <c r="J50" i="26"/>
  <c r="I50" i="26"/>
  <c r="H50" i="26"/>
  <c r="F50" i="26"/>
  <c r="E50" i="26"/>
  <c r="AA49" i="26"/>
  <c r="Y49" i="26"/>
  <c r="Z49" i="26" s="1"/>
  <c r="X49" i="26"/>
  <c r="T49" i="26"/>
  <c r="R49" i="26" s="1"/>
  <c r="Q49" i="26"/>
  <c r="P49" i="26"/>
  <c r="N49" i="26"/>
  <c r="M49" i="26"/>
  <c r="L49" i="26"/>
  <c r="J49" i="26" s="1"/>
  <c r="I49" i="26"/>
  <c r="H49" i="26"/>
  <c r="F49" i="26"/>
  <c r="E49" i="26"/>
  <c r="X48" i="26"/>
  <c r="T48" i="26"/>
  <c r="Q48" i="26"/>
  <c r="P48" i="26"/>
  <c r="M48" i="26"/>
  <c r="L48" i="26"/>
  <c r="I48" i="26"/>
  <c r="H48" i="26"/>
  <c r="E48" i="26"/>
  <c r="V48" i="26" s="1"/>
  <c r="J48" i="26" s="1"/>
  <c r="X47" i="26"/>
  <c r="T47" i="26"/>
  <c r="Q47" i="26"/>
  <c r="P47" i="26"/>
  <c r="M47" i="26"/>
  <c r="L47" i="26"/>
  <c r="I47" i="26"/>
  <c r="H47" i="26"/>
  <c r="E47" i="26"/>
  <c r="X46" i="26"/>
  <c r="T46" i="26"/>
  <c r="Q46" i="26"/>
  <c r="P46" i="26"/>
  <c r="N46" i="26"/>
  <c r="M46" i="26"/>
  <c r="L46" i="26"/>
  <c r="J46" i="26"/>
  <c r="I46" i="26"/>
  <c r="H46" i="26"/>
  <c r="E46" i="26"/>
  <c r="V46" i="26" s="1"/>
  <c r="X45" i="26"/>
  <c r="T45" i="26"/>
  <c r="Q45" i="26"/>
  <c r="P45" i="26"/>
  <c r="M45" i="26"/>
  <c r="L45" i="26"/>
  <c r="I45" i="26"/>
  <c r="V45" i="26" s="1"/>
  <c r="H45" i="26"/>
  <c r="E45" i="26"/>
  <c r="X44" i="26"/>
  <c r="T44" i="26"/>
  <c r="Q44" i="26"/>
  <c r="P44" i="26"/>
  <c r="M44" i="26"/>
  <c r="L44" i="26"/>
  <c r="I44" i="26"/>
  <c r="H44" i="26"/>
  <c r="E44" i="26"/>
  <c r="U43" i="26"/>
  <c r="T43" i="26"/>
  <c r="Q43" i="26"/>
  <c r="P43" i="26"/>
  <c r="M43" i="26"/>
  <c r="V43" i="26" s="1"/>
  <c r="L43" i="26"/>
  <c r="I43" i="26"/>
  <c r="H43" i="26"/>
  <c r="E43" i="26"/>
  <c r="X42" i="26"/>
  <c r="V42" i="26"/>
  <c r="T42" i="26"/>
  <c r="Q42" i="26"/>
  <c r="P42" i="26"/>
  <c r="M42" i="26"/>
  <c r="L42" i="26"/>
  <c r="I42" i="26"/>
  <c r="H42" i="26"/>
  <c r="E42" i="26"/>
  <c r="AA41" i="26"/>
  <c r="Z41" i="26"/>
  <c r="Y41" i="26"/>
  <c r="X41" i="26"/>
  <c r="T41" i="26"/>
  <c r="R41" i="26" s="1"/>
  <c r="Q41" i="26"/>
  <c r="P41" i="26"/>
  <c r="N41" i="26" s="1"/>
  <c r="M41" i="26"/>
  <c r="L41" i="26"/>
  <c r="J41" i="26"/>
  <c r="I41" i="26"/>
  <c r="H41" i="26"/>
  <c r="F41" i="26" s="1"/>
  <c r="E41" i="26"/>
  <c r="AA40" i="26"/>
  <c r="Z40" i="26"/>
  <c r="Y40" i="26"/>
  <c r="X40" i="26"/>
  <c r="T40" i="26"/>
  <c r="R40" i="26" s="1"/>
  <c r="Q40" i="26"/>
  <c r="P40" i="26"/>
  <c r="N40" i="26"/>
  <c r="M40" i="26"/>
  <c r="L40" i="26"/>
  <c r="J40" i="26"/>
  <c r="I40" i="26"/>
  <c r="H40" i="26"/>
  <c r="F40" i="26" s="1"/>
  <c r="E40" i="26"/>
  <c r="X39" i="26"/>
  <c r="T39" i="26"/>
  <c r="Q39" i="26"/>
  <c r="P39" i="26"/>
  <c r="M39" i="26"/>
  <c r="L39" i="26"/>
  <c r="I39" i="26"/>
  <c r="H39" i="26"/>
  <c r="E39" i="26"/>
  <c r="U38" i="26"/>
  <c r="T38" i="26"/>
  <c r="Q38" i="26"/>
  <c r="P38" i="26"/>
  <c r="L38" i="26"/>
  <c r="H38" i="26"/>
  <c r="E38" i="26"/>
  <c r="X37" i="26"/>
  <c r="T37" i="26"/>
  <c r="Q37" i="26"/>
  <c r="P37" i="26"/>
  <c r="M37" i="26"/>
  <c r="L37" i="26"/>
  <c r="I37" i="26"/>
  <c r="H37" i="26"/>
  <c r="E37" i="26"/>
  <c r="X36" i="26"/>
  <c r="T36" i="26"/>
  <c r="Q36" i="26"/>
  <c r="P36" i="26"/>
  <c r="M36" i="26"/>
  <c r="L36" i="26"/>
  <c r="I36" i="26"/>
  <c r="H36" i="26"/>
  <c r="E36" i="26"/>
  <c r="V36" i="26" s="1"/>
  <c r="N36" i="26" s="1"/>
  <c r="X35" i="26"/>
  <c r="T35" i="26"/>
  <c r="Q35" i="26"/>
  <c r="P35" i="26"/>
  <c r="M35" i="26"/>
  <c r="L35" i="26"/>
  <c r="I35" i="26"/>
  <c r="V35" i="26" s="1"/>
  <c r="H35" i="26"/>
  <c r="E35" i="26"/>
  <c r="V34" i="26"/>
  <c r="T34" i="26"/>
  <c r="R34" i="26" s="1"/>
  <c r="Q34" i="26"/>
  <c r="P34" i="26"/>
  <c r="M34" i="26"/>
  <c r="L34" i="26"/>
  <c r="I34" i="26"/>
  <c r="H34" i="26"/>
  <c r="F34" i="26"/>
  <c r="E34" i="26"/>
  <c r="X33" i="26"/>
  <c r="T33" i="26"/>
  <c r="Q33" i="26"/>
  <c r="P33" i="26"/>
  <c r="M33" i="26"/>
  <c r="L33" i="26"/>
  <c r="I33" i="26"/>
  <c r="H33" i="26"/>
  <c r="E33" i="26"/>
  <c r="V33" i="26" s="1"/>
  <c r="X32" i="26"/>
  <c r="V32" i="26"/>
  <c r="T32" i="26"/>
  <c r="R32" i="26" s="1"/>
  <c r="Q32" i="26"/>
  <c r="P32" i="26"/>
  <c r="M32" i="26"/>
  <c r="L32" i="26"/>
  <c r="J32" i="26"/>
  <c r="I32" i="26"/>
  <c r="H32" i="26"/>
  <c r="E32" i="26"/>
  <c r="X31" i="26"/>
  <c r="T31" i="26"/>
  <c r="Q31" i="26"/>
  <c r="P31" i="26"/>
  <c r="M31" i="26"/>
  <c r="L31" i="26"/>
  <c r="I31" i="26"/>
  <c r="H31" i="26"/>
  <c r="E31" i="26"/>
  <c r="V31" i="26" s="1"/>
  <c r="Y30" i="26"/>
  <c r="Z30" i="26" s="1"/>
  <c r="AA30" i="26" s="1"/>
  <c r="X30" i="26"/>
  <c r="V30" i="26"/>
  <c r="R30" i="26" s="1"/>
  <c r="T30" i="26"/>
  <c r="Q30" i="26"/>
  <c r="P30" i="26"/>
  <c r="N30" i="26" s="1"/>
  <c r="M30" i="26"/>
  <c r="L30" i="26"/>
  <c r="J30" i="26"/>
  <c r="I30" i="26"/>
  <c r="H30" i="26"/>
  <c r="E30" i="26"/>
  <c r="Z29" i="26"/>
  <c r="AA29" i="26" s="1"/>
  <c r="Y29" i="26"/>
  <c r="X29" i="26"/>
  <c r="V29" i="26"/>
  <c r="T29" i="26"/>
  <c r="R29" i="26"/>
  <c r="Q29" i="26"/>
  <c r="P29" i="26"/>
  <c r="N29" i="26"/>
  <c r="M29" i="26"/>
  <c r="L29" i="26"/>
  <c r="J29" i="26" s="1"/>
  <c r="I29" i="26"/>
  <c r="H29" i="26"/>
  <c r="F29" i="26" s="1"/>
  <c r="E29" i="26"/>
  <c r="Y28" i="26"/>
  <c r="Z28" i="26" s="1"/>
  <c r="AA28" i="26" s="1"/>
  <c r="X28" i="26"/>
  <c r="V28" i="26"/>
  <c r="F28" i="26" s="1"/>
  <c r="T28" i="26"/>
  <c r="R28" i="26" s="1"/>
  <c r="Q28" i="26"/>
  <c r="P28" i="26"/>
  <c r="N28" i="26"/>
  <c r="M28" i="26"/>
  <c r="L28" i="26"/>
  <c r="J28" i="26"/>
  <c r="I28" i="26"/>
  <c r="H28" i="26"/>
  <c r="E28" i="26"/>
  <c r="Z27" i="26"/>
  <c r="AA27" i="26" s="1"/>
  <c r="X27" i="26"/>
  <c r="T27" i="26"/>
  <c r="R27" i="26" s="1"/>
  <c r="Q27" i="26"/>
  <c r="P27" i="26"/>
  <c r="N27" i="26" s="1"/>
  <c r="M27" i="26"/>
  <c r="L27" i="26"/>
  <c r="I27" i="26"/>
  <c r="H27" i="26"/>
  <c r="F27" i="26"/>
  <c r="E27" i="26"/>
  <c r="V27" i="26" s="1"/>
  <c r="Y27" i="26" s="1"/>
  <c r="X26" i="26"/>
  <c r="T26" i="26"/>
  <c r="Q26" i="26"/>
  <c r="P26" i="26"/>
  <c r="M26" i="26"/>
  <c r="L26" i="26"/>
  <c r="I26" i="26"/>
  <c r="H26" i="26"/>
  <c r="E26" i="26"/>
  <c r="V26" i="26" s="1"/>
  <c r="X25" i="26"/>
  <c r="T25" i="26"/>
  <c r="R25" i="26"/>
  <c r="Q25" i="26"/>
  <c r="P25" i="26"/>
  <c r="M25" i="26"/>
  <c r="L25" i="26"/>
  <c r="I25" i="26"/>
  <c r="H25" i="26"/>
  <c r="E25" i="26"/>
  <c r="V25" i="26" s="1"/>
  <c r="X24" i="26"/>
  <c r="T24" i="26"/>
  <c r="Q24" i="26"/>
  <c r="P24" i="26"/>
  <c r="M24" i="26"/>
  <c r="L24" i="26"/>
  <c r="I24" i="26"/>
  <c r="V24" i="26" s="1"/>
  <c r="H24" i="26"/>
  <c r="E24" i="26"/>
  <c r="X22" i="26"/>
  <c r="T22" i="26"/>
  <c r="Q22" i="26"/>
  <c r="P22" i="26"/>
  <c r="N22" i="26" s="1"/>
  <c r="M22" i="26"/>
  <c r="L22" i="26"/>
  <c r="J22" i="26"/>
  <c r="I22" i="26"/>
  <c r="H22" i="26"/>
  <c r="E22" i="26"/>
  <c r="V22" i="26" s="1"/>
  <c r="X21" i="26"/>
  <c r="T21" i="26"/>
  <c r="Q21" i="26"/>
  <c r="P21" i="26"/>
  <c r="M21" i="26"/>
  <c r="V21" i="26" s="1"/>
  <c r="L21" i="26"/>
  <c r="I21" i="26"/>
  <c r="H21" i="26"/>
  <c r="E21" i="26"/>
  <c r="Z20" i="26"/>
  <c r="AA20" i="26" s="1"/>
  <c r="T20" i="26"/>
  <c r="Q20" i="26"/>
  <c r="P20" i="26"/>
  <c r="M20" i="26"/>
  <c r="L20" i="26"/>
  <c r="I20" i="26"/>
  <c r="V20" i="26" s="1"/>
  <c r="H20" i="26"/>
  <c r="E20" i="26"/>
  <c r="Y19" i="26"/>
  <c r="Z19" i="26" s="1"/>
  <c r="AA19" i="26" s="1"/>
  <c r="X19" i="26"/>
  <c r="T19" i="26"/>
  <c r="Q19" i="26"/>
  <c r="P19" i="26"/>
  <c r="M19" i="26"/>
  <c r="L19" i="26"/>
  <c r="I19" i="26"/>
  <c r="H19" i="26"/>
  <c r="F19" i="26"/>
  <c r="E19" i="26"/>
  <c r="V19" i="26" s="1"/>
  <c r="R19" i="26" s="1"/>
  <c r="X18" i="26"/>
  <c r="T18" i="26"/>
  <c r="Q18" i="26"/>
  <c r="P18" i="26"/>
  <c r="M18" i="26"/>
  <c r="L18" i="26"/>
  <c r="I18" i="26"/>
  <c r="H18" i="26"/>
  <c r="E18" i="26"/>
  <c r="X17" i="26"/>
  <c r="T17" i="26"/>
  <c r="Q17" i="26"/>
  <c r="P17" i="26"/>
  <c r="M17" i="26"/>
  <c r="L17" i="26"/>
  <c r="I17" i="26"/>
  <c r="H17" i="26"/>
  <c r="E17" i="26"/>
  <c r="X16" i="26"/>
  <c r="T16" i="26"/>
  <c r="Q16" i="26"/>
  <c r="P16" i="26"/>
  <c r="N16" i="26" s="1"/>
  <c r="M16" i="26"/>
  <c r="L16" i="26"/>
  <c r="I16" i="26"/>
  <c r="H16" i="26"/>
  <c r="E16" i="26"/>
  <c r="V16" i="26" s="1"/>
  <c r="X15" i="26"/>
  <c r="T15" i="26"/>
  <c r="Q15" i="26"/>
  <c r="P15" i="26"/>
  <c r="M15" i="26"/>
  <c r="L15" i="26"/>
  <c r="I15" i="26"/>
  <c r="H15" i="26"/>
  <c r="E15" i="26"/>
  <c r="V15" i="26" s="1"/>
  <c r="Y15" i="26" s="1"/>
  <c r="Z15" i="26" s="1"/>
  <c r="AA15" i="26" s="1"/>
  <c r="X14" i="26"/>
  <c r="T14" i="26"/>
  <c r="Q14" i="26"/>
  <c r="P14" i="26"/>
  <c r="M14" i="26"/>
  <c r="L14" i="26"/>
  <c r="I14" i="26"/>
  <c r="H14" i="26"/>
  <c r="E14" i="26"/>
  <c r="V14" i="26" s="1"/>
  <c r="Y13" i="26"/>
  <c r="Z13" i="26" s="1"/>
  <c r="AA13" i="26" s="1"/>
  <c r="X13" i="26"/>
  <c r="T13" i="26"/>
  <c r="R13" i="26"/>
  <c r="Q13" i="26"/>
  <c r="P13" i="26"/>
  <c r="M13" i="26"/>
  <c r="V13" i="26" s="1"/>
  <c r="L13" i="26"/>
  <c r="I13" i="26"/>
  <c r="H13" i="26"/>
  <c r="E13" i="26"/>
  <c r="X12" i="26"/>
  <c r="T12" i="26"/>
  <c r="Q12" i="26"/>
  <c r="P12" i="26"/>
  <c r="N12" i="26" s="1"/>
  <c r="M12" i="26"/>
  <c r="L12" i="26"/>
  <c r="I12" i="26"/>
  <c r="V12" i="26" s="1"/>
  <c r="H12" i="26"/>
  <c r="E12" i="26"/>
  <c r="X11" i="26"/>
  <c r="T11" i="26"/>
  <c r="Q11" i="26"/>
  <c r="P11" i="26"/>
  <c r="M11" i="26"/>
  <c r="L11" i="26"/>
  <c r="I11" i="26"/>
  <c r="H11" i="26"/>
  <c r="E11" i="26"/>
  <c r="V11" i="26" s="1"/>
  <c r="R11" i="26" s="1"/>
  <c r="X9" i="26"/>
  <c r="T9" i="26"/>
  <c r="Q9" i="26"/>
  <c r="P9" i="26"/>
  <c r="M9" i="26"/>
  <c r="L9" i="26"/>
  <c r="I9" i="26"/>
  <c r="H9" i="26"/>
  <c r="E9" i="26"/>
  <c r="Z8" i="26"/>
  <c r="AA8" i="26" s="1"/>
  <c r="T8" i="26"/>
  <c r="Q8" i="26"/>
  <c r="P8" i="26"/>
  <c r="M8" i="26"/>
  <c r="L8" i="26"/>
  <c r="I8" i="26"/>
  <c r="H8" i="26"/>
  <c r="E8" i="26"/>
  <c r="Z6" i="26"/>
  <c r="AA6" i="26" s="1"/>
  <c r="T6" i="26"/>
  <c r="Q6" i="26"/>
  <c r="P6" i="26"/>
  <c r="M6" i="26"/>
  <c r="L6" i="26"/>
  <c r="I6" i="26"/>
  <c r="H6" i="26"/>
  <c r="E6" i="26"/>
  <c r="V6" i="26" s="1"/>
  <c r="AA4" i="26"/>
  <c r="Z4" i="26"/>
  <c r="T4" i="26"/>
  <c r="Q4" i="26"/>
  <c r="P4" i="26"/>
  <c r="M4" i="26"/>
  <c r="L4" i="26"/>
  <c r="I4" i="26"/>
  <c r="V4" i="26" s="1"/>
  <c r="R4" i="26" s="1"/>
  <c r="H4" i="26"/>
  <c r="E4" i="26"/>
  <c r="K119" i="27" l="1"/>
  <c r="U119" i="27"/>
  <c r="V119" i="27" s="1"/>
  <c r="W119" i="27" s="1"/>
  <c r="E501" i="27"/>
  <c r="N501" i="27"/>
  <c r="K47" i="27"/>
  <c r="U82" i="27"/>
  <c r="V82" i="27" s="1"/>
  <c r="W82" i="27" s="1"/>
  <c r="K153" i="27"/>
  <c r="U338" i="27"/>
  <c r="V338" i="27" s="1"/>
  <c r="W338" i="27" s="1"/>
  <c r="K347" i="27"/>
  <c r="H347" i="27"/>
  <c r="U347" i="27"/>
  <c r="V347" i="27" s="1"/>
  <c r="W347" i="27" s="1"/>
  <c r="E378" i="27"/>
  <c r="U378" i="27"/>
  <c r="V378" i="27" s="1"/>
  <c r="W378" i="27" s="1"/>
  <c r="N424" i="27"/>
  <c r="E424" i="27"/>
  <c r="U546" i="27"/>
  <c r="V546" i="27" s="1"/>
  <c r="W546" i="27" s="1"/>
  <c r="K555" i="27"/>
  <c r="N559" i="27"/>
  <c r="K691" i="27"/>
  <c r="U691" i="27"/>
  <c r="V691" i="27" s="1"/>
  <c r="W691" i="27" s="1"/>
  <c r="K737" i="27"/>
  <c r="H737" i="27"/>
  <c r="K824" i="27"/>
  <c r="U855" i="27"/>
  <c r="V855" i="27" s="1"/>
  <c r="W855" i="27" s="1"/>
  <c r="K858" i="27"/>
  <c r="U858" i="27"/>
  <c r="V858" i="27" s="1"/>
  <c r="W858" i="27" s="1"/>
  <c r="K1021" i="27"/>
  <c r="U1199" i="27"/>
  <c r="V1199" i="27" s="1"/>
  <c r="W1199" i="27" s="1"/>
  <c r="K1199" i="27"/>
  <c r="U1258" i="27"/>
  <c r="V1258" i="27" s="1"/>
  <c r="W1258" i="27" s="1"/>
  <c r="K1258" i="27"/>
  <c r="U1527" i="27"/>
  <c r="V1527" i="27" s="1"/>
  <c r="W1527" i="27" s="1"/>
  <c r="E1527" i="27"/>
  <c r="U1589" i="27"/>
  <c r="V1589" i="27" s="1"/>
  <c r="W1589" i="27" s="1"/>
  <c r="E1589" i="27"/>
  <c r="K1589" i="27"/>
  <c r="U1592" i="27"/>
  <c r="V1592" i="27" s="1"/>
  <c r="W1592" i="27" s="1"/>
  <c r="K1592" i="27"/>
  <c r="E2382" i="27"/>
  <c r="K2382" i="27"/>
  <c r="K2498" i="27"/>
  <c r="U2498" i="27"/>
  <c r="V2498" i="27" s="1"/>
  <c r="W2498" i="27" s="1"/>
  <c r="H2611" i="27"/>
  <c r="E2611" i="27"/>
  <c r="H3077" i="27"/>
  <c r="U3077" i="27"/>
  <c r="V3077" i="27" s="1"/>
  <c r="W3077" i="27" s="1"/>
  <c r="U3155" i="27"/>
  <c r="V3155" i="27" s="1"/>
  <c r="W3155" i="27" s="1"/>
  <c r="U3520" i="27"/>
  <c r="V3520" i="27" s="1"/>
  <c r="W3520" i="27" s="1"/>
  <c r="K3520" i="27"/>
  <c r="H3525" i="27"/>
  <c r="U3525" i="27"/>
  <c r="V3525" i="27" s="1"/>
  <c r="W3525" i="27" s="1"/>
  <c r="H12" i="27"/>
  <c r="N17" i="27"/>
  <c r="N59" i="27"/>
  <c r="N62" i="27"/>
  <c r="N65" i="27"/>
  <c r="E77" i="27"/>
  <c r="H82" i="27"/>
  <c r="E83" i="27"/>
  <c r="N85" i="27"/>
  <c r="K99" i="27"/>
  <c r="U99" i="27"/>
  <c r="V99" i="27" s="1"/>
  <c r="W99" i="27" s="1"/>
  <c r="N112" i="27"/>
  <c r="N322" i="27"/>
  <c r="K323" i="27"/>
  <c r="H323" i="27"/>
  <c r="U330" i="27"/>
  <c r="V330" i="27" s="1"/>
  <c r="W330" i="27" s="1"/>
  <c r="H338" i="27"/>
  <c r="N346" i="27"/>
  <c r="U415" i="27"/>
  <c r="V415" i="27" s="1"/>
  <c r="W415" i="27" s="1"/>
  <c r="H449" i="27"/>
  <c r="N455" i="27"/>
  <c r="E509" i="27"/>
  <c r="E512" i="27"/>
  <c r="U519" i="27"/>
  <c r="V519" i="27" s="1"/>
  <c r="W519" i="27" s="1"/>
  <c r="K519" i="27"/>
  <c r="U543" i="27"/>
  <c r="V543" i="27" s="1"/>
  <c r="W543" i="27" s="1"/>
  <c r="E546" i="27"/>
  <c r="U550" i="27"/>
  <c r="V550" i="27" s="1"/>
  <c r="W550" i="27" s="1"/>
  <c r="K550" i="27"/>
  <c r="U574" i="27"/>
  <c r="V574" i="27" s="1"/>
  <c r="W574" i="27" s="1"/>
  <c r="N574" i="27"/>
  <c r="N608" i="27"/>
  <c r="U612" i="27"/>
  <c r="V612" i="27" s="1"/>
  <c r="W612" i="27" s="1"/>
  <c r="N649" i="27"/>
  <c r="U652" i="27"/>
  <c r="V652" i="27" s="1"/>
  <c r="W652" i="27" s="1"/>
  <c r="K652" i="27"/>
  <c r="U658" i="27"/>
  <c r="V658" i="27" s="1"/>
  <c r="W658" i="27" s="1"/>
  <c r="E704" i="27"/>
  <c r="U737" i="27"/>
  <c r="V737" i="27" s="1"/>
  <c r="W737" i="27" s="1"/>
  <c r="E802" i="27"/>
  <c r="N850" i="27"/>
  <c r="N866" i="27"/>
  <c r="N878" i="27"/>
  <c r="N892" i="27"/>
  <c r="U916" i="27"/>
  <c r="V916" i="27" s="1"/>
  <c r="W916" i="27" s="1"/>
  <c r="E926" i="27"/>
  <c r="E947" i="27"/>
  <c r="U947" i="27"/>
  <c r="V947" i="27" s="1"/>
  <c r="W947" i="27" s="1"/>
  <c r="N963" i="27"/>
  <c r="N1014" i="27"/>
  <c r="U1093" i="27"/>
  <c r="V1093" i="27" s="1"/>
  <c r="W1093" i="27" s="1"/>
  <c r="E1255" i="27"/>
  <c r="N1255" i="27"/>
  <c r="U1361" i="27"/>
  <c r="V1361" i="27" s="1"/>
  <c r="W1361" i="27" s="1"/>
  <c r="K1361" i="27"/>
  <c r="U1523" i="27"/>
  <c r="V1523" i="27" s="1"/>
  <c r="W1523" i="27" s="1"/>
  <c r="N1635" i="27"/>
  <c r="U1635" i="27"/>
  <c r="V1635" i="27" s="1"/>
  <c r="W1635" i="27" s="1"/>
  <c r="K1687" i="27"/>
  <c r="U1687" i="27"/>
  <c r="V1687" i="27" s="1"/>
  <c r="W1687" i="27" s="1"/>
  <c r="N1843" i="27"/>
  <c r="U1843" i="27"/>
  <c r="V1843" i="27" s="1"/>
  <c r="W1843" i="27" s="1"/>
  <c r="H1954" i="27"/>
  <c r="U1954" i="27"/>
  <c r="V1954" i="27" s="1"/>
  <c r="W1954" i="27" s="1"/>
  <c r="N1954" i="27"/>
  <c r="H2016" i="27"/>
  <c r="U2016" i="27"/>
  <c r="V2016" i="27" s="1"/>
  <c r="W2016" i="27" s="1"/>
  <c r="U2282" i="27"/>
  <c r="V2282" i="27" s="1"/>
  <c r="W2282" i="27" s="1"/>
  <c r="K2282" i="27"/>
  <c r="K2309" i="27"/>
  <c r="E2309" i="27"/>
  <c r="U2480" i="27"/>
  <c r="V2480" i="27" s="1"/>
  <c r="W2480" i="27" s="1"/>
  <c r="K2480" i="27"/>
  <c r="K457" i="27"/>
  <c r="H457" i="27"/>
  <c r="K560" i="27"/>
  <c r="H560" i="27"/>
  <c r="U560" i="27"/>
  <c r="V560" i="27" s="1"/>
  <c r="W560" i="27" s="1"/>
  <c r="K659" i="27"/>
  <c r="E659" i="27"/>
  <c r="U1206" i="27"/>
  <c r="V1206" i="27" s="1"/>
  <c r="W1206" i="27" s="1"/>
  <c r="K1206" i="27"/>
  <c r="H1407" i="27"/>
  <c r="E1407" i="27"/>
  <c r="U2039" i="27"/>
  <c r="V2039" i="27" s="1"/>
  <c r="W2039" i="27" s="1"/>
  <c r="H2039" i="27"/>
  <c r="N2052" i="27"/>
  <c r="H2052" i="27"/>
  <c r="U2052" i="27"/>
  <c r="V2052" i="27" s="1"/>
  <c r="W2052" i="27" s="1"/>
  <c r="H2161" i="27"/>
  <c r="U2161" i="27"/>
  <c r="V2161" i="27" s="1"/>
  <c r="W2161" i="27" s="1"/>
  <c r="U3674" i="27"/>
  <c r="V3674" i="27" s="1"/>
  <c r="W3674" i="27" s="1"/>
  <c r="H3674" i="27"/>
  <c r="E343" i="27"/>
  <c r="U343" i="27"/>
  <c r="V343" i="27" s="1"/>
  <c r="W343" i="27" s="1"/>
  <c r="E508" i="27"/>
  <c r="K508" i="27"/>
  <c r="U508" i="27"/>
  <c r="V508" i="27" s="1"/>
  <c r="W508" i="27" s="1"/>
  <c r="U893" i="27"/>
  <c r="V893" i="27" s="1"/>
  <c r="W893" i="27" s="1"/>
  <c r="H893" i="27"/>
  <c r="U1066" i="27"/>
  <c r="V1066" i="27" s="1"/>
  <c r="W1066" i="27" s="1"/>
  <c r="N1066" i="27"/>
  <c r="U1106" i="27"/>
  <c r="V1106" i="27" s="1"/>
  <c r="W1106" i="27" s="1"/>
  <c r="K1106" i="27"/>
  <c r="U1365" i="27"/>
  <c r="V1365" i="27" s="1"/>
  <c r="W1365" i="27" s="1"/>
  <c r="E1365" i="27"/>
  <c r="K1604" i="27"/>
  <c r="U1604" i="27"/>
  <c r="V1604" i="27" s="1"/>
  <c r="W1604" i="27" s="1"/>
  <c r="N1636" i="27"/>
  <c r="H1636" i="27"/>
  <c r="H1896" i="27"/>
  <c r="U1896" i="27"/>
  <c r="V1896" i="27" s="1"/>
  <c r="W1896" i="27" s="1"/>
  <c r="H2107" i="27"/>
  <c r="U2107" i="27"/>
  <c r="V2107" i="27" s="1"/>
  <c r="W2107" i="27" s="1"/>
  <c r="K3619" i="27"/>
  <c r="U3619" i="27"/>
  <c r="V3619" i="27" s="1"/>
  <c r="W3619" i="27" s="1"/>
  <c r="N3619" i="27"/>
  <c r="U3643" i="27"/>
  <c r="V3643" i="27" s="1"/>
  <c r="W3643" i="27" s="1"/>
  <c r="H3643" i="27"/>
  <c r="K17" i="27"/>
  <c r="U22" i="27"/>
  <c r="V22" i="27" s="1"/>
  <c r="W22" i="27" s="1"/>
  <c r="H34" i="27"/>
  <c r="U47" i="27"/>
  <c r="V47" i="27" s="1"/>
  <c r="W47" i="27" s="1"/>
  <c r="K72" i="27"/>
  <c r="U74" i="27"/>
  <c r="V74" i="27" s="1"/>
  <c r="W74" i="27" s="1"/>
  <c r="K322" i="27"/>
  <c r="H335" i="27"/>
  <c r="U335" i="27"/>
  <c r="V335" i="27" s="1"/>
  <c r="W335" i="27" s="1"/>
  <c r="E335" i="27"/>
  <c r="K346" i="27"/>
  <c r="U346" i="27"/>
  <c r="V346" i="27" s="1"/>
  <c r="W346" i="27" s="1"/>
  <c r="E440" i="27"/>
  <c r="H458" i="27"/>
  <c r="E554" i="27"/>
  <c r="E560" i="27"/>
  <c r="E724" i="27"/>
  <c r="H906" i="27"/>
  <c r="N906" i="27"/>
  <c r="E1998" i="27"/>
  <c r="K2854" i="27"/>
  <c r="H2854" i="27"/>
  <c r="U2854" i="27"/>
  <c r="V2854" i="27" s="1"/>
  <c r="W2854" i="27" s="1"/>
  <c r="N9" i="27"/>
  <c r="H11" i="27"/>
  <c r="K34" i="27"/>
  <c r="E47" i="27"/>
  <c r="E55" i="27"/>
  <c r="H74" i="27"/>
  <c r="E75" i="27"/>
  <c r="U98" i="27"/>
  <c r="V98" i="27" s="1"/>
  <c r="W98" i="27" s="1"/>
  <c r="K98" i="27"/>
  <c r="U323" i="27"/>
  <c r="V323" i="27" s="1"/>
  <c r="W323" i="27" s="1"/>
  <c r="N345" i="27"/>
  <c r="U358" i="27"/>
  <c r="V358" i="27" s="1"/>
  <c r="W358" i="27" s="1"/>
  <c r="K366" i="27"/>
  <c r="E366" i="27"/>
  <c r="E368" i="27"/>
  <c r="H403" i="27"/>
  <c r="N405" i="27"/>
  <c r="K406" i="27"/>
  <c r="U423" i="27"/>
  <c r="V423" i="27" s="1"/>
  <c r="W423" i="27" s="1"/>
  <c r="E472" i="27"/>
  <c r="K482" i="27"/>
  <c r="H486" i="27"/>
  <c r="U486" i="27"/>
  <c r="V486" i="27" s="1"/>
  <c r="W486" i="27" s="1"/>
  <c r="N498" i="27"/>
  <c r="H508" i="27"/>
  <c r="H548" i="27"/>
  <c r="U548" i="27"/>
  <c r="V548" i="27" s="1"/>
  <c r="W548" i="27" s="1"/>
  <c r="E548" i="27"/>
  <c r="N561" i="27"/>
  <c r="U609" i="27"/>
  <c r="V609" i="27" s="1"/>
  <c r="W609" i="27" s="1"/>
  <c r="N617" i="27"/>
  <c r="K627" i="27"/>
  <c r="N643" i="27"/>
  <c r="E666" i="27"/>
  <c r="N674" i="27"/>
  <c r="N677" i="27"/>
  <c r="U678" i="27"/>
  <c r="V678" i="27" s="1"/>
  <c r="W678" i="27" s="1"/>
  <c r="H678" i="27"/>
  <c r="E685" i="27"/>
  <c r="E688" i="27"/>
  <c r="E691" i="27"/>
  <c r="H769" i="27"/>
  <c r="E772" i="27"/>
  <c r="H795" i="27"/>
  <c r="N796" i="27"/>
  <c r="U800" i="27"/>
  <c r="V800" i="27" s="1"/>
  <c r="W800" i="27" s="1"/>
  <c r="K800" i="27"/>
  <c r="K802" i="27"/>
  <c r="N846" i="27"/>
  <c r="U863" i="27"/>
  <c r="V863" i="27" s="1"/>
  <c r="W863" i="27" s="1"/>
  <c r="E863" i="27"/>
  <c r="U906" i="27"/>
  <c r="V906" i="27" s="1"/>
  <c r="W906" i="27" s="1"/>
  <c r="N909" i="27"/>
  <c r="K912" i="27"/>
  <c r="U912" i="27"/>
  <c r="V912" i="27" s="1"/>
  <c r="W912" i="27" s="1"/>
  <c r="U930" i="27"/>
  <c r="V930" i="27" s="1"/>
  <c r="W930" i="27" s="1"/>
  <c r="K930" i="27"/>
  <c r="N952" i="27"/>
  <c r="E955" i="27"/>
  <c r="H1059" i="27"/>
  <c r="E1066" i="27"/>
  <c r="U1142" i="27"/>
  <c r="V1142" i="27" s="1"/>
  <c r="W1142" i="27" s="1"/>
  <c r="E1142" i="27"/>
  <c r="E1154" i="27"/>
  <c r="H1154" i="27"/>
  <c r="N1174" i="27"/>
  <c r="U1236" i="27"/>
  <c r="V1236" i="27" s="1"/>
  <c r="W1236" i="27" s="1"/>
  <c r="H1236" i="27"/>
  <c r="N1340" i="27"/>
  <c r="E1623" i="27"/>
  <c r="K1623" i="27"/>
  <c r="U1753" i="27"/>
  <c r="V1753" i="27" s="1"/>
  <c r="W1753" i="27" s="1"/>
  <c r="N1753" i="27"/>
  <c r="E1753" i="27"/>
  <c r="H1765" i="27"/>
  <c r="U1765" i="27"/>
  <c r="V1765" i="27" s="1"/>
  <c r="W1765" i="27" s="1"/>
  <c r="U1904" i="27"/>
  <c r="V1904" i="27" s="1"/>
  <c r="W1904" i="27" s="1"/>
  <c r="H1999" i="27"/>
  <c r="U1999" i="27"/>
  <c r="V1999" i="27" s="1"/>
  <c r="W1999" i="27" s="1"/>
  <c r="U923" i="27"/>
  <c r="V923" i="27" s="1"/>
  <c r="W923" i="27" s="1"/>
  <c r="E923" i="27"/>
  <c r="E1126" i="27"/>
  <c r="H1126" i="27"/>
  <c r="U1510" i="27"/>
  <c r="V1510" i="27" s="1"/>
  <c r="W1510" i="27" s="1"/>
  <c r="K1510" i="27"/>
  <c r="E1510" i="27"/>
  <c r="K1964" i="27"/>
  <c r="U1964" i="27"/>
  <c r="V1964" i="27" s="1"/>
  <c r="W1964" i="27" s="1"/>
  <c r="H1964" i="27"/>
  <c r="H3678" i="27"/>
  <c r="E3678" i="27"/>
  <c r="U630" i="27"/>
  <c r="V630" i="27" s="1"/>
  <c r="W630" i="27" s="1"/>
  <c r="K630" i="27"/>
  <c r="H630" i="27"/>
  <c r="U776" i="27"/>
  <c r="V776" i="27" s="1"/>
  <c r="W776" i="27" s="1"/>
  <c r="E11" i="27"/>
  <c r="U67" i="27"/>
  <c r="V67" i="27" s="1"/>
  <c r="W67" i="27" s="1"/>
  <c r="E154" i="27"/>
  <c r="E330" i="27"/>
  <c r="U368" i="27"/>
  <c r="V368" i="27" s="1"/>
  <c r="W368" i="27" s="1"/>
  <c r="E543" i="27"/>
  <c r="E776" i="27"/>
  <c r="K11" i="27"/>
  <c r="H46" i="27"/>
  <c r="H47" i="27"/>
  <c r="K57" i="27"/>
  <c r="N61" i="27"/>
  <c r="H67" i="27"/>
  <c r="H75" i="27"/>
  <c r="K78" i="27"/>
  <c r="K84" i="27"/>
  <c r="E86" i="27"/>
  <c r="K90" i="27"/>
  <c r="H119" i="27"/>
  <c r="K128" i="27"/>
  <c r="E321" i="27"/>
  <c r="H343" i="27"/>
  <c r="E347" i="27"/>
  <c r="K403" i="27"/>
  <c r="N421" i="27"/>
  <c r="H421" i="27"/>
  <c r="E430" i="27"/>
  <c r="H436" i="27"/>
  <c r="E475" i="27"/>
  <c r="N489" i="27"/>
  <c r="N493" i="27"/>
  <c r="K516" i="27"/>
  <c r="U516" i="27"/>
  <c r="V516" i="27" s="1"/>
  <c r="W516" i="27" s="1"/>
  <c r="E587" i="27"/>
  <c r="E609" i="27"/>
  <c r="K617" i="27"/>
  <c r="N627" i="27"/>
  <c r="E637" i="27"/>
  <c r="K674" i="27"/>
  <c r="U674" i="27"/>
  <c r="V674" i="27" s="1"/>
  <c r="W674" i="27" s="1"/>
  <c r="N704" i="27"/>
  <c r="N710" i="27"/>
  <c r="U717" i="27"/>
  <c r="V717" i="27" s="1"/>
  <c r="W717" i="27" s="1"/>
  <c r="E717" i="27"/>
  <c r="U733" i="27"/>
  <c r="V733" i="27" s="1"/>
  <c r="W733" i="27" s="1"/>
  <c r="H733" i="27"/>
  <c r="E737" i="27"/>
  <c r="K742" i="27"/>
  <c r="U742" i="27"/>
  <c r="V742" i="27" s="1"/>
  <c r="W742" i="27" s="1"/>
  <c r="E742" i="27"/>
  <c r="E773" i="27"/>
  <c r="U773" i="27"/>
  <c r="V773" i="27" s="1"/>
  <c r="W773" i="27" s="1"/>
  <c r="K780" i="27"/>
  <c r="N780" i="27"/>
  <c r="N834" i="27"/>
  <c r="E836" i="27"/>
  <c r="N862" i="27"/>
  <c r="N900" i="27"/>
  <c r="K900" i="27"/>
  <c r="E904" i="27"/>
  <c r="H909" i="27"/>
  <c r="U909" i="27"/>
  <c r="V909" i="27" s="1"/>
  <c r="W909" i="27" s="1"/>
  <c r="E916" i="27"/>
  <c r="N926" i="27"/>
  <c r="E928" i="27"/>
  <c r="N949" i="27"/>
  <c r="N959" i="27"/>
  <c r="U959" i="27"/>
  <c r="V959" i="27" s="1"/>
  <c r="W959" i="27" s="1"/>
  <c r="H980" i="27"/>
  <c r="N1009" i="27"/>
  <c r="H1018" i="27"/>
  <c r="N1025" i="27"/>
  <c r="N1031" i="27"/>
  <c r="E1033" i="27"/>
  <c r="E1058" i="27"/>
  <c r="N1084" i="27"/>
  <c r="E1186" i="27"/>
  <c r="H1199" i="27"/>
  <c r="U1245" i="27"/>
  <c r="V1245" i="27" s="1"/>
  <c r="W1245" i="27" s="1"/>
  <c r="K1245" i="27"/>
  <c r="N1322" i="27"/>
  <c r="H1339" i="27"/>
  <c r="N1401" i="27"/>
  <c r="N1491" i="27"/>
  <c r="H1516" i="27"/>
  <c r="U1516" i="27"/>
  <c r="V1516" i="27" s="1"/>
  <c r="W1516" i="27" s="1"/>
  <c r="E1551" i="27"/>
  <c r="E1979" i="27"/>
  <c r="N1980" i="27"/>
  <c r="N2069" i="27"/>
  <c r="U2171" i="27"/>
  <c r="V2171" i="27" s="1"/>
  <c r="W2171" i="27" s="1"/>
  <c r="H2171" i="27"/>
  <c r="H1118" i="27"/>
  <c r="U1118" i="27"/>
  <c r="V1118" i="27" s="1"/>
  <c r="W1118" i="27" s="1"/>
  <c r="U1163" i="27"/>
  <c r="V1163" i="27" s="1"/>
  <c r="W1163" i="27" s="1"/>
  <c r="E1163" i="27"/>
  <c r="N369" i="27"/>
  <c r="K369" i="27"/>
  <c r="U662" i="27"/>
  <c r="V662" i="27" s="1"/>
  <c r="W662" i="27" s="1"/>
  <c r="K662" i="27"/>
  <c r="U1574" i="27"/>
  <c r="V1574" i="27" s="1"/>
  <c r="W1574" i="27" s="1"/>
  <c r="K1574" i="27"/>
  <c r="U1784" i="27"/>
  <c r="V1784" i="27" s="1"/>
  <c r="W1784" i="27" s="1"/>
  <c r="E1784" i="27"/>
  <c r="E46" i="27"/>
  <c r="U46" i="27"/>
  <c r="V46" i="27" s="1"/>
  <c r="W46" i="27" s="1"/>
  <c r="E74" i="27"/>
  <c r="U75" i="27"/>
  <c r="V75" i="27" s="1"/>
  <c r="W75" i="27" s="1"/>
  <c r="K85" i="27"/>
  <c r="H470" i="27"/>
  <c r="E612" i="27"/>
  <c r="K632" i="27"/>
  <c r="E727" i="27"/>
  <c r="H1416" i="27"/>
  <c r="K6" i="27"/>
  <c r="K54" i="27"/>
  <c r="N60" i="27"/>
  <c r="E62" i="27"/>
  <c r="K64" i="27"/>
  <c r="K70" i="27"/>
  <c r="E72" i="27"/>
  <c r="K77" i="27"/>
  <c r="N82" i="27"/>
  <c r="N89" i="27"/>
  <c r="U91" i="27"/>
  <c r="V91" i="27" s="1"/>
  <c r="W91" i="27" s="1"/>
  <c r="K96" i="27"/>
  <c r="H101" i="27"/>
  <c r="N126" i="27"/>
  <c r="K333" i="27"/>
  <c r="U333" i="27"/>
  <c r="V333" i="27" s="1"/>
  <c r="W333" i="27" s="1"/>
  <c r="N338" i="27"/>
  <c r="K415" i="27"/>
  <c r="N432" i="27"/>
  <c r="K436" i="27"/>
  <c r="K449" i="27"/>
  <c r="U449" i="27"/>
  <c r="V449" i="27" s="1"/>
  <c r="W449" i="27" s="1"/>
  <c r="N458" i="27"/>
  <c r="N585" i="27"/>
  <c r="N665" i="27"/>
  <c r="K704" i="27"/>
  <c r="H704" i="27"/>
  <c r="N738" i="27"/>
  <c r="N766" i="27"/>
  <c r="N776" i="27"/>
  <c r="H851" i="27"/>
  <c r="N882" i="27"/>
  <c r="H926" i="27"/>
  <c r="K926" i="27"/>
  <c r="E979" i="27"/>
  <c r="N995" i="27"/>
  <c r="N1028" i="27"/>
  <c r="K1072" i="27"/>
  <c r="H1140" i="27"/>
  <c r="E1180" i="27"/>
  <c r="U1248" i="27"/>
  <c r="V1248" i="27" s="1"/>
  <c r="W1248" i="27" s="1"/>
  <c r="H1248" i="27"/>
  <c r="E1322" i="27"/>
  <c r="K1322" i="27"/>
  <c r="K1491" i="27"/>
  <c r="H1491" i="27"/>
  <c r="U1697" i="27"/>
  <c r="V1697" i="27" s="1"/>
  <c r="W1697" i="27" s="1"/>
  <c r="H1697" i="27"/>
  <c r="E1697" i="27"/>
  <c r="K1697" i="27"/>
  <c r="N1741" i="27"/>
  <c r="K1741" i="27"/>
  <c r="E1802" i="27"/>
  <c r="H1860" i="27"/>
  <c r="U1860" i="27"/>
  <c r="V1860" i="27" s="1"/>
  <c r="W1860" i="27" s="1"/>
  <c r="N1860" i="27"/>
  <c r="H1903" i="27"/>
  <c r="U1903" i="27"/>
  <c r="V1903" i="27" s="1"/>
  <c r="W1903" i="27" s="1"/>
  <c r="H1987" i="27"/>
  <c r="U1987" i="27"/>
  <c r="V1987" i="27" s="1"/>
  <c r="W1987" i="27" s="1"/>
  <c r="H91" i="27"/>
  <c r="N109" i="27"/>
  <c r="E119" i="27"/>
  <c r="N123" i="27"/>
  <c r="E130" i="27"/>
  <c r="N321" i="27"/>
  <c r="E346" i="27"/>
  <c r="K354" i="27"/>
  <c r="E358" i="27"/>
  <c r="K361" i="27"/>
  <c r="E362" i="27"/>
  <c r="N374" i="27"/>
  <c r="N378" i="27"/>
  <c r="N386" i="27"/>
  <c r="N403" i="27"/>
  <c r="N412" i="27"/>
  <c r="E423" i="27"/>
  <c r="N428" i="27"/>
  <c r="N430" i="27"/>
  <c r="K437" i="27"/>
  <c r="E458" i="27"/>
  <c r="N475" i="27"/>
  <c r="K476" i="27"/>
  <c r="K479" i="27"/>
  <c r="N482" i="27"/>
  <c r="K497" i="27"/>
  <c r="N512" i="27"/>
  <c r="E518" i="27"/>
  <c r="H535" i="27"/>
  <c r="E536" i="27"/>
  <c r="H552" i="27"/>
  <c r="N558" i="27"/>
  <c r="N589" i="27"/>
  <c r="K633" i="27"/>
  <c r="H656" i="27"/>
  <c r="N664" i="27"/>
  <c r="N670" i="27"/>
  <c r="N678" i="27"/>
  <c r="N681" i="27"/>
  <c r="K736" i="27"/>
  <c r="K739" i="27"/>
  <c r="K745" i="27"/>
  <c r="K755" i="27"/>
  <c r="N759" i="27"/>
  <c r="H775" i="27"/>
  <c r="E801" i="27"/>
  <c r="N802" i="27"/>
  <c r="E804" i="27"/>
  <c r="E828" i="27"/>
  <c r="E835" i="27"/>
  <c r="N836" i="27"/>
  <c r="E838" i="27"/>
  <c r="N839" i="27"/>
  <c r="N849" i="27"/>
  <c r="K852" i="27"/>
  <c r="N853" i="27"/>
  <c r="K860" i="27"/>
  <c r="K864" i="27"/>
  <c r="N865" i="27"/>
  <c r="H868" i="27"/>
  <c r="N877" i="27"/>
  <c r="H879" i="27"/>
  <c r="E900" i="27"/>
  <c r="N904" i="27"/>
  <c r="E906" i="27"/>
  <c r="N928" i="27"/>
  <c r="N940" i="27"/>
  <c r="E942" i="27"/>
  <c r="N947" i="27"/>
  <c r="N955" i="27"/>
  <c r="E957" i="27"/>
  <c r="E964" i="27"/>
  <c r="N984" i="27"/>
  <c r="H986" i="27"/>
  <c r="H991" i="27"/>
  <c r="H1013" i="27"/>
  <c r="U1050" i="27"/>
  <c r="V1050" i="27" s="1"/>
  <c r="W1050" i="27" s="1"/>
  <c r="K1050" i="27"/>
  <c r="U1125" i="27"/>
  <c r="V1125" i="27" s="1"/>
  <c r="W1125" i="27" s="1"/>
  <c r="K1125" i="27"/>
  <c r="K1153" i="27"/>
  <c r="U1153" i="27"/>
  <c r="V1153" i="27" s="1"/>
  <c r="W1153" i="27" s="1"/>
  <c r="E1156" i="27"/>
  <c r="N1156" i="27"/>
  <c r="N1197" i="27"/>
  <c r="E1206" i="27"/>
  <c r="K1311" i="27"/>
  <c r="H1311" i="27"/>
  <c r="U1315" i="27"/>
  <c r="V1315" i="27" s="1"/>
  <c r="W1315" i="27" s="1"/>
  <c r="K1315" i="27"/>
  <c r="N1324" i="27"/>
  <c r="N1327" i="27"/>
  <c r="N1371" i="27"/>
  <c r="K1392" i="27"/>
  <c r="N1452" i="27"/>
  <c r="E1467" i="27"/>
  <c r="K1490" i="27"/>
  <c r="N1710" i="27"/>
  <c r="N1896" i="27"/>
  <c r="H1934" i="27"/>
  <c r="U1967" i="27"/>
  <c r="V1967" i="27" s="1"/>
  <c r="W1967" i="27" s="1"/>
  <c r="H1967" i="27"/>
  <c r="N1998" i="27"/>
  <c r="H2027" i="27"/>
  <c r="U2061" i="27"/>
  <c r="V2061" i="27" s="1"/>
  <c r="W2061" i="27" s="1"/>
  <c r="H2061" i="27"/>
  <c r="H2085" i="27"/>
  <c r="H2189" i="27"/>
  <c r="U2622" i="27"/>
  <c r="V2622" i="27" s="1"/>
  <c r="W2622" i="27" s="1"/>
  <c r="K2622" i="27"/>
  <c r="K94" i="27"/>
  <c r="H99" i="27"/>
  <c r="U110" i="27"/>
  <c r="V110" i="27" s="1"/>
  <c r="W110" i="27" s="1"/>
  <c r="E128" i="27"/>
  <c r="H132" i="27"/>
  <c r="H330" i="27"/>
  <c r="N402" i="27"/>
  <c r="N409" i="27"/>
  <c r="N427" i="27"/>
  <c r="E448" i="27"/>
  <c r="N469" i="27"/>
  <c r="N474" i="27"/>
  <c r="N479" i="27"/>
  <c r="U497" i="27"/>
  <c r="V497" i="27" s="1"/>
  <c r="W497" i="27" s="1"/>
  <c r="E505" i="27"/>
  <c r="E506" i="27"/>
  <c r="E507" i="27"/>
  <c r="E514" i="27"/>
  <c r="H516" i="27"/>
  <c r="N520" i="27"/>
  <c r="H543" i="27"/>
  <c r="E547" i="27"/>
  <c r="N553" i="27"/>
  <c r="K574" i="27"/>
  <c r="N575" i="27"/>
  <c r="H609" i="27"/>
  <c r="E610" i="27"/>
  <c r="E617" i="27"/>
  <c r="N632" i="27"/>
  <c r="H640" i="27"/>
  <c r="H652" i="27"/>
  <c r="N656" i="27"/>
  <c r="H667" i="27"/>
  <c r="E674" i="27"/>
  <c r="N680" i="27"/>
  <c r="N683" i="27"/>
  <c r="E701" i="27"/>
  <c r="H715" i="27"/>
  <c r="H743" i="27"/>
  <c r="E756" i="27"/>
  <c r="N791" i="27"/>
  <c r="H798" i="27"/>
  <c r="E807" i="27"/>
  <c r="E834" i="27"/>
  <c r="K844" i="27"/>
  <c r="H845" i="27"/>
  <c r="E850" i="27"/>
  <c r="H855" i="27"/>
  <c r="E858" i="27"/>
  <c r="E862" i="27"/>
  <c r="E875" i="27"/>
  <c r="H889" i="27"/>
  <c r="K906" i="27"/>
  <c r="E919" i="27"/>
  <c r="H923" i="27"/>
  <c r="E934" i="27"/>
  <c r="K942" i="27"/>
  <c r="N946" i="27"/>
  <c r="K957" i="27"/>
  <c r="E963" i="27"/>
  <c r="N990" i="27"/>
  <c r="K995" i="27"/>
  <c r="N1007" i="27"/>
  <c r="N1019" i="27"/>
  <c r="E1021" i="27"/>
  <c r="N1035" i="27"/>
  <c r="H1061" i="27"/>
  <c r="H1066" i="27"/>
  <c r="E1084" i="27"/>
  <c r="E1092" i="27"/>
  <c r="K1121" i="27"/>
  <c r="E1123" i="27"/>
  <c r="U1133" i="27"/>
  <c r="V1133" i="27" s="1"/>
  <c r="W1133" i="27" s="1"/>
  <c r="K1133" i="27"/>
  <c r="K1193" i="27"/>
  <c r="U1228" i="27"/>
  <c r="V1228" i="27" s="1"/>
  <c r="W1228" i="27" s="1"/>
  <c r="K1228" i="27"/>
  <c r="E1228" i="27"/>
  <c r="H1258" i="27"/>
  <c r="N1272" i="27"/>
  <c r="N1341" i="27"/>
  <c r="N1388" i="27"/>
  <c r="K1480" i="27"/>
  <c r="H1480" i="27"/>
  <c r="N1490" i="27"/>
  <c r="H1490" i="27"/>
  <c r="U1490" i="27"/>
  <c r="V1490" i="27" s="1"/>
  <c r="W1490" i="27" s="1"/>
  <c r="H1574" i="27"/>
  <c r="E1592" i="27"/>
  <c r="U1681" i="27"/>
  <c r="V1681" i="27" s="1"/>
  <c r="W1681" i="27" s="1"/>
  <c r="K1681" i="27"/>
  <c r="K1684" i="27"/>
  <c r="U1684" i="27"/>
  <c r="V1684" i="27" s="1"/>
  <c r="W1684" i="27" s="1"/>
  <c r="E1684" i="27"/>
  <c r="U1740" i="27"/>
  <c r="V1740" i="27" s="1"/>
  <c r="W1740" i="27" s="1"/>
  <c r="K1740" i="27"/>
  <c r="U1840" i="27"/>
  <c r="V1840" i="27" s="1"/>
  <c r="W1840" i="27" s="1"/>
  <c r="H1840" i="27"/>
  <c r="H1870" i="27"/>
  <c r="U1870" i="27"/>
  <c r="V1870" i="27" s="1"/>
  <c r="W1870" i="27" s="1"/>
  <c r="H1909" i="27"/>
  <c r="N1919" i="27"/>
  <c r="U1940" i="27"/>
  <c r="V1940" i="27" s="1"/>
  <c r="W1940" i="27" s="1"/>
  <c r="H1940" i="27"/>
  <c r="H2051" i="27"/>
  <c r="U2051" i="27"/>
  <c r="V2051" i="27" s="1"/>
  <c r="W2051" i="27" s="1"/>
  <c r="N2060" i="27"/>
  <c r="H2060" i="27"/>
  <c r="K2415" i="27"/>
  <c r="E2415" i="27"/>
  <c r="U2848" i="27"/>
  <c r="V2848" i="27" s="1"/>
  <c r="W2848" i="27" s="1"/>
  <c r="N2848" i="27"/>
  <c r="K93" i="27"/>
  <c r="N101" i="27"/>
  <c r="E111" i="27"/>
  <c r="N113" i="27"/>
  <c r="K122" i="27"/>
  <c r="H128" i="27"/>
  <c r="K154" i="27"/>
  <c r="H333" i="27"/>
  <c r="N337" i="27"/>
  <c r="H354" i="27"/>
  <c r="K388" i="27"/>
  <c r="H406" i="27"/>
  <c r="E453" i="27"/>
  <c r="K458" i="27"/>
  <c r="K460" i="27"/>
  <c r="H465" i="27"/>
  <c r="E485" i="27"/>
  <c r="H505" i="27"/>
  <c r="H506" i="27"/>
  <c r="H546" i="27"/>
  <c r="K553" i="27"/>
  <c r="K588" i="27"/>
  <c r="H612" i="27"/>
  <c r="H616" i="27"/>
  <c r="H617" i="27"/>
  <c r="E624" i="27"/>
  <c r="K643" i="27"/>
  <c r="K655" i="27"/>
  <c r="H662" i="27"/>
  <c r="N663" i="27"/>
  <c r="H674" i="27"/>
  <c r="H683" i="27"/>
  <c r="E693" i="27"/>
  <c r="N711" i="27"/>
  <c r="E741" i="27"/>
  <c r="K743" i="27"/>
  <c r="N744" i="27"/>
  <c r="E757" i="27"/>
  <c r="E781" i="27"/>
  <c r="K790" i="27"/>
  <c r="U798" i="27"/>
  <c r="V798" i="27" s="1"/>
  <c r="W798" i="27" s="1"/>
  <c r="N804" i="27"/>
  <c r="N808" i="27"/>
  <c r="N816" i="27"/>
  <c r="K822" i="27"/>
  <c r="N828" i="27"/>
  <c r="E830" i="27"/>
  <c r="N835" i="27"/>
  <c r="N838" i="27"/>
  <c r="H852" i="27"/>
  <c r="H875" i="27"/>
  <c r="U889" i="27"/>
  <c r="V889" i="27" s="1"/>
  <c r="W889" i="27" s="1"/>
  <c r="E892" i="27"/>
  <c r="N903" i="27"/>
  <c r="E909" i="27"/>
  <c r="E912" i="27"/>
  <c r="K916" i="27"/>
  <c r="N927" i="27"/>
  <c r="N942" i="27"/>
  <c r="E944" i="27"/>
  <c r="N957" i="27"/>
  <c r="N964" i="27"/>
  <c r="N967" i="27"/>
  <c r="E969" i="27"/>
  <c r="N983" i="27"/>
  <c r="E997" i="27"/>
  <c r="N1004" i="27"/>
  <c r="N1022" i="27"/>
  <c r="K1042" i="27"/>
  <c r="N1060" i="27"/>
  <c r="E1072" i="27"/>
  <c r="N1100" i="27"/>
  <c r="N1113" i="27"/>
  <c r="N1121" i="27"/>
  <c r="H1147" i="27"/>
  <c r="N1193" i="27"/>
  <c r="N1227" i="27"/>
  <c r="H1245" i="27"/>
  <c r="H1291" i="27"/>
  <c r="N1309" i="27"/>
  <c r="U1310" i="27"/>
  <c r="V1310" i="27" s="1"/>
  <c r="W1310" i="27" s="1"/>
  <c r="K1310" i="27"/>
  <c r="H1310" i="27"/>
  <c r="N1320" i="27"/>
  <c r="N1331" i="27"/>
  <c r="U1341" i="27"/>
  <c r="V1341" i="27" s="1"/>
  <c r="W1341" i="27" s="1"/>
  <c r="E1341" i="27"/>
  <c r="E1370" i="27"/>
  <c r="K1378" i="27"/>
  <c r="E1378" i="27"/>
  <c r="H1384" i="27"/>
  <c r="E1421" i="27"/>
  <c r="E1486" i="27"/>
  <c r="E1491" i="27"/>
  <c r="E1537" i="27"/>
  <c r="H1589" i="27"/>
  <c r="U1593" i="27"/>
  <c r="V1593" i="27" s="1"/>
  <c r="W1593" i="27" s="1"/>
  <c r="K1593" i="27"/>
  <c r="E1612" i="27"/>
  <c r="H1728" i="27"/>
  <c r="U1728" i="27"/>
  <c r="V1728" i="27" s="1"/>
  <c r="W1728" i="27" s="1"/>
  <c r="N1734" i="27"/>
  <c r="U1734" i="27"/>
  <c r="V1734" i="27" s="1"/>
  <c r="W1734" i="27" s="1"/>
  <c r="H1863" i="27"/>
  <c r="K1919" i="27"/>
  <c r="U1919" i="27"/>
  <c r="V1919" i="27" s="1"/>
  <c r="W1919" i="27" s="1"/>
  <c r="U1989" i="27"/>
  <c r="V1989" i="27" s="1"/>
  <c r="W1989" i="27" s="1"/>
  <c r="H2017" i="27"/>
  <c r="N2017" i="27"/>
  <c r="E2036" i="27"/>
  <c r="U2122" i="27"/>
  <c r="V2122" i="27" s="1"/>
  <c r="W2122" i="27" s="1"/>
  <c r="H2122" i="27"/>
  <c r="U2167" i="27"/>
  <c r="V2167" i="27" s="1"/>
  <c r="W2167" i="27" s="1"/>
  <c r="K2234" i="27"/>
  <c r="U2234" i="27"/>
  <c r="V2234" i="27" s="1"/>
  <c r="W2234" i="27" s="1"/>
  <c r="U2392" i="27"/>
  <c r="V2392" i="27" s="1"/>
  <c r="W2392" i="27" s="1"/>
  <c r="E2392" i="27"/>
  <c r="N90" i="27"/>
  <c r="K92" i="27"/>
  <c r="H111" i="27"/>
  <c r="K113" i="27"/>
  <c r="N120" i="27"/>
  <c r="K121" i="27"/>
  <c r="N130" i="27"/>
  <c r="H131" i="27"/>
  <c r="N154" i="27"/>
  <c r="K291" i="27"/>
  <c r="E341" i="27"/>
  <c r="E351" i="27"/>
  <c r="N358" i="27"/>
  <c r="N359" i="27"/>
  <c r="H372" i="27"/>
  <c r="E385" i="27"/>
  <c r="N388" i="27"/>
  <c r="E403" i="27"/>
  <c r="E413" i="27"/>
  <c r="H415" i="27"/>
  <c r="N423" i="27"/>
  <c r="E428" i="27"/>
  <c r="E429" i="27"/>
  <c r="E436" i="27"/>
  <c r="N440" i="27"/>
  <c r="E449" i="27"/>
  <c r="N456" i="27"/>
  <c r="N457" i="27"/>
  <c r="N459" i="27"/>
  <c r="N460" i="27"/>
  <c r="E470" i="27"/>
  <c r="E473" i="27"/>
  <c r="U474" i="27"/>
  <c r="V474" i="27" s="1"/>
  <c r="W474" i="27" s="1"/>
  <c r="H476" i="27"/>
  <c r="E481" i="27"/>
  <c r="E497" i="27"/>
  <c r="K505" i="27"/>
  <c r="K506" i="27"/>
  <c r="N509" i="27"/>
  <c r="N519" i="27"/>
  <c r="N556" i="27"/>
  <c r="H569" i="27"/>
  <c r="E581" i="27"/>
  <c r="H584" i="27"/>
  <c r="N591" i="27"/>
  <c r="U593" i="27"/>
  <c r="V593" i="27" s="1"/>
  <c r="W593" i="27" s="1"/>
  <c r="E597" i="27"/>
  <c r="H624" i="27"/>
  <c r="E627" i="27"/>
  <c r="K629" i="27"/>
  <c r="N640" i="27"/>
  <c r="E677" i="27"/>
  <c r="E690" i="27"/>
  <c r="N692" i="27"/>
  <c r="E698" i="27"/>
  <c r="H700" i="27"/>
  <c r="N708" i="27"/>
  <c r="E711" i="27"/>
  <c r="N721" i="27"/>
  <c r="N724" i="27"/>
  <c r="E740" i="27"/>
  <c r="N743" i="27"/>
  <c r="N753" i="27"/>
  <c r="U757" i="27"/>
  <c r="V757" i="27" s="1"/>
  <c r="W757" i="27" s="1"/>
  <c r="U758" i="27"/>
  <c r="V758" i="27" s="1"/>
  <c r="W758" i="27" s="1"/>
  <c r="E762" i="27"/>
  <c r="H763" i="27"/>
  <c r="E768" i="27"/>
  <c r="K770" i="27"/>
  <c r="E782" i="27"/>
  <c r="E789" i="27"/>
  <c r="N790" i="27"/>
  <c r="K796" i="27"/>
  <c r="H804" i="27"/>
  <c r="N822" i="27"/>
  <c r="N825" i="27"/>
  <c r="K828" i="27"/>
  <c r="H838" i="27"/>
  <c r="K850" i="27"/>
  <c r="N851" i="27"/>
  <c r="U852" i="27"/>
  <c r="V852" i="27" s="1"/>
  <c r="W852" i="27" s="1"/>
  <c r="K854" i="27"/>
  <c r="N855" i="27"/>
  <c r="N859" i="27"/>
  <c r="E868" i="27"/>
  <c r="E880" i="27"/>
  <c r="E884" i="27"/>
  <c r="E891" i="27"/>
  <c r="E915" i="27"/>
  <c r="N916" i="27"/>
  <c r="E918" i="27"/>
  <c r="H925" i="27"/>
  <c r="H929" i="27"/>
  <c r="N931" i="27"/>
  <c r="H938" i="27"/>
  <c r="E940" i="27"/>
  <c r="H942" i="27"/>
  <c r="H957" i="27"/>
  <c r="H967" i="27"/>
  <c r="H994" i="27"/>
  <c r="E1011" i="27"/>
  <c r="N1042" i="27"/>
  <c r="N1093" i="27"/>
  <c r="N1096" i="27"/>
  <c r="E1098" i="27"/>
  <c r="N1109" i="27"/>
  <c r="N1221" i="27"/>
  <c r="N1252" i="27"/>
  <c r="K1255" i="27"/>
  <c r="N1271" i="27"/>
  <c r="N1306" i="27"/>
  <c r="U1320" i="27"/>
  <c r="V1320" i="27" s="1"/>
  <c r="W1320" i="27" s="1"/>
  <c r="K1320" i="27"/>
  <c r="U1331" i="27"/>
  <c r="V1331" i="27" s="1"/>
  <c r="W1331" i="27" s="1"/>
  <c r="K1331" i="27"/>
  <c r="N1372" i="27"/>
  <c r="E1379" i="27"/>
  <c r="E1430" i="27"/>
  <c r="N1441" i="27"/>
  <c r="E1446" i="27"/>
  <c r="N1448" i="27"/>
  <c r="U1486" i="27"/>
  <c r="V1486" i="27" s="1"/>
  <c r="W1486" i="27" s="1"/>
  <c r="K1607" i="27"/>
  <c r="H1612" i="27"/>
  <c r="H1635" i="27"/>
  <c r="U1801" i="27"/>
  <c r="V1801" i="27" s="1"/>
  <c r="W1801" i="27" s="1"/>
  <c r="E1801" i="27"/>
  <c r="H1858" i="27"/>
  <c r="U1858" i="27"/>
  <c r="V1858" i="27" s="1"/>
  <c r="W1858" i="27" s="1"/>
  <c r="N1858" i="27"/>
  <c r="H1958" i="27"/>
  <c r="U1958" i="27"/>
  <c r="V1958" i="27" s="1"/>
  <c r="W1958" i="27" s="1"/>
  <c r="U2017" i="27"/>
  <c r="V2017" i="27" s="1"/>
  <c r="W2017" i="27" s="1"/>
  <c r="K2024" i="27"/>
  <c r="U2024" i="27"/>
  <c r="V2024" i="27" s="1"/>
  <c r="W2024" i="27" s="1"/>
  <c r="H2036" i="27"/>
  <c r="N1131" i="27"/>
  <c r="H1133" i="27"/>
  <c r="K1149" i="27"/>
  <c r="K1169" i="27"/>
  <c r="H1232" i="27"/>
  <c r="N1270" i="27"/>
  <c r="E1311" i="27"/>
  <c r="E1316" i="27"/>
  <c r="H1331" i="27"/>
  <c r="K1339" i="27"/>
  <c r="K1365" i="27"/>
  <c r="N1403" i="27"/>
  <c r="H1431" i="27"/>
  <c r="K1467" i="27"/>
  <c r="K1474" i="27"/>
  <c r="E1480" i="27"/>
  <c r="H1497" i="27"/>
  <c r="K1612" i="27"/>
  <c r="E1680" i="27"/>
  <c r="H1680" i="27"/>
  <c r="H1744" i="27"/>
  <c r="U1744" i="27"/>
  <c r="V1744" i="27" s="1"/>
  <c r="W1744" i="27" s="1"/>
  <c r="U2139" i="27"/>
  <c r="V2139" i="27" s="1"/>
  <c r="W2139" i="27" s="1"/>
  <c r="H2139" i="27"/>
  <c r="H2154" i="27"/>
  <c r="U2154" i="27"/>
  <c r="V2154" i="27" s="1"/>
  <c r="W2154" i="27" s="1"/>
  <c r="K2547" i="27"/>
  <c r="U2589" i="27"/>
  <c r="V2589" i="27" s="1"/>
  <c r="W2589" i="27" s="1"/>
  <c r="K2589" i="27"/>
  <c r="K2607" i="27"/>
  <c r="H2645" i="27"/>
  <c r="K2645" i="27"/>
  <c r="E2648" i="27"/>
  <c r="U2648" i="27"/>
  <c r="V2648" i="27" s="1"/>
  <c r="W2648" i="27" s="1"/>
  <c r="E1025" i="27"/>
  <c r="H1026" i="27"/>
  <c r="N1027" i="27"/>
  <c r="N1033" i="27"/>
  <c r="H1036" i="27"/>
  <c r="N1053" i="27"/>
  <c r="H1060" i="27"/>
  <c r="K1062" i="27"/>
  <c r="E1078" i="27"/>
  <c r="K1082" i="27"/>
  <c r="H1084" i="27"/>
  <c r="H1094" i="27"/>
  <c r="N1105" i="27"/>
  <c r="N1108" i="27"/>
  <c r="U1131" i="27"/>
  <c r="V1131" i="27" s="1"/>
  <c r="W1131" i="27" s="1"/>
  <c r="N1142" i="27"/>
  <c r="K1145" i="27"/>
  <c r="E1147" i="27"/>
  <c r="N1152" i="27"/>
  <c r="E1162" i="27"/>
  <c r="E1164" i="27"/>
  <c r="N1169" i="27"/>
  <c r="N1173" i="27"/>
  <c r="N1183" i="27"/>
  <c r="N1186" i="27"/>
  <c r="E1201" i="27"/>
  <c r="N1203" i="27"/>
  <c r="N1206" i="27"/>
  <c r="N1212" i="27"/>
  <c r="N1223" i="27"/>
  <c r="E1226" i="27"/>
  <c r="K1230" i="27"/>
  <c r="K1231" i="27"/>
  <c r="N1237" i="27"/>
  <c r="N1240" i="27"/>
  <c r="N1258" i="27"/>
  <c r="N1265" i="27"/>
  <c r="H1272" i="27"/>
  <c r="N1274" i="27"/>
  <c r="N1277" i="27"/>
  <c r="E1286" i="27"/>
  <c r="N1291" i="27"/>
  <c r="K1294" i="27"/>
  <c r="K1314" i="27"/>
  <c r="N1339" i="27"/>
  <c r="N1358" i="27"/>
  <c r="N1361" i="27"/>
  <c r="N1365" i="27"/>
  <c r="K1369" i="27"/>
  <c r="H1372" i="27"/>
  <c r="N1373" i="27"/>
  <c r="H1405" i="27"/>
  <c r="K1406" i="27"/>
  <c r="N1407" i="27"/>
  <c r="H1412" i="27"/>
  <c r="N1416" i="27"/>
  <c r="E1426" i="27"/>
  <c r="N1430" i="27"/>
  <c r="H1454" i="27"/>
  <c r="H1460" i="27"/>
  <c r="N1467" i="27"/>
  <c r="N1474" i="27"/>
  <c r="E1483" i="27"/>
  <c r="N1500" i="27"/>
  <c r="N1507" i="27"/>
  <c r="E1516" i="27"/>
  <c r="N1525" i="27"/>
  <c r="H1539" i="27"/>
  <c r="K1567" i="27"/>
  <c r="E1569" i="27"/>
  <c r="N1574" i="27"/>
  <c r="E1591" i="27"/>
  <c r="K1621" i="27"/>
  <c r="E1691" i="27"/>
  <c r="N1737" i="27"/>
  <c r="N1740" i="27"/>
  <c r="N1802" i="27"/>
  <c r="U1809" i="27"/>
  <c r="V1809" i="27" s="1"/>
  <c r="W1809" i="27" s="1"/>
  <c r="H1832" i="27"/>
  <c r="E1843" i="27"/>
  <c r="N1854" i="27"/>
  <c r="E1863" i="27"/>
  <c r="K1887" i="27"/>
  <c r="U1895" i="27"/>
  <c r="V1895" i="27" s="1"/>
  <c r="W1895" i="27" s="1"/>
  <c r="H1917" i="27"/>
  <c r="U1917" i="27"/>
  <c r="V1917" i="27" s="1"/>
  <c r="W1917" i="27" s="1"/>
  <c r="K1920" i="27"/>
  <c r="K1955" i="27"/>
  <c r="U1957" i="27"/>
  <c r="V1957" i="27" s="1"/>
  <c r="W1957" i="27" s="1"/>
  <c r="K1971" i="27"/>
  <c r="H2003" i="27"/>
  <c r="K2011" i="27"/>
  <c r="U2032" i="27"/>
  <c r="V2032" i="27" s="1"/>
  <c r="W2032" i="27" s="1"/>
  <c r="H2041" i="27"/>
  <c r="H2059" i="27"/>
  <c r="U2059" i="27"/>
  <c r="V2059" i="27" s="1"/>
  <c r="W2059" i="27" s="1"/>
  <c r="E2064" i="27"/>
  <c r="H2163" i="27"/>
  <c r="U2163" i="27"/>
  <c r="V2163" i="27" s="1"/>
  <c r="W2163" i="27" s="1"/>
  <c r="N2205" i="27"/>
  <c r="K2208" i="27"/>
  <c r="H2208" i="27"/>
  <c r="K2628" i="27"/>
  <c r="H2628" i="27"/>
  <c r="U2628" i="27"/>
  <c r="V2628" i="27" s="1"/>
  <c r="W2628" i="27" s="1"/>
  <c r="E2631" i="27"/>
  <c r="U2631" i="27"/>
  <c r="V2631" i="27" s="1"/>
  <c r="W2631" i="27" s="1"/>
  <c r="K2651" i="27"/>
  <c r="U2651" i="27"/>
  <c r="V2651" i="27" s="1"/>
  <c r="W2651" i="27" s="1"/>
  <c r="U2745" i="27"/>
  <c r="V2745" i="27" s="1"/>
  <c r="W2745" i="27" s="1"/>
  <c r="E2745" i="27"/>
  <c r="K1029" i="27"/>
  <c r="E1031" i="27"/>
  <c r="N1036" i="27"/>
  <c r="E1054" i="27"/>
  <c r="N1062" i="27"/>
  <c r="E1080" i="27"/>
  <c r="N1081" i="27"/>
  <c r="N1085" i="27"/>
  <c r="H1092" i="27"/>
  <c r="H1093" i="27"/>
  <c r="N1094" i="27"/>
  <c r="N1097" i="27"/>
  <c r="H1100" i="27"/>
  <c r="N1101" i="27"/>
  <c r="E1113" i="27"/>
  <c r="N1114" i="27"/>
  <c r="H1129" i="27"/>
  <c r="H1132" i="27"/>
  <c r="H1139" i="27"/>
  <c r="H1163" i="27"/>
  <c r="N1168" i="27"/>
  <c r="E1177" i="27"/>
  <c r="K1182" i="27"/>
  <c r="N1185" i="27"/>
  <c r="H1190" i="27"/>
  <c r="E1209" i="27"/>
  <c r="K1211" i="27"/>
  <c r="E1221" i="27"/>
  <c r="N1222" i="27"/>
  <c r="N1242" i="27"/>
  <c r="E1247" i="27"/>
  <c r="N1250" i="27"/>
  <c r="N1253" i="27"/>
  <c r="E1269" i="27"/>
  <c r="N1273" i="27"/>
  <c r="K1290" i="27"/>
  <c r="N1294" i="27"/>
  <c r="N1302" i="27"/>
  <c r="H1315" i="27"/>
  <c r="E1318" i="27"/>
  <c r="E1319" i="27"/>
  <c r="H1320" i="27"/>
  <c r="N1325" i="27"/>
  <c r="K1338" i="27"/>
  <c r="K1341" i="27"/>
  <c r="H1344" i="27"/>
  <c r="N1349" i="27"/>
  <c r="E1366" i="27"/>
  <c r="N1380" i="27"/>
  <c r="N1386" i="27"/>
  <c r="N1398" i="27"/>
  <c r="K1402" i="27"/>
  <c r="N1405" i="27"/>
  <c r="N1412" i="27"/>
  <c r="E1431" i="27"/>
  <c r="N1472" i="27"/>
  <c r="N1477" i="27"/>
  <c r="E1489" i="27"/>
  <c r="E1497" i="27"/>
  <c r="N1499" i="27"/>
  <c r="E1501" i="27"/>
  <c r="E1515" i="27"/>
  <c r="K1523" i="27"/>
  <c r="N1524" i="27"/>
  <c r="H1532" i="27"/>
  <c r="U1532" i="27"/>
  <c r="V1532" i="27" s="1"/>
  <c r="W1532" i="27" s="1"/>
  <c r="N1556" i="27"/>
  <c r="E1572" i="27"/>
  <c r="H1579" i="27"/>
  <c r="H1586" i="27"/>
  <c r="N1596" i="27"/>
  <c r="E1598" i="27"/>
  <c r="E1604" i="27"/>
  <c r="N1608" i="27"/>
  <c r="E1613" i="27"/>
  <c r="U1621" i="27"/>
  <c r="V1621" i="27" s="1"/>
  <c r="W1621" i="27" s="1"/>
  <c r="E1621" i="27"/>
  <c r="E1634" i="27"/>
  <c r="K1644" i="27"/>
  <c r="E1646" i="27"/>
  <c r="K1668" i="27"/>
  <c r="K1714" i="27"/>
  <c r="U1714" i="27"/>
  <c r="V1714" i="27" s="1"/>
  <c r="W1714" i="27" s="1"/>
  <c r="E1720" i="27"/>
  <c r="E1744" i="27"/>
  <c r="N1752" i="27"/>
  <c r="K1762" i="27"/>
  <c r="U1762" i="27"/>
  <c r="V1762" i="27" s="1"/>
  <c r="W1762" i="27" s="1"/>
  <c r="H1825" i="27"/>
  <c r="N1850" i="27"/>
  <c r="E1868" i="27"/>
  <c r="N1877" i="27"/>
  <c r="H1887" i="27"/>
  <c r="U1887" i="27"/>
  <c r="V1887" i="27" s="1"/>
  <c r="W1887" i="27" s="1"/>
  <c r="H1916" i="27"/>
  <c r="U1916" i="27"/>
  <c r="V1916" i="27" s="1"/>
  <c r="W1916" i="27" s="1"/>
  <c r="H1920" i="27"/>
  <c r="U1920" i="27"/>
  <c r="V1920" i="27" s="1"/>
  <c r="W1920" i="27" s="1"/>
  <c r="U1942" i="27"/>
  <c r="V1942" i="27" s="1"/>
  <c r="W1942" i="27" s="1"/>
  <c r="H1942" i="27"/>
  <c r="H1955" i="27"/>
  <c r="U1955" i="27"/>
  <c r="V1955" i="27" s="1"/>
  <c r="W1955" i="27" s="1"/>
  <c r="H1961" i="27"/>
  <c r="N1968" i="27"/>
  <c r="N1990" i="27"/>
  <c r="K2000" i="27"/>
  <c r="N2000" i="27"/>
  <c r="N2005" i="27"/>
  <c r="H2011" i="27"/>
  <c r="U2011" i="27"/>
  <c r="V2011" i="27" s="1"/>
  <c r="W2011" i="27" s="1"/>
  <c r="H2019" i="27"/>
  <c r="E2047" i="27"/>
  <c r="N2048" i="27"/>
  <c r="N2076" i="27"/>
  <c r="H2115" i="27"/>
  <c r="U2115" i="27"/>
  <c r="V2115" i="27" s="1"/>
  <c r="W2115" i="27" s="1"/>
  <c r="N2411" i="27"/>
  <c r="N2661" i="27"/>
  <c r="U2664" i="27"/>
  <c r="V2664" i="27" s="1"/>
  <c r="W2664" i="27" s="1"/>
  <c r="E2664" i="27"/>
  <c r="H2664" i="27"/>
  <c r="N2892" i="27"/>
  <c r="K2931" i="27"/>
  <c r="H2931" i="27"/>
  <c r="U2931" i="27"/>
  <c r="V2931" i="27" s="1"/>
  <c r="W2931" i="27" s="1"/>
  <c r="E2931" i="27"/>
  <c r="H1044" i="27"/>
  <c r="H1054" i="27"/>
  <c r="K1058" i="27"/>
  <c r="N1061" i="27"/>
  <c r="N1078" i="27"/>
  <c r="H1080" i="27"/>
  <c r="K1092" i="27"/>
  <c r="K1096" i="27"/>
  <c r="K1100" i="27"/>
  <c r="H1106" i="27"/>
  <c r="H1113" i="27"/>
  <c r="E1118" i="27"/>
  <c r="E1121" i="27"/>
  <c r="N1122" i="27"/>
  <c r="H1124" i="27"/>
  <c r="K1129" i="27"/>
  <c r="K1139" i="27"/>
  <c r="E1143" i="27"/>
  <c r="N1147" i="27"/>
  <c r="K1163" i="27"/>
  <c r="N1164" i="27"/>
  <c r="K1167" i="27"/>
  <c r="N1172" i="27"/>
  <c r="H1177" i="27"/>
  <c r="N1182" i="27"/>
  <c r="H1193" i="27"/>
  <c r="H1200" i="27"/>
  <c r="N1202" i="27"/>
  <c r="N1211" i="27"/>
  <c r="H1221" i="27"/>
  <c r="N1229" i="27"/>
  <c r="N1233" i="27"/>
  <c r="N1236" i="27"/>
  <c r="N1239" i="27"/>
  <c r="N1246" i="27"/>
  <c r="H1259" i="27"/>
  <c r="H1275" i="27"/>
  <c r="N1290" i="27"/>
  <c r="K1300" i="27"/>
  <c r="N1316" i="27"/>
  <c r="N1338" i="27"/>
  <c r="N1354" i="27"/>
  <c r="N1375" i="27"/>
  <c r="E1386" i="27"/>
  <c r="E1417" i="27"/>
  <c r="K1422" i="27"/>
  <c r="H1437" i="27"/>
  <c r="N1480" i="27"/>
  <c r="K1486" i="27"/>
  <c r="E1494" i="27"/>
  <c r="N1495" i="27"/>
  <c r="N1506" i="27"/>
  <c r="N1510" i="27"/>
  <c r="N1513" i="27"/>
  <c r="H1515" i="27"/>
  <c r="N1523" i="27"/>
  <c r="H1528" i="27"/>
  <c r="U1528" i="27"/>
  <c r="V1528" i="27" s="1"/>
  <c r="W1528" i="27" s="1"/>
  <c r="K1538" i="27"/>
  <c r="E1545" i="27"/>
  <c r="E1562" i="27"/>
  <c r="H1572" i="27"/>
  <c r="N1576" i="27"/>
  <c r="K1586" i="27"/>
  <c r="E1588" i="27"/>
  <c r="H1598" i="27"/>
  <c r="E1599" i="27"/>
  <c r="N1602" i="27"/>
  <c r="U1602" i="27"/>
  <c r="V1602" i="27" s="1"/>
  <c r="W1602" i="27" s="1"/>
  <c r="H1613" i="27"/>
  <c r="U1637" i="27"/>
  <c r="V1637" i="27" s="1"/>
  <c r="W1637" i="27" s="1"/>
  <c r="K1637" i="27"/>
  <c r="E1643" i="27"/>
  <c r="N1644" i="27"/>
  <c r="U1671" i="27"/>
  <c r="V1671" i="27" s="1"/>
  <c r="W1671" i="27" s="1"/>
  <c r="K1671" i="27"/>
  <c r="K1674" i="27"/>
  <c r="E1730" i="27"/>
  <c r="U1746" i="27"/>
  <c r="V1746" i="27" s="1"/>
  <c r="W1746" i="27" s="1"/>
  <c r="E1746" i="27"/>
  <c r="K1761" i="27"/>
  <c r="N1773" i="27"/>
  <c r="K1779" i="27"/>
  <c r="N1822" i="27"/>
  <c r="U1850" i="27"/>
  <c r="V1850" i="27" s="1"/>
  <c r="W1850" i="27" s="1"/>
  <c r="H1850" i="27"/>
  <c r="E1888" i="27"/>
  <c r="N1904" i="27"/>
  <c r="E1921" i="27"/>
  <c r="N1937" i="27"/>
  <c r="E1953" i="27"/>
  <c r="E1956" i="27"/>
  <c r="E1972" i="27"/>
  <c r="N1989" i="27"/>
  <c r="K2021" i="27"/>
  <c r="E2032" i="27"/>
  <c r="N2045" i="27"/>
  <c r="N2058" i="27"/>
  <c r="U2058" i="27"/>
  <c r="V2058" i="27" s="1"/>
  <c r="W2058" i="27" s="1"/>
  <c r="N2064" i="27"/>
  <c r="N2084" i="27"/>
  <c r="K2125" i="27"/>
  <c r="E2176" i="27"/>
  <c r="E2335" i="27"/>
  <c r="E2339" i="27"/>
  <c r="E2385" i="27"/>
  <c r="H2620" i="27"/>
  <c r="N2658" i="27"/>
  <c r="U2785" i="27"/>
  <c r="V2785" i="27" s="1"/>
  <c r="W2785" i="27" s="1"/>
  <c r="H2785" i="27"/>
  <c r="N2785" i="27"/>
  <c r="K2785" i="27"/>
  <c r="E2788" i="27"/>
  <c r="U2831" i="27"/>
  <c r="V2831" i="27" s="1"/>
  <c r="W2831" i="27" s="1"/>
  <c r="H2831" i="27"/>
  <c r="K2831" i="27"/>
  <c r="K1506" i="27"/>
  <c r="E1523" i="27"/>
  <c r="E1525" i="27"/>
  <c r="K1531" i="27"/>
  <c r="N1538" i="27"/>
  <c r="E1548" i="27"/>
  <c r="H1554" i="27"/>
  <c r="E1558" i="27"/>
  <c r="N1561" i="27"/>
  <c r="H1564" i="27"/>
  <c r="H1577" i="27"/>
  <c r="E1578" i="27"/>
  <c r="E1580" i="27"/>
  <c r="N1582" i="27"/>
  <c r="H1588" i="27"/>
  <c r="N1597" i="27"/>
  <c r="E1606" i="27"/>
  <c r="K1613" i="27"/>
  <c r="K1615" i="27"/>
  <c r="E1635" i="27"/>
  <c r="E1636" i="27"/>
  <c r="N1640" i="27"/>
  <c r="N1643" i="27"/>
  <c r="H1653" i="27"/>
  <c r="E1657" i="27"/>
  <c r="E1660" i="27"/>
  <c r="K1702" i="27"/>
  <c r="N1703" i="27"/>
  <c r="E1708" i="27"/>
  <c r="H1717" i="27"/>
  <c r="H1721" i="27"/>
  <c r="N1722" i="27"/>
  <c r="N1725" i="27"/>
  <c r="H1736" i="27"/>
  <c r="K1742" i="27"/>
  <c r="K1767" i="27"/>
  <c r="K1771" i="27"/>
  <c r="K1775" i="27"/>
  <c r="N1779" i="27"/>
  <c r="E1785" i="27"/>
  <c r="K1804" i="27"/>
  <c r="H1813" i="27"/>
  <c r="K1814" i="27"/>
  <c r="H1823" i="27"/>
  <c r="K1824" i="27"/>
  <c r="E1831" i="27"/>
  <c r="N1832" i="27"/>
  <c r="N1838" i="27"/>
  <c r="H1844" i="27"/>
  <c r="N1853" i="27"/>
  <c r="E1855" i="27"/>
  <c r="E1862" i="27"/>
  <c r="E1869" i="27"/>
  <c r="E1872" i="27"/>
  <c r="H1873" i="27"/>
  <c r="E1877" i="27"/>
  <c r="K1879" i="27"/>
  <c r="H1885" i="27"/>
  <c r="K1894" i="27"/>
  <c r="E1896" i="27"/>
  <c r="E1897" i="27"/>
  <c r="E1904" i="27"/>
  <c r="E1905" i="27"/>
  <c r="H1906" i="27"/>
  <c r="K1914" i="27"/>
  <c r="K1915" i="27"/>
  <c r="E1922" i="27"/>
  <c r="H1925" i="27"/>
  <c r="K1928" i="27"/>
  <c r="E1930" i="27"/>
  <c r="E1933" i="27"/>
  <c r="E1938" i="27"/>
  <c r="H1943" i="27"/>
  <c r="K1951" i="27"/>
  <c r="E1957" i="27"/>
  <c r="E1958" i="27"/>
  <c r="E1959" i="27"/>
  <c r="K1963" i="27"/>
  <c r="N1964" i="27"/>
  <c r="N1967" i="27"/>
  <c r="H1973" i="27"/>
  <c r="E1977" i="27"/>
  <c r="N1979" i="27"/>
  <c r="H1982" i="27"/>
  <c r="E1988" i="27"/>
  <c r="E1989" i="27"/>
  <c r="E1990" i="27"/>
  <c r="E1991" i="27"/>
  <c r="N1996" i="27"/>
  <c r="E2000" i="27"/>
  <c r="E2001" i="27"/>
  <c r="H2002" i="27"/>
  <c r="E2013" i="27"/>
  <c r="E2016" i="27"/>
  <c r="E2017" i="27"/>
  <c r="K2023" i="27"/>
  <c r="E2033" i="27"/>
  <c r="N2039" i="27"/>
  <c r="E2041" i="27"/>
  <c r="H2042" i="27"/>
  <c r="E2049" i="27"/>
  <c r="E2061" i="27"/>
  <c r="E2065" i="27"/>
  <c r="H2079" i="27"/>
  <c r="K2080" i="27"/>
  <c r="K2095" i="27"/>
  <c r="N2102" i="27"/>
  <c r="E2111" i="27"/>
  <c r="H2113" i="27"/>
  <c r="N2113" i="27"/>
  <c r="N2163" i="27"/>
  <c r="N2176" i="27"/>
  <c r="H2179" i="27"/>
  <c r="U2181" i="27"/>
  <c r="V2181" i="27" s="1"/>
  <c r="W2181" i="27" s="1"/>
  <c r="H2181" i="27"/>
  <c r="N2213" i="27"/>
  <c r="H2215" i="27"/>
  <c r="E2243" i="27"/>
  <c r="K2314" i="27"/>
  <c r="E2357" i="27"/>
  <c r="K2449" i="27"/>
  <c r="K2450" i="27"/>
  <c r="U2450" i="27"/>
  <c r="V2450" i="27" s="1"/>
  <c r="W2450" i="27" s="1"/>
  <c r="N2654" i="27"/>
  <c r="E2688" i="27"/>
  <c r="N2745" i="27"/>
  <c r="E2785" i="27"/>
  <c r="K2799" i="27"/>
  <c r="H2799" i="27"/>
  <c r="U2799" i="27"/>
  <c r="V2799" i="27" s="1"/>
  <c r="W2799" i="27" s="1"/>
  <c r="E2799" i="27"/>
  <c r="U2870" i="27"/>
  <c r="V2870" i="27" s="1"/>
  <c r="W2870" i="27" s="1"/>
  <c r="K2870" i="27"/>
  <c r="H2996" i="27"/>
  <c r="U2996" i="27"/>
  <c r="V2996" i="27" s="1"/>
  <c r="W2996" i="27" s="1"/>
  <c r="K2999" i="27"/>
  <c r="K3049" i="27"/>
  <c r="K3071" i="27"/>
  <c r="U3071" i="27"/>
  <c r="V3071" i="27" s="1"/>
  <c r="W3071" i="27" s="1"/>
  <c r="E1641" i="27"/>
  <c r="H1645" i="27"/>
  <c r="E1651" i="27"/>
  <c r="H1671" i="27"/>
  <c r="H1688" i="27"/>
  <c r="E1709" i="27"/>
  <c r="H1720" i="27"/>
  <c r="H1746" i="27"/>
  <c r="E1755" i="27"/>
  <c r="E1759" i="27"/>
  <c r="E1769" i="27"/>
  <c r="H1771" i="27"/>
  <c r="H1774" i="27"/>
  <c r="E1822" i="27"/>
  <c r="E1826" i="27"/>
  <c r="E1830" i="27"/>
  <c r="E1850" i="27"/>
  <c r="E1854" i="27"/>
  <c r="H1856" i="27"/>
  <c r="E1865" i="27"/>
  <c r="H1868" i="27"/>
  <c r="H1884" i="27"/>
  <c r="E1887" i="27"/>
  <c r="H1891" i="27"/>
  <c r="E1895" i="27"/>
  <c r="E1903" i="27"/>
  <c r="H1914" i="27"/>
  <c r="E1919" i="27"/>
  <c r="E1920" i="27"/>
  <c r="H1921" i="27"/>
  <c r="E1932" i="27"/>
  <c r="H1951" i="27"/>
  <c r="H1956" i="27"/>
  <c r="H1972" i="27"/>
  <c r="E1976" i="27"/>
  <c r="E1987" i="27"/>
  <c r="E1997" i="27"/>
  <c r="H1998" i="27"/>
  <c r="E1999" i="27"/>
  <c r="H2006" i="27"/>
  <c r="H2009" i="27"/>
  <c r="H2012" i="27"/>
  <c r="K2017" i="27"/>
  <c r="H2026" i="27"/>
  <c r="E2048" i="27"/>
  <c r="H2070" i="27"/>
  <c r="H2078" i="27"/>
  <c r="E2084" i="27"/>
  <c r="E2088" i="27"/>
  <c r="H2089" i="27"/>
  <c r="K2112" i="27"/>
  <c r="H2112" i="27"/>
  <c r="E2126" i="27"/>
  <c r="U2153" i="27"/>
  <c r="V2153" i="27" s="1"/>
  <c r="W2153" i="27" s="1"/>
  <c r="H2153" i="27"/>
  <c r="E2205" i="27"/>
  <c r="E2307" i="27"/>
  <c r="U2316" i="27"/>
  <c r="V2316" i="27" s="1"/>
  <c r="W2316" i="27" s="1"/>
  <c r="K2316" i="27"/>
  <c r="U2580" i="27"/>
  <c r="V2580" i="27" s="1"/>
  <c r="W2580" i="27" s="1"/>
  <c r="K2580" i="27"/>
  <c r="E2580" i="27"/>
  <c r="U2657" i="27"/>
  <c r="V2657" i="27" s="1"/>
  <c r="W2657" i="27" s="1"/>
  <c r="H2657" i="27"/>
  <c r="U2766" i="27"/>
  <c r="V2766" i="27" s="1"/>
  <c r="W2766" i="27" s="1"/>
  <c r="H2766" i="27"/>
  <c r="U2841" i="27"/>
  <c r="V2841" i="27" s="1"/>
  <c r="W2841" i="27" s="1"/>
  <c r="E2841" i="27"/>
  <c r="K2841" i="27"/>
  <c r="K2939" i="27"/>
  <c r="N2939" i="27"/>
  <c r="E3083" i="27"/>
  <c r="U3095" i="27"/>
  <c r="V3095" i="27" s="1"/>
  <c r="W3095" i="27" s="1"/>
  <c r="E3095" i="27"/>
  <c r="K1619" i="27"/>
  <c r="E1644" i="27"/>
  <c r="H1651" i="27"/>
  <c r="H1684" i="27"/>
  <c r="E1687" i="27"/>
  <c r="H1745" i="27"/>
  <c r="K1746" i="27"/>
  <c r="K1763" i="27"/>
  <c r="U1771" i="27"/>
  <c r="V1771" i="27" s="1"/>
  <c r="W1771" i="27" s="1"/>
  <c r="E1773" i="27"/>
  <c r="H1780" i="27"/>
  <c r="H1812" i="27"/>
  <c r="N1813" i="27"/>
  <c r="E1819" i="27"/>
  <c r="N1823" i="27"/>
  <c r="H1826" i="27"/>
  <c r="H1830" i="27"/>
  <c r="N1837" i="27"/>
  <c r="H1854" i="27"/>
  <c r="U1856" i="27"/>
  <c r="V1856" i="27" s="1"/>
  <c r="W1856" i="27" s="1"/>
  <c r="E1858" i="27"/>
  <c r="E1860" i="27"/>
  <c r="K1868" i="27"/>
  <c r="E1871" i="27"/>
  <c r="K1872" i="27"/>
  <c r="K1877" i="27"/>
  <c r="N1882" i="27"/>
  <c r="K1905" i="27"/>
  <c r="U1914" i="27"/>
  <c r="V1914" i="27" s="1"/>
  <c r="W1914" i="27" s="1"/>
  <c r="E1916" i="27"/>
  <c r="E1917" i="27"/>
  <c r="H1919" i="27"/>
  <c r="H1932" i="27"/>
  <c r="E1940" i="27"/>
  <c r="K1943" i="27"/>
  <c r="E1945" i="27"/>
  <c r="U1951" i="27"/>
  <c r="V1951" i="27" s="1"/>
  <c r="W1951" i="27" s="1"/>
  <c r="E1954" i="27"/>
  <c r="E1955" i="27"/>
  <c r="K1957" i="27"/>
  <c r="K1959" i="27"/>
  <c r="E1968" i="27"/>
  <c r="E1971" i="27"/>
  <c r="H1976" i="27"/>
  <c r="K1989" i="27"/>
  <c r="H1997" i="27"/>
  <c r="K2001" i="27"/>
  <c r="E2005" i="27"/>
  <c r="E2024" i="27"/>
  <c r="U2026" i="27"/>
  <c r="V2026" i="27" s="1"/>
  <c r="W2026" i="27" s="1"/>
  <c r="H2028" i="27"/>
  <c r="H2037" i="27"/>
  <c r="E2040" i="27"/>
  <c r="H2048" i="27"/>
  <c r="E2051" i="27"/>
  <c r="E2059" i="27"/>
  <c r="K2065" i="27"/>
  <c r="H2069" i="27"/>
  <c r="U2078" i="27"/>
  <c r="V2078" i="27" s="1"/>
  <c r="W2078" i="27" s="1"/>
  <c r="H2084" i="27"/>
  <c r="H2088" i="27"/>
  <c r="K2089" i="27"/>
  <c r="U2112" i="27"/>
  <c r="V2112" i="27" s="1"/>
  <c r="W2112" i="27" s="1"/>
  <c r="N2121" i="27"/>
  <c r="U2215" i="27"/>
  <c r="V2215" i="27" s="1"/>
  <c r="W2215" i="27" s="1"/>
  <c r="K2215" i="27"/>
  <c r="E2253" i="27"/>
  <c r="K2260" i="27"/>
  <c r="U2260" i="27"/>
  <c r="V2260" i="27" s="1"/>
  <c r="W2260" i="27" s="1"/>
  <c r="K2315" i="27"/>
  <c r="U2464" i="27"/>
  <c r="V2464" i="27" s="1"/>
  <c r="W2464" i="27" s="1"/>
  <c r="K2464" i="27"/>
  <c r="E2467" i="27"/>
  <c r="K2593" i="27"/>
  <c r="N2612" i="27"/>
  <c r="U2626" i="27"/>
  <c r="V2626" i="27" s="1"/>
  <c r="W2626" i="27" s="1"/>
  <c r="H2626" i="27"/>
  <c r="U2629" i="27"/>
  <c r="V2629" i="27" s="1"/>
  <c r="W2629" i="27" s="1"/>
  <c r="K2823" i="27"/>
  <c r="U2823" i="27"/>
  <c r="V2823" i="27" s="1"/>
  <c r="W2823" i="27" s="1"/>
  <c r="E2823" i="27"/>
  <c r="K3023" i="27"/>
  <c r="U3023" i="27"/>
  <c r="V3023" i="27" s="1"/>
  <c r="W3023" i="27" s="1"/>
  <c r="H3027" i="27"/>
  <c r="U3027" i="27"/>
  <c r="V3027" i="27" s="1"/>
  <c r="W3027" i="27" s="1"/>
  <c r="E1521" i="27"/>
  <c r="K1532" i="27"/>
  <c r="E1538" i="27"/>
  <c r="N1542" i="27"/>
  <c r="H1548" i="27"/>
  <c r="N1555" i="27"/>
  <c r="K1566" i="27"/>
  <c r="N1580" i="27"/>
  <c r="E1585" i="27"/>
  <c r="K1587" i="27"/>
  <c r="N1609" i="27"/>
  <c r="N1612" i="27"/>
  <c r="N1637" i="27"/>
  <c r="N1638" i="27"/>
  <c r="E1640" i="27"/>
  <c r="H1644" i="27"/>
  <c r="K1651" i="27"/>
  <c r="E1677" i="27"/>
  <c r="N1681" i="27"/>
  <c r="H1694" i="27"/>
  <c r="N1716" i="27"/>
  <c r="N1720" i="27"/>
  <c r="N1730" i="27"/>
  <c r="K1744" i="27"/>
  <c r="U1770" i="27"/>
  <c r="V1770" i="27" s="1"/>
  <c r="W1770" i="27" s="1"/>
  <c r="N1806" i="27"/>
  <c r="U1813" i="27"/>
  <c r="V1813" i="27" s="1"/>
  <c r="W1813" i="27" s="1"/>
  <c r="E1818" i="27"/>
  <c r="U1823" i="27"/>
  <c r="V1823" i="27" s="1"/>
  <c r="W1823" i="27" s="1"/>
  <c r="K1826" i="27"/>
  <c r="K1830" i="27"/>
  <c r="E1838" i="27"/>
  <c r="K1840" i="27"/>
  <c r="K1854" i="27"/>
  <c r="N1855" i="27"/>
  <c r="N1869" i="27"/>
  <c r="N1872" i="27"/>
  <c r="E1875" i="27"/>
  <c r="K1895" i="27"/>
  <c r="U1898" i="27"/>
  <c r="V1898" i="27" s="1"/>
  <c r="W1898" i="27" s="1"/>
  <c r="K1903" i="27"/>
  <c r="N1905" i="27"/>
  <c r="U1910" i="27"/>
  <c r="V1910" i="27" s="1"/>
  <c r="W1910" i="27" s="1"/>
  <c r="K1924" i="27"/>
  <c r="H1929" i="27"/>
  <c r="U1943" i="27"/>
  <c r="V1943" i="27" s="1"/>
  <c r="W1943" i="27" s="1"/>
  <c r="H1947" i="27"/>
  <c r="E1952" i="27"/>
  <c r="N1956" i="27"/>
  <c r="N1959" i="27"/>
  <c r="K1960" i="27"/>
  <c r="E1964" i="27"/>
  <c r="E1965" i="27"/>
  <c r="E1966" i="27"/>
  <c r="E1967" i="27"/>
  <c r="H1968" i="27"/>
  <c r="H1971" i="27"/>
  <c r="N1972" i="27"/>
  <c r="K1987" i="27"/>
  <c r="H1991" i="27"/>
  <c r="U1992" i="27"/>
  <c r="V1992" i="27" s="1"/>
  <c r="W1992" i="27" s="1"/>
  <c r="K1999" i="27"/>
  <c r="N2001" i="27"/>
  <c r="H2005" i="27"/>
  <c r="N2006" i="27"/>
  <c r="N2009" i="27"/>
  <c r="K2015" i="27"/>
  <c r="H2024" i="27"/>
  <c r="N2029" i="27"/>
  <c r="H2033" i="27"/>
  <c r="K2037" i="27"/>
  <c r="E2039" i="27"/>
  <c r="H2045" i="27"/>
  <c r="N2061" i="27"/>
  <c r="N2065" i="27"/>
  <c r="K2069" i="27"/>
  <c r="N2070" i="27"/>
  <c r="N2089" i="27"/>
  <c r="N2100" i="27"/>
  <c r="N2115" i="27"/>
  <c r="U2149" i="27"/>
  <c r="V2149" i="27" s="1"/>
  <c r="W2149" i="27" s="1"/>
  <c r="K2167" i="27"/>
  <c r="N2171" i="27"/>
  <c r="U2218" i="27"/>
  <c r="V2218" i="27" s="1"/>
  <c r="W2218" i="27" s="1"/>
  <c r="N2291" i="27"/>
  <c r="K2294" i="27"/>
  <c r="N2315" i="27"/>
  <c r="K2332" i="27"/>
  <c r="U2332" i="27"/>
  <c r="V2332" i="27" s="1"/>
  <c r="W2332" i="27" s="1"/>
  <c r="N2392" i="27"/>
  <c r="U2426" i="27"/>
  <c r="V2426" i="27" s="1"/>
  <c r="W2426" i="27" s="1"/>
  <c r="K2426" i="27"/>
  <c r="E2426" i="27"/>
  <c r="K2463" i="27"/>
  <c r="H2614" i="27"/>
  <c r="N2628" i="27"/>
  <c r="H2650" i="27"/>
  <c r="U2650" i="27"/>
  <c r="V2650" i="27" s="1"/>
  <c r="W2650" i="27" s="1"/>
  <c r="H2744" i="27"/>
  <c r="H3362" i="27"/>
  <c r="U3362" i="27"/>
  <c r="V3362" i="27" s="1"/>
  <c r="W3362" i="27" s="1"/>
  <c r="N2232" i="27"/>
  <c r="E2234" i="27"/>
  <c r="N2248" i="27"/>
  <c r="N2260" i="27"/>
  <c r="N2275" i="27"/>
  <c r="N2307" i="27"/>
  <c r="N2314" i="27"/>
  <c r="E2316" i="27"/>
  <c r="K2329" i="27"/>
  <c r="N2357" i="27"/>
  <c r="K2360" i="27"/>
  <c r="N2375" i="27"/>
  <c r="N2378" i="27"/>
  <c r="E2399" i="27"/>
  <c r="K2410" i="27"/>
  <c r="K2460" i="27"/>
  <c r="N2463" i="27"/>
  <c r="N2488" i="27"/>
  <c r="N2494" i="27"/>
  <c r="K2510" i="27"/>
  <c r="N2531" i="27"/>
  <c r="N2599" i="27"/>
  <c r="E2612" i="27"/>
  <c r="E2616" i="27"/>
  <c r="E2620" i="27"/>
  <c r="N2622" i="27"/>
  <c r="N2626" i="27"/>
  <c r="N2648" i="27"/>
  <c r="N2669" i="27"/>
  <c r="H2675" i="27"/>
  <c r="K2727" i="27"/>
  <c r="U2787" i="27"/>
  <c r="V2787" i="27" s="1"/>
  <c r="W2787" i="27" s="1"/>
  <c r="K2787" i="27"/>
  <c r="K2809" i="27"/>
  <c r="U2809" i="27"/>
  <c r="V2809" i="27" s="1"/>
  <c r="W2809" i="27" s="1"/>
  <c r="N2831" i="27"/>
  <c r="K2882" i="27"/>
  <c r="N2882" i="27"/>
  <c r="U2895" i="27"/>
  <c r="V2895" i="27" s="1"/>
  <c r="W2895" i="27" s="1"/>
  <c r="H2895" i="27"/>
  <c r="N3430" i="27"/>
  <c r="E2122" i="27"/>
  <c r="E2130" i="27"/>
  <c r="E2131" i="27"/>
  <c r="K2133" i="27"/>
  <c r="K2137" i="27"/>
  <c r="H2192" i="27"/>
  <c r="H2201" i="27"/>
  <c r="E2254" i="27"/>
  <c r="E2281" i="27"/>
  <c r="K2313" i="27"/>
  <c r="K2317" i="27"/>
  <c r="E2331" i="27"/>
  <c r="E2336" i="27"/>
  <c r="N2348" i="27"/>
  <c r="N2380" i="27"/>
  <c r="E2406" i="27"/>
  <c r="E2424" i="27"/>
  <c r="N2430" i="27"/>
  <c r="N2442" i="27"/>
  <c r="E2450" i="27"/>
  <c r="K2475" i="27"/>
  <c r="K2478" i="27"/>
  <c r="K2491" i="27"/>
  <c r="E2499" i="27"/>
  <c r="E2562" i="27"/>
  <c r="E2569" i="27"/>
  <c r="K2624" i="27"/>
  <c r="H2630" i="27"/>
  <c r="H2631" i="27"/>
  <c r="K2643" i="27"/>
  <c r="E2650" i="27"/>
  <c r="H2674" i="27"/>
  <c r="K2718" i="27"/>
  <c r="E2719" i="27"/>
  <c r="N2729" i="27"/>
  <c r="H2738" i="27"/>
  <c r="K2764" i="27"/>
  <c r="H2764" i="27"/>
  <c r="U2764" i="27"/>
  <c r="V2764" i="27" s="1"/>
  <c r="W2764" i="27" s="1"/>
  <c r="U2843" i="27"/>
  <c r="V2843" i="27" s="1"/>
  <c r="W2843" i="27" s="1"/>
  <c r="K2843" i="27"/>
  <c r="E2899" i="27"/>
  <c r="K3033" i="27"/>
  <c r="U3033" i="27"/>
  <c r="V3033" i="27" s="1"/>
  <c r="W3033" i="27" s="1"/>
  <c r="H3324" i="27"/>
  <c r="E3324" i="27"/>
  <c r="U3544" i="27"/>
  <c r="V3544" i="27" s="1"/>
  <c r="W3544" i="27" s="1"/>
  <c r="H3544" i="27"/>
  <c r="H2114" i="27"/>
  <c r="E2116" i="27"/>
  <c r="E2119" i="27"/>
  <c r="H2131" i="27"/>
  <c r="N2137" i="27"/>
  <c r="N2173" i="27"/>
  <c r="E2175" i="27"/>
  <c r="N2182" i="27"/>
  <c r="K2185" i="27"/>
  <c r="K2189" i="27"/>
  <c r="K2201" i="27"/>
  <c r="H2219" i="27"/>
  <c r="K2231" i="27"/>
  <c r="N2244" i="27"/>
  <c r="E2282" i="27"/>
  <c r="E2291" i="27"/>
  <c r="N2345" i="27"/>
  <c r="U2348" i="27"/>
  <c r="V2348" i="27" s="1"/>
  <c r="W2348" i="27" s="1"/>
  <c r="K2348" i="27"/>
  <c r="E2351" i="27"/>
  <c r="N2356" i="27"/>
  <c r="N2396" i="27"/>
  <c r="N2412" i="27"/>
  <c r="K2432" i="27"/>
  <c r="K2445" i="27"/>
  <c r="E2525" i="27"/>
  <c r="E2538" i="27"/>
  <c r="K2543" i="27"/>
  <c r="U2562" i="27"/>
  <c r="V2562" i="27" s="1"/>
  <c r="W2562" i="27" s="1"/>
  <c r="E2610" i="27"/>
  <c r="N2624" i="27"/>
  <c r="E2626" i="27"/>
  <c r="N2636" i="27"/>
  <c r="E2644" i="27"/>
  <c r="H2646" i="27"/>
  <c r="E2649" i="27"/>
  <c r="N2655" i="27"/>
  <c r="E2657" i="27"/>
  <c r="N2665" i="27"/>
  <c r="E2675" i="27"/>
  <c r="K2684" i="27"/>
  <c r="H2689" i="27"/>
  <c r="N2691" i="27"/>
  <c r="E2692" i="27"/>
  <c r="E2702" i="27"/>
  <c r="N2705" i="27"/>
  <c r="N2721" i="27"/>
  <c r="E2727" i="27"/>
  <c r="K2738" i="27"/>
  <c r="U2775" i="27"/>
  <c r="V2775" i="27" s="1"/>
  <c r="W2775" i="27" s="1"/>
  <c r="U2778" i="27"/>
  <c r="V2778" i="27" s="1"/>
  <c r="W2778" i="27" s="1"/>
  <c r="E2778" i="27"/>
  <c r="U2786" i="27"/>
  <c r="V2786" i="27" s="1"/>
  <c r="W2786" i="27" s="1"/>
  <c r="K2786" i="27"/>
  <c r="H2786" i="27"/>
  <c r="H2823" i="27"/>
  <c r="E2865" i="27"/>
  <c r="E2938" i="27"/>
  <c r="E2129" i="27"/>
  <c r="K2131" i="27"/>
  <c r="H2164" i="27"/>
  <c r="E2167" i="27"/>
  <c r="E2179" i="27"/>
  <c r="N2189" i="27"/>
  <c r="K2197" i="27"/>
  <c r="N2201" i="27"/>
  <c r="H2202" i="27"/>
  <c r="N2208" i="27"/>
  <c r="K2211" i="27"/>
  <c r="N2234" i="27"/>
  <c r="E2252" i="27"/>
  <c r="E2274" i="27"/>
  <c r="N2280" i="27"/>
  <c r="N2316" i="27"/>
  <c r="K2347" i="27"/>
  <c r="E2356" i="27"/>
  <c r="N2362" i="27"/>
  <c r="E2374" i="27"/>
  <c r="E2388" i="27"/>
  <c r="E2431" i="27"/>
  <c r="N2432" i="27"/>
  <c r="N2502" i="27"/>
  <c r="K2529" i="27"/>
  <c r="H2533" i="27"/>
  <c r="E2542" i="27"/>
  <c r="E2557" i="27"/>
  <c r="N2558" i="27"/>
  <c r="N2583" i="27"/>
  <c r="K2597" i="27"/>
  <c r="H2613" i="27"/>
  <c r="N2620" i="27"/>
  <c r="N2630" i="27"/>
  <c r="H2632" i="27"/>
  <c r="E2645" i="27"/>
  <c r="E2652" i="27"/>
  <c r="H2658" i="27"/>
  <c r="E2659" i="27"/>
  <c r="K2665" i="27"/>
  <c r="E2665" i="27"/>
  <c r="E2671" i="27"/>
  <c r="N2676" i="27"/>
  <c r="E2716" i="27"/>
  <c r="E2718" i="27"/>
  <c r="N2749" i="27"/>
  <c r="U2753" i="27"/>
  <c r="V2753" i="27" s="1"/>
  <c r="W2753" i="27" s="1"/>
  <c r="H2753" i="27"/>
  <c r="K2760" i="27"/>
  <c r="U2760" i="27"/>
  <c r="V2760" i="27" s="1"/>
  <c r="W2760" i="27" s="1"/>
  <c r="U2763" i="27"/>
  <c r="V2763" i="27" s="1"/>
  <c r="W2763" i="27" s="1"/>
  <c r="E2763" i="27"/>
  <c r="K2766" i="27"/>
  <c r="H2770" i="27"/>
  <c r="U2770" i="27"/>
  <c r="V2770" i="27" s="1"/>
  <c r="W2770" i="27" s="1"/>
  <c r="N2810" i="27"/>
  <c r="E2818" i="27"/>
  <c r="E2942" i="27"/>
  <c r="H2942" i="27"/>
  <c r="N3017" i="27"/>
  <c r="K3017" i="27"/>
  <c r="N2103" i="27"/>
  <c r="E2105" i="27"/>
  <c r="N2106" i="27"/>
  <c r="K2119" i="27"/>
  <c r="N2126" i="27"/>
  <c r="H2129" i="27"/>
  <c r="N2131" i="27"/>
  <c r="N2141" i="27"/>
  <c r="N2144" i="27"/>
  <c r="N2151" i="27"/>
  <c r="E2157" i="27"/>
  <c r="N2169" i="27"/>
  <c r="K2173" i="27"/>
  <c r="N2179" i="27"/>
  <c r="K2180" i="27"/>
  <c r="E2182" i="27"/>
  <c r="H2193" i="27"/>
  <c r="E2209" i="27"/>
  <c r="E2212" i="27"/>
  <c r="K2217" i="27"/>
  <c r="N2224" i="27"/>
  <c r="N2242" i="27"/>
  <c r="E2250" i="27"/>
  <c r="K2264" i="27"/>
  <c r="N2273" i="27"/>
  <c r="E2285" i="27"/>
  <c r="N2292" i="27"/>
  <c r="N2295" i="27"/>
  <c r="N2313" i="27"/>
  <c r="N2325" i="27"/>
  <c r="K2328" i="27"/>
  <c r="K2330" i="27"/>
  <c r="E2364" i="27"/>
  <c r="E2373" i="27"/>
  <c r="E2380" i="27"/>
  <c r="N2391" i="27"/>
  <c r="N2407" i="27"/>
  <c r="K2428" i="27"/>
  <c r="K2431" i="27"/>
  <c r="K2461" i="27"/>
  <c r="E2465" i="27"/>
  <c r="N2477" i="27"/>
  <c r="K2489" i="27"/>
  <c r="K2493" i="27"/>
  <c r="E2498" i="27"/>
  <c r="E2500" i="27"/>
  <c r="E2532" i="27"/>
  <c r="N2541" i="27"/>
  <c r="E2558" i="27"/>
  <c r="E2599" i="27"/>
  <c r="K2612" i="27"/>
  <c r="N2613" i="27"/>
  <c r="E2615" i="27"/>
  <c r="K2616" i="27"/>
  <c r="K2620" i="27"/>
  <c r="E2628" i="27"/>
  <c r="E2629" i="27"/>
  <c r="E2630" i="27"/>
  <c r="E2636" i="27"/>
  <c r="H2639" i="27"/>
  <c r="E2643" i="27"/>
  <c r="K2655" i="27"/>
  <c r="E2709" i="27"/>
  <c r="H2717" i="27"/>
  <c r="N2718" i="27"/>
  <c r="E2728" i="27"/>
  <c r="N2730" i="27"/>
  <c r="N2733" i="27"/>
  <c r="H2739" i="27"/>
  <c r="E2752" i="27"/>
  <c r="E2754" i="27"/>
  <c r="E2755" i="27"/>
  <c r="E2758" i="27"/>
  <c r="N2769" i="27"/>
  <c r="K2774" i="27"/>
  <c r="N2788" i="27"/>
  <c r="K2798" i="27"/>
  <c r="H2815" i="27"/>
  <c r="K2820" i="27"/>
  <c r="N2843" i="27"/>
  <c r="N2870" i="27"/>
  <c r="E2882" i="27"/>
  <c r="N2899" i="27"/>
  <c r="K2906" i="27"/>
  <c r="N2915" i="27"/>
  <c r="E2920" i="27"/>
  <c r="N2921" i="27"/>
  <c r="N2938" i="27"/>
  <c r="N2941" i="27"/>
  <c r="K2986" i="27"/>
  <c r="N2999" i="27"/>
  <c r="U3036" i="27"/>
  <c r="V3036" i="27" s="1"/>
  <c r="W3036" i="27" s="1"/>
  <c r="H3036" i="27"/>
  <c r="K3039" i="27"/>
  <c r="K3045" i="27"/>
  <c r="U3065" i="27"/>
  <c r="V3065" i="27" s="1"/>
  <c r="W3065" i="27" s="1"/>
  <c r="K3065" i="27"/>
  <c r="K3069" i="27"/>
  <c r="H3070" i="27"/>
  <c r="H3084" i="27"/>
  <c r="E3139" i="27"/>
  <c r="E3141" i="27"/>
  <c r="E3145" i="27"/>
  <c r="H3375" i="27"/>
  <c r="U3375" i="27"/>
  <c r="V3375" i="27" s="1"/>
  <c r="W3375" i="27" s="1"/>
  <c r="E3646" i="27"/>
  <c r="H2749" i="27"/>
  <c r="H2759" i="27"/>
  <c r="H2762" i="27"/>
  <c r="E2766" i="27"/>
  <c r="E2770" i="27"/>
  <c r="N2787" i="27"/>
  <c r="K2797" i="27"/>
  <c r="E2797" i="27"/>
  <c r="H2837" i="27"/>
  <c r="H2841" i="27"/>
  <c r="N2842" i="27"/>
  <c r="E2848" i="27"/>
  <c r="N2850" i="27"/>
  <c r="N2888" i="27"/>
  <c r="K2925" i="27"/>
  <c r="K2935" i="27"/>
  <c r="U2935" i="27"/>
  <c r="V2935" i="27" s="1"/>
  <c r="W2935" i="27" s="1"/>
  <c r="N2949" i="27"/>
  <c r="H3023" i="27"/>
  <c r="N3073" i="27"/>
  <c r="E3077" i="27"/>
  <c r="E3113" i="27"/>
  <c r="E3115" i="27"/>
  <c r="E3265" i="27"/>
  <c r="U3265" i="27"/>
  <c r="V3265" i="27" s="1"/>
  <c r="W3265" i="27" s="1"/>
  <c r="U3322" i="27"/>
  <c r="V3322" i="27" s="1"/>
  <c r="W3322" i="27" s="1"/>
  <c r="N3322" i="27"/>
  <c r="E3338" i="27"/>
  <c r="U3480" i="27"/>
  <c r="V3480" i="27" s="1"/>
  <c r="W3480" i="27" s="1"/>
  <c r="H3480" i="27"/>
  <c r="U3560" i="27"/>
  <c r="V3560" i="27" s="1"/>
  <c r="W3560" i="27" s="1"/>
  <c r="H3560" i="27"/>
  <c r="K2845" i="27"/>
  <c r="E2895" i="27"/>
  <c r="N3019" i="27"/>
  <c r="U3019" i="27"/>
  <c r="V3019" i="27" s="1"/>
  <c r="W3019" i="27" s="1"/>
  <c r="H3033" i="27"/>
  <c r="E3049" i="27"/>
  <c r="H3115" i="27"/>
  <c r="K3146" i="27"/>
  <c r="U3146" i="27"/>
  <c r="V3146" i="27" s="1"/>
  <c r="W3146" i="27" s="1"/>
  <c r="K3155" i="27"/>
  <c r="E3224" i="27"/>
  <c r="K3256" i="27"/>
  <c r="U3256" i="27"/>
  <c r="V3256" i="27" s="1"/>
  <c r="W3256" i="27" s="1"/>
  <c r="E3256" i="27"/>
  <c r="K3369" i="27"/>
  <c r="N3369" i="27"/>
  <c r="K3399" i="27"/>
  <c r="H3399" i="27"/>
  <c r="U3399" i="27"/>
  <c r="V3399" i="27" s="1"/>
  <c r="W3399" i="27" s="1"/>
  <c r="E3762" i="27"/>
  <c r="U3762" i="27"/>
  <c r="V3762" i="27" s="1"/>
  <c r="W3762" i="27" s="1"/>
  <c r="N2728" i="27"/>
  <c r="K2735" i="27"/>
  <c r="N2738" i="27"/>
  <c r="E2739" i="27"/>
  <c r="H2746" i="27"/>
  <c r="N2754" i="27"/>
  <c r="K2770" i="27"/>
  <c r="K2778" i="27"/>
  <c r="E2782" i="27"/>
  <c r="N2814" i="27"/>
  <c r="N2837" i="27"/>
  <c r="E2839" i="27"/>
  <c r="H2876" i="27"/>
  <c r="U2898" i="27"/>
  <c r="V2898" i="27" s="1"/>
  <c r="W2898" i="27" s="1"/>
  <c r="N2908" i="27"/>
  <c r="N2958" i="27"/>
  <c r="U2990" i="27"/>
  <c r="V2990" i="27" s="1"/>
  <c r="W2990" i="27" s="1"/>
  <c r="E2990" i="27"/>
  <c r="E2999" i="27"/>
  <c r="U3044" i="27"/>
  <c r="V3044" i="27" s="1"/>
  <c r="W3044" i="27" s="1"/>
  <c r="H3044" i="27"/>
  <c r="K3077" i="27"/>
  <c r="N3083" i="27"/>
  <c r="H3154" i="27"/>
  <c r="N3155" i="27"/>
  <c r="K3280" i="27"/>
  <c r="K3325" i="27"/>
  <c r="E3377" i="27"/>
  <c r="U3377" i="27"/>
  <c r="V3377" i="27" s="1"/>
  <c r="W3377" i="27" s="1"/>
  <c r="N3643" i="27"/>
  <c r="K3683" i="27"/>
  <c r="H3683" i="27"/>
  <c r="U3683" i="27"/>
  <c r="V3683" i="27" s="1"/>
  <c r="W3683" i="27" s="1"/>
  <c r="N3020" i="27"/>
  <c r="H3035" i="27"/>
  <c r="H3045" i="27"/>
  <c r="N3049" i="27"/>
  <c r="N3050" i="27"/>
  <c r="N3069" i="27"/>
  <c r="E3073" i="27"/>
  <c r="N3084" i="27"/>
  <c r="N3094" i="27"/>
  <c r="N3096" i="27"/>
  <c r="E3133" i="27"/>
  <c r="E3146" i="27"/>
  <c r="N3280" i="27"/>
  <c r="U3409" i="27"/>
  <c r="V3409" i="27" s="1"/>
  <c r="W3409" i="27" s="1"/>
  <c r="E3409" i="27"/>
  <c r="K3585" i="27"/>
  <c r="K3586" i="27"/>
  <c r="U3586" i="27"/>
  <c r="V3586" i="27" s="1"/>
  <c r="W3586" i="27" s="1"/>
  <c r="H2788" i="27"/>
  <c r="E2789" i="27"/>
  <c r="N2792" i="27"/>
  <c r="N2795" i="27"/>
  <c r="H2803" i="27"/>
  <c r="E2809" i="27"/>
  <c r="H2825" i="27"/>
  <c r="N2829" i="27"/>
  <c r="K2840" i="27"/>
  <c r="H2859" i="27"/>
  <c r="E2871" i="27"/>
  <c r="N2873" i="27"/>
  <c r="E2898" i="27"/>
  <c r="E2906" i="27"/>
  <c r="N2919" i="27"/>
  <c r="N2924" i="27"/>
  <c r="K2928" i="27"/>
  <c r="K2990" i="27"/>
  <c r="K2998" i="27"/>
  <c r="N3008" i="27"/>
  <c r="E3027" i="27"/>
  <c r="N3032" i="27"/>
  <c r="H3047" i="27"/>
  <c r="E3054" i="27"/>
  <c r="H3071" i="27"/>
  <c r="N3074" i="27"/>
  <c r="N3092" i="27"/>
  <c r="E3106" i="27"/>
  <c r="E3134" i="27"/>
  <c r="N3138" i="27"/>
  <c r="E3155" i="27"/>
  <c r="E3296" i="27"/>
  <c r="K3296" i="27"/>
  <c r="E3321" i="27"/>
  <c r="K3322" i="27"/>
  <c r="N3347" i="27"/>
  <c r="N3357" i="27"/>
  <c r="U3357" i="27"/>
  <c r="V3357" i="27" s="1"/>
  <c r="W3357" i="27" s="1"/>
  <c r="H3547" i="27"/>
  <c r="U3547" i="27"/>
  <c r="V3547" i="27" s="1"/>
  <c r="W3547" i="27" s="1"/>
  <c r="N3616" i="27"/>
  <c r="H3619" i="27"/>
  <c r="N3707" i="27"/>
  <c r="H2787" i="27"/>
  <c r="E2802" i="27"/>
  <c r="H2809" i="27"/>
  <c r="E2813" i="27"/>
  <c r="N2815" i="27"/>
  <c r="K2818" i="27"/>
  <c r="K2819" i="27"/>
  <c r="K2822" i="27"/>
  <c r="K2825" i="27"/>
  <c r="K2829" i="27"/>
  <c r="E2837" i="27"/>
  <c r="E2850" i="27"/>
  <c r="E2857" i="27"/>
  <c r="K2858" i="27"/>
  <c r="N2865" i="27"/>
  <c r="E2870" i="27"/>
  <c r="H2871" i="27"/>
  <c r="N2879" i="27"/>
  <c r="N2895" i="27"/>
  <c r="H2900" i="27"/>
  <c r="H2906" i="27"/>
  <c r="N2907" i="27"/>
  <c r="K2919" i="27"/>
  <c r="N2923" i="27"/>
  <c r="K2930" i="27"/>
  <c r="N2940" i="27"/>
  <c r="K2944" i="27"/>
  <c r="N2990" i="27"/>
  <c r="K3002" i="27"/>
  <c r="U3008" i="27"/>
  <c r="V3008" i="27" s="1"/>
  <c r="W3008" i="27" s="1"/>
  <c r="E3008" i="27"/>
  <c r="K3022" i="27"/>
  <c r="E3082" i="27"/>
  <c r="E3096" i="27"/>
  <c r="E3103" i="27"/>
  <c r="N3133" i="27"/>
  <c r="N3146" i="27"/>
  <c r="K3157" i="27"/>
  <c r="U3157" i="27"/>
  <c r="V3157" i="27" s="1"/>
  <c r="W3157" i="27" s="1"/>
  <c r="U3233" i="27"/>
  <c r="V3233" i="27" s="1"/>
  <c r="W3233" i="27" s="1"/>
  <c r="E3233" i="27"/>
  <c r="H3426" i="27"/>
  <c r="E3430" i="27"/>
  <c r="N3525" i="27"/>
  <c r="U3594" i="27"/>
  <c r="V3594" i="27" s="1"/>
  <c r="W3594" i="27" s="1"/>
  <c r="N3594" i="27"/>
  <c r="U3612" i="27"/>
  <c r="V3612" i="27" s="1"/>
  <c r="W3612" i="27" s="1"/>
  <c r="E3612" i="27"/>
  <c r="H2930" i="27"/>
  <c r="K2937" i="27"/>
  <c r="E2940" i="27"/>
  <c r="N2942" i="27"/>
  <c r="N2986" i="27"/>
  <c r="H2992" i="27"/>
  <c r="N3000" i="27"/>
  <c r="N3037" i="27"/>
  <c r="N3044" i="27"/>
  <c r="E3046" i="27"/>
  <c r="E3050" i="27"/>
  <c r="N3067" i="27"/>
  <c r="K3076" i="27"/>
  <c r="N3077" i="27"/>
  <c r="H3079" i="27"/>
  <c r="H3083" i="27"/>
  <c r="N3085" i="27"/>
  <c r="E3101" i="27"/>
  <c r="K3138" i="27"/>
  <c r="H3150" i="27"/>
  <c r="E3161" i="27"/>
  <c r="E3231" i="27"/>
  <c r="H3263" i="27"/>
  <c r="N3265" i="27"/>
  <c r="K3270" i="27"/>
  <c r="H3270" i="27"/>
  <c r="E3322" i="27"/>
  <c r="K3345" i="27"/>
  <c r="U3345" i="27"/>
  <c r="V3345" i="27" s="1"/>
  <c r="W3345" i="27" s="1"/>
  <c r="H3394" i="27"/>
  <c r="N3398" i="27"/>
  <c r="K3423" i="27"/>
  <c r="K3464" i="27"/>
  <c r="N3559" i="27"/>
  <c r="E3619" i="27"/>
  <c r="K3647" i="27"/>
  <c r="H3699" i="27"/>
  <c r="U3706" i="27"/>
  <c r="V3706" i="27" s="1"/>
  <c r="W3706" i="27" s="1"/>
  <c r="K3706" i="27"/>
  <c r="U3761" i="27"/>
  <c r="V3761" i="27" s="1"/>
  <c r="W3761" i="27" s="1"/>
  <c r="K3761" i="27"/>
  <c r="E3765" i="27"/>
  <c r="H3141" i="27"/>
  <c r="K3147" i="27"/>
  <c r="K3150" i="27"/>
  <c r="E3153" i="27"/>
  <c r="K3154" i="27"/>
  <c r="E3223" i="27"/>
  <c r="K3295" i="27"/>
  <c r="N3313" i="27"/>
  <c r="K3362" i="27"/>
  <c r="E3525" i="27"/>
  <c r="K3553" i="27"/>
  <c r="H3553" i="27"/>
  <c r="H3577" i="27"/>
  <c r="U3577" i="27"/>
  <c r="V3577" i="27" s="1"/>
  <c r="W3577" i="27" s="1"/>
  <c r="U3593" i="27"/>
  <c r="V3593" i="27" s="1"/>
  <c r="W3593" i="27" s="1"/>
  <c r="N3593" i="27"/>
  <c r="H3593" i="27"/>
  <c r="E3674" i="27"/>
  <c r="N3740" i="27"/>
  <c r="N3136" i="27"/>
  <c r="N3154" i="27"/>
  <c r="U3231" i="27"/>
  <c r="V3231" i="27" s="1"/>
  <c r="W3231" i="27" s="1"/>
  <c r="H3231" i="27"/>
  <c r="N3252" i="27"/>
  <c r="N3258" i="27"/>
  <c r="K3268" i="27"/>
  <c r="H3293" i="27"/>
  <c r="H3306" i="27"/>
  <c r="K3337" i="27"/>
  <c r="U3337" i="27"/>
  <c r="V3337" i="27" s="1"/>
  <c r="W3337" i="27" s="1"/>
  <c r="N3362" i="27"/>
  <c r="K3405" i="27"/>
  <c r="E3405" i="27"/>
  <c r="U3405" i="27"/>
  <c r="V3405" i="27" s="1"/>
  <c r="W3405" i="27" s="1"/>
  <c r="H3471" i="27"/>
  <c r="U3471" i="27"/>
  <c r="V3471" i="27" s="1"/>
  <c r="W3471" i="27" s="1"/>
  <c r="N3586" i="27"/>
  <c r="H3587" i="27"/>
  <c r="U3587" i="27"/>
  <c r="V3587" i="27" s="1"/>
  <c r="W3587" i="27" s="1"/>
  <c r="K3630" i="27"/>
  <c r="K3707" i="27"/>
  <c r="N3724" i="27"/>
  <c r="N3233" i="27"/>
  <c r="E3259" i="27"/>
  <c r="E3263" i="27"/>
  <c r="H3265" i="27"/>
  <c r="E3275" i="27"/>
  <c r="E3287" i="27"/>
  <c r="E3300" i="27"/>
  <c r="E3312" i="27"/>
  <c r="N3321" i="27"/>
  <c r="K3323" i="27"/>
  <c r="N3342" i="27"/>
  <c r="E3349" i="27"/>
  <c r="E3351" i="27"/>
  <c r="E3356" i="27"/>
  <c r="N3377" i="27"/>
  <c r="E3394" i="27"/>
  <c r="E3399" i="27"/>
  <c r="H3409" i="27"/>
  <c r="K3411" i="27"/>
  <c r="E3432" i="27"/>
  <c r="E3444" i="27"/>
  <c r="K3463" i="27"/>
  <c r="N3483" i="27"/>
  <c r="N3547" i="27"/>
  <c r="N3552" i="27"/>
  <c r="H3552" i="27"/>
  <c r="N3577" i="27"/>
  <c r="N3589" i="27"/>
  <c r="H3594" i="27"/>
  <c r="H3596" i="27"/>
  <c r="U3596" i="27"/>
  <c r="V3596" i="27" s="1"/>
  <c r="W3596" i="27" s="1"/>
  <c r="K3631" i="27"/>
  <c r="H3636" i="27"/>
  <c r="E3643" i="27"/>
  <c r="N3657" i="27"/>
  <c r="N3665" i="27"/>
  <c r="N3711" i="27"/>
  <c r="N3749" i="27"/>
  <c r="E3761" i="27"/>
  <c r="N3237" i="27"/>
  <c r="N3238" i="27"/>
  <c r="N3253" i="27"/>
  <c r="N3254" i="27"/>
  <c r="K3260" i="27"/>
  <c r="E3280" i="27"/>
  <c r="K3282" i="27"/>
  <c r="K3303" i="27"/>
  <c r="E3313" i="27"/>
  <c r="H3341" i="27"/>
  <c r="H3345" i="27"/>
  <c r="E3346" i="27"/>
  <c r="E3347" i="27"/>
  <c r="K3355" i="27"/>
  <c r="E3357" i="27"/>
  <c r="E3369" i="27"/>
  <c r="K3375" i="27"/>
  <c r="N3376" i="27"/>
  <c r="H3414" i="27"/>
  <c r="U3414" i="27"/>
  <c r="V3414" i="27" s="1"/>
  <c r="W3414" i="27" s="1"/>
  <c r="H3503" i="27"/>
  <c r="E3509" i="27"/>
  <c r="U3509" i="27"/>
  <c r="V3509" i="27" s="1"/>
  <c r="W3509" i="27" s="1"/>
  <c r="E3522" i="27"/>
  <c r="E3544" i="27"/>
  <c r="U3552" i="27"/>
  <c r="V3552" i="27" s="1"/>
  <c r="W3552" i="27" s="1"/>
  <c r="N3561" i="27"/>
  <c r="N3571" i="27"/>
  <c r="N3576" i="27"/>
  <c r="K3578" i="27"/>
  <c r="U3578" i="27"/>
  <c r="V3578" i="27" s="1"/>
  <c r="W3578" i="27" s="1"/>
  <c r="E3578" i="27"/>
  <c r="N3582" i="27"/>
  <c r="N3588" i="27"/>
  <c r="K3593" i="27"/>
  <c r="E3603" i="27"/>
  <c r="U3636" i="27"/>
  <c r="V3636" i="27" s="1"/>
  <c r="W3636" i="27" s="1"/>
  <c r="N3655" i="27"/>
  <c r="K3674" i="27"/>
  <c r="N3684" i="27"/>
  <c r="N3697" i="27"/>
  <c r="N3748" i="27"/>
  <c r="K3237" i="27"/>
  <c r="H3238" i="27"/>
  <c r="K3251" i="27"/>
  <c r="K3253" i="27"/>
  <c r="H3258" i="27"/>
  <c r="N3259" i="27"/>
  <c r="N3270" i="27"/>
  <c r="E3276" i="27"/>
  <c r="E3278" i="27"/>
  <c r="N3282" i="27"/>
  <c r="K3292" i="27"/>
  <c r="E3299" i="27"/>
  <c r="E3306" i="27"/>
  <c r="H3313" i="27"/>
  <c r="N3326" i="27"/>
  <c r="E3333" i="27"/>
  <c r="H3337" i="27"/>
  <c r="H3346" i="27"/>
  <c r="K3360" i="27"/>
  <c r="N3365" i="27"/>
  <c r="E3381" i="27"/>
  <c r="E3383" i="27"/>
  <c r="N3394" i="27"/>
  <c r="N3399" i="27"/>
  <c r="K3431" i="27"/>
  <c r="N3432" i="27"/>
  <c r="H3451" i="27"/>
  <c r="E3463" i="27"/>
  <c r="E3470" i="27"/>
  <c r="H3524" i="27"/>
  <c r="H3527" i="27"/>
  <c r="H3531" i="27"/>
  <c r="K3582" i="27"/>
  <c r="N3622" i="27"/>
  <c r="K3643" i="27"/>
  <c r="N3644" i="27"/>
  <c r="N3683" i="27"/>
  <c r="N3696" i="27"/>
  <c r="E3707" i="27"/>
  <c r="H3730" i="27"/>
  <c r="H3731" i="27"/>
  <c r="H3748" i="27"/>
  <c r="E3759" i="27"/>
  <c r="N3762" i="27"/>
  <c r="H3357" i="27"/>
  <c r="H3358" i="27"/>
  <c r="E3366" i="27"/>
  <c r="K3403" i="27"/>
  <c r="E3406" i="27"/>
  <c r="N3414" i="27"/>
  <c r="E3415" i="27"/>
  <c r="E3419" i="27"/>
  <c r="N3423" i="27"/>
  <c r="H3434" i="27"/>
  <c r="N3436" i="27"/>
  <c r="N3442" i="27"/>
  <c r="K3461" i="27"/>
  <c r="E3504" i="27"/>
  <c r="E3506" i="27"/>
  <c r="E3507" i="27"/>
  <c r="K3529" i="27"/>
  <c r="E3560" i="27"/>
  <c r="N3569" i="27"/>
  <c r="N3579" i="27"/>
  <c r="N3592" i="27"/>
  <c r="K3599" i="27"/>
  <c r="H3625" i="27"/>
  <c r="E3640" i="27"/>
  <c r="E3656" i="27"/>
  <c r="K3659" i="27"/>
  <c r="K3660" i="27"/>
  <c r="E3665" i="27"/>
  <c r="E3666" i="27"/>
  <c r="K3668" i="27"/>
  <c r="K3673" i="27"/>
  <c r="N3674" i="27"/>
  <c r="E3698" i="27"/>
  <c r="E3699" i="27"/>
  <c r="H3707" i="27"/>
  <c r="E3716" i="27"/>
  <c r="N3722" i="27"/>
  <c r="E3730" i="27"/>
  <c r="H3737" i="27"/>
  <c r="H3743" i="27"/>
  <c r="H3762" i="27"/>
  <c r="H3763" i="27"/>
  <c r="N3765" i="27"/>
  <c r="N3359" i="27"/>
  <c r="U3363" i="27"/>
  <c r="V3363" i="27" s="1"/>
  <c r="W3363" i="27" s="1"/>
  <c r="N3367" i="27"/>
  <c r="E3375" i="27"/>
  <c r="H3377" i="27"/>
  <c r="H3378" i="27"/>
  <c r="H3383" i="27"/>
  <c r="H3385" i="27"/>
  <c r="H3393" i="27"/>
  <c r="K3394" i="27"/>
  <c r="E3404" i="27"/>
  <c r="H3405" i="27"/>
  <c r="H3425" i="27"/>
  <c r="H3430" i="27"/>
  <c r="N3433" i="27"/>
  <c r="H3438" i="27"/>
  <c r="E3462" i="27"/>
  <c r="K3471" i="27"/>
  <c r="E3483" i="27"/>
  <c r="K3504" i="27"/>
  <c r="K3506" i="27"/>
  <c r="E3515" i="27"/>
  <c r="E3516" i="27"/>
  <c r="K3524" i="27"/>
  <c r="K3525" i="27"/>
  <c r="K3527" i="27"/>
  <c r="E3533" i="27"/>
  <c r="H3536" i="27"/>
  <c r="E3547" i="27"/>
  <c r="E3553" i="27"/>
  <c r="H3561" i="27"/>
  <c r="E3571" i="27"/>
  <c r="N3591" i="27"/>
  <c r="E3596" i="27"/>
  <c r="H3603" i="27"/>
  <c r="K3608" i="27"/>
  <c r="N3614" i="27"/>
  <c r="N3625" i="27"/>
  <c r="N3645" i="27"/>
  <c r="K3657" i="27"/>
  <c r="N3658" i="27"/>
  <c r="K3666" i="27"/>
  <c r="K3667" i="27"/>
  <c r="K3672" i="27"/>
  <c r="K3677" i="27"/>
  <c r="N3685" i="27"/>
  <c r="E3690" i="27"/>
  <c r="N3693" i="27"/>
  <c r="E3697" i="27"/>
  <c r="K3699" i="27"/>
  <c r="K3730" i="27"/>
  <c r="N3743" i="27"/>
  <c r="E3748" i="27"/>
  <c r="E3751" i="27"/>
  <c r="N3763" i="27"/>
  <c r="K3356" i="27"/>
  <c r="E3359" i="27"/>
  <c r="E3362" i="27"/>
  <c r="N3366" i="27"/>
  <c r="K3367" i="27"/>
  <c r="K3377" i="27"/>
  <c r="K3378" i="27"/>
  <c r="K3380" i="27"/>
  <c r="N3389" i="27"/>
  <c r="N3401" i="27"/>
  <c r="K3425" i="27"/>
  <c r="N3426" i="27"/>
  <c r="K3432" i="27"/>
  <c r="E3437" i="27"/>
  <c r="E3451" i="27"/>
  <c r="N3453" i="27"/>
  <c r="E3456" i="27"/>
  <c r="N3458" i="27"/>
  <c r="H3469" i="27"/>
  <c r="H3483" i="27"/>
  <c r="N3503" i="27"/>
  <c r="H3515" i="27"/>
  <c r="N3527" i="27"/>
  <c r="E3531" i="27"/>
  <c r="K3560" i="27"/>
  <c r="K3561" i="27"/>
  <c r="E3580" i="27"/>
  <c r="E3585" i="27"/>
  <c r="H3588" i="27"/>
  <c r="E3593" i="27"/>
  <c r="K3603" i="27"/>
  <c r="H3607" i="27"/>
  <c r="K3612" i="27"/>
  <c r="N3617" i="27"/>
  <c r="N3637" i="27"/>
  <c r="N3642" i="27"/>
  <c r="K3665" i="27"/>
  <c r="N3678" i="27"/>
  <c r="E3696" i="27"/>
  <c r="E3708" i="27"/>
  <c r="H3729" i="27"/>
  <c r="N3730" i="27"/>
  <c r="N3731" i="27"/>
  <c r="E3740" i="27"/>
  <c r="K3760" i="27"/>
  <c r="N3761" i="27"/>
  <c r="K450" i="27"/>
  <c r="U450" i="27"/>
  <c r="V450" i="27" s="1"/>
  <c r="W450" i="27" s="1"/>
  <c r="H450" i="27"/>
  <c r="U823" i="27"/>
  <c r="V823" i="27" s="1"/>
  <c r="W823" i="27" s="1"/>
  <c r="H823" i="27"/>
  <c r="E823" i="27"/>
  <c r="H1171" i="27"/>
  <c r="U1171" i="27"/>
  <c r="V1171" i="27" s="1"/>
  <c r="W1171" i="27" s="1"/>
  <c r="N1171" i="27"/>
  <c r="K1171" i="27"/>
  <c r="U1425" i="27"/>
  <c r="V1425" i="27" s="1"/>
  <c r="W1425" i="27" s="1"/>
  <c r="E1425" i="27"/>
  <c r="N1425" i="27"/>
  <c r="K1425" i="27"/>
  <c r="U1664" i="27"/>
  <c r="V1664" i="27" s="1"/>
  <c r="W1664" i="27" s="1"/>
  <c r="H1664" i="27"/>
  <c r="E1664" i="27"/>
  <c r="K1664" i="27"/>
  <c r="H820" i="27"/>
  <c r="U820" i="27"/>
  <c r="V820" i="27" s="1"/>
  <c r="W820" i="27" s="1"/>
  <c r="N820" i="27"/>
  <c r="H985" i="27"/>
  <c r="U985" i="27"/>
  <c r="V985" i="27" s="1"/>
  <c r="W985" i="27" s="1"/>
  <c r="N985" i="27"/>
  <c r="K985" i="27"/>
  <c r="U1277" i="27"/>
  <c r="V1277" i="27" s="1"/>
  <c r="W1277" i="27" s="1"/>
  <c r="K1277" i="27"/>
  <c r="H1277" i="27"/>
  <c r="U1413" i="27"/>
  <c r="V1413" i="27" s="1"/>
  <c r="W1413" i="27" s="1"/>
  <c r="N1413" i="27"/>
  <c r="K1413" i="27"/>
  <c r="H1413" i="27"/>
  <c r="H1457" i="27"/>
  <c r="N1457" i="27"/>
  <c r="H7" i="27"/>
  <c r="K56" i="27"/>
  <c r="E69" i="27"/>
  <c r="U78" i="27"/>
  <c r="V78" i="27" s="1"/>
  <c r="W78" i="27" s="1"/>
  <c r="N116" i="27"/>
  <c r="E153" i="27"/>
  <c r="E339" i="27"/>
  <c r="U466" i="27"/>
  <c r="V466" i="27" s="1"/>
  <c r="W466" i="27" s="1"/>
  <c r="H490" i="27"/>
  <c r="U490" i="27"/>
  <c r="V490" i="27" s="1"/>
  <c r="W490" i="27" s="1"/>
  <c r="U495" i="27"/>
  <c r="V495" i="27" s="1"/>
  <c r="W495" i="27" s="1"/>
  <c r="K495" i="27"/>
  <c r="N521" i="27"/>
  <c r="K521" i="27"/>
  <c r="K720" i="27"/>
  <c r="H720" i="27"/>
  <c r="E720" i="27"/>
  <c r="U720" i="27"/>
  <c r="V720" i="27" s="1"/>
  <c r="W720" i="27" s="1"/>
  <c r="U724" i="27"/>
  <c r="V724" i="27" s="1"/>
  <c r="W724" i="27" s="1"/>
  <c r="U759" i="27"/>
  <c r="V759" i="27" s="1"/>
  <c r="W759" i="27" s="1"/>
  <c r="K759" i="27"/>
  <c r="H759" i="27"/>
  <c r="U898" i="27"/>
  <c r="V898" i="27" s="1"/>
  <c r="W898" i="27" s="1"/>
  <c r="K898" i="27"/>
  <c r="U1083" i="27"/>
  <c r="V1083" i="27" s="1"/>
  <c r="W1083" i="27" s="1"/>
  <c r="H1083" i="27"/>
  <c r="K1173" i="27"/>
  <c r="H1173" i="27"/>
  <c r="U1173" i="27"/>
  <c r="V1173" i="27" s="1"/>
  <c r="W1173" i="27" s="1"/>
  <c r="U1251" i="27"/>
  <c r="V1251" i="27" s="1"/>
  <c r="W1251" i="27" s="1"/>
  <c r="K1251" i="27"/>
  <c r="U1352" i="27"/>
  <c r="V1352" i="27" s="1"/>
  <c r="W1352" i="27" s="1"/>
  <c r="K1352" i="27"/>
  <c r="H1352" i="27"/>
  <c r="E1352" i="27"/>
  <c r="U1424" i="27"/>
  <c r="V1424" i="27" s="1"/>
  <c r="W1424" i="27" s="1"/>
  <c r="K1424" i="27"/>
  <c r="H1424" i="27"/>
  <c r="E1424" i="27"/>
  <c r="U1457" i="27"/>
  <c r="V1457" i="27" s="1"/>
  <c r="W1457" i="27" s="1"/>
  <c r="N1880" i="27"/>
  <c r="U1880" i="27"/>
  <c r="V1880" i="27" s="1"/>
  <c r="W1880" i="27" s="1"/>
  <c r="H1880" i="27"/>
  <c r="K2168" i="27"/>
  <c r="U2168" i="27"/>
  <c r="V2168" i="27" s="1"/>
  <c r="W2168" i="27" s="1"/>
  <c r="N2168" i="27"/>
  <c r="E2994" i="27"/>
  <c r="U2994" i="27"/>
  <c r="V2994" i="27" s="1"/>
  <c r="W2994" i="27" s="1"/>
  <c r="K7" i="27"/>
  <c r="K8" i="27"/>
  <c r="N13" i="27"/>
  <c r="H18" i="27"/>
  <c r="N22" i="27"/>
  <c r="N34" i="27"/>
  <c r="K52" i="27"/>
  <c r="N57" i="27"/>
  <c r="K67" i="27"/>
  <c r="H69" i="27"/>
  <c r="H78" i="27"/>
  <c r="K83" i="27"/>
  <c r="E84" i="27"/>
  <c r="U84" i="27"/>
  <c r="V84" i="27" s="1"/>
  <c r="W84" i="27" s="1"/>
  <c r="E90" i="27"/>
  <c r="U90" i="27"/>
  <c r="V90" i="27" s="1"/>
  <c r="W90" i="27" s="1"/>
  <c r="N98" i="27"/>
  <c r="K111" i="27"/>
  <c r="E112" i="27"/>
  <c r="U112" i="27"/>
  <c r="V112" i="27" s="1"/>
  <c r="W112" i="27" s="1"/>
  <c r="E118" i="27"/>
  <c r="U118" i="27"/>
  <c r="V118" i="27" s="1"/>
  <c r="W118" i="27" s="1"/>
  <c r="N127" i="27"/>
  <c r="E132" i="27"/>
  <c r="U132" i="27"/>
  <c r="V132" i="27" s="1"/>
  <c r="W132" i="27" s="1"/>
  <c r="H322" i="27"/>
  <c r="U322" i="27"/>
  <c r="V322" i="27" s="1"/>
  <c r="W322" i="27" s="1"/>
  <c r="H339" i="27"/>
  <c r="U339" i="27"/>
  <c r="V339" i="27" s="1"/>
  <c r="W339" i="27" s="1"/>
  <c r="N355" i="27"/>
  <c r="H360" i="27"/>
  <c r="E363" i="27"/>
  <c r="E364" i="27"/>
  <c r="E374" i="27"/>
  <c r="H375" i="27"/>
  <c r="K404" i="27"/>
  <c r="K431" i="27"/>
  <c r="K432" i="27"/>
  <c r="E432" i="27"/>
  <c r="H446" i="27"/>
  <c r="H466" i="27"/>
  <c r="E484" i="27"/>
  <c r="K489" i="27"/>
  <c r="U489" i="27"/>
  <c r="V489" i="27" s="1"/>
  <c r="W489" i="27" s="1"/>
  <c r="H489" i="27"/>
  <c r="U522" i="27"/>
  <c r="V522" i="27" s="1"/>
  <c r="W522" i="27" s="1"/>
  <c r="K529" i="27"/>
  <c r="U529" i="27"/>
  <c r="V529" i="27" s="1"/>
  <c r="W529" i="27" s="1"/>
  <c r="E529" i="27"/>
  <c r="K534" i="27"/>
  <c r="U534" i="27"/>
  <c r="V534" i="27" s="1"/>
  <c r="W534" i="27" s="1"/>
  <c r="U553" i="27"/>
  <c r="V553" i="27" s="1"/>
  <c r="W553" i="27" s="1"/>
  <c r="K563" i="27"/>
  <c r="U563" i="27"/>
  <c r="V563" i="27" s="1"/>
  <c r="W563" i="27" s="1"/>
  <c r="E563" i="27"/>
  <c r="K568" i="27"/>
  <c r="U568" i="27"/>
  <c r="V568" i="27" s="1"/>
  <c r="W568" i="27" s="1"/>
  <c r="U585" i="27"/>
  <c r="V585" i="27" s="1"/>
  <c r="W585" i="27" s="1"/>
  <c r="K596" i="27"/>
  <c r="U596" i="27"/>
  <c r="V596" i="27" s="1"/>
  <c r="W596" i="27" s="1"/>
  <c r="E596" i="27"/>
  <c r="K601" i="27"/>
  <c r="U601" i="27"/>
  <c r="V601" i="27" s="1"/>
  <c r="W601" i="27" s="1"/>
  <c r="H664" i="27"/>
  <c r="K664" i="27"/>
  <c r="N667" i="27"/>
  <c r="K671" i="27"/>
  <c r="K753" i="27"/>
  <c r="H753" i="27"/>
  <c r="U811" i="27"/>
  <c r="V811" i="27" s="1"/>
  <c r="W811" i="27" s="1"/>
  <c r="N811" i="27"/>
  <c r="H822" i="27"/>
  <c r="U822" i="27"/>
  <c r="V822" i="27" s="1"/>
  <c r="W822" i="27" s="1"/>
  <c r="H965" i="27"/>
  <c r="K965" i="27"/>
  <c r="U965" i="27"/>
  <c r="V965" i="27" s="1"/>
  <c r="W965" i="27" s="1"/>
  <c r="H988" i="27"/>
  <c r="U1165" i="27"/>
  <c r="V1165" i="27" s="1"/>
  <c r="W1165" i="27" s="1"/>
  <c r="E1165" i="27"/>
  <c r="K1165" i="27"/>
  <c r="K1187" i="27"/>
  <c r="E1187" i="27"/>
  <c r="H1212" i="27"/>
  <c r="E1212" i="27"/>
  <c r="U1229" i="27"/>
  <c r="V1229" i="27" s="1"/>
  <c r="W1229" i="27" s="1"/>
  <c r="K1229" i="27"/>
  <c r="H1229" i="27"/>
  <c r="E1229" i="27"/>
  <c r="E1232" i="27"/>
  <c r="U1296" i="27"/>
  <c r="V1296" i="27" s="1"/>
  <c r="W1296" i="27" s="1"/>
  <c r="K1296" i="27"/>
  <c r="E1296" i="27"/>
  <c r="U1325" i="27"/>
  <c r="V1325" i="27" s="1"/>
  <c r="W1325" i="27" s="1"/>
  <c r="K1325" i="27"/>
  <c r="E1325" i="27"/>
  <c r="N1348" i="27"/>
  <c r="U1390" i="27"/>
  <c r="V1390" i="27" s="1"/>
  <c r="W1390" i="27" s="1"/>
  <c r="H1390" i="27"/>
  <c r="E1390" i="27"/>
  <c r="U1409" i="27"/>
  <c r="V1409" i="27" s="1"/>
  <c r="W1409" i="27" s="1"/>
  <c r="H1409" i="27"/>
  <c r="E1409" i="27"/>
  <c r="K1409" i="27"/>
  <c r="E1414" i="27"/>
  <c r="U1423" i="27"/>
  <c r="V1423" i="27" s="1"/>
  <c r="W1423" i="27" s="1"/>
  <c r="K1423" i="27"/>
  <c r="H1423" i="27"/>
  <c r="E1423" i="27"/>
  <c r="U1432" i="27"/>
  <c r="V1432" i="27" s="1"/>
  <c r="W1432" i="27" s="1"/>
  <c r="K1432" i="27"/>
  <c r="E1432" i="27"/>
  <c r="N1456" i="27"/>
  <c r="H1456" i="27"/>
  <c r="E1456" i="27"/>
  <c r="U1526" i="27"/>
  <c r="V1526" i="27" s="1"/>
  <c r="W1526" i="27" s="1"/>
  <c r="K1526" i="27"/>
  <c r="H1526" i="27"/>
  <c r="K1540" i="27"/>
  <c r="H1540" i="27"/>
  <c r="U1540" i="27"/>
  <c r="V1540" i="27" s="1"/>
  <c r="W1540" i="27" s="1"/>
  <c r="H1620" i="27"/>
  <c r="U1620" i="27"/>
  <c r="V1620" i="27" s="1"/>
  <c r="W1620" i="27" s="1"/>
  <c r="H1627" i="27"/>
  <c r="U1627" i="27"/>
  <c r="V1627" i="27" s="1"/>
  <c r="W1627" i="27" s="1"/>
  <c r="N1749" i="27"/>
  <c r="H1749" i="27"/>
  <c r="E1749" i="27"/>
  <c r="U1749" i="27"/>
  <c r="V1749" i="27" s="1"/>
  <c r="W1749" i="27" s="1"/>
  <c r="U1982" i="27"/>
  <c r="V1982" i="27" s="1"/>
  <c r="W1982" i="27" s="1"/>
  <c r="K2072" i="27"/>
  <c r="H2072" i="27"/>
  <c r="U2072" i="27"/>
  <c r="V2072" i="27" s="1"/>
  <c r="W2072" i="27" s="1"/>
  <c r="K2160" i="27"/>
  <c r="N2160" i="27"/>
  <c r="U2160" i="27"/>
  <c r="V2160" i="27" s="1"/>
  <c r="W2160" i="27" s="1"/>
  <c r="K364" i="27"/>
  <c r="U364" i="27"/>
  <c r="V364" i="27" s="1"/>
  <c r="W364" i="27" s="1"/>
  <c r="H364" i="27"/>
  <c r="K376" i="27"/>
  <c r="H376" i="27"/>
  <c r="E644" i="27"/>
  <c r="U644" i="27"/>
  <c r="V644" i="27" s="1"/>
  <c r="W644" i="27" s="1"/>
  <c r="K672" i="27"/>
  <c r="H672" i="27"/>
  <c r="E672" i="27"/>
  <c r="K764" i="27"/>
  <c r="U764" i="27"/>
  <c r="V764" i="27" s="1"/>
  <c r="W764" i="27" s="1"/>
  <c r="H1015" i="27"/>
  <c r="U1015" i="27"/>
  <c r="V1015" i="27" s="1"/>
  <c r="W1015" i="27" s="1"/>
  <c r="K1110" i="27"/>
  <c r="U1110" i="27"/>
  <c r="V1110" i="27" s="1"/>
  <c r="W1110" i="27" s="1"/>
  <c r="H1188" i="27"/>
  <c r="E1188" i="27"/>
  <c r="K1297" i="27"/>
  <c r="E1297" i="27"/>
  <c r="U1439" i="27"/>
  <c r="V1439" i="27" s="1"/>
  <c r="W1439" i="27" s="1"/>
  <c r="H1439" i="27"/>
  <c r="K1439" i="27"/>
  <c r="E1439" i="27"/>
  <c r="U447" i="27"/>
  <c r="V447" i="27" s="1"/>
  <c r="W447" i="27" s="1"/>
  <c r="K447" i="27"/>
  <c r="U672" i="27"/>
  <c r="V672" i="27" s="1"/>
  <c r="W672" i="27" s="1"/>
  <c r="E839" i="27"/>
  <c r="U839" i="27"/>
  <c r="V839" i="27" s="1"/>
  <c r="W839" i="27" s="1"/>
  <c r="U902" i="27"/>
  <c r="V902" i="27" s="1"/>
  <c r="W902" i="27" s="1"/>
  <c r="H950" i="27"/>
  <c r="U950" i="27"/>
  <c r="V950" i="27" s="1"/>
  <c r="W950" i="27" s="1"/>
  <c r="H1004" i="27"/>
  <c r="U1004" i="27"/>
  <c r="V1004" i="27" s="1"/>
  <c r="W1004" i="27" s="1"/>
  <c r="E1004" i="27"/>
  <c r="U1152" i="27"/>
  <c r="V1152" i="27" s="1"/>
  <c r="W1152" i="27" s="1"/>
  <c r="K1152" i="27"/>
  <c r="U1217" i="27"/>
  <c r="V1217" i="27" s="1"/>
  <c r="W1217" i="27" s="1"/>
  <c r="N1217" i="27"/>
  <c r="E1217" i="27"/>
  <c r="U1252" i="27"/>
  <c r="V1252" i="27" s="1"/>
  <c r="W1252" i="27" s="1"/>
  <c r="K1252" i="27"/>
  <c r="H1252" i="27"/>
  <c r="U1628" i="27"/>
  <c r="V1628" i="27" s="1"/>
  <c r="W1628" i="27" s="1"/>
  <c r="E17" i="27"/>
  <c r="U69" i="27"/>
  <c r="V69" i="27" s="1"/>
  <c r="W69" i="27" s="1"/>
  <c r="N88" i="27"/>
  <c r="E131" i="27"/>
  <c r="U131" i="27"/>
  <c r="V131" i="27" s="1"/>
  <c r="W131" i="27" s="1"/>
  <c r="U153" i="27"/>
  <c r="V153" i="27" s="1"/>
  <c r="W153" i="27" s="1"/>
  <c r="U363" i="27"/>
  <c r="V363" i="27" s="1"/>
  <c r="W363" i="27" s="1"/>
  <c r="E375" i="27"/>
  <c r="U375" i="27"/>
  <c r="V375" i="27" s="1"/>
  <c r="W375" i="27" s="1"/>
  <c r="U376" i="27"/>
  <c r="V376" i="27" s="1"/>
  <c r="W376" i="27" s="1"/>
  <c r="K405" i="27"/>
  <c r="H405" i="27"/>
  <c r="U405" i="27"/>
  <c r="V405" i="27" s="1"/>
  <c r="W405" i="27" s="1"/>
  <c r="E405" i="27"/>
  <c r="U484" i="27"/>
  <c r="V484" i="27" s="1"/>
  <c r="W484" i="27" s="1"/>
  <c r="K618" i="27"/>
  <c r="U618" i="27"/>
  <c r="V618" i="27" s="1"/>
  <c r="W618" i="27" s="1"/>
  <c r="H618" i="27"/>
  <c r="U668" i="27"/>
  <c r="V668" i="27" s="1"/>
  <c r="W668" i="27" s="1"/>
  <c r="K668" i="27"/>
  <c r="H712" i="27"/>
  <c r="K712" i="27"/>
  <c r="H766" i="27"/>
  <c r="K766" i="27"/>
  <c r="H792" i="27"/>
  <c r="K792" i="27"/>
  <c r="U1184" i="27"/>
  <c r="V1184" i="27" s="1"/>
  <c r="W1184" i="27" s="1"/>
  <c r="K1184" i="27"/>
  <c r="H1757" i="27"/>
  <c r="N1757" i="27"/>
  <c r="E1757" i="27"/>
  <c r="U1757" i="27"/>
  <c r="V1757" i="27" s="1"/>
  <c r="W1757" i="27" s="1"/>
  <c r="K2571" i="27"/>
  <c r="U2571" i="27"/>
  <c r="V2571" i="27" s="1"/>
  <c r="W2571" i="27" s="1"/>
  <c r="E2571" i="27"/>
  <c r="N3723" i="27"/>
  <c r="H3723" i="27"/>
  <c r="N7" i="27"/>
  <c r="E9" i="27"/>
  <c r="N12" i="27"/>
  <c r="K19" i="27"/>
  <c r="E33" i="27"/>
  <c r="U33" i="27"/>
  <c r="V33" i="27" s="1"/>
  <c r="W33" i="27" s="1"/>
  <c r="N51" i="27"/>
  <c r="U52" i="27"/>
  <c r="V52" i="27" s="1"/>
  <c r="W52" i="27" s="1"/>
  <c r="H84" i="27"/>
  <c r="E85" i="27"/>
  <c r="U85" i="27"/>
  <c r="V85" i="27" s="1"/>
  <c r="W85" i="27" s="1"/>
  <c r="H90" i="27"/>
  <c r="K101" i="27"/>
  <c r="H112" i="27"/>
  <c r="E113" i="27"/>
  <c r="U113" i="27"/>
  <c r="V113" i="27" s="1"/>
  <c r="W113" i="27" s="1"/>
  <c r="H118" i="27"/>
  <c r="K130" i="27"/>
  <c r="H153" i="27"/>
  <c r="H154" i="27"/>
  <c r="K336" i="27"/>
  <c r="K349" i="27"/>
  <c r="E354" i="27"/>
  <c r="H363" i="27"/>
  <c r="N366" i="27"/>
  <c r="E367" i="27"/>
  <c r="K375" i="27"/>
  <c r="E376" i="27"/>
  <c r="N379" i="27"/>
  <c r="K390" i="27"/>
  <c r="U390" i="27"/>
  <c r="V390" i="27" s="1"/>
  <c r="W390" i="27" s="1"/>
  <c r="U401" i="27"/>
  <c r="V401" i="27" s="1"/>
  <c r="W401" i="27" s="1"/>
  <c r="N401" i="27"/>
  <c r="K421" i="27"/>
  <c r="U426" i="27"/>
  <c r="V426" i="27" s="1"/>
  <c r="W426" i="27" s="1"/>
  <c r="N426" i="27"/>
  <c r="K439" i="27"/>
  <c r="K452" i="27"/>
  <c r="U452" i="27"/>
  <c r="V452" i="27" s="1"/>
  <c r="W452" i="27" s="1"/>
  <c r="E452" i="27"/>
  <c r="N477" i="27"/>
  <c r="U482" i="27"/>
  <c r="V482" i="27" s="1"/>
  <c r="W482" i="27" s="1"/>
  <c r="N487" i="27"/>
  <c r="U500" i="27"/>
  <c r="V500" i="27" s="1"/>
  <c r="W500" i="27" s="1"/>
  <c r="E500" i="27"/>
  <c r="U521" i="27"/>
  <c r="V521" i="27" s="1"/>
  <c r="W521" i="27" s="1"/>
  <c r="N528" i="27"/>
  <c r="E553" i="27"/>
  <c r="N562" i="27"/>
  <c r="E585" i="27"/>
  <c r="N595" i="27"/>
  <c r="E642" i="27"/>
  <c r="U642" i="27"/>
  <c r="V642" i="27" s="1"/>
  <c r="W642" i="27" s="1"/>
  <c r="U646" i="27"/>
  <c r="V646" i="27" s="1"/>
  <c r="W646" i="27" s="1"/>
  <c r="H646" i="27"/>
  <c r="N659" i="27"/>
  <c r="N675" i="27"/>
  <c r="K675" i="27"/>
  <c r="N679" i="27"/>
  <c r="N688" i="27"/>
  <c r="N703" i="27"/>
  <c r="N722" i="27"/>
  <c r="K723" i="27"/>
  <c r="U723" i="27"/>
  <c r="V723" i="27" s="1"/>
  <c r="W723" i="27" s="1"/>
  <c r="E723" i="27"/>
  <c r="K746" i="27"/>
  <c r="U753" i="27"/>
  <c r="V753" i="27" s="1"/>
  <c r="W753" i="27" s="1"/>
  <c r="N756" i="27"/>
  <c r="N787" i="27"/>
  <c r="K819" i="27"/>
  <c r="H819" i="27"/>
  <c r="E819" i="27"/>
  <c r="N824" i="27"/>
  <c r="U825" i="27"/>
  <c r="V825" i="27" s="1"/>
  <c r="W825" i="27" s="1"/>
  <c r="H825" i="27"/>
  <c r="H832" i="27"/>
  <c r="U832" i="27"/>
  <c r="V832" i="27" s="1"/>
  <c r="W832" i="27" s="1"/>
  <c r="K832" i="27"/>
  <c r="U878" i="27"/>
  <c r="V878" i="27" s="1"/>
  <c r="W878" i="27" s="1"/>
  <c r="H894" i="27"/>
  <c r="U894" i="27"/>
  <c r="V894" i="27" s="1"/>
  <c r="W894" i="27" s="1"/>
  <c r="H961" i="27"/>
  <c r="U961" i="27"/>
  <c r="V961" i="27" s="1"/>
  <c r="W961" i="27" s="1"/>
  <c r="H1003" i="27"/>
  <c r="K1003" i="27"/>
  <c r="U1003" i="27"/>
  <c r="V1003" i="27" s="1"/>
  <c r="W1003" i="27" s="1"/>
  <c r="U1034" i="27"/>
  <c r="V1034" i="27" s="1"/>
  <c r="W1034" i="27" s="1"/>
  <c r="H1034" i="27"/>
  <c r="K1115" i="27"/>
  <c r="U1115" i="27"/>
  <c r="V1115" i="27" s="1"/>
  <c r="W1115" i="27" s="1"/>
  <c r="N1115" i="27"/>
  <c r="K1117" i="27"/>
  <c r="U1119" i="27"/>
  <c r="V1119" i="27" s="1"/>
  <c r="W1119" i="27" s="1"/>
  <c r="N1144" i="27"/>
  <c r="H1151" i="27"/>
  <c r="U1151" i="27"/>
  <c r="V1151" i="27" s="1"/>
  <c r="W1151" i="27" s="1"/>
  <c r="K1168" i="27"/>
  <c r="H1168" i="27"/>
  <c r="U1168" i="27"/>
  <c r="V1168" i="27" s="1"/>
  <c r="W1168" i="27" s="1"/>
  <c r="E1168" i="27"/>
  <c r="U1180" i="27"/>
  <c r="V1180" i="27" s="1"/>
  <c r="W1180" i="27" s="1"/>
  <c r="H1180" i="27"/>
  <c r="N1180" i="27"/>
  <c r="K1180" i="27"/>
  <c r="E1252" i="27"/>
  <c r="N1266" i="27"/>
  <c r="E1277" i="27"/>
  <c r="E1326" i="27"/>
  <c r="U1345" i="27"/>
  <c r="V1345" i="27" s="1"/>
  <c r="W1345" i="27" s="1"/>
  <c r="K1345" i="27"/>
  <c r="H1345" i="27"/>
  <c r="E1345" i="27"/>
  <c r="E1387" i="27"/>
  <c r="H1387" i="27"/>
  <c r="N1408" i="27"/>
  <c r="N1411" i="27"/>
  <c r="E1413" i="27"/>
  <c r="U1419" i="27"/>
  <c r="V1419" i="27" s="1"/>
  <c r="W1419" i="27" s="1"/>
  <c r="E1419" i="27"/>
  <c r="N1419" i="27"/>
  <c r="K1419" i="27"/>
  <c r="U1456" i="27"/>
  <c r="V1456" i="27" s="1"/>
  <c r="W1456" i="27" s="1"/>
  <c r="K1595" i="27"/>
  <c r="H1595" i="27"/>
  <c r="U1595" i="27"/>
  <c r="V1595" i="27" s="1"/>
  <c r="W1595" i="27" s="1"/>
  <c r="N1595" i="27"/>
  <c r="U1713" i="27"/>
  <c r="V1713" i="27" s="1"/>
  <c r="W1713" i="27" s="1"/>
  <c r="K1713" i="27"/>
  <c r="H1713" i="27"/>
  <c r="E1713" i="27"/>
  <c r="N1719" i="27"/>
  <c r="H1798" i="27"/>
  <c r="U1798" i="27"/>
  <c r="V1798" i="27" s="1"/>
  <c r="W1798" i="27" s="1"/>
  <c r="N1798" i="27"/>
  <c r="N1816" i="27"/>
  <c r="H1816" i="27"/>
  <c r="U1816" i="27"/>
  <c r="V1816" i="27" s="1"/>
  <c r="W1816" i="27" s="1"/>
  <c r="U1837" i="27"/>
  <c r="V1837" i="27" s="1"/>
  <c r="W1837" i="27" s="1"/>
  <c r="N1841" i="27"/>
  <c r="U1841" i="27"/>
  <c r="V1841" i="27" s="1"/>
  <c r="W1841" i="27" s="1"/>
  <c r="U1901" i="27"/>
  <c r="V1901" i="27" s="1"/>
  <c r="W1901" i="27" s="1"/>
  <c r="H1901" i="27"/>
  <c r="K1939" i="27"/>
  <c r="U1939" i="27"/>
  <c r="V1939" i="27" s="1"/>
  <c r="W1939" i="27" s="1"/>
  <c r="N1981" i="27"/>
  <c r="H2014" i="27"/>
  <c r="U2014" i="27"/>
  <c r="V2014" i="27" s="1"/>
  <c r="W2014" i="27" s="1"/>
  <c r="H2617" i="27"/>
  <c r="U2617" i="27"/>
  <c r="V2617" i="27" s="1"/>
  <c r="W2617" i="27" s="1"/>
  <c r="H2863" i="27"/>
  <c r="U2863" i="27"/>
  <c r="V2863" i="27" s="1"/>
  <c r="W2863" i="27" s="1"/>
  <c r="E19" i="27"/>
  <c r="E78" i="27"/>
  <c r="H2206" i="27"/>
  <c r="U2206" i="27"/>
  <c r="V2206" i="27" s="1"/>
  <c r="W2206" i="27" s="1"/>
  <c r="N2206" i="27"/>
  <c r="H9" i="27"/>
  <c r="K18" i="27"/>
  <c r="H33" i="27"/>
  <c r="H85" i="27"/>
  <c r="H113" i="27"/>
  <c r="H981" i="27"/>
  <c r="U981" i="27"/>
  <c r="V981" i="27" s="1"/>
  <c r="W981" i="27" s="1"/>
  <c r="K981" i="27"/>
  <c r="E1184" i="27"/>
  <c r="U1335" i="27"/>
  <c r="V1335" i="27" s="1"/>
  <c r="W1335" i="27" s="1"/>
  <c r="K1335" i="27"/>
  <c r="U1360" i="27"/>
  <c r="V1360" i="27" s="1"/>
  <c r="W1360" i="27" s="1"/>
  <c r="H1360" i="27"/>
  <c r="E1360" i="27"/>
  <c r="K1360" i="27"/>
  <c r="U1408" i="27"/>
  <c r="V1408" i="27" s="1"/>
  <c r="W1408" i="27" s="1"/>
  <c r="K1408" i="27"/>
  <c r="H1408" i="27"/>
  <c r="E1408" i="27"/>
  <c r="E1682" i="27"/>
  <c r="K1682" i="27"/>
  <c r="N1833" i="27"/>
  <c r="U1833" i="27"/>
  <c r="V1833" i="27" s="1"/>
  <c r="W1833" i="27" s="1"/>
  <c r="H1833" i="27"/>
  <c r="H1981" i="27"/>
  <c r="U1981" i="27"/>
  <c r="V1981" i="27" s="1"/>
  <c r="W1981" i="27" s="1"/>
  <c r="K9" i="27"/>
  <c r="H60" i="27"/>
  <c r="E65" i="27"/>
  <c r="N70" i="27"/>
  <c r="N72" i="27"/>
  <c r="N78" i="27"/>
  <c r="E80" i="27"/>
  <c r="H92" i="27"/>
  <c r="E98" i="27"/>
  <c r="H120" i="27"/>
  <c r="E127" i="27"/>
  <c r="U291" i="27"/>
  <c r="V291" i="27" s="1"/>
  <c r="W291" i="27" s="1"/>
  <c r="K320" i="27"/>
  <c r="E345" i="27"/>
  <c r="E355" i="27"/>
  <c r="E360" i="27"/>
  <c r="N377" i="27"/>
  <c r="K378" i="27"/>
  <c r="H378" i="27"/>
  <c r="E402" i="27"/>
  <c r="E404" i="27"/>
  <c r="K420" i="27"/>
  <c r="U420" i="27"/>
  <c r="V420" i="27" s="1"/>
  <c r="W420" i="27" s="1"/>
  <c r="E427" i="27"/>
  <c r="E435" i="27"/>
  <c r="N435" i="27"/>
  <c r="N448" i="27"/>
  <c r="H454" i="27"/>
  <c r="E461" i="27"/>
  <c r="H482" i="27"/>
  <c r="E489" i="27"/>
  <c r="N492" i="27"/>
  <c r="H521" i="27"/>
  <c r="U532" i="27"/>
  <c r="V532" i="27" s="1"/>
  <c r="W532" i="27" s="1"/>
  <c r="K532" i="27"/>
  <c r="N555" i="27"/>
  <c r="N560" i="27"/>
  <c r="U566" i="27"/>
  <c r="V566" i="27" s="1"/>
  <c r="W566" i="27" s="1"/>
  <c r="K566" i="27"/>
  <c r="N588" i="27"/>
  <c r="N593" i="27"/>
  <c r="U599" i="27"/>
  <c r="V599" i="27" s="1"/>
  <c r="W599" i="27" s="1"/>
  <c r="K599" i="27"/>
  <c r="E645" i="27"/>
  <c r="U645" i="27"/>
  <c r="V645" i="27" s="1"/>
  <c r="W645" i="27" s="1"/>
  <c r="U659" i="27"/>
  <c r="V659" i="27" s="1"/>
  <c r="W659" i="27" s="1"/>
  <c r="U710" i="27"/>
  <c r="V710" i="27" s="1"/>
  <c r="W710" i="27" s="1"/>
  <c r="K710" i="27"/>
  <c r="U726" i="27"/>
  <c r="V726" i="27" s="1"/>
  <c r="W726" i="27" s="1"/>
  <c r="H726" i="27"/>
  <c r="N736" i="27"/>
  <c r="N755" i="27"/>
  <c r="U756" i="27"/>
  <c r="V756" i="27" s="1"/>
  <c r="W756" i="27" s="1"/>
  <c r="E766" i="27"/>
  <c r="H772" i="27"/>
  <c r="N772" i="27"/>
  <c r="U775" i="27"/>
  <c r="V775" i="27" s="1"/>
  <c r="W775" i="27" s="1"/>
  <c r="H779" i="27"/>
  <c r="U824" i="27"/>
  <c r="V824" i="27" s="1"/>
  <c r="W824" i="27" s="1"/>
  <c r="H839" i="27"/>
  <c r="K867" i="27"/>
  <c r="H867" i="27"/>
  <c r="H886" i="27"/>
  <c r="U886" i="27"/>
  <c r="V886" i="27" s="1"/>
  <c r="W886" i="27" s="1"/>
  <c r="N910" i="27"/>
  <c r="N917" i="27"/>
  <c r="N932" i="27"/>
  <c r="H936" i="27"/>
  <c r="U936" i="27"/>
  <c r="V936" i="27" s="1"/>
  <c r="W936" i="27" s="1"/>
  <c r="N956" i="27"/>
  <c r="N1023" i="27"/>
  <c r="N1030" i="27"/>
  <c r="N1037" i="27"/>
  <c r="U1068" i="27"/>
  <c r="V1068" i="27" s="1"/>
  <c r="W1068" i="27" s="1"/>
  <c r="N1068" i="27"/>
  <c r="K1068" i="27"/>
  <c r="U1076" i="27"/>
  <c r="V1076" i="27" s="1"/>
  <c r="W1076" i="27" s="1"/>
  <c r="N1117" i="27"/>
  <c r="K1191" i="27"/>
  <c r="K1217" i="27"/>
  <c r="U1218" i="27"/>
  <c r="V1218" i="27" s="1"/>
  <c r="W1218" i="27" s="1"/>
  <c r="K1218" i="27"/>
  <c r="H1218" i="27"/>
  <c r="U1261" i="27"/>
  <c r="V1261" i="27" s="1"/>
  <c r="W1261" i="27" s="1"/>
  <c r="E1261" i="27"/>
  <c r="N1261" i="27"/>
  <c r="K1261" i="27"/>
  <c r="U1284" i="27"/>
  <c r="V1284" i="27" s="1"/>
  <c r="W1284" i="27" s="1"/>
  <c r="K1284" i="27"/>
  <c r="N1284" i="27"/>
  <c r="U1287" i="27"/>
  <c r="V1287" i="27" s="1"/>
  <c r="W1287" i="27" s="1"/>
  <c r="K1287" i="27"/>
  <c r="H1287" i="27"/>
  <c r="E1287" i="27"/>
  <c r="N1359" i="27"/>
  <c r="E1363" i="27"/>
  <c r="H1363" i="27"/>
  <c r="N1382" i="27"/>
  <c r="N1402" i="27"/>
  <c r="U1403" i="27"/>
  <c r="V1403" i="27" s="1"/>
  <c r="W1403" i="27" s="1"/>
  <c r="E1403" i="27"/>
  <c r="K1403" i="27"/>
  <c r="U1484" i="27"/>
  <c r="V1484" i="27" s="1"/>
  <c r="W1484" i="27" s="1"/>
  <c r="K1484" i="27"/>
  <c r="E1484" i="27"/>
  <c r="H1484" i="27"/>
  <c r="K1507" i="27"/>
  <c r="H1507" i="27"/>
  <c r="U1507" i="27"/>
  <c r="V1507" i="27" s="1"/>
  <c r="W1507" i="27" s="1"/>
  <c r="E1526" i="27"/>
  <c r="N1676" i="27"/>
  <c r="U1676" i="27"/>
  <c r="V1676" i="27" s="1"/>
  <c r="W1676" i="27" s="1"/>
  <c r="H1676" i="27"/>
  <c r="K1676" i="27"/>
  <c r="H1969" i="27"/>
  <c r="U1969" i="27"/>
  <c r="V1969" i="27" s="1"/>
  <c r="W1969" i="27" s="1"/>
  <c r="U409" i="27"/>
  <c r="V409" i="27" s="1"/>
  <c r="W409" i="27" s="1"/>
  <c r="K409" i="27"/>
  <c r="K725" i="27"/>
  <c r="U725" i="27"/>
  <c r="V725" i="27" s="1"/>
  <c r="W725" i="27" s="1"/>
  <c r="E725" i="27"/>
  <c r="E797" i="27"/>
  <c r="U797" i="27"/>
  <c r="V797" i="27" s="1"/>
  <c r="W797" i="27" s="1"/>
  <c r="U970" i="27"/>
  <c r="V970" i="27" s="1"/>
  <c r="W970" i="27" s="1"/>
  <c r="H970" i="27"/>
  <c r="U1433" i="27"/>
  <c r="V1433" i="27" s="1"/>
  <c r="W1433" i="27" s="1"/>
  <c r="K1433" i="27"/>
  <c r="H1433" i="27"/>
  <c r="E1433" i="27"/>
  <c r="N1433" i="27"/>
  <c r="K1563" i="27"/>
  <c r="H1563" i="27"/>
  <c r="U1563" i="27"/>
  <c r="V1563" i="27" s="1"/>
  <c r="W1563" i="27" s="1"/>
  <c r="K1652" i="27"/>
  <c r="H1652" i="27"/>
  <c r="U1652" i="27"/>
  <c r="V1652" i="27" s="1"/>
  <c r="W1652" i="27" s="1"/>
  <c r="H1750" i="27"/>
  <c r="E1750" i="27"/>
  <c r="U1750" i="27"/>
  <c r="V1750" i="27" s="1"/>
  <c r="W1750" i="27" s="1"/>
  <c r="N1750" i="27"/>
  <c r="E1764" i="27"/>
  <c r="U1764" i="27"/>
  <c r="V1764" i="27" s="1"/>
  <c r="W1764" i="27" s="1"/>
  <c r="H2236" i="27"/>
  <c r="K2236" i="27"/>
  <c r="U2236" i="27"/>
  <c r="V2236" i="27" s="1"/>
  <c r="W2236" i="27" s="1"/>
  <c r="U455" i="27"/>
  <c r="V455" i="27" s="1"/>
  <c r="W455" i="27" s="1"/>
  <c r="K455" i="27"/>
  <c r="H502" i="27"/>
  <c r="U502" i="27"/>
  <c r="V502" i="27" s="1"/>
  <c r="W502" i="27" s="1"/>
  <c r="K709" i="27"/>
  <c r="U709" i="27"/>
  <c r="V709" i="27" s="1"/>
  <c r="W709" i="27" s="1"/>
  <c r="E709" i="27"/>
  <c r="U760" i="27"/>
  <c r="V760" i="27" s="1"/>
  <c r="W760" i="27" s="1"/>
  <c r="U866" i="27"/>
  <c r="V866" i="27" s="1"/>
  <c r="W866" i="27" s="1"/>
  <c r="K866" i="27"/>
  <c r="H989" i="27"/>
  <c r="U989" i="27"/>
  <c r="V989" i="27" s="1"/>
  <c r="W989" i="27" s="1"/>
  <c r="K989" i="27"/>
  <c r="H1001" i="27"/>
  <c r="U1001" i="27"/>
  <c r="V1001" i="27" s="1"/>
  <c r="W1001" i="27" s="1"/>
  <c r="N1001" i="27"/>
  <c r="H1555" i="27"/>
  <c r="U1555" i="27"/>
  <c r="V1555" i="27" s="1"/>
  <c r="W1555" i="27" s="1"/>
  <c r="K339" i="27"/>
  <c r="U369" i="27"/>
  <c r="V369" i="27" s="1"/>
  <c r="W369" i="27" s="1"/>
  <c r="E369" i="27"/>
  <c r="E379" i="27"/>
  <c r="E416" i="27"/>
  <c r="K466" i="27"/>
  <c r="K477" i="27"/>
  <c r="E477" i="27"/>
  <c r="E482" i="27"/>
  <c r="U487" i="27"/>
  <c r="V487" i="27" s="1"/>
  <c r="W487" i="27" s="1"/>
  <c r="K487" i="27"/>
  <c r="E521" i="27"/>
  <c r="E522" i="27"/>
  <c r="K539" i="27"/>
  <c r="N539" i="27"/>
  <c r="H553" i="27"/>
  <c r="K572" i="27"/>
  <c r="N572" i="27"/>
  <c r="H585" i="27"/>
  <c r="K605" i="27"/>
  <c r="N605" i="27"/>
  <c r="E618" i="27"/>
  <c r="N623" i="27"/>
  <c r="K623" i="27"/>
  <c r="E682" i="27"/>
  <c r="U682" i="27"/>
  <c r="V682" i="27" s="1"/>
  <c r="W682" i="27" s="1"/>
  <c r="K688" i="27"/>
  <c r="H688" i="27"/>
  <c r="H699" i="27"/>
  <c r="N699" i="27"/>
  <c r="K722" i="27"/>
  <c r="E722" i="27"/>
  <c r="E734" i="27"/>
  <c r="H841" i="27"/>
  <c r="E841" i="27"/>
  <c r="U873" i="27"/>
  <c r="V873" i="27" s="1"/>
  <c r="W873" i="27" s="1"/>
  <c r="H873" i="27"/>
  <c r="H977" i="27"/>
  <c r="K977" i="27"/>
  <c r="E985" i="27"/>
  <c r="E1251" i="27"/>
  <c r="H1266" i="27"/>
  <c r="E1266" i="27"/>
  <c r="U1304" i="27"/>
  <c r="V1304" i="27" s="1"/>
  <c r="W1304" i="27" s="1"/>
  <c r="N1304" i="27"/>
  <c r="K1304" i="27"/>
  <c r="E1357" i="27"/>
  <c r="N1357" i="27"/>
  <c r="U1383" i="27"/>
  <c r="V1383" i="27" s="1"/>
  <c r="W1383" i="27" s="1"/>
  <c r="H1383" i="27"/>
  <c r="N1383" i="27"/>
  <c r="K1383" i="27"/>
  <c r="U1550" i="27"/>
  <c r="V1550" i="27" s="1"/>
  <c r="W1550" i="27" s="1"/>
  <c r="K1550" i="27"/>
  <c r="H1550" i="27"/>
  <c r="E1550" i="27"/>
  <c r="U1686" i="27"/>
  <c r="V1686" i="27" s="1"/>
  <c r="W1686" i="27" s="1"/>
  <c r="H1686" i="27"/>
  <c r="K2004" i="27"/>
  <c r="U2004" i="27"/>
  <c r="V2004" i="27" s="1"/>
  <c r="W2004" i="27" s="1"/>
  <c r="U6" i="27"/>
  <c r="V6" i="27" s="1"/>
  <c r="W6" i="27" s="1"/>
  <c r="E13" i="27"/>
  <c r="E22" i="27"/>
  <c r="E34" i="27"/>
  <c r="N64" i="27"/>
  <c r="N69" i="27"/>
  <c r="K76" i="27"/>
  <c r="K79" i="27"/>
  <c r="E82" i="27"/>
  <c r="H98" i="27"/>
  <c r="E110" i="27"/>
  <c r="H127" i="27"/>
  <c r="N131" i="27"/>
  <c r="E291" i="27"/>
  <c r="K332" i="27"/>
  <c r="H355" i="27"/>
  <c r="N362" i="27"/>
  <c r="N363" i="27"/>
  <c r="U366" i="27"/>
  <c r="V366" i="27" s="1"/>
  <c r="W366" i="27" s="1"/>
  <c r="K373" i="27"/>
  <c r="N376" i="27"/>
  <c r="K398" i="27"/>
  <c r="H404" i="27"/>
  <c r="E410" i="27"/>
  <c r="H431" i="27"/>
  <c r="U436" i="27"/>
  <c r="V436" i="27" s="1"/>
  <c r="W436" i="27" s="1"/>
  <c r="K465" i="27"/>
  <c r="U465" i="27"/>
  <c r="V465" i="27" s="1"/>
  <c r="W465" i="27" s="1"/>
  <c r="E476" i="27"/>
  <c r="U476" i="27"/>
  <c r="V476" i="27" s="1"/>
  <c r="W476" i="27" s="1"/>
  <c r="N485" i="27"/>
  <c r="K490" i="27"/>
  <c r="N491" i="27"/>
  <c r="H492" i="27"/>
  <c r="U492" i="27"/>
  <c r="V492" i="27" s="1"/>
  <c r="W492" i="27" s="1"/>
  <c r="E492" i="27"/>
  <c r="N496" i="27"/>
  <c r="H531" i="27"/>
  <c r="U531" i="27"/>
  <c r="V531" i="27" s="1"/>
  <c r="W531" i="27" s="1"/>
  <c r="E531" i="27"/>
  <c r="N554" i="27"/>
  <c r="H555" i="27"/>
  <c r="U555" i="27"/>
  <c r="V555" i="27" s="1"/>
  <c r="W555" i="27" s="1"/>
  <c r="E555" i="27"/>
  <c r="K561" i="27"/>
  <c r="U561" i="27"/>
  <c r="V561" i="27" s="1"/>
  <c r="W561" i="27" s="1"/>
  <c r="H561" i="27"/>
  <c r="H565" i="27"/>
  <c r="U565" i="27"/>
  <c r="V565" i="27" s="1"/>
  <c r="W565" i="27" s="1"/>
  <c r="E565" i="27"/>
  <c r="N587" i="27"/>
  <c r="H588" i="27"/>
  <c r="U588" i="27"/>
  <c r="V588" i="27" s="1"/>
  <c r="W588" i="27" s="1"/>
  <c r="E588" i="27"/>
  <c r="K594" i="27"/>
  <c r="U594" i="27"/>
  <c r="V594" i="27" s="1"/>
  <c r="W594" i="27" s="1"/>
  <c r="H594" i="27"/>
  <c r="H598" i="27"/>
  <c r="U598" i="27"/>
  <c r="V598" i="27" s="1"/>
  <c r="W598" i="27" s="1"/>
  <c r="E598" i="27"/>
  <c r="N633" i="27"/>
  <c r="N657" i="27"/>
  <c r="N672" i="27"/>
  <c r="U684" i="27"/>
  <c r="V684" i="27" s="1"/>
  <c r="W684" i="27" s="1"/>
  <c r="K684" i="27"/>
  <c r="H684" i="27"/>
  <c r="K694" i="27"/>
  <c r="N702" i="27"/>
  <c r="E706" i="27"/>
  <c r="H782" i="27"/>
  <c r="K782" i="27"/>
  <c r="U805" i="27"/>
  <c r="V805" i="27" s="1"/>
  <c r="W805" i="27" s="1"/>
  <c r="H805" i="27"/>
  <c r="E805" i="27"/>
  <c r="E811" i="27"/>
  <c r="N823" i="27"/>
  <c r="N902" i="27"/>
  <c r="H910" i="27"/>
  <c r="K910" i="27"/>
  <c r="U910" i="27"/>
  <c r="V910" i="27" s="1"/>
  <c r="W910" i="27" s="1"/>
  <c r="U913" i="27"/>
  <c r="V913" i="27" s="1"/>
  <c r="W913" i="27" s="1"/>
  <c r="H913" i="27"/>
  <c r="H932" i="27"/>
  <c r="K932" i="27"/>
  <c r="K950" i="27"/>
  <c r="U956" i="27"/>
  <c r="V956" i="27" s="1"/>
  <c r="W956" i="27" s="1"/>
  <c r="H956" i="27"/>
  <c r="H973" i="27"/>
  <c r="K973" i="27"/>
  <c r="N976" i="27"/>
  <c r="E996" i="27"/>
  <c r="U996" i="27"/>
  <c r="V996" i="27" s="1"/>
  <c r="W996" i="27" s="1"/>
  <c r="H996" i="27"/>
  <c r="N1015" i="27"/>
  <c r="H1023" i="27"/>
  <c r="U1023" i="27"/>
  <c r="V1023" i="27" s="1"/>
  <c r="W1023" i="27" s="1"/>
  <c r="H1037" i="27"/>
  <c r="K1037" i="27"/>
  <c r="U1037" i="27"/>
  <c r="V1037" i="27" s="1"/>
  <c r="W1037" i="27" s="1"/>
  <c r="U1064" i="27"/>
  <c r="V1064" i="27" s="1"/>
  <c r="W1064" i="27" s="1"/>
  <c r="N1064" i="27"/>
  <c r="E1101" i="27"/>
  <c r="N1110" i="27"/>
  <c r="U1192" i="27"/>
  <c r="V1192" i="27" s="1"/>
  <c r="W1192" i="27" s="1"/>
  <c r="E1192" i="27"/>
  <c r="K1192" i="27"/>
  <c r="U1235" i="27"/>
  <c r="V1235" i="27" s="1"/>
  <c r="W1235" i="27" s="1"/>
  <c r="H1235" i="27"/>
  <c r="E1235" i="27"/>
  <c r="K1235" i="27"/>
  <c r="U1279" i="27"/>
  <c r="V1279" i="27" s="1"/>
  <c r="W1279" i="27" s="1"/>
  <c r="H1279" i="27"/>
  <c r="E1279" i="27"/>
  <c r="K1279" i="27"/>
  <c r="N1297" i="27"/>
  <c r="U1359" i="27"/>
  <c r="V1359" i="27" s="1"/>
  <c r="W1359" i="27" s="1"/>
  <c r="K1359" i="27"/>
  <c r="H1359" i="27"/>
  <c r="E1359" i="27"/>
  <c r="U1382" i="27"/>
  <c r="V1382" i="27" s="1"/>
  <c r="W1382" i="27" s="1"/>
  <c r="K1382" i="27"/>
  <c r="E1382" i="27"/>
  <c r="U1395" i="27"/>
  <c r="V1395" i="27" s="1"/>
  <c r="W1395" i="27" s="1"/>
  <c r="E1395" i="27"/>
  <c r="N1395" i="27"/>
  <c r="K1395" i="27"/>
  <c r="N1439" i="27"/>
  <c r="U1443" i="27"/>
  <c r="V1443" i="27" s="1"/>
  <c r="W1443" i="27" s="1"/>
  <c r="K1443" i="27"/>
  <c r="E1443" i="27"/>
  <c r="N1563" i="27"/>
  <c r="N1628" i="27"/>
  <c r="E1642" i="27"/>
  <c r="U1642" i="27"/>
  <c r="V1642" i="27" s="1"/>
  <c r="W1642" i="27" s="1"/>
  <c r="E1712" i="27"/>
  <c r="H1712" i="27"/>
  <c r="H1782" i="27"/>
  <c r="E1782" i="27"/>
  <c r="U1789" i="27"/>
  <c r="V1789" i="27" s="1"/>
  <c r="W1789" i="27" s="1"/>
  <c r="H1789" i="27"/>
  <c r="H1808" i="27"/>
  <c r="U1808" i="27"/>
  <c r="V1808" i="27" s="1"/>
  <c r="W1808" i="27" s="1"/>
  <c r="N1815" i="27"/>
  <c r="U1815" i="27"/>
  <c r="V1815" i="27" s="1"/>
  <c r="W1815" i="27" s="1"/>
  <c r="K1927" i="27"/>
  <c r="U1927" i="27"/>
  <c r="V1927" i="27" s="1"/>
  <c r="W1927" i="27" s="1"/>
  <c r="H1927" i="27"/>
  <c r="H417" i="27"/>
  <c r="H439" i="27"/>
  <c r="E450" i="27"/>
  <c r="H462" i="27"/>
  <c r="H484" i="27"/>
  <c r="K493" i="27"/>
  <c r="H497" i="27"/>
  <c r="E534" i="27"/>
  <c r="K556" i="27"/>
  <c r="E561" i="27"/>
  <c r="E568" i="27"/>
  <c r="K589" i="27"/>
  <c r="E594" i="27"/>
  <c r="E601" i="27"/>
  <c r="H632" i="27"/>
  <c r="K640" i="27"/>
  <c r="E650" i="27"/>
  <c r="K656" i="27"/>
  <c r="H745" i="27"/>
  <c r="H770" i="27"/>
  <c r="E780" i="27"/>
  <c r="K785" i="27"/>
  <c r="H791" i="27"/>
  <c r="E824" i="27"/>
  <c r="E867" i="27"/>
  <c r="E898" i="27"/>
  <c r="K924" i="27"/>
  <c r="H972" i="27"/>
  <c r="E972" i="27"/>
  <c r="H983" i="27"/>
  <c r="H995" i="27"/>
  <c r="U995" i="27"/>
  <c r="V995" i="27" s="1"/>
  <c r="W995" i="27" s="1"/>
  <c r="H999" i="27"/>
  <c r="H1009" i="27"/>
  <c r="K1009" i="27"/>
  <c r="U1009" i="27"/>
  <c r="V1009" i="27" s="1"/>
  <c r="W1009" i="27" s="1"/>
  <c r="K1017" i="27"/>
  <c r="H1142" i="27"/>
  <c r="K1155" i="27"/>
  <c r="H1155" i="27"/>
  <c r="H1165" i="27"/>
  <c r="K1177" i="27"/>
  <c r="U1182" i="27"/>
  <c r="V1182" i="27" s="1"/>
  <c r="W1182" i="27" s="1"/>
  <c r="H1182" i="27"/>
  <c r="U1198" i="27"/>
  <c r="V1198" i="27" s="1"/>
  <c r="W1198" i="27" s="1"/>
  <c r="H1198" i="27"/>
  <c r="E1198" i="27"/>
  <c r="E1215" i="27"/>
  <c r="U1238" i="27"/>
  <c r="V1238" i="27" s="1"/>
  <c r="W1238" i="27" s="1"/>
  <c r="N1238" i="27"/>
  <c r="U1295" i="27"/>
  <c r="V1295" i="27" s="1"/>
  <c r="W1295" i="27" s="1"/>
  <c r="K1295" i="27"/>
  <c r="H1329" i="27"/>
  <c r="E1329" i="27"/>
  <c r="U1342" i="27"/>
  <c r="V1342" i="27" s="1"/>
  <c r="W1342" i="27" s="1"/>
  <c r="K1342" i="27"/>
  <c r="U1376" i="27"/>
  <c r="V1376" i="27" s="1"/>
  <c r="W1376" i="27" s="1"/>
  <c r="K1376" i="27"/>
  <c r="E1376" i="27"/>
  <c r="U1389" i="27"/>
  <c r="V1389" i="27" s="1"/>
  <c r="W1389" i="27" s="1"/>
  <c r="K1389" i="27"/>
  <c r="H1389" i="27"/>
  <c r="E1389" i="27"/>
  <c r="H1417" i="27"/>
  <c r="U1455" i="27"/>
  <c r="V1455" i="27" s="1"/>
  <c r="W1455" i="27" s="1"/>
  <c r="K1455" i="27"/>
  <c r="H1455" i="27"/>
  <c r="E1455" i="27"/>
  <c r="K1478" i="27"/>
  <c r="U1542" i="27"/>
  <c r="V1542" i="27" s="1"/>
  <c r="W1542" i="27" s="1"/>
  <c r="K1542" i="27"/>
  <c r="H1542" i="27"/>
  <c r="E1542" i="27"/>
  <c r="K1562" i="27"/>
  <c r="H1562" i="27"/>
  <c r="U1562" i="27"/>
  <c r="V1562" i="27" s="1"/>
  <c r="W1562" i="27" s="1"/>
  <c r="U1600" i="27"/>
  <c r="V1600" i="27" s="1"/>
  <c r="W1600" i="27" s="1"/>
  <c r="E1600" i="27"/>
  <c r="N1701" i="27"/>
  <c r="E1701" i="27"/>
  <c r="U1701" i="27"/>
  <c r="V1701" i="27" s="1"/>
  <c r="W1701" i="27" s="1"/>
  <c r="K1717" i="27"/>
  <c r="H1752" i="27"/>
  <c r="U1752" i="27"/>
  <c r="V1752" i="27" s="1"/>
  <c r="W1752" i="27" s="1"/>
  <c r="H1769" i="27"/>
  <c r="K1769" i="27"/>
  <c r="N1890" i="27"/>
  <c r="U1890" i="27"/>
  <c r="V1890" i="27" s="1"/>
  <c r="W1890" i="27" s="1"/>
  <c r="H1950" i="27"/>
  <c r="U1950" i="27"/>
  <c r="V1950" i="27" s="1"/>
  <c r="W1950" i="27" s="1"/>
  <c r="U2038" i="27"/>
  <c r="V2038" i="27" s="1"/>
  <c r="W2038" i="27" s="1"/>
  <c r="N2038" i="27"/>
  <c r="H2038" i="27"/>
  <c r="K2044" i="27"/>
  <c r="U2044" i="27"/>
  <c r="V2044" i="27" s="1"/>
  <c r="W2044" i="27" s="1"/>
  <c r="H2050" i="27"/>
  <c r="U2050" i="27"/>
  <c r="V2050" i="27" s="1"/>
  <c r="W2050" i="27" s="1"/>
  <c r="K2104" i="27"/>
  <c r="U2104" i="27"/>
  <c r="V2104" i="27" s="1"/>
  <c r="W2104" i="27" s="1"/>
  <c r="U2117" i="27"/>
  <c r="V2117" i="27" s="1"/>
  <c r="W2117" i="27" s="1"/>
  <c r="H2117" i="27"/>
  <c r="K2128" i="27"/>
  <c r="U2128" i="27"/>
  <c r="V2128" i="27" s="1"/>
  <c r="W2128" i="27" s="1"/>
  <c r="N2128" i="27"/>
  <c r="U2142" i="27"/>
  <c r="V2142" i="27" s="1"/>
  <c r="W2142" i="27" s="1"/>
  <c r="N2142" i="27"/>
  <c r="H2142" i="27"/>
  <c r="E2326" i="27"/>
  <c r="U2326" i="27"/>
  <c r="V2326" i="27" s="1"/>
  <c r="W2326" i="27" s="1"/>
  <c r="K2326" i="27"/>
  <c r="E2609" i="27"/>
  <c r="U2609" i="27"/>
  <c r="V2609" i="27" s="1"/>
  <c r="W2609" i="27" s="1"/>
  <c r="H2609" i="27"/>
  <c r="U2761" i="27"/>
  <c r="V2761" i="27" s="1"/>
  <c r="W2761" i="27" s="1"/>
  <c r="H2761" i="27"/>
  <c r="E2761" i="27"/>
  <c r="N3274" i="27"/>
  <c r="U3274" i="27"/>
  <c r="V3274" i="27" s="1"/>
  <c r="W3274" i="27" s="1"/>
  <c r="E3274" i="27"/>
  <c r="E322" i="27"/>
  <c r="K324" i="27"/>
  <c r="N332" i="27"/>
  <c r="N333" i="27"/>
  <c r="N334" i="27"/>
  <c r="E337" i="27"/>
  <c r="K352" i="27"/>
  <c r="H358" i="27"/>
  <c r="N384" i="27"/>
  <c r="E390" i="27"/>
  <c r="E412" i="27"/>
  <c r="N416" i="27"/>
  <c r="E420" i="27"/>
  <c r="K429" i="27"/>
  <c r="E454" i="27"/>
  <c r="E457" i="27"/>
  <c r="N461" i="27"/>
  <c r="E465" i="27"/>
  <c r="E467" i="27"/>
  <c r="K474" i="27"/>
  <c r="E490" i="27"/>
  <c r="E498" i="27"/>
  <c r="N508" i="27"/>
  <c r="N516" i="27"/>
  <c r="H534" i="27"/>
  <c r="N536" i="27"/>
  <c r="N545" i="27"/>
  <c r="N546" i="27"/>
  <c r="N547" i="27"/>
  <c r="N551" i="27"/>
  <c r="H568" i="27"/>
  <c r="N570" i="27"/>
  <c r="N578" i="27"/>
  <c r="N579" i="27"/>
  <c r="N580" i="27"/>
  <c r="N583" i="27"/>
  <c r="H601" i="27"/>
  <c r="N603" i="27"/>
  <c r="N611" i="27"/>
  <c r="N612" i="27"/>
  <c r="N615" i="27"/>
  <c r="N616" i="27"/>
  <c r="N624" i="27"/>
  <c r="N625" i="27"/>
  <c r="N630" i="27"/>
  <c r="H635" i="27"/>
  <c r="U640" i="27"/>
  <c r="V640" i="27" s="1"/>
  <c r="W640" i="27" s="1"/>
  <c r="E643" i="27"/>
  <c r="H648" i="27"/>
  <c r="U656" i="27"/>
  <c r="V656" i="27" s="1"/>
  <c r="W656" i="27" s="1"/>
  <c r="H658" i="27"/>
  <c r="N662" i="27"/>
  <c r="H668" i="27"/>
  <c r="N676" i="27"/>
  <c r="K680" i="27"/>
  <c r="N690" i="27"/>
  <c r="U693" i="27"/>
  <c r="V693" i="27" s="1"/>
  <c r="W693" i="27" s="1"/>
  <c r="H696" i="27"/>
  <c r="U706" i="27"/>
  <c r="V706" i="27" s="1"/>
  <c r="W706" i="27" s="1"/>
  <c r="N713" i="27"/>
  <c r="U734" i="27"/>
  <c r="V734" i="27" s="1"/>
  <c r="W734" i="27" s="1"/>
  <c r="H748" i="27"/>
  <c r="E753" i="27"/>
  <c r="H755" i="27"/>
  <c r="E764" i="27"/>
  <c r="N769" i="27"/>
  <c r="U770" i="27"/>
  <c r="V770" i="27" s="1"/>
  <c r="W770" i="27" s="1"/>
  <c r="K772" i="27"/>
  <c r="H773" i="27"/>
  <c r="N783" i="27"/>
  <c r="E786" i="27"/>
  <c r="N788" i="27"/>
  <c r="N789" i="27"/>
  <c r="U791" i="27"/>
  <c r="V791" i="27" s="1"/>
  <c r="W791" i="27" s="1"/>
  <c r="H808" i="27"/>
  <c r="K808" i="27"/>
  <c r="U808" i="27"/>
  <c r="V808" i="27" s="1"/>
  <c r="W808" i="27" s="1"/>
  <c r="N821" i="27"/>
  <c r="E832" i="27"/>
  <c r="K834" i="27"/>
  <c r="U838" i="27"/>
  <c r="V838" i="27" s="1"/>
  <c r="W838" i="27" s="1"/>
  <c r="U848" i="27"/>
  <c r="V848" i="27" s="1"/>
  <c r="W848" i="27" s="1"/>
  <c r="U856" i="27"/>
  <c r="V856" i="27" s="1"/>
  <c r="W856" i="27" s="1"/>
  <c r="K856" i="27"/>
  <c r="E866" i="27"/>
  <c r="H876" i="27"/>
  <c r="U876" i="27"/>
  <c r="V876" i="27" s="1"/>
  <c r="W876" i="27" s="1"/>
  <c r="N883" i="27"/>
  <c r="K885" i="27"/>
  <c r="K896" i="27"/>
  <c r="K908" i="27"/>
  <c r="U908" i="27"/>
  <c r="V908" i="27" s="1"/>
  <c r="W908" i="27" s="1"/>
  <c r="N923" i="27"/>
  <c r="U924" i="27"/>
  <c r="V924" i="27" s="1"/>
  <c r="W924" i="27" s="1"/>
  <c r="E932" i="27"/>
  <c r="H964" i="27"/>
  <c r="N971" i="27"/>
  <c r="U972" i="27"/>
  <c r="V972" i="27" s="1"/>
  <c r="W972" i="27" s="1"/>
  <c r="H979" i="27"/>
  <c r="U979" i="27"/>
  <c r="V979" i="27" s="1"/>
  <c r="W979" i="27" s="1"/>
  <c r="U983" i="27"/>
  <c r="V983" i="27" s="1"/>
  <c r="W983" i="27" s="1"/>
  <c r="U991" i="27"/>
  <c r="V991" i="27" s="1"/>
  <c r="W991" i="27" s="1"/>
  <c r="N998" i="27"/>
  <c r="U999" i="27"/>
  <c r="V999" i="27" s="1"/>
  <c r="W999" i="27" s="1"/>
  <c r="K1001" i="27"/>
  <c r="N1005" i="27"/>
  <c r="H1029" i="27"/>
  <c r="U1029" i="27"/>
  <c r="V1029" i="27" s="1"/>
  <c r="W1029" i="27" s="1"/>
  <c r="N1044" i="27"/>
  <c r="H1046" i="27"/>
  <c r="K1046" i="27"/>
  <c r="N1049" i="27"/>
  <c r="H1076" i="27"/>
  <c r="N1077" i="27"/>
  <c r="U1078" i="27"/>
  <c r="V1078" i="27" s="1"/>
  <c r="W1078" i="27" s="1"/>
  <c r="K1080" i="27"/>
  <c r="H1104" i="27"/>
  <c r="H1109" i="27"/>
  <c r="U1109" i="27"/>
  <c r="V1109" i="27" s="1"/>
  <c r="W1109" i="27" s="1"/>
  <c r="U1116" i="27"/>
  <c r="V1116" i="27" s="1"/>
  <c r="W1116" i="27" s="1"/>
  <c r="H1116" i="27"/>
  <c r="N1123" i="27"/>
  <c r="U1126" i="27"/>
  <c r="V1126" i="27" s="1"/>
  <c r="W1126" i="27" s="1"/>
  <c r="N1129" i="27"/>
  <c r="K1141" i="27"/>
  <c r="U1149" i="27"/>
  <c r="V1149" i="27" s="1"/>
  <c r="W1149" i="27" s="1"/>
  <c r="H1153" i="27"/>
  <c r="U1155" i="27"/>
  <c r="V1155" i="27" s="1"/>
  <c r="W1155" i="27" s="1"/>
  <c r="H1184" i="27"/>
  <c r="U1190" i="27"/>
  <c r="V1190" i="27" s="1"/>
  <c r="W1190" i="27" s="1"/>
  <c r="E1190" i="27"/>
  <c r="N1208" i="27"/>
  <c r="U1214" i="27"/>
  <c r="V1214" i="27" s="1"/>
  <c r="W1214" i="27" s="1"/>
  <c r="K1214" i="27"/>
  <c r="H1214" i="27"/>
  <c r="E1238" i="27"/>
  <c r="H1251" i="27"/>
  <c r="U1268" i="27"/>
  <c r="V1268" i="27" s="1"/>
  <c r="W1268" i="27" s="1"/>
  <c r="N1268" i="27"/>
  <c r="E1280" i="27"/>
  <c r="N1292" i="27"/>
  <c r="E1317" i="27"/>
  <c r="U1328" i="27"/>
  <c r="V1328" i="27" s="1"/>
  <c r="W1328" i="27" s="1"/>
  <c r="N1328" i="27"/>
  <c r="K1358" i="27"/>
  <c r="E1362" i="27"/>
  <c r="U1368" i="27"/>
  <c r="V1368" i="27" s="1"/>
  <c r="W1368" i="27" s="1"/>
  <c r="K1368" i="27"/>
  <c r="E1368" i="27"/>
  <c r="U1375" i="27"/>
  <c r="V1375" i="27" s="1"/>
  <c r="W1375" i="27" s="1"/>
  <c r="K1375" i="27"/>
  <c r="H1375" i="27"/>
  <c r="K1442" i="27"/>
  <c r="E1442" i="27"/>
  <c r="N1541" i="27"/>
  <c r="E1543" i="27"/>
  <c r="U1565" i="27"/>
  <c r="V1565" i="27" s="1"/>
  <c r="W1565" i="27" s="1"/>
  <c r="K1565" i="27"/>
  <c r="E1565" i="27"/>
  <c r="H1619" i="27"/>
  <c r="U1619" i="27"/>
  <c r="V1619" i="27" s="1"/>
  <c r="W1619" i="27" s="1"/>
  <c r="E1628" i="27"/>
  <c r="U1731" i="27"/>
  <c r="V1731" i="27" s="1"/>
  <c r="W1731" i="27" s="1"/>
  <c r="K1731" i="27"/>
  <c r="U1736" i="27"/>
  <c r="V1736" i="27" s="1"/>
  <c r="W1736" i="27" s="1"/>
  <c r="U1769" i="27"/>
  <c r="V1769" i="27" s="1"/>
  <c r="W1769" i="27" s="1"/>
  <c r="K1777" i="27"/>
  <c r="U1777" i="27"/>
  <c r="V1777" i="27" s="1"/>
  <c r="W1777" i="27" s="1"/>
  <c r="H1795" i="27"/>
  <c r="U1795" i="27"/>
  <c r="V1795" i="27" s="1"/>
  <c r="W1795" i="27" s="1"/>
  <c r="K1798" i="27"/>
  <c r="U1829" i="27"/>
  <c r="V1829" i="27" s="1"/>
  <c r="W1829" i="27" s="1"/>
  <c r="U1869" i="27"/>
  <c r="V1869" i="27" s="1"/>
  <c r="W1869" i="27" s="1"/>
  <c r="N1945" i="27"/>
  <c r="H2022" i="27"/>
  <c r="N2022" i="27"/>
  <c r="N2025" i="27"/>
  <c r="N2057" i="27"/>
  <c r="H2057" i="27"/>
  <c r="U2057" i="27"/>
  <c r="V2057" i="27" s="1"/>
  <c r="W2057" i="27" s="1"/>
  <c r="H2099" i="27"/>
  <c r="U2099" i="27"/>
  <c r="V2099" i="27" s="1"/>
  <c r="W2099" i="27" s="1"/>
  <c r="E480" i="27"/>
  <c r="E491" i="27"/>
  <c r="H498" i="27"/>
  <c r="E502" i="27"/>
  <c r="E513" i="27"/>
  <c r="K522" i="27"/>
  <c r="H529" i="27"/>
  <c r="E545" i="27"/>
  <c r="E556" i="27"/>
  <c r="K558" i="27"/>
  <c r="H563" i="27"/>
  <c r="E578" i="27"/>
  <c r="E583" i="27"/>
  <c r="E589" i="27"/>
  <c r="K591" i="27"/>
  <c r="H596" i="27"/>
  <c r="K624" i="27"/>
  <c r="E640" i="27"/>
  <c r="E656" i="27"/>
  <c r="K658" i="27"/>
  <c r="E676" i="27"/>
  <c r="K703" i="27"/>
  <c r="E707" i="27"/>
  <c r="H710" i="27"/>
  <c r="H722" i="27"/>
  <c r="K769" i="27"/>
  <c r="E778" i="27"/>
  <c r="E785" i="27"/>
  <c r="H788" i="27"/>
  <c r="E792" i="27"/>
  <c r="E800" i="27"/>
  <c r="E818" i="27"/>
  <c r="K820" i="27"/>
  <c r="H842" i="27"/>
  <c r="K842" i="27"/>
  <c r="E886" i="27"/>
  <c r="E893" i="27"/>
  <c r="E931" i="27"/>
  <c r="H971" i="27"/>
  <c r="K971" i="27"/>
  <c r="H975" i="27"/>
  <c r="U975" i="27"/>
  <c r="V975" i="27" s="1"/>
  <c r="W975" i="27" s="1"/>
  <c r="E980" i="27"/>
  <c r="E981" i="27"/>
  <c r="H987" i="27"/>
  <c r="U987" i="27"/>
  <c r="V987" i="27" s="1"/>
  <c r="W987" i="27" s="1"/>
  <c r="E1003" i="27"/>
  <c r="H1005" i="27"/>
  <c r="K1005" i="27"/>
  <c r="H1012" i="27"/>
  <c r="K1054" i="27"/>
  <c r="H1077" i="27"/>
  <c r="E1077" i="27"/>
  <c r="H1082" i="27"/>
  <c r="K1084" i="27"/>
  <c r="H1088" i="27"/>
  <c r="E1117" i="27"/>
  <c r="H1119" i="27"/>
  <c r="H1131" i="27"/>
  <c r="E1152" i="27"/>
  <c r="H1166" i="27"/>
  <c r="U1208" i="27"/>
  <c r="V1208" i="27" s="1"/>
  <c r="W1208" i="27" s="1"/>
  <c r="K1208" i="27"/>
  <c r="E1208" i="27"/>
  <c r="H1225" i="27"/>
  <c r="E1225" i="27"/>
  <c r="E1267" i="27"/>
  <c r="E1295" i="27"/>
  <c r="U1311" i="27"/>
  <c r="V1311" i="27" s="1"/>
  <c r="W1311" i="27" s="1"/>
  <c r="N1311" i="27"/>
  <c r="E1323" i="27"/>
  <c r="N1367" i="27"/>
  <c r="U1392" i="27"/>
  <c r="V1392" i="27" s="1"/>
  <c r="W1392" i="27" s="1"/>
  <c r="N1392" i="27"/>
  <c r="K1670" i="27"/>
  <c r="H1670" i="27"/>
  <c r="U1670" i="27"/>
  <c r="V1670" i="27" s="1"/>
  <c r="W1670" i="27" s="1"/>
  <c r="H1693" i="27"/>
  <c r="E1693" i="27"/>
  <c r="U1743" i="27"/>
  <c r="V1743" i="27" s="1"/>
  <c r="W1743" i="27" s="1"/>
  <c r="H1743" i="27"/>
  <c r="N1807" i="27"/>
  <c r="E1807" i="27"/>
  <c r="U1807" i="27"/>
  <c r="V1807" i="27" s="1"/>
  <c r="W1807" i="27" s="1"/>
  <c r="N1861" i="27"/>
  <c r="U1861" i="27"/>
  <c r="V1861" i="27" s="1"/>
  <c r="W1861" i="27" s="1"/>
  <c r="U1907" i="27"/>
  <c r="V1907" i="27" s="1"/>
  <c r="W1907" i="27" s="1"/>
  <c r="H1907" i="27"/>
  <c r="N1931" i="27"/>
  <c r="U1945" i="27"/>
  <c r="V1945" i="27" s="1"/>
  <c r="W1945" i="27" s="1"/>
  <c r="H1945" i="27"/>
  <c r="H2025" i="27"/>
  <c r="U2025" i="27"/>
  <c r="V2025" i="27" s="1"/>
  <c r="W2025" i="27" s="1"/>
  <c r="U2046" i="27"/>
  <c r="V2046" i="27" s="1"/>
  <c r="W2046" i="27" s="1"/>
  <c r="H2046" i="27"/>
  <c r="E2072" i="27"/>
  <c r="N2073" i="27"/>
  <c r="N2077" i="27"/>
  <c r="E323" i="27"/>
  <c r="E338" i="27"/>
  <c r="N348" i="27"/>
  <c r="N349" i="27"/>
  <c r="N350" i="27"/>
  <c r="E386" i="27"/>
  <c r="N398" i="27"/>
  <c r="E421" i="27"/>
  <c r="N431" i="27"/>
  <c r="H433" i="27"/>
  <c r="N439" i="27"/>
  <c r="E466" i="27"/>
  <c r="N476" i="27"/>
  <c r="H478" i="27"/>
  <c r="N484" i="27"/>
  <c r="E493" i="27"/>
  <c r="H500" i="27"/>
  <c r="H513" i="27"/>
  <c r="N614" i="27"/>
  <c r="U624" i="27"/>
  <c r="V624" i="27" s="1"/>
  <c r="W624" i="27" s="1"/>
  <c r="E629" i="27"/>
  <c r="H636" i="27"/>
  <c r="H642" i="27"/>
  <c r="H651" i="27"/>
  <c r="N658" i="27"/>
  <c r="N673" i="27"/>
  <c r="H680" i="27"/>
  <c r="K687" i="27"/>
  <c r="H694" i="27"/>
  <c r="N695" i="27"/>
  <c r="N712" i="27"/>
  <c r="N715" i="27"/>
  <c r="H729" i="27"/>
  <c r="H732" i="27"/>
  <c r="H749" i="27"/>
  <c r="E770" i="27"/>
  <c r="N773" i="27"/>
  <c r="N775" i="27"/>
  <c r="H776" i="27"/>
  <c r="N782" i="27"/>
  <c r="E784" i="27"/>
  <c r="K786" i="27"/>
  <c r="U788" i="27"/>
  <c r="V788" i="27" s="1"/>
  <c r="W788" i="27" s="1"/>
  <c r="H807" i="27"/>
  <c r="H816" i="27"/>
  <c r="K816" i="27"/>
  <c r="E822" i="27"/>
  <c r="H826" i="27"/>
  <c r="K826" i="27"/>
  <c r="U826" i="27"/>
  <c r="V826" i="27" s="1"/>
  <c r="W826" i="27" s="1"/>
  <c r="N841" i="27"/>
  <c r="U842" i="27"/>
  <c r="V842" i="27" s="1"/>
  <c r="W842" i="27" s="1"/>
  <c r="K846" i="27"/>
  <c r="E848" i="27"/>
  <c r="E857" i="27"/>
  <c r="N867" i="27"/>
  <c r="H900" i="27"/>
  <c r="U900" i="27"/>
  <c r="V900" i="27" s="1"/>
  <c r="W900" i="27" s="1"/>
  <c r="K903" i="27"/>
  <c r="H903" i="27"/>
  <c r="E903" i="27"/>
  <c r="H919" i="27"/>
  <c r="H922" i="27"/>
  <c r="H934" i="27"/>
  <c r="U934" i="27"/>
  <c r="V934" i="27" s="1"/>
  <c r="W934" i="27" s="1"/>
  <c r="H937" i="27"/>
  <c r="U938" i="27"/>
  <c r="V938" i="27" s="1"/>
  <c r="W938" i="27" s="1"/>
  <c r="U944" i="27"/>
  <c r="V944" i="27" s="1"/>
  <c r="W944" i="27" s="1"/>
  <c r="E950" i="27"/>
  <c r="N958" i="27"/>
  <c r="H959" i="27"/>
  <c r="U971" i="27"/>
  <c r="V971" i="27" s="1"/>
  <c r="W971" i="27" s="1"/>
  <c r="N977" i="27"/>
  <c r="U1005" i="27"/>
  <c r="V1005" i="27" s="1"/>
  <c r="W1005" i="27" s="1"/>
  <c r="E1009" i="27"/>
  <c r="K1011" i="27"/>
  <c r="K1015" i="27"/>
  <c r="E1028" i="27"/>
  <c r="U1044" i="27"/>
  <c r="V1044" i="27" s="1"/>
  <c r="W1044" i="27" s="1"/>
  <c r="E1050" i="27"/>
  <c r="N1057" i="27"/>
  <c r="E1069" i="27"/>
  <c r="U1069" i="27"/>
  <c r="V1069" i="27" s="1"/>
  <c r="W1069" i="27" s="1"/>
  <c r="N1076" i="27"/>
  <c r="U1077" i="27"/>
  <c r="V1077" i="27" s="1"/>
  <c r="W1077" i="27" s="1"/>
  <c r="K1088" i="27"/>
  <c r="K1108" i="27"/>
  <c r="U1108" i="27"/>
  <c r="V1108" i="27" s="1"/>
  <c r="W1108" i="27" s="1"/>
  <c r="E1125" i="27"/>
  <c r="U1148" i="27"/>
  <c r="V1148" i="27" s="1"/>
  <c r="W1148" i="27" s="1"/>
  <c r="H1148" i="27"/>
  <c r="N1153" i="27"/>
  <c r="E1173" i="27"/>
  <c r="N1175" i="27"/>
  <c r="K1175" i="27"/>
  <c r="E1182" i="27"/>
  <c r="N1184" i="27"/>
  <c r="U1185" i="27"/>
  <c r="V1185" i="27" s="1"/>
  <c r="W1185" i="27" s="1"/>
  <c r="K1185" i="27"/>
  <c r="E1185" i="27"/>
  <c r="N1205" i="27"/>
  <c r="H1205" i="27"/>
  <c r="H1238" i="27"/>
  <c r="U1253" i="27"/>
  <c r="V1253" i="27" s="1"/>
  <c r="W1253" i="27" s="1"/>
  <c r="K1253" i="27"/>
  <c r="E1262" i="27"/>
  <c r="E1270" i="27"/>
  <c r="N1283" i="27"/>
  <c r="N1335" i="27"/>
  <c r="H1348" i="27"/>
  <c r="U1384" i="27"/>
  <c r="V1384" i="27" s="1"/>
  <c r="W1384" i="27" s="1"/>
  <c r="E1384" i="27"/>
  <c r="E1391" i="27"/>
  <c r="N1424" i="27"/>
  <c r="N1465" i="27"/>
  <c r="K1488" i="27"/>
  <c r="H1488" i="27"/>
  <c r="U1497" i="27"/>
  <c r="V1497" i="27" s="1"/>
  <c r="W1497" i="27" s="1"/>
  <c r="E1509" i="27"/>
  <c r="K1509" i="27"/>
  <c r="H1513" i="27"/>
  <c r="U1513" i="27"/>
  <c r="V1513" i="27" s="1"/>
  <c r="W1513" i="27" s="1"/>
  <c r="N1526" i="27"/>
  <c r="N1547" i="27"/>
  <c r="K1554" i="27"/>
  <c r="K1556" i="27"/>
  <c r="H1556" i="27"/>
  <c r="U1556" i="27"/>
  <c r="V1556" i="27" s="1"/>
  <c r="W1556" i="27" s="1"/>
  <c r="H1596" i="27"/>
  <c r="U1596" i="27"/>
  <c r="V1596" i="27" s="1"/>
  <c r="W1596" i="27" s="1"/>
  <c r="N1622" i="27"/>
  <c r="E1627" i="27"/>
  <c r="U1776" i="27"/>
  <c r="V1776" i="27" s="1"/>
  <c r="W1776" i="27" s="1"/>
  <c r="E1776" i="27"/>
  <c r="H1787" i="27"/>
  <c r="U1787" i="27"/>
  <c r="V1787" i="27" s="1"/>
  <c r="W1787" i="27" s="1"/>
  <c r="K1787" i="27"/>
  <c r="E1815" i="27"/>
  <c r="N1849" i="27"/>
  <c r="U1849" i="27"/>
  <c r="V1849" i="27" s="1"/>
  <c r="W1849" i="27" s="1"/>
  <c r="H1849" i="27"/>
  <c r="H1893" i="27"/>
  <c r="U1893" i="27"/>
  <c r="V1893" i="27" s="1"/>
  <c r="W1893" i="27" s="1"/>
  <c r="U1931" i="27"/>
  <c r="V1931" i="27" s="1"/>
  <c r="W1931" i="27" s="1"/>
  <c r="H1931" i="27"/>
  <c r="N1939" i="27"/>
  <c r="U2073" i="27"/>
  <c r="V2073" i="27" s="1"/>
  <c r="W2073" i="27" s="1"/>
  <c r="H2073" i="27"/>
  <c r="H2077" i="27"/>
  <c r="U2077" i="27"/>
  <c r="V2077" i="27" s="1"/>
  <c r="W2077" i="27" s="1"/>
  <c r="K794" i="27"/>
  <c r="N803" i="27"/>
  <c r="N805" i="27"/>
  <c r="K811" i="27"/>
  <c r="E816" i="27"/>
  <c r="H835" i="27"/>
  <c r="E840" i="27"/>
  <c r="E842" i="27"/>
  <c r="E854" i="27"/>
  <c r="N876" i="27"/>
  <c r="E878" i="27"/>
  <c r="H882" i="27"/>
  <c r="K886" i="27"/>
  <c r="N888" i="27"/>
  <c r="N891" i="27"/>
  <c r="N893" i="27"/>
  <c r="N894" i="27"/>
  <c r="E896" i="27"/>
  <c r="E902" i="27"/>
  <c r="N921" i="27"/>
  <c r="E924" i="27"/>
  <c r="E925" i="27"/>
  <c r="K934" i="27"/>
  <c r="N935" i="27"/>
  <c r="H945" i="27"/>
  <c r="H955" i="27"/>
  <c r="E959" i="27"/>
  <c r="H963" i="27"/>
  <c r="H969" i="27"/>
  <c r="E971" i="27"/>
  <c r="E973" i="27"/>
  <c r="E977" i="27"/>
  <c r="N982" i="27"/>
  <c r="N989" i="27"/>
  <c r="N996" i="27"/>
  <c r="H997" i="27"/>
  <c r="E999" i="27"/>
  <c r="N1020" i="27"/>
  <c r="K1025" i="27"/>
  <c r="N1029" i="27"/>
  <c r="H1035" i="27"/>
  <c r="K1040" i="27"/>
  <c r="N1041" i="27"/>
  <c r="H1042" i="27"/>
  <c r="E1046" i="27"/>
  <c r="H1048" i="27"/>
  <c r="H1050" i="27"/>
  <c r="H1051" i="27"/>
  <c r="N1055" i="27"/>
  <c r="H1058" i="27"/>
  <c r="K1066" i="27"/>
  <c r="N1069" i="27"/>
  <c r="H1072" i="27"/>
  <c r="E1076" i="27"/>
  <c r="N1080" i="27"/>
  <c r="E1082" i="27"/>
  <c r="H1086" i="27"/>
  <c r="E1090" i="27"/>
  <c r="H1091" i="27"/>
  <c r="N1095" i="27"/>
  <c r="N1102" i="27"/>
  <c r="E1104" i="27"/>
  <c r="K1113" i="27"/>
  <c r="H1117" i="27"/>
  <c r="E1119" i="27"/>
  <c r="H1125" i="27"/>
  <c r="H1127" i="27"/>
  <c r="E1131" i="27"/>
  <c r="H1145" i="27"/>
  <c r="N1146" i="27"/>
  <c r="E1149" i="27"/>
  <c r="E1151" i="27"/>
  <c r="E1153" i="27"/>
  <c r="N1165" i="27"/>
  <c r="N1166" i="27"/>
  <c r="E1167" i="27"/>
  <c r="H1176" i="27"/>
  <c r="N1190" i="27"/>
  <c r="N1191" i="27"/>
  <c r="E1194" i="27"/>
  <c r="N1198" i="27"/>
  <c r="K1201" i="27"/>
  <c r="H1206" i="27"/>
  <c r="E1211" i="27"/>
  <c r="H1216" i="27"/>
  <c r="H1217" i="27"/>
  <c r="K1221" i="27"/>
  <c r="K1222" i="27"/>
  <c r="N1235" i="27"/>
  <c r="K1236" i="27"/>
  <c r="K1237" i="27"/>
  <c r="H1269" i="27"/>
  <c r="K1272" i="27"/>
  <c r="N1279" i="27"/>
  <c r="K1301" i="27"/>
  <c r="K1303" i="27"/>
  <c r="H1304" i="27"/>
  <c r="H1328" i="27"/>
  <c r="H1336" i="27"/>
  <c r="N1360" i="27"/>
  <c r="H1379" i="27"/>
  <c r="N1384" i="27"/>
  <c r="H1392" i="27"/>
  <c r="N1394" i="27"/>
  <c r="K1399" i="27"/>
  <c r="K1400" i="27"/>
  <c r="N1409" i="27"/>
  <c r="K1416" i="27"/>
  <c r="N1418" i="27"/>
  <c r="N1426" i="27"/>
  <c r="K1429" i="27"/>
  <c r="N1432" i="27"/>
  <c r="E1457" i="27"/>
  <c r="N1471" i="27"/>
  <c r="H1472" i="27"/>
  <c r="E1479" i="27"/>
  <c r="N1482" i="27"/>
  <c r="N1496" i="27"/>
  <c r="K1496" i="27"/>
  <c r="H1496" i="27"/>
  <c r="E1498" i="27"/>
  <c r="K1512" i="27"/>
  <c r="N1540" i="27"/>
  <c r="N1550" i="27"/>
  <c r="K1551" i="27"/>
  <c r="U1590" i="27"/>
  <c r="V1590" i="27" s="1"/>
  <c r="W1590" i="27" s="1"/>
  <c r="K1590" i="27"/>
  <c r="H1590" i="27"/>
  <c r="H1604" i="27"/>
  <c r="K1626" i="27"/>
  <c r="H1626" i="27"/>
  <c r="E1647" i="27"/>
  <c r="U1647" i="27"/>
  <c r="V1647" i="27" s="1"/>
  <c r="W1647" i="27" s="1"/>
  <c r="K1666" i="27"/>
  <c r="E1666" i="27"/>
  <c r="K1669" i="27"/>
  <c r="N1686" i="27"/>
  <c r="K1710" i="27"/>
  <c r="H1710" i="27"/>
  <c r="U1730" i="27"/>
  <c r="V1730" i="27" s="1"/>
  <c r="W1730" i="27" s="1"/>
  <c r="K1730" i="27"/>
  <c r="H1730" i="27"/>
  <c r="K1751" i="27"/>
  <c r="E1763" i="27"/>
  <c r="K1773" i="27"/>
  <c r="K1781" i="27"/>
  <c r="H1781" i="27"/>
  <c r="U1781" i="27"/>
  <c r="V1781" i="27" s="1"/>
  <c r="W1781" i="27" s="1"/>
  <c r="E1786" i="27"/>
  <c r="N1789" i="27"/>
  <c r="N1827" i="27"/>
  <c r="H1827" i="27"/>
  <c r="N1835" i="27"/>
  <c r="H1835" i="27"/>
  <c r="H1836" i="27"/>
  <c r="U1836" i="27"/>
  <c r="V1836" i="27" s="1"/>
  <c r="W1836" i="27" s="1"/>
  <c r="H1842" i="27"/>
  <c r="N1867" i="27"/>
  <c r="H1867" i="27"/>
  <c r="U1867" i="27"/>
  <c r="V1867" i="27" s="1"/>
  <c r="W1867" i="27" s="1"/>
  <c r="N1878" i="27"/>
  <c r="U1878" i="27"/>
  <c r="V1878" i="27" s="1"/>
  <c r="W1878" i="27" s="1"/>
  <c r="N1907" i="27"/>
  <c r="N1927" i="27"/>
  <c r="H1949" i="27"/>
  <c r="U1949" i="27"/>
  <c r="V1949" i="27" s="1"/>
  <c r="W1949" i="27" s="1"/>
  <c r="N2004" i="27"/>
  <c r="N2014" i="27"/>
  <c r="H2021" i="27"/>
  <c r="U2021" i="27"/>
  <c r="V2021" i="27" s="1"/>
  <c r="W2021" i="27" s="1"/>
  <c r="N2046" i="27"/>
  <c r="N2054" i="27"/>
  <c r="U2054" i="27"/>
  <c r="V2054" i="27" s="1"/>
  <c r="W2054" i="27" s="1"/>
  <c r="H2123" i="27"/>
  <c r="U2123" i="27"/>
  <c r="V2123" i="27" s="1"/>
  <c r="W2123" i="27" s="1"/>
  <c r="E2146" i="27"/>
  <c r="K2365" i="27"/>
  <c r="U2365" i="27"/>
  <c r="V2365" i="27" s="1"/>
  <c r="W2365" i="27" s="1"/>
  <c r="H802" i="27"/>
  <c r="E808" i="27"/>
  <c r="N819" i="27"/>
  <c r="E826" i="27"/>
  <c r="H836" i="27"/>
  <c r="E846" i="27"/>
  <c r="N856" i="27"/>
  <c r="N857" i="27"/>
  <c r="H858" i="27"/>
  <c r="H864" i="27"/>
  <c r="N870" i="27"/>
  <c r="H871" i="27"/>
  <c r="N873" i="27"/>
  <c r="K878" i="27"/>
  <c r="E882" i="27"/>
  <c r="E908" i="27"/>
  <c r="E910" i="27"/>
  <c r="H920" i="27"/>
  <c r="E922" i="27"/>
  <c r="E936" i="27"/>
  <c r="H946" i="27"/>
  <c r="H948" i="27"/>
  <c r="N951" i="27"/>
  <c r="H952" i="27"/>
  <c r="E956" i="27"/>
  <c r="K959" i="27"/>
  <c r="N960" i="27"/>
  <c r="E965" i="27"/>
  <c r="N980" i="27"/>
  <c r="N981" i="27"/>
  <c r="E983" i="27"/>
  <c r="H993" i="27"/>
  <c r="K999" i="27"/>
  <c r="H1007" i="27"/>
  <c r="H1010" i="27"/>
  <c r="H1019" i="27"/>
  <c r="H1021" i="27"/>
  <c r="E1023" i="27"/>
  <c r="H1027" i="27"/>
  <c r="H1033" i="27"/>
  <c r="E1037" i="27"/>
  <c r="E1064" i="27"/>
  <c r="H1078" i="27"/>
  <c r="K1090" i="27"/>
  <c r="K1104" i="27"/>
  <c r="H1108" i="27"/>
  <c r="E1110" i="27"/>
  <c r="H1115" i="27"/>
  <c r="H1123" i="27"/>
  <c r="K1131" i="27"/>
  <c r="H1137" i="27"/>
  <c r="H1152" i="27"/>
  <c r="E1171" i="27"/>
  <c r="E1178" i="27"/>
  <c r="H1185" i="27"/>
  <c r="E1189" i="27"/>
  <c r="H1208" i="27"/>
  <c r="H1283" i="27"/>
  <c r="H1296" i="27"/>
  <c r="H1368" i="27"/>
  <c r="H1376" i="27"/>
  <c r="K1450" i="27"/>
  <c r="U1477" i="27"/>
  <c r="V1477" i="27" s="1"/>
  <c r="W1477" i="27" s="1"/>
  <c r="E1477" i="27"/>
  <c r="U1485" i="27"/>
  <c r="V1485" i="27" s="1"/>
  <c r="W1485" i="27" s="1"/>
  <c r="H1485" i="27"/>
  <c r="H1495" i="27"/>
  <c r="K1495" i="27"/>
  <c r="U1500" i="27"/>
  <c r="V1500" i="27" s="1"/>
  <c r="W1500" i="27" s="1"/>
  <c r="K1500" i="27"/>
  <c r="H1509" i="27"/>
  <c r="E1513" i="27"/>
  <c r="E1555" i="27"/>
  <c r="E1563" i="27"/>
  <c r="H1565" i="27"/>
  <c r="H1587" i="27"/>
  <c r="U1587" i="27"/>
  <c r="V1587" i="27" s="1"/>
  <c r="W1587" i="27" s="1"/>
  <c r="H1624" i="27"/>
  <c r="K1624" i="27"/>
  <c r="H1625" i="27"/>
  <c r="K1625" i="27"/>
  <c r="N1654" i="27"/>
  <c r="H1725" i="27"/>
  <c r="E1725" i="27"/>
  <c r="U1725" i="27"/>
  <c r="V1725" i="27" s="1"/>
  <c r="W1725" i="27" s="1"/>
  <c r="N1729" i="27"/>
  <c r="E1729" i="27"/>
  <c r="K1750" i="27"/>
  <c r="E1795" i="27"/>
  <c r="K1802" i="27"/>
  <c r="H1806" i="27"/>
  <c r="K1806" i="27"/>
  <c r="N1819" i="27"/>
  <c r="H1819" i="27"/>
  <c r="U1819" i="27"/>
  <c r="V1819" i="27" s="1"/>
  <c r="W1819" i="27" s="1"/>
  <c r="E1829" i="27"/>
  <c r="N1847" i="27"/>
  <c r="H1847" i="27"/>
  <c r="U1847" i="27"/>
  <c r="V1847" i="27" s="1"/>
  <c r="W1847" i="27" s="1"/>
  <c r="E1861" i="27"/>
  <c r="N1876" i="27"/>
  <c r="U1876" i="27"/>
  <c r="V1876" i="27" s="1"/>
  <c r="W1876" i="27" s="1"/>
  <c r="H1876" i="27"/>
  <c r="K1980" i="27"/>
  <c r="U1980" i="27"/>
  <c r="V1980" i="27" s="1"/>
  <c r="W1980" i="27" s="1"/>
  <c r="U2010" i="27"/>
  <c r="V2010" i="27" s="1"/>
  <c r="W2010" i="27" s="1"/>
  <c r="H2010" i="27"/>
  <c r="H2031" i="27"/>
  <c r="U2031" i="27"/>
  <c r="V2031" i="27" s="1"/>
  <c r="W2031" i="27" s="1"/>
  <c r="H2040" i="27"/>
  <c r="H2207" i="27"/>
  <c r="U2207" i="27"/>
  <c r="V2207" i="27" s="1"/>
  <c r="W2207" i="27" s="1"/>
  <c r="H2592" i="27"/>
  <c r="U2592" i="27"/>
  <c r="V2592" i="27" s="1"/>
  <c r="W2592" i="27" s="1"/>
  <c r="K2592" i="27"/>
  <c r="H2734" i="27"/>
  <c r="K2734" i="27"/>
  <c r="E2734" i="27"/>
  <c r="U2734" i="27"/>
  <c r="V2734" i="27" s="1"/>
  <c r="W2734" i="27" s="1"/>
  <c r="N3056" i="27"/>
  <c r="U3056" i="27"/>
  <c r="V3056" i="27" s="1"/>
  <c r="W3056" i="27" s="1"/>
  <c r="E987" i="27"/>
  <c r="E988" i="27"/>
  <c r="K991" i="27"/>
  <c r="N992" i="27"/>
  <c r="U993" i="27"/>
  <c r="V993" i="27" s="1"/>
  <c r="W993" i="27" s="1"/>
  <c r="E995" i="27"/>
  <c r="U1007" i="27"/>
  <c r="V1007" i="27" s="1"/>
  <c r="W1007" i="27" s="1"/>
  <c r="N1012" i="27"/>
  <c r="N1013" i="27"/>
  <c r="E1015" i="27"/>
  <c r="U1019" i="27"/>
  <c r="V1019" i="27" s="1"/>
  <c r="W1019" i="27" s="1"/>
  <c r="U1021" i="27"/>
  <c r="V1021" i="27" s="1"/>
  <c r="W1021" i="27" s="1"/>
  <c r="H1025" i="27"/>
  <c r="U1027" i="27"/>
  <c r="V1027" i="27" s="1"/>
  <c r="W1027" i="27" s="1"/>
  <c r="U1028" i="27"/>
  <c r="V1028" i="27" s="1"/>
  <c r="W1028" i="27" s="1"/>
  <c r="K1031" i="27"/>
  <c r="N1032" i="27"/>
  <c r="U1033" i="27"/>
  <c r="V1033" i="27" s="1"/>
  <c r="W1033" i="27" s="1"/>
  <c r="H1040" i="27"/>
  <c r="H1043" i="27"/>
  <c r="H1064" i="27"/>
  <c r="E1068" i="27"/>
  <c r="E1070" i="27"/>
  <c r="E1074" i="27"/>
  <c r="N1079" i="27"/>
  <c r="N1086" i="27"/>
  <c r="E1096" i="27"/>
  <c r="U1101" i="27"/>
  <c r="V1101" i="27" s="1"/>
  <c r="W1101" i="27" s="1"/>
  <c r="H1110" i="27"/>
  <c r="N1118" i="27"/>
  <c r="K1123" i="27"/>
  <c r="N1127" i="27"/>
  <c r="K1137" i="27"/>
  <c r="H1141" i="27"/>
  <c r="E1193" i="27"/>
  <c r="E1200" i="27"/>
  <c r="E1248" i="27"/>
  <c r="H1253" i="27"/>
  <c r="E1290" i="27"/>
  <c r="H1307" i="27"/>
  <c r="H1325" i="27"/>
  <c r="H1326" i="27"/>
  <c r="N1336" i="27"/>
  <c r="E1339" i="27"/>
  <c r="H1342" i="27"/>
  <c r="N1343" i="27"/>
  <c r="N1344" i="27"/>
  <c r="E1355" i="27"/>
  <c r="E1361" i="27"/>
  <c r="H1382" i="27"/>
  <c r="E1385" i="27"/>
  <c r="U1430" i="27"/>
  <c r="V1430" i="27" s="1"/>
  <c r="W1430" i="27" s="1"/>
  <c r="K1430" i="27"/>
  <c r="U1447" i="27"/>
  <c r="V1447" i="27" s="1"/>
  <c r="W1447" i="27" s="1"/>
  <c r="K1447" i="27"/>
  <c r="U1448" i="27"/>
  <c r="V1448" i="27" s="1"/>
  <c r="W1448" i="27" s="1"/>
  <c r="K1448" i="27"/>
  <c r="U1449" i="27"/>
  <c r="V1449" i="27" s="1"/>
  <c r="W1449" i="27" s="1"/>
  <c r="K1449" i="27"/>
  <c r="K1458" i="27"/>
  <c r="H1458" i="27"/>
  <c r="U1459" i="27"/>
  <c r="V1459" i="27" s="1"/>
  <c r="W1459" i="27" s="1"/>
  <c r="K1459" i="27"/>
  <c r="K1494" i="27"/>
  <c r="U1495" i="27"/>
  <c r="V1495" i="27" s="1"/>
  <c r="W1495" i="27" s="1"/>
  <c r="N1498" i="27"/>
  <c r="K1511" i="27"/>
  <c r="E1511" i="27"/>
  <c r="U1511" i="27"/>
  <c r="V1511" i="27" s="1"/>
  <c r="W1511" i="27" s="1"/>
  <c r="N1537" i="27"/>
  <c r="U1538" i="27"/>
  <c r="V1538" i="27" s="1"/>
  <c r="W1538" i="27" s="1"/>
  <c r="U1539" i="27"/>
  <c r="V1539" i="27" s="1"/>
  <c r="W1539" i="27" s="1"/>
  <c r="U1549" i="27"/>
  <c r="V1549" i="27" s="1"/>
  <c r="W1549" i="27" s="1"/>
  <c r="K1549" i="27"/>
  <c r="U1558" i="27"/>
  <c r="V1558" i="27" s="1"/>
  <c r="W1558" i="27" s="1"/>
  <c r="K1558" i="27"/>
  <c r="H1558" i="27"/>
  <c r="N1566" i="27"/>
  <c r="N1569" i="27"/>
  <c r="K1569" i="27"/>
  <c r="H1569" i="27"/>
  <c r="E1575" i="27"/>
  <c r="U1581" i="27"/>
  <c r="V1581" i="27" s="1"/>
  <c r="W1581" i="27" s="1"/>
  <c r="K1581" i="27"/>
  <c r="N1604" i="27"/>
  <c r="H1608" i="27"/>
  <c r="K1608" i="27"/>
  <c r="U1614" i="27"/>
  <c r="V1614" i="27" s="1"/>
  <c r="W1614" i="27" s="1"/>
  <c r="K1614" i="27"/>
  <c r="U1615" i="27"/>
  <c r="V1615" i="27" s="1"/>
  <c r="W1615" i="27" s="1"/>
  <c r="U1624" i="27"/>
  <c r="V1624" i="27" s="1"/>
  <c r="W1624" i="27" s="1"/>
  <c r="U1625" i="27"/>
  <c r="V1625" i="27" s="1"/>
  <c r="W1625" i="27" s="1"/>
  <c r="U1630" i="27"/>
  <c r="V1630" i="27" s="1"/>
  <c r="W1630" i="27" s="1"/>
  <c r="K1630" i="27"/>
  <c r="U1646" i="27"/>
  <c r="V1646" i="27" s="1"/>
  <c r="W1646" i="27" s="1"/>
  <c r="H1646" i="27"/>
  <c r="U1685" i="27"/>
  <c r="V1685" i="27" s="1"/>
  <c r="W1685" i="27" s="1"/>
  <c r="E1685" i="27"/>
  <c r="N1694" i="27"/>
  <c r="U1709" i="27"/>
  <c r="V1709" i="27" s="1"/>
  <c r="W1709" i="27" s="1"/>
  <c r="H1719" i="27"/>
  <c r="N1728" i="27"/>
  <c r="H1751" i="27"/>
  <c r="U1751" i="27"/>
  <c r="V1751" i="27" s="1"/>
  <c r="W1751" i="27" s="1"/>
  <c r="U1806" i="27"/>
  <c r="V1806" i="27" s="1"/>
  <c r="W1806" i="27" s="1"/>
  <c r="U1822" i="27"/>
  <c r="V1822" i="27" s="1"/>
  <c r="W1822" i="27" s="1"/>
  <c r="H1834" i="27"/>
  <c r="U1834" i="27"/>
  <c r="V1834" i="27" s="1"/>
  <c r="W1834" i="27" s="1"/>
  <c r="N1842" i="27"/>
  <c r="N1851" i="27"/>
  <c r="U1851" i="27"/>
  <c r="V1851" i="27" s="1"/>
  <c r="W1851" i="27" s="1"/>
  <c r="H1861" i="27"/>
  <c r="H1866" i="27"/>
  <c r="U1866" i="27"/>
  <c r="V1866" i="27" s="1"/>
  <c r="W1866" i="27" s="1"/>
  <c r="N1923" i="27"/>
  <c r="K1936" i="27"/>
  <c r="E2044" i="27"/>
  <c r="U2067" i="27"/>
  <c r="V2067" i="27" s="1"/>
  <c r="W2067" i="27" s="1"/>
  <c r="H2067" i="27"/>
  <c r="U2187" i="27"/>
  <c r="V2187" i="27" s="1"/>
  <c r="W2187" i="27" s="1"/>
  <c r="H2187" i="27"/>
  <c r="U2227" i="27"/>
  <c r="V2227" i="27" s="1"/>
  <c r="W2227" i="27" s="1"/>
  <c r="K2227" i="27"/>
  <c r="K2653" i="27"/>
  <c r="H2653" i="27"/>
  <c r="U2653" i="27"/>
  <c r="V2653" i="27" s="1"/>
  <c r="W2653" i="27" s="1"/>
  <c r="N793" i="27"/>
  <c r="E796" i="27"/>
  <c r="K801" i="27"/>
  <c r="N810" i="27"/>
  <c r="E820" i="27"/>
  <c r="N833" i="27"/>
  <c r="N840" i="27"/>
  <c r="N842" i="27"/>
  <c r="E844" i="27"/>
  <c r="E851" i="27"/>
  <c r="H854" i="27"/>
  <c r="E876" i="27"/>
  <c r="K882" i="27"/>
  <c r="N885" i="27"/>
  <c r="E894" i="27"/>
  <c r="H904" i="27"/>
  <c r="E914" i="27"/>
  <c r="K919" i="27"/>
  <c r="K922" i="27"/>
  <c r="N924" i="27"/>
  <c r="N925" i="27"/>
  <c r="K936" i="27"/>
  <c r="N939" i="27"/>
  <c r="H940" i="27"/>
  <c r="E946" i="27"/>
  <c r="N950" i="27"/>
  <c r="E952" i="27"/>
  <c r="K955" i="27"/>
  <c r="E961" i="27"/>
  <c r="H962" i="27"/>
  <c r="K963" i="27"/>
  <c r="N966" i="27"/>
  <c r="N973" i="27"/>
  <c r="E975" i="27"/>
  <c r="K983" i="27"/>
  <c r="E989" i="27"/>
  <c r="E1001" i="27"/>
  <c r="H1011" i="27"/>
  <c r="N1016" i="27"/>
  <c r="H1017" i="27"/>
  <c r="E1019" i="27"/>
  <c r="E1020" i="27"/>
  <c r="K1023" i="27"/>
  <c r="N1024" i="27"/>
  <c r="E1027" i="27"/>
  <c r="E1029" i="27"/>
  <c r="N1045" i="27"/>
  <c r="N1046" i="27"/>
  <c r="K1064" i="27"/>
  <c r="N1065" i="27"/>
  <c r="H1068" i="27"/>
  <c r="H1074" i="27"/>
  <c r="H1075" i="27"/>
  <c r="E1088" i="27"/>
  <c r="H1096" i="27"/>
  <c r="E1100" i="27"/>
  <c r="E1102" i="27"/>
  <c r="E1106" i="27"/>
  <c r="N1112" i="27"/>
  <c r="N1119" i="27"/>
  <c r="N1126" i="27"/>
  <c r="E1129" i="27"/>
  <c r="H1143" i="27"/>
  <c r="N1151" i="27"/>
  <c r="N1155" i="27"/>
  <c r="E1160" i="27"/>
  <c r="N1188" i="27"/>
  <c r="H1192" i="27"/>
  <c r="N1204" i="27"/>
  <c r="N1207" i="27"/>
  <c r="N1213" i="27"/>
  <c r="N1214" i="27"/>
  <c r="E1236" i="27"/>
  <c r="H1244" i="27"/>
  <c r="E1245" i="27"/>
  <c r="N1251" i="27"/>
  <c r="E1258" i="27"/>
  <c r="E1259" i="27"/>
  <c r="H1261" i="27"/>
  <c r="E1274" i="27"/>
  <c r="E1300" i="27"/>
  <c r="E1301" i="27"/>
  <c r="E1315" i="27"/>
  <c r="H1319" i="27"/>
  <c r="E1320" i="27"/>
  <c r="E1321" i="27"/>
  <c r="E1331" i="27"/>
  <c r="H1349" i="27"/>
  <c r="N1351" i="27"/>
  <c r="N1352" i="27"/>
  <c r="N1374" i="27"/>
  <c r="N1378" i="27"/>
  <c r="H1395" i="27"/>
  <c r="H1403" i="27"/>
  <c r="E1416" i="27"/>
  <c r="N1422" i="27"/>
  <c r="N1423" i="27"/>
  <c r="H1425" i="27"/>
  <c r="E1450" i="27"/>
  <c r="U1458" i="27"/>
  <c r="V1458" i="27" s="1"/>
  <c r="W1458" i="27" s="1"/>
  <c r="H1479" i="27"/>
  <c r="K1479" i="27"/>
  <c r="U1480" i="27"/>
  <c r="V1480" i="27" s="1"/>
  <c r="W1480" i="27" s="1"/>
  <c r="E1482" i="27"/>
  <c r="E1485" i="27"/>
  <c r="N1488" i="27"/>
  <c r="U1491" i="27"/>
  <c r="V1491" i="27" s="1"/>
  <c r="W1491" i="27" s="1"/>
  <c r="N1514" i="27"/>
  <c r="N1518" i="27"/>
  <c r="N1536" i="27"/>
  <c r="N1565" i="27"/>
  <c r="K1568" i="27"/>
  <c r="K1596" i="27"/>
  <c r="E1625" i="27"/>
  <c r="N1652" i="27"/>
  <c r="K1719" i="27"/>
  <c r="N1727" i="27"/>
  <c r="N1736" i="27"/>
  <c r="U1737" i="27"/>
  <c r="V1737" i="27" s="1"/>
  <c r="W1737" i="27" s="1"/>
  <c r="K1737" i="27"/>
  <c r="H1737" i="27"/>
  <c r="E1737" i="27"/>
  <c r="E1743" i="27"/>
  <c r="H1763" i="27"/>
  <c r="U1763" i="27"/>
  <c r="V1763" i="27" s="1"/>
  <c r="W1763" i="27" s="1"/>
  <c r="N1893" i="27"/>
  <c r="U1923" i="27"/>
  <c r="V1923" i="27" s="1"/>
  <c r="W1923" i="27" s="1"/>
  <c r="H1923" i="27"/>
  <c r="N1950" i="27"/>
  <c r="H1970" i="27"/>
  <c r="N1970" i="27"/>
  <c r="H1983" i="27"/>
  <c r="H2044" i="27"/>
  <c r="K2056" i="27"/>
  <c r="N2056" i="27"/>
  <c r="H2056" i="27"/>
  <c r="U2056" i="27"/>
  <c r="V2056" i="27" s="1"/>
  <c r="W2056" i="27" s="1"/>
  <c r="N2104" i="27"/>
  <c r="U2146" i="27"/>
  <c r="V2146" i="27" s="1"/>
  <c r="W2146" i="27" s="1"/>
  <c r="H2146" i="27"/>
  <c r="K2283" i="27"/>
  <c r="H2901" i="27"/>
  <c r="K2901" i="27"/>
  <c r="N2901" i="27"/>
  <c r="E2901" i="27"/>
  <c r="K1635" i="27"/>
  <c r="H1637" i="27"/>
  <c r="K1643" i="27"/>
  <c r="N1664" i="27"/>
  <c r="N1680" i="27"/>
  <c r="E1686" i="27"/>
  <c r="H1687" i="27"/>
  <c r="K1688" i="27"/>
  <c r="E1694" i="27"/>
  <c r="E1695" i="27"/>
  <c r="N1705" i="27"/>
  <c r="E1710" i="27"/>
  <c r="K1720" i="27"/>
  <c r="H1734" i="27"/>
  <c r="K1734" i="27"/>
  <c r="N1742" i="27"/>
  <c r="U1742" i="27"/>
  <c r="V1742" i="27" s="1"/>
  <c r="W1742" i="27" s="1"/>
  <c r="E1742" i="27"/>
  <c r="K1753" i="27"/>
  <c r="N1755" i="27"/>
  <c r="H1759" i="27"/>
  <c r="E1761" i="27"/>
  <c r="N1763" i="27"/>
  <c r="K1785" i="27"/>
  <c r="E1806" i="27"/>
  <c r="H1809" i="27"/>
  <c r="K1810" i="27"/>
  <c r="N1811" i="27"/>
  <c r="H1811" i="27"/>
  <c r="N1820" i="27"/>
  <c r="N1821" i="27"/>
  <c r="U1821" i="27"/>
  <c r="V1821" i="27" s="1"/>
  <c r="W1821" i="27" s="1"/>
  <c r="E1842" i="27"/>
  <c r="H1843" i="27"/>
  <c r="N1846" i="27"/>
  <c r="E1849" i="27"/>
  <c r="K1858" i="27"/>
  <c r="K1860" i="27"/>
  <c r="N1866" i="27"/>
  <c r="N1873" i="27"/>
  <c r="U1873" i="27"/>
  <c r="V1873" i="27" s="1"/>
  <c r="W1873" i="27" s="1"/>
  <c r="E1880" i="27"/>
  <c r="H1881" i="27"/>
  <c r="K1906" i="27"/>
  <c r="U1906" i="27"/>
  <c r="V1906" i="27" s="1"/>
  <c r="W1906" i="27" s="1"/>
  <c r="H1908" i="27"/>
  <c r="H1924" i="27"/>
  <c r="H1928" i="27"/>
  <c r="H1935" i="27"/>
  <c r="H1937" i="27"/>
  <c r="E1939" i="27"/>
  <c r="N1942" i="27"/>
  <c r="E1947" i="27"/>
  <c r="H1948" i="27"/>
  <c r="N1949" i="27"/>
  <c r="K1968" i="27"/>
  <c r="U1968" i="27"/>
  <c r="V1968" i="27" s="1"/>
  <c r="W1968" i="27" s="1"/>
  <c r="K1979" i="27"/>
  <c r="K1985" i="27"/>
  <c r="H1986" i="27"/>
  <c r="H2007" i="27"/>
  <c r="E2027" i="27"/>
  <c r="H2030" i="27"/>
  <c r="U2037" i="27"/>
  <c r="V2037" i="27" s="1"/>
  <c r="W2037" i="27" s="1"/>
  <c r="N2037" i="27"/>
  <c r="H2047" i="27"/>
  <c r="H2071" i="27"/>
  <c r="U2071" i="27"/>
  <c r="V2071" i="27" s="1"/>
  <c r="W2071" i="27" s="1"/>
  <c r="K2076" i="27"/>
  <c r="E2078" i="27"/>
  <c r="H2087" i="27"/>
  <c r="K2097" i="27"/>
  <c r="N2110" i="27"/>
  <c r="H2110" i="27"/>
  <c r="E2124" i="27"/>
  <c r="E2134" i="27"/>
  <c r="H2140" i="27"/>
  <c r="K2147" i="27"/>
  <c r="K2152" i="27"/>
  <c r="U2152" i="27"/>
  <c r="V2152" i="27" s="1"/>
  <c r="W2152" i="27" s="1"/>
  <c r="N2152" i="27"/>
  <c r="K2155" i="27"/>
  <c r="H2210" i="27"/>
  <c r="U2210" i="27"/>
  <c r="V2210" i="27" s="1"/>
  <c r="W2210" i="27" s="1"/>
  <c r="H2367" i="27"/>
  <c r="K2367" i="27"/>
  <c r="U2367" i="27"/>
  <c r="V2367" i="27" s="1"/>
  <c r="W2367" i="27" s="1"/>
  <c r="K2414" i="27"/>
  <c r="U2414" i="27"/>
  <c r="V2414" i="27" s="1"/>
  <c r="W2414" i="27" s="1"/>
  <c r="K2425" i="27"/>
  <c r="E2425" i="27"/>
  <c r="U2621" i="27"/>
  <c r="V2621" i="27" s="1"/>
  <c r="W2621" i="27" s="1"/>
  <c r="E2621" i="27"/>
  <c r="H2621" i="27"/>
  <c r="E2625" i="27"/>
  <c r="U2625" i="27"/>
  <c r="V2625" i="27" s="1"/>
  <c r="W2625" i="27" s="1"/>
  <c r="H2625" i="27"/>
  <c r="H1432" i="27"/>
  <c r="H1459" i="27"/>
  <c r="N1475" i="27"/>
  <c r="K1483" i="27"/>
  <c r="N1493" i="27"/>
  <c r="E1495" i="27"/>
  <c r="K1499" i="27"/>
  <c r="K1516" i="27"/>
  <c r="N1520" i="27"/>
  <c r="N1522" i="27"/>
  <c r="E1531" i="27"/>
  <c r="E1532" i="27"/>
  <c r="E1540" i="27"/>
  <c r="N1545" i="27"/>
  <c r="E1547" i="27"/>
  <c r="K1580" i="27"/>
  <c r="N1586" i="27"/>
  <c r="K1588" i="27"/>
  <c r="N1613" i="27"/>
  <c r="E1619" i="27"/>
  <c r="E1620" i="27"/>
  <c r="K1639" i="27"/>
  <c r="H1640" i="27"/>
  <c r="E1652" i="27"/>
  <c r="H1661" i="27"/>
  <c r="K1667" i="27"/>
  <c r="E1735" i="27"/>
  <c r="K1757" i="27"/>
  <c r="H1776" i="27"/>
  <c r="H1810" i="27"/>
  <c r="H1815" i="27"/>
  <c r="K1816" i="27"/>
  <c r="N1825" i="27"/>
  <c r="U1825" i="27"/>
  <c r="V1825" i="27" s="1"/>
  <c r="W1825" i="27" s="1"/>
  <c r="H1829" i="27"/>
  <c r="N1831" i="27"/>
  <c r="H1837" i="27"/>
  <c r="N1845" i="27"/>
  <c r="E1867" i="27"/>
  <c r="N1871" i="27"/>
  <c r="H1871" i="27"/>
  <c r="E1876" i="27"/>
  <c r="E1878" i="27"/>
  <c r="H1918" i="27"/>
  <c r="H1979" i="27"/>
  <c r="U1979" i="27"/>
  <c r="V1979" i="27" s="1"/>
  <c r="W1979" i="27" s="1"/>
  <c r="H1985" i="27"/>
  <c r="K1996" i="27"/>
  <c r="U1996" i="27"/>
  <c r="V1996" i="27" s="1"/>
  <c r="W1996" i="27" s="1"/>
  <c r="E2004" i="27"/>
  <c r="K2008" i="27"/>
  <c r="U2008" i="27"/>
  <c r="V2008" i="27" s="1"/>
  <c r="W2008" i="27" s="1"/>
  <c r="H2013" i="27"/>
  <c r="U2013" i="27"/>
  <c r="V2013" i="27" s="1"/>
  <c r="W2013" i="27" s="1"/>
  <c r="E2025" i="27"/>
  <c r="H2029" i="27"/>
  <c r="K2036" i="27"/>
  <c r="U2036" i="27"/>
  <c r="V2036" i="27" s="1"/>
  <c r="W2036" i="27" s="1"/>
  <c r="N2036" i="27"/>
  <c r="E2050" i="27"/>
  <c r="E2077" i="27"/>
  <c r="H2097" i="27"/>
  <c r="U2097" i="27"/>
  <c r="V2097" i="27" s="1"/>
  <c r="W2097" i="27" s="1"/>
  <c r="E2107" i="27"/>
  <c r="N2109" i="27"/>
  <c r="H2109" i="27"/>
  <c r="U2121" i="27"/>
  <c r="V2121" i="27" s="1"/>
  <c r="W2121" i="27" s="1"/>
  <c r="H2121" i="27"/>
  <c r="U2147" i="27"/>
  <c r="V2147" i="27" s="1"/>
  <c r="W2147" i="27" s="1"/>
  <c r="H2147" i="27"/>
  <c r="H2155" i="27"/>
  <c r="U2155" i="27"/>
  <c r="V2155" i="27" s="1"/>
  <c r="W2155" i="27" s="1"/>
  <c r="H2159" i="27"/>
  <c r="U2159" i="27"/>
  <c r="V2159" i="27" s="1"/>
  <c r="W2159" i="27" s="1"/>
  <c r="H2185" i="27"/>
  <c r="E2207" i="27"/>
  <c r="U2641" i="27"/>
  <c r="V2641" i="27" s="1"/>
  <c r="W2641" i="27" s="1"/>
  <c r="H2641" i="27"/>
  <c r="K3055" i="27"/>
  <c r="U3055" i="27"/>
  <c r="V3055" i="27" s="1"/>
  <c r="W3055" i="27" s="1"/>
  <c r="K3093" i="27"/>
  <c r="U3093" i="27"/>
  <c r="V3093" i="27" s="1"/>
  <c r="W3093" i="27" s="1"/>
  <c r="H3093" i="27"/>
  <c r="E1440" i="27"/>
  <c r="H1443" i="27"/>
  <c r="N1446" i="27"/>
  <c r="H1448" i="27"/>
  <c r="E1472" i="27"/>
  <c r="U1472" i="27"/>
  <c r="V1472" i="27" s="1"/>
  <c r="W1472" i="27" s="1"/>
  <c r="K1475" i="27"/>
  <c r="N1483" i="27"/>
  <c r="N1503" i="27"/>
  <c r="E1507" i="27"/>
  <c r="N1516" i="27"/>
  <c r="U1522" i="27"/>
  <c r="V1522" i="27" s="1"/>
  <c r="W1522" i="27" s="1"/>
  <c r="K1524" i="27"/>
  <c r="H1531" i="27"/>
  <c r="N1534" i="27"/>
  <c r="K1543" i="27"/>
  <c r="U1545" i="27"/>
  <c r="V1545" i="27" s="1"/>
  <c r="W1545" i="27" s="1"/>
  <c r="H1547" i="27"/>
  <c r="E1556" i="27"/>
  <c r="N1560" i="27"/>
  <c r="K1564" i="27"/>
  <c r="K1572" i="27"/>
  <c r="E1574" i="27"/>
  <c r="U1575" i="27"/>
  <c r="V1575" i="27" s="1"/>
  <c r="W1575" i="27" s="1"/>
  <c r="E1587" i="27"/>
  <c r="U1588" i="27"/>
  <c r="V1588" i="27" s="1"/>
  <c r="W1588" i="27" s="1"/>
  <c r="N1592" i="27"/>
  <c r="E1595" i="27"/>
  <c r="E1596" i="27"/>
  <c r="E1597" i="27"/>
  <c r="N1634" i="27"/>
  <c r="U1640" i="27"/>
  <c r="V1640" i="27" s="1"/>
  <c r="W1640" i="27" s="1"/>
  <c r="H1660" i="27"/>
  <c r="U1661" i="27"/>
  <c r="V1661" i="27" s="1"/>
  <c r="W1661" i="27" s="1"/>
  <c r="E1676" i="27"/>
  <c r="E1681" i="27"/>
  <c r="K1686" i="27"/>
  <c r="N1687" i="27"/>
  <c r="K1711" i="27"/>
  <c r="N1717" i="27"/>
  <c r="H1718" i="27"/>
  <c r="U1718" i="27"/>
  <c r="V1718" i="27" s="1"/>
  <c r="W1718" i="27" s="1"/>
  <c r="E1718" i="27"/>
  <c r="K1723" i="27"/>
  <c r="K1728" i="27"/>
  <c r="H1735" i="27"/>
  <c r="K1748" i="27"/>
  <c r="E1751" i="27"/>
  <c r="E1752" i="27"/>
  <c r="N1761" i="27"/>
  <c r="K1765" i="27"/>
  <c r="E1768" i="27"/>
  <c r="U1779" i="27"/>
  <c r="V1779" i="27" s="1"/>
  <c r="W1779" i="27" s="1"/>
  <c r="K1795" i="27"/>
  <c r="E1798" i="27"/>
  <c r="E1803" i="27"/>
  <c r="U1810" i="27"/>
  <c r="V1810" i="27" s="1"/>
  <c r="W1810" i="27" s="1"/>
  <c r="U1831" i="27"/>
  <c r="V1831" i="27" s="1"/>
  <c r="W1831" i="27" s="1"/>
  <c r="E1834" i="27"/>
  <c r="N1839" i="27"/>
  <c r="U1839" i="27"/>
  <c r="V1839" i="27" s="1"/>
  <c r="W1839" i="27" s="1"/>
  <c r="K1842" i="27"/>
  <c r="U1845" i="27"/>
  <c r="V1845" i="27" s="1"/>
  <c r="W1845" i="27" s="1"/>
  <c r="E1847" i="27"/>
  <c r="N1856" i="27"/>
  <c r="N1865" i="27"/>
  <c r="H1865" i="27"/>
  <c r="U1865" i="27"/>
  <c r="V1865" i="27" s="1"/>
  <c r="W1865" i="27" s="1"/>
  <c r="N1870" i="27"/>
  <c r="U1871" i="27"/>
  <c r="V1871" i="27" s="1"/>
  <c r="W1871" i="27" s="1"/>
  <c r="H1878" i="27"/>
  <c r="N1881" i="27"/>
  <c r="U1882" i="27"/>
  <c r="V1882" i="27" s="1"/>
  <c r="W1882" i="27" s="1"/>
  <c r="N1888" i="27"/>
  <c r="H1888" i="27"/>
  <c r="U1888" i="27"/>
  <c r="V1888" i="27" s="1"/>
  <c r="W1888" i="27" s="1"/>
  <c r="E1890" i="27"/>
  <c r="N1908" i="27"/>
  <c r="N1924" i="27"/>
  <c r="N1928" i="27"/>
  <c r="K1935" i="27"/>
  <c r="U1935" i="27"/>
  <c r="V1935" i="27" s="1"/>
  <c r="W1935" i="27" s="1"/>
  <c r="K1948" i="27"/>
  <c r="E1950" i="27"/>
  <c r="E1980" i="27"/>
  <c r="U1985" i="27"/>
  <c r="V1985" i="27" s="1"/>
  <c r="W1985" i="27" s="1"/>
  <c r="H2004" i="27"/>
  <c r="N2007" i="27"/>
  <c r="E2014" i="27"/>
  <c r="E2021" i="27"/>
  <c r="H2023" i="27"/>
  <c r="U2023" i="27"/>
  <c r="V2023" i="27" s="1"/>
  <c r="W2023" i="27" s="1"/>
  <c r="U2029" i="27"/>
  <c r="V2029" i="27" s="1"/>
  <c r="W2029" i="27" s="1"/>
  <c r="E2031" i="27"/>
  <c r="N2040" i="27"/>
  <c r="N2047" i="27"/>
  <c r="U2053" i="27"/>
  <c r="V2053" i="27" s="1"/>
  <c r="W2053" i="27" s="1"/>
  <c r="N2078" i="27"/>
  <c r="U2109" i="27"/>
  <c r="V2109" i="27" s="1"/>
  <c r="W2109" i="27" s="1"/>
  <c r="E2123" i="27"/>
  <c r="K2140" i="27"/>
  <c r="U2140" i="27"/>
  <c r="V2140" i="27" s="1"/>
  <c r="W2140" i="27" s="1"/>
  <c r="E2168" i="27"/>
  <c r="H2174" i="27"/>
  <c r="U2174" i="27"/>
  <c r="V2174" i="27" s="1"/>
  <c r="W2174" i="27" s="1"/>
  <c r="H2633" i="27"/>
  <c r="E2633" i="27"/>
  <c r="N1445" i="27"/>
  <c r="K1454" i="27"/>
  <c r="K1457" i="27"/>
  <c r="E1473" i="27"/>
  <c r="U1475" i="27"/>
  <c r="V1475" i="27" s="1"/>
  <c r="W1475" i="27" s="1"/>
  <c r="N1479" i="27"/>
  <c r="H1489" i="27"/>
  <c r="E1506" i="27"/>
  <c r="H1510" i="27"/>
  <c r="K1513" i="27"/>
  <c r="K1539" i="27"/>
  <c r="H1544" i="27"/>
  <c r="K1548" i="27"/>
  <c r="K1555" i="27"/>
  <c r="H1560" i="27"/>
  <c r="N1564" i="27"/>
  <c r="H1592" i="27"/>
  <c r="H1593" i="27"/>
  <c r="E1611" i="27"/>
  <c r="K1628" i="27"/>
  <c r="K1636" i="27"/>
  <c r="E1669" i="27"/>
  <c r="E1670" i="27"/>
  <c r="U1688" i="27"/>
  <c r="V1688" i="27" s="1"/>
  <c r="W1688" i="27" s="1"/>
  <c r="E1688" i="27"/>
  <c r="N1713" i="27"/>
  <c r="E1714" i="27"/>
  <c r="E1719" i="27"/>
  <c r="H1761" i="27"/>
  <c r="N1769" i="27"/>
  <c r="N1795" i="27"/>
  <c r="H1802" i="27"/>
  <c r="K1822" i="27"/>
  <c r="E1840" i="27"/>
  <c r="H1841" i="27"/>
  <c r="E1851" i="27"/>
  <c r="E1883" i="27"/>
  <c r="E1889" i="27"/>
  <c r="H1890" i="27"/>
  <c r="H1897" i="27"/>
  <c r="K1907" i="27"/>
  <c r="E1942" i="27"/>
  <c r="N1947" i="27"/>
  <c r="H1953" i="27"/>
  <c r="K1969" i="27"/>
  <c r="H1980" i="27"/>
  <c r="N1982" i="27"/>
  <c r="N2027" i="27"/>
  <c r="K2040" i="27"/>
  <c r="U2040" i="27"/>
  <c r="V2040" i="27" s="1"/>
  <c r="W2040" i="27" s="1"/>
  <c r="N2072" i="27"/>
  <c r="K2077" i="27"/>
  <c r="K2108" i="27"/>
  <c r="N2108" i="27"/>
  <c r="H2108" i="27"/>
  <c r="E2117" i="27"/>
  <c r="K2120" i="27"/>
  <c r="U2120" i="27"/>
  <c r="V2120" i="27" s="1"/>
  <c r="W2120" i="27" s="1"/>
  <c r="N2120" i="27"/>
  <c r="K2124" i="27"/>
  <c r="U2124" i="27"/>
  <c r="V2124" i="27" s="1"/>
  <c r="W2124" i="27" s="1"/>
  <c r="N2124" i="27"/>
  <c r="H2124" i="27"/>
  <c r="H2134" i="27"/>
  <c r="N2134" i="27"/>
  <c r="H2143" i="27"/>
  <c r="U2143" i="27"/>
  <c r="V2143" i="27" s="1"/>
  <c r="W2143" i="27" s="1"/>
  <c r="N2146" i="27"/>
  <c r="H2150" i="27"/>
  <c r="U2165" i="27"/>
  <c r="V2165" i="27" s="1"/>
  <c r="W2165" i="27" s="1"/>
  <c r="H2165" i="27"/>
  <c r="N2165" i="27"/>
  <c r="H2168" i="27"/>
  <c r="H2197" i="27"/>
  <c r="U2197" i="27"/>
  <c r="V2197" i="27" s="1"/>
  <c r="W2197" i="27" s="1"/>
  <c r="N2197" i="27"/>
  <c r="K2512" i="27"/>
  <c r="U2512" i="27"/>
  <c r="V2512" i="27" s="1"/>
  <c r="W2512" i="27" s="1"/>
  <c r="K2743" i="27"/>
  <c r="E2743" i="27"/>
  <c r="H2855" i="27"/>
  <c r="N2855" i="27"/>
  <c r="U2855" i="27"/>
  <c r="V2855" i="27" s="1"/>
  <c r="W2855" i="27" s="1"/>
  <c r="E2641" i="27"/>
  <c r="K2681" i="27"/>
  <c r="U2681" i="27"/>
  <c r="V2681" i="27" s="1"/>
  <c r="W2681" i="27" s="1"/>
  <c r="E2681" i="27"/>
  <c r="N2710" i="27"/>
  <c r="H2793" i="27"/>
  <c r="E2793" i="27"/>
  <c r="U2793" i="27"/>
  <c r="V2793" i="27" s="1"/>
  <c r="W2793" i="27" s="1"/>
  <c r="U2963" i="27"/>
  <c r="V2963" i="27" s="1"/>
  <c r="W2963" i="27" s="1"/>
  <c r="N2963" i="27"/>
  <c r="E3056" i="27"/>
  <c r="N1666" i="27"/>
  <c r="H1669" i="27"/>
  <c r="K1677" i="27"/>
  <c r="N1684" i="27"/>
  <c r="K1695" i="27"/>
  <c r="N1697" i="27"/>
  <c r="E1702" i="27"/>
  <c r="E1703" i="27"/>
  <c r="E1711" i="27"/>
  <c r="E1727" i="27"/>
  <c r="E1728" i="27"/>
  <c r="K1735" i="27"/>
  <c r="N1746" i="27"/>
  <c r="E1765" i="27"/>
  <c r="H1767" i="27"/>
  <c r="E1771" i="27"/>
  <c r="H1775" i="27"/>
  <c r="N1777" i="27"/>
  <c r="E1779" i="27"/>
  <c r="N1787" i="27"/>
  <c r="E1789" i="27"/>
  <c r="K1791" i="27"/>
  <c r="E1808" i="27"/>
  <c r="E1809" i="27"/>
  <c r="E1812" i="27"/>
  <c r="E1813" i="27"/>
  <c r="N1817" i="27"/>
  <c r="E1823" i="27"/>
  <c r="K1828" i="27"/>
  <c r="E1832" i="27"/>
  <c r="E1833" i="27"/>
  <c r="E1836" i="27"/>
  <c r="E1837" i="27"/>
  <c r="N1840" i="27"/>
  <c r="E1846" i="27"/>
  <c r="K1852" i="27"/>
  <c r="E1856" i="27"/>
  <c r="H1857" i="27"/>
  <c r="K1862" i="27"/>
  <c r="N1863" i="27"/>
  <c r="E1870" i="27"/>
  <c r="K1875" i="27"/>
  <c r="K1881" i="27"/>
  <c r="N1883" i="27"/>
  <c r="N1884" i="27"/>
  <c r="N1886" i="27"/>
  <c r="E1891" i="27"/>
  <c r="E1892" i="27"/>
  <c r="E1893" i="27"/>
  <c r="H1894" i="27"/>
  <c r="E1901" i="27"/>
  <c r="H1902" i="27"/>
  <c r="K1922" i="27"/>
  <c r="K1926" i="27"/>
  <c r="K1930" i="27"/>
  <c r="K1932" i="27"/>
  <c r="N1936" i="27"/>
  <c r="E1943" i="27"/>
  <c r="E1948" i="27"/>
  <c r="N1969" i="27"/>
  <c r="K1972" i="27"/>
  <c r="K1976" i="27"/>
  <c r="E1981" i="27"/>
  <c r="E1982" i="27"/>
  <c r="E1983" i="27"/>
  <c r="H1984" i="27"/>
  <c r="K1993" i="27"/>
  <c r="K1997" i="27"/>
  <c r="K2005" i="27"/>
  <c r="K2007" i="27"/>
  <c r="K2009" i="27"/>
  <c r="N2011" i="27"/>
  <c r="K2012" i="27"/>
  <c r="E2015" i="27"/>
  <c r="E2026" i="27"/>
  <c r="E2028" i="27"/>
  <c r="H2032" i="27"/>
  <c r="N2044" i="27"/>
  <c r="K2047" i="27"/>
  <c r="K2048" i="27"/>
  <c r="E2052" i="27"/>
  <c r="E2053" i="27"/>
  <c r="E2054" i="27"/>
  <c r="E2056" i="27"/>
  <c r="E2057" i="27"/>
  <c r="E2058" i="27"/>
  <c r="E2060" i="27"/>
  <c r="E2062" i="27"/>
  <c r="E2063" i="27"/>
  <c r="H2064" i="27"/>
  <c r="K2067" i="27"/>
  <c r="K2068" i="27"/>
  <c r="E2076" i="27"/>
  <c r="N2087" i="27"/>
  <c r="H2096" i="27"/>
  <c r="N2097" i="27"/>
  <c r="K2101" i="27"/>
  <c r="U2106" i="27"/>
  <c r="V2106" i="27" s="1"/>
  <c r="W2106" i="27" s="1"/>
  <c r="H2106" i="27"/>
  <c r="K2116" i="27"/>
  <c r="H2116" i="27"/>
  <c r="U2116" i="27"/>
  <c r="V2116" i="27" s="1"/>
  <c r="W2116" i="27" s="1"/>
  <c r="H2133" i="27"/>
  <c r="U2133" i="27"/>
  <c r="V2133" i="27" s="1"/>
  <c r="W2133" i="27" s="1"/>
  <c r="N2133" i="27"/>
  <c r="E2148" i="27"/>
  <c r="E2158" i="27"/>
  <c r="K2164" i="27"/>
  <c r="U2164" i="27"/>
  <c r="V2164" i="27" s="1"/>
  <c r="W2164" i="27" s="1"/>
  <c r="K2172" i="27"/>
  <c r="H2172" i="27"/>
  <c r="K2184" i="27"/>
  <c r="U2184" i="27"/>
  <c r="V2184" i="27" s="1"/>
  <c r="W2184" i="27" s="1"/>
  <c r="K2221" i="27"/>
  <c r="N2346" i="27"/>
  <c r="H2350" i="27"/>
  <c r="U2350" i="27"/>
  <c r="V2350" i="27" s="1"/>
  <c r="W2350" i="27" s="1"/>
  <c r="K2350" i="27"/>
  <c r="E2368" i="27"/>
  <c r="K2474" i="27"/>
  <c r="U2474" i="27"/>
  <c r="V2474" i="27" s="1"/>
  <c r="W2474" i="27" s="1"/>
  <c r="E2474" i="27"/>
  <c r="N2641" i="27"/>
  <c r="E2677" i="27"/>
  <c r="U2677" i="27"/>
  <c r="V2677" i="27" s="1"/>
  <c r="W2677" i="27" s="1"/>
  <c r="N1765" i="27"/>
  <c r="H1768" i="27"/>
  <c r="N1771" i="27"/>
  <c r="H1773" i="27"/>
  <c r="E1777" i="27"/>
  <c r="E1778" i="27"/>
  <c r="E1787" i="27"/>
  <c r="K1789" i="27"/>
  <c r="K1808" i="27"/>
  <c r="K1812" i="27"/>
  <c r="E1816" i="27"/>
  <c r="E1820" i="27"/>
  <c r="E1821" i="27"/>
  <c r="H1831" i="27"/>
  <c r="K1832" i="27"/>
  <c r="K1836" i="27"/>
  <c r="E1841" i="27"/>
  <c r="H1845" i="27"/>
  <c r="K1846" i="27"/>
  <c r="H1855" i="27"/>
  <c r="K1856" i="27"/>
  <c r="N1857" i="27"/>
  <c r="N1859" i="27"/>
  <c r="H1869" i="27"/>
  <c r="K1870" i="27"/>
  <c r="K1891" i="27"/>
  <c r="K1893" i="27"/>
  <c r="N1895" i="27"/>
  <c r="N1897" i="27"/>
  <c r="K1901" i="27"/>
  <c r="N1903" i="27"/>
  <c r="N1914" i="27"/>
  <c r="N1918" i="27"/>
  <c r="E1937" i="27"/>
  <c r="H1939" i="27"/>
  <c r="N1951" i="27"/>
  <c r="N1953" i="27"/>
  <c r="N1955" i="27"/>
  <c r="E1970" i="27"/>
  <c r="K1981" i="27"/>
  <c r="K1983" i="27"/>
  <c r="N1987" i="27"/>
  <c r="N1991" i="27"/>
  <c r="N1999" i="27"/>
  <c r="N2015" i="27"/>
  <c r="H2018" i="27"/>
  <c r="E2023" i="27"/>
  <c r="N2028" i="27"/>
  <c r="K2031" i="27"/>
  <c r="N2033" i="27"/>
  <c r="K2053" i="27"/>
  <c r="K2057" i="27"/>
  <c r="N2079" i="27"/>
  <c r="H2101" i="27"/>
  <c r="U2101" i="27"/>
  <c r="V2101" i="27" s="1"/>
  <c r="W2101" i="27" s="1"/>
  <c r="U2105" i="27"/>
  <c r="V2105" i="27" s="1"/>
  <c r="W2105" i="27" s="1"/>
  <c r="H2105" i="27"/>
  <c r="K2107" i="27"/>
  <c r="H2119" i="27"/>
  <c r="U2119" i="27"/>
  <c r="V2119" i="27" s="1"/>
  <c r="W2119" i="27" s="1"/>
  <c r="E2121" i="27"/>
  <c r="H2125" i="27"/>
  <c r="U2125" i="27"/>
  <c r="V2125" i="27" s="1"/>
  <c r="W2125" i="27" s="1"/>
  <c r="H2128" i="27"/>
  <c r="K2135" i="27"/>
  <c r="E2143" i="27"/>
  <c r="E2147" i="27"/>
  <c r="U2175" i="27"/>
  <c r="V2175" i="27" s="1"/>
  <c r="W2175" i="27" s="1"/>
  <c r="H2175" i="27"/>
  <c r="N2203" i="27"/>
  <c r="N2309" i="27"/>
  <c r="N2342" i="27"/>
  <c r="K2349" i="27"/>
  <c r="K2448" i="27"/>
  <c r="U2448" i="27"/>
  <c r="V2448" i="27" s="1"/>
  <c r="W2448" i="27" s="1"/>
  <c r="K2821" i="27"/>
  <c r="E2821" i="27"/>
  <c r="U2821" i="27"/>
  <c r="V2821" i="27" s="1"/>
  <c r="W2821" i="27" s="1"/>
  <c r="H2821" i="27"/>
  <c r="N2838" i="27"/>
  <c r="K2838" i="27"/>
  <c r="N1901" i="27"/>
  <c r="K1902" i="27"/>
  <c r="E1907" i="27"/>
  <c r="E1908" i="27"/>
  <c r="E1923" i="27"/>
  <c r="E1924" i="27"/>
  <c r="E1925" i="27"/>
  <c r="E1927" i="27"/>
  <c r="E1928" i="27"/>
  <c r="E1929" i="27"/>
  <c r="E1931" i="27"/>
  <c r="E1936" i="27"/>
  <c r="K1940" i="27"/>
  <c r="K1942" i="27"/>
  <c r="K1944" i="27"/>
  <c r="K1947" i="27"/>
  <c r="K1952" i="27"/>
  <c r="E1969" i="27"/>
  <c r="N1983" i="27"/>
  <c r="K1984" i="27"/>
  <c r="E2008" i="27"/>
  <c r="E2010" i="27"/>
  <c r="E2011" i="27"/>
  <c r="K2013" i="27"/>
  <c r="H2015" i="27"/>
  <c r="K2016" i="27"/>
  <c r="E2022" i="27"/>
  <c r="K2025" i="27"/>
  <c r="K2027" i="27"/>
  <c r="K2028" i="27"/>
  <c r="N2031" i="27"/>
  <c r="E2037" i="27"/>
  <c r="E2038" i="27"/>
  <c r="E2045" i="27"/>
  <c r="E2046" i="27"/>
  <c r="K2051" i="27"/>
  <c r="K2055" i="27"/>
  <c r="K2059" i="27"/>
  <c r="K2061" i="27"/>
  <c r="N2062" i="27"/>
  <c r="N2063" i="27"/>
  <c r="K2064" i="27"/>
  <c r="K2073" i="27"/>
  <c r="K2075" i="27"/>
  <c r="E2087" i="27"/>
  <c r="K2096" i="27"/>
  <c r="U2096" i="27"/>
  <c r="V2096" i="27" s="1"/>
  <c r="W2096" i="27" s="1"/>
  <c r="K2099" i="27"/>
  <c r="K2117" i="27"/>
  <c r="E2120" i="27"/>
  <c r="K2123" i="27"/>
  <c r="N2140" i="27"/>
  <c r="H2158" i="27"/>
  <c r="U2158" i="27"/>
  <c r="V2158" i="27" s="1"/>
  <c r="W2158" i="27" s="1"/>
  <c r="N2158" i="27"/>
  <c r="H2160" i="27"/>
  <c r="N2174" i="27"/>
  <c r="H2203" i="27"/>
  <c r="U2203" i="27"/>
  <c r="V2203" i="27" s="1"/>
  <c r="W2203" i="27" s="1"/>
  <c r="N2210" i="27"/>
  <c r="K2259" i="27"/>
  <c r="E2259" i="27"/>
  <c r="K2318" i="27"/>
  <c r="K2342" i="27"/>
  <c r="U2342" i="27"/>
  <c r="V2342" i="27" s="1"/>
  <c r="W2342" i="27" s="1"/>
  <c r="E2342" i="27"/>
  <c r="K2366" i="27"/>
  <c r="E2366" i="27"/>
  <c r="N2414" i="27"/>
  <c r="H2514" i="27"/>
  <c r="K2514" i="27"/>
  <c r="U2514" i="27"/>
  <c r="V2514" i="27" s="1"/>
  <c r="W2514" i="27" s="1"/>
  <c r="E2514" i="27"/>
  <c r="E2546" i="27"/>
  <c r="U2546" i="27"/>
  <c r="V2546" i="27" s="1"/>
  <c r="W2546" i="27" s="1"/>
  <c r="K2546" i="27"/>
  <c r="H2618" i="27"/>
  <c r="U2618" i="27"/>
  <c r="V2618" i="27" s="1"/>
  <c r="W2618" i="27" s="1"/>
  <c r="N2618" i="27"/>
  <c r="N2621" i="27"/>
  <c r="N2625" i="27"/>
  <c r="E3038" i="27"/>
  <c r="U3038" i="27"/>
  <c r="V3038" i="27" s="1"/>
  <c r="W3038" i="27" s="1"/>
  <c r="N2099" i="27"/>
  <c r="K2100" i="27"/>
  <c r="H2100" i="27"/>
  <c r="E2104" i="27"/>
  <c r="N2117" i="27"/>
  <c r="E2128" i="27"/>
  <c r="K2136" i="27"/>
  <c r="H2136" i="27"/>
  <c r="E2139" i="27"/>
  <c r="N2148" i="27"/>
  <c r="U2150" i="27"/>
  <c r="V2150" i="27" s="1"/>
  <c r="W2150" i="27" s="1"/>
  <c r="H2162" i="27"/>
  <c r="E2164" i="27"/>
  <c r="E2171" i="27"/>
  <c r="K2175" i="27"/>
  <c r="N2184" i="27"/>
  <c r="U2185" i="27"/>
  <c r="V2185" i="27" s="1"/>
  <c r="W2185" i="27" s="1"/>
  <c r="K2203" i="27"/>
  <c r="N2207" i="27"/>
  <c r="E2210" i="27"/>
  <c r="H2223" i="27"/>
  <c r="E2223" i="27"/>
  <c r="U2224" i="27"/>
  <c r="V2224" i="27" s="1"/>
  <c r="W2224" i="27" s="1"/>
  <c r="N2240" i="27"/>
  <c r="H2268" i="27"/>
  <c r="K2268" i="27"/>
  <c r="U2298" i="27"/>
  <c r="V2298" i="27" s="1"/>
  <c r="W2298" i="27" s="1"/>
  <c r="K2333" i="27"/>
  <c r="E2333" i="27"/>
  <c r="E2340" i="27"/>
  <c r="N2374" i="27"/>
  <c r="E2384" i="27"/>
  <c r="K2441" i="27"/>
  <c r="E2441" i="27"/>
  <c r="E2447" i="27"/>
  <c r="E2503" i="27"/>
  <c r="N2512" i="27"/>
  <c r="E2516" i="27"/>
  <c r="N2565" i="27"/>
  <c r="N2592" i="27"/>
  <c r="N2633" i="27"/>
  <c r="N2653" i="27"/>
  <c r="U2654" i="27"/>
  <c r="V2654" i="27" s="1"/>
  <c r="W2654" i="27" s="1"/>
  <c r="E2654" i="27"/>
  <c r="H2654" i="27"/>
  <c r="K2695" i="27"/>
  <c r="H2695" i="27"/>
  <c r="U2696" i="27"/>
  <c r="V2696" i="27" s="1"/>
  <c r="W2696" i="27" s="1"/>
  <c r="E2696" i="27"/>
  <c r="U2776" i="27"/>
  <c r="V2776" i="27" s="1"/>
  <c r="W2776" i="27" s="1"/>
  <c r="K2776" i="27"/>
  <c r="H2776" i="27"/>
  <c r="E2776" i="27"/>
  <c r="N2819" i="27"/>
  <c r="H2853" i="27"/>
  <c r="U2853" i="27"/>
  <c r="V2853" i="27" s="1"/>
  <c r="W2853" i="27" s="1"/>
  <c r="H2878" i="27"/>
  <c r="K2878" i="27"/>
  <c r="E2878" i="27"/>
  <c r="U2878" i="27"/>
  <c r="V2878" i="27" s="1"/>
  <c r="W2878" i="27" s="1"/>
  <c r="K2918" i="27"/>
  <c r="E2918" i="27"/>
  <c r="U2918" i="27"/>
  <c r="V2918" i="27" s="1"/>
  <c r="W2918" i="27" s="1"/>
  <c r="E3151" i="27"/>
  <c r="U3151" i="27"/>
  <c r="V3151" i="27" s="1"/>
  <c r="W3151" i="27" s="1"/>
  <c r="E2012" i="27"/>
  <c r="E2019" i="27"/>
  <c r="H2020" i="27"/>
  <c r="K2029" i="27"/>
  <c r="K2035" i="27"/>
  <c r="K2039" i="27"/>
  <c r="K2041" i="27"/>
  <c r="K2045" i="27"/>
  <c r="K2049" i="27"/>
  <c r="N2051" i="27"/>
  <c r="N2055" i="27"/>
  <c r="N2059" i="27"/>
  <c r="K2063" i="27"/>
  <c r="E2069" i="27"/>
  <c r="E2070" i="27"/>
  <c r="E2071" i="27"/>
  <c r="E2073" i="27"/>
  <c r="E2074" i="27"/>
  <c r="E2075" i="27"/>
  <c r="H2076" i="27"/>
  <c r="K2085" i="27"/>
  <c r="K2087" i="27"/>
  <c r="K2093" i="27"/>
  <c r="E2100" i="27"/>
  <c r="N2107" i="27"/>
  <c r="N2111" i="27"/>
  <c r="E2118" i="27"/>
  <c r="E2136" i="27"/>
  <c r="K2139" i="27"/>
  <c r="E2142" i="27"/>
  <c r="N2147" i="27"/>
  <c r="K2153" i="27"/>
  <c r="H2157" i="27"/>
  <c r="E2162" i="27"/>
  <c r="H2169" i="27"/>
  <c r="N2172" i="27"/>
  <c r="K2187" i="27"/>
  <c r="K2188" i="27"/>
  <c r="H2188" i="27"/>
  <c r="U2188" i="27"/>
  <c r="V2188" i="27" s="1"/>
  <c r="W2188" i="27" s="1"/>
  <c r="K2192" i="27"/>
  <c r="U2192" i="27"/>
  <c r="V2192" i="27" s="1"/>
  <c r="W2192" i="27" s="1"/>
  <c r="H2198" i="27"/>
  <c r="U2198" i="27"/>
  <c r="V2198" i="27" s="1"/>
  <c r="W2198" i="27" s="1"/>
  <c r="E2204" i="27"/>
  <c r="H2211" i="27"/>
  <c r="U2211" i="27"/>
  <c r="V2211" i="27" s="1"/>
  <c r="W2211" i="27" s="1"/>
  <c r="N2221" i="27"/>
  <c r="E2249" i="27"/>
  <c r="K2266" i="27"/>
  <c r="U2266" i="27"/>
  <c r="V2266" i="27" s="1"/>
  <c r="W2266" i="27" s="1"/>
  <c r="K2276" i="27"/>
  <c r="E2276" i="27"/>
  <c r="E2298" i="27"/>
  <c r="H2300" i="27"/>
  <c r="K2300" i="27"/>
  <c r="E2300" i="27"/>
  <c r="E2319" i="27"/>
  <c r="N2331" i="27"/>
  <c r="N2355" i="27"/>
  <c r="K2359" i="27"/>
  <c r="H2383" i="27"/>
  <c r="E2383" i="27"/>
  <c r="U2383" i="27"/>
  <c r="V2383" i="27" s="1"/>
  <c r="W2383" i="27" s="1"/>
  <c r="E2398" i="27"/>
  <c r="N2429" i="27"/>
  <c r="H2434" i="27"/>
  <c r="E2434" i="27"/>
  <c r="K2434" i="27"/>
  <c r="K2446" i="27"/>
  <c r="E2471" i="27"/>
  <c r="K2492" i="27"/>
  <c r="E2495" i="27"/>
  <c r="E2521" i="27"/>
  <c r="U2521" i="27"/>
  <c r="V2521" i="27" s="1"/>
  <c r="W2521" i="27" s="1"/>
  <c r="K2521" i="27"/>
  <c r="K2530" i="27"/>
  <c r="H2542" i="27"/>
  <c r="U2542" i="27"/>
  <c r="V2542" i="27" s="1"/>
  <c r="W2542" i="27" s="1"/>
  <c r="K2555" i="27"/>
  <c r="U2555" i="27"/>
  <c r="V2555" i="27" s="1"/>
  <c r="W2555" i="27" s="1"/>
  <c r="N2571" i="27"/>
  <c r="E2588" i="27"/>
  <c r="K2588" i="27"/>
  <c r="U2588" i="27"/>
  <c r="V2588" i="27" s="1"/>
  <c r="W2588" i="27" s="1"/>
  <c r="H2608" i="27"/>
  <c r="N2608" i="27"/>
  <c r="N2671" i="27"/>
  <c r="E2679" i="27"/>
  <c r="U2698" i="27"/>
  <c r="V2698" i="27" s="1"/>
  <c r="W2698" i="27" s="1"/>
  <c r="K2698" i="27"/>
  <c r="E2698" i="27"/>
  <c r="H2722" i="27"/>
  <c r="E2722" i="27"/>
  <c r="K2806" i="27"/>
  <c r="H3025" i="27"/>
  <c r="U3025" i="27"/>
  <c r="V3025" i="27" s="1"/>
  <c r="W3025" i="27" s="1"/>
  <c r="K3281" i="27"/>
  <c r="U3281" i="27"/>
  <c r="V3281" i="27" s="1"/>
  <c r="W3281" i="27" s="1"/>
  <c r="E3281" i="27"/>
  <c r="H3281" i="27"/>
  <c r="H2102" i="27"/>
  <c r="E2108" i="27"/>
  <c r="E2109" i="27"/>
  <c r="E2110" i="27"/>
  <c r="E2112" i="27"/>
  <c r="E2113" i="27"/>
  <c r="E2114" i="27"/>
  <c r="N2125" i="27"/>
  <c r="N2136" i="27"/>
  <c r="E2140" i="27"/>
  <c r="N2143" i="27"/>
  <c r="K2144" i="27"/>
  <c r="H2148" i="27"/>
  <c r="K2149" i="27"/>
  <c r="N2150" i="27"/>
  <c r="N2162" i="27"/>
  <c r="E2165" i="27"/>
  <c r="H2186" i="27"/>
  <c r="N2204" i="27"/>
  <c r="H2205" i="27"/>
  <c r="U2205" i="27"/>
  <c r="V2205" i="27" s="1"/>
  <c r="W2205" i="27" s="1"/>
  <c r="H2227" i="27"/>
  <c r="E2241" i="27"/>
  <c r="K2248" i="27"/>
  <c r="K2252" i="27"/>
  <c r="N2258" i="27"/>
  <c r="E2265" i="27"/>
  <c r="N2272" i="27"/>
  <c r="E2292" i="27"/>
  <c r="N2298" i="27"/>
  <c r="K2299" i="27"/>
  <c r="N2310" i="27"/>
  <c r="H2318" i="27"/>
  <c r="U2318" i="27"/>
  <c r="V2318" i="27" s="1"/>
  <c r="W2318" i="27" s="1"/>
  <c r="H2334" i="27"/>
  <c r="K2334" i="27"/>
  <c r="E2358" i="27"/>
  <c r="U2358" i="27"/>
  <c r="V2358" i="27" s="1"/>
  <c r="W2358" i="27" s="1"/>
  <c r="K2364" i="27"/>
  <c r="K2375" i="27"/>
  <c r="E2375" i="27"/>
  <c r="K2378" i="27"/>
  <c r="N2398" i="27"/>
  <c r="E2414" i="27"/>
  <c r="E2418" i="27"/>
  <c r="N2424" i="27"/>
  <c r="K2447" i="27"/>
  <c r="H2566" i="27"/>
  <c r="K2566" i="27"/>
  <c r="E2566" i="27"/>
  <c r="E2587" i="27"/>
  <c r="E2617" i="27"/>
  <c r="U2687" i="27"/>
  <c r="V2687" i="27" s="1"/>
  <c r="W2687" i="27" s="1"/>
  <c r="K2687" i="27"/>
  <c r="E2687" i="27"/>
  <c r="K2693" i="27"/>
  <c r="U2693" i="27"/>
  <c r="V2693" i="27" s="1"/>
  <c r="W2693" i="27" s="1"/>
  <c r="E2693" i="27"/>
  <c r="K2703" i="27"/>
  <c r="E2703" i="27"/>
  <c r="K2725" i="27"/>
  <c r="E2725" i="27"/>
  <c r="N2993" i="27"/>
  <c r="K2993" i="27"/>
  <c r="N3053" i="27"/>
  <c r="K3053" i="27"/>
  <c r="E3053" i="27"/>
  <c r="U3053" i="27"/>
  <c r="V3053" i="27" s="1"/>
  <c r="W3053" i="27" s="1"/>
  <c r="H3140" i="27"/>
  <c r="U3140" i="27"/>
  <c r="V3140" i="27" s="1"/>
  <c r="W3140" i="27" s="1"/>
  <c r="K3140" i="27"/>
  <c r="E2154" i="27"/>
  <c r="K2161" i="27"/>
  <c r="K2199" i="27"/>
  <c r="K2200" i="27"/>
  <c r="H2200" i="27"/>
  <c r="U2200" i="27"/>
  <c r="V2200" i="27" s="1"/>
  <c r="W2200" i="27" s="1"/>
  <c r="E2206" i="27"/>
  <c r="H2209" i="27"/>
  <c r="U2209" i="27"/>
  <c r="V2209" i="27" s="1"/>
  <c r="W2209" i="27" s="1"/>
  <c r="K2243" i="27"/>
  <c r="K2310" i="27"/>
  <c r="E2310" i="27"/>
  <c r="K2327" i="27"/>
  <c r="K2374" i="27"/>
  <c r="U2398" i="27"/>
  <c r="V2398" i="27" s="1"/>
  <c r="W2398" i="27" s="1"/>
  <c r="K2398" i="27"/>
  <c r="H2416" i="27"/>
  <c r="K2416" i="27"/>
  <c r="N2441" i="27"/>
  <c r="K2466" i="27"/>
  <c r="H2550" i="27"/>
  <c r="E2550" i="27"/>
  <c r="U2550" i="27"/>
  <c r="V2550" i="27" s="1"/>
  <c r="W2550" i="27" s="1"/>
  <c r="K2576" i="27"/>
  <c r="K2605" i="27"/>
  <c r="H2634" i="27"/>
  <c r="K2634" i="27"/>
  <c r="H2642" i="27"/>
  <c r="U2642" i="27"/>
  <c r="V2642" i="27" s="1"/>
  <c r="W2642" i="27" s="1"/>
  <c r="E2642" i="27"/>
  <c r="H2681" i="27"/>
  <c r="N2696" i="27"/>
  <c r="K2720" i="27"/>
  <c r="E2720" i="27"/>
  <c r="K2827" i="27"/>
  <c r="H2827" i="27"/>
  <c r="E2827" i="27"/>
  <c r="U2947" i="27"/>
  <c r="V2947" i="27" s="1"/>
  <c r="W2947" i="27" s="1"/>
  <c r="E2947" i="27"/>
  <c r="K2088" i="27"/>
  <c r="K2092" i="27"/>
  <c r="E2098" i="27"/>
  <c r="E2099" i="27"/>
  <c r="E2103" i="27"/>
  <c r="H2104" i="27"/>
  <c r="K2109" i="27"/>
  <c r="K2113" i="27"/>
  <c r="K2115" i="27"/>
  <c r="N2119" i="27"/>
  <c r="N2123" i="27"/>
  <c r="K2127" i="27"/>
  <c r="K2132" i="27"/>
  <c r="N2135" i="27"/>
  <c r="E2144" i="27"/>
  <c r="E2149" i="27"/>
  <c r="E2150" i="27"/>
  <c r="E2152" i="27"/>
  <c r="E2153" i="27"/>
  <c r="E2155" i="27"/>
  <c r="H2156" i="27"/>
  <c r="E2160" i="27"/>
  <c r="E2161" i="27"/>
  <c r="K2165" i="27"/>
  <c r="K2169" i="27"/>
  <c r="K2171" i="27"/>
  <c r="K2181" i="27"/>
  <c r="K2183" i="27"/>
  <c r="N2185" i="27"/>
  <c r="N2187" i="27"/>
  <c r="K2191" i="27"/>
  <c r="K2196" i="27"/>
  <c r="N2199" i="27"/>
  <c r="E2208" i="27"/>
  <c r="K2226" i="27"/>
  <c r="N2227" i="27"/>
  <c r="K2233" i="27"/>
  <c r="N2243" i="27"/>
  <c r="N2247" i="27"/>
  <c r="K2250" i="27"/>
  <c r="N2265" i="27"/>
  <c r="N2274" i="27"/>
  <c r="N2288" i="27"/>
  <c r="K2293" i="27"/>
  <c r="K2325" i="27"/>
  <c r="N2326" i="27"/>
  <c r="N2330" i="27"/>
  <c r="E2332" i="27"/>
  <c r="N2340" i="27"/>
  <c r="K2357" i="27"/>
  <c r="N2358" i="27"/>
  <c r="N2363" i="27"/>
  <c r="E2365" i="27"/>
  <c r="N2373" i="27"/>
  <c r="N2381" i="27"/>
  <c r="N2387" i="27"/>
  <c r="K2392" i="27"/>
  <c r="N2447" i="27"/>
  <c r="E2473" i="27"/>
  <c r="N2480" i="27"/>
  <c r="H2482" i="27"/>
  <c r="U2482" i="27"/>
  <c r="V2482" i="27" s="1"/>
  <c r="W2482" i="27" s="1"/>
  <c r="E2489" i="27"/>
  <c r="N2493" i="27"/>
  <c r="K2496" i="27"/>
  <c r="E2505" i="27"/>
  <c r="K2511" i="27"/>
  <c r="K2522" i="27"/>
  <c r="K2554" i="27"/>
  <c r="E2554" i="27"/>
  <c r="N2561" i="27"/>
  <c r="N2573" i="27"/>
  <c r="K2581" i="27"/>
  <c r="U2581" i="27"/>
  <c r="V2581" i="27" s="1"/>
  <c r="W2581" i="27" s="1"/>
  <c r="H2584" i="27"/>
  <c r="E2584" i="27"/>
  <c r="N2598" i="27"/>
  <c r="K2614" i="27"/>
  <c r="N2617" i="27"/>
  <c r="H2622" i="27"/>
  <c r="H2624" i="27"/>
  <c r="E2634" i="27"/>
  <c r="N2639" i="27"/>
  <c r="H2644" i="27"/>
  <c r="N2647" i="27"/>
  <c r="K2649" i="27"/>
  <c r="H2651" i="27"/>
  <c r="E2653" i="27"/>
  <c r="N2677" i="27"/>
  <c r="N2681" i="27"/>
  <c r="N2686" i="27"/>
  <c r="K2686" i="27"/>
  <c r="N2698" i="27"/>
  <c r="H2706" i="27"/>
  <c r="E2706" i="27"/>
  <c r="K2709" i="27"/>
  <c r="U2733" i="27"/>
  <c r="V2733" i="27" s="1"/>
  <c r="W2733" i="27" s="1"/>
  <c r="H2733" i="27"/>
  <c r="U2737" i="27"/>
  <c r="V2737" i="27" s="1"/>
  <c r="W2737" i="27" s="1"/>
  <c r="K2737" i="27"/>
  <c r="H2737" i="27"/>
  <c r="E2737" i="27"/>
  <c r="N2761" i="27"/>
  <c r="H2914" i="27"/>
  <c r="H2920" i="27"/>
  <c r="K2958" i="27"/>
  <c r="E2958" i="27"/>
  <c r="U2958" i="27"/>
  <c r="V2958" i="27" s="1"/>
  <c r="W2958" i="27" s="1"/>
  <c r="N3149" i="27"/>
  <c r="K3162" i="27"/>
  <c r="H3162" i="27"/>
  <c r="E3162" i="27"/>
  <c r="U3162" i="27"/>
  <c r="V3162" i="27" s="1"/>
  <c r="W3162" i="27" s="1"/>
  <c r="N3422" i="27"/>
  <c r="H3704" i="27"/>
  <c r="E3704" i="27"/>
  <c r="U3714" i="27"/>
  <c r="V3714" i="27" s="1"/>
  <c r="W3714" i="27" s="1"/>
  <c r="K3714" i="27"/>
  <c r="U3758" i="27"/>
  <c r="V3758" i="27" s="1"/>
  <c r="W3758" i="27" s="1"/>
  <c r="E3758" i="27"/>
  <c r="K3758" i="27"/>
  <c r="E2203" i="27"/>
  <c r="H2204" i="27"/>
  <c r="E2211" i="27"/>
  <c r="H2212" i="27"/>
  <c r="H2226" i="27"/>
  <c r="E2236" i="27"/>
  <c r="E2266" i="27"/>
  <c r="H2284" i="27"/>
  <c r="E2408" i="27"/>
  <c r="E2448" i="27"/>
  <c r="E2455" i="27"/>
  <c r="E2511" i="27"/>
  <c r="E2524" i="27"/>
  <c r="E2592" i="27"/>
  <c r="H2636" i="27"/>
  <c r="K2676" i="27"/>
  <c r="E2676" i="27"/>
  <c r="H2687" i="27"/>
  <c r="K2736" i="27"/>
  <c r="H2736" i="27"/>
  <c r="U2792" i="27"/>
  <c r="V2792" i="27" s="1"/>
  <c r="W2792" i="27" s="1"/>
  <c r="H2792" i="27"/>
  <c r="H2805" i="27"/>
  <c r="U2805" i="27"/>
  <c r="V2805" i="27" s="1"/>
  <c r="W2805" i="27" s="1"/>
  <c r="E2805" i="27"/>
  <c r="H2817" i="27"/>
  <c r="U2817" i="27"/>
  <c r="V2817" i="27" s="1"/>
  <c r="W2817" i="27" s="1"/>
  <c r="E2817" i="27"/>
  <c r="K2892" i="27"/>
  <c r="E2892" i="27"/>
  <c r="K2913" i="27"/>
  <c r="H2913" i="27"/>
  <c r="U2913" i="27"/>
  <c r="V2913" i="27" s="1"/>
  <c r="W2913" i="27" s="1"/>
  <c r="H2917" i="27"/>
  <c r="E2917" i="27"/>
  <c r="H3014" i="27"/>
  <c r="U3014" i="27"/>
  <c r="V3014" i="27" s="1"/>
  <c r="W3014" i="27" s="1"/>
  <c r="H3020" i="27"/>
  <c r="U3020" i="27"/>
  <c r="V3020" i="27" s="1"/>
  <c r="W3020" i="27" s="1"/>
  <c r="E3020" i="27"/>
  <c r="U3042" i="27"/>
  <c r="V3042" i="27" s="1"/>
  <c r="W3042" i="27" s="1"/>
  <c r="E3042" i="27"/>
  <c r="K3042" i="27"/>
  <c r="N3052" i="27"/>
  <c r="U3052" i="27"/>
  <c r="V3052" i="27" s="1"/>
  <c r="W3052" i="27" s="1"/>
  <c r="K3052" i="27"/>
  <c r="U3518" i="27"/>
  <c r="V3518" i="27" s="1"/>
  <c r="W3518" i="27" s="1"/>
  <c r="E3518" i="27"/>
  <c r="E2186" i="27"/>
  <c r="E2188" i="27"/>
  <c r="E2197" i="27"/>
  <c r="E2198" i="27"/>
  <c r="E2200" i="27"/>
  <c r="E2215" i="27"/>
  <c r="E2221" i="27"/>
  <c r="K2223" i="27"/>
  <c r="U2226" i="27"/>
  <c r="V2226" i="27" s="1"/>
  <c r="W2226" i="27" s="1"/>
  <c r="K2249" i="27"/>
  <c r="H2252" i="27"/>
  <c r="U2284" i="27"/>
  <c r="V2284" i="27" s="1"/>
  <c r="W2284" i="27" s="1"/>
  <c r="U2292" i="27"/>
  <c r="V2292" i="27" s="1"/>
  <c r="W2292" i="27" s="1"/>
  <c r="U2408" i="27"/>
  <c r="V2408" i="27" s="1"/>
  <c r="W2408" i="27" s="1"/>
  <c r="K2459" i="27"/>
  <c r="K2495" i="27"/>
  <c r="E2512" i="27"/>
  <c r="U2538" i="27"/>
  <c r="V2538" i="27" s="1"/>
  <c r="W2538" i="27" s="1"/>
  <c r="K2557" i="27"/>
  <c r="E2565" i="27"/>
  <c r="K2608" i="27"/>
  <c r="E2618" i="27"/>
  <c r="U2636" i="27"/>
  <c r="V2636" i="27" s="1"/>
  <c r="W2636" i="27" s="1"/>
  <c r="U2639" i="27"/>
  <c r="V2639" i="27" s="1"/>
  <c r="W2639" i="27" s="1"/>
  <c r="K2661" i="27"/>
  <c r="E2661" i="27"/>
  <c r="U2661" i="27"/>
  <c r="V2661" i="27" s="1"/>
  <c r="W2661" i="27" s="1"/>
  <c r="U2666" i="27"/>
  <c r="V2666" i="27" s="1"/>
  <c r="W2666" i="27" s="1"/>
  <c r="K2666" i="27"/>
  <c r="U2680" i="27"/>
  <c r="V2680" i="27" s="1"/>
  <c r="W2680" i="27" s="1"/>
  <c r="E2680" i="27"/>
  <c r="K2689" i="27"/>
  <c r="U2689" i="27"/>
  <c r="V2689" i="27" s="1"/>
  <c r="W2689" i="27" s="1"/>
  <c r="H2690" i="27"/>
  <c r="H2694" i="27"/>
  <c r="K2705" i="27"/>
  <c r="U2705" i="27"/>
  <c r="V2705" i="27" s="1"/>
  <c r="W2705" i="27" s="1"/>
  <c r="U2723" i="27"/>
  <c r="V2723" i="27" s="1"/>
  <c r="W2723" i="27" s="1"/>
  <c r="K2723" i="27"/>
  <c r="E2723" i="27"/>
  <c r="U2780" i="27"/>
  <c r="V2780" i="27" s="1"/>
  <c r="W2780" i="27" s="1"/>
  <c r="K2780" i="27"/>
  <c r="E2780" i="27"/>
  <c r="H2880" i="27"/>
  <c r="U2880" i="27"/>
  <c r="V2880" i="27" s="1"/>
  <c r="W2880" i="27" s="1"/>
  <c r="N2897" i="27"/>
  <c r="K2897" i="27"/>
  <c r="N2920" i="27"/>
  <c r="K2920" i="27"/>
  <c r="H2965" i="27"/>
  <c r="K2965" i="27"/>
  <c r="N2965" i="27"/>
  <c r="E2993" i="27"/>
  <c r="K3051" i="27"/>
  <c r="H3051" i="27"/>
  <c r="U3051" i="27"/>
  <c r="V3051" i="27" s="1"/>
  <c r="W3051" i="27" s="1"/>
  <c r="N3051" i="27"/>
  <c r="E3057" i="27"/>
  <c r="K3057" i="27"/>
  <c r="U3148" i="27"/>
  <c r="V3148" i="27" s="1"/>
  <c r="W3148" i="27" s="1"/>
  <c r="H3148" i="27"/>
  <c r="U3298" i="27"/>
  <c r="V3298" i="27" s="1"/>
  <c r="W3298" i="27" s="1"/>
  <c r="K3298" i="27"/>
  <c r="E2135" i="27"/>
  <c r="K2141" i="27"/>
  <c r="K2143" i="27"/>
  <c r="K2145" i="27"/>
  <c r="K2151" i="27"/>
  <c r="N2153" i="27"/>
  <c r="N2155" i="27"/>
  <c r="K2156" i="27"/>
  <c r="K2159" i="27"/>
  <c r="N2161" i="27"/>
  <c r="E2172" i="27"/>
  <c r="E2173" i="27"/>
  <c r="E2174" i="27"/>
  <c r="U2176" i="27"/>
  <c r="V2176" i="27" s="1"/>
  <c r="W2176" i="27" s="1"/>
  <c r="U2180" i="27"/>
  <c r="V2180" i="27" s="1"/>
  <c r="W2180" i="27" s="1"/>
  <c r="E2184" i="27"/>
  <c r="E2185" i="27"/>
  <c r="E2187" i="27"/>
  <c r="E2189" i="27"/>
  <c r="E2190" i="27"/>
  <c r="E2192" i="27"/>
  <c r="E2199" i="27"/>
  <c r="K2205" i="27"/>
  <c r="K2207" i="27"/>
  <c r="K2209" i="27"/>
  <c r="H2221" i="27"/>
  <c r="N2223" i="27"/>
  <c r="N2241" i="27"/>
  <c r="N2249" i="27"/>
  <c r="U2252" i="27"/>
  <c r="V2252" i="27" s="1"/>
  <c r="W2252" i="27" s="1"/>
  <c r="N2259" i="27"/>
  <c r="N2263" i="27"/>
  <c r="K2277" i="27"/>
  <c r="E2284" i="27"/>
  <c r="E2318" i="27"/>
  <c r="N2332" i="27"/>
  <c r="N2338" i="27"/>
  <c r="E2350" i="27"/>
  <c r="N2365" i="27"/>
  <c r="K2376" i="27"/>
  <c r="N2379" i="27"/>
  <c r="E2381" i="27"/>
  <c r="N2389" i="27"/>
  <c r="N2425" i="27"/>
  <c r="E2442" i="27"/>
  <c r="N2445" i="27"/>
  <c r="N2454" i="27"/>
  <c r="K2457" i="27"/>
  <c r="E2464" i="27"/>
  <c r="E2480" i="27"/>
  <c r="N2495" i="27"/>
  <c r="N2521" i="27"/>
  <c r="K2572" i="27"/>
  <c r="U2572" i="27"/>
  <c r="V2572" i="27" s="1"/>
  <c r="W2572" i="27" s="1"/>
  <c r="K2590" i="27"/>
  <c r="H2600" i="27"/>
  <c r="E2600" i="27"/>
  <c r="U2600" i="27"/>
  <c r="V2600" i="27" s="1"/>
  <c r="W2600" i="27" s="1"/>
  <c r="N2609" i="27"/>
  <c r="K2610" i="27"/>
  <c r="U2613" i="27"/>
  <c r="V2613" i="27" s="1"/>
  <c r="W2613" i="27" s="1"/>
  <c r="N2634" i="27"/>
  <c r="E2638" i="27"/>
  <c r="E2639" i="27"/>
  <c r="N2642" i="27"/>
  <c r="U2645" i="27"/>
  <c r="V2645" i="27" s="1"/>
  <c r="W2645" i="27" s="1"/>
  <c r="E2647" i="27"/>
  <c r="N2664" i="27"/>
  <c r="K2673" i="27"/>
  <c r="N2674" i="27"/>
  <c r="U2675" i="27"/>
  <c r="V2675" i="27" s="1"/>
  <c r="W2675" i="27" s="1"/>
  <c r="K2675" i="27"/>
  <c r="K2688" i="27"/>
  <c r="N2695" i="27"/>
  <c r="K2697" i="27"/>
  <c r="H2697" i="27"/>
  <c r="N2722" i="27"/>
  <c r="U2731" i="27"/>
  <c r="V2731" i="27" s="1"/>
  <c r="W2731" i="27" s="1"/>
  <c r="E2731" i="27"/>
  <c r="U2744" i="27"/>
  <c r="V2744" i="27" s="1"/>
  <c r="W2744" i="27" s="1"/>
  <c r="K2744" i="27"/>
  <c r="E2744" i="27"/>
  <c r="K2779" i="27"/>
  <c r="H2779" i="27"/>
  <c r="E2779" i="27"/>
  <c r="K2791" i="27"/>
  <c r="E2791" i="27"/>
  <c r="K2891" i="27"/>
  <c r="H2891" i="27"/>
  <c r="U2897" i="27"/>
  <c r="V2897" i="27" s="1"/>
  <c r="W2897" i="27" s="1"/>
  <c r="K2909" i="27"/>
  <c r="H2909" i="27"/>
  <c r="U2909" i="27"/>
  <c r="V2909" i="27" s="1"/>
  <c r="W2909" i="27" s="1"/>
  <c r="U2920" i="27"/>
  <c r="V2920" i="27" s="1"/>
  <c r="W2920" i="27" s="1"/>
  <c r="U2937" i="27"/>
  <c r="V2937" i="27" s="1"/>
  <c r="W2937" i="27" s="1"/>
  <c r="N2937" i="27"/>
  <c r="E2965" i="27"/>
  <c r="N3025" i="27"/>
  <c r="K3350" i="27"/>
  <c r="U3350" i="27"/>
  <c r="V3350" i="27" s="1"/>
  <c r="W3350" i="27" s="1"/>
  <c r="K3457" i="27"/>
  <c r="E3457" i="27"/>
  <c r="U3245" i="27"/>
  <c r="V3245" i="27" s="1"/>
  <c r="W3245" i="27" s="1"/>
  <c r="K3245" i="27"/>
  <c r="H3255" i="27"/>
  <c r="K3255" i="27"/>
  <c r="N3298" i="27"/>
  <c r="N2397" i="27"/>
  <c r="N2406" i="27"/>
  <c r="N2422" i="27"/>
  <c r="K2427" i="27"/>
  <c r="N2448" i="27"/>
  <c r="H2450" i="27"/>
  <c r="N2457" i="27"/>
  <c r="N2479" i="27"/>
  <c r="N2489" i="27"/>
  <c r="N2511" i="27"/>
  <c r="N2523" i="27"/>
  <c r="K2541" i="27"/>
  <c r="N2557" i="27"/>
  <c r="H2575" i="27"/>
  <c r="N2579" i="27"/>
  <c r="N2584" i="27"/>
  <c r="N2588" i="27"/>
  <c r="E2591" i="27"/>
  <c r="N2596" i="27"/>
  <c r="E2614" i="27"/>
  <c r="N2644" i="27"/>
  <c r="N2646" i="27"/>
  <c r="K2682" i="27"/>
  <c r="E2689" i="27"/>
  <c r="E2699" i="27"/>
  <c r="N2706" i="27"/>
  <c r="N2709" i="27"/>
  <c r="E2711" i="27"/>
  <c r="N2723" i="27"/>
  <c r="K2731" i="27"/>
  <c r="N2732" i="27"/>
  <c r="K2732" i="27"/>
  <c r="H2732" i="27"/>
  <c r="N2744" i="27"/>
  <c r="E2750" i="27"/>
  <c r="E2769" i="27"/>
  <c r="N2796" i="27"/>
  <c r="E2807" i="27"/>
  <c r="E2854" i="27"/>
  <c r="K2866" i="27"/>
  <c r="H2866" i="27"/>
  <c r="U2866" i="27"/>
  <c r="V2866" i="27" s="1"/>
  <c r="W2866" i="27" s="1"/>
  <c r="K2898" i="27"/>
  <c r="N2898" i="27"/>
  <c r="K2899" i="27"/>
  <c r="H2899" i="27"/>
  <c r="K2915" i="27"/>
  <c r="N2994" i="27"/>
  <c r="N3010" i="27"/>
  <c r="K3010" i="27"/>
  <c r="H3010" i="27"/>
  <c r="U3010" i="27"/>
  <c r="V3010" i="27" s="1"/>
  <c r="W3010" i="27" s="1"/>
  <c r="N3057" i="27"/>
  <c r="N3113" i="27"/>
  <c r="N3148" i="27"/>
  <c r="N3281" i="27"/>
  <c r="K3297" i="27"/>
  <c r="U3297" i="27"/>
  <c r="V3297" i="27" s="1"/>
  <c r="W3297" i="27" s="1"/>
  <c r="E3297" i="27"/>
  <c r="H3297" i="27"/>
  <c r="H3382" i="27"/>
  <c r="K3413" i="27"/>
  <c r="U3413" i="27"/>
  <c r="V3413" i="27" s="1"/>
  <c r="W3413" i="27" s="1"/>
  <c r="E3413" i="27"/>
  <c r="H3413" i="27"/>
  <c r="N3550" i="27"/>
  <c r="K3550" i="27"/>
  <c r="H3550" i="27"/>
  <c r="U3550" i="27"/>
  <c r="V3550" i="27" s="1"/>
  <c r="W3550" i="27" s="1"/>
  <c r="N2464" i="27"/>
  <c r="H2466" i="27"/>
  <c r="K2473" i="27"/>
  <c r="N2474" i="27"/>
  <c r="N2487" i="27"/>
  <c r="N2496" i="27"/>
  <c r="H2498" i="27"/>
  <c r="K2505" i="27"/>
  <c r="N2506" i="27"/>
  <c r="N2525" i="27"/>
  <c r="N2533" i="27"/>
  <c r="K2542" i="27"/>
  <c r="N2556" i="27"/>
  <c r="K2562" i="27"/>
  <c r="N2591" i="27"/>
  <c r="K2599" i="27"/>
  <c r="N2604" i="27"/>
  <c r="E2608" i="27"/>
  <c r="E2624" i="27"/>
  <c r="N2631" i="27"/>
  <c r="H2666" i="27"/>
  <c r="N2672" i="27"/>
  <c r="N2711" i="27"/>
  <c r="N2794" i="27"/>
  <c r="K2795" i="27"/>
  <c r="E2795" i="27"/>
  <c r="N2804" i="27"/>
  <c r="N2807" i="27"/>
  <c r="H2847" i="27"/>
  <c r="K2868" i="27"/>
  <c r="E2868" i="27"/>
  <c r="E2909" i="27"/>
  <c r="H2915" i="27"/>
  <c r="U2915" i="27"/>
  <c r="V2915" i="27" s="1"/>
  <c r="W2915" i="27" s="1"/>
  <c r="E2925" i="27"/>
  <c r="H2939" i="27"/>
  <c r="E2996" i="27"/>
  <c r="U3143" i="27"/>
  <c r="V3143" i="27" s="1"/>
  <c r="W3143" i="27" s="1"/>
  <c r="E3143" i="27"/>
  <c r="K3143" i="27"/>
  <c r="N3301" i="27"/>
  <c r="N3339" i="27"/>
  <c r="H3339" i="27"/>
  <c r="K3339" i="27"/>
  <c r="E3339" i="27"/>
  <c r="U3382" i="27"/>
  <c r="V3382" i="27" s="1"/>
  <c r="W3382" i="27" s="1"/>
  <c r="N3382" i="27"/>
  <c r="N3465" i="27"/>
  <c r="K3534" i="27"/>
  <c r="H3534" i="27"/>
  <c r="U3534" i="27"/>
  <c r="V3534" i="27" s="1"/>
  <c r="W3534" i="27" s="1"/>
  <c r="N2505" i="27"/>
  <c r="N2509" i="27"/>
  <c r="N2528" i="27"/>
  <c r="N2532" i="27"/>
  <c r="N2538" i="27"/>
  <c r="N2542" i="27"/>
  <c r="N2546" i="27"/>
  <c r="N2550" i="27"/>
  <c r="K2558" i="27"/>
  <c r="N2562" i="27"/>
  <c r="N2566" i="27"/>
  <c r="N2582" i="27"/>
  <c r="N2611" i="27"/>
  <c r="N2614" i="27"/>
  <c r="E2622" i="27"/>
  <c r="K2641" i="27"/>
  <c r="E2646" i="27"/>
  <c r="N2651" i="27"/>
  <c r="K2657" i="27"/>
  <c r="N2678" i="27"/>
  <c r="K2711" i="27"/>
  <c r="H2711" i="27"/>
  <c r="U2712" i="27"/>
  <c r="V2712" i="27" s="1"/>
  <c r="W2712" i="27" s="1"/>
  <c r="E2712" i="27"/>
  <c r="K2721" i="27"/>
  <c r="H2721" i="27"/>
  <c r="U2759" i="27"/>
  <c r="V2759" i="27" s="1"/>
  <c r="W2759" i="27" s="1"/>
  <c r="K2759" i="27"/>
  <c r="K2772" i="27"/>
  <c r="N2780" i="27"/>
  <c r="K2781" i="27"/>
  <c r="H2781" i="27"/>
  <c r="U2794" i="27"/>
  <c r="V2794" i="27" s="1"/>
  <c r="W2794" i="27" s="1"/>
  <c r="H2794" i="27"/>
  <c r="K2804" i="27"/>
  <c r="K2807" i="27"/>
  <c r="H2807" i="27"/>
  <c r="N2817" i="27"/>
  <c r="N2827" i="27"/>
  <c r="N2854" i="27"/>
  <c r="K2856" i="27"/>
  <c r="U2856" i="27"/>
  <c r="V2856" i="27" s="1"/>
  <c r="W2856" i="27" s="1"/>
  <c r="K2864" i="27"/>
  <c r="H2864" i="27"/>
  <c r="U2864" i="27"/>
  <c r="V2864" i="27" s="1"/>
  <c r="W2864" i="27" s="1"/>
  <c r="N2876" i="27"/>
  <c r="E2897" i="27"/>
  <c r="U2902" i="27"/>
  <c r="V2902" i="27" s="1"/>
  <c r="W2902" i="27" s="1"/>
  <c r="H2963" i="27"/>
  <c r="U3012" i="27"/>
  <c r="V3012" i="27" s="1"/>
  <c r="W3012" i="27" s="1"/>
  <c r="K3012" i="27"/>
  <c r="N3026" i="27"/>
  <c r="K3163" i="27"/>
  <c r="U3163" i="27"/>
  <c r="V3163" i="27" s="1"/>
  <c r="W3163" i="27" s="1"/>
  <c r="U3261" i="27"/>
  <c r="V3261" i="27" s="1"/>
  <c r="W3261" i="27" s="1"/>
  <c r="K3261" i="27"/>
  <c r="K3301" i="27"/>
  <c r="H3301" i="27"/>
  <c r="U3301" i="27"/>
  <c r="V3301" i="27" s="1"/>
  <c r="W3301" i="27" s="1"/>
  <c r="E3301" i="27"/>
  <c r="N3307" i="27"/>
  <c r="U3307" i="27"/>
  <c r="V3307" i="27" s="1"/>
  <c r="W3307" i="27" s="1"/>
  <c r="H3307" i="27"/>
  <c r="K3312" i="27"/>
  <c r="K3443" i="27"/>
  <c r="U3443" i="27"/>
  <c r="V3443" i="27" s="1"/>
  <c r="W3443" i="27" s="1"/>
  <c r="E3443" i="27"/>
  <c r="H3465" i="27"/>
  <c r="U3465" i="27"/>
  <c r="V3465" i="27" s="1"/>
  <c r="W3465" i="27" s="1"/>
  <c r="K2714" i="27"/>
  <c r="K2717" i="27"/>
  <c r="N2726" i="27"/>
  <c r="H2745" i="27"/>
  <c r="K2747" i="27"/>
  <c r="N2756" i="27"/>
  <c r="K2763" i="27"/>
  <c r="N2783" i="27"/>
  <c r="N2800" i="27"/>
  <c r="N2801" i="27"/>
  <c r="N2803" i="27"/>
  <c r="N2832" i="27"/>
  <c r="N2833" i="27"/>
  <c r="N2845" i="27"/>
  <c r="N2849" i="27"/>
  <c r="K2850" i="27"/>
  <c r="E2853" i="27"/>
  <c r="E2855" i="27"/>
  <c r="E2864" i="27"/>
  <c r="E2866" i="27"/>
  <c r="N2884" i="27"/>
  <c r="K2888" i="27"/>
  <c r="E2913" i="27"/>
  <c r="K2926" i="27"/>
  <c r="K2932" i="27"/>
  <c r="K2934" i="27"/>
  <c r="K2949" i="27"/>
  <c r="E2963" i="27"/>
  <c r="N2992" i="27"/>
  <c r="E2995" i="27"/>
  <c r="E3013" i="27"/>
  <c r="K3016" i="27"/>
  <c r="H3016" i="27"/>
  <c r="E3025" i="27"/>
  <c r="K3030" i="27"/>
  <c r="H3042" i="27"/>
  <c r="E3055" i="27"/>
  <c r="E3068" i="27"/>
  <c r="H3076" i="27"/>
  <c r="N3115" i="27"/>
  <c r="N3134" i="27"/>
  <c r="H3135" i="27"/>
  <c r="U3135" i="27"/>
  <c r="V3135" i="27" s="1"/>
  <c r="W3135" i="27" s="1"/>
  <c r="K3135" i="27"/>
  <c r="K3141" i="27"/>
  <c r="U3142" i="27"/>
  <c r="V3142" i="27" s="1"/>
  <c r="W3142" i="27" s="1"/>
  <c r="H3142" i="27"/>
  <c r="N3153" i="27"/>
  <c r="H3245" i="27"/>
  <c r="N3250" i="27"/>
  <c r="N3264" i="27"/>
  <c r="U3266" i="27"/>
  <c r="V3266" i="27" s="1"/>
  <c r="W3266" i="27" s="1"/>
  <c r="H3266" i="27"/>
  <c r="U3277" i="27"/>
  <c r="V3277" i="27" s="1"/>
  <c r="W3277" i="27" s="1"/>
  <c r="K3277" i="27"/>
  <c r="K3417" i="27"/>
  <c r="E3417" i="27"/>
  <c r="H3417" i="27"/>
  <c r="U3417" i="27"/>
  <c r="V3417" i="27" s="1"/>
  <c r="W3417" i="27" s="1"/>
  <c r="U3442" i="27"/>
  <c r="V3442" i="27" s="1"/>
  <c r="W3442" i="27" s="1"/>
  <c r="H3442" i="27"/>
  <c r="U3523" i="27"/>
  <c r="V3523" i="27" s="1"/>
  <c r="W3523" i="27" s="1"/>
  <c r="K3523" i="27"/>
  <c r="H3605" i="27"/>
  <c r="U3605" i="27"/>
  <c r="V3605" i="27" s="1"/>
  <c r="W3605" i="27" s="1"/>
  <c r="K3605" i="27"/>
  <c r="K3618" i="27"/>
  <c r="U3618" i="27"/>
  <c r="V3618" i="27" s="1"/>
  <c r="W3618" i="27" s="1"/>
  <c r="E3618" i="27"/>
  <c r="H3618" i="27"/>
  <c r="H3668" i="27"/>
  <c r="U3688" i="27"/>
  <c r="V3688" i="27" s="1"/>
  <c r="W3688" i="27" s="1"/>
  <c r="H3688" i="27"/>
  <c r="K3688" i="27"/>
  <c r="K3694" i="27"/>
  <c r="H3694" i="27"/>
  <c r="U3694" i="27"/>
  <c r="V3694" i="27" s="1"/>
  <c r="W3694" i="27" s="1"/>
  <c r="E3694" i="27"/>
  <c r="K3732" i="27"/>
  <c r="U3732" i="27"/>
  <c r="V3732" i="27" s="1"/>
  <c r="W3732" i="27" s="1"/>
  <c r="K2726" i="27"/>
  <c r="K2745" i="27"/>
  <c r="H2748" i="27"/>
  <c r="H2780" i="27"/>
  <c r="N2786" i="27"/>
  <c r="K2796" i="27"/>
  <c r="K2800" i="27"/>
  <c r="K2803" i="27"/>
  <c r="E2856" i="27"/>
  <c r="E2876" i="27"/>
  <c r="K2880" i="27"/>
  <c r="H2884" i="27"/>
  <c r="E2915" i="27"/>
  <c r="H2941" i="27"/>
  <c r="H2987" i="27"/>
  <c r="H2995" i="27"/>
  <c r="K3001" i="27"/>
  <c r="U3001" i="27"/>
  <c r="V3001" i="27" s="1"/>
  <c r="W3001" i="27" s="1"/>
  <c r="E3012" i="27"/>
  <c r="H3013" i="27"/>
  <c r="U3017" i="27"/>
  <c r="V3017" i="27" s="1"/>
  <c r="W3017" i="27" s="1"/>
  <c r="H3017" i="27"/>
  <c r="H3038" i="27"/>
  <c r="H3055" i="27"/>
  <c r="H3068" i="27"/>
  <c r="K3075" i="27"/>
  <c r="E3093" i="27"/>
  <c r="U3106" i="27"/>
  <c r="V3106" i="27" s="1"/>
  <c r="W3106" i="27" s="1"/>
  <c r="H3106" i="27"/>
  <c r="N3106" i="27"/>
  <c r="E3149" i="27"/>
  <c r="K3152" i="27"/>
  <c r="U3290" i="27"/>
  <c r="V3290" i="27" s="1"/>
  <c r="W3290" i="27" s="1"/>
  <c r="H3290" i="27"/>
  <c r="E3412" i="27"/>
  <c r="K3412" i="27"/>
  <c r="H2712" i="27"/>
  <c r="N2714" i="27"/>
  <c r="U2726" i="27"/>
  <c r="V2726" i="27" s="1"/>
  <c r="W2726" i="27" s="1"/>
  <c r="E2749" i="27"/>
  <c r="U2750" i="27"/>
  <c r="V2750" i="27" s="1"/>
  <c r="W2750" i="27" s="1"/>
  <c r="E2753" i="27"/>
  <c r="N2755" i="27"/>
  <c r="N2758" i="27"/>
  <c r="N2763" i="27"/>
  <c r="N2766" i="27"/>
  <c r="E2768" i="27"/>
  <c r="E2783" i="27"/>
  <c r="H2795" i="27"/>
  <c r="N2798" i="27"/>
  <c r="N2799" i="27"/>
  <c r="E2801" i="27"/>
  <c r="U2803" i="27"/>
  <c r="V2803" i="27" s="1"/>
  <c r="W2803" i="27" s="1"/>
  <c r="N2809" i="27"/>
  <c r="N2811" i="27"/>
  <c r="N2823" i="27"/>
  <c r="K2828" i="27"/>
  <c r="E2833" i="27"/>
  <c r="N2836" i="27"/>
  <c r="H2844" i="27"/>
  <c r="E2846" i="27"/>
  <c r="E2847" i="27"/>
  <c r="U2847" i="27"/>
  <c r="V2847" i="27" s="1"/>
  <c r="W2847" i="27" s="1"/>
  <c r="K2851" i="27"/>
  <c r="K2853" i="27"/>
  <c r="H2856" i="27"/>
  <c r="K2857" i="27"/>
  <c r="H2870" i="27"/>
  <c r="K2887" i="27"/>
  <c r="N2889" i="27"/>
  <c r="E2937" i="27"/>
  <c r="E2939" i="27"/>
  <c r="U2939" i="27"/>
  <c r="V2939" i="27" s="1"/>
  <c r="W2939" i="27" s="1"/>
  <c r="K2947" i="27"/>
  <c r="K2995" i="27"/>
  <c r="K2996" i="27"/>
  <c r="H2999" i="27"/>
  <c r="U3000" i="27"/>
  <c r="V3000" i="27" s="1"/>
  <c r="W3000" i="27" s="1"/>
  <c r="K3000" i="27"/>
  <c r="E3000" i="27"/>
  <c r="E3010" i="27"/>
  <c r="H3012" i="27"/>
  <c r="K3013" i="27"/>
  <c r="H3040" i="27"/>
  <c r="K3068" i="27"/>
  <c r="E3071" i="27"/>
  <c r="K3073" i="27"/>
  <c r="H3085" i="27"/>
  <c r="E3163" i="27"/>
  <c r="H3222" i="27"/>
  <c r="U3222" i="27"/>
  <c r="V3222" i="27" s="1"/>
  <c r="W3222" i="27" s="1"/>
  <c r="K3222" i="27"/>
  <c r="K3229" i="27"/>
  <c r="E3229" i="27"/>
  <c r="H3229" i="27"/>
  <c r="H3246" i="27"/>
  <c r="N3262" i="27"/>
  <c r="U3269" i="27"/>
  <c r="V3269" i="27" s="1"/>
  <c r="W3269" i="27" s="1"/>
  <c r="K3269" i="27"/>
  <c r="N3289" i="27"/>
  <c r="N3314" i="27"/>
  <c r="N3390" i="27"/>
  <c r="U3398" i="27"/>
  <c r="V3398" i="27" s="1"/>
  <c r="W3398" i="27" s="1"/>
  <c r="H3398" i="27"/>
  <c r="K3558" i="27"/>
  <c r="E3558" i="27"/>
  <c r="N3558" i="27"/>
  <c r="K2712" i="27"/>
  <c r="N2713" i="27"/>
  <c r="E2717" i="27"/>
  <c r="N2725" i="27"/>
  <c r="E2729" i="27"/>
  <c r="H2731" i="27"/>
  <c r="K2733" i="27"/>
  <c r="N2746" i="27"/>
  <c r="K2758" i="27"/>
  <c r="N2759" i="27"/>
  <c r="N2776" i="27"/>
  <c r="H2782" i="27"/>
  <c r="E2786" i="27"/>
  <c r="E2787" i="27"/>
  <c r="N2797" i="27"/>
  <c r="E2803" i="27"/>
  <c r="N2820" i="27"/>
  <c r="N2821" i="27"/>
  <c r="N2828" i="27"/>
  <c r="E2831" i="27"/>
  <c r="K2836" i="27"/>
  <c r="N2839" i="27"/>
  <c r="E2843" i="27"/>
  <c r="U2844" i="27"/>
  <c r="V2844" i="27" s="1"/>
  <c r="W2844" i="27" s="1"/>
  <c r="N2853" i="27"/>
  <c r="N2878" i="27"/>
  <c r="N2887" i="27"/>
  <c r="N2893" i="27"/>
  <c r="K2908" i="27"/>
  <c r="H2916" i="27"/>
  <c r="K2917" i="27"/>
  <c r="E2923" i="27"/>
  <c r="H2934" i="27"/>
  <c r="N2935" i="27"/>
  <c r="H2937" i="27"/>
  <c r="E2941" i="27"/>
  <c r="N2944" i="27"/>
  <c r="N2947" i="27"/>
  <c r="H2958" i="27"/>
  <c r="K2963" i="27"/>
  <c r="E2986" i="27"/>
  <c r="E2988" i="27"/>
  <c r="E2992" i="27"/>
  <c r="N2995" i="27"/>
  <c r="E3002" i="27"/>
  <c r="N3013" i="27"/>
  <c r="N3014" i="27"/>
  <c r="E3017" i="27"/>
  <c r="K3020" i="27"/>
  <c r="K3099" i="27"/>
  <c r="U3099" i="27"/>
  <c r="V3099" i="27" s="1"/>
  <c r="W3099" i="27" s="1"/>
  <c r="K3113" i="27"/>
  <c r="H3143" i="27"/>
  <c r="H3220" i="27"/>
  <c r="K3220" i="27"/>
  <c r="N3245" i="27"/>
  <c r="U3262" i="27"/>
  <c r="V3262" i="27" s="1"/>
  <c r="W3262" i="27" s="1"/>
  <c r="H3262" i="27"/>
  <c r="N3268" i="27"/>
  <c r="U3314" i="27"/>
  <c r="V3314" i="27" s="1"/>
  <c r="W3314" i="27" s="1"/>
  <c r="K3314" i="27"/>
  <c r="H3314" i="27"/>
  <c r="N3350" i="27"/>
  <c r="U3390" i="27"/>
  <c r="V3390" i="27" s="1"/>
  <c r="W3390" i="27" s="1"/>
  <c r="H3390" i="27"/>
  <c r="N3564" i="27"/>
  <c r="E3564" i="27"/>
  <c r="H3597" i="27"/>
  <c r="U3597" i="27"/>
  <c r="V3597" i="27" s="1"/>
  <c r="W3597" i="27" s="1"/>
  <c r="K3597" i="27"/>
  <c r="E3597" i="27"/>
  <c r="U3022" i="27"/>
  <c r="V3022" i="27" s="1"/>
  <c r="W3022" i="27" s="1"/>
  <c r="E3022" i="27"/>
  <c r="N3027" i="27"/>
  <c r="E3036" i="27"/>
  <c r="N3041" i="27"/>
  <c r="K3041" i="27"/>
  <c r="U3041" i="27"/>
  <c r="V3041" i="27" s="1"/>
  <c r="W3041" i="27" s="1"/>
  <c r="N3042" i="27"/>
  <c r="N3046" i="27"/>
  <c r="U3050" i="27"/>
  <c r="V3050" i="27" s="1"/>
  <c r="W3050" i="27" s="1"/>
  <c r="H3050" i="27"/>
  <c r="H3061" i="27"/>
  <c r="U3061" i="27"/>
  <c r="V3061" i="27" s="1"/>
  <c r="W3061" i="27" s="1"/>
  <c r="K3083" i="27"/>
  <c r="N3099" i="27"/>
  <c r="K3101" i="27"/>
  <c r="N3111" i="27"/>
  <c r="K3115" i="27"/>
  <c r="N3152" i="27"/>
  <c r="K3161" i="27"/>
  <c r="K3192" i="27"/>
  <c r="K3234" i="27"/>
  <c r="U3234" i="27"/>
  <c r="V3234" i="27" s="1"/>
  <c r="W3234" i="27" s="1"/>
  <c r="K3249" i="27"/>
  <c r="H3249" i="27"/>
  <c r="H3256" i="27"/>
  <c r="H3269" i="27"/>
  <c r="U3273" i="27"/>
  <c r="V3273" i="27" s="1"/>
  <c r="W3273" i="27" s="1"/>
  <c r="E3273" i="27"/>
  <c r="N3294" i="27"/>
  <c r="E3295" i="27"/>
  <c r="E3298" i="27"/>
  <c r="E3303" i="27"/>
  <c r="E3323" i="27"/>
  <c r="K3366" i="27"/>
  <c r="U3366" i="27"/>
  <c r="V3366" i="27" s="1"/>
  <c r="W3366" i="27" s="1"/>
  <c r="N3381" i="27"/>
  <c r="E3392" i="27"/>
  <c r="N3402" i="27"/>
  <c r="H3406" i="27"/>
  <c r="U3445" i="27"/>
  <c r="V3445" i="27" s="1"/>
  <c r="W3445" i="27" s="1"/>
  <c r="E3445" i="27"/>
  <c r="K3445" i="27"/>
  <c r="N3454" i="27"/>
  <c r="H3468" i="27"/>
  <c r="N3481" i="27"/>
  <c r="N3533" i="27"/>
  <c r="U3611" i="27"/>
  <c r="V3611" i="27" s="1"/>
  <c r="W3611" i="27" s="1"/>
  <c r="K3611" i="27"/>
  <c r="E3645" i="27"/>
  <c r="H3645" i="27"/>
  <c r="N3712" i="27"/>
  <c r="N3221" i="27"/>
  <c r="N3223" i="27"/>
  <c r="N3224" i="27"/>
  <c r="H3277" i="27"/>
  <c r="N3293" i="27"/>
  <c r="H3298" i="27"/>
  <c r="H3303" i="27"/>
  <c r="E3336" i="27"/>
  <c r="K3365" i="27"/>
  <c r="E3370" i="27"/>
  <c r="E3390" i="27"/>
  <c r="E3442" i="27"/>
  <c r="N3463" i="27"/>
  <c r="K3481" i="27"/>
  <c r="U3481" i="27"/>
  <c r="V3481" i="27" s="1"/>
  <c r="W3481" i="27" s="1"/>
  <c r="K3533" i="27"/>
  <c r="U3533" i="27"/>
  <c r="V3533" i="27" s="1"/>
  <c r="W3533" i="27" s="1"/>
  <c r="H3628" i="27"/>
  <c r="U3628" i="27"/>
  <c r="V3628" i="27" s="1"/>
  <c r="W3628" i="27" s="1"/>
  <c r="U3712" i="27"/>
  <c r="V3712" i="27" s="1"/>
  <c r="W3712" i="27" s="1"/>
  <c r="K3712" i="27"/>
  <c r="E3743" i="27"/>
  <c r="K3744" i="27"/>
  <c r="N3744" i="27"/>
  <c r="E3750" i="27"/>
  <c r="K3221" i="27"/>
  <c r="U3221" i="27"/>
  <c r="V3221" i="27" s="1"/>
  <c r="W3221" i="27" s="1"/>
  <c r="H3239" i="27"/>
  <c r="U3258" i="27"/>
  <c r="V3258" i="27" s="1"/>
  <c r="W3258" i="27" s="1"/>
  <c r="E3258" i="27"/>
  <c r="U3293" i="27"/>
  <c r="V3293" i="27" s="1"/>
  <c r="W3293" i="27" s="1"/>
  <c r="E3293" i="27"/>
  <c r="N3395" i="27"/>
  <c r="E3550" i="27"/>
  <c r="N3581" i="27"/>
  <c r="K3610" i="27"/>
  <c r="E3610" i="27"/>
  <c r="U3651" i="27"/>
  <c r="V3651" i="27" s="1"/>
  <c r="W3651" i="27" s="1"/>
  <c r="H3651" i="27"/>
  <c r="U3682" i="27"/>
  <c r="V3682" i="27" s="1"/>
  <c r="W3682" i="27" s="1"/>
  <c r="K3682" i="27"/>
  <c r="H3261" i="27"/>
  <c r="N3285" i="27"/>
  <c r="K3290" i="27"/>
  <c r="H3292" i="27"/>
  <c r="U3292" i="27"/>
  <c r="V3292" i="27" s="1"/>
  <c r="W3292" i="27" s="1"/>
  <c r="E3292" i="27"/>
  <c r="H3317" i="27"/>
  <c r="U3317" i="27"/>
  <c r="V3317" i="27" s="1"/>
  <c r="W3317" i="27" s="1"/>
  <c r="E3317" i="27"/>
  <c r="U3331" i="27"/>
  <c r="V3331" i="27" s="1"/>
  <c r="W3331" i="27" s="1"/>
  <c r="E3331" i="27"/>
  <c r="N3392" i="27"/>
  <c r="K3395" i="27"/>
  <c r="U3395" i="27"/>
  <c r="V3395" i="27" s="1"/>
  <c r="W3395" i="27" s="1"/>
  <c r="E3403" i="27"/>
  <c r="K3406" i="27"/>
  <c r="U3406" i="27"/>
  <c r="V3406" i="27" s="1"/>
  <c r="W3406" i="27" s="1"/>
  <c r="E3455" i="27"/>
  <c r="N3457" i="27"/>
  <c r="K3459" i="27"/>
  <c r="U3459" i="27"/>
  <c r="V3459" i="27" s="1"/>
  <c r="W3459" i="27" s="1"/>
  <c r="H3459" i="27"/>
  <c r="E3465" i="27"/>
  <c r="N3518" i="27"/>
  <c r="E3523" i="27"/>
  <c r="E3534" i="27"/>
  <c r="U3591" i="27"/>
  <c r="V3591" i="27" s="1"/>
  <c r="W3591" i="27" s="1"/>
  <c r="H3591" i="27"/>
  <c r="K3601" i="27"/>
  <c r="N3601" i="27"/>
  <c r="K3641" i="27"/>
  <c r="E3641" i="27"/>
  <c r="N3641" i="27"/>
  <c r="U3676" i="27"/>
  <c r="V3676" i="27" s="1"/>
  <c r="W3676" i="27" s="1"/>
  <c r="E3676" i="27"/>
  <c r="E3688" i="27"/>
  <c r="U3690" i="27"/>
  <c r="V3690" i="27" s="1"/>
  <c r="W3690" i="27" s="1"/>
  <c r="H3690" i="27"/>
  <c r="N3690" i="27"/>
  <c r="K3690" i="27"/>
  <c r="H3719" i="27"/>
  <c r="K3719" i="27"/>
  <c r="E3719" i="27"/>
  <c r="E3030" i="27"/>
  <c r="E3033" i="27"/>
  <c r="E3039" i="27"/>
  <c r="E3041" i="27"/>
  <c r="H3049" i="27"/>
  <c r="H3053" i="27"/>
  <c r="N3068" i="27"/>
  <c r="K3084" i="27"/>
  <c r="N3087" i="27"/>
  <c r="N3103" i="27"/>
  <c r="N3107" i="27"/>
  <c r="N3135" i="27"/>
  <c r="N3140" i="27"/>
  <c r="N3141" i="27"/>
  <c r="N3142" i="27"/>
  <c r="H3147" i="27"/>
  <c r="E3148" i="27"/>
  <c r="N3151" i="27"/>
  <c r="N3159" i="27"/>
  <c r="N3222" i="27"/>
  <c r="K3224" i="27"/>
  <c r="K3243" i="27"/>
  <c r="H3248" i="27"/>
  <c r="E3261" i="27"/>
  <c r="E3262" i="27"/>
  <c r="N3269" i="27"/>
  <c r="N3273" i="27"/>
  <c r="N3277" i="27"/>
  <c r="H3280" i="27"/>
  <c r="E3286" i="27"/>
  <c r="N3290" i="27"/>
  <c r="K3293" i="27"/>
  <c r="N3312" i="27"/>
  <c r="K3313" i="27"/>
  <c r="N3328" i="27"/>
  <c r="N3333" i="27"/>
  <c r="K3334" i="27"/>
  <c r="H3334" i="27"/>
  <c r="H3338" i="27"/>
  <c r="H3342" i="27"/>
  <c r="H3374" i="27"/>
  <c r="K3401" i="27"/>
  <c r="N3413" i="27"/>
  <c r="N3455" i="27"/>
  <c r="K3456" i="27"/>
  <c r="E3464" i="27"/>
  <c r="N3468" i="27"/>
  <c r="N3469" i="27"/>
  <c r="U3469" i="27"/>
  <c r="V3469" i="27" s="1"/>
  <c r="W3469" i="27" s="1"/>
  <c r="N3523" i="27"/>
  <c r="N3610" i="27"/>
  <c r="U3616" i="27"/>
  <c r="V3616" i="27" s="1"/>
  <c r="W3616" i="27" s="1"/>
  <c r="H3616" i="27"/>
  <c r="E3616" i="27"/>
  <c r="K3616" i="27"/>
  <c r="K3622" i="27"/>
  <c r="U3622" i="27"/>
  <c r="V3622" i="27" s="1"/>
  <c r="W3622" i="27" s="1"/>
  <c r="E3622" i="27"/>
  <c r="H3622" i="27"/>
  <c r="H3652" i="27"/>
  <c r="N3671" i="27"/>
  <c r="E3757" i="27"/>
  <c r="N3023" i="27"/>
  <c r="K3027" i="27"/>
  <c r="N3029" i="27"/>
  <c r="N3039" i="27"/>
  <c r="N3040" i="27"/>
  <c r="H3056" i="27"/>
  <c r="E3061" i="27"/>
  <c r="E3065" i="27"/>
  <c r="N3076" i="27"/>
  <c r="N3081" i="27"/>
  <c r="K3095" i="27"/>
  <c r="N3116" i="27"/>
  <c r="E3135" i="27"/>
  <c r="E3140" i="27"/>
  <c r="K3148" i="27"/>
  <c r="H3157" i="27"/>
  <c r="H3163" i="27"/>
  <c r="E3222" i="27"/>
  <c r="K3241" i="27"/>
  <c r="N3246" i="27"/>
  <c r="N3247" i="27"/>
  <c r="N3248" i="27"/>
  <c r="K3262" i="27"/>
  <c r="N3278" i="27"/>
  <c r="N3279" i="27"/>
  <c r="K3285" i="27"/>
  <c r="N3286" i="27"/>
  <c r="N3299" i="27"/>
  <c r="H3330" i="27"/>
  <c r="N3337" i="27"/>
  <c r="N3341" i="27"/>
  <c r="K3342" i="27"/>
  <c r="U3343" i="27"/>
  <c r="V3343" i="27" s="1"/>
  <c r="W3343" i="27" s="1"/>
  <c r="E3343" i="27"/>
  <c r="E3350" i="27"/>
  <c r="K3352" i="27"/>
  <c r="E3352" i="27"/>
  <c r="U3365" i="27"/>
  <c r="V3365" i="27" s="1"/>
  <c r="W3365" i="27" s="1"/>
  <c r="H3365" i="27"/>
  <c r="K3368" i="27"/>
  <c r="K3387" i="27"/>
  <c r="H3387" i="27"/>
  <c r="U3387" i="27"/>
  <c r="V3387" i="27" s="1"/>
  <c r="W3387" i="27" s="1"/>
  <c r="K3397" i="27"/>
  <c r="E3397" i="27"/>
  <c r="H3402" i="27"/>
  <c r="K3418" i="27"/>
  <c r="E3422" i="27"/>
  <c r="N3464" i="27"/>
  <c r="N3466" i="27"/>
  <c r="K3467" i="27"/>
  <c r="N3536" i="27"/>
  <c r="H3564" i="27"/>
  <c r="N3572" i="27"/>
  <c r="E3609" i="27"/>
  <c r="K3755" i="27"/>
  <c r="U3755" i="27"/>
  <c r="V3755" i="27" s="1"/>
  <c r="W3755" i="27" s="1"/>
  <c r="H3755" i="27"/>
  <c r="H3758" i="27"/>
  <c r="H3001" i="27"/>
  <c r="K3008" i="27"/>
  <c r="N3012" i="27"/>
  <c r="H3019" i="27"/>
  <c r="K3036" i="27"/>
  <c r="K3040" i="27"/>
  <c r="E3044" i="27"/>
  <c r="N3047" i="27"/>
  <c r="E3052" i="27"/>
  <c r="K3056" i="27"/>
  <c r="H3065" i="27"/>
  <c r="E3069" i="27"/>
  <c r="K3090" i="27"/>
  <c r="E3107" i="27"/>
  <c r="H3133" i="27"/>
  <c r="E3142" i="27"/>
  <c r="E3152" i="27"/>
  <c r="E3154" i="27"/>
  <c r="K3231" i="27"/>
  <c r="E3245" i="27"/>
  <c r="N3255" i="27"/>
  <c r="N3261" i="27"/>
  <c r="E3266" i="27"/>
  <c r="E3268" i="27"/>
  <c r="E3269" i="27"/>
  <c r="E3277" i="27"/>
  <c r="E3290" i="27"/>
  <c r="N3300" i="27"/>
  <c r="E3307" i="27"/>
  <c r="E3314" i="27"/>
  <c r="N3336" i="27"/>
  <c r="H3350" i="27"/>
  <c r="K3363" i="27"/>
  <c r="K3374" i="27"/>
  <c r="U3374" i="27"/>
  <c r="V3374" i="27" s="1"/>
  <c r="W3374" i="27" s="1"/>
  <c r="N3396" i="27"/>
  <c r="N3418" i="27"/>
  <c r="H3422" i="27"/>
  <c r="N3438" i="27"/>
  <c r="H3464" i="27"/>
  <c r="K3466" i="27"/>
  <c r="N3519" i="27"/>
  <c r="N3534" i="27"/>
  <c r="H3572" i="27"/>
  <c r="U3572" i="27"/>
  <c r="V3572" i="27" s="1"/>
  <c r="W3572" i="27" s="1"/>
  <c r="E3572" i="27"/>
  <c r="U3584" i="27"/>
  <c r="V3584" i="27" s="1"/>
  <c r="W3584" i="27" s="1"/>
  <c r="K3584" i="27"/>
  <c r="E3584" i="27"/>
  <c r="N3597" i="27"/>
  <c r="H3611" i="27"/>
  <c r="K3627" i="27"/>
  <c r="U3627" i="27"/>
  <c r="V3627" i="27" s="1"/>
  <c r="W3627" i="27" s="1"/>
  <c r="N3627" i="27"/>
  <c r="H3627" i="27"/>
  <c r="N3651" i="27"/>
  <c r="N3719" i="27"/>
  <c r="N3732" i="27"/>
  <c r="U3735" i="27"/>
  <c r="V3735" i="27" s="1"/>
  <c r="W3735" i="27" s="1"/>
  <c r="H3735" i="27"/>
  <c r="N3735" i="27"/>
  <c r="K3735" i="27"/>
  <c r="E3355" i="27"/>
  <c r="E3360" i="27"/>
  <c r="E3395" i="27"/>
  <c r="E3398" i="27"/>
  <c r="E3426" i="27"/>
  <c r="K3440" i="27"/>
  <c r="K3442" i="27"/>
  <c r="K3444" i="27"/>
  <c r="N3446" i="27"/>
  <c r="K3453" i="27"/>
  <c r="K3458" i="27"/>
  <c r="N3459" i="27"/>
  <c r="E3469" i="27"/>
  <c r="N3480" i="27"/>
  <c r="N3584" i="27"/>
  <c r="H3585" i="27"/>
  <c r="E3589" i="27"/>
  <c r="H3589" i="27"/>
  <c r="N3604" i="27"/>
  <c r="N3609" i="27"/>
  <c r="H3615" i="27"/>
  <c r="U3615" i="27"/>
  <c r="V3615" i="27" s="1"/>
  <c r="W3615" i="27" s="1"/>
  <c r="N3652" i="27"/>
  <c r="U3661" i="27"/>
  <c r="V3661" i="27" s="1"/>
  <c r="W3661" i="27" s="1"/>
  <c r="H3661" i="27"/>
  <c r="N3694" i="27"/>
  <c r="N3713" i="27"/>
  <c r="N3717" i="27"/>
  <c r="N3758" i="27"/>
  <c r="N3325" i="27"/>
  <c r="K3330" i="27"/>
  <c r="K3338" i="27"/>
  <c r="E3340" i="27"/>
  <c r="N3354" i="27"/>
  <c r="N3356" i="27"/>
  <c r="N3358" i="27"/>
  <c r="K3359" i="27"/>
  <c r="N3361" i="27"/>
  <c r="H3370" i="27"/>
  <c r="N3375" i="27"/>
  <c r="N3378" i="27"/>
  <c r="E3386" i="27"/>
  <c r="E3387" i="27"/>
  <c r="K3402" i="27"/>
  <c r="N3408" i="27"/>
  <c r="N3409" i="27"/>
  <c r="N3410" i="27"/>
  <c r="E3418" i="27"/>
  <c r="N3424" i="27"/>
  <c r="N3425" i="27"/>
  <c r="K3426" i="27"/>
  <c r="N3428" i="27"/>
  <c r="K3430" i="27"/>
  <c r="N3434" i="27"/>
  <c r="N3450" i="27"/>
  <c r="H3455" i="27"/>
  <c r="H3458" i="27"/>
  <c r="N3470" i="27"/>
  <c r="N3471" i="27"/>
  <c r="N3505" i="27"/>
  <c r="N3507" i="27"/>
  <c r="N3509" i="27"/>
  <c r="K3512" i="27"/>
  <c r="E3526" i="27"/>
  <c r="N3530" i="27"/>
  <c r="N3542" i="27"/>
  <c r="E3554" i="27"/>
  <c r="K3559" i="27"/>
  <c r="H3559" i="27"/>
  <c r="U3559" i="27"/>
  <c r="V3559" i="27" s="1"/>
  <c r="W3559" i="27" s="1"/>
  <c r="E3559" i="27"/>
  <c r="N3562" i="27"/>
  <c r="K3563" i="27"/>
  <c r="H3563" i="27"/>
  <c r="U3563" i="27"/>
  <c r="V3563" i="27" s="1"/>
  <c r="W3563" i="27" s="1"/>
  <c r="U3580" i="27"/>
  <c r="V3580" i="27" s="1"/>
  <c r="W3580" i="27" s="1"/>
  <c r="H3580" i="27"/>
  <c r="K3580" i="27"/>
  <c r="E3605" i="27"/>
  <c r="N3630" i="27"/>
  <c r="E3644" i="27"/>
  <c r="E3692" i="27"/>
  <c r="N3700" i="27"/>
  <c r="N3701" i="27"/>
  <c r="E3702" i="27"/>
  <c r="H3702" i="27"/>
  <c r="H3706" i="27"/>
  <c r="K3716" i="27"/>
  <c r="U3716" i="27"/>
  <c r="V3716" i="27" s="1"/>
  <c r="W3716" i="27" s="1"/>
  <c r="N3316" i="27"/>
  <c r="N3323" i="27"/>
  <c r="N3330" i="27"/>
  <c r="K3336" i="27"/>
  <c r="N3338" i="27"/>
  <c r="E3342" i="27"/>
  <c r="K3357" i="27"/>
  <c r="K3358" i="27"/>
  <c r="N3360" i="27"/>
  <c r="K3370" i="27"/>
  <c r="E3374" i="27"/>
  <c r="E3382" i="27"/>
  <c r="H3386" i="27"/>
  <c r="K3392" i="27"/>
  <c r="N3404" i="27"/>
  <c r="N3405" i="27"/>
  <c r="N3406" i="27"/>
  <c r="K3407" i="27"/>
  <c r="H3418" i="27"/>
  <c r="K3428" i="27"/>
  <c r="E3438" i="27"/>
  <c r="E3440" i="27"/>
  <c r="H3441" i="27"/>
  <c r="E3453" i="27"/>
  <c r="K3455" i="27"/>
  <c r="E3459" i="27"/>
  <c r="K3465" i="27"/>
  <c r="E3471" i="27"/>
  <c r="E3517" i="27"/>
  <c r="K3518" i="27"/>
  <c r="E3524" i="27"/>
  <c r="E3562" i="27"/>
  <c r="K3562" i="27"/>
  <c r="U3562" i="27"/>
  <c r="V3562" i="27" s="1"/>
  <c r="W3562" i="27" s="1"/>
  <c r="H3586" i="27"/>
  <c r="N3611" i="27"/>
  <c r="N3618" i="27"/>
  <c r="K3620" i="27"/>
  <c r="H3620" i="27"/>
  <c r="U3620" i="27"/>
  <c r="V3620" i="27" s="1"/>
  <c r="W3620" i="27" s="1"/>
  <c r="E3626" i="27"/>
  <c r="N3628" i="27"/>
  <c r="H3630" i="27"/>
  <c r="U3630" i="27"/>
  <c r="V3630" i="27" s="1"/>
  <c r="W3630" i="27" s="1"/>
  <c r="E3630" i="27"/>
  <c r="E3652" i="27"/>
  <c r="E3691" i="27"/>
  <c r="E3700" i="27"/>
  <c r="K3700" i="27"/>
  <c r="H3700" i="27"/>
  <c r="H3714" i="27"/>
  <c r="U3727" i="27"/>
  <c r="V3727" i="27" s="1"/>
  <c r="W3727" i="27" s="1"/>
  <c r="N3727" i="27"/>
  <c r="N3737" i="27"/>
  <c r="E3737" i="27"/>
  <c r="K3737" i="27"/>
  <c r="E3752" i="27"/>
  <c r="N3755" i="27"/>
  <c r="E3480" i="27"/>
  <c r="E3481" i="27"/>
  <c r="N3506" i="27"/>
  <c r="K3507" i="27"/>
  <c r="K3510" i="27"/>
  <c r="K3513" i="27"/>
  <c r="E3520" i="27"/>
  <c r="N3524" i="27"/>
  <c r="K3543" i="27"/>
  <c r="N3544" i="27"/>
  <c r="E3569" i="27"/>
  <c r="E3604" i="27"/>
  <c r="E3607" i="27"/>
  <c r="E3628" i="27"/>
  <c r="N3635" i="27"/>
  <c r="U3635" i="27"/>
  <c r="V3635" i="27" s="1"/>
  <c r="W3635" i="27" s="1"/>
  <c r="K3637" i="27"/>
  <c r="E3637" i="27"/>
  <c r="K3646" i="27"/>
  <c r="H3712" i="27"/>
  <c r="E3720" i="27"/>
  <c r="U3722" i="27"/>
  <c r="V3722" i="27" s="1"/>
  <c r="W3722" i="27" s="1"/>
  <c r="K3722" i="27"/>
  <c r="N3728" i="27"/>
  <c r="N3739" i="27"/>
  <c r="E3744" i="27"/>
  <c r="K3748" i="27"/>
  <c r="U3748" i="27"/>
  <c r="V3748" i="27" s="1"/>
  <c r="W3748" i="27" s="1"/>
  <c r="E3755" i="27"/>
  <c r="N3543" i="27"/>
  <c r="K3544" i="27"/>
  <c r="K3636" i="27"/>
  <c r="K3644" i="27"/>
  <c r="H3666" i="27"/>
  <c r="K3671" i="27"/>
  <c r="N3692" i="27"/>
  <c r="N3705" i="27"/>
  <c r="N3708" i="27"/>
  <c r="E3732" i="27"/>
  <c r="N3554" i="27"/>
  <c r="N3567" i="27"/>
  <c r="H3582" i="27"/>
  <c r="N3585" i="27"/>
  <c r="N3607" i="27"/>
  <c r="N3612" i="27"/>
  <c r="E3620" i="27"/>
  <c r="N3624" i="27"/>
  <c r="K3626" i="27"/>
  <c r="N3631" i="27"/>
  <c r="H3647" i="27"/>
  <c r="N3654" i="27"/>
  <c r="N3660" i="27"/>
  <c r="E3682" i="27"/>
  <c r="N3689" i="27"/>
  <c r="K3691" i="27"/>
  <c r="K3698" i="27"/>
  <c r="N3699" i="27"/>
  <c r="H3701" i="27"/>
  <c r="K3717" i="27"/>
  <c r="N3718" i="27"/>
  <c r="E3724" i="27"/>
  <c r="K3728" i="27"/>
  <c r="K3566" i="27"/>
  <c r="H3584" i="27"/>
  <c r="E3591" i="27"/>
  <c r="N3606" i="27"/>
  <c r="E3611" i="27"/>
  <c r="N3626" i="27"/>
  <c r="K3628" i="27"/>
  <c r="E3631" i="27"/>
  <c r="K3634" i="27"/>
  <c r="K3652" i="27"/>
  <c r="K3654" i="27"/>
  <c r="N3661" i="27"/>
  <c r="E3664" i="27"/>
  <c r="N3667" i="27"/>
  <c r="H3682" i="27"/>
  <c r="E3683" i="27"/>
  <c r="N3691" i="27"/>
  <c r="K3701" i="27"/>
  <c r="N3706" i="27"/>
  <c r="K3710" i="27"/>
  <c r="E3712" i="27"/>
  <c r="E3714" i="27"/>
  <c r="N3716" i="27"/>
  <c r="N3720" i="27"/>
  <c r="H3724" i="27"/>
  <c r="K3738" i="27"/>
  <c r="K3745" i="27"/>
  <c r="K3759" i="27"/>
  <c r="N3760" i="27"/>
  <c r="K3762" i="27"/>
  <c r="N3557" i="27"/>
  <c r="E3561" i="27"/>
  <c r="N3563" i="27"/>
  <c r="H3567" i="27"/>
  <c r="H3568" i="27"/>
  <c r="K3576" i="27"/>
  <c r="N3583" i="27"/>
  <c r="E3586" i="27"/>
  <c r="K3587" i="27"/>
  <c r="K3591" i="27"/>
  <c r="E3594" i="27"/>
  <c r="N3620" i="27"/>
  <c r="N3621" i="27"/>
  <c r="E3627" i="27"/>
  <c r="N3629" i="27"/>
  <c r="N3639" i="27"/>
  <c r="N3646" i="27"/>
  <c r="K3648" i="27"/>
  <c r="E3651" i="27"/>
  <c r="E3654" i="27"/>
  <c r="E3660" i="27"/>
  <c r="E3661" i="27"/>
  <c r="N3682" i="27"/>
  <c r="H3685" i="27"/>
  <c r="H3695" i="27"/>
  <c r="H3696" i="27"/>
  <c r="H3711" i="27"/>
  <c r="H3732" i="27"/>
  <c r="H63" i="27"/>
  <c r="U63" i="27"/>
  <c r="V63" i="27" s="1"/>
  <c r="W63" i="27" s="1"/>
  <c r="N387" i="27"/>
  <c r="K387" i="27"/>
  <c r="K422" i="27"/>
  <c r="U422" i="27"/>
  <c r="V422" i="27" s="1"/>
  <c r="W422" i="27" s="1"/>
  <c r="H422" i="27"/>
  <c r="K438" i="27"/>
  <c r="U438" i="27"/>
  <c r="V438" i="27" s="1"/>
  <c r="W438" i="27" s="1"/>
  <c r="H438" i="27"/>
  <c r="K451" i="27"/>
  <c r="U451" i="27"/>
  <c r="V451" i="27" s="1"/>
  <c r="W451" i="27" s="1"/>
  <c r="H451" i="27"/>
  <c r="K483" i="27"/>
  <c r="U483" i="27"/>
  <c r="V483" i="27" s="1"/>
  <c r="W483" i="27" s="1"/>
  <c r="H483" i="27"/>
  <c r="N494" i="27"/>
  <c r="K494" i="27"/>
  <c r="N510" i="27"/>
  <c r="K510" i="27"/>
  <c r="H647" i="27"/>
  <c r="K647" i="27"/>
  <c r="K660" i="27"/>
  <c r="H660" i="27"/>
  <c r="K714" i="27"/>
  <c r="H714" i="27"/>
  <c r="K771" i="27"/>
  <c r="H771" i="27"/>
  <c r="E771" i="27"/>
  <c r="K905" i="27"/>
  <c r="H905" i="27"/>
  <c r="E905" i="27"/>
  <c r="K941" i="27"/>
  <c r="H941" i="27"/>
  <c r="E941" i="27"/>
  <c r="K974" i="27"/>
  <c r="H974" i="27"/>
  <c r="E974" i="27"/>
  <c r="K1006" i="27"/>
  <c r="H1006" i="27"/>
  <c r="E1006" i="27"/>
  <c r="K1071" i="27"/>
  <c r="H1071" i="27"/>
  <c r="E1071" i="27"/>
  <c r="K1103" i="27"/>
  <c r="H1103" i="27"/>
  <c r="E1103" i="27"/>
  <c r="K1136" i="27"/>
  <c r="H1136" i="27"/>
  <c r="E1136" i="27"/>
  <c r="U1276" i="27"/>
  <c r="V1276" i="27" s="1"/>
  <c r="W1276" i="27" s="1"/>
  <c r="K1276" i="27"/>
  <c r="H1276" i="27"/>
  <c r="U1347" i="27"/>
  <c r="V1347" i="27" s="1"/>
  <c r="W1347" i="27" s="1"/>
  <c r="K1347" i="27"/>
  <c r="H1347" i="27"/>
  <c r="N1347" i="27"/>
  <c r="N1453" i="27"/>
  <c r="H1453" i="27"/>
  <c r="E1453" i="27"/>
  <c r="U1453" i="27"/>
  <c r="V1453" i="27" s="1"/>
  <c r="W1453" i="27" s="1"/>
  <c r="K1453" i="27"/>
  <c r="U1476" i="27"/>
  <c r="V1476" i="27" s="1"/>
  <c r="W1476" i="27" s="1"/>
  <c r="H1476" i="27"/>
  <c r="K1476" i="27"/>
  <c r="E1476" i="27"/>
  <c r="N1476" i="27"/>
  <c r="H1529" i="27"/>
  <c r="N1529" i="27"/>
  <c r="K1529" i="27"/>
  <c r="E1529" i="27"/>
  <c r="N1535" i="27"/>
  <c r="H1535" i="27"/>
  <c r="K1535" i="27"/>
  <c r="E1535" i="27"/>
  <c r="H1616" i="27"/>
  <c r="U1616" i="27"/>
  <c r="V1616" i="27" s="1"/>
  <c r="W1616" i="27" s="1"/>
  <c r="K1616" i="27"/>
  <c r="E1616" i="27"/>
  <c r="H1732" i="27"/>
  <c r="U1732" i="27"/>
  <c r="V1732" i="27" s="1"/>
  <c r="W1732" i="27" s="1"/>
  <c r="E1732" i="27"/>
  <c r="K1732" i="27"/>
  <c r="H2377" i="27"/>
  <c r="E2377" i="27"/>
  <c r="U2377" i="27"/>
  <c r="V2377" i="27" s="1"/>
  <c r="W2377" i="27" s="1"/>
  <c r="K2377" i="27"/>
  <c r="H2439" i="27"/>
  <c r="U2439" i="27"/>
  <c r="V2439" i="27" s="1"/>
  <c r="W2439" i="27" s="1"/>
  <c r="K2439" i="27"/>
  <c r="E2439" i="27"/>
  <c r="E21" i="27"/>
  <c r="H53" i="27"/>
  <c r="U53" i="27"/>
  <c r="V53" i="27" s="1"/>
  <c r="W53" i="27" s="1"/>
  <c r="U58" i="27"/>
  <c r="V58" i="27" s="1"/>
  <c r="W58" i="27" s="1"/>
  <c r="E129" i="27"/>
  <c r="K551" i="27"/>
  <c r="U551" i="27"/>
  <c r="V551" i="27" s="1"/>
  <c r="W551" i="27" s="1"/>
  <c r="H551" i="27"/>
  <c r="K600" i="27"/>
  <c r="U600" i="27"/>
  <c r="V600" i="27" s="1"/>
  <c r="W600" i="27" s="1"/>
  <c r="H600" i="27"/>
  <c r="U660" i="27"/>
  <c r="V660" i="27" s="1"/>
  <c r="W660" i="27" s="1"/>
  <c r="U714" i="27"/>
  <c r="V714" i="27" s="1"/>
  <c r="W714" i="27" s="1"/>
  <c r="K731" i="27"/>
  <c r="H731" i="27"/>
  <c r="U750" i="27"/>
  <c r="V750" i="27" s="1"/>
  <c r="W750" i="27" s="1"/>
  <c r="K927" i="27"/>
  <c r="H927" i="27"/>
  <c r="E927" i="27"/>
  <c r="U927" i="27"/>
  <c r="V927" i="27" s="1"/>
  <c r="W927" i="27" s="1"/>
  <c r="U974" i="27"/>
  <c r="V974" i="27" s="1"/>
  <c r="W974" i="27" s="1"/>
  <c r="U1071" i="27"/>
  <c r="V1071" i="27" s="1"/>
  <c r="W1071" i="27" s="1"/>
  <c r="U1103" i="27"/>
  <c r="V1103" i="27" s="1"/>
  <c r="W1103" i="27" s="1"/>
  <c r="U1183" i="27"/>
  <c r="V1183" i="27" s="1"/>
  <c r="W1183" i="27" s="1"/>
  <c r="K1183" i="27"/>
  <c r="H1183" i="27"/>
  <c r="U1195" i="27"/>
  <c r="V1195" i="27" s="1"/>
  <c r="W1195" i="27" s="1"/>
  <c r="H1195" i="27"/>
  <c r="N1195" i="27"/>
  <c r="K1195" i="27"/>
  <c r="U1241" i="27"/>
  <c r="V1241" i="27" s="1"/>
  <c r="W1241" i="27" s="1"/>
  <c r="K1241" i="27"/>
  <c r="E1241" i="27"/>
  <c r="H1241" i="27"/>
  <c r="U1292" i="27"/>
  <c r="V1292" i="27" s="1"/>
  <c r="W1292" i="27" s="1"/>
  <c r="K1292" i="27"/>
  <c r="H1292" i="27"/>
  <c r="E1292" i="27"/>
  <c r="U1346" i="27"/>
  <c r="V1346" i="27" s="1"/>
  <c r="W1346" i="27" s="1"/>
  <c r="H1346" i="27"/>
  <c r="K1346" i="27"/>
  <c r="E1346" i="27"/>
  <c r="U1518" i="27"/>
  <c r="V1518" i="27" s="1"/>
  <c r="W1518" i="27" s="1"/>
  <c r="K1518" i="27"/>
  <c r="H1518" i="27"/>
  <c r="E1518" i="27"/>
  <c r="U1529" i="27"/>
  <c r="V1529" i="27" s="1"/>
  <c r="W1529" i="27" s="1"/>
  <c r="U1535" i="27"/>
  <c r="V1535" i="27" s="1"/>
  <c r="W1535" i="27" s="1"/>
  <c r="N1631" i="27"/>
  <c r="H1631" i="27"/>
  <c r="E1631" i="27"/>
  <c r="K1631" i="27"/>
  <c r="U1631" i="27"/>
  <c r="V1631" i="27" s="1"/>
  <c r="W1631" i="27" s="1"/>
  <c r="H2834" i="27"/>
  <c r="U2834" i="27"/>
  <c r="V2834" i="27" s="1"/>
  <c r="W2834" i="27" s="1"/>
  <c r="N2834" i="27"/>
  <c r="K2834" i="27"/>
  <c r="E2834" i="27"/>
  <c r="K10" i="27"/>
  <c r="E53" i="27"/>
  <c r="H59" i="27"/>
  <c r="U59" i="27"/>
  <c r="V59" i="27" s="1"/>
  <c r="W59" i="27" s="1"/>
  <c r="E64" i="27"/>
  <c r="E76" i="27"/>
  <c r="K95" i="27"/>
  <c r="K117" i="27"/>
  <c r="U117" i="27"/>
  <c r="V117" i="27" s="1"/>
  <c r="W117" i="27" s="1"/>
  <c r="H117" i="27"/>
  <c r="K329" i="27"/>
  <c r="U329" i="27"/>
  <c r="V329" i="27" s="1"/>
  <c r="W329" i="27" s="1"/>
  <c r="H329" i="27"/>
  <c r="K353" i="27"/>
  <c r="U353" i="27"/>
  <c r="V353" i="27" s="1"/>
  <c r="W353" i="27" s="1"/>
  <c r="H353" i="27"/>
  <c r="E372" i="27"/>
  <c r="E417" i="27"/>
  <c r="U446" i="27"/>
  <c r="V446" i="27" s="1"/>
  <c r="W446" i="27" s="1"/>
  <c r="E462" i="27"/>
  <c r="N540" i="27"/>
  <c r="K540" i="27"/>
  <c r="K562" i="27"/>
  <c r="U562" i="27"/>
  <c r="V562" i="27" s="1"/>
  <c r="W562" i="27" s="1"/>
  <c r="H562" i="27"/>
  <c r="K611" i="27"/>
  <c r="U611" i="27"/>
  <c r="V611" i="27" s="1"/>
  <c r="W611" i="27" s="1"/>
  <c r="H611" i="27"/>
  <c r="U637" i="27"/>
  <c r="V637" i="27" s="1"/>
  <c r="W637" i="27" s="1"/>
  <c r="H679" i="27"/>
  <c r="K679" i="27"/>
  <c r="K692" i="27"/>
  <c r="H692" i="27"/>
  <c r="K747" i="27"/>
  <c r="H747" i="27"/>
  <c r="K853" i="27"/>
  <c r="H853" i="27"/>
  <c r="E853" i="27"/>
  <c r="U881" i="27"/>
  <c r="V881" i="27" s="1"/>
  <c r="W881" i="27" s="1"/>
  <c r="K921" i="27"/>
  <c r="H921" i="27"/>
  <c r="E921" i="27"/>
  <c r="K1144" i="27"/>
  <c r="H1144" i="27"/>
  <c r="E1144" i="27"/>
  <c r="U1333" i="27"/>
  <c r="V1333" i="27" s="1"/>
  <c r="W1333" i="27" s="1"/>
  <c r="K1333" i="27"/>
  <c r="H1333" i="27"/>
  <c r="E1333" i="27"/>
  <c r="U1367" i="27"/>
  <c r="V1367" i="27" s="1"/>
  <c r="W1367" i="27" s="1"/>
  <c r="K1367" i="27"/>
  <c r="H1367" i="27"/>
  <c r="E1367" i="27"/>
  <c r="U1393" i="27"/>
  <c r="V1393" i="27" s="1"/>
  <c r="W1393" i="27" s="1"/>
  <c r="K1393" i="27"/>
  <c r="H1393" i="27"/>
  <c r="E1393" i="27"/>
  <c r="U1517" i="27"/>
  <c r="V1517" i="27" s="1"/>
  <c r="W1517" i="27" s="1"/>
  <c r="N1517" i="27"/>
  <c r="K1517" i="27"/>
  <c r="H1517" i="27"/>
  <c r="K1689" i="27"/>
  <c r="U1689" i="27"/>
  <c r="V1689" i="27" s="1"/>
  <c r="W1689" i="27" s="1"/>
  <c r="E1689" i="27"/>
  <c r="H1689" i="27"/>
  <c r="N1689" i="27"/>
  <c r="K3670" i="27"/>
  <c r="H3670" i="27"/>
  <c r="U3670" i="27"/>
  <c r="V3670" i="27" s="1"/>
  <c r="W3670" i="27" s="1"/>
  <c r="E3670" i="27"/>
  <c r="U10" i="27"/>
  <c r="V10" i="27" s="1"/>
  <c r="W10" i="27" s="1"/>
  <c r="H21" i="27"/>
  <c r="E70" i="27"/>
  <c r="U76" i="27"/>
  <c r="V76" i="27" s="1"/>
  <c r="W76" i="27" s="1"/>
  <c r="H100" i="27"/>
  <c r="U108" i="27"/>
  <c r="V108" i="27" s="1"/>
  <c r="W108" i="27" s="1"/>
  <c r="H108" i="27"/>
  <c r="E324" i="27"/>
  <c r="U348" i="27"/>
  <c r="V348" i="27" s="1"/>
  <c r="W348" i="27" s="1"/>
  <c r="U356" i="27"/>
  <c r="V356" i="27" s="1"/>
  <c r="W356" i="27" s="1"/>
  <c r="K407" i="27"/>
  <c r="U407" i="27"/>
  <c r="V407" i="27" s="1"/>
  <c r="W407" i="27" s="1"/>
  <c r="H407" i="27"/>
  <c r="E451" i="27"/>
  <c r="K464" i="27"/>
  <c r="U464" i="27"/>
  <c r="V464" i="27" s="1"/>
  <c r="W464" i="27" s="1"/>
  <c r="H464" i="27"/>
  <c r="K496" i="27"/>
  <c r="U496" i="27"/>
  <c r="V496" i="27" s="1"/>
  <c r="W496" i="27" s="1"/>
  <c r="H496" i="27"/>
  <c r="E551" i="27"/>
  <c r="K634" i="27"/>
  <c r="H634" i="27"/>
  <c r="E647" i="27"/>
  <c r="E660" i="27"/>
  <c r="H669" i="27"/>
  <c r="N669" i="27"/>
  <c r="K669" i="27"/>
  <c r="U679" i="27"/>
  <c r="V679" i="27" s="1"/>
  <c r="W679" i="27" s="1"/>
  <c r="K686" i="27"/>
  <c r="H686" i="27"/>
  <c r="U686" i="27"/>
  <c r="V686" i="27" s="1"/>
  <c r="W686" i="27" s="1"/>
  <c r="E686" i="27"/>
  <c r="U692" i="27"/>
  <c r="V692" i="27" s="1"/>
  <c r="W692" i="27" s="1"/>
  <c r="H695" i="27"/>
  <c r="K695" i="27"/>
  <c r="H705" i="27"/>
  <c r="K705" i="27"/>
  <c r="U705" i="27"/>
  <c r="V705" i="27" s="1"/>
  <c r="W705" i="27" s="1"/>
  <c r="E705" i="27"/>
  <c r="K708" i="27"/>
  <c r="H708" i="27"/>
  <c r="E714" i="27"/>
  <c r="U747" i="27"/>
  <c r="V747" i="27" s="1"/>
  <c r="W747" i="27" s="1"/>
  <c r="K765" i="27"/>
  <c r="H765" i="27"/>
  <c r="K810" i="27"/>
  <c r="H810" i="27"/>
  <c r="E810" i="27"/>
  <c r="U810" i="27"/>
  <c r="V810" i="27" s="1"/>
  <c r="W810" i="27" s="1"/>
  <c r="K831" i="27"/>
  <c r="H831" i="27"/>
  <c r="U853" i="27"/>
  <c r="V853" i="27" s="1"/>
  <c r="W853" i="27" s="1"/>
  <c r="K877" i="27"/>
  <c r="H877" i="27"/>
  <c r="E877" i="27"/>
  <c r="U877" i="27"/>
  <c r="V877" i="27" s="1"/>
  <c r="W877" i="27" s="1"/>
  <c r="K899" i="27"/>
  <c r="H899" i="27"/>
  <c r="U921" i="27"/>
  <c r="V921" i="27" s="1"/>
  <c r="W921" i="27" s="1"/>
  <c r="U1144" i="27"/>
  <c r="V1144" i="27" s="1"/>
  <c r="W1144" i="27" s="1"/>
  <c r="U1161" i="27"/>
  <c r="V1161" i="27" s="1"/>
  <c r="W1161" i="27" s="1"/>
  <c r="K1161" i="27"/>
  <c r="H1161" i="27"/>
  <c r="E1161" i="27"/>
  <c r="U1240" i="27"/>
  <c r="V1240" i="27" s="1"/>
  <c r="W1240" i="27" s="1"/>
  <c r="K1240" i="27"/>
  <c r="H1240" i="27"/>
  <c r="E1240" i="27"/>
  <c r="E1276" i="27"/>
  <c r="U1288" i="27"/>
  <c r="V1288" i="27" s="1"/>
  <c r="W1288" i="27" s="1"/>
  <c r="K1288" i="27"/>
  <c r="H1288" i="27"/>
  <c r="U1330" i="27"/>
  <c r="V1330" i="27" s="1"/>
  <c r="W1330" i="27" s="1"/>
  <c r="H1330" i="27"/>
  <c r="K1330" i="27"/>
  <c r="N1330" i="27"/>
  <c r="E1347" i="27"/>
  <c r="U1428" i="27"/>
  <c r="V1428" i="27" s="1"/>
  <c r="W1428" i="27" s="1"/>
  <c r="K1428" i="27"/>
  <c r="H1428" i="27"/>
  <c r="E1428" i="27"/>
  <c r="U1435" i="27"/>
  <c r="V1435" i="27" s="1"/>
  <c r="W1435" i="27" s="1"/>
  <c r="K1435" i="27"/>
  <c r="H1435" i="27"/>
  <c r="N1435" i="27"/>
  <c r="U1452" i="27"/>
  <c r="V1452" i="27" s="1"/>
  <c r="W1452" i="27" s="1"/>
  <c r="K1452" i="27"/>
  <c r="H1452" i="27"/>
  <c r="E1452" i="27"/>
  <c r="U1546" i="27"/>
  <c r="V1546" i="27" s="1"/>
  <c r="W1546" i="27" s="1"/>
  <c r="N1546" i="27"/>
  <c r="K1546" i="27"/>
  <c r="H1546" i="27"/>
  <c r="E1546" i="27"/>
  <c r="H1559" i="27"/>
  <c r="N1559" i="27"/>
  <c r="U1559" i="27"/>
  <c r="V1559" i="27" s="1"/>
  <c r="W1559" i="27" s="1"/>
  <c r="E1559" i="27"/>
  <c r="K1559" i="27"/>
  <c r="K1629" i="27"/>
  <c r="U1629" i="27"/>
  <c r="V1629" i="27" s="1"/>
  <c r="W1629" i="27" s="1"/>
  <c r="N1629" i="27"/>
  <c r="H1629" i="27"/>
  <c r="E1629" i="27"/>
  <c r="N1790" i="27"/>
  <c r="K1790" i="27"/>
  <c r="E1790" i="27"/>
  <c r="H1790" i="27"/>
  <c r="N1794" i="27"/>
  <c r="K1794" i="27"/>
  <c r="H1794" i="27"/>
  <c r="U1794" i="27"/>
  <c r="V1794" i="27" s="1"/>
  <c r="W1794" i="27" s="1"/>
  <c r="E1794" i="27"/>
  <c r="H8" i="27"/>
  <c r="E10" i="27"/>
  <c r="K12" i="27"/>
  <c r="H17" i="27"/>
  <c r="U17" i="27"/>
  <c r="V17" i="27" s="1"/>
  <c r="W17" i="27" s="1"/>
  <c r="N18" i="27"/>
  <c r="U48" i="27"/>
  <c r="V48" i="27" s="1"/>
  <c r="W48" i="27" s="1"/>
  <c r="H55" i="27"/>
  <c r="U55" i="27"/>
  <c r="V55" i="27" s="1"/>
  <c r="W55" i="27" s="1"/>
  <c r="N56" i="27"/>
  <c r="E60" i="27"/>
  <c r="U60" i="27"/>
  <c r="V60" i="27" s="1"/>
  <c r="W60" i="27" s="1"/>
  <c r="K63" i="27"/>
  <c r="H64" i="27"/>
  <c r="U70" i="27"/>
  <c r="V70" i="27" s="1"/>
  <c r="W70" i="27" s="1"/>
  <c r="H76" i="27"/>
  <c r="H79" i="27"/>
  <c r="K86" i="27"/>
  <c r="N87" i="27"/>
  <c r="K88" i="27"/>
  <c r="E92" i="27"/>
  <c r="H94" i="27"/>
  <c r="E95" i="27"/>
  <c r="U95" i="27"/>
  <c r="V95" i="27" s="1"/>
  <c r="W95" i="27" s="1"/>
  <c r="E108" i="27"/>
  <c r="K114" i="27"/>
  <c r="N115" i="27"/>
  <c r="K116" i="27"/>
  <c r="E117" i="27"/>
  <c r="E120" i="27"/>
  <c r="H122" i="27"/>
  <c r="E123" i="27"/>
  <c r="E329" i="27"/>
  <c r="E353" i="27"/>
  <c r="K374" i="27"/>
  <c r="U374" i="27"/>
  <c r="V374" i="27" s="1"/>
  <c r="W374" i="27" s="1"/>
  <c r="H374" i="27"/>
  <c r="H387" i="27"/>
  <c r="K389" i="27"/>
  <c r="U389" i="27"/>
  <c r="V389" i="27" s="1"/>
  <c r="W389" i="27" s="1"/>
  <c r="H389" i="27"/>
  <c r="K414" i="27"/>
  <c r="U414" i="27"/>
  <c r="V414" i="27" s="1"/>
  <c r="W414" i="27" s="1"/>
  <c r="H414" i="27"/>
  <c r="K424" i="27"/>
  <c r="N425" i="27"/>
  <c r="K425" i="27"/>
  <c r="K430" i="27"/>
  <c r="U430" i="27"/>
  <c r="V430" i="27" s="1"/>
  <c r="W430" i="27" s="1"/>
  <c r="H430" i="27"/>
  <c r="K440" i="27"/>
  <c r="K453" i="27"/>
  <c r="N454" i="27"/>
  <c r="K454" i="27"/>
  <c r="K459" i="27"/>
  <c r="U459" i="27"/>
  <c r="V459" i="27" s="1"/>
  <c r="W459" i="27" s="1"/>
  <c r="H459" i="27"/>
  <c r="K469" i="27"/>
  <c r="N470" i="27"/>
  <c r="K470" i="27"/>
  <c r="K475" i="27"/>
  <c r="U475" i="27"/>
  <c r="V475" i="27" s="1"/>
  <c r="W475" i="27" s="1"/>
  <c r="H475" i="27"/>
  <c r="K485" i="27"/>
  <c r="N486" i="27"/>
  <c r="K486" i="27"/>
  <c r="K491" i="27"/>
  <c r="U491" i="27"/>
  <c r="V491" i="27" s="1"/>
  <c r="W491" i="27" s="1"/>
  <c r="H491" i="27"/>
  <c r="H494" i="27"/>
  <c r="K501" i="27"/>
  <c r="N502" i="27"/>
  <c r="K502" i="27"/>
  <c r="K507" i="27"/>
  <c r="U507" i="27"/>
  <c r="V507" i="27" s="1"/>
  <c r="W507" i="27" s="1"/>
  <c r="H507" i="27"/>
  <c r="H510" i="27"/>
  <c r="K517" i="27"/>
  <c r="N518" i="27"/>
  <c r="K518" i="27"/>
  <c r="E540" i="27"/>
  <c r="U540" i="27"/>
  <c r="V540" i="27" s="1"/>
  <c r="W540" i="27" s="1"/>
  <c r="E557" i="27"/>
  <c r="E573" i="27"/>
  <c r="E590" i="27"/>
  <c r="E606" i="27"/>
  <c r="U634" i="27"/>
  <c r="V634" i="27" s="1"/>
  <c r="W634" i="27" s="1"/>
  <c r="K650" i="27"/>
  <c r="H650" i="27"/>
  <c r="E663" i="27"/>
  <c r="U669" i="27"/>
  <c r="V669" i="27" s="1"/>
  <c r="W669" i="27" s="1"/>
  <c r="H685" i="27"/>
  <c r="N685" i="27"/>
  <c r="K685" i="27"/>
  <c r="U695" i="27"/>
  <c r="V695" i="27" s="1"/>
  <c r="W695" i="27" s="1"/>
  <c r="K702" i="27"/>
  <c r="H702" i="27"/>
  <c r="U702" i="27"/>
  <c r="V702" i="27" s="1"/>
  <c r="W702" i="27" s="1"/>
  <c r="E702" i="27"/>
  <c r="U708" i="27"/>
  <c r="V708" i="27" s="1"/>
  <c r="W708" i="27" s="1"/>
  <c r="H711" i="27"/>
  <c r="K711" i="27"/>
  <c r="N718" i="27"/>
  <c r="H721" i="27"/>
  <c r="K721" i="27"/>
  <c r="U721" i="27"/>
  <c r="V721" i="27" s="1"/>
  <c r="W721" i="27" s="1"/>
  <c r="E721" i="27"/>
  <c r="K724" i="27"/>
  <c r="H724" i="27"/>
  <c r="N727" i="27"/>
  <c r="E731" i="27"/>
  <c r="N741" i="27"/>
  <c r="N761" i="27"/>
  <c r="U765" i="27"/>
  <c r="V765" i="27" s="1"/>
  <c r="W765" i="27" s="1"/>
  <c r="K803" i="27"/>
  <c r="H803" i="27"/>
  <c r="E803" i="27"/>
  <c r="N827" i="27"/>
  <c r="U831" i="27"/>
  <c r="V831" i="27" s="1"/>
  <c r="W831" i="27" s="1"/>
  <c r="K870" i="27"/>
  <c r="H870" i="27"/>
  <c r="E870" i="27"/>
  <c r="N895" i="27"/>
  <c r="U899" i="27"/>
  <c r="V899" i="27" s="1"/>
  <c r="W899" i="27" s="1"/>
  <c r="K958" i="27"/>
  <c r="H958" i="27"/>
  <c r="E958" i="27"/>
  <c r="K990" i="27"/>
  <c r="H990" i="27"/>
  <c r="E990" i="27"/>
  <c r="K1022" i="27"/>
  <c r="H1022" i="27"/>
  <c r="E1022" i="27"/>
  <c r="K1055" i="27"/>
  <c r="H1055" i="27"/>
  <c r="E1055" i="27"/>
  <c r="K1087" i="27"/>
  <c r="H1087" i="27"/>
  <c r="E1087" i="27"/>
  <c r="K1120" i="27"/>
  <c r="H1120" i="27"/>
  <c r="E1120" i="27"/>
  <c r="N1159" i="27"/>
  <c r="E1183" i="27"/>
  <c r="E1195" i="27"/>
  <c r="U1204" i="27"/>
  <c r="V1204" i="27" s="1"/>
  <c r="W1204" i="27" s="1"/>
  <c r="K1204" i="27"/>
  <c r="H1204" i="27"/>
  <c r="E1204" i="27"/>
  <c r="N1215" i="27"/>
  <c r="U1239" i="27"/>
  <c r="V1239" i="27" s="1"/>
  <c r="W1239" i="27" s="1"/>
  <c r="H1239" i="27"/>
  <c r="K1239" i="27"/>
  <c r="E1239" i="27"/>
  <c r="U1243" i="27"/>
  <c r="V1243" i="27" s="1"/>
  <c r="W1243" i="27" s="1"/>
  <c r="K1243" i="27"/>
  <c r="H1243" i="27"/>
  <c r="E1243" i="27"/>
  <c r="U1317" i="27"/>
  <c r="V1317" i="27" s="1"/>
  <c r="W1317" i="27" s="1"/>
  <c r="K1317" i="27"/>
  <c r="H1317" i="27"/>
  <c r="N1317" i="27"/>
  <c r="U1340" i="27"/>
  <c r="V1340" i="27" s="1"/>
  <c r="W1340" i="27" s="1"/>
  <c r="K1340" i="27"/>
  <c r="H1340" i="27"/>
  <c r="E1340" i="27"/>
  <c r="U1377" i="27"/>
  <c r="V1377" i="27" s="1"/>
  <c r="W1377" i="27" s="1"/>
  <c r="K1377" i="27"/>
  <c r="H1377" i="27"/>
  <c r="N1377" i="27"/>
  <c r="U1427" i="27"/>
  <c r="V1427" i="27" s="1"/>
  <c r="W1427" i="27" s="1"/>
  <c r="N1427" i="27"/>
  <c r="K1427" i="27"/>
  <c r="H1427" i="27"/>
  <c r="E1427" i="27"/>
  <c r="U1434" i="27"/>
  <c r="V1434" i="27" s="1"/>
  <c r="W1434" i="27" s="1"/>
  <c r="H1434" i="27"/>
  <c r="K1434" i="27"/>
  <c r="E1434" i="27"/>
  <c r="U1468" i="27"/>
  <c r="V1468" i="27" s="1"/>
  <c r="W1468" i="27" s="1"/>
  <c r="N1468" i="27"/>
  <c r="K1468" i="27"/>
  <c r="H1468" i="27"/>
  <c r="E1468" i="27"/>
  <c r="U1557" i="27"/>
  <c r="V1557" i="27" s="1"/>
  <c r="W1557" i="27" s="1"/>
  <c r="K1557" i="27"/>
  <c r="N1557" i="27"/>
  <c r="H1557" i="27"/>
  <c r="E1557" i="27"/>
  <c r="N1659" i="27"/>
  <c r="H1659" i="27"/>
  <c r="U1659" i="27"/>
  <c r="V1659" i="27" s="1"/>
  <c r="W1659" i="27" s="1"/>
  <c r="K1659" i="27"/>
  <c r="E1659" i="27"/>
  <c r="H1724" i="27"/>
  <c r="U1724" i="27"/>
  <c r="V1724" i="27" s="1"/>
  <c r="W1724" i="27" s="1"/>
  <c r="E1724" i="27"/>
  <c r="K1724" i="27"/>
  <c r="U1790" i="27"/>
  <c r="V1790" i="27" s="1"/>
  <c r="W1790" i="27" s="1"/>
  <c r="H2220" i="27"/>
  <c r="U2220" i="27"/>
  <c r="V2220" i="27" s="1"/>
  <c r="W2220" i="27" s="1"/>
  <c r="E2220" i="27"/>
  <c r="N2220" i="27"/>
  <c r="K2220" i="27"/>
  <c r="K73" i="27"/>
  <c r="U73" i="27"/>
  <c r="V73" i="27" s="1"/>
  <c r="W73" i="27" s="1"/>
  <c r="H73" i="27"/>
  <c r="N372" i="27"/>
  <c r="K372" i="27"/>
  <c r="K379" i="27"/>
  <c r="U379" i="27"/>
  <c r="V379" i="27" s="1"/>
  <c r="W379" i="27" s="1"/>
  <c r="H379" i="27"/>
  <c r="N417" i="27"/>
  <c r="K417" i="27"/>
  <c r="N433" i="27"/>
  <c r="K433" i="27"/>
  <c r="N446" i="27"/>
  <c r="K446" i="27"/>
  <c r="N462" i="27"/>
  <c r="K462" i="27"/>
  <c r="N478" i="27"/>
  <c r="K478" i="27"/>
  <c r="K499" i="27"/>
  <c r="U499" i="27"/>
  <c r="V499" i="27" s="1"/>
  <c r="W499" i="27" s="1"/>
  <c r="H499" i="27"/>
  <c r="K515" i="27"/>
  <c r="U515" i="27"/>
  <c r="V515" i="27" s="1"/>
  <c r="W515" i="27" s="1"/>
  <c r="H515" i="27"/>
  <c r="U615" i="27"/>
  <c r="V615" i="27" s="1"/>
  <c r="W615" i="27" s="1"/>
  <c r="H615" i="27"/>
  <c r="K615" i="27"/>
  <c r="E615" i="27"/>
  <c r="H657" i="27"/>
  <c r="K657" i="27"/>
  <c r="U657" i="27"/>
  <c r="V657" i="27" s="1"/>
  <c r="W657" i="27" s="1"/>
  <c r="E657" i="27"/>
  <c r="U8" i="27"/>
  <c r="V8" i="27" s="1"/>
  <c r="W8" i="27" s="1"/>
  <c r="E116" i="27"/>
  <c r="U64" i="27"/>
  <c r="V64" i="27" s="1"/>
  <c r="W64" i="27" s="1"/>
  <c r="E73" i="27"/>
  <c r="E79" i="27"/>
  <c r="E94" i="27"/>
  <c r="U100" i="27"/>
  <c r="V100" i="27" s="1"/>
  <c r="W100" i="27" s="1"/>
  <c r="U129" i="27"/>
  <c r="V129" i="27" s="1"/>
  <c r="W129" i="27" s="1"/>
  <c r="K337" i="27"/>
  <c r="U337" i="27"/>
  <c r="V337" i="27" s="1"/>
  <c r="W337" i="27" s="1"/>
  <c r="H337" i="27"/>
  <c r="U372" i="27"/>
  <c r="V372" i="27" s="1"/>
  <c r="W372" i="27" s="1"/>
  <c r="U417" i="27"/>
  <c r="V417" i="27" s="1"/>
  <c r="W417" i="27" s="1"/>
  <c r="E446" i="27"/>
  <c r="U494" i="27"/>
  <c r="V494" i="27" s="1"/>
  <c r="W494" i="27" s="1"/>
  <c r="E510" i="27"/>
  <c r="K528" i="27"/>
  <c r="U528" i="27"/>
  <c r="V528" i="27" s="1"/>
  <c r="W528" i="27" s="1"/>
  <c r="H528" i="27"/>
  <c r="N590" i="27"/>
  <c r="K590" i="27"/>
  <c r="H653" i="27"/>
  <c r="N653" i="27"/>
  <c r="K653" i="27"/>
  <c r="K49" i="27"/>
  <c r="U54" i="27"/>
  <c r="V54" i="27" s="1"/>
  <c r="W54" i="27" s="1"/>
  <c r="E59" i="27"/>
  <c r="U80" i="27"/>
  <c r="V80" i="27" s="1"/>
  <c r="W80" i="27" s="1"/>
  <c r="H80" i="27"/>
  <c r="U332" i="27"/>
  <c r="V332" i="27" s="1"/>
  <c r="W332" i="27" s="1"/>
  <c r="E340" i="27"/>
  <c r="E365" i="27"/>
  <c r="K399" i="27"/>
  <c r="U399" i="27"/>
  <c r="V399" i="27" s="1"/>
  <c r="W399" i="27" s="1"/>
  <c r="H399" i="27"/>
  <c r="N408" i="27"/>
  <c r="K408" i="27"/>
  <c r="K419" i="27"/>
  <c r="U419" i="27"/>
  <c r="V419" i="27" s="1"/>
  <c r="W419" i="27" s="1"/>
  <c r="H419" i="27"/>
  <c r="E422" i="27"/>
  <c r="K5" i="27"/>
  <c r="K21" i="27"/>
  <c r="H48" i="27"/>
  <c r="E49" i="27"/>
  <c r="U49" i="27"/>
  <c r="V49" i="27" s="1"/>
  <c r="W49" i="27" s="1"/>
  <c r="K53" i="27"/>
  <c r="H54" i="27"/>
  <c r="K58" i="27"/>
  <c r="H61" i="27"/>
  <c r="U61" i="27"/>
  <c r="V61" i="27" s="1"/>
  <c r="W61" i="27" s="1"/>
  <c r="H70" i="27"/>
  <c r="E71" i="27"/>
  <c r="K81" i="27"/>
  <c r="U81" i="27"/>
  <c r="V81" i="27" s="1"/>
  <c r="W81" i="27" s="1"/>
  <c r="H81" i="27"/>
  <c r="K87" i="27"/>
  <c r="U92" i="27"/>
  <c r="V92" i="27" s="1"/>
  <c r="W92" i="27" s="1"/>
  <c r="U96" i="27"/>
  <c r="V96" i="27" s="1"/>
  <c r="W96" i="27" s="1"/>
  <c r="H96" i="27"/>
  <c r="K100" i="27"/>
  <c r="K109" i="27"/>
  <c r="U109" i="27"/>
  <c r="V109" i="27" s="1"/>
  <c r="W109" i="27" s="1"/>
  <c r="H109" i="27"/>
  <c r="K115" i="27"/>
  <c r="U120" i="27"/>
  <c r="V120" i="27" s="1"/>
  <c r="W120" i="27" s="1"/>
  <c r="U124" i="27"/>
  <c r="V124" i="27" s="1"/>
  <c r="W124" i="27" s="1"/>
  <c r="H124" i="27"/>
  <c r="K129" i="27"/>
  <c r="H324" i="27"/>
  <c r="H332" i="27"/>
  <c r="H340" i="27"/>
  <c r="H348" i="27"/>
  <c r="H356" i="27"/>
  <c r="H365" i="27"/>
  <c r="E377" i="27"/>
  <c r="U377" i="27"/>
  <c r="V377" i="27" s="1"/>
  <c r="W377" i="27" s="1"/>
  <c r="E384" i="27"/>
  <c r="U384" i="27"/>
  <c r="V384" i="27" s="1"/>
  <c r="W384" i="27" s="1"/>
  <c r="E399" i="27"/>
  <c r="E400" i="27"/>
  <c r="E407" i="27"/>
  <c r="E408" i="27"/>
  <c r="U408" i="27"/>
  <c r="V408" i="27" s="1"/>
  <c r="W408" i="27" s="1"/>
  <c r="E419" i="27"/>
  <c r="E464" i="27"/>
  <c r="E496" i="27"/>
  <c r="E528" i="27"/>
  <c r="K542" i="27"/>
  <c r="U542" i="27"/>
  <c r="V542" i="27" s="1"/>
  <c r="W542" i="27" s="1"/>
  <c r="H542" i="27"/>
  <c r="K559" i="27"/>
  <c r="U559" i="27"/>
  <c r="V559" i="27" s="1"/>
  <c r="W559" i="27" s="1"/>
  <c r="H559" i="27"/>
  <c r="E562" i="27"/>
  <c r="K575" i="27"/>
  <c r="U575" i="27"/>
  <c r="V575" i="27" s="1"/>
  <c r="W575" i="27" s="1"/>
  <c r="H575" i="27"/>
  <c r="K592" i="27"/>
  <c r="U592" i="27"/>
  <c r="V592" i="27" s="1"/>
  <c r="W592" i="27" s="1"/>
  <c r="H592" i="27"/>
  <c r="K608" i="27"/>
  <c r="U608" i="27"/>
  <c r="V608" i="27" s="1"/>
  <c r="W608" i="27" s="1"/>
  <c r="H608" i="27"/>
  <c r="E611" i="27"/>
  <c r="K613" i="27"/>
  <c r="H613" i="27"/>
  <c r="U613" i="27"/>
  <c r="V613" i="27" s="1"/>
  <c r="W613" i="27" s="1"/>
  <c r="E613" i="27"/>
  <c r="E653" i="27"/>
  <c r="K666" i="27"/>
  <c r="H666" i="27"/>
  <c r="E679" i="27"/>
  <c r="E692" i="27"/>
  <c r="H701" i="27"/>
  <c r="N701" i="27"/>
  <c r="K701" i="27"/>
  <c r="K718" i="27"/>
  <c r="H718" i="27"/>
  <c r="U718" i="27"/>
  <c r="V718" i="27" s="1"/>
  <c r="W718" i="27" s="1"/>
  <c r="E718" i="27"/>
  <c r="H727" i="27"/>
  <c r="K727" i="27"/>
  <c r="H738" i="27"/>
  <c r="K738" i="27"/>
  <c r="U738" i="27"/>
  <c r="V738" i="27" s="1"/>
  <c r="W738" i="27" s="1"/>
  <c r="E738" i="27"/>
  <c r="K741" i="27"/>
  <c r="H741" i="27"/>
  <c r="E747" i="27"/>
  <c r="K761" i="27"/>
  <c r="H761" i="27"/>
  <c r="E761" i="27"/>
  <c r="U761" i="27"/>
  <c r="V761" i="27" s="1"/>
  <c r="W761" i="27" s="1"/>
  <c r="K781" i="27"/>
  <c r="H781" i="27"/>
  <c r="K827" i="27"/>
  <c r="H827" i="27"/>
  <c r="E827" i="27"/>
  <c r="U827" i="27"/>
  <c r="V827" i="27" s="1"/>
  <c r="W827" i="27" s="1"/>
  <c r="K847" i="27"/>
  <c r="H847" i="27"/>
  <c r="K895" i="27"/>
  <c r="H895" i="27"/>
  <c r="E895" i="27"/>
  <c r="U895" i="27"/>
  <c r="V895" i="27" s="1"/>
  <c r="W895" i="27" s="1"/>
  <c r="K915" i="27"/>
  <c r="H915" i="27"/>
  <c r="U1159" i="27"/>
  <c r="V1159" i="27" s="1"/>
  <c r="W1159" i="27" s="1"/>
  <c r="K1159" i="27"/>
  <c r="H1159" i="27"/>
  <c r="U1215" i="27"/>
  <c r="V1215" i="27" s="1"/>
  <c r="W1215" i="27" s="1"/>
  <c r="K1215" i="27"/>
  <c r="H1215" i="27"/>
  <c r="U1260" i="27"/>
  <c r="V1260" i="27" s="1"/>
  <c r="W1260" i="27" s="1"/>
  <c r="K1260" i="27"/>
  <c r="H1260" i="27"/>
  <c r="E1260" i="27"/>
  <c r="U1306" i="27"/>
  <c r="V1306" i="27" s="1"/>
  <c r="W1306" i="27" s="1"/>
  <c r="K1306" i="27"/>
  <c r="H1306" i="27"/>
  <c r="E1306" i="27"/>
  <c r="U1451" i="27"/>
  <c r="V1451" i="27" s="1"/>
  <c r="W1451" i="27" s="1"/>
  <c r="N1451" i="27"/>
  <c r="K1451" i="27"/>
  <c r="H1451" i="27"/>
  <c r="E1451" i="27"/>
  <c r="H1487" i="27"/>
  <c r="K1487" i="27"/>
  <c r="E1487" i="27"/>
  <c r="K1514" i="27"/>
  <c r="H1514" i="27"/>
  <c r="U1514" i="27"/>
  <c r="V1514" i="27" s="1"/>
  <c r="W1514" i="27" s="1"/>
  <c r="E1514" i="27"/>
  <c r="E1517" i="27"/>
  <c r="U1533" i="27"/>
  <c r="V1533" i="27" s="1"/>
  <c r="W1533" i="27" s="1"/>
  <c r="N1533" i="27"/>
  <c r="K1533" i="27"/>
  <c r="H1533" i="27"/>
  <c r="E1533" i="27"/>
  <c r="K1570" i="27"/>
  <c r="N1570" i="27"/>
  <c r="H1570" i="27"/>
  <c r="E1570" i="27"/>
  <c r="U1570" i="27"/>
  <c r="V1570" i="27" s="1"/>
  <c r="W1570" i="27" s="1"/>
  <c r="H1618" i="27"/>
  <c r="K1618" i="27"/>
  <c r="N1618" i="27"/>
  <c r="E1618" i="27"/>
  <c r="N1698" i="27"/>
  <c r="H1698" i="27"/>
  <c r="K1698" i="27"/>
  <c r="E1698" i="27"/>
  <c r="N1788" i="27"/>
  <c r="K1788" i="27"/>
  <c r="E1788" i="27"/>
  <c r="H1788" i="27"/>
  <c r="E58" i="27"/>
  <c r="E88" i="27"/>
  <c r="K533" i="27"/>
  <c r="U533" i="27"/>
  <c r="V533" i="27" s="1"/>
  <c r="W533" i="27" s="1"/>
  <c r="H533" i="27"/>
  <c r="K567" i="27"/>
  <c r="U567" i="27"/>
  <c r="V567" i="27" s="1"/>
  <c r="W567" i="27" s="1"/>
  <c r="H567" i="27"/>
  <c r="H637" i="27"/>
  <c r="N637" i="27"/>
  <c r="K637" i="27"/>
  <c r="K654" i="27"/>
  <c r="H654" i="27"/>
  <c r="U654" i="27"/>
  <c r="V654" i="27" s="1"/>
  <c r="W654" i="27" s="1"/>
  <c r="E654" i="27"/>
  <c r="H663" i="27"/>
  <c r="K663" i="27"/>
  <c r="K676" i="27"/>
  <c r="H676" i="27"/>
  <c r="U771" i="27"/>
  <c r="V771" i="27" s="1"/>
  <c r="W771" i="27" s="1"/>
  <c r="K815" i="27"/>
  <c r="H815" i="27"/>
  <c r="K859" i="27"/>
  <c r="H859" i="27"/>
  <c r="E859" i="27"/>
  <c r="U859" i="27"/>
  <c r="V859" i="27" s="1"/>
  <c r="W859" i="27" s="1"/>
  <c r="U1006" i="27"/>
  <c r="V1006" i="27" s="1"/>
  <c r="W1006" i="27" s="1"/>
  <c r="U1136" i="27"/>
  <c r="V1136" i="27" s="1"/>
  <c r="W1136" i="27" s="1"/>
  <c r="U1202" i="27"/>
  <c r="V1202" i="27" s="1"/>
  <c r="W1202" i="27" s="1"/>
  <c r="K1202" i="27"/>
  <c r="H1202" i="27"/>
  <c r="E1202" i="27"/>
  <c r="U1234" i="27"/>
  <c r="V1234" i="27" s="1"/>
  <c r="W1234" i="27" s="1"/>
  <c r="H1234" i="27"/>
  <c r="K1234" i="27"/>
  <c r="E1234" i="27"/>
  <c r="U1308" i="27"/>
  <c r="V1308" i="27" s="1"/>
  <c r="W1308" i="27" s="1"/>
  <c r="K1308" i="27"/>
  <c r="H1308" i="27"/>
  <c r="U1374" i="27"/>
  <c r="V1374" i="27" s="1"/>
  <c r="W1374" i="27" s="1"/>
  <c r="K1374" i="27"/>
  <c r="H1374" i="27"/>
  <c r="E1374" i="27"/>
  <c r="H1552" i="27"/>
  <c r="K1552" i="27"/>
  <c r="E1552" i="27"/>
  <c r="U1573" i="27"/>
  <c r="V1573" i="27" s="1"/>
  <c r="W1573" i="27" s="1"/>
  <c r="N1573" i="27"/>
  <c r="H1573" i="27"/>
  <c r="E1573" i="27"/>
  <c r="K1573" i="27"/>
  <c r="N1649" i="27"/>
  <c r="K1649" i="27"/>
  <c r="H1649" i="27"/>
  <c r="E1649" i="27"/>
  <c r="U1649" i="27"/>
  <c r="V1649" i="27" s="1"/>
  <c r="W1649" i="27" s="1"/>
  <c r="N3633" i="27"/>
  <c r="K3633" i="27"/>
  <c r="H3633" i="27"/>
  <c r="E3633" i="27"/>
  <c r="U3633" i="27"/>
  <c r="V3633" i="27" s="1"/>
  <c r="W3633" i="27" s="1"/>
  <c r="E8" i="27"/>
  <c r="K89" i="27"/>
  <c r="U89" i="27"/>
  <c r="V89" i="27" s="1"/>
  <c r="W89" i="27" s="1"/>
  <c r="H89" i="27"/>
  <c r="K123" i="27"/>
  <c r="K321" i="27"/>
  <c r="U321" i="27"/>
  <c r="V321" i="27" s="1"/>
  <c r="W321" i="27" s="1"/>
  <c r="H321" i="27"/>
  <c r="K345" i="27"/>
  <c r="U345" i="27"/>
  <c r="V345" i="27" s="1"/>
  <c r="W345" i="27" s="1"/>
  <c r="H345" i="27"/>
  <c r="U387" i="27"/>
  <c r="V387" i="27" s="1"/>
  <c r="W387" i="27" s="1"/>
  <c r="E433" i="27"/>
  <c r="U462" i="27"/>
  <c r="V462" i="27" s="1"/>
  <c r="W462" i="27" s="1"/>
  <c r="E478" i="27"/>
  <c r="U510" i="27"/>
  <c r="V510" i="27" s="1"/>
  <c r="W510" i="27" s="1"/>
  <c r="K545" i="27"/>
  <c r="U545" i="27"/>
  <c r="V545" i="27" s="1"/>
  <c r="W545" i="27" s="1"/>
  <c r="H545" i="27"/>
  <c r="N557" i="27"/>
  <c r="K557" i="27"/>
  <c r="N573" i="27"/>
  <c r="K573" i="27"/>
  <c r="N606" i="27"/>
  <c r="K606" i="27"/>
  <c r="K787" i="27"/>
  <c r="H787" i="27"/>
  <c r="E787" i="27"/>
  <c r="U815" i="27"/>
  <c r="V815" i="27" s="1"/>
  <c r="W815" i="27" s="1"/>
  <c r="K949" i="27"/>
  <c r="H949" i="27"/>
  <c r="E949" i="27"/>
  <c r="K1079" i="27"/>
  <c r="H1079" i="27"/>
  <c r="E1079" i="27"/>
  <c r="K1112" i="27"/>
  <c r="H1112" i="27"/>
  <c r="E1112" i="27"/>
  <c r="K1179" i="27"/>
  <c r="U1179" i="27"/>
  <c r="V1179" i="27" s="1"/>
  <c r="W1179" i="27" s="1"/>
  <c r="H1179" i="27"/>
  <c r="E1179" i="27"/>
  <c r="U1194" i="27"/>
  <c r="V1194" i="27" s="1"/>
  <c r="W1194" i="27" s="1"/>
  <c r="K1194" i="27"/>
  <c r="H1194" i="27"/>
  <c r="N1194" i="27"/>
  <c r="U1289" i="27"/>
  <c r="V1289" i="27" s="1"/>
  <c r="W1289" i="27" s="1"/>
  <c r="H1289" i="27"/>
  <c r="K1289" i="27"/>
  <c r="E1289" i="27"/>
  <c r="N1289" i="27"/>
  <c r="U1380" i="27"/>
  <c r="V1380" i="27" s="1"/>
  <c r="W1380" i="27" s="1"/>
  <c r="K1380" i="27"/>
  <c r="H1380" i="27"/>
  <c r="E1380" i="27"/>
  <c r="U1469" i="27"/>
  <c r="V1469" i="27" s="1"/>
  <c r="W1469" i="27" s="1"/>
  <c r="K1469" i="27"/>
  <c r="H1469" i="27"/>
  <c r="E1469" i="27"/>
  <c r="H1692" i="27"/>
  <c r="N1692" i="27"/>
  <c r="U1692" i="27"/>
  <c r="V1692" i="27" s="1"/>
  <c r="W1692" i="27" s="1"/>
  <c r="K1692" i="27"/>
  <c r="E1692" i="27"/>
  <c r="U2767" i="27"/>
  <c r="V2767" i="27" s="1"/>
  <c r="W2767" i="27" s="1"/>
  <c r="H2767" i="27"/>
  <c r="E2767" i="27"/>
  <c r="N2767" i="27"/>
  <c r="K2767" i="27"/>
  <c r="K2912" i="27"/>
  <c r="H2912" i="27"/>
  <c r="E2912" i="27"/>
  <c r="N2912" i="27"/>
  <c r="U2912" i="27"/>
  <c r="V2912" i="27" s="1"/>
  <c r="W2912" i="27" s="1"/>
  <c r="H3272" i="27"/>
  <c r="U3272" i="27"/>
  <c r="V3272" i="27" s="1"/>
  <c r="W3272" i="27" s="1"/>
  <c r="E3272" i="27"/>
  <c r="K3272" i="27"/>
  <c r="E48" i="27"/>
  <c r="E54" i="27"/>
  <c r="K71" i="27"/>
  <c r="U94" i="27"/>
  <c r="V94" i="27" s="1"/>
  <c r="W94" i="27" s="1"/>
  <c r="U122" i="27"/>
  <c r="V122" i="27" s="1"/>
  <c r="W122" i="27" s="1"/>
  <c r="E332" i="27"/>
  <c r="U340" i="27"/>
  <c r="V340" i="27" s="1"/>
  <c r="W340" i="27" s="1"/>
  <c r="U365" i="27"/>
  <c r="V365" i="27" s="1"/>
  <c r="W365" i="27" s="1"/>
  <c r="N400" i="27"/>
  <c r="K400" i="27"/>
  <c r="K435" i="27"/>
  <c r="U435" i="27"/>
  <c r="V435" i="27" s="1"/>
  <c r="W435" i="27" s="1"/>
  <c r="H435" i="27"/>
  <c r="E438" i="27"/>
  <c r="K448" i="27"/>
  <c r="U448" i="27"/>
  <c r="V448" i="27" s="1"/>
  <c r="W448" i="27" s="1"/>
  <c r="H448" i="27"/>
  <c r="K480" i="27"/>
  <c r="U480" i="27"/>
  <c r="V480" i="27" s="1"/>
  <c r="W480" i="27" s="1"/>
  <c r="H480" i="27"/>
  <c r="E483" i="27"/>
  <c r="K512" i="27"/>
  <c r="U512" i="27"/>
  <c r="V512" i="27" s="1"/>
  <c r="W512" i="27" s="1"/>
  <c r="H512" i="27"/>
  <c r="E515" i="27"/>
  <c r="E567" i="27"/>
  <c r="E600" i="27"/>
  <c r="E5" i="27"/>
  <c r="H10" i="27"/>
  <c r="E18" i="27"/>
  <c r="H51" i="27"/>
  <c r="U51" i="27"/>
  <c r="V51" i="27" s="1"/>
  <c r="W51" i="27" s="1"/>
  <c r="N52" i="27"/>
  <c r="E56" i="27"/>
  <c r="K59" i="27"/>
  <c r="E61" i="27"/>
  <c r="N63" i="27"/>
  <c r="U72" i="27"/>
  <c r="V72" i="27" s="1"/>
  <c r="W72" i="27" s="1"/>
  <c r="H72" i="27"/>
  <c r="H95" i="27"/>
  <c r="E96" i="27"/>
  <c r="H123" i="27"/>
  <c r="E124" i="27"/>
  <c r="K131" i="27"/>
  <c r="N132" i="27"/>
  <c r="N153" i="27"/>
  <c r="N291" i="27"/>
  <c r="K326" i="27"/>
  <c r="H326" i="27"/>
  <c r="U326" i="27"/>
  <c r="V326" i="27" s="1"/>
  <c r="W326" i="27" s="1"/>
  <c r="N327" i="27"/>
  <c r="K327" i="27"/>
  <c r="K334" i="27"/>
  <c r="U334" i="27"/>
  <c r="V334" i="27" s="1"/>
  <c r="W334" i="27" s="1"/>
  <c r="H334" i="27"/>
  <c r="N335" i="27"/>
  <c r="K335" i="27"/>
  <c r="K342" i="27"/>
  <c r="U342" i="27"/>
  <c r="V342" i="27" s="1"/>
  <c r="W342" i="27" s="1"/>
  <c r="H342" i="27"/>
  <c r="N343" i="27"/>
  <c r="K343" i="27"/>
  <c r="K350" i="27"/>
  <c r="U350" i="27"/>
  <c r="V350" i="27" s="1"/>
  <c r="W350" i="27" s="1"/>
  <c r="H350" i="27"/>
  <c r="N351" i="27"/>
  <c r="K351" i="27"/>
  <c r="K359" i="27"/>
  <c r="H359" i="27"/>
  <c r="U359" i="27"/>
  <c r="V359" i="27" s="1"/>
  <c r="W359" i="27" s="1"/>
  <c r="N360" i="27"/>
  <c r="K360" i="27"/>
  <c r="K367" i="27"/>
  <c r="H367" i="27"/>
  <c r="U367" i="27"/>
  <c r="V367" i="27" s="1"/>
  <c r="W367" i="27" s="1"/>
  <c r="N368" i="27"/>
  <c r="K368" i="27"/>
  <c r="K530" i="27"/>
  <c r="N531" i="27"/>
  <c r="K531" i="27"/>
  <c r="K536" i="27"/>
  <c r="U536" i="27"/>
  <c r="V536" i="27" s="1"/>
  <c r="W536" i="27" s="1"/>
  <c r="H536" i="27"/>
  <c r="H540" i="27"/>
  <c r="K547" i="27"/>
  <c r="N548" i="27"/>
  <c r="K548" i="27"/>
  <c r="K554" i="27"/>
  <c r="U554" i="27"/>
  <c r="V554" i="27" s="1"/>
  <c r="W554" i="27" s="1"/>
  <c r="H554" i="27"/>
  <c r="H557" i="27"/>
  <c r="K564" i="27"/>
  <c r="N565" i="27"/>
  <c r="K565" i="27"/>
  <c r="K570" i="27"/>
  <c r="U570" i="27"/>
  <c r="V570" i="27" s="1"/>
  <c r="W570" i="27" s="1"/>
  <c r="H570" i="27"/>
  <c r="H573" i="27"/>
  <c r="K580" i="27"/>
  <c r="N581" i="27"/>
  <c r="K581" i="27"/>
  <c r="K587" i="27"/>
  <c r="U587" i="27"/>
  <c r="V587" i="27" s="1"/>
  <c r="W587" i="27" s="1"/>
  <c r="H587" i="27"/>
  <c r="H590" i="27"/>
  <c r="K597" i="27"/>
  <c r="N598" i="27"/>
  <c r="K598" i="27"/>
  <c r="K603" i="27"/>
  <c r="U603" i="27"/>
  <c r="V603" i="27" s="1"/>
  <c r="W603" i="27" s="1"/>
  <c r="H603" i="27"/>
  <c r="H606" i="27"/>
  <c r="N622" i="27"/>
  <c r="H625" i="27"/>
  <c r="K625" i="27"/>
  <c r="U625" i="27"/>
  <c r="V625" i="27" s="1"/>
  <c r="W625" i="27" s="1"/>
  <c r="E625" i="27"/>
  <c r="K628" i="27"/>
  <c r="H628" i="27"/>
  <c r="N631" i="27"/>
  <c r="E634" i="27"/>
  <c r="N644" i="27"/>
  <c r="U666" i="27"/>
  <c r="V666" i="27" s="1"/>
  <c r="W666" i="27" s="1"/>
  <c r="E669" i="27"/>
  <c r="K682" i="27"/>
  <c r="H682" i="27"/>
  <c r="E695" i="27"/>
  <c r="U701" i="27"/>
  <c r="V701" i="27" s="1"/>
  <c r="W701" i="27" s="1"/>
  <c r="E708" i="27"/>
  <c r="H717" i="27"/>
  <c r="N717" i="27"/>
  <c r="K717" i="27"/>
  <c r="U727" i="27"/>
  <c r="V727" i="27" s="1"/>
  <c r="W727" i="27" s="1"/>
  <c r="K735" i="27"/>
  <c r="H735" i="27"/>
  <c r="U735" i="27"/>
  <c r="V735" i="27" s="1"/>
  <c r="W735" i="27" s="1"/>
  <c r="E735" i="27"/>
  <c r="U741" i="27"/>
  <c r="V741" i="27" s="1"/>
  <c r="W741" i="27" s="1"/>
  <c r="H744" i="27"/>
  <c r="K744" i="27"/>
  <c r="N751" i="27"/>
  <c r="H754" i="27"/>
  <c r="K754" i="27"/>
  <c r="U754" i="27"/>
  <c r="V754" i="27" s="1"/>
  <c r="W754" i="27" s="1"/>
  <c r="E754" i="27"/>
  <c r="K757" i="27"/>
  <c r="H757" i="27"/>
  <c r="N760" i="27"/>
  <c r="E765" i="27"/>
  <c r="N777" i="27"/>
  <c r="U781" i="27"/>
  <c r="V781" i="27" s="1"/>
  <c r="W781" i="27" s="1"/>
  <c r="K821" i="27"/>
  <c r="H821" i="27"/>
  <c r="E821" i="27"/>
  <c r="E831" i="27"/>
  <c r="N843" i="27"/>
  <c r="U847" i="27"/>
  <c r="V847" i="27" s="1"/>
  <c r="W847" i="27" s="1"/>
  <c r="K888" i="27"/>
  <c r="H888" i="27"/>
  <c r="E888" i="27"/>
  <c r="E899" i="27"/>
  <c r="N911" i="27"/>
  <c r="U915" i="27"/>
  <c r="V915" i="27" s="1"/>
  <c r="W915" i="27" s="1"/>
  <c r="K933" i="27"/>
  <c r="H933" i="27"/>
  <c r="E933" i="27"/>
  <c r="K966" i="27"/>
  <c r="H966" i="27"/>
  <c r="E966" i="27"/>
  <c r="K998" i="27"/>
  <c r="H998" i="27"/>
  <c r="E998" i="27"/>
  <c r="K1030" i="27"/>
  <c r="H1030" i="27"/>
  <c r="E1030" i="27"/>
  <c r="K1063" i="27"/>
  <c r="H1063" i="27"/>
  <c r="E1063" i="27"/>
  <c r="K1095" i="27"/>
  <c r="H1095" i="27"/>
  <c r="E1095" i="27"/>
  <c r="K1128" i="27"/>
  <c r="H1128" i="27"/>
  <c r="E1128" i="27"/>
  <c r="H1158" i="27"/>
  <c r="U1158" i="27"/>
  <c r="V1158" i="27" s="1"/>
  <c r="W1158" i="27" s="1"/>
  <c r="N1158" i="27"/>
  <c r="K1158" i="27"/>
  <c r="U1220" i="27"/>
  <c r="V1220" i="27" s="1"/>
  <c r="W1220" i="27" s="1"/>
  <c r="K1220" i="27"/>
  <c r="N1220" i="27"/>
  <c r="H1220" i="27"/>
  <c r="U1242" i="27"/>
  <c r="V1242" i="27" s="1"/>
  <c r="W1242" i="27" s="1"/>
  <c r="K1242" i="27"/>
  <c r="H1242" i="27"/>
  <c r="E1242" i="27"/>
  <c r="N1249" i="27"/>
  <c r="U1257" i="27"/>
  <c r="V1257" i="27" s="1"/>
  <c r="W1257" i="27" s="1"/>
  <c r="K1257" i="27"/>
  <c r="H1257" i="27"/>
  <c r="E1257" i="27"/>
  <c r="N1257" i="27"/>
  <c r="E1288" i="27"/>
  <c r="N1305" i="27"/>
  <c r="E1330" i="27"/>
  <c r="U1351" i="27"/>
  <c r="V1351" i="27" s="1"/>
  <c r="W1351" i="27" s="1"/>
  <c r="K1351" i="27"/>
  <c r="H1351" i="27"/>
  <c r="E1351" i="27"/>
  <c r="E1435" i="27"/>
  <c r="U1487" i="27"/>
  <c r="V1487" i="27" s="1"/>
  <c r="W1487" i="27" s="1"/>
  <c r="K1530" i="27"/>
  <c r="H1530" i="27"/>
  <c r="N1530" i="27"/>
  <c r="E1530" i="27"/>
  <c r="U1606" i="27"/>
  <c r="V1606" i="27" s="1"/>
  <c r="W1606" i="27" s="1"/>
  <c r="K1606" i="27"/>
  <c r="H1606" i="27"/>
  <c r="N1606" i="27"/>
  <c r="N1617" i="27"/>
  <c r="K1617" i="27"/>
  <c r="H1617" i="27"/>
  <c r="U1618" i="27"/>
  <c r="V1618" i="27" s="1"/>
  <c r="W1618" i="27" s="1"/>
  <c r="H1632" i="27"/>
  <c r="U1632" i="27"/>
  <c r="V1632" i="27" s="1"/>
  <c r="W1632" i="27" s="1"/>
  <c r="E1632" i="27"/>
  <c r="K1632" i="27"/>
  <c r="U1698" i="27"/>
  <c r="V1698" i="27" s="1"/>
  <c r="W1698" i="27" s="1"/>
  <c r="U1788" i="27"/>
  <c r="V1788" i="27" s="1"/>
  <c r="W1788" i="27" s="1"/>
  <c r="U88" i="27"/>
  <c r="V88" i="27" s="1"/>
  <c r="W88" i="27" s="1"/>
  <c r="H88" i="27"/>
  <c r="U116" i="27"/>
  <c r="V116" i="27" s="1"/>
  <c r="W116" i="27" s="1"/>
  <c r="H116" i="27"/>
  <c r="K386" i="27"/>
  <c r="U386" i="27"/>
  <c r="V386" i="27" s="1"/>
  <c r="W386" i="27" s="1"/>
  <c r="H386" i="27"/>
  <c r="K467" i="27"/>
  <c r="U467" i="27"/>
  <c r="V467" i="27" s="1"/>
  <c r="W467" i="27" s="1"/>
  <c r="H467" i="27"/>
  <c r="K638" i="27"/>
  <c r="H638" i="27"/>
  <c r="U638" i="27"/>
  <c r="V638" i="27" s="1"/>
  <c r="W638" i="27" s="1"/>
  <c r="E638" i="27"/>
  <c r="H750" i="27"/>
  <c r="N750" i="27"/>
  <c r="K750" i="27"/>
  <c r="K837" i="27"/>
  <c r="H837" i="27"/>
  <c r="E837" i="27"/>
  <c r="K1039" i="27"/>
  <c r="H1039" i="27"/>
  <c r="E1039" i="27"/>
  <c r="U1189" i="27"/>
  <c r="V1189" i="27" s="1"/>
  <c r="W1189" i="27" s="1"/>
  <c r="K1189" i="27"/>
  <c r="N1189" i="27"/>
  <c r="H1189" i="27"/>
  <c r="U1334" i="27"/>
  <c r="V1334" i="27" s="1"/>
  <c r="W1334" i="27" s="1"/>
  <c r="K1334" i="27"/>
  <c r="H1334" i="27"/>
  <c r="E1334" i="27"/>
  <c r="N1766" i="27"/>
  <c r="K1766" i="27"/>
  <c r="E1766" i="27"/>
  <c r="U1766" i="27"/>
  <c r="V1766" i="27" s="1"/>
  <c r="W1766" i="27" s="1"/>
  <c r="H1766" i="27"/>
  <c r="H2453" i="27"/>
  <c r="U2453" i="27"/>
  <c r="V2453" i="27" s="1"/>
  <c r="W2453" i="27" s="1"/>
  <c r="K2453" i="27"/>
  <c r="E2453" i="27"/>
  <c r="E63" i="27"/>
  <c r="K583" i="27"/>
  <c r="U583" i="27"/>
  <c r="V583" i="27" s="1"/>
  <c r="W583" i="27" s="1"/>
  <c r="H583" i="27"/>
  <c r="U647" i="27"/>
  <c r="V647" i="27" s="1"/>
  <c r="W647" i="27" s="1"/>
  <c r="H673" i="27"/>
  <c r="K673" i="27"/>
  <c r="U673" i="27"/>
  <c r="V673" i="27" s="1"/>
  <c r="W673" i="27" s="1"/>
  <c r="E673" i="27"/>
  <c r="K793" i="27"/>
  <c r="H793" i="27"/>
  <c r="E793" i="27"/>
  <c r="U793" i="27"/>
  <c r="V793" i="27" s="1"/>
  <c r="W793" i="27" s="1"/>
  <c r="U837" i="27"/>
  <c r="V837" i="27" s="1"/>
  <c r="W837" i="27" s="1"/>
  <c r="K881" i="27"/>
  <c r="H881" i="27"/>
  <c r="U905" i="27"/>
  <c r="V905" i="27" s="1"/>
  <c r="W905" i="27" s="1"/>
  <c r="U941" i="27"/>
  <c r="V941" i="27" s="1"/>
  <c r="W941" i="27" s="1"/>
  <c r="U79" i="27"/>
  <c r="V79" i="27" s="1"/>
  <c r="W79" i="27" s="1"/>
  <c r="E122" i="27"/>
  <c r="K362" i="27"/>
  <c r="U362" i="27"/>
  <c r="V362" i="27" s="1"/>
  <c r="W362" i="27" s="1"/>
  <c r="H362" i="27"/>
  <c r="E387" i="27"/>
  <c r="U433" i="27"/>
  <c r="V433" i="27" s="1"/>
  <c r="W433" i="27" s="1"/>
  <c r="U478" i="27"/>
  <c r="V478" i="27" s="1"/>
  <c r="W478" i="27" s="1"/>
  <c r="E494" i="27"/>
  <c r="K578" i="27"/>
  <c r="U578" i="27"/>
  <c r="V578" i="27" s="1"/>
  <c r="W578" i="27" s="1"/>
  <c r="H578" i="27"/>
  <c r="K595" i="27"/>
  <c r="U595" i="27"/>
  <c r="V595" i="27" s="1"/>
  <c r="W595" i="27" s="1"/>
  <c r="H595" i="27"/>
  <c r="K670" i="27"/>
  <c r="H670" i="27"/>
  <c r="U670" i="27"/>
  <c r="V670" i="27" s="1"/>
  <c r="W670" i="27" s="1"/>
  <c r="E670" i="27"/>
  <c r="U676" i="27"/>
  <c r="V676" i="27" s="1"/>
  <c r="W676" i="27" s="1"/>
  <c r="H689" i="27"/>
  <c r="K689" i="27"/>
  <c r="U689" i="27"/>
  <c r="V689" i="27" s="1"/>
  <c r="W689" i="27" s="1"/>
  <c r="E689" i="27"/>
  <c r="U731" i="27"/>
  <c r="V731" i="27" s="1"/>
  <c r="W731" i="27" s="1"/>
  <c r="K982" i="27"/>
  <c r="H982" i="27"/>
  <c r="E982" i="27"/>
  <c r="K1014" i="27"/>
  <c r="H1014" i="27"/>
  <c r="E1014" i="27"/>
  <c r="K1047" i="27"/>
  <c r="H1047" i="27"/>
  <c r="E1047" i="27"/>
  <c r="U1178" i="27"/>
  <c r="V1178" i="27" s="1"/>
  <c r="W1178" i="27" s="1"/>
  <c r="K1178" i="27"/>
  <c r="H1178" i="27"/>
  <c r="U1233" i="27"/>
  <c r="V1233" i="27" s="1"/>
  <c r="W1233" i="27" s="1"/>
  <c r="K1233" i="27"/>
  <c r="H1233" i="27"/>
  <c r="U1391" i="27"/>
  <c r="V1391" i="27" s="1"/>
  <c r="W1391" i="27" s="1"/>
  <c r="K1391" i="27"/>
  <c r="H1391" i="27"/>
  <c r="N1391" i="27"/>
  <c r="U1534" i="27"/>
  <c r="V1534" i="27" s="1"/>
  <c r="W1534" i="27" s="1"/>
  <c r="K1534" i="27"/>
  <c r="H1534" i="27"/>
  <c r="E1534" i="27"/>
  <c r="H2352" i="27"/>
  <c r="K2352" i="27"/>
  <c r="U2352" i="27"/>
  <c r="V2352" i="27" s="1"/>
  <c r="W2352" i="27" s="1"/>
  <c r="E2352" i="27"/>
  <c r="H65" i="27"/>
  <c r="U65" i="27"/>
  <c r="V65" i="27" s="1"/>
  <c r="W65" i="27" s="1"/>
  <c r="U324" i="27"/>
  <c r="V324" i="27" s="1"/>
  <c r="W324" i="27" s="1"/>
  <c r="E348" i="27"/>
  <c r="E356" i="27"/>
  <c r="U5" i="27"/>
  <c r="V5" i="27" s="1"/>
  <c r="W5" i="27" s="1"/>
  <c r="N8" i="27"/>
  <c r="H19" i="27"/>
  <c r="U19" i="27"/>
  <c r="V19" i="27" s="1"/>
  <c r="W19" i="27" s="1"/>
  <c r="N21" i="27"/>
  <c r="H49" i="27"/>
  <c r="N53" i="27"/>
  <c r="H57" i="27"/>
  <c r="U57" i="27"/>
  <c r="V57" i="27" s="1"/>
  <c r="W57" i="27" s="1"/>
  <c r="N58" i="27"/>
  <c r="K65" i="27"/>
  <c r="H71" i="27"/>
  <c r="N79" i="27"/>
  <c r="K80" i="27"/>
  <c r="E81" i="27"/>
  <c r="E87" i="27"/>
  <c r="U87" i="27"/>
  <c r="V87" i="27" s="1"/>
  <c r="W87" i="27" s="1"/>
  <c r="K97" i="27"/>
  <c r="U97" i="27"/>
  <c r="V97" i="27" s="1"/>
  <c r="W97" i="27" s="1"/>
  <c r="H97" i="27"/>
  <c r="N100" i="27"/>
  <c r="K108" i="27"/>
  <c r="E109" i="27"/>
  <c r="E115" i="27"/>
  <c r="U115" i="27"/>
  <c r="V115" i="27" s="1"/>
  <c r="W115" i="27" s="1"/>
  <c r="K126" i="27"/>
  <c r="U126" i="27"/>
  <c r="V126" i="27" s="1"/>
  <c r="W126" i="27" s="1"/>
  <c r="H126" i="27"/>
  <c r="N129" i="27"/>
  <c r="K132" i="27"/>
  <c r="H377" i="27"/>
  <c r="H384" i="27"/>
  <c r="H400" i="27"/>
  <c r="K402" i="27"/>
  <c r="U402" i="27"/>
  <c r="V402" i="27" s="1"/>
  <c r="W402" i="27" s="1"/>
  <c r="H402" i="27"/>
  <c r="H408" i="27"/>
  <c r="K410" i="27"/>
  <c r="U410" i="27"/>
  <c r="V410" i="27" s="1"/>
  <c r="W410" i="27" s="1"/>
  <c r="H410" i="27"/>
  <c r="N422" i="27"/>
  <c r="K427" i="27"/>
  <c r="U427" i="27"/>
  <c r="V427" i="27" s="1"/>
  <c r="W427" i="27" s="1"/>
  <c r="H427" i="27"/>
  <c r="N438" i="27"/>
  <c r="N451" i="27"/>
  <c r="K456" i="27"/>
  <c r="U456" i="27"/>
  <c r="V456" i="27" s="1"/>
  <c r="W456" i="27" s="1"/>
  <c r="H456" i="27"/>
  <c r="N467" i="27"/>
  <c r="K472" i="27"/>
  <c r="U472" i="27"/>
  <c r="V472" i="27" s="1"/>
  <c r="W472" i="27" s="1"/>
  <c r="H472" i="27"/>
  <c r="N483" i="27"/>
  <c r="K488" i="27"/>
  <c r="U488" i="27"/>
  <c r="V488" i="27" s="1"/>
  <c r="W488" i="27" s="1"/>
  <c r="H488" i="27"/>
  <c r="N499" i="27"/>
  <c r="K504" i="27"/>
  <c r="U504" i="27"/>
  <c r="V504" i="27" s="1"/>
  <c r="W504" i="27" s="1"/>
  <c r="H504" i="27"/>
  <c r="N515" i="27"/>
  <c r="K520" i="27"/>
  <c r="U520" i="27"/>
  <c r="V520" i="27" s="1"/>
  <c r="W520" i="27" s="1"/>
  <c r="H520" i="27"/>
  <c r="E542" i="27"/>
  <c r="E559" i="27"/>
  <c r="E575" i="27"/>
  <c r="E592" i="27"/>
  <c r="E608" i="27"/>
  <c r="K622" i="27"/>
  <c r="H622" i="27"/>
  <c r="U622" i="27"/>
  <c r="V622" i="27" s="1"/>
  <c r="W622" i="27" s="1"/>
  <c r="E622" i="27"/>
  <c r="H631" i="27"/>
  <c r="K631" i="27"/>
  <c r="N638" i="27"/>
  <c r="H641" i="27"/>
  <c r="K641" i="27"/>
  <c r="U641" i="27"/>
  <c r="V641" i="27" s="1"/>
  <c r="W641" i="27" s="1"/>
  <c r="E641" i="27"/>
  <c r="K644" i="27"/>
  <c r="H644" i="27"/>
  <c r="N647" i="27"/>
  <c r="N660" i="27"/>
  <c r="K698" i="27"/>
  <c r="H698" i="27"/>
  <c r="H734" i="27"/>
  <c r="N734" i="27"/>
  <c r="K734" i="27"/>
  <c r="K751" i="27"/>
  <c r="H751" i="27"/>
  <c r="U751" i="27"/>
  <c r="V751" i="27" s="1"/>
  <c r="W751" i="27" s="1"/>
  <c r="E751" i="27"/>
  <c r="H760" i="27"/>
  <c r="K760" i="27"/>
  <c r="N771" i="27"/>
  <c r="K777" i="27"/>
  <c r="H777" i="27"/>
  <c r="E777" i="27"/>
  <c r="U777" i="27"/>
  <c r="V777" i="27" s="1"/>
  <c r="W777" i="27" s="1"/>
  <c r="K797" i="27"/>
  <c r="H797" i="27"/>
  <c r="N837" i="27"/>
  <c r="K843" i="27"/>
  <c r="H843" i="27"/>
  <c r="E843" i="27"/>
  <c r="U843" i="27"/>
  <c r="V843" i="27" s="1"/>
  <c r="W843" i="27" s="1"/>
  <c r="K863" i="27"/>
  <c r="H863" i="27"/>
  <c r="N905" i="27"/>
  <c r="K911" i="27"/>
  <c r="H911" i="27"/>
  <c r="E911" i="27"/>
  <c r="U911" i="27"/>
  <c r="V911" i="27" s="1"/>
  <c r="W911" i="27" s="1"/>
  <c r="N941" i="27"/>
  <c r="N974" i="27"/>
  <c r="N1006" i="27"/>
  <c r="N1039" i="27"/>
  <c r="N1071" i="27"/>
  <c r="N1103" i="27"/>
  <c r="N1136" i="27"/>
  <c r="U1196" i="27"/>
  <c r="V1196" i="27" s="1"/>
  <c r="W1196" i="27" s="1"/>
  <c r="K1196" i="27"/>
  <c r="H1196" i="27"/>
  <c r="U1197" i="27"/>
  <c r="V1197" i="27" s="1"/>
  <c r="W1197" i="27" s="1"/>
  <c r="K1197" i="27"/>
  <c r="H1197" i="27"/>
  <c r="E1197" i="27"/>
  <c r="N1234" i="27"/>
  <c r="N1241" i="27"/>
  <c r="U1249" i="27"/>
  <c r="V1249" i="27" s="1"/>
  <c r="W1249" i="27" s="1"/>
  <c r="K1249" i="27"/>
  <c r="H1249" i="27"/>
  <c r="E1249" i="27"/>
  <c r="U1256" i="27"/>
  <c r="V1256" i="27" s="1"/>
  <c r="W1256" i="27" s="1"/>
  <c r="N1256" i="27"/>
  <c r="K1256" i="27"/>
  <c r="H1256" i="27"/>
  <c r="U1293" i="27"/>
  <c r="V1293" i="27" s="1"/>
  <c r="W1293" i="27" s="1"/>
  <c r="H1293" i="27"/>
  <c r="E1293" i="27"/>
  <c r="K1293" i="27"/>
  <c r="U1305" i="27"/>
  <c r="V1305" i="27" s="1"/>
  <c r="W1305" i="27" s="1"/>
  <c r="H1305" i="27"/>
  <c r="K1305" i="27"/>
  <c r="E1305" i="27"/>
  <c r="U1337" i="27"/>
  <c r="V1337" i="27" s="1"/>
  <c r="W1337" i="27" s="1"/>
  <c r="K1337" i="27"/>
  <c r="H1337" i="27"/>
  <c r="E1337" i="27"/>
  <c r="U1350" i="27"/>
  <c r="V1350" i="27" s="1"/>
  <c r="W1350" i="27" s="1"/>
  <c r="K1350" i="27"/>
  <c r="H1350" i="27"/>
  <c r="E1350" i="27"/>
  <c r="K1505" i="27"/>
  <c r="N1505" i="27"/>
  <c r="H1505" i="27"/>
  <c r="E1505" i="27"/>
  <c r="U1541" i="27"/>
  <c r="V1541" i="27" s="1"/>
  <c r="W1541" i="27" s="1"/>
  <c r="H1541" i="27"/>
  <c r="K1541" i="27"/>
  <c r="E1541" i="27"/>
  <c r="K1553" i="27"/>
  <c r="H1553" i="27"/>
  <c r="U1553" i="27"/>
  <c r="V1553" i="27" s="1"/>
  <c r="W1553" i="27" s="1"/>
  <c r="N1553" i="27"/>
  <c r="E1553" i="27"/>
  <c r="U1605" i="27"/>
  <c r="V1605" i="27" s="1"/>
  <c r="W1605" i="27" s="1"/>
  <c r="H1605" i="27"/>
  <c r="N1605" i="27"/>
  <c r="K1605" i="27"/>
  <c r="E1605" i="27"/>
  <c r="H1650" i="27"/>
  <c r="K1650" i="27"/>
  <c r="E1650" i="27"/>
  <c r="U1650" i="27"/>
  <c r="V1650" i="27" s="1"/>
  <c r="W1650" i="27" s="1"/>
  <c r="K1696" i="27"/>
  <c r="U1696" i="27"/>
  <c r="V1696" i="27" s="1"/>
  <c r="W1696" i="27" s="1"/>
  <c r="E1696" i="27"/>
  <c r="N1696" i="27"/>
  <c r="H1696" i="27"/>
  <c r="N1760" i="27"/>
  <c r="H1760" i="27"/>
  <c r="E1760" i="27"/>
  <c r="K1760" i="27"/>
  <c r="K767" i="27"/>
  <c r="K783" i="27"/>
  <c r="K799" i="27"/>
  <c r="K817" i="27"/>
  <c r="K833" i="27"/>
  <c r="K849" i="27"/>
  <c r="K865" i="27"/>
  <c r="K883" i="27"/>
  <c r="K901" i="27"/>
  <c r="K917" i="27"/>
  <c r="K935" i="27"/>
  <c r="K943" i="27"/>
  <c r="K951" i="27"/>
  <c r="K960" i="27"/>
  <c r="K968" i="27"/>
  <c r="K976" i="27"/>
  <c r="K984" i="27"/>
  <c r="K992" i="27"/>
  <c r="K1000" i="27"/>
  <c r="K1008" i="27"/>
  <c r="K1016" i="27"/>
  <c r="K1024" i="27"/>
  <c r="K1032" i="27"/>
  <c r="K1041" i="27"/>
  <c r="K1049" i="27"/>
  <c r="K1057" i="27"/>
  <c r="K1065" i="27"/>
  <c r="K1073" i="27"/>
  <c r="K1081" i="27"/>
  <c r="K1089" i="27"/>
  <c r="K1097" i="27"/>
  <c r="K1105" i="27"/>
  <c r="K1114" i="27"/>
  <c r="K1122" i="27"/>
  <c r="K1130" i="27"/>
  <c r="K1138" i="27"/>
  <c r="K1146" i="27"/>
  <c r="U1172" i="27"/>
  <c r="V1172" i="27" s="1"/>
  <c r="W1172" i="27" s="1"/>
  <c r="K1172" i="27"/>
  <c r="U1203" i="27"/>
  <c r="V1203" i="27" s="1"/>
  <c r="W1203" i="27" s="1"/>
  <c r="H1203" i="27"/>
  <c r="U1223" i="27"/>
  <c r="V1223" i="27" s="1"/>
  <c r="W1223" i="27" s="1"/>
  <c r="H1223" i="27"/>
  <c r="K1223" i="27"/>
  <c r="E1223" i="27"/>
  <c r="U1224" i="27"/>
  <c r="V1224" i="27" s="1"/>
  <c r="W1224" i="27" s="1"/>
  <c r="H1224" i="27"/>
  <c r="U1227" i="27"/>
  <c r="V1227" i="27" s="1"/>
  <c r="W1227" i="27" s="1"/>
  <c r="H1227" i="27"/>
  <c r="E1227" i="27"/>
  <c r="U1250" i="27"/>
  <c r="V1250" i="27" s="1"/>
  <c r="W1250" i="27" s="1"/>
  <c r="K1250" i="27"/>
  <c r="U1298" i="27"/>
  <c r="V1298" i="27" s="1"/>
  <c r="W1298" i="27" s="1"/>
  <c r="N1298" i="27"/>
  <c r="K1298" i="27"/>
  <c r="U1343" i="27"/>
  <c r="V1343" i="27" s="1"/>
  <c r="W1343" i="27" s="1"/>
  <c r="K1343" i="27"/>
  <c r="U1353" i="27"/>
  <c r="V1353" i="27" s="1"/>
  <c r="W1353" i="27" s="1"/>
  <c r="K1353" i="27"/>
  <c r="U1354" i="27"/>
  <c r="V1354" i="27" s="1"/>
  <c r="W1354" i="27" s="1"/>
  <c r="H1354" i="27"/>
  <c r="K1354" i="27"/>
  <c r="E1354" i="27"/>
  <c r="U1358" i="27"/>
  <c r="V1358" i="27" s="1"/>
  <c r="W1358" i="27" s="1"/>
  <c r="H1358" i="27"/>
  <c r="E1358" i="27"/>
  <c r="U1373" i="27"/>
  <c r="V1373" i="27" s="1"/>
  <c r="W1373" i="27" s="1"/>
  <c r="K1373" i="27"/>
  <c r="U1381" i="27"/>
  <c r="V1381" i="27" s="1"/>
  <c r="W1381" i="27" s="1"/>
  <c r="K1381" i="27"/>
  <c r="H1381" i="27"/>
  <c r="U1394" i="27"/>
  <c r="V1394" i="27" s="1"/>
  <c r="W1394" i="27" s="1"/>
  <c r="H1394" i="27"/>
  <c r="K1394" i="27"/>
  <c r="U1398" i="27"/>
  <c r="V1398" i="27" s="1"/>
  <c r="W1398" i="27" s="1"/>
  <c r="K1398" i="27"/>
  <c r="H1398" i="27"/>
  <c r="U1410" i="27"/>
  <c r="V1410" i="27" s="1"/>
  <c r="W1410" i="27" s="1"/>
  <c r="H1410" i="27"/>
  <c r="K1410" i="27"/>
  <c r="U1411" i="27"/>
  <c r="V1411" i="27" s="1"/>
  <c r="W1411" i="27" s="1"/>
  <c r="K1411" i="27"/>
  <c r="H1411" i="27"/>
  <c r="U1441" i="27"/>
  <c r="V1441" i="27" s="1"/>
  <c r="W1441" i="27" s="1"/>
  <c r="K1441" i="27"/>
  <c r="H1441" i="27"/>
  <c r="H1464" i="27"/>
  <c r="N1464" i="27"/>
  <c r="K1464" i="27"/>
  <c r="K1465" i="27"/>
  <c r="H1465" i="27"/>
  <c r="U1465" i="27"/>
  <c r="V1465" i="27" s="1"/>
  <c r="W1465" i="27" s="1"/>
  <c r="U1492" i="27"/>
  <c r="V1492" i="27" s="1"/>
  <c r="W1492" i="27" s="1"/>
  <c r="K1492" i="27"/>
  <c r="H1492" i="27"/>
  <c r="N1594" i="27"/>
  <c r="K1594" i="27"/>
  <c r="U1610" i="27"/>
  <c r="V1610" i="27" s="1"/>
  <c r="W1610" i="27" s="1"/>
  <c r="N1610" i="27"/>
  <c r="K1610" i="27"/>
  <c r="H1658" i="27"/>
  <c r="K1658" i="27"/>
  <c r="U1658" i="27"/>
  <c r="V1658" i="27" s="1"/>
  <c r="W1658" i="27" s="1"/>
  <c r="E1658" i="27"/>
  <c r="H1707" i="27"/>
  <c r="K1707" i="27"/>
  <c r="H2306" i="27"/>
  <c r="U2306" i="27"/>
  <c r="V2306" i="27" s="1"/>
  <c r="W2306" i="27" s="1"/>
  <c r="K2306" i="27"/>
  <c r="E2306" i="27"/>
  <c r="H2436" i="27"/>
  <c r="K2436" i="27"/>
  <c r="U2436" i="27"/>
  <c r="V2436" i="27" s="1"/>
  <c r="W2436" i="27" s="1"/>
  <c r="H2508" i="27"/>
  <c r="E2508" i="27"/>
  <c r="U2508" i="27"/>
  <c r="V2508" i="27" s="1"/>
  <c r="W2508" i="27" s="1"/>
  <c r="K2508" i="27"/>
  <c r="U2862" i="27"/>
  <c r="V2862" i="27" s="1"/>
  <c r="W2862" i="27" s="1"/>
  <c r="E2862" i="27"/>
  <c r="H2862" i="27"/>
  <c r="K2862" i="27"/>
  <c r="H629" i="27"/>
  <c r="E632" i="27"/>
  <c r="U632" i="27"/>
  <c r="V632" i="27" s="1"/>
  <c r="W632" i="27" s="1"/>
  <c r="E635" i="27"/>
  <c r="U635" i="27"/>
  <c r="V635" i="27" s="1"/>
  <c r="W635" i="27" s="1"/>
  <c r="N636" i="27"/>
  <c r="H645" i="27"/>
  <c r="E648" i="27"/>
  <c r="U648" i="27"/>
  <c r="V648" i="27" s="1"/>
  <c r="W648" i="27" s="1"/>
  <c r="E651" i="27"/>
  <c r="U651" i="27"/>
  <c r="V651" i="27" s="1"/>
  <c r="W651" i="27" s="1"/>
  <c r="N652" i="27"/>
  <c r="H661" i="27"/>
  <c r="E664" i="27"/>
  <c r="U664" i="27"/>
  <c r="V664" i="27" s="1"/>
  <c r="W664" i="27" s="1"/>
  <c r="E667" i="27"/>
  <c r="U667" i="27"/>
  <c r="V667" i="27" s="1"/>
  <c r="W667" i="27" s="1"/>
  <c r="N668" i="27"/>
  <c r="H677" i="27"/>
  <c r="E680" i="27"/>
  <c r="U680" i="27"/>
  <c r="V680" i="27" s="1"/>
  <c r="W680" i="27" s="1"/>
  <c r="E683" i="27"/>
  <c r="U683" i="27"/>
  <c r="V683" i="27" s="1"/>
  <c r="W683" i="27" s="1"/>
  <c r="N684" i="27"/>
  <c r="H693" i="27"/>
  <c r="E696" i="27"/>
  <c r="U696" i="27"/>
  <c r="V696" i="27" s="1"/>
  <c r="W696" i="27" s="1"/>
  <c r="E699" i="27"/>
  <c r="U699" i="27"/>
  <c r="V699" i="27" s="1"/>
  <c r="W699" i="27" s="1"/>
  <c r="N700" i="27"/>
  <c r="H709" i="27"/>
  <c r="E712" i="27"/>
  <c r="U712" i="27"/>
  <c r="V712" i="27" s="1"/>
  <c r="W712" i="27" s="1"/>
  <c r="E715" i="27"/>
  <c r="U715" i="27"/>
  <c r="V715" i="27" s="1"/>
  <c r="W715" i="27" s="1"/>
  <c r="N716" i="27"/>
  <c r="H725" i="27"/>
  <c r="E729" i="27"/>
  <c r="U729" i="27"/>
  <c r="V729" i="27" s="1"/>
  <c r="W729" i="27" s="1"/>
  <c r="E732" i="27"/>
  <c r="U732" i="27"/>
  <c r="V732" i="27" s="1"/>
  <c r="W732" i="27" s="1"/>
  <c r="N733" i="27"/>
  <c r="H742" i="27"/>
  <c r="E745" i="27"/>
  <c r="U745" i="27"/>
  <c r="V745" i="27" s="1"/>
  <c r="W745" i="27" s="1"/>
  <c r="E748" i="27"/>
  <c r="U748" i="27"/>
  <c r="V748" i="27" s="1"/>
  <c r="W748" i="27" s="1"/>
  <c r="N749" i="27"/>
  <c r="H758" i="27"/>
  <c r="H762" i="27"/>
  <c r="N763" i="27"/>
  <c r="U767" i="27"/>
  <c r="V767" i="27" s="1"/>
  <c r="W767" i="27" s="1"/>
  <c r="K773" i="27"/>
  <c r="H778" i="27"/>
  <c r="N779" i="27"/>
  <c r="U783" i="27"/>
  <c r="V783" i="27" s="1"/>
  <c r="W783" i="27" s="1"/>
  <c r="K789" i="27"/>
  <c r="H794" i="27"/>
  <c r="N795" i="27"/>
  <c r="U799" i="27"/>
  <c r="V799" i="27" s="1"/>
  <c r="W799" i="27" s="1"/>
  <c r="K805" i="27"/>
  <c r="H811" i="27"/>
  <c r="N812" i="27"/>
  <c r="U817" i="27"/>
  <c r="V817" i="27" s="1"/>
  <c r="W817" i="27" s="1"/>
  <c r="K823" i="27"/>
  <c r="H828" i="27"/>
  <c r="N829" i="27"/>
  <c r="U833" i="27"/>
  <c r="V833" i="27" s="1"/>
  <c r="W833" i="27" s="1"/>
  <c r="K839" i="27"/>
  <c r="H844" i="27"/>
  <c r="N845" i="27"/>
  <c r="U849" i="27"/>
  <c r="V849" i="27" s="1"/>
  <c r="W849" i="27" s="1"/>
  <c r="K855" i="27"/>
  <c r="H860" i="27"/>
  <c r="N861" i="27"/>
  <c r="U865" i="27"/>
  <c r="V865" i="27" s="1"/>
  <c r="W865" i="27" s="1"/>
  <c r="K873" i="27"/>
  <c r="H878" i="27"/>
  <c r="N879" i="27"/>
  <c r="U883" i="27"/>
  <c r="V883" i="27" s="1"/>
  <c r="W883" i="27" s="1"/>
  <c r="K891" i="27"/>
  <c r="H896" i="27"/>
  <c r="N897" i="27"/>
  <c r="U901" i="27"/>
  <c r="V901" i="27" s="1"/>
  <c r="W901" i="27" s="1"/>
  <c r="K907" i="27"/>
  <c r="H912" i="27"/>
  <c r="N913" i="27"/>
  <c r="U917" i="27"/>
  <c r="V917" i="27" s="1"/>
  <c r="W917" i="27" s="1"/>
  <c r="K923" i="27"/>
  <c r="H928" i="27"/>
  <c r="N929" i="27"/>
  <c r="U935" i="27"/>
  <c r="V935" i="27" s="1"/>
  <c r="W935" i="27" s="1"/>
  <c r="N937" i="27"/>
  <c r="U943" i="27"/>
  <c r="V943" i="27" s="1"/>
  <c r="W943" i="27" s="1"/>
  <c r="N945" i="27"/>
  <c r="U951" i="27"/>
  <c r="V951" i="27" s="1"/>
  <c r="W951" i="27" s="1"/>
  <c r="N954" i="27"/>
  <c r="U960" i="27"/>
  <c r="V960" i="27" s="1"/>
  <c r="W960" i="27" s="1"/>
  <c r="N962" i="27"/>
  <c r="U968" i="27"/>
  <c r="V968" i="27" s="1"/>
  <c r="W968" i="27" s="1"/>
  <c r="N970" i="27"/>
  <c r="U976" i="27"/>
  <c r="V976" i="27" s="1"/>
  <c r="W976" i="27" s="1"/>
  <c r="N978" i="27"/>
  <c r="U984" i="27"/>
  <c r="V984" i="27" s="1"/>
  <c r="W984" i="27" s="1"/>
  <c r="N986" i="27"/>
  <c r="U992" i="27"/>
  <c r="V992" i="27" s="1"/>
  <c r="W992" i="27" s="1"/>
  <c r="N994" i="27"/>
  <c r="U1000" i="27"/>
  <c r="V1000" i="27" s="1"/>
  <c r="W1000" i="27" s="1"/>
  <c r="N1002" i="27"/>
  <c r="U1008" i="27"/>
  <c r="V1008" i="27" s="1"/>
  <c r="W1008" i="27" s="1"/>
  <c r="N1010" i="27"/>
  <c r="U1016" i="27"/>
  <c r="V1016" i="27" s="1"/>
  <c r="W1016" i="27" s="1"/>
  <c r="N1018" i="27"/>
  <c r="U1024" i="27"/>
  <c r="V1024" i="27" s="1"/>
  <c r="W1024" i="27" s="1"/>
  <c r="N1026" i="27"/>
  <c r="U1032" i="27"/>
  <c r="V1032" i="27" s="1"/>
  <c r="W1032" i="27" s="1"/>
  <c r="N1034" i="27"/>
  <c r="U1041" i="27"/>
  <c r="V1041" i="27" s="1"/>
  <c r="W1041" i="27" s="1"/>
  <c r="N1043" i="27"/>
  <c r="U1049" i="27"/>
  <c r="V1049" i="27" s="1"/>
  <c r="W1049" i="27" s="1"/>
  <c r="N1051" i="27"/>
  <c r="U1057" i="27"/>
  <c r="V1057" i="27" s="1"/>
  <c r="W1057" i="27" s="1"/>
  <c r="N1059" i="27"/>
  <c r="U1065" i="27"/>
  <c r="V1065" i="27" s="1"/>
  <c r="W1065" i="27" s="1"/>
  <c r="N1067" i="27"/>
  <c r="U1073" i="27"/>
  <c r="V1073" i="27" s="1"/>
  <c r="W1073" i="27" s="1"/>
  <c r="N1075" i="27"/>
  <c r="U1081" i="27"/>
  <c r="V1081" i="27" s="1"/>
  <c r="W1081" i="27" s="1"/>
  <c r="N1083" i="27"/>
  <c r="U1089" i="27"/>
  <c r="V1089" i="27" s="1"/>
  <c r="W1089" i="27" s="1"/>
  <c r="N1091" i="27"/>
  <c r="U1097" i="27"/>
  <c r="V1097" i="27" s="1"/>
  <c r="W1097" i="27" s="1"/>
  <c r="N1099" i="27"/>
  <c r="U1105" i="27"/>
  <c r="V1105" i="27" s="1"/>
  <c r="W1105" i="27" s="1"/>
  <c r="N1107" i="27"/>
  <c r="U1114" i="27"/>
  <c r="V1114" i="27" s="1"/>
  <c r="W1114" i="27" s="1"/>
  <c r="N1116" i="27"/>
  <c r="U1122" i="27"/>
  <c r="V1122" i="27" s="1"/>
  <c r="W1122" i="27" s="1"/>
  <c r="N1124" i="27"/>
  <c r="U1130" i="27"/>
  <c r="V1130" i="27" s="1"/>
  <c r="W1130" i="27" s="1"/>
  <c r="N1132" i="27"/>
  <c r="U1138" i="27"/>
  <c r="V1138" i="27" s="1"/>
  <c r="W1138" i="27" s="1"/>
  <c r="N1140" i="27"/>
  <c r="U1146" i="27"/>
  <c r="V1146" i="27" s="1"/>
  <c r="W1146" i="27" s="1"/>
  <c r="N1148" i="27"/>
  <c r="K1162" i="27"/>
  <c r="U1162" i="27"/>
  <c r="V1162" i="27" s="1"/>
  <c r="W1162" i="27" s="1"/>
  <c r="E1166" i="27"/>
  <c r="U1166" i="27"/>
  <c r="V1166" i="27" s="1"/>
  <c r="W1166" i="27" s="1"/>
  <c r="E1172" i="27"/>
  <c r="K1176" i="27"/>
  <c r="E1191" i="27"/>
  <c r="N1199" i="27"/>
  <c r="E1203" i="27"/>
  <c r="U1205" i="27"/>
  <c r="V1205" i="27" s="1"/>
  <c r="W1205" i="27" s="1"/>
  <c r="K1205" i="27"/>
  <c r="K1207" i="27"/>
  <c r="U1210" i="27"/>
  <c r="V1210" i="27" s="1"/>
  <c r="W1210" i="27" s="1"/>
  <c r="K1210" i="27"/>
  <c r="H1210" i="27"/>
  <c r="U1212" i="27"/>
  <c r="V1212" i="27" s="1"/>
  <c r="W1212" i="27" s="1"/>
  <c r="K1212" i="27"/>
  <c r="E1222" i="27"/>
  <c r="E1224" i="27"/>
  <c r="U1226" i="27"/>
  <c r="V1226" i="27" s="1"/>
  <c r="W1226" i="27" s="1"/>
  <c r="K1226" i="27"/>
  <c r="H1226" i="27"/>
  <c r="E1250" i="27"/>
  <c r="U1262" i="27"/>
  <c r="V1262" i="27" s="1"/>
  <c r="W1262" i="27" s="1"/>
  <c r="K1262" i="27"/>
  <c r="N1267" i="27"/>
  <c r="N1280" i="27"/>
  <c r="U1299" i="27"/>
  <c r="V1299" i="27" s="1"/>
  <c r="W1299" i="27" s="1"/>
  <c r="K1299" i="27"/>
  <c r="H1299" i="27"/>
  <c r="U1323" i="27"/>
  <c r="V1323" i="27" s="1"/>
  <c r="W1323" i="27" s="1"/>
  <c r="N1323" i="27"/>
  <c r="K1323" i="27"/>
  <c r="U1324" i="27"/>
  <c r="V1324" i="27" s="1"/>
  <c r="W1324" i="27" s="1"/>
  <c r="K1324" i="27"/>
  <c r="H1324" i="27"/>
  <c r="E1324" i="27"/>
  <c r="U1357" i="27"/>
  <c r="V1357" i="27" s="1"/>
  <c r="W1357" i="27" s="1"/>
  <c r="K1357" i="27"/>
  <c r="H1357" i="27"/>
  <c r="N1370" i="27"/>
  <c r="U1397" i="27"/>
  <c r="V1397" i="27" s="1"/>
  <c r="W1397" i="27" s="1"/>
  <c r="K1397" i="27"/>
  <c r="N1404" i="27"/>
  <c r="U1414" i="27"/>
  <c r="V1414" i="27" s="1"/>
  <c r="W1414" i="27" s="1"/>
  <c r="K1414" i="27"/>
  <c r="U1431" i="27"/>
  <c r="V1431" i="27" s="1"/>
  <c r="W1431" i="27" s="1"/>
  <c r="K1431" i="27"/>
  <c r="N1438" i="27"/>
  <c r="N1444" i="27"/>
  <c r="N1460" i="27"/>
  <c r="H1463" i="27"/>
  <c r="K1463" i="27"/>
  <c r="U1464" i="27"/>
  <c r="V1464" i="27" s="1"/>
  <c r="W1464" i="27" s="1"/>
  <c r="H1471" i="27"/>
  <c r="K1471" i="27"/>
  <c r="E1471" i="27"/>
  <c r="K1578" i="27"/>
  <c r="H1578" i="27"/>
  <c r="K1579" i="27"/>
  <c r="N1584" i="27"/>
  <c r="U1594" i="27"/>
  <c r="V1594" i="27" s="1"/>
  <c r="W1594" i="27" s="1"/>
  <c r="K1645" i="27"/>
  <c r="U1645" i="27"/>
  <c r="V1645" i="27" s="1"/>
  <c r="W1645" i="27" s="1"/>
  <c r="E1645" i="27"/>
  <c r="N1645" i="27"/>
  <c r="N1647" i="27"/>
  <c r="H1647" i="27"/>
  <c r="K1647" i="27"/>
  <c r="H1648" i="27"/>
  <c r="U1648" i="27"/>
  <c r="V1648" i="27" s="1"/>
  <c r="W1648" i="27" s="1"/>
  <c r="K1648" i="27"/>
  <c r="N1672" i="27"/>
  <c r="H1691" i="27"/>
  <c r="U1691" i="27"/>
  <c r="V1691" i="27" s="1"/>
  <c r="W1691" i="27" s="1"/>
  <c r="K1691" i="27"/>
  <c r="H1706" i="27"/>
  <c r="U1706" i="27"/>
  <c r="V1706" i="27" s="1"/>
  <c r="W1706" i="27" s="1"/>
  <c r="N1706" i="27"/>
  <c r="K1706" i="27"/>
  <c r="E1706" i="27"/>
  <c r="U1707" i="27"/>
  <c r="V1707" i="27" s="1"/>
  <c r="W1707" i="27" s="1"/>
  <c r="N1758" i="27"/>
  <c r="H1758" i="27"/>
  <c r="K1758" i="27"/>
  <c r="E1758" i="27"/>
  <c r="N2289" i="27"/>
  <c r="H2302" i="27"/>
  <c r="K2302" i="27"/>
  <c r="U2302" i="27"/>
  <c r="V2302" i="27" s="1"/>
  <c r="W2302" i="27" s="1"/>
  <c r="E2302" i="27"/>
  <c r="H2404" i="27"/>
  <c r="K2404" i="27"/>
  <c r="E2404" i="27"/>
  <c r="U2404" i="27"/>
  <c r="V2404" i="27" s="1"/>
  <c r="W2404" i="27" s="1"/>
  <c r="H2594" i="27"/>
  <c r="K2594" i="27"/>
  <c r="E2594" i="27"/>
  <c r="U2594" i="27"/>
  <c r="V2594" i="27" s="1"/>
  <c r="W2594" i="27" s="1"/>
  <c r="E336" i="27"/>
  <c r="E352" i="27"/>
  <c r="E361" i="27"/>
  <c r="E373" i="27"/>
  <c r="E388" i="27"/>
  <c r="E401" i="27"/>
  <c r="E409" i="27"/>
  <c r="H416" i="27"/>
  <c r="U416" i="27"/>
  <c r="V416" i="27" s="1"/>
  <c r="W416" i="27" s="1"/>
  <c r="E418" i="27"/>
  <c r="U424" i="27"/>
  <c r="V424" i="27" s="1"/>
  <c r="W424" i="27" s="1"/>
  <c r="H432" i="27"/>
  <c r="U432" i="27"/>
  <c r="V432" i="27" s="1"/>
  <c r="W432" i="27" s="1"/>
  <c r="E434" i="27"/>
  <c r="H440" i="27"/>
  <c r="U440" i="27"/>
  <c r="V440" i="27" s="1"/>
  <c r="W440" i="27" s="1"/>
  <c r="E447" i="27"/>
  <c r="H453" i="27"/>
  <c r="U453" i="27"/>
  <c r="V453" i="27" s="1"/>
  <c r="W453" i="27" s="1"/>
  <c r="E455" i="27"/>
  <c r="H461" i="27"/>
  <c r="U461" i="27"/>
  <c r="V461" i="27" s="1"/>
  <c r="W461" i="27" s="1"/>
  <c r="E463" i="27"/>
  <c r="U477" i="27"/>
  <c r="V477" i="27" s="1"/>
  <c r="W477" i="27" s="1"/>
  <c r="H485" i="27"/>
  <c r="H493" i="27"/>
  <c r="U493" i="27"/>
  <c r="V493" i="27" s="1"/>
  <c r="W493" i="27" s="1"/>
  <c r="E495" i="27"/>
  <c r="H501" i="27"/>
  <c r="H517" i="27"/>
  <c r="U517" i="27"/>
  <c r="V517" i="27" s="1"/>
  <c r="W517" i="27" s="1"/>
  <c r="E519" i="27"/>
  <c r="U530" i="27"/>
  <c r="V530" i="27" s="1"/>
  <c r="W530" i="27" s="1"/>
  <c r="E532" i="27"/>
  <c r="H539" i="27"/>
  <c r="H556" i="27"/>
  <c r="U556" i="27"/>
  <c r="V556" i="27" s="1"/>
  <c r="W556" i="27" s="1"/>
  <c r="E558" i="27"/>
  <c r="H564" i="27"/>
  <c r="H572" i="27"/>
  <c r="H580" i="27"/>
  <c r="U580" i="27"/>
  <c r="V580" i="27" s="1"/>
  <c r="W580" i="27" s="1"/>
  <c r="E582" i="27"/>
  <c r="H589" i="27"/>
  <c r="U589" i="27"/>
  <c r="V589" i="27" s="1"/>
  <c r="W589" i="27" s="1"/>
  <c r="E591" i="27"/>
  <c r="H597" i="27"/>
  <c r="U597" i="27"/>
  <c r="V597" i="27" s="1"/>
  <c r="W597" i="27" s="1"/>
  <c r="E599" i="27"/>
  <c r="H605" i="27"/>
  <c r="U605" i="27"/>
  <c r="V605" i="27" s="1"/>
  <c r="W605" i="27" s="1"/>
  <c r="E607" i="27"/>
  <c r="H623" i="27"/>
  <c r="H639" i="27"/>
  <c r="H671" i="27"/>
  <c r="H687" i="27"/>
  <c r="H719" i="27"/>
  <c r="H736" i="27"/>
  <c r="H752" i="27"/>
  <c r="K763" i="27"/>
  <c r="H768" i="27"/>
  <c r="K779" i="27"/>
  <c r="H784" i="27"/>
  <c r="K812" i="27"/>
  <c r="K829" i="27"/>
  <c r="E833" i="27"/>
  <c r="K845" i="27"/>
  <c r="H850" i="27"/>
  <c r="K861" i="27"/>
  <c r="H866" i="27"/>
  <c r="K879" i="27"/>
  <c r="H884" i="27"/>
  <c r="E901" i="27"/>
  <c r="H902" i="27"/>
  <c r="E917" i="27"/>
  <c r="H918" i="27"/>
  <c r="K937" i="27"/>
  <c r="U1327" i="27"/>
  <c r="V1327" i="27" s="1"/>
  <c r="W1327" i="27" s="1"/>
  <c r="K1327" i="27"/>
  <c r="H1327" i="27"/>
  <c r="E1343" i="27"/>
  <c r="U1371" i="27"/>
  <c r="V1371" i="27" s="1"/>
  <c r="W1371" i="27" s="1"/>
  <c r="K1371" i="27"/>
  <c r="H1371" i="27"/>
  <c r="E1381" i="27"/>
  <c r="E1394" i="27"/>
  <c r="U1404" i="27"/>
  <c r="V1404" i="27" s="1"/>
  <c r="W1404" i="27" s="1"/>
  <c r="K1404" i="27"/>
  <c r="H1404" i="27"/>
  <c r="U1415" i="27"/>
  <c r="V1415" i="27" s="1"/>
  <c r="W1415" i="27" s="1"/>
  <c r="K1415" i="27"/>
  <c r="H1415" i="27"/>
  <c r="U1444" i="27"/>
  <c r="V1444" i="27" s="1"/>
  <c r="W1444" i="27" s="1"/>
  <c r="K1444" i="27"/>
  <c r="E1465" i="27"/>
  <c r="E1492" i="27"/>
  <c r="N1599" i="27"/>
  <c r="H1599" i="27"/>
  <c r="K1599" i="27"/>
  <c r="K1601" i="27"/>
  <c r="H1601" i="27"/>
  <c r="E1610" i="27"/>
  <c r="K1672" i="27"/>
  <c r="U1672" i="27"/>
  <c r="V1672" i="27" s="1"/>
  <c r="W1672" i="27" s="1"/>
  <c r="N1796" i="27"/>
  <c r="K1796" i="27"/>
  <c r="E1796" i="27"/>
  <c r="U1796" i="27"/>
  <c r="V1796" i="27" s="1"/>
  <c r="W1796" i="27" s="1"/>
  <c r="H1796" i="27"/>
  <c r="H2289" i="27"/>
  <c r="U2289" i="27"/>
  <c r="V2289" i="27" s="1"/>
  <c r="W2289" i="27" s="1"/>
  <c r="K2289" i="27"/>
  <c r="E2289" i="27"/>
  <c r="H2312" i="27"/>
  <c r="E2312" i="27"/>
  <c r="U2312" i="27"/>
  <c r="V2312" i="27" s="1"/>
  <c r="W2312" i="27" s="1"/>
  <c r="H2394" i="27"/>
  <c r="E2394" i="27"/>
  <c r="U2394" i="27"/>
  <c r="V2394" i="27" s="1"/>
  <c r="W2394" i="27" s="1"/>
  <c r="K2394" i="27"/>
  <c r="H2423" i="27"/>
  <c r="U2423" i="27"/>
  <c r="V2423" i="27" s="1"/>
  <c r="W2423" i="27" s="1"/>
  <c r="K2423" i="27"/>
  <c r="E2423" i="27"/>
  <c r="H2452" i="27"/>
  <c r="K2452" i="27"/>
  <c r="U2452" i="27"/>
  <c r="V2452" i="27" s="1"/>
  <c r="W2452" i="27" s="1"/>
  <c r="E2452" i="27"/>
  <c r="E623" i="27"/>
  <c r="U623" i="27"/>
  <c r="V623" i="27" s="1"/>
  <c r="W623" i="27" s="1"/>
  <c r="H633" i="27"/>
  <c r="E636" i="27"/>
  <c r="E639" i="27"/>
  <c r="U639" i="27"/>
  <c r="V639" i="27" s="1"/>
  <c r="W639" i="27" s="1"/>
  <c r="H649" i="27"/>
  <c r="E652" i="27"/>
  <c r="E655" i="27"/>
  <c r="H665" i="27"/>
  <c r="E668" i="27"/>
  <c r="E671" i="27"/>
  <c r="U671" i="27"/>
  <c r="V671" i="27" s="1"/>
  <c r="W671" i="27" s="1"/>
  <c r="H681" i="27"/>
  <c r="E684" i="27"/>
  <c r="E687" i="27"/>
  <c r="U687" i="27"/>
  <c r="V687" i="27" s="1"/>
  <c r="W687" i="27" s="1"/>
  <c r="H697" i="27"/>
  <c r="E700" i="27"/>
  <c r="E703" i="27"/>
  <c r="H713" i="27"/>
  <c r="E716" i="27"/>
  <c r="E719" i="27"/>
  <c r="U719" i="27"/>
  <c r="V719" i="27" s="1"/>
  <c r="W719" i="27" s="1"/>
  <c r="H730" i="27"/>
  <c r="E733" i="27"/>
  <c r="E736" i="27"/>
  <c r="U736" i="27"/>
  <c r="V736" i="27" s="1"/>
  <c r="W736" i="27" s="1"/>
  <c r="H746" i="27"/>
  <c r="E749" i="27"/>
  <c r="E752" i="27"/>
  <c r="U752" i="27"/>
  <c r="V752" i="27" s="1"/>
  <c r="W752" i="27" s="1"/>
  <c r="U763" i="27"/>
  <c r="V763" i="27" s="1"/>
  <c r="W763" i="27" s="1"/>
  <c r="H774" i="27"/>
  <c r="U779" i="27"/>
  <c r="V779" i="27" s="1"/>
  <c r="W779" i="27" s="1"/>
  <c r="H790" i="27"/>
  <c r="H806" i="27"/>
  <c r="U812" i="27"/>
  <c r="V812" i="27" s="1"/>
  <c r="W812" i="27" s="1"/>
  <c r="H824" i="27"/>
  <c r="U829" i="27"/>
  <c r="V829" i="27" s="1"/>
  <c r="W829" i="27" s="1"/>
  <c r="H840" i="27"/>
  <c r="U845" i="27"/>
  <c r="V845" i="27" s="1"/>
  <c r="W845" i="27" s="1"/>
  <c r="H856" i="27"/>
  <c r="U861" i="27"/>
  <c r="V861" i="27" s="1"/>
  <c r="W861" i="27" s="1"/>
  <c r="H874" i="27"/>
  <c r="U879" i="27"/>
  <c r="V879" i="27" s="1"/>
  <c r="W879" i="27" s="1"/>
  <c r="H892" i="27"/>
  <c r="H908" i="27"/>
  <c r="H924" i="27"/>
  <c r="U937" i="27"/>
  <c r="V937" i="27" s="1"/>
  <c r="W937" i="27" s="1"/>
  <c r="H1172" i="27"/>
  <c r="H1175" i="27"/>
  <c r="U1175" i="27"/>
  <c r="V1175" i="27" s="1"/>
  <c r="W1175" i="27" s="1"/>
  <c r="U1186" i="27"/>
  <c r="V1186" i="27" s="1"/>
  <c r="W1186" i="27" s="1"/>
  <c r="K1186" i="27"/>
  <c r="H1186" i="27"/>
  <c r="U1188" i="27"/>
  <c r="V1188" i="27" s="1"/>
  <c r="W1188" i="27" s="1"/>
  <c r="K1188" i="27"/>
  <c r="H1191" i="27"/>
  <c r="E1199" i="27"/>
  <c r="U1213" i="27"/>
  <c r="V1213" i="27" s="1"/>
  <c r="W1213" i="27" s="1"/>
  <c r="K1213" i="27"/>
  <c r="H1222" i="27"/>
  <c r="U1246" i="27"/>
  <c r="V1246" i="27" s="1"/>
  <c r="W1246" i="27" s="1"/>
  <c r="K1246" i="27"/>
  <c r="H1246" i="27"/>
  <c r="H1250" i="27"/>
  <c r="U1266" i="27"/>
  <c r="V1266" i="27" s="1"/>
  <c r="W1266" i="27" s="1"/>
  <c r="K1266" i="27"/>
  <c r="U1285" i="27"/>
  <c r="V1285" i="27" s="1"/>
  <c r="W1285" i="27" s="1"/>
  <c r="K1285" i="27"/>
  <c r="U1302" i="27"/>
  <c r="V1302" i="27" s="1"/>
  <c r="W1302" i="27" s="1"/>
  <c r="K1302" i="27"/>
  <c r="U1363" i="27"/>
  <c r="V1363" i="27" s="1"/>
  <c r="W1363" i="27" s="1"/>
  <c r="N1363" i="27"/>
  <c r="K1363" i="27"/>
  <c r="E1398" i="27"/>
  <c r="U1407" i="27"/>
  <c r="V1407" i="27" s="1"/>
  <c r="W1407" i="27" s="1"/>
  <c r="K1407" i="27"/>
  <c r="E1410" i="27"/>
  <c r="U1417" i="27"/>
  <c r="V1417" i="27" s="1"/>
  <c r="W1417" i="27" s="1"/>
  <c r="K1417" i="27"/>
  <c r="U1418" i="27"/>
  <c r="V1418" i="27" s="1"/>
  <c r="W1418" i="27" s="1"/>
  <c r="H1418" i="27"/>
  <c r="K1418" i="27"/>
  <c r="E1418" i="27"/>
  <c r="U1422" i="27"/>
  <c r="V1422" i="27" s="1"/>
  <c r="W1422" i="27" s="1"/>
  <c r="H1422" i="27"/>
  <c r="E1422" i="27"/>
  <c r="U1437" i="27"/>
  <c r="V1437" i="27" s="1"/>
  <c r="W1437" i="27" s="1"/>
  <c r="K1437" i="27"/>
  <c r="U1445" i="27"/>
  <c r="V1445" i="27" s="1"/>
  <c r="W1445" i="27" s="1"/>
  <c r="K1445" i="27"/>
  <c r="H1445" i="27"/>
  <c r="E1464" i="27"/>
  <c r="N1470" i="27"/>
  <c r="H1470" i="27"/>
  <c r="K1470" i="27"/>
  <c r="E1470" i="27"/>
  <c r="H1520" i="27"/>
  <c r="E1520" i="27"/>
  <c r="U1520" i="27"/>
  <c r="V1520" i="27" s="1"/>
  <c r="W1520" i="27" s="1"/>
  <c r="N1583" i="27"/>
  <c r="H1583" i="27"/>
  <c r="K1583" i="27"/>
  <c r="U1598" i="27"/>
  <c r="V1598" i="27" s="1"/>
  <c r="W1598" i="27" s="1"/>
  <c r="K1598" i="27"/>
  <c r="U1599" i="27"/>
  <c r="V1599" i="27" s="1"/>
  <c r="W1599" i="27" s="1"/>
  <c r="U1601" i="27"/>
  <c r="V1601" i="27" s="1"/>
  <c r="W1601" i="27" s="1"/>
  <c r="H1607" i="27"/>
  <c r="N1607" i="27"/>
  <c r="E1607" i="27"/>
  <c r="U1607" i="27"/>
  <c r="V1607" i="27" s="1"/>
  <c r="W1607" i="27" s="1"/>
  <c r="H1675" i="27"/>
  <c r="U1675" i="27"/>
  <c r="V1675" i="27" s="1"/>
  <c r="W1675" i="27" s="1"/>
  <c r="E1675" i="27"/>
  <c r="N1675" i="27"/>
  <c r="K1675" i="27"/>
  <c r="H1690" i="27"/>
  <c r="U1690" i="27"/>
  <c r="V1690" i="27" s="1"/>
  <c r="W1690" i="27" s="1"/>
  <c r="N1690" i="27"/>
  <c r="K1690" i="27"/>
  <c r="E1690" i="27"/>
  <c r="K1705" i="27"/>
  <c r="U1705" i="27"/>
  <c r="V1705" i="27" s="1"/>
  <c r="W1705" i="27" s="1"/>
  <c r="H1705" i="27"/>
  <c r="E1707" i="27"/>
  <c r="N1733" i="27"/>
  <c r="H1733" i="27"/>
  <c r="U1733" i="27"/>
  <c r="V1733" i="27" s="1"/>
  <c r="W1733" i="27" s="1"/>
  <c r="E1733" i="27"/>
  <c r="H2419" i="27"/>
  <c r="K2419" i="27"/>
  <c r="U2419" i="27"/>
  <c r="V2419" i="27" s="1"/>
  <c r="W2419" i="27" s="1"/>
  <c r="E2419" i="27"/>
  <c r="E2436" i="27"/>
  <c r="E320" i="27"/>
  <c r="E328" i="27"/>
  <c r="E344" i="27"/>
  <c r="H424" i="27"/>
  <c r="E426" i="27"/>
  <c r="H469" i="27"/>
  <c r="U469" i="27"/>
  <c r="V469" i="27" s="1"/>
  <c r="W469" i="27" s="1"/>
  <c r="E471" i="27"/>
  <c r="H477" i="27"/>
  <c r="E479" i="27"/>
  <c r="U485" i="27"/>
  <c r="V485" i="27" s="1"/>
  <c r="W485" i="27" s="1"/>
  <c r="E487" i="27"/>
  <c r="U501" i="27"/>
  <c r="V501" i="27" s="1"/>
  <c r="W501" i="27" s="1"/>
  <c r="E503" i="27"/>
  <c r="H509" i="27"/>
  <c r="U509" i="27"/>
  <c r="V509" i="27" s="1"/>
  <c r="W509" i="27" s="1"/>
  <c r="E511" i="27"/>
  <c r="H530" i="27"/>
  <c r="U539" i="27"/>
  <c r="V539" i="27" s="1"/>
  <c r="W539" i="27" s="1"/>
  <c r="E541" i="27"/>
  <c r="H547" i="27"/>
  <c r="U547" i="27"/>
  <c r="V547" i="27" s="1"/>
  <c r="W547" i="27" s="1"/>
  <c r="E550" i="27"/>
  <c r="U564" i="27"/>
  <c r="V564" i="27" s="1"/>
  <c r="W564" i="27" s="1"/>
  <c r="E566" i="27"/>
  <c r="U572" i="27"/>
  <c r="V572" i="27" s="1"/>
  <c r="W572" i="27" s="1"/>
  <c r="E574" i="27"/>
  <c r="H655" i="27"/>
  <c r="H703" i="27"/>
  <c r="E767" i="27"/>
  <c r="E783" i="27"/>
  <c r="K795" i="27"/>
  <c r="E799" i="27"/>
  <c r="H800" i="27"/>
  <c r="E817" i="27"/>
  <c r="H818" i="27"/>
  <c r="H834" i="27"/>
  <c r="E849" i="27"/>
  <c r="E865" i="27"/>
  <c r="E883" i="27"/>
  <c r="K897" i="27"/>
  <c r="K913" i="27"/>
  <c r="K929" i="27"/>
  <c r="E935" i="27"/>
  <c r="E943" i="27"/>
  <c r="K945" i="27"/>
  <c r="E951" i="27"/>
  <c r="K954" i="27"/>
  <c r="E960" i="27"/>
  <c r="K962" i="27"/>
  <c r="E968" i="27"/>
  <c r="K970" i="27"/>
  <c r="E976" i="27"/>
  <c r="K978" i="27"/>
  <c r="E984" i="27"/>
  <c r="K986" i="27"/>
  <c r="E992" i="27"/>
  <c r="K994" i="27"/>
  <c r="E1000" i="27"/>
  <c r="K1002" i="27"/>
  <c r="E1008" i="27"/>
  <c r="K1010" i="27"/>
  <c r="E1016" i="27"/>
  <c r="K1018" i="27"/>
  <c r="E1024" i="27"/>
  <c r="K1026" i="27"/>
  <c r="E1032" i="27"/>
  <c r="K1034" i="27"/>
  <c r="E1041" i="27"/>
  <c r="K1043" i="27"/>
  <c r="E1049" i="27"/>
  <c r="K1051" i="27"/>
  <c r="E1057" i="27"/>
  <c r="K1059" i="27"/>
  <c r="E1065" i="27"/>
  <c r="K1067" i="27"/>
  <c r="E1073" i="27"/>
  <c r="K1075" i="27"/>
  <c r="E1081" i="27"/>
  <c r="K1083" i="27"/>
  <c r="E1089" i="27"/>
  <c r="K1091" i="27"/>
  <c r="E1097" i="27"/>
  <c r="K1099" i="27"/>
  <c r="E1105" i="27"/>
  <c r="K1107" i="27"/>
  <c r="E1114" i="27"/>
  <c r="K1116" i="27"/>
  <c r="E1122" i="27"/>
  <c r="K1124" i="27"/>
  <c r="E1130" i="27"/>
  <c r="K1132" i="27"/>
  <c r="E1138" i="27"/>
  <c r="K1140" i="27"/>
  <c r="E1146" i="27"/>
  <c r="K1148" i="27"/>
  <c r="U1154" i="27"/>
  <c r="V1154" i="27" s="1"/>
  <c r="W1154" i="27" s="1"/>
  <c r="K1154" i="27"/>
  <c r="U1167" i="27"/>
  <c r="V1167" i="27" s="1"/>
  <c r="W1167" i="27" s="1"/>
  <c r="H1167" i="27"/>
  <c r="U1174" i="27"/>
  <c r="V1174" i="27" s="1"/>
  <c r="W1174" i="27" s="1"/>
  <c r="K1174" i="27"/>
  <c r="H1174" i="27"/>
  <c r="K1181" i="27"/>
  <c r="H1181" i="27"/>
  <c r="U1211" i="27"/>
  <c r="V1211" i="27" s="1"/>
  <c r="W1211" i="27" s="1"/>
  <c r="H1211" i="27"/>
  <c r="U1263" i="27"/>
  <c r="V1263" i="27" s="1"/>
  <c r="W1263" i="27" s="1"/>
  <c r="H1263" i="27"/>
  <c r="K1263" i="27"/>
  <c r="U1267" i="27"/>
  <c r="V1267" i="27" s="1"/>
  <c r="W1267" i="27" s="1"/>
  <c r="K1267" i="27"/>
  <c r="H1267" i="27"/>
  <c r="U1280" i="27"/>
  <c r="V1280" i="27" s="1"/>
  <c r="W1280" i="27" s="1"/>
  <c r="H1280" i="27"/>
  <c r="K1280" i="27"/>
  <c r="U1282" i="27"/>
  <c r="V1282" i="27" s="1"/>
  <c r="W1282" i="27" s="1"/>
  <c r="K1282" i="27"/>
  <c r="H1282" i="27"/>
  <c r="E1298" i="27"/>
  <c r="U1313" i="27"/>
  <c r="V1313" i="27" s="1"/>
  <c r="W1313" i="27" s="1"/>
  <c r="K1313" i="27"/>
  <c r="H1313" i="27"/>
  <c r="E1353" i="27"/>
  <c r="U1370" i="27"/>
  <c r="V1370" i="27" s="1"/>
  <c r="W1370" i="27" s="1"/>
  <c r="H1370" i="27"/>
  <c r="K1370" i="27"/>
  <c r="E1373" i="27"/>
  <c r="U1401" i="27"/>
  <c r="V1401" i="27" s="1"/>
  <c r="W1401" i="27" s="1"/>
  <c r="K1401" i="27"/>
  <c r="H1401" i="27"/>
  <c r="E1411" i="27"/>
  <c r="U1438" i="27"/>
  <c r="V1438" i="27" s="1"/>
  <c r="W1438" i="27" s="1"/>
  <c r="K1438" i="27"/>
  <c r="H1438" i="27"/>
  <c r="E1441" i="27"/>
  <c r="U1460" i="27"/>
  <c r="V1460" i="27" s="1"/>
  <c r="W1460" i="27" s="1"/>
  <c r="K1460" i="27"/>
  <c r="H1584" i="27"/>
  <c r="K1584" i="27"/>
  <c r="E1584" i="27"/>
  <c r="E1594" i="27"/>
  <c r="H1600" i="27"/>
  <c r="K1600" i="27"/>
  <c r="N1726" i="27"/>
  <c r="H1726" i="27"/>
  <c r="U1726" i="27"/>
  <c r="V1726" i="27" s="1"/>
  <c r="W1726" i="27" s="1"/>
  <c r="E1726" i="27"/>
  <c r="K1726" i="27"/>
  <c r="H2438" i="27"/>
  <c r="K2438" i="27"/>
  <c r="E2438" i="27"/>
  <c r="U2438" i="27"/>
  <c r="V2438" i="27" s="1"/>
  <c r="W2438" i="27" s="1"/>
  <c r="H320" i="27"/>
  <c r="H328" i="27"/>
  <c r="H336" i="27"/>
  <c r="H344" i="27"/>
  <c r="H352" i="27"/>
  <c r="H361" i="27"/>
  <c r="H369" i="27"/>
  <c r="H373" i="27"/>
  <c r="H388" i="27"/>
  <c r="H401" i="27"/>
  <c r="H409" i="27"/>
  <c r="H418" i="27"/>
  <c r="H426" i="27"/>
  <c r="H434" i="27"/>
  <c r="H447" i="27"/>
  <c r="H455" i="27"/>
  <c r="H463" i="27"/>
  <c r="H471" i="27"/>
  <c r="H479" i="27"/>
  <c r="H487" i="27"/>
  <c r="H495" i="27"/>
  <c r="H503" i="27"/>
  <c r="H511" i="27"/>
  <c r="H519" i="27"/>
  <c r="H532" i="27"/>
  <c r="H541" i="27"/>
  <c r="H550" i="27"/>
  <c r="H558" i="27"/>
  <c r="H566" i="27"/>
  <c r="H574" i="27"/>
  <c r="H582" i="27"/>
  <c r="H591" i="27"/>
  <c r="H599" i="27"/>
  <c r="H607" i="27"/>
  <c r="H627" i="27"/>
  <c r="E630" i="27"/>
  <c r="E633" i="27"/>
  <c r="U633" i="27"/>
  <c r="V633" i="27" s="1"/>
  <c r="W633" i="27" s="1"/>
  <c r="N634" i="27"/>
  <c r="K635" i="27"/>
  <c r="H643" i="27"/>
  <c r="E646" i="27"/>
  <c r="E649" i="27"/>
  <c r="U649" i="27"/>
  <c r="V649" i="27" s="1"/>
  <c r="W649" i="27" s="1"/>
  <c r="N650" i="27"/>
  <c r="K651" i="27"/>
  <c r="H659" i="27"/>
  <c r="E662" i="27"/>
  <c r="E665" i="27"/>
  <c r="U665" i="27"/>
  <c r="V665" i="27" s="1"/>
  <c r="W665" i="27" s="1"/>
  <c r="N666" i="27"/>
  <c r="K667" i="27"/>
  <c r="H675" i="27"/>
  <c r="E678" i="27"/>
  <c r="E681" i="27"/>
  <c r="U681" i="27"/>
  <c r="V681" i="27" s="1"/>
  <c r="W681" i="27" s="1"/>
  <c r="N682" i="27"/>
  <c r="K683" i="27"/>
  <c r="H691" i="27"/>
  <c r="E694" i="27"/>
  <c r="E697" i="27"/>
  <c r="U697" i="27"/>
  <c r="V697" i="27" s="1"/>
  <c r="W697" i="27" s="1"/>
  <c r="N698" i="27"/>
  <c r="K699" i="27"/>
  <c r="H707" i="27"/>
  <c r="E710" i="27"/>
  <c r="E713" i="27"/>
  <c r="U713" i="27"/>
  <c r="V713" i="27" s="1"/>
  <c r="W713" i="27" s="1"/>
  <c r="N714" i="27"/>
  <c r="K715" i="27"/>
  <c r="H723" i="27"/>
  <c r="E726" i="27"/>
  <c r="E730" i="27"/>
  <c r="U730" i="27"/>
  <c r="V730" i="27" s="1"/>
  <c r="W730" i="27" s="1"/>
  <c r="N731" i="27"/>
  <c r="K732" i="27"/>
  <c r="H740" i="27"/>
  <c r="E743" i="27"/>
  <c r="E746" i="27"/>
  <c r="U746" i="27"/>
  <c r="V746" i="27" s="1"/>
  <c r="W746" i="27" s="1"/>
  <c r="N747" i="27"/>
  <c r="K748" i="27"/>
  <c r="H756" i="27"/>
  <c r="E759" i="27"/>
  <c r="E763" i="27"/>
  <c r="H764" i="27"/>
  <c r="N765" i="27"/>
  <c r="H767" i="27"/>
  <c r="U769" i="27"/>
  <c r="V769" i="27" s="1"/>
  <c r="W769" i="27" s="1"/>
  <c r="K775" i="27"/>
  <c r="E779" i="27"/>
  <c r="H780" i="27"/>
  <c r="N781" i="27"/>
  <c r="H783" i="27"/>
  <c r="U785" i="27"/>
  <c r="V785" i="27" s="1"/>
  <c r="W785" i="27" s="1"/>
  <c r="K791" i="27"/>
  <c r="E795" i="27"/>
  <c r="H796" i="27"/>
  <c r="N797" i="27"/>
  <c r="H799" i="27"/>
  <c r="U801" i="27"/>
  <c r="V801" i="27" s="1"/>
  <c r="W801" i="27" s="1"/>
  <c r="K807" i="27"/>
  <c r="E812" i="27"/>
  <c r="H813" i="27"/>
  <c r="N815" i="27"/>
  <c r="H817" i="27"/>
  <c r="U819" i="27"/>
  <c r="V819" i="27" s="1"/>
  <c r="W819" i="27" s="1"/>
  <c r="K825" i="27"/>
  <c r="E829" i="27"/>
  <c r="H830" i="27"/>
  <c r="N831" i="27"/>
  <c r="H833" i="27"/>
  <c r="U835" i="27"/>
  <c r="V835" i="27" s="1"/>
  <c r="W835" i="27" s="1"/>
  <c r="K841" i="27"/>
  <c r="E845" i="27"/>
  <c r="H846" i="27"/>
  <c r="N847" i="27"/>
  <c r="H849" i="27"/>
  <c r="U851" i="27"/>
  <c r="V851" i="27" s="1"/>
  <c r="W851" i="27" s="1"/>
  <c r="K857" i="27"/>
  <c r="E861" i="27"/>
  <c r="H862" i="27"/>
  <c r="N863" i="27"/>
  <c r="H865" i="27"/>
  <c r="U867" i="27"/>
  <c r="V867" i="27" s="1"/>
  <c r="W867" i="27" s="1"/>
  <c r="K875" i="27"/>
  <c r="E879" i="27"/>
  <c r="H880" i="27"/>
  <c r="N881" i="27"/>
  <c r="H883" i="27"/>
  <c r="U885" i="27"/>
  <c r="V885" i="27" s="1"/>
  <c r="W885" i="27" s="1"/>
  <c r="K893" i="27"/>
  <c r="E897" i="27"/>
  <c r="H898" i="27"/>
  <c r="N899" i="27"/>
  <c r="H901" i="27"/>
  <c r="U903" i="27"/>
  <c r="V903" i="27" s="1"/>
  <c r="W903" i="27" s="1"/>
  <c r="K909" i="27"/>
  <c r="E913" i="27"/>
  <c r="H914" i="27"/>
  <c r="N915" i="27"/>
  <c r="H917" i="27"/>
  <c r="U919" i="27"/>
  <c r="V919" i="27" s="1"/>
  <c r="W919" i="27" s="1"/>
  <c r="K925" i="27"/>
  <c r="E929" i="27"/>
  <c r="H930" i="27"/>
  <c r="K931" i="27"/>
  <c r="H935" i="27"/>
  <c r="E937" i="27"/>
  <c r="K939" i="27"/>
  <c r="H943" i="27"/>
  <c r="E945" i="27"/>
  <c r="K947" i="27"/>
  <c r="H951" i="27"/>
  <c r="E954" i="27"/>
  <c r="K956" i="27"/>
  <c r="H960" i="27"/>
  <c r="E962" i="27"/>
  <c r="K964" i="27"/>
  <c r="H968" i="27"/>
  <c r="E970" i="27"/>
  <c r="K972" i="27"/>
  <c r="H976" i="27"/>
  <c r="E978" i="27"/>
  <c r="K980" i="27"/>
  <c r="H984" i="27"/>
  <c r="E986" i="27"/>
  <c r="K988" i="27"/>
  <c r="H992" i="27"/>
  <c r="E994" i="27"/>
  <c r="K996" i="27"/>
  <c r="H1000" i="27"/>
  <c r="E1002" i="27"/>
  <c r="K1004" i="27"/>
  <c r="H1008" i="27"/>
  <c r="E1010" i="27"/>
  <c r="K1012" i="27"/>
  <c r="H1016" i="27"/>
  <c r="E1018" i="27"/>
  <c r="K1020" i="27"/>
  <c r="H1024" i="27"/>
  <c r="E1026" i="27"/>
  <c r="K1028" i="27"/>
  <c r="H1032" i="27"/>
  <c r="E1034" i="27"/>
  <c r="K1036" i="27"/>
  <c r="H1041" i="27"/>
  <c r="E1043" i="27"/>
  <c r="K1045" i="27"/>
  <c r="H1049" i="27"/>
  <c r="E1051" i="27"/>
  <c r="K1053" i="27"/>
  <c r="H1057" i="27"/>
  <c r="E1059" i="27"/>
  <c r="K1061" i="27"/>
  <c r="H1065" i="27"/>
  <c r="E1067" i="27"/>
  <c r="K1069" i="27"/>
  <c r="H1073" i="27"/>
  <c r="E1075" i="27"/>
  <c r="K1077" i="27"/>
  <c r="H1081" i="27"/>
  <c r="E1083" i="27"/>
  <c r="K1085" i="27"/>
  <c r="H1089" i="27"/>
  <c r="E1091" i="27"/>
  <c r="K1093" i="27"/>
  <c r="H1097" i="27"/>
  <c r="E1099" i="27"/>
  <c r="K1101" i="27"/>
  <c r="H1105" i="27"/>
  <c r="E1107" i="27"/>
  <c r="K1109" i="27"/>
  <c r="H1114" i="27"/>
  <c r="E1116" i="27"/>
  <c r="K1118" i="27"/>
  <c r="H1122" i="27"/>
  <c r="E1124" i="27"/>
  <c r="K1126" i="27"/>
  <c r="H1130" i="27"/>
  <c r="E1132" i="27"/>
  <c r="K1134" i="27"/>
  <c r="H1138" i="27"/>
  <c r="E1140" i="27"/>
  <c r="K1142" i="27"/>
  <c r="H1146" i="27"/>
  <c r="E1148" i="27"/>
  <c r="K1151" i="27"/>
  <c r="U1156" i="27"/>
  <c r="V1156" i="27" s="1"/>
  <c r="W1156" i="27" s="1"/>
  <c r="K1156" i="27"/>
  <c r="H1156" i="27"/>
  <c r="K1164" i="27"/>
  <c r="H1164" i="27"/>
  <c r="E1174" i="27"/>
  <c r="E1175" i="27"/>
  <c r="N1178" i="27"/>
  <c r="E1181" i="27"/>
  <c r="U1187" i="27"/>
  <c r="V1187" i="27" s="1"/>
  <c r="W1187" i="27" s="1"/>
  <c r="H1187" i="27"/>
  <c r="N1196" i="27"/>
  <c r="K1203" i="27"/>
  <c r="E1213" i="27"/>
  <c r="E1218" i="27"/>
  <c r="K1224" i="27"/>
  <c r="U1232" i="27"/>
  <c r="V1232" i="27" s="1"/>
  <c r="W1232" i="27" s="1"/>
  <c r="N1232" i="27"/>
  <c r="K1232" i="27"/>
  <c r="N1243" i="27"/>
  <c r="U1254" i="27"/>
  <c r="V1254" i="27" s="1"/>
  <c r="W1254" i="27" s="1"/>
  <c r="H1254" i="27"/>
  <c r="E1263" i="27"/>
  <c r="U1270" i="27"/>
  <c r="V1270" i="27" s="1"/>
  <c r="W1270" i="27" s="1"/>
  <c r="K1270" i="27"/>
  <c r="H1270" i="27"/>
  <c r="U1273" i="27"/>
  <c r="V1273" i="27" s="1"/>
  <c r="W1273" i="27" s="1"/>
  <c r="K1273" i="27"/>
  <c r="H1273" i="27"/>
  <c r="N1276" i="27"/>
  <c r="E1282" i="27"/>
  <c r="U1286" i="27"/>
  <c r="V1286" i="27" s="1"/>
  <c r="W1286" i="27" s="1"/>
  <c r="K1286" i="27"/>
  <c r="H1286" i="27"/>
  <c r="N1288" i="27"/>
  <c r="N1293" i="27"/>
  <c r="H1298" i="27"/>
  <c r="N1308" i="27"/>
  <c r="U1309" i="27"/>
  <c r="V1309" i="27" s="1"/>
  <c r="W1309" i="27" s="1"/>
  <c r="K1309" i="27"/>
  <c r="H1309" i="27"/>
  <c r="E1313" i="27"/>
  <c r="U1316" i="27"/>
  <c r="V1316" i="27" s="1"/>
  <c r="W1316" i="27" s="1"/>
  <c r="K1316" i="27"/>
  <c r="E1327" i="27"/>
  <c r="U1329" i="27"/>
  <c r="V1329" i="27" s="1"/>
  <c r="W1329" i="27" s="1"/>
  <c r="K1329" i="27"/>
  <c r="N1334" i="27"/>
  <c r="H1343" i="27"/>
  <c r="N1346" i="27"/>
  <c r="H1353" i="27"/>
  <c r="U1364" i="27"/>
  <c r="V1364" i="27" s="1"/>
  <c r="W1364" i="27" s="1"/>
  <c r="K1364" i="27"/>
  <c r="H1364" i="27"/>
  <c r="E1371" i="27"/>
  <c r="H1373" i="27"/>
  <c r="U1387" i="27"/>
  <c r="V1387" i="27" s="1"/>
  <c r="W1387" i="27" s="1"/>
  <c r="N1387" i="27"/>
  <c r="K1387" i="27"/>
  <c r="U1388" i="27"/>
  <c r="V1388" i="27" s="1"/>
  <c r="W1388" i="27" s="1"/>
  <c r="K1388" i="27"/>
  <c r="H1388" i="27"/>
  <c r="E1388" i="27"/>
  <c r="E1401" i="27"/>
  <c r="E1415" i="27"/>
  <c r="U1421" i="27"/>
  <c r="V1421" i="27" s="1"/>
  <c r="W1421" i="27" s="1"/>
  <c r="K1421" i="27"/>
  <c r="H1421" i="27"/>
  <c r="N1434" i="27"/>
  <c r="E1444" i="27"/>
  <c r="E1460" i="27"/>
  <c r="N1469" i="27"/>
  <c r="U1470" i="27"/>
  <c r="V1470" i="27" s="1"/>
  <c r="W1470" i="27" s="1"/>
  <c r="U1481" i="27"/>
  <c r="V1481" i="27" s="1"/>
  <c r="W1481" i="27" s="1"/>
  <c r="K1481" i="27"/>
  <c r="H1481" i="27"/>
  <c r="N1497" i="27"/>
  <c r="K1497" i="27"/>
  <c r="N1519" i="27"/>
  <c r="H1519" i="27"/>
  <c r="K1519" i="27"/>
  <c r="E1519" i="27"/>
  <c r="H1536" i="27"/>
  <c r="K1536" i="27"/>
  <c r="E1536" i="27"/>
  <c r="K1537" i="27"/>
  <c r="H1537" i="27"/>
  <c r="U1537" i="27"/>
  <c r="V1537" i="27" s="1"/>
  <c r="W1537" i="27" s="1"/>
  <c r="U1582" i="27"/>
  <c r="V1582" i="27" s="1"/>
  <c r="W1582" i="27" s="1"/>
  <c r="K1582" i="27"/>
  <c r="H1582" i="27"/>
  <c r="U1583" i="27"/>
  <c r="V1583" i="27" s="1"/>
  <c r="W1583" i="27" s="1"/>
  <c r="H1594" i="27"/>
  <c r="E1601" i="27"/>
  <c r="H1610" i="27"/>
  <c r="N1632" i="27"/>
  <c r="K1663" i="27"/>
  <c r="U1663" i="27"/>
  <c r="V1663" i="27" s="1"/>
  <c r="W1663" i="27" s="1"/>
  <c r="N1663" i="27"/>
  <c r="H1663" i="27"/>
  <c r="E1663" i="27"/>
  <c r="E1672" i="27"/>
  <c r="N1724" i="27"/>
  <c r="N1756" i="27"/>
  <c r="H1756" i="27"/>
  <c r="K1756" i="27"/>
  <c r="E1756" i="27"/>
  <c r="U1756" i="27"/>
  <c r="V1756" i="27" s="1"/>
  <c r="W1756" i="27" s="1"/>
  <c r="H2257" i="27"/>
  <c r="U2257" i="27"/>
  <c r="V2257" i="27" s="1"/>
  <c r="W2257" i="27" s="1"/>
  <c r="K2257" i="27"/>
  <c r="E2257" i="27"/>
  <c r="H2353" i="27"/>
  <c r="U2353" i="27"/>
  <c r="V2353" i="27" s="1"/>
  <c r="W2353" i="27" s="1"/>
  <c r="K2353" i="27"/>
  <c r="E2353" i="27"/>
  <c r="H2370" i="27"/>
  <c r="U2370" i="27"/>
  <c r="V2370" i="27" s="1"/>
  <c r="W2370" i="27" s="1"/>
  <c r="K2370" i="27"/>
  <c r="E2370" i="27"/>
  <c r="H2403" i="27"/>
  <c r="U2403" i="27"/>
  <c r="V2403" i="27" s="1"/>
  <c r="W2403" i="27" s="1"/>
  <c r="K2403" i="27"/>
  <c r="E2403" i="27"/>
  <c r="K2619" i="27"/>
  <c r="E2619" i="27"/>
  <c r="U2619" i="27"/>
  <c r="V2619" i="27" s="1"/>
  <c r="W2619" i="27" s="1"/>
  <c r="H2619" i="27"/>
  <c r="K2640" i="27"/>
  <c r="E2640" i="27"/>
  <c r="U2640" i="27"/>
  <c r="V2640" i="27" s="1"/>
  <c r="W2640" i="27" s="1"/>
  <c r="H2640" i="27"/>
  <c r="U1247" i="27"/>
  <c r="V1247" i="27" s="1"/>
  <c r="W1247" i="27" s="1"/>
  <c r="H1247" i="27"/>
  <c r="N1248" i="27"/>
  <c r="K1259" i="27"/>
  <c r="N1275" i="27"/>
  <c r="U1283" i="27"/>
  <c r="V1283" i="27" s="1"/>
  <c r="W1283" i="27" s="1"/>
  <c r="K1283" i="27"/>
  <c r="U1314" i="27"/>
  <c r="V1314" i="27" s="1"/>
  <c r="W1314" i="27" s="1"/>
  <c r="H1314" i="27"/>
  <c r="N1315" i="27"/>
  <c r="K1326" i="27"/>
  <c r="N1342" i="27"/>
  <c r="U1348" i="27"/>
  <c r="V1348" i="27" s="1"/>
  <c r="W1348" i="27" s="1"/>
  <c r="K1348" i="27"/>
  <c r="U1378" i="27"/>
  <c r="V1378" i="27" s="1"/>
  <c r="W1378" i="27" s="1"/>
  <c r="H1378" i="27"/>
  <c r="N1379" i="27"/>
  <c r="K1390" i="27"/>
  <c r="N1406" i="27"/>
  <c r="U1412" i="27"/>
  <c r="V1412" i="27" s="1"/>
  <c r="W1412" i="27" s="1"/>
  <c r="K1412" i="27"/>
  <c r="U1442" i="27"/>
  <c r="V1442" i="27" s="1"/>
  <c r="W1442" i="27" s="1"/>
  <c r="H1442" i="27"/>
  <c r="N1443" i="27"/>
  <c r="N1455" i="27"/>
  <c r="K1456" i="27"/>
  <c r="K1466" i="27"/>
  <c r="N1484" i="27"/>
  <c r="N1489" i="27"/>
  <c r="H1494" i="27"/>
  <c r="N1494" i="27"/>
  <c r="U1494" i="27"/>
  <c r="V1494" i="27" s="1"/>
  <c r="W1494" i="27" s="1"/>
  <c r="U1509" i="27"/>
  <c r="V1509" i="27" s="1"/>
  <c r="W1509" i="27" s="1"/>
  <c r="N1509" i="27"/>
  <c r="K1515" i="27"/>
  <c r="K1528" i="27"/>
  <c r="H1543" i="27"/>
  <c r="N1543" i="27"/>
  <c r="N1544" i="27"/>
  <c r="N1568" i="27"/>
  <c r="H1657" i="27"/>
  <c r="K1657" i="27"/>
  <c r="U1657" i="27"/>
  <c r="V1657" i="27" s="1"/>
  <c r="W1657" i="27" s="1"/>
  <c r="N1667" i="27"/>
  <c r="H1667" i="27"/>
  <c r="U1667" i="27"/>
  <c r="V1667" i="27" s="1"/>
  <c r="W1667" i="27" s="1"/>
  <c r="N1674" i="27"/>
  <c r="H1723" i="27"/>
  <c r="U1723" i="27"/>
  <c r="V1723" i="27" s="1"/>
  <c r="W1723" i="27" s="1"/>
  <c r="N1723" i="27"/>
  <c r="H1740" i="27"/>
  <c r="E1740" i="27"/>
  <c r="H1741" i="27"/>
  <c r="U1741" i="27"/>
  <c r="V1741" i="27" s="1"/>
  <c r="W1741" i="27" s="1"/>
  <c r="E1741" i="27"/>
  <c r="K1743" i="27"/>
  <c r="K1749" i="27"/>
  <c r="K1755" i="27"/>
  <c r="U1755" i="27"/>
  <c r="V1755" i="27" s="1"/>
  <c r="W1755" i="27" s="1"/>
  <c r="H1755" i="27"/>
  <c r="K2213" i="27"/>
  <c r="H2213" i="27"/>
  <c r="U2213" i="27"/>
  <c r="V2213" i="27" s="1"/>
  <c r="W2213" i="27" s="1"/>
  <c r="E2213" i="27"/>
  <c r="H2246" i="27"/>
  <c r="E2246" i="27"/>
  <c r="U2246" i="27"/>
  <c r="V2246" i="27" s="1"/>
  <c r="W2246" i="27" s="1"/>
  <c r="K2246" i="27"/>
  <c r="N2256" i="27"/>
  <c r="H2271" i="27"/>
  <c r="U2271" i="27"/>
  <c r="V2271" i="27" s="1"/>
  <c r="W2271" i="27" s="1"/>
  <c r="K2271" i="27"/>
  <c r="E2271" i="27"/>
  <c r="H2286" i="27"/>
  <c r="K2286" i="27"/>
  <c r="U2286" i="27"/>
  <c r="V2286" i="27" s="1"/>
  <c r="W2286" i="27" s="1"/>
  <c r="E2286" i="27"/>
  <c r="H2518" i="27"/>
  <c r="K2518" i="27"/>
  <c r="E2518" i="27"/>
  <c r="U2518" i="27"/>
  <c r="V2518" i="27" s="1"/>
  <c r="W2518" i="27" s="1"/>
  <c r="H2567" i="27"/>
  <c r="K2567" i="27"/>
  <c r="E2567" i="27"/>
  <c r="U2567" i="27"/>
  <c r="V2567" i="27" s="1"/>
  <c r="W2567" i="27" s="1"/>
  <c r="H2578" i="27"/>
  <c r="K2578" i="27"/>
  <c r="E2578" i="27"/>
  <c r="U2578" i="27"/>
  <c r="V2578" i="27" s="1"/>
  <c r="W2578" i="27" s="1"/>
  <c r="U1271" i="27"/>
  <c r="V1271" i="27" s="1"/>
  <c r="W1271" i="27" s="1"/>
  <c r="H1271" i="27"/>
  <c r="U1307" i="27"/>
  <c r="V1307" i="27" s="1"/>
  <c r="W1307" i="27" s="1"/>
  <c r="K1307" i="27"/>
  <c r="U1338" i="27"/>
  <c r="V1338" i="27" s="1"/>
  <c r="W1338" i="27" s="1"/>
  <c r="H1338" i="27"/>
  <c r="U1372" i="27"/>
  <c r="V1372" i="27" s="1"/>
  <c r="W1372" i="27" s="1"/>
  <c r="K1372" i="27"/>
  <c r="U1402" i="27"/>
  <c r="V1402" i="27" s="1"/>
  <c r="W1402" i="27" s="1"/>
  <c r="H1402" i="27"/>
  <c r="U1436" i="27"/>
  <c r="V1436" i="27" s="1"/>
  <c r="W1436" i="27" s="1"/>
  <c r="K1436" i="27"/>
  <c r="H1478" i="27"/>
  <c r="N1478" i="27"/>
  <c r="N1567" i="27"/>
  <c r="H1567" i="27"/>
  <c r="E1567" i="27"/>
  <c r="H1568" i="27"/>
  <c r="U1568" i="27"/>
  <c r="V1568" i="27" s="1"/>
  <c r="W1568" i="27" s="1"/>
  <c r="H1591" i="27"/>
  <c r="N1591" i="27"/>
  <c r="K1591" i="27"/>
  <c r="K1609" i="27"/>
  <c r="N1665" i="27"/>
  <c r="H1665" i="27"/>
  <c r="U1665" i="27"/>
  <c r="V1665" i="27" s="1"/>
  <c r="W1665" i="27" s="1"/>
  <c r="H1674" i="27"/>
  <c r="E1674" i="27"/>
  <c r="N1700" i="27"/>
  <c r="K1700" i="27"/>
  <c r="H1700" i="27"/>
  <c r="H1739" i="27"/>
  <c r="U1739" i="27"/>
  <c r="V1739" i="27" s="1"/>
  <c r="W1739" i="27" s="1"/>
  <c r="N1739" i="27"/>
  <c r="E1739" i="27"/>
  <c r="N1805" i="27"/>
  <c r="K1805" i="27"/>
  <c r="E1805" i="27"/>
  <c r="H1805" i="27"/>
  <c r="U1805" i="27"/>
  <c r="V1805" i="27" s="1"/>
  <c r="W1805" i="27" s="1"/>
  <c r="K1931" i="27"/>
  <c r="K2060" i="27"/>
  <c r="H2256" i="27"/>
  <c r="K2256" i="27"/>
  <c r="E2256" i="27"/>
  <c r="U2256" i="27"/>
  <c r="V2256" i="27" s="1"/>
  <c r="W2256" i="27" s="1"/>
  <c r="H2410" i="27"/>
  <c r="E2410" i="27"/>
  <c r="U2410" i="27"/>
  <c r="V2410" i="27" s="1"/>
  <c r="W2410" i="27" s="1"/>
  <c r="K2905" i="27"/>
  <c r="H2905" i="27"/>
  <c r="U2905" i="27"/>
  <c r="V2905" i="27" s="1"/>
  <c r="W2905" i="27" s="1"/>
  <c r="N2905" i="27"/>
  <c r="E2905" i="27"/>
  <c r="U1231" i="27"/>
  <c r="V1231" i="27" s="1"/>
  <c r="W1231" i="27" s="1"/>
  <c r="H1231" i="27"/>
  <c r="N1259" i="27"/>
  <c r="U1265" i="27"/>
  <c r="V1265" i="27" s="1"/>
  <c r="W1265" i="27" s="1"/>
  <c r="K1265" i="27"/>
  <c r="E1271" i="27"/>
  <c r="E1275" i="27"/>
  <c r="U1297" i="27"/>
  <c r="V1297" i="27" s="1"/>
  <c r="W1297" i="27" s="1"/>
  <c r="H1297" i="27"/>
  <c r="E1307" i="27"/>
  <c r="N1326" i="27"/>
  <c r="U1332" i="27"/>
  <c r="V1332" i="27" s="1"/>
  <c r="W1332" i="27" s="1"/>
  <c r="K1332" i="27"/>
  <c r="E1338" i="27"/>
  <c r="E1342" i="27"/>
  <c r="U1362" i="27"/>
  <c r="V1362" i="27" s="1"/>
  <c r="W1362" i="27" s="1"/>
  <c r="H1362" i="27"/>
  <c r="E1372" i="27"/>
  <c r="N1390" i="27"/>
  <c r="U1396" i="27"/>
  <c r="V1396" i="27" s="1"/>
  <c r="W1396" i="27" s="1"/>
  <c r="K1396" i="27"/>
  <c r="E1402" i="27"/>
  <c r="E1406" i="27"/>
  <c r="U1426" i="27"/>
  <c r="V1426" i="27" s="1"/>
  <c r="W1426" i="27" s="1"/>
  <c r="H1426" i="27"/>
  <c r="E1436" i="27"/>
  <c r="U1478" i="27"/>
  <c r="V1478" i="27" s="1"/>
  <c r="W1478" i="27" s="1"/>
  <c r="E1496" i="27"/>
  <c r="U1496" i="27"/>
  <c r="V1496" i="27" s="1"/>
  <c r="W1496" i="27" s="1"/>
  <c r="N1502" i="27"/>
  <c r="H1502" i="27"/>
  <c r="E1502" i="27"/>
  <c r="H1503" i="27"/>
  <c r="U1503" i="27"/>
  <c r="V1503" i="27" s="1"/>
  <c r="W1503" i="27" s="1"/>
  <c r="N1512" i="27"/>
  <c r="H1527" i="27"/>
  <c r="N1527" i="27"/>
  <c r="K1527" i="27"/>
  <c r="N1528" i="27"/>
  <c r="U1544" i="27"/>
  <c r="V1544" i="27" s="1"/>
  <c r="W1544" i="27" s="1"/>
  <c r="K1545" i="27"/>
  <c r="E1554" i="27"/>
  <c r="U1554" i="27"/>
  <c r="V1554" i="27" s="1"/>
  <c r="W1554" i="27" s="1"/>
  <c r="U1566" i="27"/>
  <c r="V1566" i="27" s="1"/>
  <c r="W1566" i="27" s="1"/>
  <c r="H1566" i="27"/>
  <c r="U1567" i="27"/>
  <c r="V1567" i="27" s="1"/>
  <c r="W1567" i="27" s="1"/>
  <c r="H1575" i="27"/>
  <c r="N1575" i="27"/>
  <c r="H1576" i="27"/>
  <c r="E1576" i="27"/>
  <c r="E1586" i="27"/>
  <c r="U1586" i="27"/>
  <c r="V1586" i="27" s="1"/>
  <c r="W1586" i="27" s="1"/>
  <c r="U1591" i="27"/>
  <c r="V1591" i="27" s="1"/>
  <c r="W1591" i="27" s="1"/>
  <c r="E1609" i="27"/>
  <c r="U1609" i="27"/>
  <c r="V1609" i="27" s="1"/>
  <c r="W1609" i="27" s="1"/>
  <c r="N1633" i="27"/>
  <c r="U1633" i="27"/>
  <c r="V1633" i="27" s="1"/>
  <c r="W1633" i="27" s="1"/>
  <c r="E1633" i="27"/>
  <c r="K1633" i="27"/>
  <c r="H1633" i="27"/>
  <c r="H1634" i="27"/>
  <c r="K1634" i="27"/>
  <c r="N1642" i="27"/>
  <c r="K1642" i="27"/>
  <c r="H1642" i="27"/>
  <c r="K1654" i="27"/>
  <c r="U1654" i="27"/>
  <c r="V1654" i="27" s="1"/>
  <c r="W1654" i="27" s="1"/>
  <c r="H1673" i="27"/>
  <c r="U1673" i="27"/>
  <c r="V1673" i="27" s="1"/>
  <c r="W1673" i="27" s="1"/>
  <c r="N1673" i="27"/>
  <c r="E1673" i="27"/>
  <c r="K1673" i="27"/>
  <c r="U1674" i="27"/>
  <c r="V1674" i="27" s="1"/>
  <c r="W1674" i="27" s="1"/>
  <c r="N1699" i="27"/>
  <c r="U1700" i="27"/>
  <c r="V1700" i="27" s="1"/>
  <c r="W1700" i="27" s="1"/>
  <c r="H1701" i="27"/>
  <c r="K1701" i="27"/>
  <c r="K1703" i="27"/>
  <c r="N1709" i="27"/>
  <c r="K1709" i="27"/>
  <c r="H1709" i="27"/>
  <c r="K1738" i="27"/>
  <c r="U1738" i="27"/>
  <c r="V1738" i="27" s="1"/>
  <c r="W1738" i="27" s="1"/>
  <c r="H1738" i="27"/>
  <c r="E1738" i="27"/>
  <c r="N1748" i="27"/>
  <c r="N1770" i="27"/>
  <c r="K1770" i="27"/>
  <c r="E1770" i="27"/>
  <c r="N1799" i="27"/>
  <c r="K1799" i="27"/>
  <c r="U1799" i="27"/>
  <c r="V1799" i="27" s="1"/>
  <c r="W1799" i="27" s="1"/>
  <c r="H1799" i="27"/>
  <c r="E1799" i="27"/>
  <c r="K2204" i="27"/>
  <c r="H2217" i="27"/>
  <c r="U2217" i="27"/>
  <c r="V2217" i="27" s="1"/>
  <c r="W2217" i="27" s="1"/>
  <c r="E2217" i="27"/>
  <c r="N2228" i="27"/>
  <c r="H2273" i="27"/>
  <c r="U2273" i="27"/>
  <c r="V2273" i="27" s="1"/>
  <c r="W2273" i="27" s="1"/>
  <c r="K2273" i="27"/>
  <c r="E2273" i="27"/>
  <c r="H2339" i="27"/>
  <c r="U2339" i="27"/>
  <c r="V2339" i="27" s="1"/>
  <c r="W2339" i="27" s="1"/>
  <c r="K2339" i="27"/>
  <c r="H2354" i="27"/>
  <c r="K2354" i="27"/>
  <c r="E2354" i="27"/>
  <c r="U2354" i="27"/>
  <c r="V2354" i="27" s="1"/>
  <c r="W2354" i="27" s="1"/>
  <c r="H2360" i="27"/>
  <c r="E2360" i="27"/>
  <c r="U2360" i="27"/>
  <c r="V2360" i="27" s="1"/>
  <c r="W2360" i="27" s="1"/>
  <c r="H2371" i="27"/>
  <c r="K2371" i="27"/>
  <c r="E2371" i="27"/>
  <c r="U2371" i="27"/>
  <c r="V2371" i="27" s="1"/>
  <c r="W2371" i="27" s="1"/>
  <c r="H2402" i="27"/>
  <c r="K2402" i="27"/>
  <c r="U2402" i="27"/>
  <c r="V2402" i="27" s="1"/>
  <c r="W2402" i="27" s="1"/>
  <c r="H2484" i="27"/>
  <c r="K2484" i="27"/>
  <c r="U2484" i="27"/>
  <c r="V2484" i="27" s="1"/>
  <c r="W2484" i="27" s="1"/>
  <c r="E2484" i="27"/>
  <c r="H2586" i="27"/>
  <c r="K2586" i="27"/>
  <c r="E2586" i="27"/>
  <c r="U2586" i="27"/>
  <c r="V2586" i="27" s="1"/>
  <c r="W2586" i="27" s="1"/>
  <c r="U2660" i="27"/>
  <c r="V2660" i="27" s="1"/>
  <c r="W2660" i="27" s="1"/>
  <c r="H2660" i="27"/>
  <c r="K2660" i="27"/>
  <c r="E2660" i="27"/>
  <c r="N1218" i="27"/>
  <c r="U1225" i="27"/>
  <c r="V1225" i="27" s="1"/>
  <c r="W1225" i="27" s="1"/>
  <c r="K1225" i="27"/>
  <c r="U1255" i="27"/>
  <c r="V1255" i="27" s="1"/>
  <c r="W1255" i="27" s="1"/>
  <c r="H1255" i="27"/>
  <c r="H1268" i="27"/>
  <c r="N1285" i="27"/>
  <c r="H1290" i="27"/>
  <c r="U1291" i="27"/>
  <c r="V1291" i="27" s="1"/>
  <c r="W1291" i="27" s="1"/>
  <c r="K1291" i="27"/>
  <c r="H1300" i="27"/>
  <c r="H1321" i="27"/>
  <c r="U1322" i="27"/>
  <c r="V1322" i="27" s="1"/>
  <c r="W1322" i="27" s="1"/>
  <c r="H1322" i="27"/>
  <c r="H1335" i="27"/>
  <c r="N1350" i="27"/>
  <c r="H1355" i="27"/>
  <c r="U1356" i="27"/>
  <c r="V1356" i="27" s="1"/>
  <c r="W1356" i="27" s="1"/>
  <c r="K1356" i="27"/>
  <c r="H1365" i="27"/>
  <c r="H1385" i="27"/>
  <c r="U1386" i="27"/>
  <c r="V1386" i="27" s="1"/>
  <c r="W1386" i="27" s="1"/>
  <c r="H1386" i="27"/>
  <c r="H1399" i="27"/>
  <c r="N1414" i="27"/>
  <c r="H1419" i="27"/>
  <c r="U1420" i="27"/>
  <c r="V1420" i="27" s="1"/>
  <c r="W1420" i="27" s="1"/>
  <c r="K1420" i="27"/>
  <c r="H1429" i="27"/>
  <c r="H1449" i="27"/>
  <c r="U1450" i="27"/>
  <c r="V1450" i="27" s="1"/>
  <c r="W1450" i="27" s="1"/>
  <c r="H1450" i="27"/>
  <c r="H1462" i="27"/>
  <c r="N1462" i="27"/>
  <c r="K1462" i="27"/>
  <c r="N1463" i="27"/>
  <c r="H1477" i="27"/>
  <c r="E1478" i="27"/>
  <c r="H1493" i="27"/>
  <c r="H1500" i="27"/>
  <c r="U1501" i="27"/>
  <c r="V1501" i="27" s="1"/>
  <c r="W1501" i="27" s="1"/>
  <c r="H1501" i="27"/>
  <c r="H1511" i="27"/>
  <c r="N1511" i="27"/>
  <c r="H1512" i="27"/>
  <c r="E1512" i="27"/>
  <c r="H1521" i="27"/>
  <c r="E1544" i="27"/>
  <c r="H1549" i="27"/>
  <c r="E1568" i="27"/>
  <c r="N1598" i="27"/>
  <c r="N1600" i="27"/>
  <c r="N1626" i="27"/>
  <c r="U1626" i="27"/>
  <c r="V1626" i="27" s="1"/>
  <c r="W1626" i="27" s="1"/>
  <c r="E1626" i="27"/>
  <c r="H1641" i="27"/>
  <c r="N1641" i="27"/>
  <c r="K1641" i="27"/>
  <c r="E1665" i="27"/>
  <c r="H1685" i="27"/>
  <c r="N1685" i="27"/>
  <c r="K1685" i="27"/>
  <c r="N1693" i="27"/>
  <c r="K1693" i="27"/>
  <c r="U1693" i="27"/>
  <c r="V1693" i="27" s="1"/>
  <c r="W1693" i="27" s="1"/>
  <c r="H1699" i="27"/>
  <c r="U1699" i="27"/>
  <c r="V1699" i="27" s="1"/>
  <c r="W1699" i="27" s="1"/>
  <c r="K1699" i="27"/>
  <c r="E1699" i="27"/>
  <c r="H1708" i="27"/>
  <c r="N1708" i="27"/>
  <c r="K1708" i="27"/>
  <c r="K1712" i="27"/>
  <c r="U1712" i="27"/>
  <c r="V1712" i="27" s="1"/>
  <c r="W1712" i="27" s="1"/>
  <c r="N1712" i="27"/>
  <c r="N1747" i="27"/>
  <c r="H1747" i="27"/>
  <c r="K1747" i="27"/>
  <c r="E1747" i="27"/>
  <c r="H1748" i="27"/>
  <c r="U1748" i="27"/>
  <c r="V1748" i="27" s="1"/>
  <c r="W1748" i="27" s="1"/>
  <c r="E1748" i="27"/>
  <c r="H2228" i="27"/>
  <c r="E2228" i="27"/>
  <c r="U2228" i="27"/>
  <c r="V2228" i="27" s="1"/>
  <c r="W2228" i="27" s="1"/>
  <c r="K2228" i="27"/>
  <c r="N2404" i="27"/>
  <c r="K2409" i="27"/>
  <c r="H2469" i="27"/>
  <c r="U2469" i="27"/>
  <c r="V2469" i="27" s="1"/>
  <c r="W2469" i="27" s="1"/>
  <c r="K2469" i="27"/>
  <c r="E2469" i="27"/>
  <c r="U2668" i="27"/>
  <c r="V2668" i="27" s="1"/>
  <c r="W2668" i="27" s="1"/>
  <c r="H2668" i="27"/>
  <c r="N2668" i="27"/>
  <c r="E2668" i="27"/>
  <c r="K2668" i="27"/>
  <c r="U2700" i="27"/>
  <c r="V2700" i="27" s="1"/>
  <c r="W2700" i="27" s="1"/>
  <c r="H2700" i="27"/>
  <c r="N2700" i="27"/>
  <c r="K2700" i="27"/>
  <c r="E2700" i="27"/>
  <c r="U2757" i="27"/>
  <c r="V2757" i="27" s="1"/>
  <c r="W2757" i="27" s="1"/>
  <c r="H2757" i="27"/>
  <c r="E2757" i="27"/>
  <c r="K2757" i="27"/>
  <c r="K1482" i="27"/>
  <c r="N1486" i="27"/>
  <c r="H1486" i="27"/>
  <c r="N1487" i="27"/>
  <c r="K1547" i="27"/>
  <c r="N1551" i="27"/>
  <c r="H1551" i="27"/>
  <c r="N1552" i="27"/>
  <c r="K1611" i="27"/>
  <c r="N1615" i="27"/>
  <c r="H1615" i="27"/>
  <c r="N1616" i="27"/>
  <c r="K1622" i="27"/>
  <c r="U1622" i="27"/>
  <c r="V1622" i="27" s="1"/>
  <c r="W1622" i="27" s="1"/>
  <c r="H1622" i="27"/>
  <c r="H1623" i="27"/>
  <c r="U1623" i="27"/>
  <c r="V1623" i="27" s="1"/>
  <c r="W1623" i="27" s="1"/>
  <c r="N1623" i="27"/>
  <c r="N1657" i="27"/>
  <c r="H1666" i="27"/>
  <c r="U1666" i="27"/>
  <c r="V1666" i="27" s="1"/>
  <c r="W1666" i="27" s="1"/>
  <c r="H1668" i="27"/>
  <c r="U1668" i="27"/>
  <c r="V1668" i="27" s="1"/>
  <c r="W1668" i="27" s="1"/>
  <c r="E1668" i="27"/>
  <c r="K1680" i="27"/>
  <c r="U1680" i="27"/>
  <c r="V1680" i="27" s="1"/>
  <c r="W1680" i="27" s="1"/>
  <c r="K1722" i="27"/>
  <c r="U1722" i="27"/>
  <c r="V1722" i="27" s="1"/>
  <c r="W1722" i="27" s="1"/>
  <c r="E1722" i="27"/>
  <c r="K1727" i="27"/>
  <c r="K1923" i="27"/>
  <c r="K1988" i="27"/>
  <c r="K2052" i="27"/>
  <c r="H2230" i="27"/>
  <c r="U2230" i="27"/>
  <c r="V2230" i="27" s="1"/>
  <c r="W2230" i="27" s="1"/>
  <c r="E2230" i="27"/>
  <c r="N2230" i="27"/>
  <c r="K2230" i="27"/>
  <c r="H2240" i="27"/>
  <c r="K2240" i="27"/>
  <c r="E2240" i="27"/>
  <c r="U2240" i="27"/>
  <c r="V2240" i="27" s="1"/>
  <c r="W2240" i="27" s="1"/>
  <c r="K2245" i="27"/>
  <c r="H2270" i="27"/>
  <c r="K2270" i="27"/>
  <c r="U2270" i="27"/>
  <c r="V2270" i="27" s="1"/>
  <c r="W2270" i="27" s="1"/>
  <c r="H2278" i="27"/>
  <c r="E2278" i="27"/>
  <c r="U2278" i="27"/>
  <c r="V2278" i="27" s="1"/>
  <c r="W2278" i="27" s="1"/>
  <c r="H2304" i="27"/>
  <c r="K2304" i="27"/>
  <c r="E2304" i="27"/>
  <c r="U2304" i="27"/>
  <c r="V2304" i="27" s="1"/>
  <c r="W2304" i="27" s="1"/>
  <c r="H2321" i="27"/>
  <c r="U2321" i="27"/>
  <c r="V2321" i="27" s="1"/>
  <c r="W2321" i="27" s="1"/>
  <c r="K2321" i="27"/>
  <c r="E2321" i="27"/>
  <c r="H2337" i="27"/>
  <c r="U2337" i="27"/>
  <c r="V2337" i="27" s="1"/>
  <c r="W2337" i="27" s="1"/>
  <c r="K2337" i="27"/>
  <c r="E2337" i="27"/>
  <c r="H2388" i="27"/>
  <c r="U2388" i="27"/>
  <c r="V2388" i="27" s="1"/>
  <c r="W2388" i="27" s="1"/>
  <c r="K2388" i="27"/>
  <c r="N2423" i="27"/>
  <c r="N2439" i="27"/>
  <c r="H2471" i="27"/>
  <c r="U2471" i="27"/>
  <c r="V2471" i="27" s="1"/>
  <c r="W2471" i="27" s="1"/>
  <c r="K2471" i="27"/>
  <c r="H2486" i="27"/>
  <c r="K2486" i="27"/>
  <c r="E2486" i="27"/>
  <c r="U2486" i="27"/>
  <c r="V2486" i="27" s="1"/>
  <c r="W2486" i="27" s="1"/>
  <c r="H2492" i="27"/>
  <c r="E2492" i="27"/>
  <c r="U2492" i="27"/>
  <c r="V2492" i="27" s="1"/>
  <c r="W2492" i="27" s="1"/>
  <c r="H2502" i="27"/>
  <c r="K2502" i="27"/>
  <c r="E2502" i="27"/>
  <c r="U2502" i="27"/>
  <c r="V2502" i="27" s="1"/>
  <c r="W2502" i="27" s="1"/>
  <c r="K2507" i="27"/>
  <c r="H2535" i="27"/>
  <c r="K2535" i="27"/>
  <c r="E2535" i="27"/>
  <c r="U2535" i="27"/>
  <c r="V2535" i="27" s="1"/>
  <c r="W2535" i="27" s="1"/>
  <c r="U2790" i="27"/>
  <c r="V2790" i="27" s="1"/>
  <c r="W2790" i="27" s="1"/>
  <c r="H2790" i="27"/>
  <c r="E2790" i="27"/>
  <c r="K2790" i="27"/>
  <c r="H2816" i="27"/>
  <c r="U2816" i="27"/>
  <c r="V2816" i="27" s="1"/>
  <c r="W2816" i="27" s="1"/>
  <c r="E2816" i="27"/>
  <c r="K2816" i="27"/>
  <c r="K3102" i="27"/>
  <c r="U3102" i="27"/>
  <c r="V3102" i="27" s="1"/>
  <c r="W3102" i="27" s="1"/>
  <c r="E3102" i="27"/>
  <c r="H3102" i="27"/>
  <c r="K3114" i="27"/>
  <c r="U3114" i="27"/>
  <c r="V3114" i="27" s="1"/>
  <c r="W3114" i="27" s="1"/>
  <c r="E3114" i="27"/>
  <c r="H3114" i="27"/>
  <c r="H1656" i="27"/>
  <c r="U1656" i="27"/>
  <c r="V1656" i="27" s="1"/>
  <c r="W1656" i="27" s="1"/>
  <c r="N1656" i="27"/>
  <c r="K1656" i="27"/>
  <c r="K1660" i="27"/>
  <c r="N1682" i="27"/>
  <c r="H1682" i="27"/>
  <c r="U1682" i="27"/>
  <c r="V1682" i="27" s="1"/>
  <c r="W1682" i="27" s="1"/>
  <c r="K1694" i="27"/>
  <c r="N1707" i="27"/>
  <c r="N1714" i="27"/>
  <c r="H1714" i="27"/>
  <c r="H1716" i="27"/>
  <c r="U1716" i="27"/>
  <c r="V1716" i="27" s="1"/>
  <c r="W1716" i="27" s="1"/>
  <c r="E1716" i="27"/>
  <c r="K1729" i="27"/>
  <c r="U1729" i="27"/>
  <c r="V1729" i="27" s="1"/>
  <c r="W1729" i="27" s="1"/>
  <c r="H1729" i="27"/>
  <c r="K1736" i="27"/>
  <c r="N1762" i="27"/>
  <c r="H1762" i="27"/>
  <c r="E1762" i="27"/>
  <c r="N1778" i="27"/>
  <c r="K1778" i="27"/>
  <c r="H1778" i="27"/>
  <c r="U1778" i="27"/>
  <c r="V1778" i="27" s="1"/>
  <c r="W1778" i="27" s="1"/>
  <c r="N1780" i="27"/>
  <c r="K1780" i="27"/>
  <c r="E1780" i="27"/>
  <c r="U1780" i="27"/>
  <c r="V1780" i="27" s="1"/>
  <c r="W1780" i="27" s="1"/>
  <c r="U2229" i="27"/>
  <c r="V2229" i="27" s="1"/>
  <c r="W2229" i="27" s="1"/>
  <c r="K2229" i="27"/>
  <c r="H2229" i="27"/>
  <c r="E2229" i="27"/>
  <c r="H2272" i="27"/>
  <c r="K2272" i="27"/>
  <c r="E2272" i="27"/>
  <c r="U2272" i="27"/>
  <c r="V2272" i="27" s="1"/>
  <c r="W2272" i="27" s="1"/>
  <c r="H2387" i="27"/>
  <c r="K2387" i="27"/>
  <c r="E2387" i="27"/>
  <c r="U2387" i="27"/>
  <c r="V2387" i="27" s="1"/>
  <c r="W2387" i="27" s="1"/>
  <c r="N2405" i="27"/>
  <c r="H2485" i="27"/>
  <c r="U2485" i="27"/>
  <c r="V2485" i="27" s="1"/>
  <c r="W2485" i="27" s="1"/>
  <c r="K2485" i="27"/>
  <c r="E2485" i="27"/>
  <c r="H2548" i="27"/>
  <c r="E2548" i="27"/>
  <c r="U2548" i="27"/>
  <c r="V2548" i="27" s="1"/>
  <c r="W2548" i="27" s="1"/>
  <c r="K2548" i="27"/>
  <c r="H2552" i="27"/>
  <c r="K2552" i="27"/>
  <c r="E2552" i="27"/>
  <c r="U2552" i="27"/>
  <c r="V2552" i="27" s="1"/>
  <c r="W2552" i="27" s="1"/>
  <c r="K2929" i="27"/>
  <c r="H2929" i="27"/>
  <c r="E2929" i="27"/>
  <c r="U2929" i="27"/>
  <c r="V2929" i="27" s="1"/>
  <c r="W2929" i="27" s="1"/>
  <c r="N2929" i="27"/>
  <c r="K3232" i="27"/>
  <c r="U3232" i="27"/>
  <c r="V3232" i="27" s="1"/>
  <c r="W3232" i="27" s="1"/>
  <c r="E3232" i="27"/>
  <c r="H3232" i="27"/>
  <c r="N1774" i="27"/>
  <c r="K1774" i="27"/>
  <c r="E1774" i="27"/>
  <c r="U1774" i="27"/>
  <c r="V1774" i="27" s="1"/>
  <c r="W1774" i="27" s="1"/>
  <c r="N1782" i="27"/>
  <c r="K1782" i="27"/>
  <c r="H2239" i="27"/>
  <c r="U2239" i="27"/>
  <c r="V2239" i="27" s="1"/>
  <c r="W2239" i="27" s="1"/>
  <c r="K2239" i="27"/>
  <c r="E2239" i="27"/>
  <c r="H2262" i="27"/>
  <c r="E2262" i="27"/>
  <c r="U2262" i="27"/>
  <c r="V2262" i="27" s="1"/>
  <c r="W2262" i="27" s="1"/>
  <c r="K2262" i="27"/>
  <c r="H2320" i="27"/>
  <c r="K2320" i="27"/>
  <c r="U2320" i="27"/>
  <c r="V2320" i="27" s="1"/>
  <c r="W2320" i="27" s="1"/>
  <c r="E2320" i="27"/>
  <c r="N2371" i="27"/>
  <c r="H2405" i="27"/>
  <c r="U2405" i="27"/>
  <c r="V2405" i="27" s="1"/>
  <c r="W2405" i="27" s="1"/>
  <c r="K2405" i="27"/>
  <c r="E2405" i="27"/>
  <c r="H2444" i="27"/>
  <c r="E2444" i="27"/>
  <c r="U2444" i="27"/>
  <c r="V2444" i="27" s="1"/>
  <c r="W2444" i="27" s="1"/>
  <c r="H2501" i="27"/>
  <c r="U2501" i="27"/>
  <c r="V2501" i="27" s="1"/>
  <c r="W2501" i="27" s="1"/>
  <c r="K2501" i="27"/>
  <c r="E2501" i="27"/>
  <c r="U2741" i="27"/>
  <c r="V2741" i="27" s="1"/>
  <c r="W2741" i="27" s="1"/>
  <c r="H2741" i="27"/>
  <c r="K2741" i="27"/>
  <c r="E2741" i="27"/>
  <c r="N2852" i="27"/>
  <c r="H2852" i="27"/>
  <c r="E2852" i="27"/>
  <c r="U2852" i="27"/>
  <c r="V2852" i="27" s="1"/>
  <c r="W2852" i="27" s="1"/>
  <c r="K2852" i="27"/>
  <c r="K1620" i="27"/>
  <c r="K1627" i="27"/>
  <c r="K1638" i="27"/>
  <c r="U1638" i="27"/>
  <c r="V1638" i="27" s="1"/>
  <c r="W1638" i="27" s="1"/>
  <c r="H1639" i="27"/>
  <c r="U1639" i="27"/>
  <c r="V1639" i="27" s="1"/>
  <c r="W1639" i="27" s="1"/>
  <c r="N1639" i="27"/>
  <c r="H1683" i="27"/>
  <c r="U1683" i="27"/>
  <c r="V1683" i="27" s="1"/>
  <c r="W1683" i="27" s="1"/>
  <c r="N1691" i="27"/>
  <c r="N1731" i="27"/>
  <c r="H1731" i="27"/>
  <c r="N1732" i="27"/>
  <c r="K1745" i="27"/>
  <c r="U1745" i="27"/>
  <c r="V1745" i="27" s="1"/>
  <c r="W1745" i="27" s="1"/>
  <c r="K1752" i="27"/>
  <c r="K1956" i="27"/>
  <c r="K2020" i="27"/>
  <c r="K2084" i="27"/>
  <c r="K2148" i="27"/>
  <c r="K2212" i="27"/>
  <c r="K2219" i="27"/>
  <c r="E2219" i="27"/>
  <c r="H2255" i="27"/>
  <c r="U2255" i="27"/>
  <c r="V2255" i="27" s="1"/>
  <c r="W2255" i="27" s="1"/>
  <c r="K2255" i="27"/>
  <c r="E2255" i="27"/>
  <c r="K2261" i="27"/>
  <c r="H2288" i="27"/>
  <c r="K2288" i="27"/>
  <c r="E2288" i="27"/>
  <c r="U2288" i="27"/>
  <c r="V2288" i="27" s="1"/>
  <c r="W2288" i="27" s="1"/>
  <c r="H2294" i="27"/>
  <c r="E2294" i="27"/>
  <c r="U2294" i="27"/>
  <c r="V2294" i="27" s="1"/>
  <c r="W2294" i="27" s="1"/>
  <c r="N2304" i="27"/>
  <c r="H2323" i="27"/>
  <c r="U2323" i="27"/>
  <c r="V2323" i="27" s="1"/>
  <c r="W2323" i="27" s="1"/>
  <c r="K2323" i="27"/>
  <c r="H2336" i="27"/>
  <c r="K2336" i="27"/>
  <c r="U2336" i="27"/>
  <c r="V2336" i="27" s="1"/>
  <c r="W2336" i="27" s="1"/>
  <c r="N2339" i="27"/>
  <c r="H2386" i="27"/>
  <c r="U2386" i="27"/>
  <c r="V2386" i="27" s="1"/>
  <c r="W2386" i="27" s="1"/>
  <c r="K2386" i="27"/>
  <c r="E2386" i="27"/>
  <c r="K2393" i="27"/>
  <c r="H2422" i="27"/>
  <c r="K2422" i="27"/>
  <c r="E2422" i="27"/>
  <c r="U2422" i="27"/>
  <c r="V2422" i="27" s="1"/>
  <c r="W2422" i="27" s="1"/>
  <c r="H2428" i="27"/>
  <c r="E2428" i="27"/>
  <c r="U2428" i="27"/>
  <c r="V2428" i="27" s="1"/>
  <c r="W2428" i="27" s="1"/>
  <c r="N2438" i="27"/>
  <c r="H2455" i="27"/>
  <c r="U2455" i="27"/>
  <c r="V2455" i="27" s="1"/>
  <c r="W2455" i="27" s="1"/>
  <c r="K2455" i="27"/>
  <c r="H2468" i="27"/>
  <c r="K2468" i="27"/>
  <c r="U2468" i="27"/>
  <c r="V2468" i="27" s="1"/>
  <c r="W2468" i="27" s="1"/>
  <c r="N2471" i="27"/>
  <c r="H2517" i="27"/>
  <c r="U2517" i="27"/>
  <c r="V2517" i="27" s="1"/>
  <c r="W2517" i="27" s="1"/>
  <c r="K2517" i="27"/>
  <c r="E2517" i="27"/>
  <c r="H2527" i="27"/>
  <c r="K2527" i="27"/>
  <c r="E2527" i="27"/>
  <c r="U2527" i="27"/>
  <c r="V2527" i="27" s="1"/>
  <c r="W2527" i="27" s="1"/>
  <c r="H2551" i="27"/>
  <c r="K2551" i="27"/>
  <c r="E2551" i="27"/>
  <c r="H2582" i="27"/>
  <c r="E2582" i="27"/>
  <c r="U2582" i="27"/>
  <c r="V2582" i="27" s="1"/>
  <c r="W2582" i="27" s="1"/>
  <c r="K2582" i="27"/>
  <c r="H2602" i="27"/>
  <c r="K2602" i="27"/>
  <c r="E2602" i="27"/>
  <c r="U2602" i="27"/>
  <c r="V2602" i="27" s="1"/>
  <c r="W2602" i="27" s="1"/>
  <c r="H2663" i="27"/>
  <c r="N2663" i="27"/>
  <c r="K2663" i="27"/>
  <c r="U2663" i="27"/>
  <c r="V2663" i="27" s="1"/>
  <c r="W2663" i="27" s="1"/>
  <c r="U2774" i="27"/>
  <c r="V2774" i="27" s="1"/>
  <c r="W2774" i="27" s="1"/>
  <c r="H2774" i="27"/>
  <c r="E2774" i="27"/>
  <c r="H2826" i="27"/>
  <c r="U2826" i="27"/>
  <c r="V2826" i="27" s="1"/>
  <c r="W2826" i="27" s="1"/>
  <c r="K2826" i="27"/>
  <c r="E2826" i="27"/>
  <c r="N2826" i="27"/>
  <c r="U2943" i="27"/>
  <c r="V2943" i="27" s="1"/>
  <c r="W2943" i="27" s="1"/>
  <c r="H2943" i="27"/>
  <c r="N2943" i="27"/>
  <c r="K2943" i="27"/>
  <c r="E2943" i="27"/>
  <c r="N3721" i="27"/>
  <c r="H3721" i="27"/>
  <c r="U3721" i="27"/>
  <c r="V3721" i="27" s="1"/>
  <c r="W3721" i="27" s="1"/>
  <c r="E3721" i="27"/>
  <c r="K3721" i="27"/>
  <c r="K2225" i="27"/>
  <c r="H2225" i="27"/>
  <c r="E2225" i="27"/>
  <c r="H2238" i="27"/>
  <c r="K2238" i="27"/>
  <c r="U2238" i="27"/>
  <c r="V2238" i="27" s="1"/>
  <c r="W2238" i="27" s="1"/>
  <c r="H2287" i="27"/>
  <c r="U2287" i="27"/>
  <c r="V2287" i="27" s="1"/>
  <c r="W2287" i="27" s="1"/>
  <c r="K2287" i="27"/>
  <c r="E2287" i="27"/>
  <c r="H2322" i="27"/>
  <c r="K2322" i="27"/>
  <c r="E2322" i="27"/>
  <c r="U2322" i="27"/>
  <c r="V2322" i="27" s="1"/>
  <c r="W2322" i="27" s="1"/>
  <c r="H2328" i="27"/>
  <c r="E2328" i="27"/>
  <c r="U2328" i="27"/>
  <c r="V2328" i="27" s="1"/>
  <c r="W2328" i="27" s="1"/>
  <c r="H2355" i="27"/>
  <c r="U2355" i="27"/>
  <c r="V2355" i="27" s="1"/>
  <c r="W2355" i="27" s="1"/>
  <c r="K2355" i="27"/>
  <c r="H2369" i="27"/>
  <c r="K2369" i="27"/>
  <c r="U2369" i="27"/>
  <c r="V2369" i="27" s="1"/>
  <c r="W2369" i="27" s="1"/>
  <c r="H2421" i="27"/>
  <c r="U2421" i="27"/>
  <c r="V2421" i="27" s="1"/>
  <c r="W2421" i="27" s="1"/>
  <c r="K2421" i="27"/>
  <c r="E2421" i="27"/>
  <c r="H2454" i="27"/>
  <c r="K2454" i="27"/>
  <c r="E2454" i="27"/>
  <c r="U2454" i="27"/>
  <c r="V2454" i="27" s="1"/>
  <c r="W2454" i="27" s="1"/>
  <c r="H2460" i="27"/>
  <c r="E2460" i="27"/>
  <c r="U2460" i="27"/>
  <c r="V2460" i="27" s="1"/>
  <c r="W2460" i="27" s="1"/>
  <c r="H2487" i="27"/>
  <c r="U2487" i="27"/>
  <c r="V2487" i="27" s="1"/>
  <c r="W2487" i="27" s="1"/>
  <c r="K2487" i="27"/>
  <c r="H2500" i="27"/>
  <c r="K2500" i="27"/>
  <c r="U2500" i="27"/>
  <c r="V2500" i="27" s="1"/>
  <c r="W2500" i="27" s="1"/>
  <c r="N2503" i="27"/>
  <c r="N2564" i="27"/>
  <c r="H2635" i="27"/>
  <c r="H2808" i="27"/>
  <c r="U2808" i="27"/>
  <c r="V2808" i="27" s="1"/>
  <c r="W2808" i="27" s="1"/>
  <c r="E2808" i="27"/>
  <c r="K2808" i="27"/>
  <c r="U2960" i="27"/>
  <c r="V2960" i="27" s="1"/>
  <c r="W2960" i="27" s="1"/>
  <c r="H2960" i="27"/>
  <c r="E2960" i="27"/>
  <c r="K2960" i="27"/>
  <c r="K3031" i="27"/>
  <c r="U3031" i="27"/>
  <c r="V3031" i="27" s="1"/>
  <c r="W3031" i="27" s="1"/>
  <c r="H3031" i="27"/>
  <c r="E3031" i="27"/>
  <c r="N3031" i="27"/>
  <c r="K3035" i="27"/>
  <c r="U3035" i="27"/>
  <c r="V3035" i="27" s="1"/>
  <c r="W3035" i="27" s="1"/>
  <c r="E3035" i="27"/>
  <c r="U3235" i="27"/>
  <c r="V3235" i="27" s="1"/>
  <c r="W3235" i="27" s="1"/>
  <c r="H3235" i="27"/>
  <c r="K3235" i="27"/>
  <c r="N3235" i="27"/>
  <c r="E3235" i="27"/>
  <c r="K3257" i="27"/>
  <c r="H3257" i="27"/>
  <c r="U3257" i="27"/>
  <c r="V3257" i="27" s="1"/>
  <c r="W3257" i="27" s="1"/>
  <c r="E3257" i="27"/>
  <c r="H2216" i="27"/>
  <c r="K2216" i="27"/>
  <c r="U2216" i="27"/>
  <c r="V2216" i="27" s="1"/>
  <c r="W2216" i="27" s="1"/>
  <c r="E2216" i="27"/>
  <c r="H2222" i="27"/>
  <c r="K2222" i="27"/>
  <c r="E2222" i="27"/>
  <c r="U2225" i="27"/>
  <c r="V2225" i="27" s="1"/>
  <c r="W2225" i="27" s="1"/>
  <c r="H2241" i="27"/>
  <c r="U2241" i="27"/>
  <c r="V2241" i="27" s="1"/>
  <c r="W2241" i="27" s="1"/>
  <c r="K2241" i="27"/>
  <c r="H2254" i="27"/>
  <c r="K2254" i="27"/>
  <c r="U2254" i="27"/>
  <c r="V2254" i="27" s="1"/>
  <c r="W2254" i="27" s="1"/>
  <c r="N2257" i="27"/>
  <c r="H2303" i="27"/>
  <c r="U2303" i="27"/>
  <c r="V2303" i="27" s="1"/>
  <c r="W2303" i="27" s="1"/>
  <c r="K2303" i="27"/>
  <c r="E2303" i="27"/>
  <c r="K2311" i="27"/>
  <c r="H2338" i="27"/>
  <c r="K2338" i="27"/>
  <c r="E2338" i="27"/>
  <c r="U2338" i="27"/>
  <c r="V2338" i="27" s="1"/>
  <c r="W2338" i="27" s="1"/>
  <c r="H2344" i="27"/>
  <c r="E2344" i="27"/>
  <c r="U2344" i="27"/>
  <c r="V2344" i="27" s="1"/>
  <c r="W2344" i="27" s="1"/>
  <c r="N2354" i="27"/>
  <c r="H2372" i="27"/>
  <c r="U2372" i="27"/>
  <c r="V2372" i="27" s="1"/>
  <c r="W2372" i="27" s="1"/>
  <c r="K2372" i="27"/>
  <c r="H2385" i="27"/>
  <c r="K2385" i="27"/>
  <c r="U2385" i="27"/>
  <c r="V2385" i="27" s="1"/>
  <c r="W2385" i="27" s="1"/>
  <c r="N2388" i="27"/>
  <c r="H2437" i="27"/>
  <c r="U2437" i="27"/>
  <c r="V2437" i="27" s="1"/>
  <c r="W2437" i="27" s="1"/>
  <c r="K2437" i="27"/>
  <c r="E2437" i="27"/>
  <c r="K2443" i="27"/>
  <c r="H2470" i="27"/>
  <c r="K2470" i="27"/>
  <c r="E2470" i="27"/>
  <c r="U2470" i="27"/>
  <c r="V2470" i="27" s="1"/>
  <c r="W2470" i="27" s="1"/>
  <c r="H2476" i="27"/>
  <c r="E2476" i="27"/>
  <c r="U2476" i="27"/>
  <c r="V2476" i="27" s="1"/>
  <c r="W2476" i="27" s="1"/>
  <c r="N2486" i="27"/>
  <c r="H2503" i="27"/>
  <c r="U2503" i="27"/>
  <c r="V2503" i="27" s="1"/>
  <c r="W2503" i="27" s="1"/>
  <c r="K2503" i="27"/>
  <c r="H2516" i="27"/>
  <c r="K2516" i="27"/>
  <c r="U2516" i="27"/>
  <c r="V2516" i="27" s="1"/>
  <c r="W2516" i="27" s="1"/>
  <c r="H2519" i="27"/>
  <c r="K2519" i="27"/>
  <c r="E2519" i="27"/>
  <c r="H2564" i="27"/>
  <c r="E2564" i="27"/>
  <c r="U2564" i="27"/>
  <c r="V2564" i="27" s="1"/>
  <c r="W2564" i="27" s="1"/>
  <c r="K2564" i="27"/>
  <c r="U2708" i="27"/>
  <c r="V2708" i="27" s="1"/>
  <c r="W2708" i="27" s="1"/>
  <c r="H2708" i="27"/>
  <c r="K2708" i="27"/>
  <c r="E2708" i="27"/>
  <c r="U2784" i="27"/>
  <c r="V2784" i="27" s="1"/>
  <c r="W2784" i="27" s="1"/>
  <c r="H2784" i="27"/>
  <c r="N2784" i="27"/>
  <c r="E2784" i="27"/>
  <c r="K2784" i="27"/>
  <c r="H2824" i="27"/>
  <c r="U2824" i="27"/>
  <c r="V2824" i="27" s="1"/>
  <c r="W2824" i="27" s="1"/>
  <c r="E2824" i="27"/>
  <c r="K2824" i="27"/>
  <c r="K2835" i="27"/>
  <c r="E2835" i="27"/>
  <c r="U2835" i="27"/>
  <c r="V2835" i="27" s="1"/>
  <c r="W2835" i="27" s="1"/>
  <c r="K2881" i="27"/>
  <c r="U2881" i="27"/>
  <c r="V2881" i="27" s="1"/>
  <c r="W2881" i="27" s="1"/>
  <c r="E2881" i="27"/>
  <c r="N2881" i="27"/>
  <c r="H2881" i="27"/>
  <c r="N2883" i="27"/>
  <c r="K2883" i="27"/>
  <c r="H2883" i="27"/>
  <c r="E2883" i="27"/>
  <c r="N1764" i="27"/>
  <c r="K1764" i="27"/>
  <c r="N1772" i="27"/>
  <c r="K1772" i="27"/>
  <c r="N1784" i="27"/>
  <c r="K1784" i="27"/>
  <c r="N1801" i="27"/>
  <c r="K1801" i="27"/>
  <c r="K1896" i="27"/>
  <c r="K1904" i="27"/>
  <c r="K1913" i="27"/>
  <c r="K1921" i="27"/>
  <c r="K1929" i="27"/>
  <c r="K1937" i="27"/>
  <c r="K1945" i="27"/>
  <c r="K1954" i="27"/>
  <c r="K1962" i="27"/>
  <c r="K1970" i="27"/>
  <c r="K1978" i="27"/>
  <c r="K1986" i="27"/>
  <c r="K1994" i="27"/>
  <c r="K2002" i="27"/>
  <c r="K2010" i="27"/>
  <c r="K2018" i="27"/>
  <c r="K2026" i="27"/>
  <c r="K2034" i="27"/>
  <c r="K2042" i="27"/>
  <c r="K2050" i="27"/>
  <c r="K2058" i="27"/>
  <c r="K2066" i="27"/>
  <c r="K2074" i="27"/>
  <c r="K2082" i="27"/>
  <c r="K2090" i="27"/>
  <c r="K2098" i="27"/>
  <c r="K2106" i="27"/>
  <c r="K2114" i="27"/>
  <c r="K2122" i="27"/>
  <c r="K2130" i="27"/>
  <c r="K2138" i="27"/>
  <c r="K2146" i="27"/>
  <c r="K2154" i="27"/>
  <c r="K2162" i="27"/>
  <c r="K2170" i="27"/>
  <c r="K2178" i="27"/>
  <c r="K2186" i="27"/>
  <c r="K2194" i="27"/>
  <c r="K2202" i="27"/>
  <c r="K2210" i="27"/>
  <c r="K2218" i="27"/>
  <c r="N2219" i="27"/>
  <c r="N2222" i="27"/>
  <c r="N2229" i="27"/>
  <c r="N2239" i="27"/>
  <c r="N2255" i="27"/>
  <c r="N2271" i="27"/>
  <c r="N2287" i="27"/>
  <c r="N2303" i="27"/>
  <c r="N2321" i="27"/>
  <c r="N2337" i="27"/>
  <c r="N2353" i="27"/>
  <c r="N2370" i="27"/>
  <c r="N2386" i="27"/>
  <c r="N2403" i="27"/>
  <c r="N2421" i="27"/>
  <c r="N2437" i="27"/>
  <c r="N2453" i="27"/>
  <c r="N2469" i="27"/>
  <c r="N2485" i="27"/>
  <c r="N2501" i="27"/>
  <c r="N2517" i="27"/>
  <c r="K2524" i="27"/>
  <c r="H2534" i="27"/>
  <c r="K2534" i="27"/>
  <c r="E2534" i="27"/>
  <c r="H2568" i="27"/>
  <c r="K2568" i="27"/>
  <c r="E2568" i="27"/>
  <c r="H2598" i="27"/>
  <c r="E2598" i="27"/>
  <c r="U2598" i="27"/>
  <c r="V2598" i="27" s="1"/>
  <c r="W2598" i="27" s="1"/>
  <c r="K2598" i="27"/>
  <c r="K2656" i="27"/>
  <c r="E2656" i="27"/>
  <c r="U2659" i="27"/>
  <c r="V2659" i="27" s="1"/>
  <c r="W2659" i="27" s="1"/>
  <c r="N2659" i="27"/>
  <c r="K2659" i="27"/>
  <c r="N2708" i="27"/>
  <c r="U2740" i="27"/>
  <c r="V2740" i="27" s="1"/>
  <c r="W2740" i="27" s="1"/>
  <c r="H2740" i="27"/>
  <c r="E2740" i="27"/>
  <c r="U2765" i="27"/>
  <c r="V2765" i="27" s="1"/>
  <c r="W2765" i="27" s="1"/>
  <c r="K2765" i="27"/>
  <c r="N2765" i="27"/>
  <c r="N2867" i="27"/>
  <c r="H2867" i="27"/>
  <c r="K2867" i="27"/>
  <c r="E2867" i="27"/>
  <c r="H2903" i="27"/>
  <c r="U2903" i="27"/>
  <c r="V2903" i="27" s="1"/>
  <c r="W2903" i="27" s="1"/>
  <c r="E2903" i="27"/>
  <c r="N2903" i="27"/>
  <c r="K2903" i="27"/>
  <c r="H2936" i="27"/>
  <c r="U2936" i="27"/>
  <c r="V2936" i="27" s="1"/>
  <c r="W2936" i="27" s="1"/>
  <c r="E2936" i="27"/>
  <c r="K2936" i="27"/>
  <c r="U2997" i="27"/>
  <c r="V2997" i="27" s="1"/>
  <c r="W2997" i="27" s="1"/>
  <c r="H2997" i="27"/>
  <c r="K2997" i="27"/>
  <c r="E2997" i="27"/>
  <c r="K3009" i="27"/>
  <c r="H3009" i="27"/>
  <c r="U3009" i="27"/>
  <c r="V3009" i="27" s="1"/>
  <c r="W3009" i="27" s="1"/>
  <c r="E3009" i="27"/>
  <c r="U3011" i="27"/>
  <c r="V3011" i="27" s="1"/>
  <c r="W3011" i="27" s="1"/>
  <c r="H3011" i="27"/>
  <c r="K3011" i="27"/>
  <c r="E3011" i="27"/>
  <c r="N3011" i="27"/>
  <c r="H3048" i="27"/>
  <c r="U3048" i="27"/>
  <c r="V3048" i="27" s="1"/>
  <c r="W3048" i="27" s="1"/>
  <c r="E3048" i="27"/>
  <c r="K3048" i="27"/>
  <c r="N3089" i="27"/>
  <c r="H3089" i="27"/>
  <c r="U3089" i="27"/>
  <c r="V3089" i="27" s="1"/>
  <c r="W3089" i="27" s="1"/>
  <c r="K3089" i="27"/>
  <c r="E3089" i="27"/>
  <c r="K3164" i="27"/>
  <c r="U3164" i="27"/>
  <c r="V3164" i="27" s="1"/>
  <c r="W3164" i="27" s="1"/>
  <c r="E3164" i="27"/>
  <c r="H3164" i="27"/>
  <c r="U3400" i="27"/>
  <c r="V3400" i="27" s="1"/>
  <c r="W3400" i="27" s="1"/>
  <c r="H3400" i="27"/>
  <c r="K3400" i="27"/>
  <c r="E3400" i="27"/>
  <c r="N1786" i="27"/>
  <c r="K1786" i="27"/>
  <c r="N1803" i="27"/>
  <c r="K1803" i="27"/>
  <c r="H2237" i="27"/>
  <c r="U2237" i="27"/>
  <c r="V2237" i="27" s="1"/>
  <c r="W2237" i="27" s="1"/>
  <c r="K2237" i="27"/>
  <c r="H2245" i="27"/>
  <c r="U2245" i="27"/>
  <c r="V2245" i="27" s="1"/>
  <c r="W2245" i="27" s="1"/>
  <c r="E2245" i="27"/>
  <c r="H2253" i="27"/>
  <c r="U2253" i="27"/>
  <c r="V2253" i="27" s="1"/>
  <c r="W2253" i="27" s="1"/>
  <c r="K2253" i="27"/>
  <c r="H2261" i="27"/>
  <c r="U2261" i="27"/>
  <c r="V2261" i="27" s="1"/>
  <c r="W2261" i="27" s="1"/>
  <c r="E2261" i="27"/>
  <c r="H2269" i="27"/>
  <c r="U2269" i="27"/>
  <c r="V2269" i="27" s="1"/>
  <c r="W2269" i="27" s="1"/>
  <c r="K2269" i="27"/>
  <c r="H2277" i="27"/>
  <c r="U2277" i="27"/>
  <c r="V2277" i="27" s="1"/>
  <c r="W2277" i="27" s="1"/>
  <c r="E2277" i="27"/>
  <c r="H2285" i="27"/>
  <c r="U2285" i="27"/>
  <c r="V2285" i="27" s="1"/>
  <c r="W2285" i="27" s="1"/>
  <c r="K2285" i="27"/>
  <c r="H2293" i="27"/>
  <c r="U2293" i="27"/>
  <c r="V2293" i="27" s="1"/>
  <c r="W2293" i="27" s="1"/>
  <c r="E2293" i="27"/>
  <c r="H2301" i="27"/>
  <c r="U2301" i="27"/>
  <c r="V2301" i="27" s="1"/>
  <c r="W2301" i="27" s="1"/>
  <c r="K2301" i="27"/>
  <c r="H2311" i="27"/>
  <c r="U2311" i="27"/>
  <c r="V2311" i="27" s="1"/>
  <c r="W2311" i="27" s="1"/>
  <c r="E2311" i="27"/>
  <c r="H2319" i="27"/>
  <c r="U2319" i="27"/>
  <c r="V2319" i="27" s="1"/>
  <c r="W2319" i="27" s="1"/>
  <c r="K2319" i="27"/>
  <c r="H2327" i="27"/>
  <c r="U2327" i="27"/>
  <c r="V2327" i="27" s="1"/>
  <c r="W2327" i="27" s="1"/>
  <c r="E2327" i="27"/>
  <c r="H2335" i="27"/>
  <c r="U2335" i="27"/>
  <c r="V2335" i="27" s="1"/>
  <c r="W2335" i="27" s="1"/>
  <c r="K2335" i="27"/>
  <c r="H2343" i="27"/>
  <c r="U2343" i="27"/>
  <c r="V2343" i="27" s="1"/>
  <c r="W2343" i="27" s="1"/>
  <c r="E2343" i="27"/>
  <c r="H2351" i="27"/>
  <c r="U2351" i="27"/>
  <c r="V2351" i="27" s="1"/>
  <c r="W2351" i="27" s="1"/>
  <c r="K2351" i="27"/>
  <c r="H2359" i="27"/>
  <c r="U2359" i="27"/>
  <c r="V2359" i="27" s="1"/>
  <c r="W2359" i="27" s="1"/>
  <c r="E2359" i="27"/>
  <c r="H2368" i="27"/>
  <c r="U2368" i="27"/>
  <c r="V2368" i="27" s="1"/>
  <c r="W2368" i="27" s="1"/>
  <c r="K2368" i="27"/>
  <c r="H2376" i="27"/>
  <c r="U2376" i="27"/>
  <c r="V2376" i="27" s="1"/>
  <c r="W2376" i="27" s="1"/>
  <c r="E2376" i="27"/>
  <c r="H2384" i="27"/>
  <c r="U2384" i="27"/>
  <c r="V2384" i="27" s="1"/>
  <c r="W2384" i="27" s="1"/>
  <c r="K2384" i="27"/>
  <c r="H2393" i="27"/>
  <c r="U2393" i="27"/>
  <c r="V2393" i="27" s="1"/>
  <c r="W2393" i="27" s="1"/>
  <c r="E2393" i="27"/>
  <c r="H2401" i="27"/>
  <c r="U2401" i="27"/>
  <c r="V2401" i="27" s="1"/>
  <c r="W2401" i="27" s="1"/>
  <c r="K2401" i="27"/>
  <c r="H2409" i="27"/>
  <c r="U2409" i="27"/>
  <c r="V2409" i="27" s="1"/>
  <c r="W2409" i="27" s="1"/>
  <c r="E2409" i="27"/>
  <c r="H2418" i="27"/>
  <c r="U2418" i="27"/>
  <c r="V2418" i="27" s="1"/>
  <c r="W2418" i="27" s="1"/>
  <c r="K2418" i="27"/>
  <c r="H2427" i="27"/>
  <c r="U2427" i="27"/>
  <c r="V2427" i="27" s="1"/>
  <c r="W2427" i="27" s="1"/>
  <c r="E2427" i="27"/>
  <c r="H2435" i="27"/>
  <c r="U2435" i="27"/>
  <c r="V2435" i="27" s="1"/>
  <c r="W2435" i="27" s="1"/>
  <c r="K2435" i="27"/>
  <c r="H2443" i="27"/>
  <c r="U2443" i="27"/>
  <c r="V2443" i="27" s="1"/>
  <c r="W2443" i="27" s="1"/>
  <c r="E2443" i="27"/>
  <c r="H2451" i="27"/>
  <c r="U2451" i="27"/>
  <c r="V2451" i="27" s="1"/>
  <c r="W2451" i="27" s="1"/>
  <c r="K2451" i="27"/>
  <c r="H2459" i="27"/>
  <c r="U2459" i="27"/>
  <c r="V2459" i="27" s="1"/>
  <c r="W2459" i="27" s="1"/>
  <c r="E2459" i="27"/>
  <c r="H2467" i="27"/>
  <c r="U2467" i="27"/>
  <c r="V2467" i="27" s="1"/>
  <c r="W2467" i="27" s="1"/>
  <c r="K2467" i="27"/>
  <c r="H2475" i="27"/>
  <c r="U2475" i="27"/>
  <c r="V2475" i="27" s="1"/>
  <c r="W2475" i="27" s="1"/>
  <c r="E2475" i="27"/>
  <c r="H2483" i="27"/>
  <c r="U2483" i="27"/>
  <c r="V2483" i="27" s="1"/>
  <c r="W2483" i="27" s="1"/>
  <c r="K2483" i="27"/>
  <c r="H2491" i="27"/>
  <c r="U2491" i="27"/>
  <c r="V2491" i="27" s="1"/>
  <c r="W2491" i="27" s="1"/>
  <c r="E2491" i="27"/>
  <c r="H2499" i="27"/>
  <c r="U2499" i="27"/>
  <c r="V2499" i="27" s="1"/>
  <c r="W2499" i="27" s="1"/>
  <c r="K2499" i="27"/>
  <c r="H2507" i="27"/>
  <c r="U2507" i="27"/>
  <c r="V2507" i="27" s="1"/>
  <c r="W2507" i="27" s="1"/>
  <c r="E2507" i="27"/>
  <c r="H2515" i="27"/>
  <c r="U2515" i="27"/>
  <c r="V2515" i="27" s="1"/>
  <c r="W2515" i="27" s="1"/>
  <c r="K2515" i="27"/>
  <c r="H2544" i="27"/>
  <c r="K2544" i="27"/>
  <c r="E2544" i="27"/>
  <c r="U2544" i="27"/>
  <c r="V2544" i="27" s="1"/>
  <c r="W2544" i="27" s="1"/>
  <c r="K2574" i="27"/>
  <c r="H2585" i="27"/>
  <c r="K2585" i="27"/>
  <c r="E2585" i="27"/>
  <c r="K2623" i="27"/>
  <c r="E2623" i="27"/>
  <c r="H2623" i="27"/>
  <c r="U2623" i="27"/>
  <c r="V2623" i="27" s="1"/>
  <c r="W2623" i="27" s="1"/>
  <c r="K2652" i="27"/>
  <c r="H2652" i="27"/>
  <c r="U2652" i="27"/>
  <c r="V2652" i="27" s="1"/>
  <c r="W2652" i="27" s="1"/>
  <c r="K2667" i="27"/>
  <c r="U2667" i="27"/>
  <c r="V2667" i="27" s="1"/>
  <c r="W2667" i="27" s="1"/>
  <c r="H2667" i="27"/>
  <c r="E2667" i="27"/>
  <c r="N2679" i="27"/>
  <c r="K2679" i="27"/>
  <c r="H2679" i="27"/>
  <c r="U2704" i="27"/>
  <c r="V2704" i="27" s="1"/>
  <c r="W2704" i="27" s="1"/>
  <c r="H2704" i="27"/>
  <c r="N2704" i="27"/>
  <c r="H2814" i="27"/>
  <c r="U2814" i="27"/>
  <c r="V2814" i="27" s="1"/>
  <c r="W2814" i="27" s="1"/>
  <c r="E2814" i="27"/>
  <c r="K2814" i="27"/>
  <c r="H2830" i="27"/>
  <c r="U2830" i="27"/>
  <c r="V2830" i="27" s="1"/>
  <c r="W2830" i="27" s="1"/>
  <c r="E2830" i="27"/>
  <c r="K2830" i="27"/>
  <c r="U2945" i="27"/>
  <c r="V2945" i="27" s="1"/>
  <c r="W2945" i="27" s="1"/>
  <c r="H2945" i="27"/>
  <c r="N2945" i="27"/>
  <c r="K2945" i="27"/>
  <c r="U3288" i="27"/>
  <c r="V3288" i="27" s="1"/>
  <c r="W3288" i="27" s="1"/>
  <c r="H3288" i="27"/>
  <c r="K3288" i="27"/>
  <c r="E3288" i="27"/>
  <c r="U3452" i="27"/>
  <c r="V3452" i="27" s="1"/>
  <c r="W3452" i="27" s="1"/>
  <c r="H3452" i="27"/>
  <c r="N3452" i="27"/>
  <c r="E3452" i="27"/>
  <c r="K3452" i="27"/>
  <c r="K1759" i="27"/>
  <c r="H1764" i="27"/>
  <c r="N1768" i="27"/>
  <c r="K1768" i="27"/>
  <c r="H1772" i="27"/>
  <c r="N1776" i="27"/>
  <c r="K1776" i="27"/>
  <c r="H1784" i="27"/>
  <c r="U1786" i="27"/>
  <c r="V1786" i="27" s="1"/>
  <c r="W1786" i="27" s="1"/>
  <c r="N1792" i="27"/>
  <c r="K1792" i="27"/>
  <c r="H1801" i="27"/>
  <c r="U1803" i="27"/>
  <c r="V1803" i="27" s="1"/>
  <c r="W1803" i="27" s="1"/>
  <c r="K1892" i="27"/>
  <c r="K1900" i="27"/>
  <c r="K1908" i="27"/>
  <c r="K1917" i="27"/>
  <c r="K1925" i="27"/>
  <c r="K1933" i="27"/>
  <c r="K1941" i="27"/>
  <c r="K1950" i="27"/>
  <c r="K1958" i="27"/>
  <c r="K1966" i="27"/>
  <c r="K1974" i="27"/>
  <c r="K1982" i="27"/>
  <c r="K1990" i="27"/>
  <c r="K1998" i="27"/>
  <c r="K2006" i="27"/>
  <c r="K2014" i="27"/>
  <c r="K2022" i="27"/>
  <c r="K2030" i="27"/>
  <c r="K2038" i="27"/>
  <c r="K2046" i="27"/>
  <c r="K2054" i="27"/>
  <c r="K2062" i="27"/>
  <c r="K2070" i="27"/>
  <c r="K2078" i="27"/>
  <c r="K2086" i="27"/>
  <c r="K2094" i="27"/>
  <c r="K2102" i="27"/>
  <c r="K2110" i="27"/>
  <c r="K2118" i="27"/>
  <c r="K2126" i="27"/>
  <c r="K2134" i="27"/>
  <c r="K2142" i="27"/>
  <c r="K2150" i="27"/>
  <c r="K2158" i="27"/>
  <c r="K2166" i="27"/>
  <c r="K2174" i="27"/>
  <c r="K2182" i="27"/>
  <c r="K2190" i="27"/>
  <c r="K2198" i="27"/>
  <c r="K2206" i="27"/>
  <c r="H2242" i="27"/>
  <c r="K2242" i="27"/>
  <c r="U2242" i="27"/>
  <c r="V2242" i="27" s="1"/>
  <c r="W2242" i="27" s="1"/>
  <c r="H2258" i="27"/>
  <c r="K2258" i="27"/>
  <c r="U2258" i="27"/>
  <c r="V2258" i="27" s="1"/>
  <c r="W2258" i="27" s="1"/>
  <c r="H2274" i="27"/>
  <c r="K2274" i="27"/>
  <c r="U2274" i="27"/>
  <c r="V2274" i="27" s="1"/>
  <c r="W2274" i="27" s="1"/>
  <c r="H2290" i="27"/>
  <c r="K2290" i="27"/>
  <c r="U2290" i="27"/>
  <c r="V2290" i="27" s="1"/>
  <c r="W2290" i="27" s="1"/>
  <c r="H2307" i="27"/>
  <c r="K2307" i="27"/>
  <c r="U2307" i="27"/>
  <c r="V2307" i="27" s="1"/>
  <c r="W2307" i="27" s="1"/>
  <c r="H2324" i="27"/>
  <c r="K2324" i="27"/>
  <c r="U2324" i="27"/>
  <c r="V2324" i="27" s="1"/>
  <c r="W2324" i="27" s="1"/>
  <c r="H2340" i="27"/>
  <c r="K2340" i="27"/>
  <c r="U2340" i="27"/>
  <c r="V2340" i="27" s="1"/>
  <c r="W2340" i="27" s="1"/>
  <c r="H2356" i="27"/>
  <c r="K2356" i="27"/>
  <c r="U2356" i="27"/>
  <c r="V2356" i="27" s="1"/>
  <c r="W2356" i="27" s="1"/>
  <c r="H2373" i="27"/>
  <c r="K2373" i="27"/>
  <c r="U2373" i="27"/>
  <c r="V2373" i="27" s="1"/>
  <c r="W2373" i="27" s="1"/>
  <c r="H2389" i="27"/>
  <c r="K2389" i="27"/>
  <c r="U2389" i="27"/>
  <c r="V2389" i="27" s="1"/>
  <c r="W2389" i="27" s="1"/>
  <c r="H2406" i="27"/>
  <c r="K2406" i="27"/>
  <c r="U2406" i="27"/>
  <c r="V2406" i="27" s="1"/>
  <c r="W2406" i="27" s="1"/>
  <c r="H2424" i="27"/>
  <c r="K2424" i="27"/>
  <c r="U2424" i="27"/>
  <c r="V2424" i="27" s="1"/>
  <c r="W2424" i="27" s="1"/>
  <c r="H2440" i="27"/>
  <c r="K2440" i="27"/>
  <c r="U2440" i="27"/>
  <c r="V2440" i="27" s="1"/>
  <c r="W2440" i="27" s="1"/>
  <c r="H2456" i="27"/>
  <c r="K2456" i="27"/>
  <c r="U2456" i="27"/>
  <c r="V2456" i="27" s="1"/>
  <c r="W2456" i="27" s="1"/>
  <c r="H2472" i="27"/>
  <c r="K2472" i="27"/>
  <c r="U2472" i="27"/>
  <c r="V2472" i="27" s="1"/>
  <c r="W2472" i="27" s="1"/>
  <c r="H2488" i="27"/>
  <c r="K2488" i="27"/>
  <c r="U2488" i="27"/>
  <c r="V2488" i="27" s="1"/>
  <c r="W2488" i="27" s="1"/>
  <c r="H2504" i="27"/>
  <c r="K2504" i="27"/>
  <c r="U2504" i="27"/>
  <c r="V2504" i="27" s="1"/>
  <c r="W2504" i="27" s="1"/>
  <c r="H2531" i="27"/>
  <c r="E2531" i="27"/>
  <c r="U2531" i="27"/>
  <c r="V2531" i="27" s="1"/>
  <c r="W2531" i="27" s="1"/>
  <c r="K2531" i="27"/>
  <c r="N2548" i="27"/>
  <c r="H2560" i="27"/>
  <c r="K2560" i="27"/>
  <c r="E2560" i="27"/>
  <c r="U2560" i="27"/>
  <c r="V2560" i="27" s="1"/>
  <c r="W2560" i="27" s="1"/>
  <c r="U2585" i="27"/>
  <c r="V2585" i="27" s="1"/>
  <c r="W2585" i="27" s="1"/>
  <c r="K2591" i="27"/>
  <c r="H2601" i="27"/>
  <c r="K2601" i="27"/>
  <c r="E2601" i="27"/>
  <c r="H2656" i="27"/>
  <c r="H2659" i="27"/>
  <c r="U2662" i="27"/>
  <c r="V2662" i="27" s="1"/>
  <c r="W2662" i="27" s="1"/>
  <c r="K2662" i="27"/>
  <c r="E2662" i="27"/>
  <c r="H2662" i="27"/>
  <c r="U2670" i="27"/>
  <c r="V2670" i="27" s="1"/>
  <c r="W2670" i="27" s="1"/>
  <c r="H2670" i="27"/>
  <c r="N2670" i="27"/>
  <c r="K2670" i="27"/>
  <c r="U2679" i="27"/>
  <c r="V2679" i="27" s="1"/>
  <c r="W2679" i="27" s="1"/>
  <c r="K2685" i="27"/>
  <c r="U2685" i="27"/>
  <c r="V2685" i="27" s="1"/>
  <c r="W2685" i="27" s="1"/>
  <c r="E2685" i="27"/>
  <c r="U2694" i="27"/>
  <c r="V2694" i="27" s="1"/>
  <c r="W2694" i="27" s="1"/>
  <c r="K2694" i="27"/>
  <c r="E2694" i="27"/>
  <c r="U2701" i="27"/>
  <c r="V2701" i="27" s="1"/>
  <c r="W2701" i="27" s="1"/>
  <c r="E2701" i="27"/>
  <c r="K2701" i="27"/>
  <c r="H2701" i="27"/>
  <c r="U2707" i="27"/>
  <c r="V2707" i="27" s="1"/>
  <c r="W2707" i="27" s="1"/>
  <c r="K2707" i="27"/>
  <c r="H2707" i="27"/>
  <c r="E2707" i="27"/>
  <c r="N2741" i="27"/>
  <c r="U2756" i="27"/>
  <c r="V2756" i="27" s="1"/>
  <c r="W2756" i="27" s="1"/>
  <c r="H2756" i="27"/>
  <c r="K2756" i="27"/>
  <c r="H2765" i="27"/>
  <c r="U2772" i="27"/>
  <c r="V2772" i="27" s="1"/>
  <c r="W2772" i="27" s="1"/>
  <c r="N2772" i="27"/>
  <c r="H2772" i="27"/>
  <c r="E2772" i="27"/>
  <c r="N2793" i="27"/>
  <c r="K2793" i="27"/>
  <c r="H2861" i="27"/>
  <c r="U2861" i="27"/>
  <c r="V2861" i="27" s="1"/>
  <c r="W2861" i="27" s="1"/>
  <c r="E2861" i="27"/>
  <c r="N2861" i="27"/>
  <c r="K2861" i="27"/>
  <c r="K2907" i="27"/>
  <c r="U2907" i="27"/>
  <c r="V2907" i="27" s="1"/>
  <c r="W2907" i="27" s="1"/>
  <c r="E2907" i="27"/>
  <c r="H2907" i="27"/>
  <c r="K3043" i="27"/>
  <c r="U3043" i="27"/>
  <c r="V3043" i="27" s="1"/>
  <c r="W3043" i="27" s="1"/>
  <c r="H3043" i="27"/>
  <c r="E3043" i="27"/>
  <c r="K3062" i="27"/>
  <c r="U3062" i="27"/>
  <c r="V3062" i="27" s="1"/>
  <c r="W3062" i="27" s="1"/>
  <c r="E3062" i="27"/>
  <c r="H3062" i="27"/>
  <c r="K3087" i="27"/>
  <c r="U3087" i="27"/>
  <c r="V3087" i="27" s="1"/>
  <c r="W3087" i="27" s="1"/>
  <c r="E3087" i="27"/>
  <c r="H3087" i="27"/>
  <c r="U3236" i="27"/>
  <c r="V3236" i="27" s="1"/>
  <c r="W3236" i="27" s="1"/>
  <c r="H3236" i="27"/>
  <c r="E3236" i="27"/>
  <c r="K3236" i="27"/>
  <c r="N3236" i="27"/>
  <c r="K3271" i="27"/>
  <c r="H3271" i="27"/>
  <c r="E3271" i="27"/>
  <c r="U3271" i="27"/>
  <c r="V3271" i="27" s="1"/>
  <c r="W3271" i="27" s="1"/>
  <c r="H3315" i="27"/>
  <c r="U3315" i="27"/>
  <c r="V3315" i="27" s="1"/>
  <c r="W3315" i="27" s="1"/>
  <c r="E3315" i="27"/>
  <c r="K3315" i="27"/>
  <c r="K1807" i="27"/>
  <c r="K1809" i="27"/>
  <c r="K1811" i="27"/>
  <c r="K1813" i="27"/>
  <c r="K1815" i="27"/>
  <c r="K1817" i="27"/>
  <c r="K1819" i="27"/>
  <c r="K1821" i="27"/>
  <c r="K1823" i="27"/>
  <c r="K1825" i="27"/>
  <c r="K1827" i="27"/>
  <c r="K1829" i="27"/>
  <c r="K1831" i="27"/>
  <c r="K1833" i="27"/>
  <c r="K1835" i="27"/>
  <c r="K1837" i="27"/>
  <c r="K1839" i="27"/>
  <c r="K1841" i="27"/>
  <c r="K1843" i="27"/>
  <c r="K1845" i="27"/>
  <c r="K1847" i="27"/>
  <c r="K1849" i="27"/>
  <c r="K1851" i="27"/>
  <c r="K1853" i="27"/>
  <c r="K1855" i="27"/>
  <c r="K1857" i="27"/>
  <c r="K1859" i="27"/>
  <c r="K1861" i="27"/>
  <c r="K1863" i="27"/>
  <c r="K1865" i="27"/>
  <c r="K1867" i="27"/>
  <c r="K1869" i="27"/>
  <c r="K1871" i="27"/>
  <c r="K1873" i="27"/>
  <c r="K1876" i="27"/>
  <c r="K1878" i="27"/>
  <c r="K1880" i="27"/>
  <c r="K1882" i="27"/>
  <c r="K1884" i="27"/>
  <c r="K1886" i="27"/>
  <c r="K1888" i="27"/>
  <c r="K1890" i="27"/>
  <c r="N2217" i="27"/>
  <c r="H2243" i="27"/>
  <c r="U2243" i="27"/>
  <c r="V2243" i="27" s="1"/>
  <c r="W2243" i="27" s="1"/>
  <c r="H2244" i="27"/>
  <c r="N2245" i="27"/>
  <c r="N2246" i="27"/>
  <c r="H2259" i="27"/>
  <c r="U2259" i="27"/>
  <c r="V2259" i="27" s="1"/>
  <c r="W2259" i="27" s="1"/>
  <c r="H2260" i="27"/>
  <c r="N2261" i="27"/>
  <c r="N2262" i="27"/>
  <c r="H2275" i="27"/>
  <c r="U2275" i="27"/>
  <c r="V2275" i="27" s="1"/>
  <c r="W2275" i="27" s="1"/>
  <c r="H2276" i="27"/>
  <c r="N2277" i="27"/>
  <c r="N2278" i="27"/>
  <c r="H2291" i="27"/>
  <c r="U2291" i="27"/>
  <c r="V2291" i="27" s="1"/>
  <c r="W2291" i="27" s="1"/>
  <c r="H2292" i="27"/>
  <c r="N2293" i="27"/>
  <c r="N2294" i="27"/>
  <c r="H2309" i="27"/>
  <c r="U2309" i="27"/>
  <c r="V2309" i="27" s="1"/>
  <c r="W2309" i="27" s="1"/>
  <c r="H2310" i="27"/>
  <c r="N2311" i="27"/>
  <c r="N2312" i="27"/>
  <c r="H2325" i="27"/>
  <c r="U2325" i="27"/>
  <c r="V2325" i="27" s="1"/>
  <c r="W2325" i="27" s="1"/>
  <c r="H2326" i="27"/>
  <c r="N2327" i="27"/>
  <c r="N2328" i="27"/>
  <c r="H2341" i="27"/>
  <c r="U2341" i="27"/>
  <c r="V2341" i="27" s="1"/>
  <c r="W2341" i="27" s="1"/>
  <c r="H2342" i="27"/>
  <c r="N2343" i="27"/>
  <c r="N2344" i="27"/>
  <c r="H2357" i="27"/>
  <c r="U2357" i="27"/>
  <c r="V2357" i="27" s="1"/>
  <c r="W2357" i="27" s="1"/>
  <c r="H2358" i="27"/>
  <c r="N2359" i="27"/>
  <c r="N2360" i="27"/>
  <c r="H2374" i="27"/>
  <c r="U2374" i="27"/>
  <c r="V2374" i="27" s="1"/>
  <c r="W2374" i="27" s="1"/>
  <c r="H2375" i="27"/>
  <c r="N2376" i="27"/>
  <c r="N2377" i="27"/>
  <c r="H2391" i="27"/>
  <c r="U2391" i="27"/>
  <c r="V2391" i="27" s="1"/>
  <c r="W2391" i="27" s="1"/>
  <c r="H2392" i="27"/>
  <c r="N2393" i="27"/>
  <c r="N2394" i="27"/>
  <c r="H2407" i="27"/>
  <c r="U2407" i="27"/>
  <c r="V2407" i="27" s="1"/>
  <c r="W2407" i="27" s="1"/>
  <c r="H2408" i="27"/>
  <c r="N2409" i="27"/>
  <c r="N2410" i="27"/>
  <c r="H2425" i="27"/>
  <c r="U2425" i="27"/>
  <c r="V2425" i="27" s="1"/>
  <c r="W2425" i="27" s="1"/>
  <c r="H2426" i="27"/>
  <c r="N2427" i="27"/>
  <c r="N2428" i="27"/>
  <c r="H2441" i="27"/>
  <c r="U2441" i="27"/>
  <c r="V2441" i="27" s="1"/>
  <c r="W2441" i="27" s="1"/>
  <c r="H2442" i="27"/>
  <c r="N2443" i="27"/>
  <c r="N2444" i="27"/>
  <c r="H2457" i="27"/>
  <c r="U2457" i="27"/>
  <c r="V2457" i="27" s="1"/>
  <c r="W2457" i="27" s="1"/>
  <c r="H2458" i="27"/>
  <c r="N2459" i="27"/>
  <c r="N2460" i="27"/>
  <c r="H2473" i="27"/>
  <c r="U2473" i="27"/>
  <c r="V2473" i="27" s="1"/>
  <c r="W2473" i="27" s="1"/>
  <c r="H2474" i="27"/>
  <c r="N2475" i="27"/>
  <c r="N2476" i="27"/>
  <c r="H2489" i="27"/>
  <c r="U2489" i="27"/>
  <c r="V2489" i="27" s="1"/>
  <c r="W2489" i="27" s="1"/>
  <c r="H2490" i="27"/>
  <c r="N2491" i="27"/>
  <c r="N2492" i="27"/>
  <c r="H2505" i="27"/>
  <c r="U2505" i="27"/>
  <c r="V2505" i="27" s="1"/>
  <c r="W2505" i="27" s="1"/>
  <c r="H2506" i="27"/>
  <c r="N2507" i="27"/>
  <c r="N2508" i="27"/>
  <c r="N2527" i="27"/>
  <c r="H2528" i="27"/>
  <c r="K2528" i="27"/>
  <c r="U2528" i="27"/>
  <c r="V2528" i="27" s="1"/>
  <c r="W2528" i="27" s="1"/>
  <c r="H2530" i="27"/>
  <c r="E2530" i="27"/>
  <c r="N2544" i="27"/>
  <c r="H2545" i="27"/>
  <c r="K2545" i="27"/>
  <c r="U2545" i="27"/>
  <c r="V2545" i="27" s="1"/>
  <c r="W2545" i="27" s="1"/>
  <c r="H2547" i="27"/>
  <c r="E2547" i="27"/>
  <c r="N2560" i="27"/>
  <c r="H2561" i="27"/>
  <c r="K2561" i="27"/>
  <c r="U2561" i="27"/>
  <c r="V2561" i="27" s="1"/>
  <c r="W2561" i="27" s="1"/>
  <c r="H2563" i="27"/>
  <c r="E2563" i="27"/>
  <c r="N2578" i="27"/>
  <c r="H2579" i="27"/>
  <c r="K2579" i="27"/>
  <c r="U2579" i="27"/>
  <c r="V2579" i="27" s="1"/>
  <c r="W2579" i="27" s="1"/>
  <c r="H2581" i="27"/>
  <c r="E2581" i="27"/>
  <c r="N2594" i="27"/>
  <c r="H2595" i="27"/>
  <c r="K2595" i="27"/>
  <c r="U2595" i="27"/>
  <c r="V2595" i="27" s="1"/>
  <c r="W2595" i="27" s="1"/>
  <c r="H2597" i="27"/>
  <c r="E2597" i="27"/>
  <c r="N2640" i="27"/>
  <c r="H2648" i="27"/>
  <c r="U2671" i="27"/>
  <c r="V2671" i="27" s="1"/>
  <c r="W2671" i="27" s="1"/>
  <c r="K2671" i="27"/>
  <c r="U2672" i="27"/>
  <c r="V2672" i="27" s="1"/>
  <c r="W2672" i="27" s="1"/>
  <c r="H2672" i="27"/>
  <c r="N2685" i="27"/>
  <c r="N2694" i="27"/>
  <c r="U2710" i="27"/>
  <c r="V2710" i="27" s="1"/>
  <c r="W2710" i="27" s="1"/>
  <c r="E2710" i="27"/>
  <c r="K2713" i="27"/>
  <c r="H2713" i="27"/>
  <c r="U2713" i="27"/>
  <c r="V2713" i="27" s="1"/>
  <c r="W2713" i="27" s="1"/>
  <c r="H2715" i="27"/>
  <c r="U2715" i="27"/>
  <c r="V2715" i="27" s="1"/>
  <c r="W2715" i="27" s="1"/>
  <c r="N2715" i="27"/>
  <c r="U2716" i="27"/>
  <c r="V2716" i="27" s="1"/>
  <c r="W2716" i="27" s="1"/>
  <c r="N2716" i="27"/>
  <c r="U2719" i="27"/>
  <c r="V2719" i="27" s="1"/>
  <c r="W2719" i="27" s="1"/>
  <c r="H2719" i="27"/>
  <c r="N2719" i="27"/>
  <c r="U2720" i="27"/>
  <c r="V2720" i="27" s="1"/>
  <c r="W2720" i="27" s="1"/>
  <c r="N2720" i="27"/>
  <c r="N2740" i="27"/>
  <c r="U2743" i="27"/>
  <c r="V2743" i="27" s="1"/>
  <c r="W2743" i="27" s="1"/>
  <c r="H2743" i="27"/>
  <c r="N2748" i="27"/>
  <c r="U2769" i="27"/>
  <c r="V2769" i="27" s="1"/>
  <c r="W2769" i="27" s="1"/>
  <c r="K2769" i="27"/>
  <c r="U2789" i="27"/>
  <c r="V2789" i="27" s="1"/>
  <c r="W2789" i="27" s="1"/>
  <c r="H2789" i="27"/>
  <c r="H2798" i="27"/>
  <c r="U2798" i="27"/>
  <c r="V2798" i="27" s="1"/>
  <c r="W2798" i="27" s="1"/>
  <c r="E2798" i="27"/>
  <c r="H2802" i="27"/>
  <c r="U2802" i="27"/>
  <c r="V2802" i="27" s="1"/>
  <c r="W2802" i="27" s="1"/>
  <c r="N2802" i="27"/>
  <c r="H2818" i="27"/>
  <c r="U2818" i="27"/>
  <c r="V2818" i="27" s="1"/>
  <c r="W2818" i="27" s="1"/>
  <c r="U2819" i="27"/>
  <c r="V2819" i="27" s="1"/>
  <c r="W2819" i="27" s="1"/>
  <c r="E2819" i="27"/>
  <c r="K2859" i="27"/>
  <c r="U2859" i="27"/>
  <c r="V2859" i="27" s="1"/>
  <c r="W2859" i="27" s="1"/>
  <c r="E2859" i="27"/>
  <c r="K2877" i="27"/>
  <c r="K2911" i="27"/>
  <c r="E2911" i="27"/>
  <c r="H2928" i="27"/>
  <c r="E2928" i="27"/>
  <c r="U3058" i="27"/>
  <c r="V3058" i="27" s="1"/>
  <c r="W3058" i="27" s="1"/>
  <c r="H3058" i="27"/>
  <c r="K3058" i="27"/>
  <c r="E3058" i="27"/>
  <c r="K3078" i="27"/>
  <c r="H3078" i="27"/>
  <c r="E3078" i="27"/>
  <c r="K3112" i="27"/>
  <c r="H3112" i="27"/>
  <c r="U3112" i="27"/>
  <c r="V3112" i="27" s="1"/>
  <c r="W3112" i="27" s="1"/>
  <c r="E3112" i="27"/>
  <c r="H2214" i="27"/>
  <c r="H2231" i="27"/>
  <c r="U2231" i="27"/>
  <c r="V2231" i="27" s="1"/>
  <c r="W2231" i="27" s="1"/>
  <c r="H2232" i="27"/>
  <c r="H2247" i="27"/>
  <c r="U2247" i="27"/>
  <c r="V2247" i="27" s="1"/>
  <c r="W2247" i="27" s="1"/>
  <c r="H2248" i="27"/>
  <c r="H2263" i="27"/>
  <c r="U2263" i="27"/>
  <c r="V2263" i="27" s="1"/>
  <c r="W2263" i="27" s="1"/>
  <c r="H2264" i="27"/>
  <c r="H2279" i="27"/>
  <c r="U2279" i="27"/>
  <c r="V2279" i="27" s="1"/>
  <c r="W2279" i="27" s="1"/>
  <c r="H2280" i="27"/>
  <c r="H2295" i="27"/>
  <c r="U2295" i="27"/>
  <c r="V2295" i="27" s="1"/>
  <c r="W2295" i="27" s="1"/>
  <c r="H2296" i="27"/>
  <c r="H2313" i="27"/>
  <c r="U2313" i="27"/>
  <c r="V2313" i="27" s="1"/>
  <c r="W2313" i="27" s="1"/>
  <c r="H2314" i="27"/>
  <c r="H2329" i="27"/>
  <c r="U2329" i="27"/>
  <c r="V2329" i="27" s="1"/>
  <c r="W2329" i="27" s="1"/>
  <c r="H2330" i="27"/>
  <c r="H2345" i="27"/>
  <c r="U2345" i="27"/>
  <c r="V2345" i="27" s="1"/>
  <c r="W2345" i="27" s="1"/>
  <c r="H2346" i="27"/>
  <c r="H2362" i="27"/>
  <c r="U2362" i="27"/>
  <c r="V2362" i="27" s="1"/>
  <c r="W2362" i="27" s="1"/>
  <c r="H2363" i="27"/>
  <c r="H2378" i="27"/>
  <c r="U2378" i="27"/>
  <c r="V2378" i="27" s="1"/>
  <c r="W2378" i="27" s="1"/>
  <c r="H2379" i="27"/>
  <c r="H2395" i="27"/>
  <c r="U2395" i="27"/>
  <c r="V2395" i="27" s="1"/>
  <c r="W2395" i="27" s="1"/>
  <c r="H2396" i="27"/>
  <c r="H2411" i="27"/>
  <c r="U2411" i="27"/>
  <c r="V2411" i="27" s="1"/>
  <c r="W2411" i="27" s="1"/>
  <c r="H2412" i="27"/>
  <c r="H2429" i="27"/>
  <c r="U2429" i="27"/>
  <c r="V2429" i="27" s="1"/>
  <c r="W2429" i="27" s="1"/>
  <c r="H2430" i="27"/>
  <c r="H2445" i="27"/>
  <c r="U2445" i="27"/>
  <c r="V2445" i="27" s="1"/>
  <c r="W2445" i="27" s="1"/>
  <c r="H2446" i="27"/>
  <c r="H2461" i="27"/>
  <c r="U2461" i="27"/>
  <c r="V2461" i="27" s="1"/>
  <c r="W2461" i="27" s="1"/>
  <c r="H2462" i="27"/>
  <c r="H2477" i="27"/>
  <c r="U2477" i="27"/>
  <c r="V2477" i="27" s="1"/>
  <c r="W2477" i="27" s="1"/>
  <c r="H2478" i="27"/>
  <c r="H2493" i="27"/>
  <c r="U2493" i="27"/>
  <c r="V2493" i="27" s="1"/>
  <c r="W2493" i="27" s="1"/>
  <c r="H2494" i="27"/>
  <c r="H2509" i="27"/>
  <c r="U2509" i="27"/>
  <c r="V2509" i="27" s="1"/>
  <c r="W2509" i="27" s="1"/>
  <c r="H2510" i="27"/>
  <c r="H2526" i="27"/>
  <c r="H2543" i="27"/>
  <c r="H2559" i="27"/>
  <c r="H2576" i="27"/>
  <c r="H2593" i="27"/>
  <c r="H2615" i="27"/>
  <c r="K2627" i="27"/>
  <c r="H2627" i="27"/>
  <c r="U2627" i="27"/>
  <c r="V2627" i="27" s="1"/>
  <c r="W2627" i="27" s="1"/>
  <c r="U2684" i="27"/>
  <c r="V2684" i="27" s="1"/>
  <c r="W2684" i="27" s="1"/>
  <c r="N2684" i="27"/>
  <c r="H2684" i="27"/>
  <c r="U2686" i="27"/>
  <c r="V2686" i="27" s="1"/>
  <c r="W2686" i="27" s="1"/>
  <c r="H2686" i="27"/>
  <c r="K2746" i="27"/>
  <c r="E2746" i="27"/>
  <c r="H2777" i="27"/>
  <c r="U2777" i="27"/>
  <c r="V2777" i="27" s="1"/>
  <c r="W2777" i="27" s="1"/>
  <c r="N2777" i="27"/>
  <c r="H2858" i="27"/>
  <c r="U2858" i="27"/>
  <c r="V2858" i="27" s="1"/>
  <c r="W2858" i="27" s="1"/>
  <c r="N2858" i="27"/>
  <c r="E2858" i="27"/>
  <c r="N2869" i="27"/>
  <c r="H2869" i="27"/>
  <c r="U2869" i="27"/>
  <c r="V2869" i="27" s="1"/>
  <c r="W2869" i="27" s="1"/>
  <c r="K2869" i="27"/>
  <c r="E2869" i="27"/>
  <c r="K2874" i="27"/>
  <c r="H2874" i="27"/>
  <c r="E2874" i="27"/>
  <c r="U2874" i="27"/>
  <c r="V2874" i="27" s="1"/>
  <c r="W2874" i="27" s="1"/>
  <c r="N2874" i="27"/>
  <c r="H2910" i="27"/>
  <c r="U2910" i="27"/>
  <c r="V2910" i="27" s="1"/>
  <c r="W2910" i="27" s="1"/>
  <c r="N2910" i="27"/>
  <c r="K2910" i="27"/>
  <c r="H2927" i="27"/>
  <c r="U2927" i="27"/>
  <c r="V2927" i="27" s="1"/>
  <c r="W2927" i="27" s="1"/>
  <c r="N2927" i="27"/>
  <c r="E2927" i="27"/>
  <c r="U3028" i="27"/>
  <c r="V3028" i="27" s="1"/>
  <c r="W3028" i="27" s="1"/>
  <c r="H3028" i="27"/>
  <c r="K3028" i="27"/>
  <c r="E3028" i="27"/>
  <c r="N3028" i="27"/>
  <c r="H3091" i="27"/>
  <c r="K3091" i="27"/>
  <c r="E3091" i="27"/>
  <c r="N3546" i="27"/>
  <c r="H3546" i="27"/>
  <c r="U3546" i="27"/>
  <c r="V3546" i="27" s="1"/>
  <c r="W3546" i="27" s="1"/>
  <c r="K3546" i="27"/>
  <c r="E3546" i="27"/>
  <c r="N3548" i="27"/>
  <c r="K3548" i="27"/>
  <c r="U3548" i="27"/>
  <c r="V3548" i="27" s="1"/>
  <c r="W3548" i="27" s="1"/>
  <c r="H3548" i="27"/>
  <c r="E3548" i="27"/>
  <c r="E2214" i="27"/>
  <c r="U2214" i="27"/>
  <c r="V2214" i="27" s="1"/>
  <c r="W2214" i="27" s="1"/>
  <c r="N2215" i="27"/>
  <c r="H2224" i="27"/>
  <c r="E2227" i="27"/>
  <c r="U2232" i="27"/>
  <c r="V2232" i="27" s="1"/>
  <c r="W2232" i="27" s="1"/>
  <c r="H2233" i="27"/>
  <c r="U2233" i="27"/>
  <c r="V2233" i="27" s="1"/>
  <c r="W2233" i="27" s="1"/>
  <c r="H2234" i="27"/>
  <c r="N2235" i="27"/>
  <c r="N2236" i="27"/>
  <c r="U2248" i="27"/>
  <c r="V2248" i="27" s="1"/>
  <c r="W2248" i="27" s="1"/>
  <c r="H2249" i="27"/>
  <c r="U2249" i="27"/>
  <c r="V2249" i="27" s="1"/>
  <c r="W2249" i="27" s="1"/>
  <c r="H2250" i="27"/>
  <c r="N2251" i="27"/>
  <c r="N2252" i="27"/>
  <c r="U2264" i="27"/>
  <c r="V2264" i="27" s="1"/>
  <c r="W2264" i="27" s="1"/>
  <c r="H2265" i="27"/>
  <c r="U2265" i="27"/>
  <c r="V2265" i="27" s="1"/>
  <c r="W2265" i="27" s="1"/>
  <c r="H2266" i="27"/>
  <c r="N2267" i="27"/>
  <c r="N2268" i="27"/>
  <c r="U2280" i="27"/>
  <c r="V2280" i="27" s="1"/>
  <c r="W2280" i="27" s="1"/>
  <c r="H2281" i="27"/>
  <c r="U2281" i="27"/>
  <c r="V2281" i="27" s="1"/>
  <c r="W2281" i="27" s="1"/>
  <c r="H2282" i="27"/>
  <c r="N2283" i="27"/>
  <c r="N2284" i="27"/>
  <c r="U2296" i="27"/>
  <c r="V2296" i="27" s="1"/>
  <c r="W2296" i="27" s="1"/>
  <c r="H2297" i="27"/>
  <c r="U2297" i="27"/>
  <c r="V2297" i="27" s="1"/>
  <c r="W2297" i="27" s="1"/>
  <c r="H2298" i="27"/>
  <c r="N2299" i="27"/>
  <c r="N2300" i="27"/>
  <c r="U2314" i="27"/>
  <c r="V2314" i="27" s="1"/>
  <c r="W2314" i="27" s="1"/>
  <c r="H2315" i="27"/>
  <c r="U2315" i="27"/>
  <c r="V2315" i="27" s="1"/>
  <c r="W2315" i="27" s="1"/>
  <c r="H2316" i="27"/>
  <c r="N2317" i="27"/>
  <c r="N2318" i="27"/>
  <c r="U2330" i="27"/>
  <c r="V2330" i="27" s="1"/>
  <c r="W2330" i="27" s="1"/>
  <c r="H2331" i="27"/>
  <c r="U2331" i="27"/>
  <c r="V2331" i="27" s="1"/>
  <c r="W2331" i="27" s="1"/>
  <c r="H2332" i="27"/>
  <c r="N2333" i="27"/>
  <c r="N2334" i="27"/>
  <c r="U2346" i="27"/>
  <c r="V2346" i="27" s="1"/>
  <c r="W2346" i="27" s="1"/>
  <c r="H2347" i="27"/>
  <c r="U2347" i="27"/>
  <c r="V2347" i="27" s="1"/>
  <c r="W2347" i="27" s="1"/>
  <c r="H2348" i="27"/>
  <c r="N2349" i="27"/>
  <c r="N2350" i="27"/>
  <c r="U2363" i="27"/>
  <c r="V2363" i="27" s="1"/>
  <c r="W2363" i="27" s="1"/>
  <c r="H2364" i="27"/>
  <c r="U2364" i="27"/>
  <c r="V2364" i="27" s="1"/>
  <c r="W2364" i="27" s="1"/>
  <c r="H2365" i="27"/>
  <c r="N2366" i="27"/>
  <c r="N2367" i="27"/>
  <c r="U2379" i="27"/>
  <c r="V2379" i="27" s="1"/>
  <c r="W2379" i="27" s="1"/>
  <c r="H2380" i="27"/>
  <c r="U2380" i="27"/>
  <c r="V2380" i="27" s="1"/>
  <c r="W2380" i="27" s="1"/>
  <c r="H2381" i="27"/>
  <c r="N2382" i="27"/>
  <c r="N2383" i="27"/>
  <c r="U2396" i="27"/>
  <c r="V2396" i="27" s="1"/>
  <c r="W2396" i="27" s="1"/>
  <c r="H2397" i="27"/>
  <c r="U2397" i="27"/>
  <c r="V2397" i="27" s="1"/>
  <c r="W2397" i="27" s="1"/>
  <c r="H2398" i="27"/>
  <c r="N2399" i="27"/>
  <c r="N2400" i="27"/>
  <c r="U2412" i="27"/>
  <c r="V2412" i="27" s="1"/>
  <c r="W2412" i="27" s="1"/>
  <c r="H2413" i="27"/>
  <c r="U2413" i="27"/>
  <c r="V2413" i="27" s="1"/>
  <c r="W2413" i="27" s="1"/>
  <c r="H2414" i="27"/>
  <c r="N2415" i="27"/>
  <c r="N2416" i="27"/>
  <c r="U2430" i="27"/>
  <c r="V2430" i="27" s="1"/>
  <c r="W2430" i="27" s="1"/>
  <c r="H2431" i="27"/>
  <c r="U2431" i="27"/>
  <c r="V2431" i="27" s="1"/>
  <c r="W2431" i="27" s="1"/>
  <c r="H2432" i="27"/>
  <c r="N2433" i="27"/>
  <c r="N2434" i="27"/>
  <c r="U2446" i="27"/>
  <c r="V2446" i="27" s="1"/>
  <c r="W2446" i="27" s="1"/>
  <c r="H2447" i="27"/>
  <c r="U2447" i="27"/>
  <c r="V2447" i="27" s="1"/>
  <c r="W2447" i="27" s="1"/>
  <c r="H2448" i="27"/>
  <c r="N2449" i="27"/>
  <c r="N2450" i="27"/>
  <c r="U2462" i="27"/>
  <c r="V2462" i="27" s="1"/>
  <c r="W2462" i="27" s="1"/>
  <c r="H2463" i="27"/>
  <c r="U2463" i="27"/>
  <c r="V2463" i="27" s="1"/>
  <c r="W2463" i="27" s="1"/>
  <c r="H2464" i="27"/>
  <c r="N2465" i="27"/>
  <c r="N2466" i="27"/>
  <c r="U2478" i="27"/>
  <c r="V2478" i="27" s="1"/>
  <c r="W2478" i="27" s="1"/>
  <c r="H2479" i="27"/>
  <c r="U2479" i="27"/>
  <c r="V2479" i="27" s="1"/>
  <c r="W2479" i="27" s="1"/>
  <c r="H2480" i="27"/>
  <c r="N2481" i="27"/>
  <c r="N2482" i="27"/>
  <c r="U2494" i="27"/>
  <c r="V2494" i="27" s="1"/>
  <c r="W2494" i="27" s="1"/>
  <c r="H2495" i="27"/>
  <c r="U2495" i="27"/>
  <c r="V2495" i="27" s="1"/>
  <c r="W2495" i="27" s="1"/>
  <c r="H2496" i="27"/>
  <c r="N2497" i="27"/>
  <c r="N2498" i="27"/>
  <c r="U2510" i="27"/>
  <c r="V2510" i="27" s="1"/>
  <c r="W2510" i="27" s="1"/>
  <c r="H2511" i="27"/>
  <c r="U2511" i="27"/>
  <c r="V2511" i="27" s="1"/>
  <c r="W2511" i="27" s="1"/>
  <c r="H2512" i="27"/>
  <c r="N2513" i="27"/>
  <c r="N2514" i="27"/>
  <c r="N2520" i="27"/>
  <c r="H2523" i="27"/>
  <c r="E2523" i="27"/>
  <c r="U2523" i="27"/>
  <c r="V2523" i="27" s="1"/>
  <c r="W2523" i="27" s="1"/>
  <c r="U2526" i="27"/>
  <c r="V2526" i="27" s="1"/>
  <c r="W2526" i="27" s="1"/>
  <c r="E2528" i="27"/>
  <c r="N2536" i="27"/>
  <c r="H2540" i="27"/>
  <c r="E2540" i="27"/>
  <c r="U2540" i="27"/>
  <c r="V2540" i="27" s="1"/>
  <c r="W2540" i="27" s="1"/>
  <c r="U2543" i="27"/>
  <c r="V2543" i="27" s="1"/>
  <c r="W2543" i="27" s="1"/>
  <c r="E2545" i="27"/>
  <c r="N2553" i="27"/>
  <c r="H2556" i="27"/>
  <c r="E2556" i="27"/>
  <c r="U2556" i="27"/>
  <c r="V2556" i="27" s="1"/>
  <c r="W2556" i="27" s="1"/>
  <c r="U2559" i="27"/>
  <c r="V2559" i="27" s="1"/>
  <c r="W2559" i="27" s="1"/>
  <c r="E2561" i="27"/>
  <c r="N2569" i="27"/>
  <c r="H2573" i="27"/>
  <c r="E2573" i="27"/>
  <c r="U2573" i="27"/>
  <c r="V2573" i="27" s="1"/>
  <c r="W2573" i="27" s="1"/>
  <c r="U2576" i="27"/>
  <c r="V2576" i="27" s="1"/>
  <c r="W2576" i="27" s="1"/>
  <c r="E2579" i="27"/>
  <c r="N2587" i="27"/>
  <c r="H2590" i="27"/>
  <c r="E2590" i="27"/>
  <c r="U2590" i="27"/>
  <c r="V2590" i="27" s="1"/>
  <c r="W2590" i="27" s="1"/>
  <c r="U2593" i="27"/>
  <c r="V2593" i="27" s="1"/>
  <c r="W2593" i="27" s="1"/>
  <c r="E2595" i="27"/>
  <c r="N2603" i="27"/>
  <c r="H2607" i="27"/>
  <c r="E2607" i="27"/>
  <c r="U2607" i="27"/>
  <c r="V2607" i="27" s="1"/>
  <c r="W2607" i="27" s="1"/>
  <c r="H2671" i="27"/>
  <c r="E2686" i="27"/>
  <c r="N2688" i="27"/>
  <c r="H2710" i="27"/>
  <c r="E2713" i="27"/>
  <c r="H2716" i="27"/>
  <c r="H2720" i="27"/>
  <c r="U2727" i="27"/>
  <c r="V2727" i="27" s="1"/>
  <c r="W2727" i="27" s="1"/>
  <c r="H2727" i="27"/>
  <c r="K2730" i="27"/>
  <c r="E2730" i="27"/>
  <c r="U2730" i="27"/>
  <c r="V2730" i="27" s="1"/>
  <c r="W2730" i="27" s="1"/>
  <c r="E2732" i="27"/>
  <c r="U2732" i="27"/>
  <c r="V2732" i="27" s="1"/>
  <c r="W2732" i="27" s="1"/>
  <c r="U2746" i="27"/>
  <c r="V2746" i="27" s="1"/>
  <c r="W2746" i="27" s="1"/>
  <c r="E2748" i="27"/>
  <c r="U2748" i="27"/>
  <c r="V2748" i="27" s="1"/>
  <c r="W2748" i="27" s="1"/>
  <c r="H2750" i="27"/>
  <c r="U2751" i="27"/>
  <c r="V2751" i="27" s="1"/>
  <c r="W2751" i="27" s="1"/>
  <c r="H2751" i="27"/>
  <c r="K2751" i="27"/>
  <c r="E2751" i="27"/>
  <c r="U2752" i="27"/>
  <c r="V2752" i="27" s="1"/>
  <c r="W2752" i="27" s="1"/>
  <c r="H2752" i="27"/>
  <c r="N2760" i="27"/>
  <c r="H2760" i="27"/>
  <c r="H2769" i="27"/>
  <c r="H2819" i="27"/>
  <c r="K2872" i="27"/>
  <c r="H2872" i="27"/>
  <c r="U2872" i="27"/>
  <c r="V2872" i="27" s="1"/>
  <c r="W2872" i="27" s="1"/>
  <c r="H2886" i="27"/>
  <c r="K2893" i="27"/>
  <c r="U2893" i="27"/>
  <c r="V2893" i="27" s="1"/>
  <c r="W2893" i="27" s="1"/>
  <c r="H2893" i="27"/>
  <c r="K3026" i="27"/>
  <c r="U3026" i="27"/>
  <c r="V3026" i="27" s="1"/>
  <c r="W3026" i="27" s="1"/>
  <c r="E3026" i="27"/>
  <c r="H3026" i="27"/>
  <c r="N3227" i="27"/>
  <c r="H2218" i="27"/>
  <c r="N2225" i="27"/>
  <c r="E2231" i="27"/>
  <c r="E2232" i="27"/>
  <c r="H2235" i="27"/>
  <c r="U2235" i="27"/>
  <c r="V2235" i="27" s="1"/>
  <c r="W2235" i="27" s="1"/>
  <c r="N2237" i="27"/>
  <c r="N2238" i="27"/>
  <c r="E2247" i="27"/>
  <c r="E2248" i="27"/>
  <c r="H2251" i="27"/>
  <c r="U2251" i="27"/>
  <c r="V2251" i="27" s="1"/>
  <c r="W2251" i="27" s="1"/>
  <c r="N2253" i="27"/>
  <c r="N2254" i="27"/>
  <c r="E2263" i="27"/>
  <c r="E2264" i="27"/>
  <c r="H2267" i="27"/>
  <c r="U2267" i="27"/>
  <c r="V2267" i="27" s="1"/>
  <c r="W2267" i="27" s="1"/>
  <c r="N2269" i="27"/>
  <c r="N2270" i="27"/>
  <c r="E2279" i="27"/>
  <c r="E2280" i="27"/>
  <c r="H2283" i="27"/>
  <c r="U2283" i="27"/>
  <c r="V2283" i="27" s="1"/>
  <c r="W2283" i="27" s="1"/>
  <c r="N2285" i="27"/>
  <c r="N2286" i="27"/>
  <c r="E2295" i="27"/>
  <c r="E2296" i="27"/>
  <c r="H2299" i="27"/>
  <c r="U2299" i="27"/>
  <c r="V2299" i="27" s="1"/>
  <c r="W2299" i="27" s="1"/>
  <c r="N2301" i="27"/>
  <c r="N2302" i="27"/>
  <c r="E2313" i="27"/>
  <c r="E2314" i="27"/>
  <c r="H2317" i="27"/>
  <c r="U2317" i="27"/>
  <c r="V2317" i="27" s="1"/>
  <c r="W2317" i="27" s="1"/>
  <c r="N2319" i="27"/>
  <c r="N2320" i="27"/>
  <c r="E2329" i="27"/>
  <c r="E2330" i="27"/>
  <c r="H2333" i="27"/>
  <c r="U2333" i="27"/>
  <c r="V2333" i="27" s="1"/>
  <c r="W2333" i="27" s="1"/>
  <c r="N2335" i="27"/>
  <c r="N2336" i="27"/>
  <c r="E2345" i="27"/>
  <c r="E2346" i="27"/>
  <c r="H2349" i="27"/>
  <c r="U2349" i="27"/>
  <c r="V2349" i="27" s="1"/>
  <c r="W2349" i="27" s="1"/>
  <c r="N2351" i="27"/>
  <c r="N2352" i="27"/>
  <c r="E2362" i="27"/>
  <c r="E2363" i="27"/>
  <c r="H2366" i="27"/>
  <c r="U2366" i="27"/>
  <c r="V2366" i="27" s="1"/>
  <c r="W2366" i="27" s="1"/>
  <c r="N2368" i="27"/>
  <c r="N2369" i="27"/>
  <c r="E2378" i="27"/>
  <c r="E2379" i="27"/>
  <c r="H2382" i="27"/>
  <c r="U2382" i="27"/>
  <c r="V2382" i="27" s="1"/>
  <c r="W2382" i="27" s="1"/>
  <c r="N2384" i="27"/>
  <c r="N2385" i="27"/>
  <c r="E2395" i="27"/>
  <c r="E2396" i="27"/>
  <c r="H2399" i="27"/>
  <c r="U2399" i="27"/>
  <c r="V2399" i="27" s="1"/>
  <c r="W2399" i="27" s="1"/>
  <c r="N2401" i="27"/>
  <c r="N2402" i="27"/>
  <c r="E2411" i="27"/>
  <c r="E2412" i="27"/>
  <c r="H2415" i="27"/>
  <c r="U2415" i="27"/>
  <c r="V2415" i="27" s="1"/>
  <c r="W2415" i="27" s="1"/>
  <c r="N2418" i="27"/>
  <c r="N2419" i="27"/>
  <c r="E2429" i="27"/>
  <c r="E2430" i="27"/>
  <c r="H2433" i="27"/>
  <c r="U2433" i="27"/>
  <c r="V2433" i="27" s="1"/>
  <c r="W2433" i="27" s="1"/>
  <c r="N2435" i="27"/>
  <c r="N2436" i="27"/>
  <c r="E2445" i="27"/>
  <c r="E2446" i="27"/>
  <c r="H2449" i="27"/>
  <c r="U2449" i="27"/>
  <c r="V2449" i="27" s="1"/>
  <c r="W2449" i="27" s="1"/>
  <c r="N2451" i="27"/>
  <c r="N2452" i="27"/>
  <c r="E2461" i="27"/>
  <c r="E2462" i="27"/>
  <c r="H2465" i="27"/>
  <c r="U2465" i="27"/>
  <c r="V2465" i="27" s="1"/>
  <c r="W2465" i="27" s="1"/>
  <c r="N2467" i="27"/>
  <c r="N2468" i="27"/>
  <c r="E2477" i="27"/>
  <c r="E2478" i="27"/>
  <c r="H2481" i="27"/>
  <c r="U2481" i="27"/>
  <c r="V2481" i="27" s="1"/>
  <c r="W2481" i="27" s="1"/>
  <c r="N2483" i="27"/>
  <c r="N2484" i="27"/>
  <c r="E2493" i="27"/>
  <c r="E2494" i="27"/>
  <c r="H2497" i="27"/>
  <c r="U2497" i="27"/>
  <c r="V2497" i="27" s="1"/>
  <c r="W2497" i="27" s="1"/>
  <c r="N2499" i="27"/>
  <c r="N2500" i="27"/>
  <c r="E2509" i="27"/>
  <c r="E2510" i="27"/>
  <c r="H2513" i="27"/>
  <c r="U2513" i="27"/>
  <c r="V2513" i="27" s="1"/>
  <c r="W2513" i="27" s="1"/>
  <c r="N2515" i="27"/>
  <c r="N2516" i="27"/>
  <c r="N2519" i="27"/>
  <c r="H2520" i="27"/>
  <c r="K2520" i="27"/>
  <c r="U2520" i="27"/>
  <c r="V2520" i="27" s="1"/>
  <c r="W2520" i="27" s="1"/>
  <c r="H2522" i="27"/>
  <c r="E2522" i="27"/>
  <c r="E2526" i="27"/>
  <c r="N2535" i="27"/>
  <c r="H2536" i="27"/>
  <c r="K2536" i="27"/>
  <c r="U2536" i="27"/>
  <c r="V2536" i="27" s="1"/>
  <c r="W2536" i="27" s="1"/>
  <c r="H2539" i="27"/>
  <c r="E2539" i="27"/>
  <c r="E2543" i="27"/>
  <c r="N2552" i="27"/>
  <c r="H2553" i="27"/>
  <c r="K2553" i="27"/>
  <c r="U2553" i="27"/>
  <c r="V2553" i="27" s="1"/>
  <c r="W2553" i="27" s="1"/>
  <c r="H2555" i="27"/>
  <c r="E2555" i="27"/>
  <c r="E2559" i="27"/>
  <c r="N2568" i="27"/>
  <c r="H2569" i="27"/>
  <c r="K2569" i="27"/>
  <c r="U2569" i="27"/>
  <c r="V2569" i="27" s="1"/>
  <c r="W2569" i="27" s="1"/>
  <c r="H2572" i="27"/>
  <c r="E2572" i="27"/>
  <c r="E2576" i="27"/>
  <c r="N2586" i="27"/>
  <c r="H2587" i="27"/>
  <c r="K2587" i="27"/>
  <c r="U2587" i="27"/>
  <c r="V2587" i="27" s="1"/>
  <c r="W2587" i="27" s="1"/>
  <c r="H2589" i="27"/>
  <c r="E2589" i="27"/>
  <c r="E2593" i="27"/>
  <c r="N2602" i="27"/>
  <c r="H2603" i="27"/>
  <c r="K2603" i="27"/>
  <c r="U2603" i="27"/>
  <c r="V2603" i="27" s="1"/>
  <c r="W2603" i="27" s="1"/>
  <c r="H2605" i="27"/>
  <c r="E2605" i="27"/>
  <c r="K2635" i="27"/>
  <c r="E2635" i="27"/>
  <c r="N2656" i="27"/>
  <c r="E2684" i="27"/>
  <c r="U2688" i="27"/>
  <c r="V2688" i="27" s="1"/>
  <c r="W2688" i="27" s="1"/>
  <c r="H2688" i="27"/>
  <c r="N2699" i="27"/>
  <c r="H2699" i="27"/>
  <c r="N2701" i="27"/>
  <c r="K2702" i="27"/>
  <c r="U2703" i="27"/>
  <c r="V2703" i="27" s="1"/>
  <c r="W2703" i="27" s="1"/>
  <c r="N2703" i="27"/>
  <c r="H2703" i="27"/>
  <c r="K2728" i="27"/>
  <c r="U2728" i="27"/>
  <c r="V2728" i="27" s="1"/>
  <c r="W2728" i="27" s="1"/>
  <c r="U2736" i="27"/>
  <c r="V2736" i="27" s="1"/>
  <c r="W2736" i="27" s="1"/>
  <c r="N2736" i="27"/>
  <c r="N2757" i="27"/>
  <c r="K2762" i="27"/>
  <c r="E2762" i="27"/>
  <c r="E2777" i="27"/>
  <c r="N2830" i="27"/>
  <c r="K2832" i="27"/>
  <c r="N2835" i="27"/>
  <c r="H2840" i="27"/>
  <c r="U2840" i="27"/>
  <c r="V2840" i="27" s="1"/>
  <c r="W2840" i="27" s="1"/>
  <c r="E2840" i="27"/>
  <c r="K2863" i="27"/>
  <c r="N2863" i="27"/>
  <c r="E2863" i="27"/>
  <c r="U3091" i="27"/>
  <c r="V3091" i="27" s="1"/>
  <c r="W3091" i="27" s="1"/>
  <c r="N3160" i="27"/>
  <c r="H3160" i="27"/>
  <c r="U3160" i="27"/>
  <c r="V3160" i="27" s="1"/>
  <c r="W3160" i="27" s="1"/>
  <c r="E3160" i="27"/>
  <c r="K3160" i="27"/>
  <c r="H3226" i="27"/>
  <c r="K3226" i="27"/>
  <c r="E3226" i="27"/>
  <c r="N3226" i="27"/>
  <c r="E3227" i="27"/>
  <c r="H3227" i="27"/>
  <c r="K3227" i="27"/>
  <c r="K3353" i="27"/>
  <c r="H3353" i="27"/>
  <c r="U3353" i="27"/>
  <c r="V3353" i="27" s="1"/>
  <c r="W3353" i="27" s="1"/>
  <c r="E3353" i="27"/>
  <c r="U3371" i="27"/>
  <c r="V3371" i="27" s="1"/>
  <c r="W3371" i="27" s="1"/>
  <c r="H3371" i="27"/>
  <c r="N3371" i="27"/>
  <c r="K3371" i="27"/>
  <c r="E3371" i="27"/>
  <c r="H2521" i="27"/>
  <c r="N2522" i="27"/>
  <c r="H2529" i="27"/>
  <c r="N2530" i="27"/>
  <c r="H2538" i="27"/>
  <c r="N2539" i="27"/>
  <c r="H2546" i="27"/>
  <c r="N2547" i="27"/>
  <c r="H2554" i="27"/>
  <c r="N2555" i="27"/>
  <c r="H2562" i="27"/>
  <c r="N2563" i="27"/>
  <c r="H2571" i="27"/>
  <c r="N2572" i="27"/>
  <c r="H2580" i="27"/>
  <c r="N2581" i="27"/>
  <c r="H2588" i="27"/>
  <c r="N2589" i="27"/>
  <c r="H2596" i="27"/>
  <c r="N2597" i="27"/>
  <c r="H2604" i="27"/>
  <c r="N2605" i="27"/>
  <c r="K2631" i="27"/>
  <c r="N2635" i="27"/>
  <c r="H2665" i="27"/>
  <c r="K2669" i="27"/>
  <c r="U2676" i="27"/>
  <c r="V2676" i="27" s="1"/>
  <c r="W2676" i="27" s="1"/>
  <c r="H2676" i="27"/>
  <c r="K2678" i="27"/>
  <c r="K2691" i="27"/>
  <c r="U2718" i="27"/>
  <c r="V2718" i="27" s="1"/>
  <c r="W2718" i="27" s="1"/>
  <c r="H2718" i="27"/>
  <c r="N2734" i="27"/>
  <c r="N2743" i="27"/>
  <c r="K2749" i="27"/>
  <c r="K2753" i="27"/>
  <c r="N2762" i="27"/>
  <c r="K2768" i="27"/>
  <c r="N2790" i="27"/>
  <c r="K2792" i="27"/>
  <c r="H2806" i="27"/>
  <c r="U2806" i="27"/>
  <c r="V2806" i="27" s="1"/>
  <c r="W2806" i="27" s="1"/>
  <c r="E2806" i="27"/>
  <c r="N2808" i="27"/>
  <c r="H2838" i="27"/>
  <c r="U2838" i="27"/>
  <c r="V2838" i="27" s="1"/>
  <c r="W2838" i="27" s="1"/>
  <c r="E2838" i="27"/>
  <c r="N2840" i="27"/>
  <c r="N2859" i="27"/>
  <c r="H2892" i="27"/>
  <c r="K2896" i="27"/>
  <c r="H2896" i="27"/>
  <c r="N2916" i="27"/>
  <c r="K2916" i="27"/>
  <c r="E2916" i="27"/>
  <c r="N2933" i="27"/>
  <c r="K2933" i="27"/>
  <c r="E2933" i="27"/>
  <c r="N2936" i="27"/>
  <c r="K2948" i="27"/>
  <c r="U2948" i="27"/>
  <c r="V2948" i="27" s="1"/>
  <c r="W2948" i="27" s="1"/>
  <c r="E2948" i="27"/>
  <c r="R2961" i="27"/>
  <c r="N3009" i="27"/>
  <c r="K3018" i="27"/>
  <c r="U3018" i="27"/>
  <c r="V3018" i="27" s="1"/>
  <c r="W3018" i="27" s="1"/>
  <c r="H3018" i="27"/>
  <c r="E3018" i="27"/>
  <c r="U3021" i="27"/>
  <c r="V3021" i="27" s="1"/>
  <c r="W3021" i="27" s="1"/>
  <c r="H3021" i="27"/>
  <c r="N3021" i="27"/>
  <c r="K3021" i="27"/>
  <c r="E3021" i="27"/>
  <c r="K3032" i="27"/>
  <c r="U3032" i="27"/>
  <c r="V3032" i="27" s="1"/>
  <c r="W3032" i="27" s="1"/>
  <c r="E3032" i="27"/>
  <c r="N3043" i="27"/>
  <c r="K3064" i="27"/>
  <c r="U3064" i="27"/>
  <c r="V3064" i="27" s="1"/>
  <c r="W3064" i="27" s="1"/>
  <c r="E3064" i="27"/>
  <c r="U3082" i="27"/>
  <c r="V3082" i="27" s="1"/>
  <c r="W3082" i="27" s="1"/>
  <c r="H3082" i="27"/>
  <c r="K3082" i="27"/>
  <c r="N3082" i="27"/>
  <c r="H3086" i="27"/>
  <c r="U3086" i="27"/>
  <c r="V3086" i="27" s="1"/>
  <c r="W3086" i="27" s="1"/>
  <c r="K3086" i="27"/>
  <c r="E3086" i="27"/>
  <c r="U3136" i="27"/>
  <c r="V3136" i="27" s="1"/>
  <c r="W3136" i="27" s="1"/>
  <c r="H3136" i="27"/>
  <c r="K3136" i="27"/>
  <c r="K3137" i="27"/>
  <c r="H3137" i="27"/>
  <c r="U3137" i="27"/>
  <c r="V3137" i="27" s="1"/>
  <c r="W3137" i="27" s="1"/>
  <c r="E3137" i="27"/>
  <c r="H3156" i="27"/>
  <c r="U3156" i="27"/>
  <c r="V3156" i="27" s="1"/>
  <c r="W3156" i="27" s="1"/>
  <c r="E3156" i="27"/>
  <c r="K3156" i="27"/>
  <c r="K3158" i="27"/>
  <c r="U3158" i="27"/>
  <c r="V3158" i="27" s="1"/>
  <c r="W3158" i="27" s="1"/>
  <c r="E3158" i="27"/>
  <c r="N3271" i="27"/>
  <c r="U3283" i="27"/>
  <c r="V3283" i="27" s="1"/>
  <c r="W3283" i="27" s="1"/>
  <c r="H3283" i="27"/>
  <c r="N3283" i="27"/>
  <c r="E3283" i="27"/>
  <c r="K3291" i="27"/>
  <c r="U3291" i="27"/>
  <c r="V3291" i="27" s="1"/>
  <c r="W3291" i="27" s="1"/>
  <c r="E3291" i="27"/>
  <c r="N3353" i="27"/>
  <c r="U3446" i="27"/>
  <c r="V3446" i="27" s="1"/>
  <c r="W3446" i="27" s="1"/>
  <c r="H3446" i="27"/>
  <c r="K3446" i="27"/>
  <c r="E3446" i="27"/>
  <c r="H2524" i="27"/>
  <c r="H2532" i="27"/>
  <c r="H2541" i="27"/>
  <c r="H2549" i="27"/>
  <c r="H2557" i="27"/>
  <c r="H2565" i="27"/>
  <c r="H2574" i="27"/>
  <c r="H2583" i="27"/>
  <c r="H2591" i="27"/>
  <c r="H2599" i="27"/>
  <c r="K2611" i="27"/>
  <c r="K2644" i="27"/>
  <c r="U2725" i="27"/>
  <c r="V2725" i="27" s="1"/>
  <c r="W2725" i="27" s="1"/>
  <c r="H2725" i="27"/>
  <c r="U2735" i="27"/>
  <c r="V2735" i="27" s="1"/>
  <c r="W2735" i="27" s="1"/>
  <c r="H2735" i="27"/>
  <c r="H2800" i="27"/>
  <c r="U2800" i="27"/>
  <c r="V2800" i="27" s="1"/>
  <c r="W2800" i="27" s="1"/>
  <c r="E2800" i="27"/>
  <c r="H2810" i="27"/>
  <c r="U2810" i="27"/>
  <c r="V2810" i="27" s="1"/>
  <c r="W2810" i="27" s="1"/>
  <c r="H2832" i="27"/>
  <c r="U2832" i="27"/>
  <c r="V2832" i="27" s="1"/>
  <c r="W2832" i="27" s="1"/>
  <c r="E2832" i="27"/>
  <c r="H2842" i="27"/>
  <c r="U2842" i="27"/>
  <c r="V2842" i="27" s="1"/>
  <c r="W2842" i="27" s="1"/>
  <c r="K2865" i="27"/>
  <c r="H2865" i="27"/>
  <c r="K2876" i="27"/>
  <c r="U2876" i="27"/>
  <c r="V2876" i="27" s="1"/>
  <c r="W2876" i="27" s="1"/>
  <c r="K2889" i="27"/>
  <c r="H2889" i="27"/>
  <c r="E2889" i="27"/>
  <c r="N2900" i="27"/>
  <c r="K2900" i="27"/>
  <c r="E2900" i="27"/>
  <c r="K2924" i="27"/>
  <c r="U2924" i="27"/>
  <c r="V2924" i="27" s="1"/>
  <c r="W2924" i="27" s="1"/>
  <c r="E2924" i="27"/>
  <c r="K3070" i="27"/>
  <c r="U3070" i="27"/>
  <c r="V3070" i="27" s="1"/>
  <c r="W3070" i="27" s="1"/>
  <c r="E3070" i="27"/>
  <c r="N3097" i="27"/>
  <c r="K3097" i="27"/>
  <c r="U3097" i="27"/>
  <c r="V3097" i="27" s="1"/>
  <c r="W3097" i="27" s="1"/>
  <c r="E3097" i="27"/>
  <c r="H3097" i="27"/>
  <c r="K3111" i="27"/>
  <c r="U3111" i="27"/>
  <c r="V3111" i="27" s="1"/>
  <c r="W3111" i="27" s="1"/>
  <c r="E3111" i="27"/>
  <c r="U3116" i="27"/>
  <c r="V3116" i="27" s="1"/>
  <c r="W3116" i="27" s="1"/>
  <c r="H3116" i="27"/>
  <c r="K3116" i="27"/>
  <c r="K3117" i="27"/>
  <c r="H3117" i="27"/>
  <c r="K3318" i="27"/>
  <c r="U3318" i="27"/>
  <c r="V3318" i="27" s="1"/>
  <c r="W3318" i="27" s="1"/>
  <c r="H3318" i="27"/>
  <c r="N3318" i="27"/>
  <c r="E3318" i="27"/>
  <c r="K3408" i="27"/>
  <c r="N2518" i="27"/>
  <c r="U2524" i="27"/>
  <c r="V2524" i="27" s="1"/>
  <c r="W2524" i="27" s="1"/>
  <c r="N2526" i="27"/>
  <c r="U2532" i="27"/>
  <c r="V2532" i="27" s="1"/>
  <c r="W2532" i="27" s="1"/>
  <c r="N2534" i="27"/>
  <c r="U2541" i="27"/>
  <c r="V2541" i="27" s="1"/>
  <c r="W2541" i="27" s="1"/>
  <c r="N2543" i="27"/>
  <c r="U2549" i="27"/>
  <c r="V2549" i="27" s="1"/>
  <c r="W2549" i="27" s="1"/>
  <c r="N2551" i="27"/>
  <c r="U2557" i="27"/>
  <c r="V2557" i="27" s="1"/>
  <c r="W2557" i="27" s="1"/>
  <c r="N2559" i="27"/>
  <c r="U2565" i="27"/>
  <c r="V2565" i="27" s="1"/>
  <c r="W2565" i="27" s="1"/>
  <c r="N2567" i="27"/>
  <c r="U2574" i="27"/>
  <c r="V2574" i="27" s="1"/>
  <c r="W2574" i="27" s="1"/>
  <c r="N2576" i="27"/>
  <c r="U2583" i="27"/>
  <c r="V2583" i="27" s="1"/>
  <c r="W2583" i="27" s="1"/>
  <c r="N2585" i="27"/>
  <c r="U2591" i="27"/>
  <c r="V2591" i="27" s="1"/>
  <c r="W2591" i="27" s="1"/>
  <c r="N2593" i="27"/>
  <c r="U2599" i="27"/>
  <c r="V2599" i="27" s="1"/>
  <c r="W2599" i="27" s="1"/>
  <c r="N2601" i="27"/>
  <c r="U2611" i="27"/>
  <c r="V2611" i="27" s="1"/>
  <c r="W2611" i="27" s="1"/>
  <c r="K2615" i="27"/>
  <c r="N2619" i="27"/>
  <c r="U2644" i="27"/>
  <c r="V2644" i="27" s="1"/>
  <c r="W2644" i="27" s="1"/>
  <c r="K2648" i="27"/>
  <c r="N2652" i="27"/>
  <c r="N2660" i="27"/>
  <c r="E2669" i="27"/>
  <c r="E2678" i="27"/>
  <c r="U2692" i="27"/>
  <c r="V2692" i="27" s="1"/>
  <c r="W2692" i="27" s="1"/>
  <c r="H2692" i="27"/>
  <c r="U2697" i="27"/>
  <c r="V2697" i="27" s="1"/>
  <c r="W2697" i="27" s="1"/>
  <c r="U2702" i="27"/>
  <c r="V2702" i="27" s="1"/>
  <c r="W2702" i="27" s="1"/>
  <c r="H2702" i="27"/>
  <c r="N2727" i="27"/>
  <c r="E2735" i="27"/>
  <c r="N2750" i="27"/>
  <c r="N2774" i="27"/>
  <c r="N2779" i="27"/>
  <c r="E2792" i="27"/>
  <c r="E2810" i="27"/>
  <c r="H2822" i="27"/>
  <c r="U2822" i="27"/>
  <c r="V2822" i="27" s="1"/>
  <c r="W2822" i="27" s="1"/>
  <c r="E2822" i="27"/>
  <c r="N2824" i="27"/>
  <c r="E2842" i="27"/>
  <c r="K2846" i="27"/>
  <c r="H2846" i="27"/>
  <c r="H2851" i="27"/>
  <c r="U2851" i="27"/>
  <c r="V2851" i="27" s="1"/>
  <c r="W2851" i="27" s="1"/>
  <c r="E2851" i="27"/>
  <c r="U2865" i="27"/>
  <c r="V2865" i="27" s="1"/>
  <c r="W2865" i="27" s="1"/>
  <c r="H2875" i="27"/>
  <c r="H2877" i="27"/>
  <c r="U2877" i="27"/>
  <c r="V2877" i="27" s="1"/>
  <c r="W2877" i="27" s="1"/>
  <c r="N2886" i="27"/>
  <c r="U2886" i="27"/>
  <c r="V2886" i="27" s="1"/>
  <c r="W2886" i="27" s="1"/>
  <c r="E2886" i="27"/>
  <c r="K2886" i="27"/>
  <c r="U2889" i="27"/>
  <c r="V2889" i="27" s="1"/>
  <c r="W2889" i="27" s="1"/>
  <c r="U2900" i="27"/>
  <c r="V2900" i="27" s="1"/>
  <c r="W2900" i="27" s="1"/>
  <c r="N2902" i="27"/>
  <c r="H2902" i="27"/>
  <c r="K2940" i="27"/>
  <c r="H2940" i="27"/>
  <c r="U2940" i="27"/>
  <c r="V2940" i="27" s="1"/>
  <c r="W2940" i="27" s="1"/>
  <c r="U2944" i="27"/>
  <c r="V2944" i="27" s="1"/>
  <c r="W2944" i="27" s="1"/>
  <c r="H2944" i="27"/>
  <c r="E2944" i="27"/>
  <c r="N2997" i="27"/>
  <c r="N3058" i="27"/>
  <c r="K3072" i="27"/>
  <c r="H3072" i="27"/>
  <c r="U3072" i="27"/>
  <c r="V3072" i="27" s="1"/>
  <c r="W3072" i="27" s="1"/>
  <c r="E3072" i="27"/>
  <c r="N3072" i="27"/>
  <c r="N3102" i="27"/>
  <c r="K2613" i="27"/>
  <c r="K2621" i="27"/>
  <c r="K2629" i="27"/>
  <c r="K2638" i="27"/>
  <c r="K2646" i="27"/>
  <c r="K2654" i="27"/>
  <c r="K2664" i="27"/>
  <c r="U2674" i="27"/>
  <c r="V2674" i="27" s="1"/>
  <c r="W2674" i="27" s="1"/>
  <c r="K2674" i="27"/>
  <c r="H2677" i="27"/>
  <c r="K2696" i="27"/>
  <c r="U2706" i="27"/>
  <c r="V2706" i="27" s="1"/>
  <c r="W2706" i="27" s="1"/>
  <c r="K2706" i="27"/>
  <c r="H2709" i="27"/>
  <c r="K2729" i="27"/>
  <c r="U2739" i="27"/>
  <c r="V2739" i="27" s="1"/>
  <c r="W2739" i="27" s="1"/>
  <c r="K2739" i="27"/>
  <c r="H2742" i="27"/>
  <c r="K2761" i="27"/>
  <c r="U2771" i="27"/>
  <c r="V2771" i="27" s="1"/>
  <c r="W2771" i="27" s="1"/>
  <c r="K2771" i="27"/>
  <c r="H2775" i="27"/>
  <c r="K2794" i="27"/>
  <c r="H2796" i="27"/>
  <c r="U2796" i="27"/>
  <c r="V2796" i="27" s="1"/>
  <c r="W2796" i="27" s="1"/>
  <c r="E2796" i="27"/>
  <c r="H2812" i="27"/>
  <c r="U2812" i="27"/>
  <c r="V2812" i="27" s="1"/>
  <c r="W2812" i="27" s="1"/>
  <c r="E2812" i="27"/>
  <c r="H2828" i="27"/>
  <c r="U2828" i="27"/>
  <c r="V2828" i="27" s="1"/>
  <c r="W2828" i="27" s="1"/>
  <c r="E2828" i="27"/>
  <c r="U2845" i="27"/>
  <c r="V2845" i="27" s="1"/>
  <c r="W2845" i="27" s="1"/>
  <c r="E2845" i="27"/>
  <c r="K2855" i="27"/>
  <c r="N2862" i="27"/>
  <c r="K2879" i="27"/>
  <c r="H2879" i="27"/>
  <c r="E2879" i="27"/>
  <c r="H2887" i="27"/>
  <c r="U2887" i="27"/>
  <c r="V2887" i="27" s="1"/>
  <c r="W2887" i="27" s="1"/>
  <c r="H2894" i="27"/>
  <c r="U2894" i="27"/>
  <c r="V2894" i="27" s="1"/>
  <c r="W2894" i="27" s="1"/>
  <c r="K2894" i="27"/>
  <c r="H2908" i="27"/>
  <c r="N2911" i="27"/>
  <c r="N2918" i="27"/>
  <c r="H2918" i="27"/>
  <c r="N2928" i="27"/>
  <c r="K2942" i="27"/>
  <c r="U2942" i="27"/>
  <c r="V2942" i="27" s="1"/>
  <c r="W2942" i="27" s="1"/>
  <c r="U2959" i="27"/>
  <c r="V2959" i="27" s="1"/>
  <c r="W2959" i="27" s="1"/>
  <c r="H2959" i="27"/>
  <c r="N2960" i="27"/>
  <c r="U2967" i="27"/>
  <c r="V2967" i="27" s="1"/>
  <c r="W2967" i="27" s="1"/>
  <c r="K2967" i="27"/>
  <c r="U2998" i="27"/>
  <c r="V2998" i="27" s="1"/>
  <c r="W2998" i="27" s="1"/>
  <c r="H2998" i="27"/>
  <c r="E2998" i="27"/>
  <c r="N3018" i="27"/>
  <c r="K3080" i="27"/>
  <c r="H3080" i="27"/>
  <c r="U3080" i="27"/>
  <c r="V3080" i="27" s="1"/>
  <c r="W3080" i="27" s="1"/>
  <c r="E3080" i="27"/>
  <c r="H3247" i="27"/>
  <c r="U3247" i="27"/>
  <c r="V3247" i="27" s="1"/>
  <c r="W3247" i="27" s="1"/>
  <c r="E3247" i="27"/>
  <c r="K3247" i="27"/>
  <c r="N3291" i="27"/>
  <c r="U3364" i="27"/>
  <c r="V3364" i="27" s="1"/>
  <c r="W3364" i="27" s="1"/>
  <c r="H3364" i="27"/>
  <c r="E3364" i="27"/>
  <c r="K3364" i="27"/>
  <c r="K3549" i="27"/>
  <c r="H3549" i="27"/>
  <c r="U3549" i="27"/>
  <c r="V3549" i="27" s="1"/>
  <c r="W3549" i="27" s="1"/>
  <c r="E3549" i="27"/>
  <c r="N3549" i="27"/>
  <c r="H3555" i="27"/>
  <c r="U3555" i="27"/>
  <c r="V3555" i="27" s="1"/>
  <c r="W3555" i="27" s="1"/>
  <c r="E3555" i="27"/>
  <c r="K3555" i="27"/>
  <c r="K2921" i="27"/>
  <c r="H2921" i="27"/>
  <c r="K3014" i="27"/>
  <c r="E3014" i="27"/>
  <c r="U3037" i="27"/>
  <c r="V3037" i="27" s="1"/>
  <c r="W3037" i="27" s="1"/>
  <c r="H3037" i="27"/>
  <c r="K3037" i="27"/>
  <c r="E3037" i="27"/>
  <c r="K3046" i="27"/>
  <c r="U3046" i="27"/>
  <c r="V3046" i="27" s="1"/>
  <c r="W3046" i="27" s="1"/>
  <c r="H3046" i="27"/>
  <c r="U3066" i="27"/>
  <c r="V3066" i="27" s="1"/>
  <c r="W3066" i="27" s="1"/>
  <c r="H3066" i="27"/>
  <c r="K3066" i="27"/>
  <c r="E3066" i="27"/>
  <c r="U3373" i="27"/>
  <c r="V3373" i="27" s="1"/>
  <c r="W3373" i="27" s="1"/>
  <c r="H3373" i="27"/>
  <c r="K3373" i="27"/>
  <c r="E3373" i="27"/>
  <c r="K3385" i="27"/>
  <c r="E3385" i="27"/>
  <c r="U3385" i="27"/>
  <c r="V3385" i="27" s="1"/>
  <c r="W3385" i="27" s="1"/>
  <c r="K2609" i="27"/>
  <c r="K2617" i="27"/>
  <c r="K2625" i="27"/>
  <c r="K2633" i="27"/>
  <c r="K2642" i="27"/>
  <c r="K2650" i="27"/>
  <c r="U2658" i="27"/>
  <c r="V2658" i="27" s="1"/>
  <c r="W2658" i="27" s="1"/>
  <c r="K2658" i="27"/>
  <c r="H2661" i="27"/>
  <c r="U2690" i="27"/>
  <c r="V2690" i="27" s="1"/>
  <c r="W2690" i="27" s="1"/>
  <c r="K2690" i="27"/>
  <c r="H2693" i="27"/>
  <c r="U2722" i="27"/>
  <c r="V2722" i="27" s="1"/>
  <c r="W2722" i="27" s="1"/>
  <c r="K2722" i="27"/>
  <c r="H2726" i="27"/>
  <c r="U2755" i="27"/>
  <c r="V2755" i="27" s="1"/>
  <c r="W2755" i="27" s="1"/>
  <c r="K2755" i="27"/>
  <c r="H2758" i="27"/>
  <c r="U2788" i="27"/>
  <c r="V2788" i="27" s="1"/>
  <c r="W2788" i="27" s="1"/>
  <c r="K2788" i="27"/>
  <c r="H2791" i="27"/>
  <c r="H2804" i="27"/>
  <c r="U2804" i="27"/>
  <c r="V2804" i="27" s="1"/>
  <c r="W2804" i="27" s="1"/>
  <c r="E2804" i="27"/>
  <c r="H2820" i="27"/>
  <c r="U2820" i="27"/>
  <c r="V2820" i="27" s="1"/>
  <c r="W2820" i="27" s="1"/>
  <c r="E2820" i="27"/>
  <c r="H2836" i="27"/>
  <c r="U2836" i="27"/>
  <c r="V2836" i="27" s="1"/>
  <c r="W2836" i="27" s="1"/>
  <c r="E2836" i="27"/>
  <c r="K2848" i="27"/>
  <c r="H2848" i="27"/>
  <c r="H2868" i="27"/>
  <c r="U2868" i="27"/>
  <c r="V2868" i="27" s="1"/>
  <c r="W2868" i="27" s="1"/>
  <c r="K2914" i="27"/>
  <c r="U2914" i="27"/>
  <c r="V2914" i="27" s="1"/>
  <c r="W2914" i="27" s="1"/>
  <c r="E2914" i="27"/>
  <c r="U2921" i="27"/>
  <c r="V2921" i="27" s="1"/>
  <c r="W2921" i="27" s="1"/>
  <c r="K2938" i="27"/>
  <c r="H2938" i="27"/>
  <c r="K2987" i="27"/>
  <c r="U2987" i="27"/>
  <c r="V2987" i="27" s="1"/>
  <c r="W2987" i="27" s="1"/>
  <c r="E2987" i="27"/>
  <c r="U2989" i="27"/>
  <c r="V2989" i="27" s="1"/>
  <c r="W2989" i="27" s="1"/>
  <c r="H2989" i="27"/>
  <c r="K2989" i="27"/>
  <c r="E2989" i="27"/>
  <c r="H3015" i="27"/>
  <c r="U3015" i="27"/>
  <c r="V3015" i="27" s="1"/>
  <c r="W3015" i="27" s="1"/>
  <c r="E3015" i="27"/>
  <c r="U3016" i="27"/>
  <c r="V3016" i="27" s="1"/>
  <c r="W3016" i="27" s="1"/>
  <c r="E3016" i="27"/>
  <c r="U3024" i="27"/>
  <c r="V3024" i="27" s="1"/>
  <c r="W3024" i="27" s="1"/>
  <c r="H3024" i="27"/>
  <c r="K3024" i="27"/>
  <c r="E3024" i="27"/>
  <c r="N3048" i="27"/>
  <c r="K3054" i="27"/>
  <c r="U3054" i="27"/>
  <c r="V3054" i="27" s="1"/>
  <c r="W3054" i="27" s="1"/>
  <c r="H3054" i="27"/>
  <c r="N3054" i="27"/>
  <c r="U3074" i="27"/>
  <c r="V3074" i="27" s="1"/>
  <c r="W3074" i="27" s="1"/>
  <c r="H3074" i="27"/>
  <c r="K3074" i="27"/>
  <c r="E3074" i="27"/>
  <c r="E3085" i="27"/>
  <c r="K3104" i="27"/>
  <c r="E3104" i="27"/>
  <c r="N3112" i="27"/>
  <c r="N3114" i="27"/>
  <c r="H3230" i="27"/>
  <c r="K3230" i="27"/>
  <c r="N3230" i="27"/>
  <c r="E3230" i="27"/>
  <c r="N3232" i="27"/>
  <c r="H3279" i="27"/>
  <c r="K3279" i="27"/>
  <c r="E3279" i="27"/>
  <c r="U3279" i="27"/>
  <c r="V3279" i="27" s="1"/>
  <c r="W3279" i="27" s="1"/>
  <c r="U3372" i="27"/>
  <c r="V3372" i="27" s="1"/>
  <c r="W3372" i="27" s="1"/>
  <c r="H3372" i="27"/>
  <c r="E3372" i="27"/>
  <c r="K3372" i="27"/>
  <c r="U3384" i="27"/>
  <c r="V3384" i="27" s="1"/>
  <c r="W3384" i="27" s="1"/>
  <c r="H3384" i="27"/>
  <c r="E3384" i="27"/>
  <c r="K3384" i="27"/>
  <c r="N2909" i="27"/>
  <c r="H2919" i="27"/>
  <c r="U2919" i="27"/>
  <c r="V2919" i="27" s="1"/>
  <c r="W2919" i="27" s="1"/>
  <c r="H2925" i="27"/>
  <c r="N2987" i="27"/>
  <c r="K2994" i="27"/>
  <c r="H2994" i="27"/>
  <c r="N3015" i="27"/>
  <c r="K3019" i="27"/>
  <c r="K3034" i="27"/>
  <c r="U3034" i="27"/>
  <c r="V3034" i="27" s="1"/>
  <c r="W3034" i="27" s="1"/>
  <c r="H3034" i="27"/>
  <c r="N3035" i="27"/>
  <c r="N3038" i="27"/>
  <c r="K3038" i="27"/>
  <c r="N3066" i="27"/>
  <c r="K3085" i="27"/>
  <c r="K3088" i="27"/>
  <c r="H3088" i="27"/>
  <c r="U3088" i="27"/>
  <c r="V3088" i="27" s="1"/>
  <c r="W3088" i="27" s="1"/>
  <c r="E3088" i="27"/>
  <c r="H3099" i="27"/>
  <c r="K3151" i="27"/>
  <c r="H3151" i="27"/>
  <c r="K3159" i="27"/>
  <c r="H3159" i="27"/>
  <c r="U3159" i="27"/>
  <c r="V3159" i="27" s="1"/>
  <c r="W3159" i="27" s="1"/>
  <c r="E3159" i="27"/>
  <c r="U3161" i="27"/>
  <c r="V3161" i="27" s="1"/>
  <c r="W3161" i="27" s="1"/>
  <c r="H3161" i="27"/>
  <c r="N3272" i="27"/>
  <c r="N3335" i="27"/>
  <c r="H3335" i="27"/>
  <c r="U3335" i="27"/>
  <c r="V3335" i="27" s="1"/>
  <c r="W3335" i="27" s="1"/>
  <c r="E3335" i="27"/>
  <c r="K3335" i="27"/>
  <c r="U3351" i="27"/>
  <c r="V3351" i="27" s="1"/>
  <c r="W3351" i="27" s="1"/>
  <c r="H3351" i="27"/>
  <c r="K3351" i="27"/>
  <c r="N3351" i="27"/>
  <c r="U3448" i="27"/>
  <c r="V3448" i="27" s="1"/>
  <c r="W3448" i="27" s="1"/>
  <c r="H3448" i="27"/>
  <c r="N3448" i="27"/>
  <c r="E3448" i="27"/>
  <c r="K3448" i="27"/>
  <c r="U3139" i="27"/>
  <c r="V3139" i="27" s="1"/>
  <c r="W3139" i="27" s="1"/>
  <c r="H3139" i="27"/>
  <c r="K3139" i="27"/>
  <c r="K3149" i="27"/>
  <c r="H3149" i="27"/>
  <c r="K3264" i="27"/>
  <c r="H3264" i="27"/>
  <c r="E3264" i="27"/>
  <c r="K3284" i="27"/>
  <c r="U3284" i="27"/>
  <c r="V3284" i="27" s="1"/>
  <c r="W3284" i="27" s="1"/>
  <c r="E3284" i="27"/>
  <c r="H3284" i="27"/>
  <c r="K3321" i="27"/>
  <c r="H3321" i="27"/>
  <c r="N2989" i="27"/>
  <c r="E3019" i="27"/>
  <c r="N3024" i="27"/>
  <c r="E3051" i="27"/>
  <c r="U3057" i="27"/>
  <c r="V3057" i="27" s="1"/>
  <c r="W3057" i="27" s="1"/>
  <c r="H3057" i="27"/>
  <c r="N3064" i="27"/>
  <c r="N3078" i="27"/>
  <c r="N3086" i="27"/>
  <c r="U3090" i="27"/>
  <c r="V3090" i="27" s="1"/>
  <c r="W3090" i="27" s="1"/>
  <c r="H3090" i="27"/>
  <c r="E3090" i="27"/>
  <c r="N3091" i="27"/>
  <c r="H3094" i="27"/>
  <c r="U3094" i="27"/>
  <c r="V3094" i="27" s="1"/>
  <c r="W3094" i="27" s="1"/>
  <c r="E3094" i="27"/>
  <c r="N3095" i="27"/>
  <c r="K3134" i="27"/>
  <c r="H3134" i="27"/>
  <c r="U3134" i="27"/>
  <c r="V3134" i="27" s="1"/>
  <c r="W3134" i="27" s="1"/>
  <c r="U3144" i="27"/>
  <c r="V3144" i="27" s="1"/>
  <c r="W3144" i="27" s="1"/>
  <c r="H3144" i="27"/>
  <c r="K3144" i="27"/>
  <c r="N3156" i="27"/>
  <c r="K3225" i="27"/>
  <c r="H3225" i="27"/>
  <c r="N3257" i="27"/>
  <c r="N3319" i="27"/>
  <c r="H3319" i="27"/>
  <c r="U3319" i="27"/>
  <c r="V3319" i="27" s="1"/>
  <c r="W3319" i="27" s="1"/>
  <c r="E3319" i="27"/>
  <c r="K3319" i="27"/>
  <c r="K3025" i="27"/>
  <c r="U3039" i="27"/>
  <c r="V3039" i="27" s="1"/>
  <c r="W3039" i="27" s="1"/>
  <c r="H3039" i="27"/>
  <c r="N3055" i="27"/>
  <c r="K3096" i="27"/>
  <c r="U3098" i="27"/>
  <c r="V3098" i="27" s="1"/>
  <c r="W3098" i="27" s="1"/>
  <c r="H3098" i="27"/>
  <c r="K3142" i="27"/>
  <c r="U3153" i="27"/>
  <c r="V3153" i="27" s="1"/>
  <c r="W3153" i="27" s="1"/>
  <c r="H3153" i="27"/>
  <c r="K3153" i="27"/>
  <c r="N3157" i="27"/>
  <c r="H3192" i="27"/>
  <c r="U3192" i="27"/>
  <c r="V3192" i="27" s="1"/>
  <c r="W3192" i="27" s="1"/>
  <c r="E3192" i="27"/>
  <c r="N3220" i="27"/>
  <c r="K3223" i="27"/>
  <c r="H3223" i="27"/>
  <c r="K3239" i="27"/>
  <c r="U3239" i="27"/>
  <c r="V3239" i="27" s="1"/>
  <c r="W3239" i="27" s="1"/>
  <c r="E3239" i="27"/>
  <c r="N3249" i="27"/>
  <c r="U3289" i="27"/>
  <c r="V3289" i="27" s="1"/>
  <c r="W3289" i="27" s="1"/>
  <c r="H3289" i="27"/>
  <c r="K3289" i="27"/>
  <c r="N3308" i="27"/>
  <c r="U3325" i="27"/>
  <c r="V3325" i="27" s="1"/>
  <c r="W3325" i="27" s="1"/>
  <c r="H3325" i="27"/>
  <c r="E3325" i="27"/>
  <c r="U3327" i="27"/>
  <c r="V3327" i="27" s="1"/>
  <c r="W3327" i="27" s="1"/>
  <c r="H3327" i="27"/>
  <c r="N3327" i="27"/>
  <c r="K3327" i="27"/>
  <c r="U3328" i="27"/>
  <c r="V3328" i="27" s="1"/>
  <c r="W3328" i="27" s="1"/>
  <c r="H3328" i="27"/>
  <c r="E3328" i="27"/>
  <c r="K3328" i="27"/>
  <c r="U3388" i="27"/>
  <c r="V3388" i="27" s="1"/>
  <c r="W3388" i="27" s="1"/>
  <c r="H3388" i="27"/>
  <c r="K3388" i="27"/>
  <c r="E3388" i="27"/>
  <c r="U3389" i="27"/>
  <c r="V3389" i="27" s="1"/>
  <c r="W3389" i="27" s="1"/>
  <c r="H3389" i="27"/>
  <c r="E3389" i="27"/>
  <c r="K3389" i="27"/>
  <c r="U2875" i="27"/>
  <c r="V2875" i="27" s="1"/>
  <c r="W2875" i="27" s="1"/>
  <c r="U2884" i="27"/>
  <c r="V2884" i="27" s="1"/>
  <c r="W2884" i="27" s="1"/>
  <c r="U2892" i="27"/>
  <c r="V2892" i="27" s="1"/>
  <c r="W2892" i="27" s="1"/>
  <c r="U2901" i="27"/>
  <c r="V2901" i="27" s="1"/>
  <c r="W2901" i="27" s="1"/>
  <c r="U2908" i="27"/>
  <c r="V2908" i="27" s="1"/>
  <c r="W2908" i="27" s="1"/>
  <c r="U2917" i="27"/>
  <c r="V2917" i="27" s="1"/>
  <c r="W2917" i="27" s="1"/>
  <c r="U2925" i="27"/>
  <c r="V2925" i="27" s="1"/>
  <c r="W2925" i="27" s="1"/>
  <c r="U2934" i="27"/>
  <c r="V2934" i="27" s="1"/>
  <c r="W2934" i="27" s="1"/>
  <c r="U2941" i="27"/>
  <c r="V2941" i="27" s="1"/>
  <c r="W2941" i="27" s="1"/>
  <c r="G2961" i="27"/>
  <c r="U2993" i="27"/>
  <c r="V2993" i="27" s="1"/>
  <c r="W2993" i="27" s="1"/>
  <c r="H2993" i="27"/>
  <c r="N3022" i="27"/>
  <c r="U3113" i="27"/>
  <c r="V3113" i="27" s="1"/>
  <c r="W3113" i="27" s="1"/>
  <c r="H3113" i="27"/>
  <c r="N3143" i="27"/>
  <c r="U3145" i="27"/>
  <c r="V3145" i="27" s="1"/>
  <c r="W3145" i="27" s="1"/>
  <c r="K3145" i="27"/>
  <c r="N3229" i="27"/>
  <c r="N3244" i="27"/>
  <c r="U3251" i="27"/>
  <c r="V3251" i="27" s="1"/>
  <c r="W3251" i="27" s="1"/>
  <c r="H3251" i="27"/>
  <c r="N3251" i="27"/>
  <c r="E3251" i="27"/>
  <c r="N3276" i="27"/>
  <c r="N3302" i="27"/>
  <c r="E3308" i="27"/>
  <c r="K3308" i="27"/>
  <c r="U3308" i="27"/>
  <c r="V3308" i="27" s="1"/>
  <c r="W3308" i="27" s="1"/>
  <c r="U3329" i="27"/>
  <c r="V3329" i="27" s="1"/>
  <c r="W3329" i="27" s="1"/>
  <c r="H3329" i="27"/>
  <c r="E3329" i="27"/>
  <c r="K3329" i="27"/>
  <c r="U3419" i="27"/>
  <c r="V3419" i="27" s="1"/>
  <c r="W3419" i="27" s="1"/>
  <c r="H3419" i="27"/>
  <c r="K3419" i="27"/>
  <c r="N3419" i="27"/>
  <c r="K3429" i="27"/>
  <c r="H3429" i="27"/>
  <c r="E3429" i="27"/>
  <c r="H2947" i="27"/>
  <c r="N2948" i="27"/>
  <c r="H2949" i="27"/>
  <c r="U2965" i="27"/>
  <c r="V2965" i="27" s="1"/>
  <c r="W2965" i="27" s="1"/>
  <c r="H2986" i="27"/>
  <c r="H2988" i="27"/>
  <c r="H2990" i="27"/>
  <c r="H3000" i="27"/>
  <c r="N3001" i="27"/>
  <c r="H3002" i="27"/>
  <c r="K3047" i="27"/>
  <c r="N3062" i="27"/>
  <c r="N3158" i="27"/>
  <c r="N3164" i="27"/>
  <c r="K3242" i="27"/>
  <c r="H3242" i="27"/>
  <c r="N3242" i="27"/>
  <c r="U3244" i="27"/>
  <c r="V3244" i="27" s="1"/>
  <c r="W3244" i="27" s="1"/>
  <c r="H3244" i="27"/>
  <c r="E3244" i="27"/>
  <c r="K3250" i="27"/>
  <c r="U3250" i="27"/>
  <c r="V3250" i="27" s="1"/>
  <c r="W3250" i="27" s="1"/>
  <c r="E3250" i="27"/>
  <c r="H3250" i="27"/>
  <c r="U3267" i="27"/>
  <c r="V3267" i="27" s="1"/>
  <c r="W3267" i="27" s="1"/>
  <c r="H3267" i="27"/>
  <c r="N3267" i="27"/>
  <c r="K3267" i="27"/>
  <c r="U3276" i="27"/>
  <c r="V3276" i="27" s="1"/>
  <c r="W3276" i="27" s="1"/>
  <c r="H3276" i="27"/>
  <c r="K3276" i="27"/>
  <c r="K3294" i="27"/>
  <c r="U3294" i="27"/>
  <c r="V3294" i="27" s="1"/>
  <c r="W3294" i="27" s="1"/>
  <c r="H3294" i="27"/>
  <c r="E3294" i="27"/>
  <c r="K3302" i="27"/>
  <c r="E3302" i="27"/>
  <c r="H3302" i="27"/>
  <c r="N3315" i="27"/>
  <c r="U3349" i="27"/>
  <c r="V3349" i="27" s="1"/>
  <c r="W3349" i="27" s="1"/>
  <c r="H3349" i="27"/>
  <c r="K3349" i="27"/>
  <c r="N3373" i="27"/>
  <c r="K3415" i="27"/>
  <c r="H3415" i="27"/>
  <c r="U3415" i="27"/>
  <c r="V3415" i="27" s="1"/>
  <c r="W3415" i="27" s="1"/>
  <c r="N3415" i="27"/>
  <c r="N3427" i="27"/>
  <c r="H3427" i="27"/>
  <c r="U3427" i="27"/>
  <c r="V3427" i="27" s="1"/>
  <c r="W3427" i="27" s="1"/>
  <c r="E3427" i="27"/>
  <c r="K3427" i="27"/>
  <c r="K3482" i="27"/>
  <c r="U3482" i="27"/>
  <c r="V3482" i="27" s="1"/>
  <c r="W3482" i="27" s="1"/>
  <c r="H3482" i="27"/>
  <c r="E3482" i="27"/>
  <c r="H3224" i="27"/>
  <c r="N3234" i="27"/>
  <c r="N3240" i="27"/>
  <c r="U3255" i="27"/>
  <c r="V3255" i="27" s="1"/>
  <c r="W3255" i="27" s="1"/>
  <c r="E3255" i="27"/>
  <c r="U3259" i="27"/>
  <c r="V3259" i="27" s="1"/>
  <c r="W3259" i="27" s="1"/>
  <c r="H3259" i="27"/>
  <c r="K3259" i="27"/>
  <c r="K3273" i="27"/>
  <c r="N3292" i="27"/>
  <c r="N3295" i="27"/>
  <c r="H3295" i="27"/>
  <c r="U3295" i="27"/>
  <c r="V3295" i="27" s="1"/>
  <c r="W3295" i="27" s="1"/>
  <c r="N3296" i="27"/>
  <c r="K3300" i="27"/>
  <c r="U3300" i="27"/>
  <c r="V3300" i="27" s="1"/>
  <c r="W3300" i="27" s="1"/>
  <c r="H3300" i="27"/>
  <c r="K3309" i="27"/>
  <c r="H3309" i="27"/>
  <c r="U3309" i="27"/>
  <c r="V3309" i="27" s="1"/>
  <c r="W3309" i="27" s="1"/>
  <c r="E3309" i="27"/>
  <c r="N3332" i="27"/>
  <c r="U3379" i="27"/>
  <c r="V3379" i="27" s="1"/>
  <c r="W3379" i="27" s="1"/>
  <c r="H3379" i="27"/>
  <c r="N3379" i="27"/>
  <c r="K3379" i="27"/>
  <c r="U3396" i="27"/>
  <c r="V3396" i="27" s="1"/>
  <c r="W3396" i="27" s="1"/>
  <c r="H3396" i="27"/>
  <c r="E3396" i="27"/>
  <c r="K3396" i="27"/>
  <c r="N3397" i="27"/>
  <c r="H3397" i="27"/>
  <c r="U3397" i="27"/>
  <c r="V3397" i="27" s="1"/>
  <c r="W3397" i="27" s="1"/>
  <c r="N3421" i="27"/>
  <c r="N3435" i="27"/>
  <c r="U3435" i="27"/>
  <c r="V3435" i="27" s="1"/>
  <c r="W3435" i="27" s="1"/>
  <c r="E3435" i="27"/>
  <c r="K3435" i="27"/>
  <c r="N3437" i="27"/>
  <c r="U3462" i="27"/>
  <c r="V3462" i="27" s="1"/>
  <c r="W3462" i="27" s="1"/>
  <c r="H3462" i="27"/>
  <c r="K3462" i="27"/>
  <c r="H3228" i="27"/>
  <c r="H3240" i="27"/>
  <c r="U3240" i="27"/>
  <c r="V3240" i="27" s="1"/>
  <c r="W3240" i="27" s="1"/>
  <c r="N3241" i="27"/>
  <c r="U3252" i="27"/>
  <c r="V3252" i="27" s="1"/>
  <c r="W3252" i="27" s="1"/>
  <c r="H3252" i="27"/>
  <c r="K3252" i="27"/>
  <c r="K3266" i="27"/>
  <c r="N3266" i="27"/>
  <c r="U3285" i="27"/>
  <c r="V3285" i="27" s="1"/>
  <c r="W3285" i="27" s="1"/>
  <c r="H3285" i="27"/>
  <c r="E3285" i="27"/>
  <c r="U3296" i="27"/>
  <c r="V3296" i="27" s="1"/>
  <c r="W3296" i="27" s="1"/>
  <c r="H3296" i="27"/>
  <c r="N3297" i="27"/>
  <c r="K3311" i="27"/>
  <c r="N3311" i="27"/>
  <c r="U3324" i="27"/>
  <c r="V3324" i="27" s="1"/>
  <c r="W3324" i="27" s="1"/>
  <c r="K3324" i="27"/>
  <c r="K3331" i="27"/>
  <c r="H3331" i="27"/>
  <c r="U3332" i="27"/>
  <c r="V3332" i="27" s="1"/>
  <c r="W3332" i="27" s="1"/>
  <c r="E3332" i="27"/>
  <c r="H3332" i="27"/>
  <c r="K3343" i="27"/>
  <c r="H3343" i="27"/>
  <c r="U3344" i="27"/>
  <c r="V3344" i="27" s="1"/>
  <c r="W3344" i="27" s="1"/>
  <c r="H3344" i="27"/>
  <c r="E3344" i="27"/>
  <c r="K3381" i="27"/>
  <c r="H3381" i="27"/>
  <c r="U3381" i="27"/>
  <c r="V3381" i="27" s="1"/>
  <c r="W3381" i="27" s="1"/>
  <c r="N3411" i="27"/>
  <c r="U3411" i="27"/>
  <c r="V3411" i="27" s="1"/>
  <c r="W3411" i="27" s="1"/>
  <c r="H3411" i="27"/>
  <c r="E3411" i="27"/>
  <c r="N3420" i="27"/>
  <c r="K3421" i="27"/>
  <c r="U3421" i="27"/>
  <c r="V3421" i="27" s="1"/>
  <c r="W3421" i="27" s="1"/>
  <c r="H3421" i="27"/>
  <c r="E3421" i="27"/>
  <c r="K3437" i="27"/>
  <c r="U3437" i="27"/>
  <c r="V3437" i="27" s="1"/>
  <c r="W3437" i="27" s="1"/>
  <c r="H3437" i="27"/>
  <c r="U3439" i="27"/>
  <c r="V3439" i="27" s="1"/>
  <c r="W3439" i="27" s="1"/>
  <c r="H3439" i="27"/>
  <c r="E3439" i="27"/>
  <c r="N3439" i="27"/>
  <c r="N3449" i="27"/>
  <c r="K3528" i="27"/>
  <c r="H3528" i="27"/>
  <c r="E3528" i="27"/>
  <c r="U3528" i="27"/>
  <c r="V3528" i="27" s="1"/>
  <c r="W3528" i="27" s="1"/>
  <c r="K3556" i="27"/>
  <c r="U3556" i="27"/>
  <c r="V3556" i="27" s="1"/>
  <c r="W3556" i="27" s="1"/>
  <c r="H3556" i="27"/>
  <c r="E3556" i="27"/>
  <c r="U3574" i="27"/>
  <c r="V3574" i="27" s="1"/>
  <c r="W3574" i="27" s="1"/>
  <c r="H3574" i="27"/>
  <c r="E3574" i="27"/>
  <c r="K3574" i="27"/>
  <c r="U3260" i="27"/>
  <c r="V3260" i="27" s="1"/>
  <c r="W3260" i="27" s="1"/>
  <c r="H3260" i="27"/>
  <c r="E3260" i="27"/>
  <c r="K3274" i="27"/>
  <c r="H3274" i="27"/>
  <c r="U3287" i="27"/>
  <c r="V3287" i="27" s="1"/>
  <c r="W3287" i="27" s="1"/>
  <c r="H3287" i="27"/>
  <c r="N3287" i="27"/>
  <c r="N3288" i="27"/>
  <c r="U3340" i="27"/>
  <c r="V3340" i="27" s="1"/>
  <c r="W3340" i="27" s="1"/>
  <c r="H3340" i="27"/>
  <c r="K3340" i="27"/>
  <c r="U3416" i="27"/>
  <c r="V3416" i="27" s="1"/>
  <c r="W3416" i="27" s="1"/>
  <c r="H3416" i="27"/>
  <c r="E3416" i="27"/>
  <c r="K3416" i="27"/>
  <c r="U3420" i="27"/>
  <c r="V3420" i="27" s="1"/>
  <c r="W3420" i="27" s="1"/>
  <c r="H3420" i="27"/>
  <c r="K3420" i="27"/>
  <c r="E3420" i="27"/>
  <c r="U3449" i="27"/>
  <c r="V3449" i="27" s="1"/>
  <c r="W3449" i="27" s="1"/>
  <c r="H3449" i="27"/>
  <c r="E3449" i="27"/>
  <c r="K3449" i="27"/>
  <c r="K3454" i="27"/>
  <c r="H3454" i="27"/>
  <c r="K3468" i="27"/>
  <c r="U3551" i="27"/>
  <c r="V3551" i="27" s="1"/>
  <c r="W3551" i="27" s="1"/>
  <c r="H3551" i="27"/>
  <c r="E3551" i="27"/>
  <c r="N3551" i="27"/>
  <c r="K3551" i="27"/>
  <c r="N3225" i="27"/>
  <c r="N3231" i="27"/>
  <c r="K3233" i="27"/>
  <c r="U3243" i="27"/>
  <c r="V3243" i="27" s="1"/>
  <c r="W3243" i="27" s="1"/>
  <c r="H3243" i="27"/>
  <c r="N3263" i="27"/>
  <c r="K3265" i="27"/>
  <c r="U3275" i="27"/>
  <c r="V3275" i="27" s="1"/>
  <c r="W3275" i="27" s="1"/>
  <c r="H3275" i="27"/>
  <c r="K3286" i="27"/>
  <c r="H3286" i="27"/>
  <c r="K3326" i="27"/>
  <c r="E3326" i="27"/>
  <c r="U3336" i="27"/>
  <c r="V3336" i="27" s="1"/>
  <c r="W3336" i="27" s="1"/>
  <c r="H3336" i="27"/>
  <c r="K3361" i="27"/>
  <c r="H3361" i="27"/>
  <c r="U3376" i="27"/>
  <c r="V3376" i="27" s="1"/>
  <c r="W3376" i="27" s="1"/>
  <c r="H3376" i="27"/>
  <c r="K3376" i="27"/>
  <c r="E3376" i="27"/>
  <c r="N3393" i="27"/>
  <c r="U3404" i="27"/>
  <c r="V3404" i="27" s="1"/>
  <c r="W3404" i="27" s="1"/>
  <c r="H3404" i="27"/>
  <c r="K3404" i="27"/>
  <c r="N3407" i="27"/>
  <c r="H3407" i="27"/>
  <c r="U3407" i="27"/>
  <c r="V3407" i="27" s="1"/>
  <c r="W3407" i="27" s="1"/>
  <c r="U3424" i="27"/>
  <c r="V3424" i="27" s="1"/>
  <c r="W3424" i="27" s="1"/>
  <c r="H3424" i="27"/>
  <c r="E3424" i="27"/>
  <c r="U3431" i="27"/>
  <c r="V3431" i="27" s="1"/>
  <c r="W3431" i="27" s="1"/>
  <c r="H3431" i="27"/>
  <c r="E3431" i="27"/>
  <c r="U3522" i="27"/>
  <c r="V3522" i="27" s="1"/>
  <c r="W3522" i="27" s="1"/>
  <c r="H3522" i="27"/>
  <c r="K3522" i="27"/>
  <c r="U3573" i="27"/>
  <c r="V3573" i="27" s="1"/>
  <c r="W3573" i="27" s="1"/>
  <c r="H3573" i="27"/>
  <c r="K3573" i="27"/>
  <c r="E3573" i="27"/>
  <c r="N3573" i="27"/>
  <c r="U3662" i="27"/>
  <c r="V3662" i="27" s="1"/>
  <c r="W3662" i="27" s="1"/>
  <c r="H3662" i="27"/>
  <c r="K3662" i="27"/>
  <c r="E3662" i="27"/>
  <c r="N3256" i="27"/>
  <c r="K3258" i="27"/>
  <c r="U3268" i="27"/>
  <c r="V3268" i="27" s="1"/>
  <c r="W3268" i="27" s="1"/>
  <c r="H3268" i="27"/>
  <c r="U3304" i="27"/>
  <c r="V3304" i="27" s="1"/>
  <c r="W3304" i="27" s="1"/>
  <c r="H3304" i="27"/>
  <c r="K3304" i="27"/>
  <c r="E3304" i="27"/>
  <c r="N3317" i="27"/>
  <c r="N3348" i="27"/>
  <c r="U3359" i="27"/>
  <c r="V3359" i="27" s="1"/>
  <c r="W3359" i="27" s="1"/>
  <c r="H3359" i="27"/>
  <c r="U3391" i="27"/>
  <c r="V3391" i="27" s="1"/>
  <c r="W3391" i="27" s="1"/>
  <c r="H3391" i="27"/>
  <c r="N3391" i="27"/>
  <c r="K3393" i="27"/>
  <c r="U3393" i="27"/>
  <c r="V3393" i="27" s="1"/>
  <c r="W3393" i="27" s="1"/>
  <c r="E3393" i="27"/>
  <c r="N3403" i="27"/>
  <c r="U3403" i="27"/>
  <c r="V3403" i="27" s="1"/>
  <c r="W3403" i="27" s="1"/>
  <c r="H3403" i="27"/>
  <c r="U3423" i="27"/>
  <c r="V3423" i="27" s="1"/>
  <c r="W3423" i="27" s="1"/>
  <c r="H3423" i="27"/>
  <c r="K3570" i="27"/>
  <c r="U3570" i="27"/>
  <c r="V3570" i="27" s="1"/>
  <c r="W3570" i="27" s="1"/>
  <c r="H3570" i="27"/>
  <c r="K3307" i="27"/>
  <c r="U3320" i="27"/>
  <c r="V3320" i="27" s="1"/>
  <c r="W3320" i="27" s="1"/>
  <c r="H3320" i="27"/>
  <c r="U3323" i="27"/>
  <c r="V3323" i="27" s="1"/>
  <c r="W3323" i="27" s="1"/>
  <c r="H3323" i="27"/>
  <c r="U3333" i="27"/>
  <c r="V3333" i="27" s="1"/>
  <c r="W3333" i="27" s="1"/>
  <c r="H3333" i="27"/>
  <c r="K3347" i="27"/>
  <c r="U3348" i="27"/>
  <c r="V3348" i="27" s="1"/>
  <c r="W3348" i="27" s="1"/>
  <c r="H3348" i="27"/>
  <c r="K3348" i="27"/>
  <c r="E3348" i="27"/>
  <c r="N3349" i="27"/>
  <c r="N3355" i="27"/>
  <c r="U3355" i="27"/>
  <c r="V3355" i="27" s="1"/>
  <c r="W3355" i="27" s="1"/>
  <c r="H3355" i="27"/>
  <c r="N3372" i="27"/>
  <c r="N3385" i="27"/>
  <c r="N3416" i="27"/>
  <c r="K3310" i="27"/>
  <c r="U3312" i="27"/>
  <c r="V3312" i="27" s="1"/>
  <c r="W3312" i="27" s="1"/>
  <c r="H3312" i="27"/>
  <c r="N3324" i="27"/>
  <c r="N3344" i="27"/>
  <c r="U3356" i="27"/>
  <c r="V3356" i="27" s="1"/>
  <c r="W3356" i="27" s="1"/>
  <c r="H3356" i="27"/>
  <c r="U3368" i="27"/>
  <c r="V3368" i="27" s="1"/>
  <c r="W3368" i="27" s="1"/>
  <c r="H3368" i="27"/>
  <c r="K3398" i="27"/>
  <c r="U3401" i="27"/>
  <c r="V3401" i="27" s="1"/>
  <c r="W3401" i="27" s="1"/>
  <c r="H3401" i="27"/>
  <c r="U3412" i="27"/>
  <c r="V3412" i="27" s="1"/>
  <c r="W3412" i="27" s="1"/>
  <c r="H3412" i="27"/>
  <c r="K3447" i="27"/>
  <c r="U3447" i="27"/>
  <c r="V3447" i="27" s="1"/>
  <c r="W3447" i="27" s="1"/>
  <c r="H3447" i="27"/>
  <c r="U3467" i="27"/>
  <c r="V3467" i="27" s="1"/>
  <c r="W3467" i="27" s="1"/>
  <c r="H3467" i="27"/>
  <c r="K3469" i="27"/>
  <c r="U3530" i="27"/>
  <c r="V3530" i="27" s="1"/>
  <c r="W3530" i="27" s="1"/>
  <c r="H3530" i="27"/>
  <c r="K3530" i="27"/>
  <c r="E3530" i="27"/>
  <c r="N3595" i="27"/>
  <c r="H3595" i="27"/>
  <c r="U3595" i="27"/>
  <c r="V3595" i="27" s="1"/>
  <c r="W3595" i="27" s="1"/>
  <c r="E3595" i="27"/>
  <c r="N3662" i="27"/>
  <c r="K3663" i="27"/>
  <c r="H3663" i="27"/>
  <c r="U3663" i="27"/>
  <c r="V3663" i="27" s="1"/>
  <c r="W3663" i="27" s="1"/>
  <c r="E3663" i="27"/>
  <c r="N3663" i="27"/>
  <c r="U3680" i="27"/>
  <c r="V3680" i="27" s="1"/>
  <c r="W3680" i="27" s="1"/>
  <c r="H3680" i="27"/>
  <c r="K3680" i="27"/>
  <c r="E3680" i="27"/>
  <c r="N3284" i="27"/>
  <c r="N3340" i="27"/>
  <c r="U3352" i="27"/>
  <c r="V3352" i="27" s="1"/>
  <c r="W3352" i="27" s="1"/>
  <c r="H3352" i="27"/>
  <c r="U3369" i="27"/>
  <c r="V3369" i="27" s="1"/>
  <c r="W3369" i="27" s="1"/>
  <c r="H3369" i="27"/>
  <c r="U3380" i="27"/>
  <c r="V3380" i="27" s="1"/>
  <c r="W3380" i="27" s="1"/>
  <c r="H3380" i="27"/>
  <c r="K3390" i="27"/>
  <c r="U3408" i="27"/>
  <c r="V3408" i="27" s="1"/>
  <c r="W3408" i="27" s="1"/>
  <c r="H3408" i="27"/>
  <c r="N3417" i="27"/>
  <c r="U3428" i="27"/>
  <c r="V3428" i="27" s="1"/>
  <c r="W3428" i="27" s="1"/>
  <c r="H3428" i="27"/>
  <c r="U3436" i="27"/>
  <c r="V3436" i="27" s="1"/>
  <c r="W3436" i="27" s="1"/>
  <c r="H3436" i="27"/>
  <c r="K3436" i="27"/>
  <c r="U3440" i="27"/>
  <c r="V3440" i="27" s="1"/>
  <c r="W3440" i="27" s="1"/>
  <c r="H3440" i="27"/>
  <c r="N3443" i="27"/>
  <c r="H3443" i="27"/>
  <c r="N3444" i="27"/>
  <c r="U3470" i="27"/>
  <c r="V3470" i="27" s="1"/>
  <c r="W3470" i="27" s="1"/>
  <c r="H3470" i="27"/>
  <c r="K3470" i="27"/>
  <c r="U3508" i="27"/>
  <c r="V3508" i="27" s="1"/>
  <c r="W3508" i="27" s="1"/>
  <c r="H3508" i="27"/>
  <c r="N3508" i="27"/>
  <c r="E3508" i="27"/>
  <c r="K3511" i="27"/>
  <c r="N3511" i="27"/>
  <c r="H3511" i="27"/>
  <c r="U3511" i="27"/>
  <c r="V3511" i="27" s="1"/>
  <c r="W3511" i="27" s="1"/>
  <c r="U3513" i="27"/>
  <c r="V3513" i="27" s="1"/>
  <c r="W3513" i="27" s="1"/>
  <c r="H3513" i="27"/>
  <c r="N3513" i="27"/>
  <c r="U3514" i="27"/>
  <c r="V3514" i="27" s="1"/>
  <c r="W3514" i="27" s="1"/>
  <c r="H3514" i="27"/>
  <c r="K3514" i="27"/>
  <c r="E3514" i="27"/>
  <c r="N3602" i="27"/>
  <c r="K3602" i="27"/>
  <c r="U3602" i="27"/>
  <c r="V3602" i="27" s="1"/>
  <c r="W3602" i="27" s="1"/>
  <c r="H3602" i="27"/>
  <c r="E3602" i="27"/>
  <c r="K3632" i="27"/>
  <c r="H3632" i="27"/>
  <c r="U3632" i="27"/>
  <c r="V3632" i="27" s="1"/>
  <c r="W3632" i="27" s="1"/>
  <c r="N3632" i="27"/>
  <c r="E3632" i="27"/>
  <c r="N3364" i="27"/>
  <c r="K3383" i="27"/>
  <c r="N3384" i="27"/>
  <c r="N3388" i="27"/>
  <c r="N3400" i="27"/>
  <c r="N3429" i="27"/>
  <c r="U3444" i="27"/>
  <c r="V3444" i="27" s="1"/>
  <c r="W3444" i="27" s="1"/>
  <c r="H3444" i="27"/>
  <c r="K3451" i="27"/>
  <c r="U3463" i="27"/>
  <c r="V3463" i="27" s="1"/>
  <c r="W3463" i="27" s="1"/>
  <c r="H3463" i="27"/>
  <c r="U3510" i="27"/>
  <c r="V3510" i="27" s="1"/>
  <c r="W3510" i="27" s="1"/>
  <c r="H3510" i="27"/>
  <c r="E3510" i="27"/>
  <c r="N3510" i="27"/>
  <c r="K3526" i="27"/>
  <c r="U3526" i="27"/>
  <c r="V3526" i="27" s="1"/>
  <c r="W3526" i="27" s="1"/>
  <c r="H3526" i="27"/>
  <c r="K3535" i="27"/>
  <c r="H3535" i="27"/>
  <c r="E3535" i="27"/>
  <c r="U3535" i="27"/>
  <c r="V3535" i="27" s="1"/>
  <c r="W3535" i="27" s="1"/>
  <c r="K3536" i="27"/>
  <c r="N3565" i="27"/>
  <c r="K3565" i="27"/>
  <c r="U3565" i="27"/>
  <c r="V3565" i="27" s="1"/>
  <c r="W3565" i="27" s="1"/>
  <c r="H3565" i="27"/>
  <c r="E3565" i="27"/>
  <c r="U3360" i="27"/>
  <c r="V3360" i="27" s="1"/>
  <c r="W3360" i="27" s="1"/>
  <c r="H3360" i="27"/>
  <c r="N3380" i="27"/>
  <c r="K3382" i="27"/>
  <c r="U3392" i="27"/>
  <c r="V3392" i="27" s="1"/>
  <c r="W3392" i="27" s="1"/>
  <c r="H3392" i="27"/>
  <c r="N3412" i="27"/>
  <c r="K3414" i="27"/>
  <c r="K3422" i="27"/>
  <c r="U3432" i="27"/>
  <c r="V3432" i="27" s="1"/>
  <c r="W3432" i="27" s="1"/>
  <c r="H3432" i="27"/>
  <c r="K3438" i="27"/>
  <c r="H3445" i="27"/>
  <c r="U3450" i="27"/>
  <c r="V3450" i="27" s="1"/>
  <c r="W3450" i="27" s="1"/>
  <c r="H3450" i="27"/>
  <c r="N3456" i="27"/>
  <c r="U3456" i="27"/>
  <c r="V3456" i="27" s="1"/>
  <c r="W3456" i="27" s="1"/>
  <c r="H3456" i="27"/>
  <c r="U3466" i="27"/>
  <c r="V3466" i="27" s="1"/>
  <c r="W3466" i="27" s="1"/>
  <c r="H3466" i="27"/>
  <c r="E3466" i="27"/>
  <c r="N3467" i="27"/>
  <c r="K3517" i="27"/>
  <c r="H3517" i="27"/>
  <c r="U3517" i="27"/>
  <c r="V3517" i="27" s="1"/>
  <c r="W3517" i="27" s="1"/>
  <c r="N3522" i="27"/>
  <c r="N3528" i="27"/>
  <c r="N3535" i="27"/>
  <c r="N3556" i="27"/>
  <c r="K3579" i="27"/>
  <c r="U3579" i="27"/>
  <c r="V3579" i="27" s="1"/>
  <c r="W3579" i="27" s="1"/>
  <c r="H3579" i="27"/>
  <c r="E3579" i="27"/>
  <c r="U3705" i="27"/>
  <c r="V3705" i="27" s="1"/>
  <c r="W3705" i="27" s="1"/>
  <c r="H3705" i="27"/>
  <c r="E3705" i="27"/>
  <c r="K3705" i="27"/>
  <c r="K3754" i="27"/>
  <c r="U3754" i="27"/>
  <c r="V3754" i="27" s="1"/>
  <c r="W3754" i="27" s="1"/>
  <c r="E3754" i="27"/>
  <c r="H3754" i="27"/>
  <c r="K3519" i="27"/>
  <c r="U3519" i="27"/>
  <c r="V3519" i="27" s="1"/>
  <c r="W3519" i="27" s="1"/>
  <c r="E3519" i="27"/>
  <c r="K3554" i="27"/>
  <c r="U3554" i="27"/>
  <c r="V3554" i="27" s="1"/>
  <c r="W3554" i="27" s="1"/>
  <c r="H3554" i="27"/>
  <c r="U3608" i="27"/>
  <c r="V3608" i="27" s="1"/>
  <c r="W3608" i="27" s="1"/>
  <c r="H3608" i="27"/>
  <c r="N3608" i="27"/>
  <c r="E3608" i="27"/>
  <c r="U3613" i="27"/>
  <c r="V3613" i="27" s="1"/>
  <c r="W3613" i="27" s="1"/>
  <c r="K3613" i="27"/>
  <c r="H3613" i="27"/>
  <c r="E3613" i="27"/>
  <c r="U3614" i="27"/>
  <c r="V3614" i="27" s="1"/>
  <c r="W3614" i="27" s="1"/>
  <c r="H3614" i="27"/>
  <c r="K3614" i="27"/>
  <c r="E3614" i="27"/>
  <c r="U3566" i="27"/>
  <c r="V3566" i="27" s="1"/>
  <c r="W3566" i="27" s="1"/>
  <c r="H3566" i="27"/>
  <c r="E3566" i="27"/>
  <c r="N3566" i="27"/>
  <c r="K3598" i="27"/>
  <c r="H3598" i="27"/>
  <c r="N3598" i="27"/>
  <c r="E3598" i="27"/>
  <c r="H3653" i="27"/>
  <c r="U3653" i="27"/>
  <c r="V3653" i="27" s="1"/>
  <c r="W3653" i="27" s="1"/>
  <c r="E3653" i="27"/>
  <c r="K3653" i="27"/>
  <c r="U3457" i="27"/>
  <c r="V3457" i="27" s="1"/>
  <c r="W3457" i="27" s="1"/>
  <c r="H3457" i="27"/>
  <c r="K3480" i="27"/>
  <c r="K3505" i="27"/>
  <c r="K3552" i="27"/>
  <c r="K3567" i="27"/>
  <c r="U3583" i="27"/>
  <c r="V3583" i="27" s="1"/>
  <c r="W3583" i="27" s="1"/>
  <c r="H3583" i="27"/>
  <c r="K3583" i="27"/>
  <c r="E3583" i="27"/>
  <c r="K3589" i="27"/>
  <c r="U3589" i="27"/>
  <c r="V3589" i="27" s="1"/>
  <c r="W3589" i="27" s="1"/>
  <c r="K3609" i="27"/>
  <c r="N3754" i="27"/>
  <c r="U3756" i="27"/>
  <c r="V3756" i="27" s="1"/>
  <c r="W3756" i="27" s="1"/>
  <c r="H3756" i="27"/>
  <c r="N3756" i="27"/>
  <c r="K3756" i="27"/>
  <c r="E3756" i="27"/>
  <c r="U3606" i="27"/>
  <c r="V3606" i="27" s="1"/>
  <c r="W3606" i="27" s="1"/>
  <c r="H3606" i="27"/>
  <c r="K3606" i="27"/>
  <c r="E3606" i="27"/>
  <c r="H3638" i="27"/>
  <c r="U3638" i="27"/>
  <c r="V3638" i="27" s="1"/>
  <c r="W3638" i="27" s="1"/>
  <c r="E3638" i="27"/>
  <c r="U3453" i="27"/>
  <c r="V3453" i="27" s="1"/>
  <c r="W3453" i="27" s="1"/>
  <c r="H3453" i="27"/>
  <c r="K3581" i="27"/>
  <c r="H3581" i="27"/>
  <c r="E3581" i="27"/>
  <c r="K3687" i="27"/>
  <c r="E3687" i="27"/>
  <c r="N3687" i="27"/>
  <c r="H3687" i="27"/>
  <c r="U3715" i="27"/>
  <c r="V3715" i="27" s="1"/>
  <c r="W3715" i="27" s="1"/>
  <c r="H3715" i="27"/>
  <c r="K3715" i="27"/>
  <c r="E3715" i="27"/>
  <c r="N3445" i="27"/>
  <c r="N3462" i="27"/>
  <c r="N3482" i="27"/>
  <c r="U3512" i="27"/>
  <c r="V3512" i="27" s="1"/>
  <c r="W3512" i="27" s="1"/>
  <c r="H3512" i="27"/>
  <c r="N3526" i="27"/>
  <c r="K3542" i="27"/>
  <c r="E3552" i="27"/>
  <c r="E3567" i="27"/>
  <c r="K3569" i="27"/>
  <c r="K3621" i="27"/>
  <c r="E3621" i="27"/>
  <c r="H3621" i="27"/>
  <c r="K3655" i="27"/>
  <c r="U3655" i="27"/>
  <c r="V3655" i="27" s="1"/>
  <c r="W3655" i="27" s="1"/>
  <c r="H3655" i="27"/>
  <c r="U3675" i="27"/>
  <c r="V3675" i="27" s="1"/>
  <c r="W3675" i="27" s="1"/>
  <c r="H3675" i="27"/>
  <c r="K3675" i="27"/>
  <c r="E3675" i="27"/>
  <c r="K3696" i="27"/>
  <c r="N3520" i="27"/>
  <c r="K3541" i="27"/>
  <c r="U3543" i="27"/>
  <c r="V3543" i="27" s="1"/>
  <c r="W3543" i="27" s="1"/>
  <c r="H3543" i="27"/>
  <c r="N3555" i="27"/>
  <c r="N3574" i="27"/>
  <c r="K3607" i="27"/>
  <c r="U3607" i="27"/>
  <c r="V3607" i="27" s="1"/>
  <c r="W3607" i="27" s="1"/>
  <c r="K3625" i="27"/>
  <c r="K3635" i="27"/>
  <c r="U3637" i="27"/>
  <c r="V3637" i="27" s="1"/>
  <c r="W3637" i="27" s="1"/>
  <c r="H3637" i="27"/>
  <c r="K3645" i="27"/>
  <c r="U3645" i="27"/>
  <c r="V3645" i="27" s="1"/>
  <c r="W3645" i="27" s="1"/>
  <c r="N3670" i="27"/>
  <c r="U3672" i="27"/>
  <c r="V3672" i="27" s="1"/>
  <c r="W3672" i="27" s="1"/>
  <c r="H3672" i="27"/>
  <c r="E3672" i="27"/>
  <c r="N3675" i="27"/>
  <c r="H3676" i="27"/>
  <c r="K3676" i="27"/>
  <c r="U3677" i="27"/>
  <c r="V3677" i="27" s="1"/>
  <c r="W3677" i="27" s="1"/>
  <c r="H3677" i="27"/>
  <c r="E3677" i="27"/>
  <c r="N3680" i="27"/>
  <c r="U3681" i="27"/>
  <c r="V3681" i="27" s="1"/>
  <c r="W3681" i="27" s="1"/>
  <c r="H3681" i="27"/>
  <c r="K3681" i="27"/>
  <c r="K3703" i="27"/>
  <c r="H3703" i="27"/>
  <c r="U3703" i="27"/>
  <c r="V3703" i="27" s="1"/>
  <c r="W3703" i="27" s="1"/>
  <c r="N3703" i="27"/>
  <c r="N3704" i="27"/>
  <c r="K3704" i="27"/>
  <c r="U3704" i="27"/>
  <c r="V3704" i="27" s="1"/>
  <c r="W3704" i="27" s="1"/>
  <c r="N3715" i="27"/>
  <c r="K3720" i="27"/>
  <c r="U3764" i="27"/>
  <c r="V3764" i="27" s="1"/>
  <c r="W3764" i="27" s="1"/>
  <c r="H3764" i="27"/>
  <c r="K3764" i="27"/>
  <c r="E3764" i="27"/>
  <c r="K3557" i="27"/>
  <c r="K3564" i="27"/>
  <c r="U3571" i="27"/>
  <c r="V3571" i="27" s="1"/>
  <c r="W3571" i="27" s="1"/>
  <c r="H3571" i="27"/>
  <c r="U3634" i="27"/>
  <c r="V3634" i="27" s="1"/>
  <c r="W3634" i="27" s="1"/>
  <c r="H3634" i="27"/>
  <c r="U3639" i="27"/>
  <c r="V3639" i="27" s="1"/>
  <c r="W3639" i="27" s="1"/>
  <c r="H3639" i="27"/>
  <c r="U3669" i="27"/>
  <c r="V3669" i="27" s="1"/>
  <c r="W3669" i="27" s="1"/>
  <c r="H3669" i="27"/>
  <c r="N3669" i="27"/>
  <c r="K3669" i="27"/>
  <c r="K3742" i="27"/>
  <c r="U3742" i="27"/>
  <c r="V3742" i="27" s="1"/>
  <c r="W3742" i="27" s="1"/>
  <c r="H3742" i="27"/>
  <c r="E3742" i="27"/>
  <c r="U3601" i="27"/>
  <c r="V3601" i="27" s="1"/>
  <c r="W3601" i="27" s="1"/>
  <c r="H3601" i="27"/>
  <c r="U3604" i="27"/>
  <c r="V3604" i="27" s="1"/>
  <c r="W3604" i="27" s="1"/>
  <c r="H3604" i="27"/>
  <c r="U3609" i="27"/>
  <c r="V3609" i="27" s="1"/>
  <c r="W3609" i="27" s="1"/>
  <c r="H3609" i="27"/>
  <c r="U3617" i="27"/>
  <c r="V3617" i="27" s="1"/>
  <c r="W3617" i="27" s="1"/>
  <c r="H3617" i="27"/>
  <c r="E3617" i="27"/>
  <c r="E3634" i="27"/>
  <c r="K3640" i="27"/>
  <c r="H3640" i="27"/>
  <c r="U3640" i="27"/>
  <c r="V3640" i="27" s="1"/>
  <c r="W3640" i="27" s="1"/>
  <c r="U3642" i="27"/>
  <c r="V3642" i="27" s="1"/>
  <c r="W3642" i="27" s="1"/>
  <c r="H3642" i="27"/>
  <c r="K3642" i="27"/>
  <c r="E3642" i="27"/>
  <c r="U3650" i="27"/>
  <c r="V3650" i="27" s="1"/>
  <c r="W3650" i="27" s="1"/>
  <c r="H3650" i="27"/>
  <c r="E3650" i="27"/>
  <c r="K3684" i="27"/>
  <c r="U3684" i="27"/>
  <c r="V3684" i="27" s="1"/>
  <c r="W3684" i="27" s="1"/>
  <c r="H3684" i="27"/>
  <c r="E3684" i="27"/>
  <c r="U3708" i="27"/>
  <c r="V3708" i="27" s="1"/>
  <c r="W3708" i="27" s="1"/>
  <c r="H3708" i="27"/>
  <c r="K3708" i="27"/>
  <c r="U3710" i="27"/>
  <c r="V3710" i="27" s="1"/>
  <c r="W3710" i="27" s="1"/>
  <c r="H3710" i="27"/>
  <c r="E3710" i="27"/>
  <c r="U3713" i="27"/>
  <c r="V3713" i="27" s="1"/>
  <c r="W3713" i="27" s="1"/>
  <c r="H3713" i="27"/>
  <c r="E3713" i="27"/>
  <c r="K3713" i="27"/>
  <c r="K3724" i="27"/>
  <c r="K3503" i="27"/>
  <c r="U3505" i="27"/>
  <c r="V3505" i="27" s="1"/>
  <c r="W3505" i="27" s="1"/>
  <c r="H3505" i="27"/>
  <c r="H3516" i="27"/>
  <c r="N3517" i="27"/>
  <c r="H3518" i="27"/>
  <c r="H3520" i="27"/>
  <c r="H3523" i="27"/>
  <c r="U3557" i="27"/>
  <c r="V3557" i="27" s="1"/>
  <c r="W3557" i="27" s="1"/>
  <c r="U3564" i="27"/>
  <c r="V3564" i="27" s="1"/>
  <c r="W3564" i="27" s="1"/>
  <c r="U3569" i="27"/>
  <c r="V3569" i="27" s="1"/>
  <c r="W3569" i="27" s="1"/>
  <c r="H3569" i="27"/>
  <c r="K3572" i="27"/>
  <c r="U3576" i="27"/>
  <c r="V3576" i="27" s="1"/>
  <c r="W3576" i="27" s="1"/>
  <c r="H3576" i="27"/>
  <c r="N3587" i="27"/>
  <c r="U3592" i="27"/>
  <c r="V3592" i="27" s="1"/>
  <c r="W3592" i="27" s="1"/>
  <c r="H3592" i="27"/>
  <c r="K3592" i="27"/>
  <c r="E3601" i="27"/>
  <c r="U3610" i="27"/>
  <c r="V3610" i="27" s="1"/>
  <c r="W3610" i="27" s="1"/>
  <c r="H3610" i="27"/>
  <c r="H3612" i="27"/>
  <c r="N3613" i="27"/>
  <c r="K3615" i="27"/>
  <c r="E3615" i="27"/>
  <c r="E3635" i="27"/>
  <c r="E3639" i="27"/>
  <c r="U3558" i="27"/>
  <c r="V3558" i="27" s="1"/>
  <c r="W3558" i="27" s="1"/>
  <c r="H3558" i="27"/>
  <c r="N3570" i="27"/>
  <c r="K3624" i="27"/>
  <c r="U3626" i="27"/>
  <c r="V3626" i="27" s="1"/>
  <c r="W3626" i="27" s="1"/>
  <c r="H3626" i="27"/>
  <c r="N3638" i="27"/>
  <c r="U3646" i="27"/>
  <c r="V3646" i="27" s="1"/>
  <c r="W3646" i="27" s="1"/>
  <c r="H3646" i="27"/>
  <c r="U3649" i="27"/>
  <c r="V3649" i="27" s="1"/>
  <c r="W3649" i="27" s="1"/>
  <c r="H3649" i="27"/>
  <c r="N3650" i="27"/>
  <c r="N3653" i="27"/>
  <c r="K3656" i="27"/>
  <c r="U3671" i="27"/>
  <c r="V3671" i="27" s="1"/>
  <c r="W3671" i="27" s="1"/>
  <c r="H3671" i="27"/>
  <c r="N3672" i="27"/>
  <c r="N3677" i="27"/>
  <c r="K3702" i="27"/>
  <c r="H3709" i="27"/>
  <c r="U3709" i="27"/>
  <c r="V3709" i="27" s="1"/>
  <c r="W3709" i="27" s="1"/>
  <c r="N3710" i="27"/>
  <c r="K3726" i="27"/>
  <c r="U3726" i="27"/>
  <c r="V3726" i="27" s="1"/>
  <c r="W3726" i="27" s="1"/>
  <c r="H3726" i="27"/>
  <c r="E3726" i="27"/>
  <c r="N3742" i="27"/>
  <c r="K3765" i="27"/>
  <c r="U3765" i="27"/>
  <c r="V3765" i="27" s="1"/>
  <c r="W3765" i="27" s="1"/>
  <c r="H3765" i="27"/>
  <c r="U3667" i="27"/>
  <c r="V3667" i="27" s="1"/>
  <c r="W3667" i="27" s="1"/>
  <c r="H3667" i="27"/>
  <c r="U3689" i="27"/>
  <c r="V3689" i="27" s="1"/>
  <c r="W3689" i="27" s="1"/>
  <c r="H3689" i="27"/>
  <c r="K3689" i="27"/>
  <c r="E3689" i="27"/>
  <c r="K3692" i="27"/>
  <c r="K3711" i="27"/>
  <c r="U3711" i="27"/>
  <c r="V3711" i="27" s="1"/>
  <c r="W3711" i="27" s="1"/>
  <c r="E3711" i="27"/>
  <c r="K3723" i="27"/>
  <c r="E3723" i="27"/>
  <c r="U3725" i="27"/>
  <c r="V3725" i="27" s="1"/>
  <c r="W3725" i="27" s="1"/>
  <c r="H3725" i="27"/>
  <c r="K3725" i="27"/>
  <c r="E3725" i="27"/>
  <c r="N3729" i="27"/>
  <c r="K3729" i="27"/>
  <c r="E3729" i="27"/>
  <c r="K3739" i="27"/>
  <c r="H3739" i="27"/>
  <c r="U3741" i="27"/>
  <c r="V3741" i="27" s="1"/>
  <c r="W3741" i="27" s="1"/>
  <c r="H3741" i="27"/>
  <c r="E3741" i="27"/>
  <c r="N3741" i="27"/>
  <c r="K3747" i="27"/>
  <c r="N3747" i="27"/>
  <c r="H3747" i="27"/>
  <c r="N3750" i="27"/>
  <c r="U3654" i="27"/>
  <c r="V3654" i="27" s="1"/>
  <c r="W3654" i="27" s="1"/>
  <c r="H3654" i="27"/>
  <c r="U3657" i="27"/>
  <c r="V3657" i="27" s="1"/>
  <c r="W3657" i="27" s="1"/>
  <c r="H3657" i="27"/>
  <c r="E3667" i="27"/>
  <c r="U3673" i="27"/>
  <c r="V3673" i="27" s="1"/>
  <c r="W3673" i="27" s="1"/>
  <c r="H3673" i="27"/>
  <c r="K3678" i="27"/>
  <c r="U3678" i="27"/>
  <c r="V3678" i="27" s="1"/>
  <c r="W3678" i="27" s="1"/>
  <c r="K3693" i="27"/>
  <c r="E3693" i="27"/>
  <c r="E3706" i="27"/>
  <c r="K3731" i="27"/>
  <c r="E3731" i="27"/>
  <c r="U3731" i="27"/>
  <c r="V3731" i="27" s="1"/>
  <c r="W3731" i="27" s="1"/>
  <c r="U3749" i="27"/>
  <c r="V3749" i="27" s="1"/>
  <c r="W3749" i="27" s="1"/>
  <c r="H3749" i="27"/>
  <c r="K3749" i="27"/>
  <c r="K3750" i="27"/>
  <c r="U3750" i="27"/>
  <c r="V3750" i="27" s="1"/>
  <c r="W3750" i="27" s="1"/>
  <c r="H3750" i="27"/>
  <c r="N3605" i="27"/>
  <c r="U3641" i="27"/>
  <c r="V3641" i="27" s="1"/>
  <c r="W3641" i="27" s="1"/>
  <c r="H3641" i="27"/>
  <c r="E3647" i="27"/>
  <c r="E3657" i="27"/>
  <c r="U3658" i="27"/>
  <c r="V3658" i="27" s="1"/>
  <c r="W3658" i="27" s="1"/>
  <c r="H3658" i="27"/>
  <c r="E3673" i="27"/>
  <c r="U3679" i="27"/>
  <c r="V3679" i="27" s="1"/>
  <c r="W3679" i="27" s="1"/>
  <c r="H3679" i="27"/>
  <c r="N3679" i="27"/>
  <c r="U3723" i="27"/>
  <c r="V3723" i="27" s="1"/>
  <c r="W3723" i="27" s="1"/>
  <c r="U3729" i="27"/>
  <c r="V3729" i="27" s="1"/>
  <c r="W3729" i="27" s="1"/>
  <c r="U3739" i="27"/>
  <c r="V3739" i="27" s="1"/>
  <c r="W3739" i="27" s="1"/>
  <c r="U3747" i="27"/>
  <c r="V3747" i="27" s="1"/>
  <c r="W3747" i="27" s="1"/>
  <c r="K3664" i="27"/>
  <c r="K3695" i="27"/>
  <c r="U3697" i="27"/>
  <c r="V3697" i="27" s="1"/>
  <c r="W3697" i="27" s="1"/>
  <c r="H3697" i="27"/>
  <c r="N3709" i="27"/>
  <c r="U3717" i="27"/>
  <c r="V3717" i="27" s="1"/>
  <c r="W3717" i="27" s="1"/>
  <c r="H3717" i="27"/>
  <c r="E3717" i="27"/>
  <c r="K3718" i="27"/>
  <c r="U3718" i="27"/>
  <c r="V3718" i="27" s="1"/>
  <c r="W3718" i="27" s="1"/>
  <c r="H3718" i="27"/>
  <c r="N3726" i="27"/>
  <c r="K3736" i="27"/>
  <c r="N3668" i="27"/>
  <c r="N3734" i="27"/>
  <c r="N3745" i="27"/>
  <c r="H3745" i="27"/>
  <c r="N3757" i="27"/>
  <c r="U3760" i="27"/>
  <c r="V3760" i="27" s="1"/>
  <c r="W3760" i="27" s="1"/>
  <c r="N3676" i="27"/>
  <c r="U3733" i="27"/>
  <c r="V3733" i="27" s="1"/>
  <c r="W3733" i="27" s="1"/>
  <c r="H3733" i="27"/>
  <c r="N3733" i="27"/>
  <c r="K3734" i="27"/>
  <c r="U3734" i="27"/>
  <c r="V3734" i="27" s="1"/>
  <c r="W3734" i="27" s="1"/>
  <c r="H3734" i="27"/>
  <c r="K3740" i="27"/>
  <c r="K3757" i="27"/>
  <c r="U3757" i="27"/>
  <c r="V3757" i="27" s="1"/>
  <c r="W3757" i="27" s="1"/>
  <c r="H3757" i="27"/>
  <c r="H3760" i="27"/>
  <c r="K3763" i="27"/>
  <c r="H3720" i="27"/>
  <c r="U3720" i="27"/>
  <c r="V3720" i="27" s="1"/>
  <c r="W3720" i="27" s="1"/>
  <c r="H3728" i="27"/>
  <c r="H3736" i="27"/>
  <c r="U3736" i="27"/>
  <c r="V3736" i="27" s="1"/>
  <c r="W3736" i="27" s="1"/>
  <c r="H3744" i="27"/>
  <c r="U3744" i="27"/>
  <c r="V3744" i="27" s="1"/>
  <c r="W3744" i="27" s="1"/>
  <c r="H3752" i="27"/>
  <c r="H3759" i="27"/>
  <c r="U3759" i="27"/>
  <c r="V3759" i="27" s="1"/>
  <c r="W3759" i="27" s="1"/>
  <c r="H3738" i="27"/>
  <c r="H3746" i="27"/>
  <c r="H3753" i="27"/>
  <c r="H3761" i="27"/>
  <c r="R84" i="26"/>
  <c r="F84" i="26"/>
  <c r="Y84" i="26"/>
  <c r="Z84" i="26" s="1"/>
  <c r="AA84" i="26" s="1"/>
  <c r="J84" i="26"/>
  <c r="F145" i="26"/>
  <c r="Y145" i="26"/>
  <c r="Z145" i="26" s="1"/>
  <c r="AA145" i="26" s="1"/>
  <c r="J145" i="26"/>
  <c r="N145" i="26"/>
  <c r="F6" i="26"/>
  <c r="J6" i="26"/>
  <c r="R74" i="26"/>
  <c r="F90" i="26"/>
  <c r="Y90" i="26"/>
  <c r="Z90" i="26" s="1"/>
  <c r="AA90" i="26" s="1"/>
  <c r="J90" i="26"/>
  <c r="N90" i="26"/>
  <c r="F177" i="26"/>
  <c r="Y177" i="26"/>
  <c r="Z177" i="26" s="1"/>
  <c r="AA177" i="26" s="1"/>
  <c r="N177" i="26"/>
  <c r="J177" i="26"/>
  <c r="Y179" i="26"/>
  <c r="Z179" i="26" s="1"/>
  <c r="AA179" i="26" s="1"/>
  <c r="J179" i="26"/>
  <c r="R179" i="26"/>
  <c r="F179" i="26"/>
  <c r="R225" i="26"/>
  <c r="F225" i="26"/>
  <c r="Y225" i="26"/>
  <c r="Z225" i="26" s="1"/>
  <c r="AA225" i="26" s="1"/>
  <c r="J225" i="26"/>
  <c r="Y124" i="26"/>
  <c r="Z124" i="26" s="1"/>
  <c r="AA124" i="26" s="1"/>
  <c r="R124" i="26"/>
  <c r="F124" i="26"/>
  <c r="J124" i="26"/>
  <c r="R128" i="26"/>
  <c r="Y128" i="26"/>
  <c r="Z128" i="26" s="1"/>
  <c r="AA128" i="26" s="1"/>
  <c r="J128" i="26"/>
  <c r="F128" i="26"/>
  <c r="F130" i="26"/>
  <c r="Y130" i="26"/>
  <c r="Z130" i="26" s="1"/>
  <c r="AA130" i="26" s="1"/>
  <c r="N130" i="26"/>
  <c r="J130" i="26"/>
  <c r="Y16" i="26"/>
  <c r="Z16" i="26" s="1"/>
  <c r="AA16" i="26" s="1"/>
  <c r="F16" i="26"/>
  <c r="J16" i="26"/>
  <c r="F20" i="26"/>
  <c r="N20" i="26"/>
  <c r="J20" i="26"/>
  <c r="F31" i="26"/>
  <c r="Y31" i="26"/>
  <c r="Z31" i="26" s="1"/>
  <c r="AA31" i="26" s="1"/>
  <c r="J31" i="26"/>
  <c r="N31" i="26"/>
  <c r="R96" i="26"/>
  <c r="Y96" i="26"/>
  <c r="Z96" i="26" s="1"/>
  <c r="AA96" i="26" s="1"/>
  <c r="J96" i="26"/>
  <c r="F96" i="26"/>
  <c r="F98" i="26"/>
  <c r="Y98" i="26"/>
  <c r="Z98" i="26" s="1"/>
  <c r="AA98" i="26" s="1"/>
  <c r="N98" i="26"/>
  <c r="J98" i="26"/>
  <c r="Y26" i="26"/>
  <c r="Z26" i="26" s="1"/>
  <c r="AA26" i="26" s="1"/>
  <c r="R26" i="26"/>
  <c r="F26" i="26"/>
  <c r="J26" i="26"/>
  <c r="Y35" i="26"/>
  <c r="Z35" i="26" s="1"/>
  <c r="AA35" i="26" s="1"/>
  <c r="F35" i="26"/>
  <c r="J35" i="26"/>
  <c r="N35" i="26"/>
  <c r="R21" i="26"/>
  <c r="Y21" i="26"/>
  <c r="Z21" i="26" s="1"/>
  <c r="AA21" i="26" s="1"/>
  <c r="J21" i="26"/>
  <c r="F21" i="26"/>
  <c r="J43" i="26"/>
  <c r="R43" i="26"/>
  <c r="F43" i="26"/>
  <c r="N43" i="26"/>
  <c r="Y43" i="26"/>
  <c r="Z43" i="26" s="1"/>
  <c r="AA43" i="26" s="1"/>
  <c r="Y61" i="26"/>
  <c r="Z61" i="26" s="1"/>
  <c r="AA61" i="26" s="1"/>
  <c r="F61" i="26"/>
  <c r="J61" i="26"/>
  <c r="R79" i="26"/>
  <c r="R83" i="26"/>
  <c r="Y139" i="26"/>
  <c r="Z139" i="26" s="1"/>
  <c r="AA139" i="26" s="1"/>
  <c r="R139" i="26"/>
  <c r="F139" i="26"/>
  <c r="J139" i="26"/>
  <c r="F12" i="26"/>
  <c r="Y12" i="26"/>
  <c r="Z12" i="26" s="1"/>
  <c r="AA12" i="26" s="1"/>
  <c r="J12" i="26"/>
  <c r="F24" i="26"/>
  <c r="Y24" i="26"/>
  <c r="Z24" i="26" s="1"/>
  <c r="AA24" i="26" s="1"/>
  <c r="J24" i="26"/>
  <c r="N24" i="26"/>
  <c r="Y116" i="26"/>
  <c r="Z116" i="26" s="1"/>
  <c r="AA116" i="26" s="1"/>
  <c r="R116" i="26"/>
  <c r="F116" i="26"/>
  <c r="J116" i="26"/>
  <c r="F89" i="26"/>
  <c r="Y89" i="26"/>
  <c r="Z89" i="26" s="1"/>
  <c r="AA89" i="26" s="1"/>
  <c r="N89" i="26"/>
  <c r="J89" i="26"/>
  <c r="Y92" i="26"/>
  <c r="Z92" i="26" s="1"/>
  <c r="AA92" i="26" s="1"/>
  <c r="R92" i="26"/>
  <c r="F92" i="26"/>
  <c r="J92" i="26"/>
  <c r="Y100" i="26"/>
  <c r="Z100" i="26" s="1"/>
  <c r="AA100" i="26" s="1"/>
  <c r="R100" i="26"/>
  <c r="F100" i="26"/>
  <c r="R104" i="26"/>
  <c r="Y104" i="26"/>
  <c r="Z104" i="26" s="1"/>
  <c r="AA104" i="26" s="1"/>
  <c r="J104" i="26"/>
  <c r="F104" i="26"/>
  <c r="F137" i="26"/>
  <c r="Y137" i="26"/>
  <c r="Z137" i="26" s="1"/>
  <c r="AA137" i="26" s="1"/>
  <c r="N137" i="26"/>
  <c r="J137" i="26"/>
  <c r="N138" i="26"/>
  <c r="J138" i="26"/>
  <c r="F138" i="26"/>
  <c r="F144" i="26"/>
  <c r="Y144" i="26"/>
  <c r="Z144" i="26" s="1"/>
  <c r="AA144" i="26" s="1"/>
  <c r="N144" i="26"/>
  <c r="J144" i="26"/>
  <c r="Y147" i="26"/>
  <c r="Z147" i="26" s="1"/>
  <c r="AA147" i="26" s="1"/>
  <c r="R147" i="26"/>
  <c r="F147" i="26"/>
  <c r="J147" i="26"/>
  <c r="N186" i="26"/>
  <c r="J186" i="26"/>
  <c r="Y186" i="26"/>
  <c r="Z186" i="26" s="1"/>
  <c r="AA186" i="26" s="1"/>
  <c r="F186" i="26"/>
  <c r="N195" i="26"/>
  <c r="J195" i="26"/>
  <c r="Y195" i="26"/>
  <c r="Z195" i="26" s="1"/>
  <c r="AA195" i="26" s="1"/>
  <c r="F195" i="26"/>
  <c r="Y198" i="26"/>
  <c r="Z198" i="26" s="1"/>
  <c r="AA198" i="26" s="1"/>
  <c r="F198" i="26"/>
  <c r="N198" i="26"/>
  <c r="J198" i="26"/>
  <c r="N228" i="26"/>
  <c r="J228" i="26"/>
  <c r="F228" i="26"/>
  <c r="Y228" i="26"/>
  <c r="Z228" i="26" s="1"/>
  <c r="AA228" i="26" s="1"/>
  <c r="R228" i="26"/>
  <c r="Y326" i="26"/>
  <c r="Z326" i="26" s="1"/>
  <c r="AA326" i="26" s="1"/>
  <c r="J326" i="26"/>
  <c r="F326" i="26"/>
  <c r="J570" i="26"/>
  <c r="F570" i="26"/>
  <c r="N570" i="26"/>
  <c r="Y570" i="26"/>
  <c r="Z570" i="26" s="1"/>
  <c r="AA570" i="26" s="1"/>
  <c r="R570" i="26"/>
  <c r="F649" i="26"/>
  <c r="Y649" i="26"/>
  <c r="Z649" i="26" s="1"/>
  <c r="AA649" i="26" s="1"/>
  <c r="J649" i="26"/>
  <c r="N846" i="26"/>
  <c r="N850" i="26"/>
  <c r="Y850" i="26"/>
  <c r="Z850" i="26" s="1"/>
  <c r="AA850" i="26" s="1"/>
  <c r="J850" i="26"/>
  <c r="R850" i="26"/>
  <c r="V8" i="26"/>
  <c r="F11" i="26"/>
  <c r="F15" i="26"/>
  <c r="R15" i="26"/>
  <c r="N25" i="26"/>
  <c r="J25" i="26"/>
  <c r="F25" i="26"/>
  <c r="N34" i="26"/>
  <c r="Y34" i="26"/>
  <c r="Z34" i="26" s="1"/>
  <c r="AA34" i="26" s="1"/>
  <c r="J34" i="26"/>
  <c r="Y45" i="26"/>
  <c r="Z45" i="26" s="1"/>
  <c r="AA45" i="26" s="1"/>
  <c r="J45" i="26"/>
  <c r="N45" i="26"/>
  <c r="R58" i="26"/>
  <c r="F58" i="26"/>
  <c r="Y58" i="26"/>
  <c r="Z58" i="26" s="1"/>
  <c r="AA58" i="26" s="1"/>
  <c r="J58" i="26"/>
  <c r="R63" i="26"/>
  <c r="F86" i="26"/>
  <c r="J86" i="26"/>
  <c r="Y86" i="26"/>
  <c r="Z86" i="26" s="1"/>
  <c r="AA86" i="26" s="1"/>
  <c r="R101" i="26"/>
  <c r="Y109" i="26"/>
  <c r="Z109" i="26" s="1"/>
  <c r="AA109" i="26" s="1"/>
  <c r="N109" i="26"/>
  <c r="J109" i="26"/>
  <c r="F153" i="26"/>
  <c r="N153" i="26"/>
  <c r="Y153" i="26"/>
  <c r="Z153" i="26" s="1"/>
  <c r="AA153" i="26" s="1"/>
  <c r="R153" i="26"/>
  <c r="Y229" i="26"/>
  <c r="Z229" i="26" s="1"/>
  <c r="AA229" i="26" s="1"/>
  <c r="R229" i="26"/>
  <c r="F229" i="26"/>
  <c r="J229" i="26"/>
  <c r="Y256" i="26"/>
  <c r="Z256" i="26" s="1"/>
  <c r="AA256" i="26" s="1"/>
  <c r="F256" i="26"/>
  <c r="J256" i="26"/>
  <c r="N256" i="26"/>
  <c r="Y281" i="26"/>
  <c r="Z281" i="26" s="1"/>
  <c r="AA281" i="26" s="1"/>
  <c r="F281" i="26"/>
  <c r="N281" i="26"/>
  <c r="J281" i="26"/>
  <c r="F304" i="26"/>
  <c r="N304" i="26"/>
  <c r="Y304" i="26"/>
  <c r="Z304" i="26" s="1"/>
  <c r="AA304" i="26" s="1"/>
  <c r="R304" i="26"/>
  <c r="J304" i="26"/>
  <c r="F311" i="26"/>
  <c r="Y311" i="26"/>
  <c r="Z311" i="26" s="1"/>
  <c r="AA311" i="26" s="1"/>
  <c r="R311" i="26"/>
  <c r="J311" i="26"/>
  <c r="Y318" i="26"/>
  <c r="Z318" i="26" s="1"/>
  <c r="AA318" i="26" s="1"/>
  <c r="J318" i="26"/>
  <c r="J321" i="26"/>
  <c r="Y321" i="26"/>
  <c r="Z321" i="26" s="1"/>
  <c r="AA321" i="26" s="1"/>
  <c r="F321" i="26"/>
  <c r="N326" i="26"/>
  <c r="F353" i="26"/>
  <c r="Y353" i="26"/>
  <c r="Z353" i="26" s="1"/>
  <c r="AA353" i="26" s="1"/>
  <c r="J353" i="26"/>
  <c r="J407" i="26"/>
  <c r="R407" i="26"/>
  <c r="F407" i="26"/>
  <c r="Y407" i="26"/>
  <c r="Z407" i="26" s="1"/>
  <c r="AA407" i="26" s="1"/>
  <c r="F530" i="26"/>
  <c r="Y530" i="26"/>
  <c r="Z530" i="26" s="1"/>
  <c r="AA530" i="26" s="1"/>
  <c r="J530" i="26"/>
  <c r="J543" i="26"/>
  <c r="Y543" i="26"/>
  <c r="Z543" i="26" s="1"/>
  <c r="AA543" i="26" s="1"/>
  <c r="F543" i="26"/>
  <c r="N543" i="26"/>
  <c r="N660" i="26"/>
  <c r="J821" i="26"/>
  <c r="N821" i="26"/>
  <c r="Y821" i="26"/>
  <c r="Z821" i="26" s="1"/>
  <c r="AA821" i="26" s="1"/>
  <c r="R821" i="26"/>
  <c r="R1085" i="26"/>
  <c r="F1085" i="26"/>
  <c r="Y1085" i="26"/>
  <c r="Z1085" i="26" s="1"/>
  <c r="AA1085" i="26" s="1"/>
  <c r="J1085" i="26"/>
  <c r="V17" i="26"/>
  <c r="N21" i="26"/>
  <c r="N26" i="26"/>
  <c r="F32" i="26"/>
  <c r="N32" i="26"/>
  <c r="Y32" i="26"/>
  <c r="Z32" i="26" s="1"/>
  <c r="AA32" i="26" s="1"/>
  <c r="V37" i="26"/>
  <c r="N42" i="26"/>
  <c r="F46" i="26"/>
  <c r="Y46" i="26"/>
  <c r="Z46" i="26" s="1"/>
  <c r="AA46" i="26" s="1"/>
  <c r="Y48" i="26"/>
  <c r="Z48" i="26" s="1"/>
  <c r="AA48" i="26" s="1"/>
  <c r="N61" i="26"/>
  <c r="R90" i="26"/>
  <c r="R98" i="26"/>
  <c r="J100" i="26"/>
  <c r="N108" i="26"/>
  <c r="N112" i="26"/>
  <c r="F114" i="26"/>
  <c r="Y114" i="26"/>
  <c r="Z114" i="26" s="1"/>
  <c r="AA114" i="26" s="1"/>
  <c r="N114" i="26"/>
  <c r="F121" i="26"/>
  <c r="Y121" i="26"/>
  <c r="Z121" i="26" s="1"/>
  <c r="AA121" i="26" s="1"/>
  <c r="N121" i="26"/>
  <c r="J121" i="26"/>
  <c r="Y138" i="26"/>
  <c r="Z138" i="26" s="1"/>
  <c r="AA138" i="26" s="1"/>
  <c r="R145" i="26"/>
  <c r="Y157" i="26"/>
  <c r="Z157" i="26" s="1"/>
  <c r="AA157" i="26" s="1"/>
  <c r="J157" i="26"/>
  <c r="F157" i="26"/>
  <c r="Y164" i="26"/>
  <c r="Z164" i="26" s="1"/>
  <c r="AA164" i="26" s="1"/>
  <c r="R164" i="26"/>
  <c r="F164" i="26"/>
  <c r="J164" i="26"/>
  <c r="F202" i="26"/>
  <c r="N202" i="26"/>
  <c r="J202" i="26"/>
  <c r="N283" i="26"/>
  <c r="N407" i="26"/>
  <c r="Y472" i="26"/>
  <c r="Z472" i="26" s="1"/>
  <c r="AA472" i="26" s="1"/>
  <c r="R472" i="26"/>
  <c r="F472" i="26"/>
  <c r="J472" i="26"/>
  <c r="Y490" i="26"/>
  <c r="Z490" i="26" s="1"/>
  <c r="AA490" i="26" s="1"/>
  <c r="J490" i="26"/>
  <c r="F490" i="26"/>
  <c r="R490" i="26"/>
  <c r="J497" i="26"/>
  <c r="Y497" i="26"/>
  <c r="Z497" i="26" s="1"/>
  <c r="AA497" i="26" s="1"/>
  <c r="N507" i="26"/>
  <c r="Y507" i="26"/>
  <c r="Z507" i="26" s="1"/>
  <c r="AA507" i="26" s="1"/>
  <c r="J507" i="26"/>
  <c r="R507" i="26"/>
  <c r="V553" i="26"/>
  <c r="N592" i="26"/>
  <c r="Y11" i="26"/>
  <c r="Z11" i="26" s="1"/>
  <c r="AA11" i="26" s="1"/>
  <c r="Y25" i="26"/>
  <c r="Z25" i="26" s="1"/>
  <c r="AA25" i="26" s="1"/>
  <c r="J27" i="26"/>
  <c r="J73" i="26"/>
  <c r="V77" i="26"/>
  <c r="N80" i="26"/>
  <c r="R82" i="26"/>
  <c r="J114" i="26"/>
  <c r="V115" i="26"/>
  <c r="R136" i="26"/>
  <c r="R151" i="26"/>
  <c r="F151" i="26"/>
  <c r="J151" i="26"/>
  <c r="J153" i="26"/>
  <c r="F176" i="26"/>
  <c r="Y176" i="26"/>
  <c r="Z176" i="26" s="1"/>
  <c r="AA176" i="26" s="1"/>
  <c r="N176" i="26"/>
  <c r="J176" i="26"/>
  <c r="F216" i="26"/>
  <c r="Y216" i="26"/>
  <c r="Z216" i="26" s="1"/>
  <c r="AA216" i="26" s="1"/>
  <c r="J216" i="26"/>
  <c r="N216" i="26"/>
  <c r="N241" i="26"/>
  <c r="Y251" i="26"/>
  <c r="Z251" i="26" s="1"/>
  <c r="AA251" i="26" s="1"/>
  <c r="F251" i="26"/>
  <c r="N251" i="26"/>
  <c r="J251" i="26"/>
  <c r="F261" i="26"/>
  <c r="Y261" i="26"/>
  <c r="Z261" i="26" s="1"/>
  <c r="AA261" i="26" s="1"/>
  <c r="N261" i="26"/>
  <c r="J261" i="26"/>
  <c r="F265" i="26"/>
  <c r="Y265" i="26"/>
  <c r="Z265" i="26" s="1"/>
  <c r="AA265" i="26" s="1"/>
  <c r="J265" i="26"/>
  <c r="F270" i="26"/>
  <c r="Y270" i="26"/>
  <c r="Z270" i="26" s="1"/>
  <c r="AA270" i="26" s="1"/>
  <c r="J270" i="26"/>
  <c r="F278" i="26"/>
  <c r="Y278" i="26"/>
  <c r="Z278" i="26" s="1"/>
  <c r="AA278" i="26" s="1"/>
  <c r="N278" i="26"/>
  <c r="J278" i="26"/>
  <c r="Y322" i="26"/>
  <c r="Z322" i="26" s="1"/>
  <c r="AA322" i="26" s="1"/>
  <c r="R322" i="26"/>
  <c r="F322" i="26"/>
  <c r="J322" i="26"/>
  <c r="N322" i="26"/>
  <c r="F336" i="26"/>
  <c r="N336" i="26"/>
  <c r="Y336" i="26"/>
  <c r="Z336" i="26" s="1"/>
  <c r="AA336" i="26" s="1"/>
  <c r="J336" i="26"/>
  <c r="F378" i="26"/>
  <c r="Y378" i="26"/>
  <c r="Z378" i="26" s="1"/>
  <c r="AA378" i="26" s="1"/>
  <c r="N378" i="26"/>
  <c r="F379" i="26"/>
  <c r="N379" i="26"/>
  <c r="Y379" i="26"/>
  <c r="Z379" i="26" s="1"/>
  <c r="AA379" i="26" s="1"/>
  <c r="J379" i="26"/>
  <c r="J392" i="26"/>
  <c r="F392" i="26"/>
  <c r="Y392" i="26"/>
  <c r="Z392" i="26" s="1"/>
  <c r="AA392" i="26" s="1"/>
  <c r="Y445" i="26"/>
  <c r="Z445" i="26" s="1"/>
  <c r="AA445" i="26" s="1"/>
  <c r="J445" i="26"/>
  <c r="N445" i="26"/>
  <c r="F445" i="26"/>
  <c r="Y453" i="26"/>
  <c r="Z453" i="26" s="1"/>
  <c r="AA453" i="26" s="1"/>
  <c r="F453" i="26"/>
  <c r="J453" i="26"/>
  <c r="N455" i="26"/>
  <c r="Y455" i="26"/>
  <c r="Z455" i="26" s="1"/>
  <c r="AA455" i="26" s="1"/>
  <c r="J455" i="26"/>
  <c r="R455" i="26"/>
  <c r="F455" i="26"/>
  <c r="N465" i="26"/>
  <c r="J519" i="26"/>
  <c r="F519" i="26"/>
  <c r="Y519" i="26"/>
  <c r="Z519" i="26" s="1"/>
  <c r="AA519" i="26" s="1"/>
  <c r="R519" i="26"/>
  <c r="N590" i="26"/>
  <c r="F590" i="26"/>
  <c r="Y590" i="26"/>
  <c r="Z590" i="26" s="1"/>
  <c r="AA590" i="26" s="1"/>
  <c r="J590" i="26"/>
  <c r="Y1066" i="26"/>
  <c r="Z1066" i="26" s="1"/>
  <c r="AA1066" i="26" s="1"/>
  <c r="J1066" i="26"/>
  <c r="F1066" i="26"/>
  <c r="R48" i="26"/>
  <c r="F48" i="26"/>
  <c r="J67" i="26"/>
  <c r="N67" i="26"/>
  <c r="R67" i="26"/>
  <c r="F67" i="26"/>
  <c r="Y67" i="26"/>
  <c r="Z67" i="26" s="1"/>
  <c r="AA67" i="26" s="1"/>
  <c r="F70" i="26"/>
  <c r="J70" i="26"/>
  <c r="Y70" i="26"/>
  <c r="Z70" i="26" s="1"/>
  <c r="AA70" i="26" s="1"/>
  <c r="R76" i="26"/>
  <c r="F76" i="26"/>
  <c r="Y76" i="26"/>
  <c r="Z76" i="26" s="1"/>
  <c r="AA76" i="26" s="1"/>
  <c r="F4" i="26"/>
  <c r="J4" i="26"/>
  <c r="N6" i="26"/>
  <c r="J11" i="26"/>
  <c r="J15" i="26"/>
  <c r="R24" i="26"/>
  <c r="N33" i="26"/>
  <c r="J33" i="26"/>
  <c r="R33" i="26"/>
  <c r="N39" i="26"/>
  <c r="Y52" i="26"/>
  <c r="Z52" i="26" s="1"/>
  <c r="AA52" i="26" s="1"/>
  <c r="J52" i="26"/>
  <c r="J63" i="26"/>
  <c r="N63" i="26"/>
  <c r="I64" i="26"/>
  <c r="E64" i="26"/>
  <c r="Q64" i="26"/>
  <c r="J76" i="26"/>
  <c r="V101" i="26"/>
  <c r="Y108" i="26"/>
  <c r="Z108" i="26" s="1"/>
  <c r="AA108" i="26" s="1"/>
  <c r="R108" i="26"/>
  <c r="F108" i="26"/>
  <c r="V125" i="26"/>
  <c r="N131" i="26"/>
  <c r="J131" i="26"/>
  <c r="F131" i="26"/>
  <c r="R131" i="26"/>
  <c r="F136" i="26"/>
  <c r="Y136" i="26"/>
  <c r="Z136" i="26" s="1"/>
  <c r="AA136" i="26" s="1"/>
  <c r="N136" i="26"/>
  <c r="J136" i="26"/>
  <c r="V158" i="26"/>
  <c r="F161" i="26"/>
  <c r="Y161" i="26"/>
  <c r="Z161" i="26" s="1"/>
  <c r="AA161" i="26" s="1"/>
  <c r="J161" i="26"/>
  <c r="N161" i="26"/>
  <c r="F174" i="26"/>
  <c r="Y174" i="26"/>
  <c r="Z174" i="26" s="1"/>
  <c r="AA174" i="26" s="1"/>
  <c r="J174" i="26"/>
  <c r="R255" i="26"/>
  <c r="F255" i="26"/>
  <c r="Y255" i="26"/>
  <c r="Z255" i="26" s="1"/>
  <c r="AA255" i="26" s="1"/>
  <c r="J255" i="26"/>
  <c r="F260" i="26"/>
  <c r="Y260" i="26"/>
  <c r="Z260" i="26" s="1"/>
  <c r="AA260" i="26" s="1"/>
  <c r="N260" i="26"/>
  <c r="J260" i="26"/>
  <c r="F277" i="26"/>
  <c r="Y277" i="26"/>
  <c r="Z277" i="26" s="1"/>
  <c r="AA277" i="26" s="1"/>
  <c r="N277" i="26"/>
  <c r="J277" i="26"/>
  <c r="F334" i="26"/>
  <c r="Y334" i="26"/>
  <c r="Z334" i="26" s="1"/>
  <c r="AA334" i="26" s="1"/>
  <c r="J334" i="26"/>
  <c r="F346" i="26"/>
  <c r="N346" i="26"/>
  <c r="Y346" i="26"/>
  <c r="Z346" i="26" s="1"/>
  <c r="AA346" i="26" s="1"/>
  <c r="J346" i="26"/>
  <c r="R346" i="26"/>
  <c r="F370" i="26"/>
  <c r="Y370" i="26"/>
  <c r="Z370" i="26" s="1"/>
  <c r="AA370" i="26" s="1"/>
  <c r="N370" i="26"/>
  <c r="J370" i="26"/>
  <c r="N457" i="26"/>
  <c r="J564" i="26"/>
  <c r="F564" i="26"/>
  <c r="R564" i="26"/>
  <c r="Y564" i="26"/>
  <c r="Z564" i="26" s="1"/>
  <c r="AA564" i="26" s="1"/>
  <c r="N712" i="26"/>
  <c r="Y712" i="26"/>
  <c r="Z712" i="26" s="1"/>
  <c r="AA712" i="26" s="1"/>
  <c r="J712" i="26"/>
  <c r="R712" i="26"/>
  <c r="F712" i="26"/>
  <c r="F715" i="26"/>
  <c r="N715" i="26"/>
  <c r="Y715" i="26"/>
  <c r="Z715" i="26" s="1"/>
  <c r="AA715" i="26" s="1"/>
  <c r="J715" i="26"/>
  <c r="N14" i="26"/>
  <c r="J14" i="26"/>
  <c r="Y14" i="26"/>
  <c r="Z14" i="26" s="1"/>
  <c r="AA14" i="26" s="1"/>
  <c r="R14" i="26"/>
  <c r="R31" i="26"/>
  <c r="F33" i="26"/>
  <c r="F42" i="26"/>
  <c r="R42" i="26"/>
  <c r="Y63" i="26"/>
  <c r="Z63" i="26" s="1"/>
  <c r="AA63" i="26" s="1"/>
  <c r="Y69" i="26"/>
  <c r="Z69" i="26" s="1"/>
  <c r="AA69" i="26" s="1"/>
  <c r="F69" i="26"/>
  <c r="J69" i="26"/>
  <c r="V72" i="26"/>
  <c r="F82" i="26"/>
  <c r="J82" i="26"/>
  <c r="Y82" i="26"/>
  <c r="Z82" i="26" s="1"/>
  <c r="AA82" i="26" s="1"/>
  <c r="V85" i="26"/>
  <c r="N92" i="26"/>
  <c r="V93" i="26"/>
  <c r="N100" i="26"/>
  <c r="N104" i="26"/>
  <c r="R112" i="26"/>
  <c r="Y112" i="26"/>
  <c r="Z112" i="26" s="1"/>
  <c r="AA112" i="26" s="1"/>
  <c r="J112" i="26"/>
  <c r="F112" i="26"/>
  <c r="R120" i="26"/>
  <c r="Y120" i="26"/>
  <c r="Z120" i="26" s="1"/>
  <c r="AA120" i="26" s="1"/>
  <c r="J120" i="26"/>
  <c r="F120" i="26"/>
  <c r="F122" i="26"/>
  <c r="Y122" i="26"/>
  <c r="Z122" i="26" s="1"/>
  <c r="AA122" i="26" s="1"/>
  <c r="J122" i="26"/>
  <c r="N124" i="26"/>
  <c r="F129" i="26"/>
  <c r="Y129" i="26"/>
  <c r="Z129" i="26" s="1"/>
  <c r="AA129" i="26" s="1"/>
  <c r="N129" i="26"/>
  <c r="J129" i="26"/>
  <c r="Y131" i="26"/>
  <c r="Z131" i="26" s="1"/>
  <c r="AA131" i="26" s="1"/>
  <c r="R137" i="26"/>
  <c r="N141" i="26"/>
  <c r="N147" i="26"/>
  <c r="V148" i="26"/>
  <c r="R168" i="26"/>
  <c r="F168" i="26"/>
  <c r="Y168" i="26"/>
  <c r="Z168" i="26" s="1"/>
  <c r="AA168" i="26" s="1"/>
  <c r="F184" i="26"/>
  <c r="Y184" i="26"/>
  <c r="Z184" i="26" s="1"/>
  <c r="AA184" i="26" s="1"/>
  <c r="N184" i="26"/>
  <c r="J184" i="26"/>
  <c r="F193" i="26"/>
  <c r="Y193" i="26"/>
  <c r="Z193" i="26" s="1"/>
  <c r="AA193" i="26" s="1"/>
  <c r="N193" i="26"/>
  <c r="J193" i="26"/>
  <c r="F208" i="26"/>
  <c r="Y208" i="26"/>
  <c r="Z208" i="26" s="1"/>
  <c r="AA208" i="26" s="1"/>
  <c r="J208" i="26"/>
  <c r="N208" i="26"/>
  <c r="R234" i="26"/>
  <c r="F234" i="26"/>
  <c r="J234" i="26"/>
  <c r="F262" i="26"/>
  <c r="R262" i="26"/>
  <c r="N262" i="26"/>
  <c r="Y262" i="26"/>
  <c r="Z262" i="26" s="1"/>
  <c r="AA262" i="26" s="1"/>
  <c r="J262" i="26"/>
  <c r="F279" i="26"/>
  <c r="R279" i="26"/>
  <c r="N279" i="26"/>
  <c r="Y279" i="26"/>
  <c r="Z279" i="26" s="1"/>
  <c r="AA279" i="26" s="1"/>
  <c r="J279" i="26"/>
  <c r="F327" i="26"/>
  <c r="Y327" i="26"/>
  <c r="Z327" i="26" s="1"/>
  <c r="AA327" i="26" s="1"/>
  <c r="R327" i="26"/>
  <c r="J327" i="26"/>
  <c r="F335" i="26"/>
  <c r="Y335" i="26"/>
  <c r="Z335" i="26" s="1"/>
  <c r="AA335" i="26" s="1"/>
  <c r="N335" i="26"/>
  <c r="J335" i="26"/>
  <c r="F363" i="26"/>
  <c r="N363" i="26"/>
  <c r="Y363" i="26"/>
  <c r="Z363" i="26" s="1"/>
  <c r="AA363" i="26" s="1"/>
  <c r="J363" i="26"/>
  <c r="N421" i="26"/>
  <c r="N476" i="26"/>
  <c r="Y493" i="26"/>
  <c r="Z493" i="26" s="1"/>
  <c r="AA493" i="26" s="1"/>
  <c r="J493" i="26"/>
  <c r="F493" i="26"/>
  <c r="J554" i="26"/>
  <c r="F554" i="26"/>
  <c r="R554" i="26"/>
  <c r="Y554" i="26"/>
  <c r="Z554" i="26" s="1"/>
  <c r="AA554" i="26" s="1"/>
  <c r="R667" i="26"/>
  <c r="N728" i="26"/>
  <c r="Y728" i="26"/>
  <c r="Z728" i="26" s="1"/>
  <c r="AA728" i="26" s="1"/>
  <c r="J728" i="26"/>
  <c r="F728" i="26"/>
  <c r="R728" i="26"/>
  <c r="F736" i="26"/>
  <c r="N736" i="26"/>
  <c r="Y736" i="26"/>
  <c r="Z736" i="26" s="1"/>
  <c r="AA736" i="26" s="1"/>
  <c r="J736" i="26"/>
  <c r="F821" i="26"/>
  <c r="F984" i="26"/>
  <c r="Y984" i="26"/>
  <c r="Z984" i="26" s="1"/>
  <c r="AA984" i="26" s="1"/>
  <c r="J984" i="26"/>
  <c r="R984" i="26"/>
  <c r="F13" i="26"/>
  <c r="N13" i="26"/>
  <c r="J13" i="26"/>
  <c r="F14" i="26"/>
  <c r="F36" i="26"/>
  <c r="J36" i="26"/>
  <c r="Y36" i="26"/>
  <c r="Z36" i="26" s="1"/>
  <c r="AA36" i="26" s="1"/>
  <c r="R36" i="26"/>
  <c r="V39" i="26"/>
  <c r="R45" i="26"/>
  <c r="V47" i="26"/>
  <c r="N58" i="26"/>
  <c r="V65" i="26"/>
  <c r="N65" i="26" s="1"/>
  <c r="J68" i="26"/>
  <c r="Y68" i="26"/>
  <c r="Z68" i="26" s="1"/>
  <c r="AA68" i="26" s="1"/>
  <c r="R70" i="26"/>
  <c r="R75" i="26"/>
  <c r="Y80" i="26"/>
  <c r="Z80" i="26" s="1"/>
  <c r="AA80" i="26" s="1"/>
  <c r="R80" i="26"/>
  <c r="F80" i="26"/>
  <c r="J80" i="26"/>
  <c r="V88" i="26"/>
  <c r="N88" i="26" s="1"/>
  <c r="N91" i="26"/>
  <c r="J91" i="26"/>
  <c r="F91" i="26"/>
  <c r="Y91" i="26"/>
  <c r="Z91" i="26" s="1"/>
  <c r="AA91" i="26" s="1"/>
  <c r="R109" i="26"/>
  <c r="N120" i="26"/>
  <c r="N146" i="26"/>
  <c r="J146" i="26"/>
  <c r="F146" i="26"/>
  <c r="Y146" i="26"/>
  <c r="Z146" i="26" s="1"/>
  <c r="AA146" i="26" s="1"/>
  <c r="Y165" i="26"/>
  <c r="Z165" i="26" s="1"/>
  <c r="AA165" i="26" s="1"/>
  <c r="J165" i="26"/>
  <c r="F165" i="26"/>
  <c r="R177" i="26"/>
  <c r="R215" i="26"/>
  <c r="F215" i="26"/>
  <c r="Y215" i="26"/>
  <c r="Z215" i="26" s="1"/>
  <c r="AA215" i="26" s="1"/>
  <c r="J215" i="26"/>
  <c r="Y241" i="26"/>
  <c r="Z241" i="26" s="1"/>
  <c r="AA241" i="26" s="1"/>
  <c r="R241" i="26"/>
  <c r="J241" i="26"/>
  <c r="F241" i="26"/>
  <c r="J244" i="26"/>
  <c r="N244" i="26"/>
  <c r="Y244" i="26"/>
  <c r="Z244" i="26" s="1"/>
  <c r="AA244" i="26" s="1"/>
  <c r="R244" i="26"/>
  <c r="F244" i="26"/>
  <c r="V250" i="26"/>
  <c r="R268" i="26"/>
  <c r="F268" i="26"/>
  <c r="Y268" i="26"/>
  <c r="Z268" i="26" s="1"/>
  <c r="AA268" i="26" s="1"/>
  <c r="N268" i="26"/>
  <c r="J268" i="26"/>
  <c r="R284" i="26"/>
  <c r="F284" i="26"/>
  <c r="Y284" i="26"/>
  <c r="Z284" i="26" s="1"/>
  <c r="AA284" i="26" s="1"/>
  <c r="N284" i="26"/>
  <c r="J284" i="26"/>
  <c r="F331" i="26"/>
  <c r="Y331" i="26"/>
  <c r="Z331" i="26" s="1"/>
  <c r="AA331" i="26" s="1"/>
  <c r="J331" i="26"/>
  <c r="N489" i="26"/>
  <c r="F495" i="26"/>
  <c r="N495" i="26"/>
  <c r="Y495" i="26"/>
  <c r="Z495" i="26" s="1"/>
  <c r="AA495" i="26" s="1"/>
  <c r="J495" i="26"/>
  <c r="Y498" i="26"/>
  <c r="Z498" i="26" s="1"/>
  <c r="AA498" i="26" s="1"/>
  <c r="F498" i="26"/>
  <c r="N498" i="26"/>
  <c r="J498" i="26"/>
  <c r="J502" i="26"/>
  <c r="Y502" i="26"/>
  <c r="Z502" i="26" s="1"/>
  <c r="AA502" i="26" s="1"/>
  <c r="L555" i="26"/>
  <c r="J555" i="26" s="1"/>
  <c r="I555" i="26"/>
  <c r="E558" i="26"/>
  <c r="Q558" i="26"/>
  <c r="M558" i="26"/>
  <c r="I558" i="26"/>
  <c r="X558" i="26"/>
  <c r="N4" i="26"/>
  <c r="N8" i="26"/>
  <c r="J19" i="26"/>
  <c r="F22" i="26"/>
  <c r="Y22" i="26"/>
  <c r="Z22" i="26" s="1"/>
  <c r="AA22" i="26" s="1"/>
  <c r="R22" i="26"/>
  <c r="Y33" i="26"/>
  <c r="Z33" i="26" s="1"/>
  <c r="AA33" i="26" s="1"/>
  <c r="J42" i="26"/>
  <c r="Y42" i="26"/>
  <c r="Z42" i="26" s="1"/>
  <c r="AA42" i="26" s="1"/>
  <c r="F45" i="26"/>
  <c r="F62" i="26"/>
  <c r="N62" i="26"/>
  <c r="J62" i="26"/>
  <c r="Y62" i="26"/>
  <c r="Z62" i="26" s="1"/>
  <c r="AA62" i="26" s="1"/>
  <c r="N76" i="26"/>
  <c r="R86" i="26"/>
  <c r="R89" i="26"/>
  <c r="F106" i="26"/>
  <c r="Y106" i="26"/>
  <c r="Z106" i="26" s="1"/>
  <c r="AA106" i="26" s="1"/>
  <c r="J108" i="26"/>
  <c r="F109" i="26"/>
  <c r="F113" i="26"/>
  <c r="Y113" i="26"/>
  <c r="Z113" i="26" s="1"/>
  <c r="AA113" i="26" s="1"/>
  <c r="N113" i="26"/>
  <c r="J113" i="26"/>
  <c r="N123" i="26"/>
  <c r="J123" i="26"/>
  <c r="F123" i="26"/>
  <c r="Y123" i="26"/>
  <c r="Z123" i="26" s="1"/>
  <c r="AA123" i="26" s="1"/>
  <c r="R123" i="26"/>
  <c r="R135" i="26"/>
  <c r="Y135" i="26"/>
  <c r="Z135" i="26" s="1"/>
  <c r="AA135" i="26" s="1"/>
  <c r="J135" i="26"/>
  <c r="F135" i="26"/>
  <c r="R138" i="26"/>
  <c r="R144" i="26"/>
  <c r="F152" i="26"/>
  <c r="Y152" i="26"/>
  <c r="Z152" i="26" s="1"/>
  <c r="AA152" i="26" s="1"/>
  <c r="J152" i="26"/>
  <c r="N163" i="26"/>
  <c r="J163" i="26"/>
  <c r="Y163" i="26"/>
  <c r="Z163" i="26" s="1"/>
  <c r="AA163" i="26" s="1"/>
  <c r="J166" i="26"/>
  <c r="F166" i="26"/>
  <c r="N166" i="26"/>
  <c r="N174" i="26"/>
  <c r="R186" i="26"/>
  <c r="Y188" i="26"/>
  <c r="Z188" i="26" s="1"/>
  <c r="AA188" i="26" s="1"/>
  <c r="F188" i="26"/>
  <c r="N188" i="26"/>
  <c r="J188" i="26"/>
  <c r="R195" i="26"/>
  <c r="Y212" i="26"/>
  <c r="Z212" i="26" s="1"/>
  <c r="AA212" i="26" s="1"/>
  <c r="J212" i="26"/>
  <c r="N212" i="26"/>
  <c r="F212" i="26"/>
  <c r="F218" i="26"/>
  <c r="Y218" i="26"/>
  <c r="Z218" i="26" s="1"/>
  <c r="AA218" i="26" s="1"/>
  <c r="J218" i="26"/>
  <c r="F238" i="26"/>
  <c r="Y238" i="26"/>
  <c r="Z238" i="26" s="1"/>
  <c r="AA238" i="26" s="1"/>
  <c r="N238" i="26"/>
  <c r="R240" i="26"/>
  <c r="R254" i="26"/>
  <c r="J254" i="26"/>
  <c r="F254" i="26"/>
  <c r="Y254" i="26"/>
  <c r="Z254" i="26" s="1"/>
  <c r="AA254" i="26" s="1"/>
  <c r="F272" i="26"/>
  <c r="Y272" i="26"/>
  <c r="Z272" i="26" s="1"/>
  <c r="AA272" i="26" s="1"/>
  <c r="J272" i="26"/>
  <c r="F294" i="26"/>
  <c r="Y294" i="26"/>
  <c r="Z294" i="26" s="1"/>
  <c r="AA294" i="26" s="1"/>
  <c r="N294" i="26"/>
  <c r="F295" i="26"/>
  <c r="Y295" i="26"/>
  <c r="Z295" i="26" s="1"/>
  <c r="AA295" i="26" s="1"/>
  <c r="N295" i="26"/>
  <c r="J295" i="26"/>
  <c r="F299" i="26"/>
  <c r="Y299" i="26"/>
  <c r="Z299" i="26" s="1"/>
  <c r="AA299" i="26" s="1"/>
  <c r="J299" i="26"/>
  <c r="Y348" i="26"/>
  <c r="Z348" i="26" s="1"/>
  <c r="AA348" i="26" s="1"/>
  <c r="J348" i="26"/>
  <c r="R348" i="26"/>
  <c r="F348" i="26"/>
  <c r="Y357" i="26"/>
  <c r="Z357" i="26" s="1"/>
  <c r="AA357" i="26" s="1"/>
  <c r="J357" i="26"/>
  <c r="R357" i="26"/>
  <c r="F357" i="26"/>
  <c r="Y389" i="26"/>
  <c r="Z389" i="26" s="1"/>
  <c r="AA389" i="26" s="1"/>
  <c r="J389" i="26"/>
  <c r="R389" i="26"/>
  <c r="F389" i="26"/>
  <c r="J483" i="26"/>
  <c r="F483" i="26"/>
  <c r="Y483" i="26"/>
  <c r="Z483" i="26" s="1"/>
  <c r="AA483" i="26" s="1"/>
  <c r="R483" i="26"/>
  <c r="N720" i="26"/>
  <c r="Y720" i="26"/>
  <c r="Z720" i="26" s="1"/>
  <c r="AA720" i="26" s="1"/>
  <c r="R720" i="26"/>
  <c r="F720" i="26"/>
  <c r="J720" i="26"/>
  <c r="F723" i="26"/>
  <c r="J723" i="26"/>
  <c r="N723" i="26"/>
  <c r="N15" i="26"/>
  <c r="F30" i="26"/>
  <c r="R46" i="26"/>
  <c r="R66" i="26"/>
  <c r="V74" i="26"/>
  <c r="J81" i="26"/>
  <c r="N84" i="26"/>
  <c r="R97" i="26"/>
  <c r="R106" i="26"/>
  <c r="N116" i="26"/>
  <c r="Y117" i="26"/>
  <c r="Z117" i="26" s="1"/>
  <c r="AA117" i="26" s="1"/>
  <c r="N117" i="26"/>
  <c r="J117" i="26"/>
  <c r="R125" i="26"/>
  <c r="N128" i="26"/>
  <c r="R152" i="26"/>
  <c r="F162" i="26"/>
  <c r="N162" i="26"/>
  <c r="Y162" i="26"/>
  <c r="Z162" i="26" s="1"/>
  <c r="AA162" i="26" s="1"/>
  <c r="R162" i="26"/>
  <c r="R165" i="26"/>
  <c r="N168" i="26"/>
  <c r="N179" i="26"/>
  <c r="Y180" i="26"/>
  <c r="Z180" i="26" s="1"/>
  <c r="AA180" i="26" s="1"/>
  <c r="N180" i="26"/>
  <c r="J180" i="26"/>
  <c r="Y211" i="26"/>
  <c r="Z211" i="26" s="1"/>
  <c r="AA211" i="26" s="1"/>
  <c r="R211" i="26"/>
  <c r="F211" i="26"/>
  <c r="R218" i="26"/>
  <c r="R245" i="26"/>
  <c r="Y245" i="26"/>
  <c r="Z245" i="26" s="1"/>
  <c r="AA245" i="26" s="1"/>
  <c r="J245" i="26"/>
  <c r="R248" i="26"/>
  <c r="R251" i="26"/>
  <c r="R270" i="26"/>
  <c r="Y273" i="26"/>
  <c r="Z273" i="26" s="1"/>
  <c r="AA273" i="26" s="1"/>
  <c r="F273" i="26"/>
  <c r="J273" i="26"/>
  <c r="N273" i="26"/>
  <c r="F302" i="26"/>
  <c r="Y302" i="26"/>
  <c r="Z302" i="26" s="1"/>
  <c r="AA302" i="26" s="1"/>
  <c r="N302" i="26"/>
  <c r="J329" i="26"/>
  <c r="Y329" i="26"/>
  <c r="Z329" i="26" s="1"/>
  <c r="AA329" i="26" s="1"/>
  <c r="R363" i="26"/>
  <c r="F387" i="26"/>
  <c r="N387" i="26"/>
  <c r="Y387" i="26"/>
  <c r="Z387" i="26" s="1"/>
  <c r="AA387" i="26" s="1"/>
  <c r="Y388" i="26"/>
  <c r="Z388" i="26" s="1"/>
  <c r="AA388" i="26" s="1"/>
  <c r="J388" i="26"/>
  <c r="F388" i="26"/>
  <c r="N399" i="26"/>
  <c r="J402" i="26"/>
  <c r="F402" i="26"/>
  <c r="N402" i="26"/>
  <c r="Y402" i="26"/>
  <c r="Z402" i="26" s="1"/>
  <c r="AA402" i="26" s="1"/>
  <c r="V406" i="26"/>
  <c r="F485" i="26"/>
  <c r="R485" i="26"/>
  <c r="Y533" i="26"/>
  <c r="Z533" i="26" s="1"/>
  <c r="AA533" i="26" s="1"/>
  <c r="J533" i="26"/>
  <c r="F533" i="26"/>
  <c r="R537" i="26"/>
  <c r="N537" i="26"/>
  <c r="Y537" i="26"/>
  <c r="Z537" i="26" s="1"/>
  <c r="AA537" i="26" s="1"/>
  <c r="F537" i="26"/>
  <c r="F551" i="26"/>
  <c r="Y551" i="26"/>
  <c r="Z551" i="26" s="1"/>
  <c r="AA551" i="26" s="1"/>
  <c r="N551" i="26"/>
  <c r="J551" i="26"/>
  <c r="Q557" i="26"/>
  <c r="M557" i="26"/>
  <c r="E557" i="26"/>
  <c r="X557" i="26"/>
  <c r="V561" i="26"/>
  <c r="R595" i="26"/>
  <c r="F595" i="26"/>
  <c r="Y595" i="26"/>
  <c r="Z595" i="26" s="1"/>
  <c r="AA595" i="26" s="1"/>
  <c r="N595" i="26"/>
  <c r="J595" i="26"/>
  <c r="Y798" i="26"/>
  <c r="Z798" i="26" s="1"/>
  <c r="AA798" i="26" s="1"/>
  <c r="R798" i="26"/>
  <c r="F798" i="26"/>
  <c r="J798" i="26"/>
  <c r="Y868" i="26"/>
  <c r="Z868" i="26" s="1"/>
  <c r="AA868" i="26" s="1"/>
  <c r="R868" i="26"/>
  <c r="F868" i="26"/>
  <c r="J868" i="26"/>
  <c r="Q1500" i="26"/>
  <c r="E1500" i="26"/>
  <c r="M1500" i="26"/>
  <c r="V1500" i="26"/>
  <c r="I1500" i="26"/>
  <c r="V183" i="26"/>
  <c r="R184" i="26"/>
  <c r="V192" i="26"/>
  <c r="R193" i="26"/>
  <c r="Y220" i="26"/>
  <c r="Z220" i="26" s="1"/>
  <c r="AA220" i="26" s="1"/>
  <c r="R220" i="26"/>
  <c r="F220" i="26"/>
  <c r="I245" i="26"/>
  <c r="E245" i="26"/>
  <c r="Q245" i="26"/>
  <c r="N254" i="26"/>
  <c r="F257" i="26"/>
  <c r="Y257" i="26"/>
  <c r="Z257" i="26" s="1"/>
  <c r="AA257" i="26" s="1"/>
  <c r="F269" i="26"/>
  <c r="Y269" i="26"/>
  <c r="Z269" i="26" s="1"/>
  <c r="AA269" i="26" s="1"/>
  <c r="N269" i="26"/>
  <c r="F297" i="26"/>
  <c r="Y297" i="26"/>
  <c r="Z297" i="26" s="1"/>
  <c r="AA297" i="26" s="1"/>
  <c r="J297" i="26"/>
  <c r="F305" i="26"/>
  <c r="Y305" i="26"/>
  <c r="Z305" i="26" s="1"/>
  <c r="AA305" i="26" s="1"/>
  <c r="J305" i="26"/>
  <c r="Y314" i="26"/>
  <c r="Z314" i="26" s="1"/>
  <c r="AA314" i="26" s="1"/>
  <c r="R314" i="26"/>
  <c r="F314" i="26"/>
  <c r="J314" i="26"/>
  <c r="N314" i="26"/>
  <c r="N318" i="26"/>
  <c r="F323" i="26"/>
  <c r="Y323" i="26"/>
  <c r="Z323" i="26" s="1"/>
  <c r="AA323" i="26" s="1"/>
  <c r="F354" i="26"/>
  <c r="Y354" i="26"/>
  <c r="Z354" i="26" s="1"/>
  <c r="AA354" i="26" s="1"/>
  <c r="N354" i="26"/>
  <c r="J354" i="26"/>
  <c r="J360" i="26"/>
  <c r="R360" i="26"/>
  <c r="N360" i="26"/>
  <c r="Y360" i="26"/>
  <c r="Z360" i="26" s="1"/>
  <c r="AA360" i="26" s="1"/>
  <c r="F360" i="26"/>
  <c r="F397" i="26"/>
  <c r="N397" i="26"/>
  <c r="J397" i="26"/>
  <c r="J424" i="26"/>
  <c r="F424" i="26"/>
  <c r="N424" i="26"/>
  <c r="Y424" i="26"/>
  <c r="Z424" i="26" s="1"/>
  <c r="AA424" i="26" s="1"/>
  <c r="Y443" i="26"/>
  <c r="Z443" i="26" s="1"/>
  <c r="AA443" i="26" s="1"/>
  <c r="J443" i="26"/>
  <c r="F443" i="26"/>
  <c r="N443" i="26"/>
  <c r="Y448" i="26"/>
  <c r="Z448" i="26" s="1"/>
  <c r="AA448" i="26" s="1"/>
  <c r="R448" i="26"/>
  <c r="F448" i="26"/>
  <c r="J448" i="26"/>
  <c r="J494" i="26"/>
  <c r="F494" i="26"/>
  <c r="Y494" i="26"/>
  <c r="Z494" i="26" s="1"/>
  <c r="AA494" i="26" s="1"/>
  <c r="F499" i="26"/>
  <c r="N499" i="26"/>
  <c r="J499" i="26"/>
  <c r="R499" i="26"/>
  <c r="F505" i="26"/>
  <c r="J505" i="26"/>
  <c r="Y505" i="26"/>
  <c r="Z505" i="26" s="1"/>
  <c r="AA505" i="26" s="1"/>
  <c r="Y637" i="26"/>
  <c r="Z637" i="26" s="1"/>
  <c r="AA637" i="26" s="1"/>
  <c r="J637" i="26"/>
  <c r="F637" i="26"/>
  <c r="J666" i="26"/>
  <c r="F666" i="26"/>
  <c r="R666" i="26"/>
  <c r="N666" i="26"/>
  <c r="Y666" i="26"/>
  <c r="Z666" i="26" s="1"/>
  <c r="AA666" i="26" s="1"/>
  <c r="J677" i="26"/>
  <c r="F677" i="26"/>
  <c r="R677" i="26"/>
  <c r="N677" i="26"/>
  <c r="Y677" i="26"/>
  <c r="Z677" i="26" s="1"/>
  <c r="AA677" i="26" s="1"/>
  <c r="J709" i="26"/>
  <c r="F709" i="26"/>
  <c r="R709" i="26"/>
  <c r="N709" i="26"/>
  <c r="Y709" i="26"/>
  <c r="Z709" i="26" s="1"/>
  <c r="AA709" i="26" s="1"/>
  <c r="F731" i="26"/>
  <c r="N731" i="26"/>
  <c r="Y731" i="26"/>
  <c r="Z731" i="26" s="1"/>
  <c r="AA731" i="26" s="1"/>
  <c r="J731" i="26"/>
  <c r="Y819" i="26"/>
  <c r="Z819" i="26" s="1"/>
  <c r="AA819" i="26" s="1"/>
  <c r="J819" i="26"/>
  <c r="F819" i="26"/>
  <c r="F824" i="26"/>
  <c r="N824" i="26"/>
  <c r="Y824" i="26"/>
  <c r="Z824" i="26" s="1"/>
  <c r="AA824" i="26" s="1"/>
  <c r="J824" i="26"/>
  <c r="R824" i="26"/>
  <c r="F1032" i="26"/>
  <c r="Y1032" i="26"/>
  <c r="Z1032" i="26" s="1"/>
  <c r="AA1032" i="26" s="1"/>
  <c r="J1032" i="26"/>
  <c r="R1032" i="26"/>
  <c r="N11" i="26"/>
  <c r="R12" i="26"/>
  <c r="R16" i="26"/>
  <c r="N19" i="26"/>
  <c r="R20" i="26"/>
  <c r="I38" i="26"/>
  <c r="M38" i="26"/>
  <c r="V53" i="26"/>
  <c r="Q66" i="26"/>
  <c r="E66" i="26"/>
  <c r="V66" i="26" s="1"/>
  <c r="N73" i="26"/>
  <c r="V78" i="26"/>
  <c r="F97" i="26"/>
  <c r="Y97" i="26"/>
  <c r="Z97" i="26" s="1"/>
  <c r="AA97" i="26" s="1"/>
  <c r="N97" i="26"/>
  <c r="J97" i="26"/>
  <c r="V99" i="26"/>
  <c r="R121" i="26"/>
  <c r="R130" i="26"/>
  <c r="R160" i="26"/>
  <c r="F160" i="26"/>
  <c r="R174" i="26"/>
  <c r="R176" i="26"/>
  <c r="R209" i="26"/>
  <c r="J220" i="26"/>
  <c r="F227" i="26"/>
  <c r="Y227" i="26"/>
  <c r="Z227" i="26" s="1"/>
  <c r="AA227" i="26" s="1"/>
  <c r="J227" i="26"/>
  <c r="N231" i="26"/>
  <c r="V242" i="26"/>
  <c r="F246" i="26"/>
  <c r="Y246" i="26"/>
  <c r="Z246" i="26" s="1"/>
  <c r="AA246" i="26" s="1"/>
  <c r="J246" i="26"/>
  <c r="N246" i="26"/>
  <c r="R261" i="26"/>
  <c r="F287" i="26"/>
  <c r="N287" i="26"/>
  <c r="Y287" i="26"/>
  <c r="Z287" i="26" s="1"/>
  <c r="AA287" i="26" s="1"/>
  <c r="R287" i="26"/>
  <c r="F296" i="26"/>
  <c r="R296" i="26"/>
  <c r="N296" i="26"/>
  <c r="Y296" i="26"/>
  <c r="Z296" i="26" s="1"/>
  <c r="AA296" i="26" s="1"/>
  <c r="R303" i="26"/>
  <c r="Y306" i="26"/>
  <c r="Z306" i="26" s="1"/>
  <c r="AA306" i="26" s="1"/>
  <c r="R306" i="26"/>
  <c r="F306" i="26"/>
  <c r="J306" i="26"/>
  <c r="N306" i="26"/>
  <c r="N307" i="26"/>
  <c r="F315" i="26"/>
  <c r="Y315" i="26"/>
  <c r="Z315" i="26" s="1"/>
  <c r="AA315" i="26" s="1"/>
  <c r="J359" i="26"/>
  <c r="F359" i="26"/>
  <c r="Y359" i="26"/>
  <c r="Z359" i="26" s="1"/>
  <c r="AA359" i="26" s="1"/>
  <c r="F371" i="26"/>
  <c r="N371" i="26"/>
  <c r="Y371" i="26"/>
  <c r="Z371" i="26" s="1"/>
  <c r="AA371" i="26" s="1"/>
  <c r="J371" i="26"/>
  <c r="Y373" i="26"/>
  <c r="Z373" i="26" s="1"/>
  <c r="AA373" i="26" s="1"/>
  <c r="J373" i="26"/>
  <c r="R373" i="26"/>
  <c r="F373" i="26"/>
  <c r="N431" i="26"/>
  <c r="Y466" i="26"/>
  <c r="Z466" i="26" s="1"/>
  <c r="AA466" i="26" s="1"/>
  <c r="J466" i="26"/>
  <c r="Y481" i="26"/>
  <c r="Z481" i="26" s="1"/>
  <c r="AA481" i="26" s="1"/>
  <c r="J481" i="26"/>
  <c r="N482" i="26"/>
  <c r="R497" i="26"/>
  <c r="Y516" i="26"/>
  <c r="Z516" i="26" s="1"/>
  <c r="AA516" i="26" s="1"/>
  <c r="J516" i="26"/>
  <c r="F516" i="26"/>
  <c r="R516" i="26"/>
  <c r="F567" i="26"/>
  <c r="Y567" i="26"/>
  <c r="Z567" i="26" s="1"/>
  <c r="AA567" i="26" s="1"/>
  <c r="J567" i="26"/>
  <c r="J593" i="26"/>
  <c r="Y593" i="26"/>
  <c r="Z593" i="26" s="1"/>
  <c r="AA593" i="26" s="1"/>
  <c r="F593" i="26"/>
  <c r="N599" i="26"/>
  <c r="J599" i="26"/>
  <c r="F599" i="26"/>
  <c r="R599" i="26"/>
  <c r="F608" i="26"/>
  <c r="Y608" i="26"/>
  <c r="Z608" i="26" s="1"/>
  <c r="AA608" i="26" s="1"/>
  <c r="J608" i="26"/>
  <c r="J650" i="26"/>
  <c r="F650" i="26"/>
  <c r="R650" i="26"/>
  <c r="N650" i="26"/>
  <c r="Y650" i="26"/>
  <c r="Z650" i="26" s="1"/>
  <c r="AA650" i="26" s="1"/>
  <c r="Y669" i="26"/>
  <c r="Z669" i="26" s="1"/>
  <c r="AA669" i="26" s="1"/>
  <c r="J669" i="26"/>
  <c r="F669" i="26"/>
  <c r="J833" i="26"/>
  <c r="F833" i="26"/>
  <c r="Y833" i="26"/>
  <c r="Z833" i="26" s="1"/>
  <c r="AA833" i="26" s="1"/>
  <c r="F840" i="26"/>
  <c r="Y840" i="26"/>
  <c r="Z840" i="26" s="1"/>
  <c r="AA840" i="26" s="1"/>
  <c r="J840" i="26"/>
  <c r="N840" i="26"/>
  <c r="Y915" i="26"/>
  <c r="Z915" i="26" s="1"/>
  <c r="AA915" i="26" s="1"/>
  <c r="J915" i="26"/>
  <c r="F915" i="26"/>
  <c r="R915" i="26"/>
  <c r="J1054" i="26"/>
  <c r="F1054" i="26"/>
  <c r="R1054" i="26"/>
  <c r="F1133" i="26"/>
  <c r="Y1133" i="26"/>
  <c r="Z1133" i="26" s="1"/>
  <c r="AA1133" i="26" s="1"/>
  <c r="J1133" i="26"/>
  <c r="F1386" i="26"/>
  <c r="Y1386" i="26"/>
  <c r="Z1386" i="26" s="1"/>
  <c r="AA1386" i="26" s="1"/>
  <c r="J1386" i="26"/>
  <c r="F1428" i="26"/>
  <c r="Y1428" i="26"/>
  <c r="Z1428" i="26" s="1"/>
  <c r="AA1428" i="26" s="1"/>
  <c r="J1428" i="26"/>
  <c r="R188" i="26"/>
  <c r="R198" i="26"/>
  <c r="R202" i="26"/>
  <c r="R204" i="26"/>
  <c r="J204" i="26"/>
  <c r="F209" i="26"/>
  <c r="Y209" i="26"/>
  <c r="Z209" i="26" s="1"/>
  <c r="AA209" i="26" s="1"/>
  <c r="J209" i="26"/>
  <c r="V219" i="26"/>
  <c r="N229" i="26"/>
  <c r="V230" i="26"/>
  <c r="N265" i="26"/>
  <c r="F285" i="26"/>
  <c r="Y285" i="26"/>
  <c r="Z285" i="26" s="1"/>
  <c r="AA285" i="26" s="1"/>
  <c r="N285" i="26"/>
  <c r="F288" i="26"/>
  <c r="Y288" i="26"/>
  <c r="Z288" i="26" s="1"/>
  <c r="AA288" i="26" s="1"/>
  <c r="J288" i="26"/>
  <c r="R301" i="26"/>
  <c r="F301" i="26"/>
  <c r="Y301" i="26"/>
  <c r="Z301" i="26" s="1"/>
  <c r="AA301" i="26" s="1"/>
  <c r="N301" i="26"/>
  <c r="J301" i="26"/>
  <c r="F303" i="26"/>
  <c r="Y303" i="26"/>
  <c r="Z303" i="26" s="1"/>
  <c r="AA303" i="26" s="1"/>
  <c r="J303" i="26"/>
  <c r="F307" i="26"/>
  <c r="Y307" i="26"/>
  <c r="Z307" i="26" s="1"/>
  <c r="AA307" i="26" s="1"/>
  <c r="Y330" i="26"/>
  <c r="Z330" i="26" s="1"/>
  <c r="AA330" i="26" s="1"/>
  <c r="R330" i="26"/>
  <c r="F330" i="26"/>
  <c r="J330" i="26"/>
  <c r="N330" i="26"/>
  <c r="N331" i="26"/>
  <c r="F355" i="26"/>
  <c r="N355" i="26"/>
  <c r="Y355" i="26"/>
  <c r="Z355" i="26" s="1"/>
  <c r="AA355" i="26" s="1"/>
  <c r="Y356" i="26"/>
  <c r="Z356" i="26" s="1"/>
  <c r="AA356" i="26" s="1"/>
  <c r="J356" i="26"/>
  <c r="F356" i="26"/>
  <c r="R369" i="26"/>
  <c r="F385" i="26"/>
  <c r="Y385" i="26"/>
  <c r="Z385" i="26" s="1"/>
  <c r="AA385" i="26" s="1"/>
  <c r="J385" i="26"/>
  <c r="F396" i="26"/>
  <c r="Y396" i="26"/>
  <c r="Z396" i="26" s="1"/>
  <c r="AA396" i="26" s="1"/>
  <c r="J396" i="26"/>
  <c r="Y438" i="26"/>
  <c r="Z438" i="26" s="1"/>
  <c r="AA438" i="26" s="1"/>
  <c r="J438" i="26"/>
  <c r="R438" i="26"/>
  <c r="F438" i="26"/>
  <c r="J459" i="26"/>
  <c r="F459" i="26"/>
  <c r="J485" i="26"/>
  <c r="R504" i="26"/>
  <c r="F504" i="26"/>
  <c r="Y504" i="26"/>
  <c r="Z504" i="26" s="1"/>
  <c r="AA504" i="26" s="1"/>
  <c r="J504" i="26"/>
  <c r="F571" i="26"/>
  <c r="Y571" i="26"/>
  <c r="Z571" i="26" s="1"/>
  <c r="AA571" i="26" s="1"/>
  <c r="J571" i="26"/>
  <c r="R587" i="26"/>
  <c r="F587" i="26"/>
  <c r="N587" i="26"/>
  <c r="J587" i="26"/>
  <c r="Y587" i="26"/>
  <c r="Z587" i="26" s="1"/>
  <c r="AA587" i="26" s="1"/>
  <c r="Y602" i="26"/>
  <c r="Z602" i="26" s="1"/>
  <c r="AA602" i="26" s="1"/>
  <c r="R602" i="26"/>
  <c r="F602" i="26"/>
  <c r="J602" i="26"/>
  <c r="Y653" i="26"/>
  <c r="Z653" i="26" s="1"/>
  <c r="AA653" i="26" s="1"/>
  <c r="J653" i="26"/>
  <c r="F653" i="26"/>
  <c r="J693" i="26"/>
  <c r="F693" i="26"/>
  <c r="R693" i="26"/>
  <c r="N693" i="26"/>
  <c r="Y693" i="26"/>
  <c r="Z693" i="26" s="1"/>
  <c r="AA693" i="26" s="1"/>
  <c r="N698" i="26"/>
  <c r="J809" i="26"/>
  <c r="Y809" i="26"/>
  <c r="Z809" i="26" s="1"/>
  <c r="AA809" i="26" s="1"/>
  <c r="F809" i="26"/>
  <c r="J883" i="26"/>
  <c r="Y883" i="26"/>
  <c r="Z883" i="26" s="1"/>
  <c r="AA883" i="26" s="1"/>
  <c r="F883" i="26"/>
  <c r="R6" i="26"/>
  <c r="V9" i="26"/>
  <c r="V18" i="26"/>
  <c r="V44" i="26"/>
  <c r="N70" i="26"/>
  <c r="N85" i="26"/>
  <c r="R93" i="26"/>
  <c r="N96" i="26"/>
  <c r="F105" i="26"/>
  <c r="Y105" i="26"/>
  <c r="Z105" i="26" s="1"/>
  <c r="AA105" i="26" s="1"/>
  <c r="N105" i="26"/>
  <c r="J105" i="26"/>
  <c r="V107" i="26"/>
  <c r="R129" i="26"/>
  <c r="N139" i="26"/>
  <c r="Y140" i="26"/>
  <c r="Z140" i="26" s="1"/>
  <c r="AA140" i="26" s="1"/>
  <c r="N140" i="26"/>
  <c r="J140" i="26"/>
  <c r="R143" i="26"/>
  <c r="Y143" i="26"/>
  <c r="Z143" i="26" s="1"/>
  <c r="AA143" i="26" s="1"/>
  <c r="J143" i="26"/>
  <c r="F143" i="26"/>
  <c r="R148" i="26"/>
  <c r="J160" i="26"/>
  <c r="R161" i="26"/>
  <c r="N183" i="26"/>
  <c r="F185" i="26"/>
  <c r="R185" i="26"/>
  <c r="N185" i="26"/>
  <c r="Y185" i="26"/>
  <c r="Z185" i="26" s="1"/>
  <c r="AA185" i="26" s="1"/>
  <c r="J187" i="26"/>
  <c r="F194" i="26"/>
  <c r="R194" i="26"/>
  <c r="N194" i="26"/>
  <c r="Y194" i="26"/>
  <c r="Z194" i="26" s="1"/>
  <c r="AA194" i="26" s="1"/>
  <c r="R207" i="26"/>
  <c r="F207" i="26"/>
  <c r="Y207" i="26"/>
  <c r="Z207" i="26" s="1"/>
  <c r="AA207" i="26" s="1"/>
  <c r="J207" i="26"/>
  <c r="V210" i="26"/>
  <c r="N220" i="26"/>
  <c r="Y221" i="26"/>
  <c r="Z221" i="26" s="1"/>
  <c r="AA221" i="26" s="1"/>
  <c r="J221" i="26"/>
  <c r="N221" i="26"/>
  <c r="F226" i="26"/>
  <c r="Y226" i="26"/>
  <c r="Z226" i="26" s="1"/>
  <c r="AA226" i="26" s="1"/>
  <c r="J226" i="26"/>
  <c r="N226" i="26"/>
  <c r="N227" i="26"/>
  <c r="M241" i="26"/>
  <c r="I241" i="26"/>
  <c r="E241" i="26"/>
  <c r="Q241" i="26"/>
  <c r="M245" i="26"/>
  <c r="F271" i="26"/>
  <c r="N271" i="26"/>
  <c r="Y271" i="26"/>
  <c r="Z271" i="26" s="1"/>
  <c r="AA271" i="26" s="1"/>
  <c r="R271" i="26"/>
  <c r="J285" i="26"/>
  <c r="R295" i="26"/>
  <c r="Y298" i="26"/>
  <c r="Z298" i="26" s="1"/>
  <c r="AA298" i="26" s="1"/>
  <c r="F298" i="26"/>
  <c r="N298" i="26"/>
  <c r="J298" i="26"/>
  <c r="N299" i="26"/>
  <c r="Y310" i="26"/>
  <c r="Z310" i="26" s="1"/>
  <c r="AA310" i="26" s="1"/>
  <c r="J310" i="26"/>
  <c r="J313" i="26"/>
  <c r="Y313" i="26"/>
  <c r="Z313" i="26" s="1"/>
  <c r="AA313" i="26" s="1"/>
  <c r="J315" i="26"/>
  <c r="F319" i="26"/>
  <c r="Y319" i="26"/>
  <c r="Z319" i="26" s="1"/>
  <c r="AA319" i="26" s="1"/>
  <c r="R319" i="26"/>
  <c r="J319" i="26"/>
  <c r="Y340" i="26"/>
  <c r="Z340" i="26" s="1"/>
  <c r="AA340" i="26" s="1"/>
  <c r="R340" i="26"/>
  <c r="F340" i="26"/>
  <c r="J340" i="26"/>
  <c r="J355" i="26"/>
  <c r="R379" i="26"/>
  <c r="Y382" i="26"/>
  <c r="Z382" i="26" s="1"/>
  <c r="AA382" i="26" s="1"/>
  <c r="J382" i="26"/>
  <c r="F382" i="26"/>
  <c r="F386" i="26"/>
  <c r="Y386" i="26"/>
  <c r="Z386" i="26" s="1"/>
  <c r="AA386" i="26" s="1"/>
  <c r="N386" i="26"/>
  <c r="J386" i="26"/>
  <c r="R397" i="26"/>
  <c r="J404" i="26"/>
  <c r="F404" i="26"/>
  <c r="Y404" i="26"/>
  <c r="Z404" i="26" s="1"/>
  <c r="AA404" i="26" s="1"/>
  <c r="N404" i="26"/>
  <c r="Y446" i="26"/>
  <c r="Z446" i="26" s="1"/>
  <c r="AA446" i="26" s="1"/>
  <c r="J446" i="26"/>
  <c r="F446" i="26"/>
  <c r="R446" i="26"/>
  <c r="Y492" i="26"/>
  <c r="Z492" i="26" s="1"/>
  <c r="AA492" i="26" s="1"/>
  <c r="J492" i="26"/>
  <c r="R492" i="26"/>
  <c r="R493" i="26"/>
  <c r="N644" i="26"/>
  <c r="F665" i="26"/>
  <c r="Y665" i="26"/>
  <c r="Z665" i="26" s="1"/>
  <c r="AA665" i="26" s="1"/>
  <c r="J665" i="26"/>
  <c r="F676" i="26"/>
  <c r="Y676" i="26"/>
  <c r="Z676" i="26" s="1"/>
  <c r="AA676" i="26" s="1"/>
  <c r="J676" i="26"/>
  <c r="F708" i="26"/>
  <c r="Y708" i="26"/>
  <c r="Z708" i="26" s="1"/>
  <c r="AA708" i="26" s="1"/>
  <c r="J708" i="26"/>
  <c r="F767" i="26"/>
  <c r="Y767" i="26"/>
  <c r="Z767" i="26" s="1"/>
  <c r="AA767" i="26" s="1"/>
  <c r="N767" i="26"/>
  <c r="J767" i="26"/>
  <c r="Y1305" i="26"/>
  <c r="Z1305" i="26" s="1"/>
  <c r="AA1305" i="26" s="1"/>
  <c r="F1305" i="26"/>
  <c r="J1305" i="26"/>
  <c r="J1357" i="26"/>
  <c r="Y1357" i="26"/>
  <c r="Z1357" i="26" s="1"/>
  <c r="AA1357" i="26" s="1"/>
  <c r="F1357" i="26"/>
  <c r="R1357" i="26"/>
  <c r="J1426" i="26"/>
  <c r="F1426" i="26"/>
  <c r="Y1426" i="26"/>
  <c r="Z1426" i="26" s="1"/>
  <c r="AA1426" i="26" s="1"/>
  <c r="R73" i="26"/>
  <c r="R81" i="26"/>
  <c r="V83" i="26"/>
  <c r="X132" i="26"/>
  <c r="M132" i="26"/>
  <c r="I132" i="26"/>
  <c r="V132" i="26" s="1"/>
  <c r="V159" i="26"/>
  <c r="V167" i="26"/>
  <c r="N204" i="26"/>
  <c r="V213" i="26"/>
  <c r="N213" i="26" s="1"/>
  <c r="V222" i="26"/>
  <c r="V231" i="26"/>
  <c r="R257" i="26"/>
  <c r="R260" i="26"/>
  <c r="N263" i="26"/>
  <c r="Y264" i="26"/>
  <c r="Z264" i="26" s="1"/>
  <c r="AA264" i="26" s="1"/>
  <c r="F264" i="26"/>
  <c r="R277" i="26"/>
  <c r="N280" i="26"/>
  <c r="R294" i="26"/>
  <c r="N297" i="26"/>
  <c r="V309" i="26"/>
  <c r="V317" i="26"/>
  <c r="V325" i="26"/>
  <c r="J333" i="26"/>
  <c r="Y333" i="26"/>
  <c r="Z333" i="26" s="1"/>
  <c r="AA333" i="26" s="1"/>
  <c r="R334" i="26"/>
  <c r="V349" i="26"/>
  <c r="R349" i="26"/>
  <c r="F362" i="26"/>
  <c r="Y362" i="26"/>
  <c r="Z362" i="26" s="1"/>
  <c r="AA362" i="26" s="1"/>
  <c r="N362" i="26"/>
  <c r="Y365" i="26"/>
  <c r="Z365" i="26" s="1"/>
  <c r="AA365" i="26" s="1"/>
  <c r="J365" i="26"/>
  <c r="R365" i="26"/>
  <c r="F365" i="26"/>
  <c r="N366" i="26"/>
  <c r="R371" i="26"/>
  <c r="N375" i="26"/>
  <c r="Y410" i="26"/>
  <c r="Z410" i="26" s="1"/>
  <c r="AA410" i="26" s="1"/>
  <c r="J410" i="26"/>
  <c r="F410" i="26"/>
  <c r="N410" i="26"/>
  <c r="N416" i="26"/>
  <c r="J449" i="26"/>
  <c r="Y449" i="26"/>
  <c r="Z449" i="26" s="1"/>
  <c r="AA449" i="26" s="1"/>
  <c r="R449" i="26"/>
  <c r="R498" i="26"/>
  <c r="R508" i="26"/>
  <c r="V527" i="26"/>
  <c r="N532" i="26"/>
  <c r="Y532" i="26"/>
  <c r="Z532" i="26" s="1"/>
  <c r="AA532" i="26" s="1"/>
  <c r="J532" i="26"/>
  <c r="F532" i="26"/>
  <c r="I546" i="26"/>
  <c r="E546" i="26"/>
  <c r="Q546" i="26"/>
  <c r="X546" i="26"/>
  <c r="M546" i="26"/>
  <c r="X553" i="26"/>
  <c r="M553" i="26"/>
  <c r="I553" i="26"/>
  <c r="Q553" i="26"/>
  <c r="Y601" i="26"/>
  <c r="Z601" i="26" s="1"/>
  <c r="AA601" i="26" s="1"/>
  <c r="J601" i="26"/>
  <c r="F601" i="26"/>
  <c r="J658" i="26"/>
  <c r="F658" i="26"/>
  <c r="R658" i="26"/>
  <c r="N658" i="26"/>
  <c r="Y658" i="26"/>
  <c r="Z658" i="26" s="1"/>
  <c r="AA658" i="26" s="1"/>
  <c r="N661" i="26"/>
  <c r="J685" i="26"/>
  <c r="F685" i="26"/>
  <c r="R685" i="26"/>
  <c r="N685" i="26"/>
  <c r="N692" i="26"/>
  <c r="F700" i="26"/>
  <c r="Y700" i="26"/>
  <c r="Z700" i="26" s="1"/>
  <c r="AA700" i="26" s="1"/>
  <c r="J700" i="26"/>
  <c r="V704" i="26"/>
  <c r="V733" i="26"/>
  <c r="F735" i="26"/>
  <c r="Y735" i="26"/>
  <c r="Z735" i="26" s="1"/>
  <c r="AA735" i="26" s="1"/>
  <c r="J735" i="26"/>
  <c r="N737" i="26"/>
  <c r="F751" i="26"/>
  <c r="Y751" i="26"/>
  <c r="Z751" i="26" s="1"/>
  <c r="AA751" i="26" s="1"/>
  <c r="J751" i="26"/>
  <c r="F786" i="26"/>
  <c r="N786" i="26"/>
  <c r="Y786" i="26"/>
  <c r="Z786" i="26" s="1"/>
  <c r="AA786" i="26" s="1"/>
  <c r="J812" i="26"/>
  <c r="F812" i="26"/>
  <c r="Y812" i="26"/>
  <c r="Z812" i="26" s="1"/>
  <c r="AA812" i="26" s="1"/>
  <c r="J853" i="26"/>
  <c r="F853" i="26"/>
  <c r="Y853" i="26"/>
  <c r="Z853" i="26" s="1"/>
  <c r="AA853" i="26" s="1"/>
  <c r="Y861" i="26"/>
  <c r="Z861" i="26" s="1"/>
  <c r="AA861" i="26" s="1"/>
  <c r="J861" i="26"/>
  <c r="F861" i="26"/>
  <c r="R861" i="26"/>
  <c r="Y864" i="26"/>
  <c r="Z864" i="26" s="1"/>
  <c r="AA864" i="26" s="1"/>
  <c r="F864" i="26"/>
  <c r="J864" i="26"/>
  <c r="Y968" i="26"/>
  <c r="Z968" i="26" s="1"/>
  <c r="AA968" i="26" s="1"/>
  <c r="J968" i="26"/>
  <c r="F968" i="26"/>
  <c r="R968" i="26"/>
  <c r="R1077" i="26"/>
  <c r="F1077" i="26"/>
  <c r="Y1077" i="26"/>
  <c r="Z1077" i="26" s="1"/>
  <c r="AA1077" i="26" s="1"/>
  <c r="J1077" i="26"/>
  <c r="N1160" i="26"/>
  <c r="J1162" i="26"/>
  <c r="Y1162" i="26"/>
  <c r="Z1162" i="26" s="1"/>
  <c r="AA1162" i="26" s="1"/>
  <c r="F1162" i="26"/>
  <c r="N1162" i="26"/>
  <c r="F1384" i="26"/>
  <c r="R1384" i="26"/>
  <c r="Y1384" i="26"/>
  <c r="Z1384" i="26" s="1"/>
  <c r="AA1384" i="26" s="1"/>
  <c r="J1384" i="26"/>
  <c r="N1384" i="26"/>
  <c r="N44" i="26"/>
  <c r="R52" i="26"/>
  <c r="R61" i="26"/>
  <c r="V71" i="26"/>
  <c r="V79" i="26"/>
  <c r="V87" i="26"/>
  <c r="N156" i="26"/>
  <c r="N164" i="26"/>
  <c r="V206" i="26"/>
  <c r="V214" i="26"/>
  <c r="V223" i="26"/>
  <c r="V232" i="26"/>
  <c r="V240" i="26"/>
  <c r="Q247" i="26"/>
  <c r="E247" i="26"/>
  <c r="F253" i="26"/>
  <c r="J264" i="26"/>
  <c r="R266" i="26"/>
  <c r="F274" i="26"/>
  <c r="Y274" i="26"/>
  <c r="Z274" i="26" s="1"/>
  <c r="AA274" i="26" s="1"/>
  <c r="F290" i="26"/>
  <c r="Y290" i="26"/>
  <c r="Z290" i="26" s="1"/>
  <c r="AA290" i="26" s="1"/>
  <c r="R310" i="26"/>
  <c r="R318" i="26"/>
  <c r="R326" i="26"/>
  <c r="N333" i="26"/>
  <c r="R336" i="26"/>
  <c r="F344" i="26"/>
  <c r="Y344" i="26"/>
  <c r="Z344" i="26" s="1"/>
  <c r="AA344" i="26" s="1"/>
  <c r="J344" i="26"/>
  <c r="J352" i="26"/>
  <c r="R352" i="26"/>
  <c r="N352" i="26"/>
  <c r="Y352" i="26"/>
  <c r="Z352" i="26" s="1"/>
  <c r="AA352" i="26" s="1"/>
  <c r="N372" i="26"/>
  <c r="V374" i="26"/>
  <c r="V377" i="26"/>
  <c r="R377" i="26" s="1"/>
  <c r="Y380" i="26"/>
  <c r="Z380" i="26" s="1"/>
  <c r="AA380" i="26" s="1"/>
  <c r="J380" i="26"/>
  <c r="J383" i="26"/>
  <c r="F383" i="26"/>
  <c r="J384" i="26"/>
  <c r="R384" i="26"/>
  <c r="N384" i="26"/>
  <c r="Y384" i="26"/>
  <c r="Z384" i="26" s="1"/>
  <c r="AA384" i="26" s="1"/>
  <c r="N413" i="26"/>
  <c r="J419" i="26"/>
  <c r="R419" i="26"/>
  <c r="F444" i="26"/>
  <c r="Y444" i="26"/>
  <c r="Z444" i="26" s="1"/>
  <c r="AA444" i="26" s="1"/>
  <c r="J444" i="26"/>
  <c r="F447" i="26"/>
  <c r="R447" i="26"/>
  <c r="F449" i="26"/>
  <c r="N463" i="26"/>
  <c r="Y463" i="26"/>
  <c r="Z463" i="26" s="1"/>
  <c r="AA463" i="26" s="1"/>
  <c r="R463" i="26"/>
  <c r="F463" i="26"/>
  <c r="J467" i="26"/>
  <c r="Y467" i="26"/>
  <c r="Z467" i="26" s="1"/>
  <c r="AA467" i="26" s="1"/>
  <c r="V473" i="26"/>
  <c r="F486" i="26"/>
  <c r="Y486" i="26"/>
  <c r="Z486" i="26" s="1"/>
  <c r="AA486" i="26" s="1"/>
  <c r="J486" i="26"/>
  <c r="R495" i="26"/>
  <c r="R524" i="26"/>
  <c r="N560" i="26"/>
  <c r="N588" i="26"/>
  <c r="R637" i="26"/>
  <c r="F641" i="26"/>
  <c r="Y641" i="26"/>
  <c r="Z641" i="26" s="1"/>
  <c r="AA641" i="26" s="1"/>
  <c r="J641" i="26"/>
  <c r="R669" i="26"/>
  <c r="R678" i="26"/>
  <c r="R710" i="26"/>
  <c r="Y726" i="26"/>
  <c r="Z726" i="26" s="1"/>
  <c r="AA726" i="26" s="1"/>
  <c r="J726" i="26"/>
  <c r="F726" i="26"/>
  <c r="J749" i="26"/>
  <c r="R749" i="26"/>
  <c r="F749" i="26"/>
  <c r="N749" i="26"/>
  <c r="Y749" i="26"/>
  <c r="Z749" i="26" s="1"/>
  <c r="AA749" i="26" s="1"/>
  <c r="J786" i="26"/>
  <c r="F848" i="26"/>
  <c r="N848" i="26"/>
  <c r="Y848" i="26"/>
  <c r="Z848" i="26" s="1"/>
  <c r="AA848" i="26" s="1"/>
  <c r="J848" i="26"/>
  <c r="Y884" i="26"/>
  <c r="Z884" i="26" s="1"/>
  <c r="AA884" i="26" s="1"/>
  <c r="J884" i="26"/>
  <c r="R884" i="26"/>
  <c r="Y888" i="26"/>
  <c r="Z888" i="26" s="1"/>
  <c r="AA888" i="26" s="1"/>
  <c r="J888" i="26"/>
  <c r="F888" i="26"/>
  <c r="F940" i="26"/>
  <c r="Y940" i="26"/>
  <c r="Z940" i="26" s="1"/>
  <c r="AA940" i="26" s="1"/>
  <c r="J940" i="26"/>
  <c r="N940" i="26"/>
  <c r="N359" i="26"/>
  <c r="R361" i="26"/>
  <c r="Y381" i="26"/>
  <c r="Z381" i="26" s="1"/>
  <c r="AA381" i="26" s="1"/>
  <c r="J381" i="26"/>
  <c r="R381" i="26"/>
  <c r="F381" i="26"/>
  <c r="N382" i="26"/>
  <c r="R387" i="26"/>
  <c r="N392" i="26"/>
  <c r="R401" i="26"/>
  <c r="J413" i="26"/>
  <c r="F413" i="26"/>
  <c r="F440" i="26"/>
  <c r="R440" i="26"/>
  <c r="J447" i="26"/>
  <c r="N453" i="26"/>
  <c r="R457" i="26"/>
  <c r="V464" i="26"/>
  <c r="F471" i="26"/>
  <c r="Y474" i="26"/>
  <c r="Z474" i="26" s="1"/>
  <c r="AA474" i="26" s="1"/>
  <c r="J474" i="26"/>
  <c r="R478" i="26"/>
  <c r="N481" i="26"/>
  <c r="V491" i="26"/>
  <c r="R496" i="26"/>
  <c r="N502" i="26"/>
  <c r="Y517" i="26"/>
  <c r="Z517" i="26" s="1"/>
  <c r="AA517" i="26" s="1"/>
  <c r="R517" i="26"/>
  <c r="F517" i="26"/>
  <c r="J517" i="26"/>
  <c r="N519" i="26"/>
  <c r="N524" i="26"/>
  <c r="Y524" i="26"/>
  <c r="Z524" i="26" s="1"/>
  <c r="AA524" i="26" s="1"/>
  <c r="J524" i="26"/>
  <c r="F524" i="26"/>
  <c r="V560" i="26"/>
  <c r="R571" i="26"/>
  <c r="E572" i="26"/>
  <c r="Q572" i="26"/>
  <c r="I572" i="26"/>
  <c r="F588" i="26"/>
  <c r="Y588" i="26"/>
  <c r="Z588" i="26" s="1"/>
  <c r="AA588" i="26" s="1"/>
  <c r="J588" i="26"/>
  <c r="V592" i="26"/>
  <c r="J642" i="26"/>
  <c r="F642" i="26"/>
  <c r="R642" i="26"/>
  <c r="N642" i="26"/>
  <c r="Y642" i="26"/>
  <c r="Z642" i="26" s="1"/>
  <c r="AA642" i="26" s="1"/>
  <c r="R657" i="26"/>
  <c r="N676" i="26"/>
  <c r="F684" i="26"/>
  <c r="Y684" i="26"/>
  <c r="Z684" i="26" s="1"/>
  <c r="AA684" i="26" s="1"/>
  <c r="J684" i="26"/>
  <c r="V688" i="26"/>
  <c r="N688" i="26" s="1"/>
  <c r="J701" i="26"/>
  <c r="F701" i="26"/>
  <c r="R701" i="26"/>
  <c r="N701" i="26"/>
  <c r="R702" i="26"/>
  <c r="N708" i="26"/>
  <c r="Y762" i="26"/>
  <c r="Z762" i="26" s="1"/>
  <c r="AA762" i="26" s="1"/>
  <c r="R762" i="26"/>
  <c r="F762" i="26"/>
  <c r="J762" i="26"/>
  <c r="Y826" i="26"/>
  <c r="Z826" i="26" s="1"/>
  <c r="AA826" i="26" s="1"/>
  <c r="R826" i="26"/>
  <c r="F826" i="26"/>
  <c r="J826" i="26"/>
  <c r="R846" i="26"/>
  <c r="F873" i="26"/>
  <c r="Y873" i="26"/>
  <c r="Z873" i="26" s="1"/>
  <c r="AA873" i="26" s="1"/>
  <c r="J873" i="26"/>
  <c r="Y875" i="26"/>
  <c r="Z875" i="26" s="1"/>
  <c r="AA875" i="26" s="1"/>
  <c r="J875" i="26"/>
  <c r="F875" i="26"/>
  <c r="Y1010" i="26"/>
  <c r="Z1010" i="26" s="1"/>
  <c r="AA1010" i="26" s="1"/>
  <c r="J1010" i="26"/>
  <c r="F1010" i="26"/>
  <c r="R1010" i="26"/>
  <c r="F1020" i="26"/>
  <c r="N1020" i="26"/>
  <c r="Y1020" i="26"/>
  <c r="Z1020" i="26" s="1"/>
  <c r="AA1020" i="26" s="1"/>
  <c r="J1020" i="26"/>
  <c r="V178" i="26"/>
  <c r="V190" i="26"/>
  <c r="V199" i="26"/>
  <c r="N207" i="26"/>
  <c r="R208" i="26"/>
  <c r="R212" i="26"/>
  <c r="N215" i="26"/>
  <c r="R216" i="26"/>
  <c r="R221" i="26"/>
  <c r="N225" i="26"/>
  <c r="R226" i="26"/>
  <c r="R230" i="26"/>
  <c r="N234" i="26"/>
  <c r="N245" i="26"/>
  <c r="R246" i="26"/>
  <c r="V252" i="26"/>
  <c r="N255" i="26"/>
  <c r="R256" i="26"/>
  <c r="R259" i="26"/>
  <c r="F259" i="26"/>
  <c r="Y259" i="26"/>
  <c r="Z259" i="26" s="1"/>
  <c r="AA259" i="26" s="1"/>
  <c r="F263" i="26"/>
  <c r="Y263" i="26"/>
  <c r="Z263" i="26" s="1"/>
  <c r="AA263" i="26" s="1"/>
  <c r="R273" i="26"/>
  <c r="R276" i="26"/>
  <c r="F276" i="26"/>
  <c r="Y276" i="26"/>
  <c r="Z276" i="26" s="1"/>
  <c r="AA276" i="26" s="1"/>
  <c r="F280" i="26"/>
  <c r="Y280" i="26"/>
  <c r="Z280" i="26" s="1"/>
  <c r="AA280" i="26" s="1"/>
  <c r="F286" i="26"/>
  <c r="Y286" i="26"/>
  <c r="Z286" i="26" s="1"/>
  <c r="AA286" i="26" s="1"/>
  <c r="R293" i="26"/>
  <c r="F293" i="26"/>
  <c r="Y293" i="26"/>
  <c r="Z293" i="26" s="1"/>
  <c r="AA293" i="26" s="1"/>
  <c r="N311" i="26"/>
  <c r="N319" i="26"/>
  <c r="N327" i="26"/>
  <c r="N348" i="26"/>
  <c r="V350" i="26"/>
  <c r="Y366" i="26"/>
  <c r="Z366" i="26" s="1"/>
  <c r="AA366" i="26" s="1"/>
  <c r="J366" i="26"/>
  <c r="F366" i="26"/>
  <c r="V369" i="26"/>
  <c r="Y372" i="26"/>
  <c r="Z372" i="26" s="1"/>
  <c r="AA372" i="26" s="1"/>
  <c r="J372" i="26"/>
  <c r="R372" i="26"/>
  <c r="J375" i="26"/>
  <c r="F375" i="26"/>
  <c r="J376" i="26"/>
  <c r="R376" i="26"/>
  <c r="N376" i="26"/>
  <c r="Y376" i="26"/>
  <c r="Z376" i="26" s="1"/>
  <c r="AA376" i="26" s="1"/>
  <c r="N409" i="26"/>
  <c r="V417" i="26"/>
  <c r="V435" i="26"/>
  <c r="R445" i="26"/>
  <c r="N448" i="26"/>
  <c r="Y460" i="26"/>
  <c r="Z460" i="26" s="1"/>
  <c r="AA460" i="26" s="1"/>
  <c r="J460" i="26"/>
  <c r="F460" i="26"/>
  <c r="N471" i="26"/>
  <c r="Y471" i="26"/>
  <c r="Z471" i="26" s="1"/>
  <c r="AA471" i="26" s="1"/>
  <c r="N487" i="26"/>
  <c r="Y487" i="26"/>
  <c r="Z487" i="26" s="1"/>
  <c r="AA487" i="26" s="1"/>
  <c r="R487" i="26"/>
  <c r="F487" i="26"/>
  <c r="Y541" i="26"/>
  <c r="Z541" i="26" s="1"/>
  <c r="AA541" i="26" s="1"/>
  <c r="J541" i="26"/>
  <c r="F541" i="26"/>
  <c r="Y548" i="26"/>
  <c r="Z548" i="26" s="1"/>
  <c r="AA548" i="26" s="1"/>
  <c r="J548" i="26"/>
  <c r="F548" i="26"/>
  <c r="R548" i="26"/>
  <c r="N549" i="26"/>
  <c r="N564" i="26"/>
  <c r="V603" i="26"/>
  <c r="N689" i="26"/>
  <c r="F692" i="26"/>
  <c r="Y692" i="26"/>
  <c r="Z692" i="26" s="1"/>
  <c r="AA692" i="26" s="1"/>
  <c r="J692" i="26"/>
  <c r="N703" i="26"/>
  <c r="F758" i="26"/>
  <c r="Y758" i="26"/>
  <c r="Z758" i="26" s="1"/>
  <c r="AA758" i="26" s="1"/>
  <c r="J758" i="26"/>
  <c r="Y766" i="26"/>
  <c r="Z766" i="26" s="1"/>
  <c r="AA766" i="26" s="1"/>
  <c r="J766" i="26"/>
  <c r="Y770" i="26"/>
  <c r="Z770" i="26" s="1"/>
  <c r="AA770" i="26" s="1"/>
  <c r="J770" i="26"/>
  <c r="R770" i="26"/>
  <c r="F770" i="26"/>
  <c r="F794" i="26"/>
  <c r="N794" i="26"/>
  <c r="Y794" i="26"/>
  <c r="Z794" i="26" s="1"/>
  <c r="AA794" i="26" s="1"/>
  <c r="J794" i="26"/>
  <c r="Y867" i="26"/>
  <c r="Z867" i="26" s="1"/>
  <c r="AA867" i="26" s="1"/>
  <c r="J867" i="26"/>
  <c r="R867" i="26"/>
  <c r="F867" i="26"/>
  <c r="J927" i="26"/>
  <c r="Y927" i="26"/>
  <c r="Z927" i="26" s="1"/>
  <c r="AA927" i="26" s="1"/>
  <c r="N927" i="26"/>
  <c r="F927" i="26"/>
  <c r="R927" i="26"/>
  <c r="J951" i="26"/>
  <c r="Y951" i="26"/>
  <c r="Z951" i="26" s="1"/>
  <c r="AA951" i="26" s="1"/>
  <c r="F951" i="26"/>
  <c r="R951" i="26"/>
  <c r="V54" i="26"/>
  <c r="R65" i="26"/>
  <c r="N68" i="26"/>
  <c r="R85" i="26"/>
  <c r="V94" i="26"/>
  <c r="V102" i="26"/>
  <c r="V110" i="26"/>
  <c r="V118" i="26"/>
  <c r="V126" i="26"/>
  <c r="V133" i="26"/>
  <c r="N133" i="26" s="1"/>
  <c r="V141" i="26"/>
  <c r="V181" i="26"/>
  <c r="N181" i="26" s="1"/>
  <c r="V182" i="26"/>
  <c r="V191" i="26"/>
  <c r="V200" i="26"/>
  <c r="V236" i="26"/>
  <c r="M237" i="26"/>
  <c r="J253" i="26"/>
  <c r="J259" i="26"/>
  <c r="N264" i="26"/>
  <c r="R265" i="26"/>
  <c r="R269" i="26"/>
  <c r="N272" i="26"/>
  <c r="J276" i="26"/>
  <c r="R285" i="26"/>
  <c r="J286" i="26"/>
  <c r="N288" i="26"/>
  <c r="Y289" i="26"/>
  <c r="Z289" i="26" s="1"/>
  <c r="AA289" i="26" s="1"/>
  <c r="F289" i="26"/>
  <c r="J293" i="26"/>
  <c r="R299" i="26"/>
  <c r="R302" i="26"/>
  <c r="N305" i="26"/>
  <c r="N312" i="26"/>
  <c r="Y312" i="26"/>
  <c r="Z312" i="26" s="1"/>
  <c r="AA312" i="26" s="1"/>
  <c r="N320" i="26"/>
  <c r="Y320" i="26"/>
  <c r="Z320" i="26" s="1"/>
  <c r="AA320" i="26" s="1"/>
  <c r="N328" i="26"/>
  <c r="Y328" i="26"/>
  <c r="Z328" i="26" s="1"/>
  <c r="AA328" i="26" s="1"/>
  <c r="F333" i="26"/>
  <c r="R333" i="26"/>
  <c r="Y337" i="26"/>
  <c r="Z337" i="26" s="1"/>
  <c r="AA337" i="26" s="1"/>
  <c r="J337" i="26"/>
  <c r="R337" i="26"/>
  <c r="R355" i="26"/>
  <c r="R35" i="26"/>
  <c r="N48" i="26"/>
  <c r="V75" i="26"/>
  <c r="V95" i="26"/>
  <c r="V103" i="26"/>
  <c r="V111" i="26"/>
  <c r="V119" i="26"/>
  <c r="V127" i="26"/>
  <c r="Q132" i="26"/>
  <c r="V134" i="26"/>
  <c r="V142" i="26"/>
  <c r="N187" i="26"/>
  <c r="N197" i="26"/>
  <c r="R238" i="26"/>
  <c r="F239" i="26"/>
  <c r="V248" i="26"/>
  <c r="J249" i="26"/>
  <c r="N250" i="26"/>
  <c r="Y253" i="26"/>
  <c r="Z253" i="26" s="1"/>
  <c r="AA253" i="26" s="1"/>
  <c r="J263" i="26"/>
  <c r="R275" i="26"/>
  <c r="J280" i="26"/>
  <c r="F282" i="26"/>
  <c r="Y282" i="26"/>
  <c r="Z282" i="26" s="1"/>
  <c r="AA282" i="26" s="1"/>
  <c r="J289" i="26"/>
  <c r="J308" i="26"/>
  <c r="F308" i="26"/>
  <c r="R308" i="26"/>
  <c r="J312" i="26"/>
  <c r="J316" i="26"/>
  <c r="F316" i="26"/>
  <c r="R316" i="26"/>
  <c r="J320" i="26"/>
  <c r="J324" i="26"/>
  <c r="F324" i="26"/>
  <c r="R324" i="26"/>
  <c r="J328" i="26"/>
  <c r="J332" i="26"/>
  <c r="F332" i="26"/>
  <c r="R332" i="26"/>
  <c r="F337" i="26"/>
  <c r="N356" i="26"/>
  <c r="V358" i="26"/>
  <c r="F361" i="26"/>
  <c r="Y361" i="26"/>
  <c r="Z361" i="26" s="1"/>
  <c r="AA361" i="26" s="1"/>
  <c r="J361" i="26"/>
  <c r="Y364" i="26"/>
  <c r="Z364" i="26" s="1"/>
  <c r="AA364" i="26" s="1"/>
  <c r="J364" i="26"/>
  <c r="J367" i="26"/>
  <c r="F367" i="26"/>
  <c r="J368" i="26"/>
  <c r="R368" i="26"/>
  <c r="N368" i="26"/>
  <c r="Y368" i="26"/>
  <c r="Z368" i="26" s="1"/>
  <c r="AA368" i="26" s="1"/>
  <c r="Y375" i="26"/>
  <c r="Z375" i="26" s="1"/>
  <c r="AA375" i="26" s="1"/>
  <c r="N388" i="26"/>
  <c r="V391" i="26"/>
  <c r="N391" i="26" s="1"/>
  <c r="R396" i="26"/>
  <c r="Y398" i="26"/>
  <c r="Z398" i="26" s="1"/>
  <c r="AA398" i="26" s="1"/>
  <c r="J398" i="26"/>
  <c r="F398" i="26"/>
  <c r="Y401" i="26"/>
  <c r="Z401" i="26" s="1"/>
  <c r="AA401" i="26" s="1"/>
  <c r="J401" i="26"/>
  <c r="F401" i="26"/>
  <c r="V409" i="26"/>
  <c r="N454" i="26"/>
  <c r="F478" i="26"/>
  <c r="Y478" i="26"/>
  <c r="Z478" i="26" s="1"/>
  <c r="AA478" i="26" s="1"/>
  <c r="J478" i="26"/>
  <c r="J487" i="26"/>
  <c r="N494" i="26"/>
  <c r="J513" i="26"/>
  <c r="Y513" i="26"/>
  <c r="Z513" i="26" s="1"/>
  <c r="AA513" i="26" s="1"/>
  <c r="J518" i="26"/>
  <c r="Y518" i="26"/>
  <c r="Z518" i="26" s="1"/>
  <c r="AA518" i="26" s="1"/>
  <c r="F518" i="26"/>
  <c r="N518" i="26"/>
  <c r="Y522" i="26"/>
  <c r="Z522" i="26" s="1"/>
  <c r="AA522" i="26" s="1"/>
  <c r="Y526" i="26"/>
  <c r="Z526" i="26" s="1"/>
  <c r="AA526" i="26" s="1"/>
  <c r="R526" i="26"/>
  <c r="F526" i="26"/>
  <c r="R532" i="26"/>
  <c r="F538" i="26"/>
  <c r="Y538" i="26"/>
  <c r="Z538" i="26" s="1"/>
  <c r="AA538" i="26" s="1"/>
  <c r="J538" i="26"/>
  <c r="Y542" i="26"/>
  <c r="Z542" i="26" s="1"/>
  <c r="AA542" i="26" s="1"/>
  <c r="R542" i="26"/>
  <c r="F542" i="26"/>
  <c r="J542" i="26"/>
  <c r="I550" i="26"/>
  <c r="E550" i="26"/>
  <c r="V550" i="26" s="1"/>
  <c r="Q550" i="26"/>
  <c r="M550" i="26"/>
  <c r="X550" i="26"/>
  <c r="X563" i="26"/>
  <c r="M563" i="26"/>
  <c r="I563" i="26"/>
  <c r="Q563" i="26"/>
  <c r="E563" i="26"/>
  <c r="V563" i="26" s="1"/>
  <c r="X572" i="26"/>
  <c r="R593" i="26"/>
  <c r="J604" i="26"/>
  <c r="F604" i="26"/>
  <c r="Y604" i="26"/>
  <c r="Z604" i="26" s="1"/>
  <c r="AA604" i="26" s="1"/>
  <c r="R653" i="26"/>
  <c r="N654" i="26"/>
  <c r="F657" i="26"/>
  <c r="Y657" i="26"/>
  <c r="Z657" i="26" s="1"/>
  <c r="AA657" i="26" s="1"/>
  <c r="J657" i="26"/>
  <c r="N668" i="26"/>
  <c r="R694" i="26"/>
  <c r="F719" i="26"/>
  <c r="Y719" i="26"/>
  <c r="Z719" i="26" s="1"/>
  <c r="AA719" i="26" s="1"/>
  <c r="J719" i="26"/>
  <c r="Y774" i="26"/>
  <c r="Z774" i="26" s="1"/>
  <c r="AA774" i="26" s="1"/>
  <c r="J774" i="26"/>
  <c r="F774" i="26"/>
  <c r="N787" i="26"/>
  <c r="F863" i="26"/>
  <c r="R863" i="26"/>
  <c r="N864" i="26"/>
  <c r="Y874" i="26"/>
  <c r="Z874" i="26" s="1"/>
  <c r="AA874" i="26" s="1"/>
  <c r="N874" i="26"/>
  <c r="F874" i="26"/>
  <c r="J874" i="26"/>
  <c r="J972" i="26"/>
  <c r="F972" i="26"/>
  <c r="Y972" i="26"/>
  <c r="Z972" i="26" s="1"/>
  <c r="AA972" i="26" s="1"/>
  <c r="F998" i="26"/>
  <c r="Y998" i="26"/>
  <c r="Z998" i="26" s="1"/>
  <c r="AA998" i="26" s="1"/>
  <c r="J998" i="26"/>
  <c r="J351" i="26"/>
  <c r="R351" i="26"/>
  <c r="V400" i="26"/>
  <c r="V414" i="26"/>
  <c r="J433" i="26"/>
  <c r="Y433" i="26"/>
  <c r="Z433" i="26" s="1"/>
  <c r="AA433" i="26" s="1"/>
  <c r="R433" i="26"/>
  <c r="F436" i="26"/>
  <c r="Y436" i="26"/>
  <c r="Z436" i="26" s="1"/>
  <c r="AA436" i="26" s="1"/>
  <c r="N442" i="26"/>
  <c r="N447" i="26"/>
  <c r="V454" i="26"/>
  <c r="Y468" i="26"/>
  <c r="Z468" i="26" s="1"/>
  <c r="AA468" i="26" s="1"/>
  <c r="J468" i="26"/>
  <c r="R468" i="26"/>
  <c r="N483" i="26"/>
  <c r="N485" i="26"/>
  <c r="N490" i="26"/>
  <c r="F501" i="26"/>
  <c r="N501" i="26"/>
  <c r="R515" i="26"/>
  <c r="R529" i="26"/>
  <c r="N529" i="26"/>
  <c r="Y529" i="26"/>
  <c r="Z529" i="26" s="1"/>
  <c r="AA529" i="26" s="1"/>
  <c r="Y534" i="26"/>
  <c r="Z534" i="26" s="1"/>
  <c r="AA534" i="26" s="1"/>
  <c r="R534" i="26"/>
  <c r="F534" i="26"/>
  <c r="J545" i="26"/>
  <c r="F545" i="26"/>
  <c r="Y545" i="26"/>
  <c r="Z545" i="26" s="1"/>
  <c r="AA545" i="26" s="1"/>
  <c r="N571" i="26"/>
  <c r="F589" i="26"/>
  <c r="Y589" i="26"/>
  <c r="Z589" i="26" s="1"/>
  <c r="AA589" i="26" s="1"/>
  <c r="N589" i="26"/>
  <c r="J589" i="26"/>
  <c r="R590" i="26"/>
  <c r="N593" i="26"/>
  <c r="N637" i="26"/>
  <c r="R649" i="26"/>
  <c r="N653" i="26"/>
  <c r="R665" i="26"/>
  <c r="N669" i="26"/>
  <c r="R684" i="26"/>
  <c r="R700" i="26"/>
  <c r="N704" i="26"/>
  <c r="R726" i="26"/>
  <c r="J729" i="26"/>
  <c r="Y729" i="26"/>
  <c r="Z729" i="26" s="1"/>
  <c r="AA729" i="26" s="1"/>
  <c r="V746" i="26"/>
  <c r="R751" i="26"/>
  <c r="R790" i="26"/>
  <c r="R794" i="26"/>
  <c r="J813" i="26"/>
  <c r="N813" i="26"/>
  <c r="Y813" i="26"/>
  <c r="Z813" i="26" s="1"/>
  <c r="AA813" i="26" s="1"/>
  <c r="F813" i="26"/>
  <c r="R833" i="26"/>
  <c r="Y843" i="26"/>
  <c r="Z843" i="26" s="1"/>
  <c r="AA843" i="26" s="1"/>
  <c r="F843" i="26"/>
  <c r="J843" i="26"/>
  <c r="Y882" i="26"/>
  <c r="Z882" i="26" s="1"/>
  <c r="AA882" i="26" s="1"/>
  <c r="N882" i="26"/>
  <c r="J882" i="26"/>
  <c r="F882" i="26"/>
  <c r="N883" i="26"/>
  <c r="V896" i="26"/>
  <c r="Y978" i="26"/>
  <c r="Z978" i="26" s="1"/>
  <c r="AA978" i="26" s="1"/>
  <c r="J978" i="26"/>
  <c r="R978" i="26"/>
  <c r="F978" i="26"/>
  <c r="Y1002" i="26"/>
  <c r="Z1002" i="26" s="1"/>
  <c r="AA1002" i="26" s="1"/>
  <c r="J1002" i="26"/>
  <c r="R1002" i="26"/>
  <c r="F1002" i="26"/>
  <c r="F1016" i="26"/>
  <c r="J1016" i="26"/>
  <c r="Y1016" i="26"/>
  <c r="Z1016" i="26" s="1"/>
  <c r="AA1016" i="26" s="1"/>
  <c r="F1017" i="26"/>
  <c r="J1017" i="26"/>
  <c r="F1063" i="26"/>
  <c r="Y1063" i="26"/>
  <c r="Z1063" i="26" s="1"/>
  <c r="AA1063" i="26" s="1"/>
  <c r="J1063" i="26"/>
  <c r="R1063" i="26"/>
  <c r="N353" i="26"/>
  <c r="R354" i="26"/>
  <c r="N361" i="26"/>
  <c r="R362" i="26"/>
  <c r="N369" i="26"/>
  <c r="R370" i="26"/>
  <c r="R378" i="26"/>
  <c r="N385" i="26"/>
  <c r="R386" i="26"/>
  <c r="N398" i="26"/>
  <c r="V399" i="26"/>
  <c r="V405" i="26"/>
  <c r="V421" i="26"/>
  <c r="V425" i="26"/>
  <c r="Y428" i="26"/>
  <c r="Z428" i="26" s="1"/>
  <c r="AA428" i="26" s="1"/>
  <c r="J428" i="26"/>
  <c r="F428" i="26"/>
  <c r="R428" i="26"/>
  <c r="N446" i="26"/>
  <c r="J456" i="26"/>
  <c r="V457" i="26"/>
  <c r="N460" i="26"/>
  <c r="V462" i="26"/>
  <c r="N470" i="26"/>
  <c r="V476" i="26"/>
  <c r="N493" i="26"/>
  <c r="V496" i="26"/>
  <c r="R502" i="26"/>
  <c r="V515" i="26"/>
  <c r="N517" i="26"/>
  <c r="Y525" i="26"/>
  <c r="Z525" i="26" s="1"/>
  <c r="AA525" i="26" s="1"/>
  <c r="J525" i="26"/>
  <c r="N528" i="26"/>
  <c r="V535" i="26"/>
  <c r="R535" i="26" s="1"/>
  <c r="V549" i="26"/>
  <c r="R549" i="26"/>
  <c r="R552" i="26"/>
  <c r="N554" i="26"/>
  <c r="E568" i="26"/>
  <c r="M568" i="26"/>
  <c r="X568" i="26"/>
  <c r="X569" i="26"/>
  <c r="M569" i="26"/>
  <c r="I569" i="26"/>
  <c r="E569" i="26"/>
  <c r="V569" i="26" s="1"/>
  <c r="Q569" i="26"/>
  <c r="Y591" i="26"/>
  <c r="Z591" i="26" s="1"/>
  <c r="AA591" i="26" s="1"/>
  <c r="J591" i="26"/>
  <c r="F591" i="26"/>
  <c r="F598" i="26"/>
  <c r="Y598" i="26"/>
  <c r="Z598" i="26" s="1"/>
  <c r="AA598" i="26" s="1"/>
  <c r="N598" i="26"/>
  <c r="N602" i="26"/>
  <c r="Y612" i="26"/>
  <c r="Z612" i="26" s="1"/>
  <c r="AA612" i="26" s="1"/>
  <c r="F612" i="26"/>
  <c r="N612" i="26"/>
  <c r="V647" i="26"/>
  <c r="V663" i="26"/>
  <c r="V682" i="26"/>
  <c r="N682" i="26" s="1"/>
  <c r="N683" i="26"/>
  <c r="V698" i="26"/>
  <c r="N699" i="26"/>
  <c r="N702" i="26"/>
  <c r="J725" i="26"/>
  <c r="R725" i="26"/>
  <c r="N725" i="26"/>
  <c r="F727" i="26"/>
  <c r="Y727" i="26"/>
  <c r="Z727" i="26" s="1"/>
  <c r="AA727" i="26" s="1"/>
  <c r="R727" i="26"/>
  <c r="R736" i="26"/>
  <c r="J741" i="26"/>
  <c r="R741" i="26"/>
  <c r="F741" i="26"/>
  <c r="N741" i="26"/>
  <c r="Y741" i="26"/>
  <c r="Z741" i="26" s="1"/>
  <c r="AA741" i="26" s="1"/>
  <c r="Y750" i="26"/>
  <c r="Z750" i="26" s="1"/>
  <c r="AA750" i="26" s="1"/>
  <c r="J750" i="26"/>
  <c r="J761" i="26"/>
  <c r="Y761" i="26"/>
  <c r="Z761" i="26" s="1"/>
  <c r="AA761" i="26" s="1"/>
  <c r="F761" i="26"/>
  <c r="R813" i="26"/>
  <c r="F816" i="26"/>
  <c r="N816" i="26"/>
  <c r="Y816" i="26"/>
  <c r="Z816" i="26" s="1"/>
  <c r="AA816" i="26" s="1"/>
  <c r="R816" i="26"/>
  <c r="J820" i="26"/>
  <c r="F820" i="26"/>
  <c r="Y820" i="26"/>
  <c r="Z820" i="26" s="1"/>
  <c r="AA820" i="26" s="1"/>
  <c r="F823" i="26"/>
  <c r="Y823" i="26"/>
  <c r="Z823" i="26" s="1"/>
  <c r="AA823" i="26" s="1"/>
  <c r="J823" i="26"/>
  <c r="N839" i="26"/>
  <c r="R875" i="26"/>
  <c r="Y948" i="26"/>
  <c r="Z948" i="26" s="1"/>
  <c r="AA948" i="26" s="1"/>
  <c r="N948" i="26"/>
  <c r="F948" i="26"/>
  <c r="F1009" i="26"/>
  <c r="Y1009" i="26"/>
  <c r="Z1009" i="26" s="1"/>
  <c r="AA1009" i="26" s="1"/>
  <c r="R1009" i="26"/>
  <c r="J1009" i="26"/>
  <c r="Y1011" i="26"/>
  <c r="Z1011" i="26" s="1"/>
  <c r="AA1011" i="26" s="1"/>
  <c r="J1011" i="26"/>
  <c r="R1011" i="26"/>
  <c r="F1011" i="26"/>
  <c r="Y1027" i="26"/>
  <c r="Z1027" i="26" s="1"/>
  <c r="AA1027" i="26" s="1"/>
  <c r="J1027" i="26"/>
  <c r="R1027" i="26"/>
  <c r="F1027" i="26"/>
  <c r="N1027" i="26"/>
  <c r="V258" i="26"/>
  <c r="V266" i="26"/>
  <c r="V275" i="26"/>
  <c r="V283" i="26"/>
  <c r="V292" i="26"/>
  <c r="V300" i="26"/>
  <c r="R300" i="26" s="1"/>
  <c r="N313" i="26"/>
  <c r="N321" i="26"/>
  <c r="N329" i="26"/>
  <c r="N337" i="26"/>
  <c r="N344" i="26"/>
  <c r="N357" i="26"/>
  <c r="R358" i="26"/>
  <c r="N365" i="26"/>
  <c r="R366" i="26"/>
  <c r="N373" i="26"/>
  <c r="R374" i="26"/>
  <c r="N381" i="26"/>
  <c r="R382" i="26"/>
  <c r="N389" i="26"/>
  <c r="R391" i="26"/>
  <c r="V411" i="26"/>
  <c r="V416" i="26"/>
  <c r="Y420" i="26"/>
  <c r="Z420" i="26" s="1"/>
  <c r="AA420" i="26" s="1"/>
  <c r="J420" i="26"/>
  <c r="F420" i="26"/>
  <c r="R420" i="26"/>
  <c r="V426" i="26"/>
  <c r="J427" i="26"/>
  <c r="R427" i="26"/>
  <c r="V431" i="26"/>
  <c r="N433" i="26"/>
  <c r="R436" i="26"/>
  <c r="Y437" i="26"/>
  <c r="Z437" i="26" s="1"/>
  <c r="AA437" i="26" s="1"/>
  <c r="J437" i="26"/>
  <c r="V441" i="26"/>
  <c r="R453" i="26"/>
  <c r="V458" i="26"/>
  <c r="V465" i="26"/>
  <c r="N468" i="26"/>
  <c r="V470" i="26"/>
  <c r="N478" i="26"/>
  <c r="N479" i="26"/>
  <c r="Y479" i="26"/>
  <c r="Z479" i="26" s="1"/>
  <c r="AA479" i="26" s="1"/>
  <c r="V484" i="26"/>
  <c r="N492" i="26"/>
  <c r="R501" i="26"/>
  <c r="N505" i="26"/>
  <c r="F506" i="26"/>
  <c r="Y506" i="26"/>
  <c r="Z506" i="26" s="1"/>
  <c r="AA506" i="26" s="1"/>
  <c r="J506" i="26"/>
  <c r="R512" i="26"/>
  <c r="N512" i="26"/>
  <c r="Y512" i="26"/>
  <c r="Z512" i="26" s="1"/>
  <c r="AA512" i="26" s="1"/>
  <c r="J528" i="26"/>
  <c r="F528" i="26"/>
  <c r="Y528" i="26"/>
  <c r="Z528" i="26" s="1"/>
  <c r="AA528" i="26" s="1"/>
  <c r="V540" i="26"/>
  <c r="N542" i="26"/>
  <c r="N567" i="26"/>
  <c r="R597" i="26"/>
  <c r="V645" i="26"/>
  <c r="N649" i="26"/>
  <c r="V661" i="26"/>
  <c r="R661" i="26" s="1"/>
  <c r="N665" i="26"/>
  <c r="V680" i="26"/>
  <c r="N684" i="26"/>
  <c r="V696" i="26"/>
  <c r="R696" i="26" s="1"/>
  <c r="N697" i="26"/>
  <c r="N700" i="26"/>
  <c r="Y714" i="26"/>
  <c r="Z714" i="26" s="1"/>
  <c r="AA714" i="26" s="1"/>
  <c r="R714" i="26"/>
  <c r="F714" i="26"/>
  <c r="J714" i="26"/>
  <c r="Y722" i="26"/>
  <c r="Z722" i="26" s="1"/>
  <c r="AA722" i="26" s="1"/>
  <c r="R722" i="26"/>
  <c r="F722" i="26"/>
  <c r="N722" i="26"/>
  <c r="N726" i="26"/>
  <c r="V744" i="26"/>
  <c r="N751" i="26"/>
  <c r="R775" i="26"/>
  <c r="Y781" i="26"/>
  <c r="Z781" i="26" s="1"/>
  <c r="AA781" i="26" s="1"/>
  <c r="F781" i="26"/>
  <c r="N781" i="26"/>
  <c r="R793" i="26"/>
  <c r="F814" i="26"/>
  <c r="J814" i="26"/>
  <c r="F839" i="26"/>
  <c r="Y839" i="26"/>
  <c r="Z839" i="26" s="1"/>
  <c r="AA839" i="26" s="1"/>
  <c r="J839" i="26"/>
  <c r="Y842" i="26"/>
  <c r="Z842" i="26" s="1"/>
  <c r="AA842" i="26" s="1"/>
  <c r="J842" i="26"/>
  <c r="F847" i="26"/>
  <c r="Y847" i="26"/>
  <c r="Z847" i="26" s="1"/>
  <c r="AA847" i="26" s="1"/>
  <c r="J847" i="26"/>
  <c r="J880" i="26"/>
  <c r="F880" i="26"/>
  <c r="Y880" i="26"/>
  <c r="Z880" i="26" s="1"/>
  <c r="AA880" i="26" s="1"/>
  <c r="N932" i="26"/>
  <c r="R1061" i="26"/>
  <c r="F1061" i="26"/>
  <c r="Y1061" i="26"/>
  <c r="Z1061" i="26" s="1"/>
  <c r="AA1061" i="26" s="1"/>
  <c r="J1061" i="26"/>
  <c r="N1082" i="26"/>
  <c r="R307" i="26"/>
  <c r="R315" i="26"/>
  <c r="R323" i="26"/>
  <c r="R331" i="26"/>
  <c r="N334" i="26"/>
  <c r="R335" i="26"/>
  <c r="F345" i="26"/>
  <c r="Y345" i="26"/>
  <c r="Z345" i="26" s="1"/>
  <c r="AA345" i="26" s="1"/>
  <c r="V347" i="26"/>
  <c r="N419" i="26"/>
  <c r="J423" i="26"/>
  <c r="F423" i="26"/>
  <c r="R423" i="26"/>
  <c r="F427" i="26"/>
  <c r="R431" i="26"/>
  <c r="J434" i="26"/>
  <c r="J439" i="26"/>
  <c r="N440" i="26"/>
  <c r="J451" i="26"/>
  <c r="N459" i="26"/>
  <c r="N461" i="26"/>
  <c r="N466" i="26"/>
  <c r="N473" i="26"/>
  <c r="V475" i="26"/>
  <c r="R475" i="26" s="1"/>
  <c r="F477" i="26"/>
  <c r="R477" i="26"/>
  <c r="J479" i="26"/>
  <c r="V482" i="26"/>
  <c r="R482" i="26" s="1"/>
  <c r="V489" i="26"/>
  <c r="R489" i="26" s="1"/>
  <c r="R494" i="26"/>
  <c r="F512" i="26"/>
  <c r="R521" i="26"/>
  <c r="N521" i="26"/>
  <c r="Y521" i="26"/>
  <c r="Z521" i="26" s="1"/>
  <c r="AA521" i="26" s="1"/>
  <c r="J536" i="26"/>
  <c r="F536" i="26"/>
  <c r="Y536" i="26"/>
  <c r="Z536" i="26" s="1"/>
  <c r="AA536" i="26" s="1"/>
  <c r="R545" i="26"/>
  <c r="X577" i="26"/>
  <c r="M577" i="26"/>
  <c r="I577" i="26"/>
  <c r="V577" i="26" s="1"/>
  <c r="Q577" i="26"/>
  <c r="F597" i="26"/>
  <c r="Y597" i="26"/>
  <c r="Z597" i="26" s="1"/>
  <c r="AA597" i="26" s="1"/>
  <c r="J597" i="26"/>
  <c r="Y639" i="26"/>
  <c r="Z639" i="26" s="1"/>
  <c r="AA639" i="26" s="1"/>
  <c r="J639" i="26"/>
  <c r="R639" i="26"/>
  <c r="N640" i="26"/>
  <c r="N643" i="26"/>
  <c r="Y655" i="26"/>
  <c r="Z655" i="26" s="1"/>
  <c r="AA655" i="26" s="1"/>
  <c r="J655" i="26"/>
  <c r="R655" i="26"/>
  <c r="N656" i="26"/>
  <c r="Y674" i="26"/>
  <c r="Z674" i="26" s="1"/>
  <c r="AA674" i="26" s="1"/>
  <c r="J674" i="26"/>
  <c r="R674" i="26"/>
  <c r="N678" i="26"/>
  <c r="Y690" i="26"/>
  <c r="Z690" i="26" s="1"/>
  <c r="AA690" i="26" s="1"/>
  <c r="J690" i="26"/>
  <c r="R690" i="26"/>
  <c r="Y706" i="26"/>
  <c r="Z706" i="26" s="1"/>
  <c r="AA706" i="26" s="1"/>
  <c r="J706" i="26"/>
  <c r="R706" i="26"/>
  <c r="N707" i="26"/>
  <c r="N710" i="26"/>
  <c r="Y718" i="26"/>
  <c r="Z718" i="26" s="1"/>
  <c r="AA718" i="26" s="1"/>
  <c r="J718" i="26"/>
  <c r="N735" i="26"/>
  <c r="F775" i="26"/>
  <c r="Y775" i="26"/>
  <c r="Z775" i="26" s="1"/>
  <c r="AA775" i="26" s="1"/>
  <c r="J775" i="26"/>
  <c r="J791" i="26"/>
  <c r="R791" i="26"/>
  <c r="F791" i="26"/>
  <c r="N791" i="26"/>
  <c r="Y791" i="26"/>
  <c r="Z791" i="26" s="1"/>
  <c r="AA791" i="26" s="1"/>
  <c r="F793" i="26"/>
  <c r="Y793" i="26"/>
  <c r="Z793" i="26" s="1"/>
  <c r="AA793" i="26" s="1"/>
  <c r="J793" i="26"/>
  <c r="N819" i="26"/>
  <c r="N826" i="26"/>
  <c r="Y876" i="26"/>
  <c r="Z876" i="26" s="1"/>
  <c r="AA876" i="26" s="1"/>
  <c r="F876" i="26"/>
  <c r="J877" i="26"/>
  <c r="Y877" i="26"/>
  <c r="Z877" i="26" s="1"/>
  <c r="AA877" i="26" s="1"/>
  <c r="R877" i="26"/>
  <c r="F909" i="26"/>
  <c r="N909" i="26"/>
  <c r="J909" i="26"/>
  <c r="V403" i="26"/>
  <c r="V412" i="26"/>
  <c r="V422" i="26"/>
  <c r="R443" i="26"/>
  <c r="V510" i="26"/>
  <c r="R510" i="26" s="1"/>
  <c r="F511" i="26"/>
  <c r="E556" i="26"/>
  <c r="R588" i="26"/>
  <c r="N600" i="26"/>
  <c r="F610" i="26"/>
  <c r="V632" i="26"/>
  <c r="V643" i="26"/>
  <c r="V651" i="26"/>
  <c r="R651" i="26" s="1"/>
  <c r="V659" i="26"/>
  <c r="V667" i="26"/>
  <c r="N667" i="26" s="1"/>
  <c r="V678" i="26"/>
  <c r="V686" i="26"/>
  <c r="N686" i="26" s="1"/>
  <c r="V694" i="26"/>
  <c r="V702" i="26"/>
  <c r="V710" i="26"/>
  <c r="N711" i="26"/>
  <c r="J721" i="26"/>
  <c r="Y721" i="26"/>
  <c r="Z721" i="26" s="1"/>
  <c r="AA721" i="26" s="1"/>
  <c r="F743" i="26"/>
  <c r="Y743" i="26"/>
  <c r="Z743" i="26" s="1"/>
  <c r="AA743" i="26" s="1"/>
  <c r="R743" i="26"/>
  <c r="Y755" i="26"/>
  <c r="Z755" i="26" s="1"/>
  <c r="AA755" i="26" s="1"/>
  <c r="J755" i="26"/>
  <c r="F760" i="26"/>
  <c r="Y760" i="26"/>
  <c r="Z760" i="26" s="1"/>
  <c r="AA760" i="26" s="1"/>
  <c r="J760" i="26"/>
  <c r="N785" i="26"/>
  <c r="N788" i="26"/>
  <c r="J789" i="26"/>
  <c r="N806" i="26"/>
  <c r="F807" i="26"/>
  <c r="Y807" i="26"/>
  <c r="Z807" i="26" s="1"/>
  <c r="AA807" i="26" s="1"/>
  <c r="J807" i="26"/>
  <c r="V810" i="26"/>
  <c r="J817" i="26"/>
  <c r="Y817" i="26"/>
  <c r="Z817" i="26" s="1"/>
  <c r="AA817" i="26" s="1"/>
  <c r="N847" i="26"/>
  <c r="R851" i="26"/>
  <c r="F851" i="26"/>
  <c r="Y866" i="26"/>
  <c r="Z866" i="26" s="1"/>
  <c r="AA866" i="26" s="1"/>
  <c r="N866" i="26"/>
  <c r="F866" i="26"/>
  <c r="V923" i="26"/>
  <c r="J947" i="26"/>
  <c r="F947" i="26"/>
  <c r="Y947" i="26"/>
  <c r="Z947" i="26" s="1"/>
  <c r="AA947" i="26" s="1"/>
  <c r="N947" i="26"/>
  <c r="F967" i="26"/>
  <c r="Y967" i="26"/>
  <c r="Z967" i="26" s="1"/>
  <c r="AA967" i="26" s="1"/>
  <c r="J967" i="26"/>
  <c r="R967" i="26"/>
  <c r="R1003" i="26"/>
  <c r="R1093" i="26"/>
  <c r="F1093" i="26"/>
  <c r="Y1093" i="26"/>
  <c r="Z1093" i="26" s="1"/>
  <c r="AA1093" i="26" s="1"/>
  <c r="J1093" i="26"/>
  <c r="F1107" i="26"/>
  <c r="Y1107" i="26"/>
  <c r="Z1107" i="26" s="1"/>
  <c r="AA1107" i="26" s="1"/>
  <c r="J1107" i="26"/>
  <c r="N1107" i="26"/>
  <c r="R405" i="26"/>
  <c r="R414" i="26"/>
  <c r="R424" i="26"/>
  <c r="R509" i="26"/>
  <c r="N513" i="26"/>
  <c r="R518" i="26"/>
  <c r="N522" i="26"/>
  <c r="R527" i="26"/>
  <c r="N530" i="26"/>
  <c r="N538" i="26"/>
  <c r="R543" i="26"/>
  <c r="V552" i="26"/>
  <c r="Q555" i="26"/>
  <c r="X559" i="26"/>
  <c r="M559" i="26"/>
  <c r="I559" i="26"/>
  <c r="V559" i="26" s="1"/>
  <c r="V562" i="26"/>
  <c r="R562" i="26" s="1"/>
  <c r="R567" i="26"/>
  <c r="V600" i="26"/>
  <c r="R603" i="26"/>
  <c r="N608" i="26"/>
  <c r="V631" i="26"/>
  <c r="V644" i="26"/>
  <c r="V652" i="26"/>
  <c r="V660" i="26"/>
  <c r="R660" i="26" s="1"/>
  <c r="V668" i="26"/>
  <c r="V679" i="26"/>
  <c r="V687" i="26"/>
  <c r="V695" i="26"/>
  <c r="V703" i="26"/>
  <c r="N718" i="26"/>
  <c r="N727" i="26"/>
  <c r="Y738" i="26"/>
  <c r="Z738" i="26" s="1"/>
  <c r="AA738" i="26" s="1"/>
  <c r="J738" i="26"/>
  <c r="R738" i="26"/>
  <c r="F738" i="26"/>
  <c r="Y742" i="26"/>
  <c r="Z742" i="26" s="1"/>
  <c r="AA742" i="26" s="1"/>
  <c r="J742" i="26"/>
  <c r="N750" i="26"/>
  <c r="N774" i="26"/>
  <c r="F785" i="26"/>
  <c r="Y785" i="26"/>
  <c r="Z785" i="26" s="1"/>
  <c r="AA785" i="26" s="1"/>
  <c r="R785" i="26"/>
  <c r="R838" i="26"/>
  <c r="V846" i="26"/>
  <c r="R847" i="26"/>
  <c r="N853" i="26"/>
  <c r="R873" i="26"/>
  <c r="F881" i="26"/>
  <c r="J881" i="26"/>
  <c r="J887" i="26"/>
  <c r="Y887" i="26"/>
  <c r="Z887" i="26" s="1"/>
  <c r="AA887" i="26" s="1"/>
  <c r="F887" i="26"/>
  <c r="R887" i="26"/>
  <c r="F889" i="26"/>
  <c r="Y889" i="26"/>
  <c r="Z889" i="26" s="1"/>
  <c r="AA889" i="26" s="1"/>
  <c r="J889" i="26"/>
  <c r="N913" i="26"/>
  <c r="N930" i="26"/>
  <c r="Y930" i="26"/>
  <c r="Z930" i="26" s="1"/>
  <c r="AA930" i="26" s="1"/>
  <c r="R930" i="26"/>
  <c r="F930" i="26"/>
  <c r="F935" i="26"/>
  <c r="R935" i="26"/>
  <c r="J935" i="26"/>
  <c r="J938" i="26"/>
  <c r="Y938" i="26"/>
  <c r="Z938" i="26" s="1"/>
  <c r="AA938" i="26" s="1"/>
  <c r="F938" i="26"/>
  <c r="Y945" i="26"/>
  <c r="Z945" i="26" s="1"/>
  <c r="AA945" i="26" s="1"/>
  <c r="R945" i="26"/>
  <c r="J945" i="26"/>
  <c r="F945" i="26"/>
  <c r="V959" i="26"/>
  <c r="Y969" i="26"/>
  <c r="Z969" i="26" s="1"/>
  <c r="AA969" i="26" s="1"/>
  <c r="J969" i="26"/>
  <c r="F969" i="26"/>
  <c r="N987" i="26"/>
  <c r="F999" i="26"/>
  <c r="Y999" i="26"/>
  <c r="Z999" i="26" s="1"/>
  <c r="AA999" i="26" s="1"/>
  <c r="N999" i="26"/>
  <c r="J999" i="26"/>
  <c r="N1009" i="26"/>
  <c r="Y1028" i="26"/>
  <c r="Z1028" i="26" s="1"/>
  <c r="AA1028" i="26" s="1"/>
  <c r="J1028" i="26"/>
  <c r="R1028" i="26"/>
  <c r="F1030" i="26"/>
  <c r="R1030" i="26"/>
  <c r="Y1030" i="26"/>
  <c r="Z1030" i="26" s="1"/>
  <c r="AA1030" i="26" s="1"/>
  <c r="J1030" i="26"/>
  <c r="F1102" i="26"/>
  <c r="Y1102" i="26"/>
  <c r="Z1102" i="26" s="1"/>
  <c r="AA1102" i="26" s="1"/>
  <c r="J1102" i="26"/>
  <c r="F1187" i="26"/>
  <c r="Y1187" i="26"/>
  <c r="Z1187" i="26" s="1"/>
  <c r="AA1187" i="26" s="1"/>
  <c r="J1187" i="26"/>
  <c r="J1191" i="26"/>
  <c r="F1191" i="26"/>
  <c r="Y1191" i="26"/>
  <c r="Z1191" i="26" s="1"/>
  <c r="AA1191" i="26" s="1"/>
  <c r="R1191" i="26"/>
  <c r="Y1198" i="26"/>
  <c r="Z1198" i="26" s="1"/>
  <c r="AA1198" i="26" s="1"/>
  <c r="J1198" i="26"/>
  <c r="F1198" i="26"/>
  <c r="R1198" i="26"/>
  <c r="F1213" i="26"/>
  <c r="Y1213" i="26"/>
  <c r="Z1213" i="26" s="1"/>
  <c r="AA1213" i="26" s="1"/>
  <c r="J1213" i="26"/>
  <c r="Y1215" i="26"/>
  <c r="Z1215" i="26" s="1"/>
  <c r="AA1215" i="26" s="1"/>
  <c r="J1215" i="26"/>
  <c r="F1215" i="26"/>
  <c r="R1215" i="26"/>
  <c r="R1216" i="26"/>
  <c r="N497" i="26"/>
  <c r="R505" i="26"/>
  <c r="N516" i="26"/>
  <c r="N525" i="26"/>
  <c r="N533" i="26"/>
  <c r="N541" i="26"/>
  <c r="Q547" i="26"/>
  <c r="E547" i="26"/>
  <c r="X547" i="26"/>
  <c r="M547" i="26"/>
  <c r="X552" i="26"/>
  <c r="X562" i="26"/>
  <c r="V586" i="26"/>
  <c r="N586" i="26" s="1"/>
  <c r="N601" i="26"/>
  <c r="J610" i="26"/>
  <c r="V638" i="26"/>
  <c r="N638" i="26" s="1"/>
  <c r="R638" i="26"/>
  <c r="V640" i="26"/>
  <c r="R640" i="26"/>
  <c r="R644" i="26"/>
  <c r="V646" i="26"/>
  <c r="R646" i="26" s="1"/>
  <c r="V648" i="26"/>
  <c r="R648" i="26"/>
  <c r="R652" i="26"/>
  <c r="V654" i="26"/>
  <c r="R654" i="26"/>
  <c r="V656" i="26"/>
  <c r="R656" i="26"/>
  <c r="V662" i="26"/>
  <c r="R662" i="26"/>
  <c r="V664" i="26"/>
  <c r="R668" i="26"/>
  <c r="V670" i="26"/>
  <c r="N670" i="26" s="1"/>
  <c r="R670" i="26"/>
  <c r="V675" i="26"/>
  <c r="R675" i="26"/>
  <c r="R679" i="26"/>
  <c r="V681" i="26"/>
  <c r="V683" i="26"/>
  <c r="R683" i="26"/>
  <c r="V689" i="26"/>
  <c r="R689" i="26"/>
  <c r="V691" i="26"/>
  <c r="R691" i="26"/>
  <c r="V697" i="26"/>
  <c r="R697" i="26"/>
  <c r="V699" i="26"/>
  <c r="R699" i="26" s="1"/>
  <c r="R703" i="26"/>
  <c r="V705" i="26"/>
  <c r="N705" i="26" s="1"/>
  <c r="R705" i="26"/>
  <c r="V707" i="26"/>
  <c r="R707" i="26"/>
  <c r="J713" i="26"/>
  <c r="Y713" i="26"/>
  <c r="Z713" i="26" s="1"/>
  <c r="AA713" i="26" s="1"/>
  <c r="Y730" i="26"/>
  <c r="Z730" i="26" s="1"/>
  <c r="AA730" i="26" s="1"/>
  <c r="R730" i="26"/>
  <c r="F730" i="26"/>
  <c r="Y734" i="26"/>
  <c r="Z734" i="26" s="1"/>
  <c r="AA734" i="26" s="1"/>
  <c r="J734" i="26"/>
  <c r="N742" i="26"/>
  <c r="J743" i="26"/>
  <c r="F747" i="26"/>
  <c r="R747" i="26"/>
  <c r="F752" i="26"/>
  <c r="N752" i="26"/>
  <c r="N760" i="26"/>
  <c r="N762" i="26"/>
  <c r="F768" i="26"/>
  <c r="J768" i="26"/>
  <c r="R768" i="26"/>
  <c r="V788" i="26"/>
  <c r="N789" i="26"/>
  <c r="Y792" i="26"/>
  <c r="Z792" i="26" s="1"/>
  <c r="AA792" i="26" s="1"/>
  <c r="J792" i="26"/>
  <c r="J804" i="26"/>
  <c r="F804" i="26"/>
  <c r="J805" i="26"/>
  <c r="N805" i="26"/>
  <c r="Y805" i="26"/>
  <c r="Z805" i="26" s="1"/>
  <c r="AA805" i="26" s="1"/>
  <c r="F808" i="26"/>
  <c r="N808" i="26"/>
  <c r="Y808" i="26"/>
  <c r="Z808" i="26" s="1"/>
  <c r="AA808" i="26" s="1"/>
  <c r="Y811" i="26"/>
  <c r="Z811" i="26" s="1"/>
  <c r="AA811" i="26" s="1"/>
  <c r="J811" i="26"/>
  <c r="F811" i="26"/>
  <c r="R811" i="26"/>
  <c r="N812" i="26"/>
  <c r="N814" i="26"/>
  <c r="F815" i="26"/>
  <c r="Y815" i="26"/>
  <c r="Z815" i="26" s="1"/>
  <c r="AA815" i="26" s="1"/>
  <c r="J815" i="26"/>
  <c r="V818" i="26"/>
  <c r="J822" i="26"/>
  <c r="V838" i="26"/>
  <c r="R839" i="26"/>
  <c r="R841" i="26"/>
  <c r="V849" i="26"/>
  <c r="J851" i="26"/>
  <c r="Y852" i="26"/>
  <c r="Z852" i="26" s="1"/>
  <c r="AA852" i="26" s="1"/>
  <c r="J852" i="26"/>
  <c r="F852" i="26"/>
  <c r="N860" i="26"/>
  <c r="J862" i="26"/>
  <c r="Y862" i="26"/>
  <c r="Z862" i="26" s="1"/>
  <c r="AA862" i="26" s="1"/>
  <c r="F862" i="26"/>
  <c r="F865" i="26"/>
  <c r="Y865" i="26"/>
  <c r="Z865" i="26" s="1"/>
  <c r="AA865" i="26" s="1"/>
  <c r="R865" i="26"/>
  <c r="N880" i="26"/>
  <c r="R883" i="26"/>
  <c r="V885" i="26"/>
  <c r="R886" i="26"/>
  <c r="R905" i="26"/>
  <c r="J907" i="26"/>
  <c r="F907" i="26"/>
  <c r="Y908" i="26"/>
  <c r="Z908" i="26" s="1"/>
  <c r="AA908" i="26" s="1"/>
  <c r="F908" i="26"/>
  <c r="J908" i="26"/>
  <c r="R914" i="26"/>
  <c r="N914" i="26"/>
  <c r="J914" i="26"/>
  <c r="N935" i="26"/>
  <c r="F941" i="26"/>
  <c r="Y941" i="26"/>
  <c r="Z941" i="26" s="1"/>
  <c r="AA941" i="26" s="1"/>
  <c r="J941" i="26"/>
  <c r="V954" i="26"/>
  <c r="N962" i="26"/>
  <c r="V965" i="26"/>
  <c r="N972" i="26"/>
  <c r="Y986" i="26"/>
  <c r="Z986" i="26" s="1"/>
  <c r="AA986" i="26" s="1"/>
  <c r="R986" i="26"/>
  <c r="F986" i="26"/>
  <c r="F1022" i="26"/>
  <c r="N1022" i="26"/>
  <c r="Y1022" i="26"/>
  <c r="Z1022" i="26" s="1"/>
  <c r="AA1022" i="26" s="1"/>
  <c r="J1022" i="26"/>
  <c r="F1028" i="26"/>
  <c r="R1039" i="26"/>
  <c r="F1039" i="26"/>
  <c r="Y1039" i="26"/>
  <c r="Z1039" i="26" s="1"/>
  <c r="AA1039" i="26" s="1"/>
  <c r="J1039" i="26"/>
  <c r="N456" i="26"/>
  <c r="N472" i="26"/>
  <c r="N480" i="26"/>
  <c r="N488" i="26"/>
  <c r="V500" i="26"/>
  <c r="V503" i="26"/>
  <c r="V508" i="26"/>
  <c r="R513" i="26"/>
  <c r="F514" i="26"/>
  <c r="Y514" i="26"/>
  <c r="Z514" i="26" s="1"/>
  <c r="AA514" i="26" s="1"/>
  <c r="R522" i="26"/>
  <c r="F523" i="26"/>
  <c r="Y523" i="26"/>
  <c r="Z523" i="26" s="1"/>
  <c r="AA523" i="26" s="1"/>
  <c r="R530" i="26"/>
  <c r="F531" i="26"/>
  <c r="Y531" i="26"/>
  <c r="Z531" i="26" s="1"/>
  <c r="AA531" i="26" s="1"/>
  <c r="R538" i="26"/>
  <c r="F539" i="26"/>
  <c r="Y539" i="26"/>
  <c r="Z539" i="26" s="1"/>
  <c r="AA539" i="26" s="1"/>
  <c r="N548" i="26"/>
  <c r="R608" i="26"/>
  <c r="F609" i="26"/>
  <c r="Y609" i="26"/>
  <c r="Z609" i="26" s="1"/>
  <c r="AA609" i="26" s="1"/>
  <c r="F711" i="26"/>
  <c r="Y711" i="26"/>
  <c r="Z711" i="26" s="1"/>
  <c r="AA711" i="26" s="1"/>
  <c r="V717" i="26"/>
  <c r="R718" i="26"/>
  <c r="N745" i="26"/>
  <c r="R750" i="26"/>
  <c r="Y771" i="26"/>
  <c r="Z771" i="26" s="1"/>
  <c r="AA771" i="26" s="1"/>
  <c r="F771" i="26"/>
  <c r="N775" i="26"/>
  <c r="Y784" i="26"/>
  <c r="Z784" i="26" s="1"/>
  <c r="AA784" i="26" s="1"/>
  <c r="J784" i="26"/>
  <c r="Y799" i="26"/>
  <c r="Z799" i="26" s="1"/>
  <c r="AA799" i="26" s="1"/>
  <c r="J799" i="26"/>
  <c r="F799" i="26"/>
  <c r="R799" i="26"/>
  <c r="R823" i="26"/>
  <c r="V832" i="26"/>
  <c r="R832" i="26" s="1"/>
  <c r="J841" i="26"/>
  <c r="F841" i="26"/>
  <c r="Y841" i="26"/>
  <c r="Z841" i="26" s="1"/>
  <c r="AA841" i="26" s="1"/>
  <c r="J844" i="26"/>
  <c r="F844" i="26"/>
  <c r="Y844" i="26"/>
  <c r="Z844" i="26" s="1"/>
  <c r="AA844" i="26" s="1"/>
  <c r="R853" i="26"/>
  <c r="Y859" i="26"/>
  <c r="Z859" i="26" s="1"/>
  <c r="AA859" i="26" s="1"/>
  <c r="R859" i="26"/>
  <c r="F859" i="26"/>
  <c r="Y860" i="26"/>
  <c r="Z860" i="26" s="1"/>
  <c r="AA860" i="26" s="1"/>
  <c r="J860" i="26"/>
  <c r="R860" i="26"/>
  <c r="F860" i="26"/>
  <c r="N871" i="26"/>
  <c r="F905" i="26"/>
  <c r="Y905" i="26"/>
  <c r="Z905" i="26" s="1"/>
  <c r="AA905" i="26" s="1"/>
  <c r="J905" i="26"/>
  <c r="R909" i="26"/>
  <c r="R928" i="26"/>
  <c r="V949" i="26"/>
  <c r="N949" i="26" s="1"/>
  <c r="F957" i="26"/>
  <c r="Y957" i="26"/>
  <c r="Z957" i="26" s="1"/>
  <c r="AA957" i="26" s="1"/>
  <c r="J957" i="26"/>
  <c r="J964" i="26"/>
  <c r="N964" i="26"/>
  <c r="Y964" i="26"/>
  <c r="Z964" i="26" s="1"/>
  <c r="AA964" i="26" s="1"/>
  <c r="F975" i="26"/>
  <c r="Y975" i="26"/>
  <c r="Z975" i="26" s="1"/>
  <c r="AA975" i="26" s="1"/>
  <c r="N975" i="26"/>
  <c r="J975" i="26"/>
  <c r="F1000" i="26"/>
  <c r="Y1000" i="26"/>
  <c r="Z1000" i="26" s="1"/>
  <c r="AA1000" i="26" s="1"/>
  <c r="J1000" i="26"/>
  <c r="R1000" i="26"/>
  <c r="F1008" i="26"/>
  <c r="Y1008" i="26"/>
  <c r="Z1008" i="26" s="1"/>
  <c r="AA1008" i="26" s="1"/>
  <c r="N1008" i="26"/>
  <c r="F1070" i="26"/>
  <c r="Y1070" i="26"/>
  <c r="Z1070" i="26" s="1"/>
  <c r="AA1070" i="26" s="1"/>
  <c r="N1070" i="26"/>
  <c r="J1070" i="26"/>
  <c r="F1147" i="26"/>
  <c r="Y1147" i="26"/>
  <c r="Z1147" i="26" s="1"/>
  <c r="AA1147" i="26" s="1"/>
  <c r="N1147" i="26"/>
  <c r="N1180" i="26"/>
  <c r="J1184" i="26"/>
  <c r="F1184" i="26"/>
  <c r="Y1184" i="26"/>
  <c r="Z1184" i="26" s="1"/>
  <c r="AA1184" i="26" s="1"/>
  <c r="R1184" i="26"/>
  <c r="F634" i="26"/>
  <c r="R755" i="26"/>
  <c r="V769" i="26"/>
  <c r="R769" i="26" s="1"/>
  <c r="R774" i="26"/>
  <c r="N798" i="26"/>
  <c r="N810" i="26"/>
  <c r="N818" i="26"/>
  <c r="N834" i="26"/>
  <c r="N843" i="26"/>
  <c r="V845" i="26"/>
  <c r="N855" i="26"/>
  <c r="N857" i="26"/>
  <c r="Y858" i="26"/>
  <c r="Z858" i="26" s="1"/>
  <c r="AA858" i="26" s="1"/>
  <c r="N858" i="26"/>
  <c r="V871" i="26"/>
  <c r="N876" i="26"/>
  <c r="J879" i="26"/>
  <c r="R880" i="26"/>
  <c r="R882" i="26"/>
  <c r="N887" i="26"/>
  <c r="N891" i="26"/>
  <c r="F898" i="26"/>
  <c r="Y898" i="26"/>
  <c r="Z898" i="26" s="1"/>
  <c r="AA898" i="26" s="1"/>
  <c r="R908" i="26"/>
  <c r="R913" i="26"/>
  <c r="N916" i="26"/>
  <c r="F921" i="26"/>
  <c r="J921" i="26"/>
  <c r="Y921" i="26"/>
  <c r="Z921" i="26" s="1"/>
  <c r="AA921" i="26" s="1"/>
  <c r="R923" i="26"/>
  <c r="V929" i="26"/>
  <c r="N941" i="26"/>
  <c r="N961" i="26"/>
  <c r="V976" i="26"/>
  <c r="R985" i="26"/>
  <c r="N990" i="26"/>
  <c r="F992" i="26"/>
  <c r="Y992" i="26"/>
  <c r="Z992" i="26" s="1"/>
  <c r="AA992" i="26" s="1"/>
  <c r="J992" i="26"/>
  <c r="R992" i="26"/>
  <c r="V1003" i="26"/>
  <c r="N1011" i="26"/>
  <c r="F1021" i="26"/>
  <c r="R1021" i="26"/>
  <c r="Y1021" i="26"/>
  <c r="Z1021" i="26" s="1"/>
  <c r="AA1021" i="26" s="1"/>
  <c r="F1044" i="26"/>
  <c r="J1044" i="26"/>
  <c r="R1044" i="26"/>
  <c r="N1044" i="26"/>
  <c r="J1049" i="26"/>
  <c r="V1081" i="26"/>
  <c r="N1081" i="26" s="1"/>
  <c r="Y1115" i="26"/>
  <c r="Z1115" i="26" s="1"/>
  <c r="AA1115" i="26" s="1"/>
  <c r="J1115" i="26"/>
  <c r="F1115" i="26"/>
  <c r="F1164" i="26"/>
  <c r="Y1164" i="26"/>
  <c r="Z1164" i="26" s="1"/>
  <c r="AA1164" i="26" s="1"/>
  <c r="N1164" i="26"/>
  <c r="J1164" i="26"/>
  <c r="R1179" i="26"/>
  <c r="F1229" i="26"/>
  <c r="Y1229" i="26"/>
  <c r="Z1229" i="26" s="1"/>
  <c r="AA1229" i="26" s="1"/>
  <c r="J1229" i="26"/>
  <c r="Y1241" i="26"/>
  <c r="Z1241" i="26" s="1"/>
  <c r="AA1241" i="26" s="1"/>
  <c r="R1241" i="26"/>
  <c r="F1241" i="26"/>
  <c r="J1241" i="26"/>
  <c r="V716" i="26"/>
  <c r="V724" i="26"/>
  <c r="V732" i="26"/>
  <c r="N758" i="26"/>
  <c r="R843" i="26"/>
  <c r="N868" i="26"/>
  <c r="R874" i="26"/>
  <c r="R876" i="26"/>
  <c r="R885" i="26"/>
  <c r="Y893" i="26"/>
  <c r="Z893" i="26" s="1"/>
  <c r="AA893" i="26" s="1"/>
  <c r="J893" i="26"/>
  <c r="F893" i="26"/>
  <c r="N896" i="26"/>
  <c r="J904" i="26"/>
  <c r="Y904" i="26"/>
  <c r="Z904" i="26" s="1"/>
  <c r="AA904" i="26" s="1"/>
  <c r="R907" i="26"/>
  <c r="R916" i="26"/>
  <c r="N917" i="26"/>
  <c r="R926" i="26"/>
  <c r="J988" i="26"/>
  <c r="F988" i="26"/>
  <c r="N988" i="26"/>
  <c r="V1004" i="26"/>
  <c r="F1006" i="26"/>
  <c r="Y1006" i="26"/>
  <c r="Z1006" i="26" s="1"/>
  <c r="AA1006" i="26" s="1"/>
  <c r="J1006" i="26"/>
  <c r="F1019" i="26"/>
  <c r="Y1019" i="26"/>
  <c r="Z1019" i="26" s="1"/>
  <c r="AA1019" i="26" s="1"/>
  <c r="N1019" i="26"/>
  <c r="J1019" i="26"/>
  <c r="Y1033" i="26"/>
  <c r="Z1033" i="26" s="1"/>
  <c r="AA1033" i="26" s="1"/>
  <c r="N1033" i="26"/>
  <c r="J1033" i="26"/>
  <c r="F1033" i="26"/>
  <c r="Y1057" i="26"/>
  <c r="Z1057" i="26" s="1"/>
  <c r="AA1057" i="26" s="1"/>
  <c r="J1057" i="26"/>
  <c r="R1057" i="26"/>
  <c r="F1057" i="26"/>
  <c r="F1062" i="26"/>
  <c r="Y1062" i="26"/>
  <c r="Z1062" i="26" s="1"/>
  <c r="AA1062" i="26" s="1"/>
  <c r="N1062" i="26"/>
  <c r="J1062" i="26"/>
  <c r="R1069" i="26"/>
  <c r="F1069" i="26"/>
  <c r="Y1069" i="26"/>
  <c r="Z1069" i="26" s="1"/>
  <c r="AA1069" i="26" s="1"/>
  <c r="J1069" i="26"/>
  <c r="F1087" i="26"/>
  <c r="Y1087" i="26"/>
  <c r="Z1087" i="26" s="1"/>
  <c r="AA1087" i="26" s="1"/>
  <c r="J1087" i="26"/>
  <c r="R1087" i="26"/>
  <c r="Y1089" i="26"/>
  <c r="Z1089" i="26" s="1"/>
  <c r="AA1089" i="26" s="1"/>
  <c r="J1089" i="26"/>
  <c r="R1089" i="26"/>
  <c r="F1089" i="26"/>
  <c r="F1146" i="26"/>
  <c r="J1146" i="26"/>
  <c r="Y1146" i="26"/>
  <c r="Z1146" i="26" s="1"/>
  <c r="AA1146" i="26" s="1"/>
  <c r="R1156" i="26"/>
  <c r="F1203" i="26"/>
  <c r="Y1203" i="26"/>
  <c r="Z1203" i="26" s="1"/>
  <c r="AA1203" i="26" s="1"/>
  <c r="J1203" i="26"/>
  <c r="F1247" i="26"/>
  <c r="N1247" i="26"/>
  <c r="J1247" i="26"/>
  <c r="Y1247" i="26"/>
  <c r="Z1247" i="26" s="1"/>
  <c r="AA1247" i="26" s="1"/>
  <c r="R1247" i="26"/>
  <c r="J1293" i="26"/>
  <c r="Y1293" i="26"/>
  <c r="Z1293" i="26" s="1"/>
  <c r="AA1293" i="26" s="1"/>
  <c r="F1293" i="26"/>
  <c r="R1293" i="26"/>
  <c r="F1326" i="26"/>
  <c r="R1326" i="26"/>
  <c r="J1326" i="26"/>
  <c r="Y1326" i="26"/>
  <c r="Z1326" i="26" s="1"/>
  <c r="AA1326" i="26" s="1"/>
  <c r="N713" i="26"/>
  <c r="N721" i="26"/>
  <c r="N729" i="26"/>
  <c r="V737" i="26"/>
  <c r="V745" i="26"/>
  <c r="F759" i="26"/>
  <c r="Y759" i="26"/>
  <c r="Z759" i="26" s="1"/>
  <c r="AA759" i="26" s="1"/>
  <c r="N770" i="26"/>
  <c r="F772" i="26"/>
  <c r="V787" i="26"/>
  <c r="V795" i="26"/>
  <c r="N795" i="26" s="1"/>
  <c r="R806" i="26"/>
  <c r="N809" i="26"/>
  <c r="R814" i="26"/>
  <c r="N817" i="26"/>
  <c r="R822" i="26"/>
  <c r="R831" i="26"/>
  <c r="N833" i="26"/>
  <c r="N842" i="26"/>
  <c r="N852" i="26"/>
  <c r="N861" i="26"/>
  <c r="R866" i="26"/>
  <c r="V872" i="26"/>
  <c r="R872" i="26" s="1"/>
  <c r="N881" i="26"/>
  <c r="F891" i="26"/>
  <c r="Y891" i="26"/>
  <c r="Z891" i="26" s="1"/>
  <c r="AA891" i="26" s="1"/>
  <c r="F897" i="26"/>
  <c r="Y897" i="26"/>
  <c r="Z897" i="26" s="1"/>
  <c r="AA897" i="26" s="1"/>
  <c r="N905" i="26"/>
  <c r="V906" i="26"/>
  <c r="R906" i="26" s="1"/>
  <c r="N912" i="26"/>
  <c r="V916" i="26"/>
  <c r="V926" i="26"/>
  <c r="N926" i="26" s="1"/>
  <c r="N945" i="26"/>
  <c r="Y953" i="26"/>
  <c r="Z953" i="26" s="1"/>
  <c r="AA953" i="26" s="1"/>
  <c r="R953" i="26"/>
  <c r="J953" i="26"/>
  <c r="Y961" i="26"/>
  <c r="Z961" i="26" s="1"/>
  <c r="AA961" i="26" s="1"/>
  <c r="R961" i="26"/>
  <c r="J961" i="26"/>
  <c r="F961" i="26"/>
  <c r="J963" i="26"/>
  <c r="F963" i="26"/>
  <c r="Y963" i="26"/>
  <c r="Z963" i="26" s="1"/>
  <c r="AA963" i="26" s="1"/>
  <c r="R963" i="26"/>
  <c r="V974" i="26"/>
  <c r="N976" i="26"/>
  <c r="R990" i="26"/>
  <c r="F990" i="26"/>
  <c r="Y990" i="26"/>
  <c r="Z990" i="26" s="1"/>
  <c r="AA990" i="26" s="1"/>
  <c r="J990" i="26"/>
  <c r="Y1001" i="26"/>
  <c r="Z1001" i="26" s="1"/>
  <c r="AA1001" i="26" s="1"/>
  <c r="J1001" i="26"/>
  <c r="N1002" i="26"/>
  <c r="R1016" i="26"/>
  <c r="N1017" i="26"/>
  <c r="N1032" i="26"/>
  <c r="F1034" i="26"/>
  <c r="J1034" i="26"/>
  <c r="Y1058" i="26"/>
  <c r="Z1058" i="26" s="1"/>
  <c r="AA1058" i="26" s="1"/>
  <c r="J1058" i="26"/>
  <c r="F1058" i="26"/>
  <c r="F1096" i="26"/>
  <c r="N1096" i="26"/>
  <c r="Y1096" i="26"/>
  <c r="Z1096" i="26" s="1"/>
  <c r="AA1096" i="26" s="1"/>
  <c r="J1096" i="26"/>
  <c r="F1179" i="26"/>
  <c r="N1179" i="26"/>
  <c r="J1179" i="26"/>
  <c r="Y1179" i="26"/>
  <c r="Z1179" i="26" s="1"/>
  <c r="AA1179" i="26" s="1"/>
  <c r="F1194" i="26"/>
  <c r="Y1194" i="26"/>
  <c r="Z1194" i="26" s="1"/>
  <c r="AA1194" i="26" s="1"/>
  <c r="J1194" i="26"/>
  <c r="R715" i="26"/>
  <c r="R723" i="26"/>
  <c r="R731" i="26"/>
  <c r="V740" i="26"/>
  <c r="V748" i="26"/>
  <c r="R758" i="26"/>
  <c r="N761" i="26"/>
  <c r="N766" i="26"/>
  <c r="R767" i="26"/>
  <c r="R771" i="26"/>
  <c r="F778" i="26"/>
  <c r="F782" i="26"/>
  <c r="V790" i="26"/>
  <c r="F831" i="26"/>
  <c r="Y831" i="26"/>
  <c r="Z831" i="26" s="1"/>
  <c r="AA831" i="26" s="1"/>
  <c r="R840" i="26"/>
  <c r="R848" i="26"/>
  <c r="F857" i="26"/>
  <c r="Y857" i="26"/>
  <c r="Z857" i="26" s="1"/>
  <c r="AA857" i="26" s="1"/>
  <c r="N863" i="26"/>
  <c r="N865" i="26"/>
  <c r="N873" i="26"/>
  <c r="R896" i="26"/>
  <c r="J897" i="26"/>
  <c r="F903" i="26"/>
  <c r="V933" i="26"/>
  <c r="V934" i="26"/>
  <c r="J943" i="26"/>
  <c r="F943" i="26"/>
  <c r="F953" i="26"/>
  <c r="F966" i="26"/>
  <c r="Y966" i="26"/>
  <c r="Z966" i="26" s="1"/>
  <c r="AA966" i="26" s="1"/>
  <c r="N966" i="26"/>
  <c r="Y971" i="26"/>
  <c r="Z971" i="26" s="1"/>
  <c r="AA971" i="26" s="1"/>
  <c r="J971" i="26"/>
  <c r="F971" i="26"/>
  <c r="F983" i="26"/>
  <c r="Y983" i="26"/>
  <c r="Z983" i="26" s="1"/>
  <c r="AA983" i="26" s="1"/>
  <c r="Y988" i="26"/>
  <c r="Z988" i="26" s="1"/>
  <c r="AA988" i="26" s="1"/>
  <c r="F1001" i="26"/>
  <c r="R1020" i="26"/>
  <c r="F1024" i="26"/>
  <c r="Y1024" i="26"/>
  <c r="Z1024" i="26" s="1"/>
  <c r="AA1024" i="26" s="1"/>
  <c r="J1024" i="26"/>
  <c r="R1024" i="26"/>
  <c r="R1037" i="26"/>
  <c r="J1175" i="26"/>
  <c r="F1175" i="26"/>
  <c r="Y1175" i="26"/>
  <c r="Z1175" i="26" s="1"/>
  <c r="AA1175" i="26" s="1"/>
  <c r="R1175" i="26"/>
  <c r="J1211" i="26"/>
  <c r="Y1211" i="26"/>
  <c r="Z1211" i="26" s="1"/>
  <c r="AA1211" i="26" s="1"/>
  <c r="N859" i="26"/>
  <c r="N867" i="26"/>
  <c r="V870" i="26"/>
  <c r="N884" i="26"/>
  <c r="Y903" i="26"/>
  <c r="Z903" i="26" s="1"/>
  <c r="AA903" i="26" s="1"/>
  <c r="V917" i="26"/>
  <c r="R917" i="26" s="1"/>
  <c r="Y922" i="26"/>
  <c r="Z922" i="26" s="1"/>
  <c r="AA922" i="26" s="1"/>
  <c r="Y924" i="26"/>
  <c r="Z924" i="26" s="1"/>
  <c r="AA924" i="26" s="1"/>
  <c r="J924" i="26"/>
  <c r="V931" i="26"/>
  <c r="R939" i="26"/>
  <c r="N951" i="26"/>
  <c r="J955" i="26"/>
  <c r="F955" i="26"/>
  <c r="R955" i="26"/>
  <c r="N977" i="26"/>
  <c r="Y977" i="26"/>
  <c r="Z977" i="26" s="1"/>
  <c r="AA977" i="26" s="1"/>
  <c r="J977" i="26"/>
  <c r="F980" i="26"/>
  <c r="N984" i="26"/>
  <c r="F991" i="26"/>
  <c r="Y991" i="26"/>
  <c r="Z991" i="26" s="1"/>
  <c r="AA991" i="26" s="1"/>
  <c r="N991" i="26"/>
  <c r="J991" i="26"/>
  <c r="R998" i="26"/>
  <c r="N1003" i="26"/>
  <c r="N1010" i="26"/>
  <c r="V1012" i="26"/>
  <c r="R1034" i="26"/>
  <c r="R1046" i="26"/>
  <c r="F1046" i="26"/>
  <c r="F1071" i="26"/>
  <c r="Y1071" i="26"/>
  <c r="Z1071" i="26" s="1"/>
  <c r="AA1071" i="26" s="1"/>
  <c r="J1071" i="26"/>
  <c r="F1079" i="26"/>
  <c r="Y1079" i="26"/>
  <c r="Z1079" i="26" s="1"/>
  <c r="AA1079" i="26" s="1"/>
  <c r="J1079" i="26"/>
  <c r="R1079" i="26"/>
  <c r="F1095" i="26"/>
  <c r="Y1095" i="26"/>
  <c r="Z1095" i="26" s="1"/>
  <c r="AA1095" i="26" s="1"/>
  <c r="J1095" i="26"/>
  <c r="R1096" i="26"/>
  <c r="N1120" i="26"/>
  <c r="Y1120" i="26"/>
  <c r="Z1120" i="26" s="1"/>
  <c r="AA1120" i="26" s="1"/>
  <c r="J1120" i="26"/>
  <c r="F1120" i="26"/>
  <c r="F1126" i="26"/>
  <c r="Y1126" i="26"/>
  <c r="Z1126" i="26" s="1"/>
  <c r="AA1126" i="26" s="1"/>
  <c r="N1126" i="26"/>
  <c r="F1154" i="26"/>
  <c r="Y1154" i="26"/>
  <c r="Z1154" i="26" s="1"/>
  <c r="AA1154" i="26" s="1"/>
  <c r="J1154" i="26"/>
  <c r="F1231" i="26"/>
  <c r="Y1231" i="26"/>
  <c r="Z1231" i="26" s="1"/>
  <c r="AA1231" i="26" s="1"/>
  <c r="J1231" i="26"/>
  <c r="R1231" i="26"/>
  <c r="R856" i="26"/>
  <c r="R864" i="26"/>
  <c r="N877" i="26"/>
  <c r="V878" i="26"/>
  <c r="N892" i="26"/>
  <c r="F901" i="26"/>
  <c r="N915" i="26"/>
  <c r="V928" i="26"/>
  <c r="R938" i="26"/>
  <c r="Y939" i="26"/>
  <c r="Z939" i="26" s="1"/>
  <c r="AA939" i="26" s="1"/>
  <c r="R941" i="26"/>
  <c r="F942" i="26"/>
  <c r="Y942" i="26"/>
  <c r="Z942" i="26" s="1"/>
  <c r="AA942" i="26" s="1"/>
  <c r="V944" i="26"/>
  <c r="R948" i="26"/>
  <c r="Y955" i="26"/>
  <c r="Z955" i="26" s="1"/>
  <c r="AA955" i="26" s="1"/>
  <c r="R957" i="26"/>
  <c r="F958" i="26"/>
  <c r="Y958" i="26"/>
  <c r="Z958" i="26" s="1"/>
  <c r="AA958" i="26" s="1"/>
  <c r="V960" i="26"/>
  <c r="N960" i="26" s="1"/>
  <c r="N965" i="26"/>
  <c r="N967" i="26"/>
  <c r="V1013" i="26"/>
  <c r="V1035" i="26"/>
  <c r="N1095" i="26"/>
  <c r="V1104" i="26"/>
  <c r="F1105" i="26"/>
  <c r="Y1105" i="26"/>
  <c r="Z1105" i="26" s="1"/>
  <c r="AA1105" i="26" s="1"/>
  <c r="J1105" i="26"/>
  <c r="F1112" i="26"/>
  <c r="N1112" i="26"/>
  <c r="J1112" i="26"/>
  <c r="R1133" i="26"/>
  <c r="F1139" i="26"/>
  <c r="J1139" i="26"/>
  <c r="N1144" i="26"/>
  <c r="V1153" i="26"/>
  <c r="F1155" i="26"/>
  <c r="Y1155" i="26"/>
  <c r="Z1155" i="26" s="1"/>
  <c r="AA1155" i="26" s="1"/>
  <c r="J1155" i="26"/>
  <c r="N1155" i="26"/>
  <c r="Y1159" i="26"/>
  <c r="Z1159" i="26" s="1"/>
  <c r="AA1159" i="26" s="1"/>
  <c r="J1159" i="26"/>
  <c r="F1159" i="26"/>
  <c r="V886" i="26"/>
  <c r="N907" i="26"/>
  <c r="V913" i="26"/>
  <c r="J919" i="26"/>
  <c r="V925" i="26"/>
  <c r="V932" i="26"/>
  <c r="V946" i="26"/>
  <c r="R946" i="26" s="1"/>
  <c r="V962" i="26"/>
  <c r="N971" i="26"/>
  <c r="V985" i="26"/>
  <c r="Y994" i="26"/>
  <c r="Z994" i="26" s="1"/>
  <c r="AA994" i="26" s="1"/>
  <c r="J994" i="26"/>
  <c r="R997" i="26"/>
  <c r="N1000" i="26"/>
  <c r="R1006" i="26"/>
  <c r="Y1018" i="26"/>
  <c r="Z1018" i="26" s="1"/>
  <c r="AA1018" i="26" s="1"/>
  <c r="Y1025" i="26"/>
  <c r="Z1025" i="26" s="1"/>
  <c r="AA1025" i="26" s="1"/>
  <c r="N1025" i="26"/>
  <c r="N1030" i="26"/>
  <c r="R1048" i="26"/>
  <c r="N1057" i="26"/>
  <c r="F1097" i="26"/>
  <c r="Y1097" i="26"/>
  <c r="Z1097" i="26" s="1"/>
  <c r="AA1097" i="26" s="1"/>
  <c r="J1097" i="26"/>
  <c r="Y1114" i="26"/>
  <c r="Z1114" i="26" s="1"/>
  <c r="AA1114" i="26" s="1"/>
  <c r="J1114" i="26"/>
  <c r="F1114" i="26"/>
  <c r="N1114" i="26"/>
  <c r="N851" i="26"/>
  <c r="N875" i="26"/>
  <c r="N879" i="26"/>
  <c r="N889" i="26"/>
  <c r="V912" i="26"/>
  <c r="R912" i="26" s="1"/>
  <c r="V918" i="26"/>
  <c r="R920" i="26"/>
  <c r="R940" i="26"/>
  <c r="F950" i="26"/>
  <c r="Y950" i="26"/>
  <c r="Z950" i="26" s="1"/>
  <c r="AA950" i="26" s="1"/>
  <c r="V952" i="26"/>
  <c r="R956" i="26"/>
  <c r="R962" i="26"/>
  <c r="N968" i="26"/>
  <c r="R983" i="26"/>
  <c r="V987" i="26"/>
  <c r="R1017" i="26"/>
  <c r="V1023" i="26"/>
  <c r="F1026" i="26"/>
  <c r="R1026" i="26"/>
  <c r="Y1029" i="26"/>
  <c r="Z1029" i="26" s="1"/>
  <c r="AA1029" i="26" s="1"/>
  <c r="J1029" i="26"/>
  <c r="N1029" i="26"/>
  <c r="R1029" i="26"/>
  <c r="F1048" i="26"/>
  <c r="J1051" i="26"/>
  <c r="F1051" i="26"/>
  <c r="N1051" i="26"/>
  <c r="J1052" i="26"/>
  <c r="F1052" i="26"/>
  <c r="Y1106" i="26"/>
  <c r="Z1106" i="26" s="1"/>
  <c r="AA1106" i="26" s="1"/>
  <c r="F1106" i="26"/>
  <c r="N1106" i="26"/>
  <c r="I1118" i="26"/>
  <c r="L1118" i="26"/>
  <c r="J1118" i="26" s="1"/>
  <c r="Y1122" i="26"/>
  <c r="Z1122" i="26" s="1"/>
  <c r="AA1122" i="26" s="1"/>
  <c r="J1122" i="26"/>
  <c r="F1122" i="26"/>
  <c r="F1163" i="26"/>
  <c r="Y1163" i="26"/>
  <c r="Z1163" i="26" s="1"/>
  <c r="AA1163" i="26" s="1"/>
  <c r="J1163" i="26"/>
  <c r="N1184" i="26"/>
  <c r="F1239" i="26"/>
  <c r="N1239" i="26"/>
  <c r="J1239" i="26"/>
  <c r="R1239" i="26"/>
  <c r="Y1239" i="26"/>
  <c r="Z1239" i="26" s="1"/>
  <c r="AA1239" i="26" s="1"/>
  <c r="V973" i="26"/>
  <c r="R973" i="26" s="1"/>
  <c r="N974" i="26"/>
  <c r="R975" i="26"/>
  <c r="R982" i="26"/>
  <c r="F982" i="26"/>
  <c r="N986" i="26"/>
  <c r="N992" i="26"/>
  <c r="R1033" i="26"/>
  <c r="N1034" i="26"/>
  <c r="F1041" i="26"/>
  <c r="Y1041" i="26"/>
  <c r="Z1041" i="26" s="1"/>
  <c r="AA1041" i="26" s="1"/>
  <c r="J1041" i="26"/>
  <c r="N1054" i="26"/>
  <c r="N1058" i="26"/>
  <c r="N1063" i="26"/>
  <c r="V1065" i="26"/>
  <c r="N1065" i="26" s="1"/>
  <c r="V1074" i="26"/>
  <c r="N1074" i="26" s="1"/>
  <c r="F1078" i="26"/>
  <c r="Y1078" i="26"/>
  <c r="Z1078" i="26" s="1"/>
  <c r="AA1078" i="26" s="1"/>
  <c r="N1078" i="26"/>
  <c r="R1101" i="26"/>
  <c r="F1101" i="26"/>
  <c r="Y1101" i="26"/>
  <c r="Z1101" i="26" s="1"/>
  <c r="AA1101" i="26" s="1"/>
  <c r="N1102" i="26"/>
  <c r="R1122" i="26"/>
  <c r="R1174" i="26"/>
  <c r="V1226" i="26"/>
  <c r="N1262" i="26"/>
  <c r="Y1262" i="26"/>
  <c r="Z1262" i="26" s="1"/>
  <c r="AA1262" i="26" s="1"/>
  <c r="R1262" i="26"/>
  <c r="F1262" i="26"/>
  <c r="J1262" i="26"/>
  <c r="F1334" i="26"/>
  <c r="R1334" i="26"/>
  <c r="J1334" i="26"/>
  <c r="Y1334" i="26"/>
  <c r="Z1334" i="26" s="1"/>
  <c r="AA1334" i="26" s="1"/>
  <c r="J1434" i="26"/>
  <c r="Y1434" i="26"/>
  <c r="Z1434" i="26" s="1"/>
  <c r="AA1434" i="26" s="1"/>
  <c r="F1434" i="26"/>
  <c r="N952" i="26"/>
  <c r="N969" i="26"/>
  <c r="R971" i="26"/>
  <c r="N978" i="26"/>
  <c r="N994" i="26"/>
  <c r="F996" i="26"/>
  <c r="V997" i="26"/>
  <c r="N998" i="26"/>
  <c r="R999" i="26"/>
  <c r="V1005" i="26"/>
  <c r="N1006" i="26"/>
  <c r="R1008" i="26"/>
  <c r="V1015" i="26"/>
  <c r="R1015" i="26" s="1"/>
  <c r="N1016" i="26"/>
  <c r="N1028" i="26"/>
  <c r="V1031" i="26"/>
  <c r="R1031" i="26" s="1"/>
  <c r="R1088" i="26"/>
  <c r="F1099" i="26"/>
  <c r="Y1099" i="26"/>
  <c r="Z1099" i="26" s="1"/>
  <c r="AA1099" i="26" s="1"/>
  <c r="N1099" i="26"/>
  <c r="R1105" i="26"/>
  <c r="N1143" i="26"/>
  <c r="V1148" i="26"/>
  <c r="F1177" i="26"/>
  <c r="Y1177" i="26"/>
  <c r="Z1177" i="26" s="1"/>
  <c r="AA1177" i="26" s="1"/>
  <c r="J1177" i="26"/>
  <c r="J1258" i="26"/>
  <c r="Y1258" i="26"/>
  <c r="Z1258" i="26" s="1"/>
  <c r="AA1258" i="26" s="1"/>
  <c r="F1258" i="26"/>
  <c r="F1352" i="26"/>
  <c r="R1352" i="26"/>
  <c r="Y1352" i="26"/>
  <c r="Z1352" i="26" s="1"/>
  <c r="AA1352" i="26" s="1"/>
  <c r="J1352" i="26"/>
  <c r="N1352" i="26"/>
  <c r="V1090" i="26"/>
  <c r="N1090" i="26" s="1"/>
  <c r="R1090" i="26"/>
  <c r="F1094" i="26"/>
  <c r="Y1094" i="26"/>
  <c r="Z1094" i="26" s="1"/>
  <c r="AA1094" i="26" s="1"/>
  <c r="N1094" i="26"/>
  <c r="Y1098" i="26"/>
  <c r="Z1098" i="26" s="1"/>
  <c r="AA1098" i="26" s="1"/>
  <c r="F1098" i="26"/>
  <c r="N1098" i="26"/>
  <c r="J1098" i="26"/>
  <c r="F1103" i="26"/>
  <c r="Y1103" i="26"/>
  <c r="Z1103" i="26" s="1"/>
  <c r="AA1103" i="26" s="1"/>
  <c r="N1103" i="26"/>
  <c r="V1111" i="26"/>
  <c r="N1122" i="26"/>
  <c r="F1127" i="26"/>
  <c r="Y1127" i="26"/>
  <c r="Z1127" i="26" s="1"/>
  <c r="AA1127" i="26" s="1"/>
  <c r="J1127" i="26"/>
  <c r="F1137" i="26"/>
  <c r="J1137" i="26"/>
  <c r="R1137" i="26"/>
  <c r="Y1143" i="26"/>
  <c r="Z1143" i="26" s="1"/>
  <c r="AA1143" i="26" s="1"/>
  <c r="J1143" i="26"/>
  <c r="F1143" i="26"/>
  <c r="Y1157" i="26"/>
  <c r="Z1157" i="26" s="1"/>
  <c r="AA1157" i="26" s="1"/>
  <c r="J1157" i="26"/>
  <c r="F1157" i="26"/>
  <c r="N1174" i="26"/>
  <c r="N1187" i="26"/>
  <c r="R1213" i="26"/>
  <c r="J1218" i="26"/>
  <c r="Y1218" i="26"/>
  <c r="Z1218" i="26" s="1"/>
  <c r="AA1218" i="26" s="1"/>
  <c r="F1218" i="26"/>
  <c r="N1218" i="26"/>
  <c r="Y1224" i="26"/>
  <c r="Z1224" i="26" s="1"/>
  <c r="AA1224" i="26" s="1"/>
  <c r="J1224" i="26"/>
  <c r="F1224" i="26"/>
  <c r="R1224" i="26"/>
  <c r="R1225" i="26"/>
  <c r="R1267" i="26"/>
  <c r="N1037" i="26"/>
  <c r="V1045" i="26"/>
  <c r="N1046" i="26"/>
  <c r="F1049" i="26"/>
  <c r="N1049" i="26"/>
  <c r="R1050" i="26"/>
  <c r="N1066" i="26"/>
  <c r="N1071" i="26"/>
  <c r="V1073" i="26"/>
  <c r="N1073" i="26" s="1"/>
  <c r="V1082" i="26"/>
  <c r="R1082" i="26"/>
  <c r="F1086" i="26"/>
  <c r="Y1086" i="26"/>
  <c r="Z1086" i="26" s="1"/>
  <c r="AA1086" i="26" s="1"/>
  <c r="N1086" i="26"/>
  <c r="R1092" i="26"/>
  <c r="J1094" i="26"/>
  <c r="R1125" i="26"/>
  <c r="F1125" i="26"/>
  <c r="F1134" i="26"/>
  <c r="Y1134" i="26"/>
  <c r="Z1134" i="26" s="1"/>
  <c r="AA1134" i="26" s="1"/>
  <c r="J1134" i="26"/>
  <c r="R1154" i="26"/>
  <c r="N1175" i="26"/>
  <c r="R1214" i="26"/>
  <c r="N1281" i="26"/>
  <c r="Y1281" i="26"/>
  <c r="Z1281" i="26" s="1"/>
  <c r="AA1281" i="26" s="1"/>
  <c r="J1281" i="26"/>
  <c r="R1281" i="26"/>
  <c r="F1281" i="26"/>
  <c r="V1285" i="26"/>
  <c r="F1318" i="26"/>
  <c r="Y1318" i="26"/>
  <c r="Z1318" i="26" s="1"/>
  <c r="AA1318" i="26" s="1"/>
  <c r="N1318" i="26"/>
  <c r="J1318" i="26"/>
  <c r="Y1335" i="26"/>
  <c r="Z1335" i="26" s="1"/>
  <c r="AA1335" i="26" s="1"/>
  <c r="J1335" i="26"/>
  <c r="R1335" i="26"/>
  <c r="N1335" i="26"/>
  <c r="F1335" i="26"/>
  <c r="N1039" i="26"/>
  <c r="V1040" i="26"/>
  <c r="V1043" i="26"/>
  <c r="R1045" i="26"/>
  <c r="V1047" i="26"/>
  <c r="R1095" i="26"/>
  <c r="R1102" i="26"/>
  <c r="R1107" i="26"/>
  <c r="R1113" i="26"/>
  <c r="N1116" i="26"/>
  <c r="N1127" i="26"/>
  <c r="V1135" i="26"/>
  <c r="N1137" i="26"/>
  <c r="F1138" i="26"/>
  <c r="N1138" i="26"/>
  <c r="V1156" i="26"/>
  <c r="R1163" i="26"/>
  <c r="N1173" i="26"/>
  <c r="V1180" i="26"/>
  <c r="N1182" i="26"/>
  <c r="F1246" i="26"/>
  <c r="Y1246" i="26"/>
  <c r="Z1246" i="26" s="1"/>
  <c r="AA1246" i="26" s="1"/>
  <c r="J1246" i="26"/>
  <c r="V1280" i="26"/>
  <c r="R1280" i="26" s="1"/>
  <c r="N1048" i="26"/>
  <c r="V1059" i="26"/>
  <c r="V1067" i="26"/>
  <c r="V1075" i="26"/>
  <c r="V1083" i="26"/>
  <c r="V1091" i="26"/>
  <c r="R1109" i="26"/>
  <c r="F1109" i="26"/>
  <c r="Y1109" i="26"/>
  <c r="Z1109" i="26" s="1"/>
  <c r="AA1109" i="26" s="1"/>
  <c r="F1119" i="26"/>
  <c r="Y1119" i="26"/>
  <c r="Z1119" i="26" s="1"/>
  <c r="AA1119" i="26" s="1"/>
  <c r="J1119" i="26"/>
  <c r="R1127" i="26"/>
  <c r="N1130" i="26"/>
  <c r="R1146" i="26"/>
  <c r="Y1166" i="26"/>
  <c r="Z1166" i="26" s="1"/>
  <c r="AA1166" i="26" s="1"/>
  <c r="J1166" i="26"/>
  <c r="R1166" i="26"/>
  <c r="V1168" i="26"/>
  <c r="R1168" i="26"/>
  <c r="F1178" i="26"/>
  <c r="Y1178" i="26"/>
  <c r="Z1178" i="26" s="1"/>
  <c r="AA1178" i="26" s="1"/>
  <c r="N1178" i="26"/>
  <c r="J1178" i="26"/>
  <c r="N1198" i="26"/>
  <c r="J1200" i="26"/>
  <c r="F1200" i="26"/>
  <c r="Y1200" i="26"/>
  <c r="Z1200" i="26" s="1"/>
  <c r="AA1200" i="26" s="1"/>
  <c r="N1200" i="26"/>
  <c r="J1209" i="26"/>
  <c r="F1209" i="26"/>
  <c r="Y1209" i="26"/>
  <c r="Z1209" i="26" s="1"/>
  <c r="AA1209" i="26" s="1"/>
  <c r="F1220" i="26"/>
  <c r="Y1220" i="26"/>
  <c r="Z1220" i="26" s="1"/>
  <c r="AA1220" i="26" s="1"/>
  <c r="J1220" i="26"/>
  <c r="N1220" i="26"/>
  <c r="N1223" i="26"/>
  <c r="F1230" i="26"/>
  <c r="Y1230" i="26"/>
  <c r="Z1230" i="26" s="1"/>
  <c r="AA1230" i="26" s="1"/>
  <c r="J1230" i="26"/>
  <c r="V1292" i="26"/>
  <c r="N1293" i="26"/>
  <c r="F1333" i="26"/>
  <c r="N1333" i="26"/>
  <c r="Y1333" i="26"/>
  <c r="Z1333" i="26" s="1"/>
  <c r="AA1333" i="26" s="1"/>
  <c r="J1333" i="26"/>
  <c r="F1390" i="26"/>
  <c r="J1390" i="26"/>
  <c r="R1049" i="26"/>
  <c r="V1053" i="26"/>
  <c r="V1060" i="26"/>
  <c r="R1060" i="26" s="1"/>
  <c r="N1061" i="26"/>
  <c r="R1062" i="26"/>
  <c r="V1068" i="26"/>
  <c r="N1069" i="26"/>
  <c r="R1070" i="26"/>
  <c r="V1076" i="26"/>
  <c r="N1077" i="26"/>
  <c r="R1078" i="26"/>
  <c r="V1084" i="26"/>
  <c r="R1084" i="26" s="1"/>
  <c r="N1085" i="26"/>
  <c r="R1086" i="26"/>
  <c r="V1092" i="26"/>
  <c r="N1093" i="26"/>
  <c r="R1094" i="26"/>
  <c r="R1099" i="26"/>
  <c r="R1106" i="26"/>
  <c r="J1109" i="26"/>
  <c r="V1113" i="26"/>
  <c r="N1113" i="26" s="1"/>
  <c r="N1135" i="26"/>
  <c r="V1145" i="26"/>
  <c r="N1156" i="26"/>
  <c r="V1165" i="26"/>
  <c r="F1166" i="26"/>
  <c r="Y1173" i="26"/>
  <c r="Z1173" i="26" s="1"/>
  <c r="AA1173" i="26" s="1"/>
  <c r="R1173" i="26"/>
  <c r="F1173" i="26"/>
  <c r="Y1182" i="26"/>
  <c r="Z1182" i="26" s="1"/>
  <c r="AA1182" i="26" s="1"/>
  <c r="R1182" i="26"/>
  <c r="F1182" i="26"/>
  <c r="V1189" i="26"/>
  <c r="N1189" i="26" s="1"/>
  <c r="N1207" i="26"/>
  <c r="N1214" i="26"/>
  <c r="F1219" i="26"/>
  <c r="Y1219" i="26"/>
  <c r="Z1219" i="26" s="1"/>
  <c r="AA1219" i="26" s="1"/>
  <c r="J1219" i="26"/>
  <c r="N1267" i="26"/>
  <c r="J1331" i="26"/>
  <c r="Y1331" i="26"/>
  <c r="Z1331" i="26" s="1"/>
  <c r="AA1331" i="26" s="1"/>
  <c r="F1331" i="26"/>
  <c r="V1038" i="26"/>
  <c r="N1050" i="26"/>
  <c r="R1051" i="26"/>
  <c r="V1056" i="26"/>
  <c r="V1064" i="26"/>
  <c r="R1064" i="26" s="1"/>
  <c r="V1072" i="26"/>
  <c r="V1080" i="26"/>
  <c r="R1080" i="26" s="1"/>
  <c r="V1088" i="26"/>
  <c r="R1114" i="26"/>
  <c r="Y1128" i="26"/>
  <c r="Z1128" i="26" s="1"/>
  <c r="AA1128" i="26" s="1"/>
  <c r="J1128" i="26"/>
  <c r="V1130" i="26"/>
  <c r="R1130" i="26" s="1"/>
  <c r="N1131" i="26"/>
  <c r="Y1149" i="26"/>
  <c r="Z1149" i="26" s="1"/>
  <c r="AA1149" i="26" s="1"/>
  <c r="J1149" i="26"/>
  <c r="V1151" i="26"/>
  <c r="R1151" i="26"/>
  <c r="N1152" i="26"/>
  <c r="N1191" i="26"/>
  <c r="F1196" i="26"/>
  <c r="Y1196" i="26"/>
  <c r="Z1196" i="26" s="1"/>
  <c r="AA1196" i="26" s="1"/>
  <c r="R1196" i="26"/>
  <c r="F1205" i="26"/>
  <c r="Y1205" i="26"/>
  <c r="Z1205" i="26" s="1"/>
  <c r="AA1205" i="26" s="1"/>
  <c r="Y1207" i="26"/>
  <c r="Z1207" i="26" s="1"/>
  <c r="AA1207" i="26" s="1"/>
  <c r="J1207" i="26"/>
  <c r="R1207" i="26"/>
  <c r="N1215" i="26"/>
  <c r="F1256" i="26"/>
  <c r="N1256" i="26"/>
  <c r="J1256" i="26"/>
  <c r="Y1256" i="26"/>
  <c r="Z1256" i="26" s="1"/>
  <c r="AA1256" i="26" s="1"/>
  <c r="M1117" i="26"/>
  <c r="N1139" i="26"/>
  <c r="V1174" i="26"/>
  <c r="V1176" i="26"/>
  <c r="R1177" i="26"/>
  <c r="V1183" i="26"/>
  <c r="R1183" i="26" s="1"/>
  <c r="V1185" i="26"/>
  <c r="R1187" i="26"/>
  <c r="V1217" i="26"/>
  <c r="F1222" i="26"/>
  <c r="Y1222" i="26"/>
  <c r="Z1222" i="26" s="1"/>
  <c r="AA1222" i="26" s="1"/>
  <c r="N1224" i="26"/>
  <c r="F1255" i="26"/>
  <c r="Y1255" i="26"/>
  <c r="Z1255" i="26" s="1"/>
  <c r="AA1255" i="26" s="1"/>
  <c r="J1255" i="26"/>
  <c r="Y1259" i="26"/>
  <c r="Z1259" i="26" s="1"/>
  <c r="AA1259" i="26" s="1"/>
  <c r="J1259" i="26"/>
  <c r="F1259" i="26"/>
  <c r="V1263" i="26"/>
  <c r="N1269" i="26"/>
  <c r="N1272" i="26"/>
  <c r="Y1272" i="26"/>
  <c r="Z1272" i="26" s="1"/>
  <c r="AA1272" i="26" s="1"/>
  <c r="J1272" i="26"/>
  <c r="R1277" i="26"/>
  <c r="N1278" i="26"/>
  <c r="J1287" i="26"/>
  <c r="Y1312" i="26"/>
  <c r="Z1312" i="26" s="1"/>
  <c r="AA1312" i="26" s="1"/>
  <c r="R1312" i="26"/>
  <c r="F1312" i="26"/>
  <c r="F1317" i="26"/>
  <c r="Y1317" i="26"/>
  <c r="Z1317" i="26" s="1"/>
  <c r="AA1317" i="26" s="1"/>
  <c r="J1317" i="26"/>
  <c r="Y1327" i="26"/>
  <c r="Z1327" i="26" s="1"/>
  <c r="AA1327" i="26" s="1"/>
  <c r="J1327" i="26"/>
  <c r="R1327" i="26"/>
  <c r="F1327" i="26"/>
  <c r="F1400" i="26"/>
  <c r="J1400" i="26"/>
  <c r="Y1400" i="26"/>
  <c r="Z1400" i="26" s="1"/>
  <c r="AA1400" i="26" s="1"/>
  <c r="Y1418" i="26"/>
  <c r="Z1418" i="26" s="1"/>
  <c r="AA1418" i="26" s="1"/>
  <c r="J1418" i="26"/>
  <c r="F1418" i="26"/>
  <c r="R1418" i="26"/>
  <c r="N1097" i="26"/>
  <c r="N1105" i="26"/>
  <c r="R1139" i="26"/>
  <c r="V1141" i="26"/>
  <c r="R1153" i="26"/>
  <c r="R1162" i="26"/>
  <c r="V1192" i="26"/>
  <c r="F1195" i="26"/>
  <c r="Y1195" i="26"/>
  <c r="Z1195" i="26" s="1"/>
  <c r="AA1195" i="26" s="1"/>
  <c r="J1195" i="26"/>
  <c r="V1273" i="26"/>
  <c r="N1283" i="26"/>
  <c r="N1289" i="26"/>
  <c r="Y1289" i="26"/>
  <c r="Z1289" i="26" s="1"/>
  <c r="AA1289" i="26" s="1"/>
  <c r="R1289" i="26"/>
  <c r="F1289" i="26"/>
  <c r="N1291" i="26"/>
  <c r="R1308" i="26"/>
  <c r="Y1321" i="26"/>
  <c r="Z1321" i="26" s="1"/>
  <c r="AA1321" i="26" s="1"/>
  <c r="R1321" i="26"/>
  <c r="F1321" i="26"/>
  <c r="J1321" i="26"/>
  <c r="F1385" i="26"/>
  <c r="N1385" i="26"/>
  <c r="Y1385" i="26"/>
  <c r="Z1385" i="26" s="1"/>
  <c r="AA1385" i="26" s="1"/>
  <c r="J1385" i="26"/>
  <c r="F1393" i="26"/>
  <c r="Y1393" i="26"/>
  <c r="Z1393" i="26" s="1"/>
  <c r="AA1393" i="26" s="1"/>
  <c r="J1393" i="26"/>
  <c r="N1393" i="26"/>
  <c r="R1421" i="26"/>
  <c r="V1100" i="26"/>
  <c r="V1108" i="26"/>
  <c r="R1108" i="26" s="1"/>
  <c r="V1110" i="26"/>
  <c r="R1112" i="26"/>
  <c r="V1123" i="26"/>
  <c r="N1128" i="26"/>
  <c r="V1131" i="26"/>
  <c r="V1140" i="26"/>
  <c r="V1144" i="26"/>
  <c r="N1149" i="26"/>
  <c r="V1152" i="26"/>
  <c r="N1157" i="26"/>
  <c r="V1160" i="26"/>
  <c r="N1166" i="26"/>
  <c r="R1199" i="26"/>
  <c r="J1201" i="26"/>
  <c r="Y1201" i="26"/>
  <c r="Z1201" i="26" s="1"/>
  <c r="AA1201" i="26" s="1"/>
  <c r="F1201" i="26"/>
  <c r="F1204" i="26"/>
  <c r="Y1204" i="26"/>
  <c r="Z1204" i="26" s="1"/>
  <c r="AA1204" i="26" s="1"/>
  <c r="J1204" i="26"/>
  <c r="V1269" i="26"/>
  <c r="V1278" i="26"/>
  <c r="N1284" i="26"/>
  <c r="R1290" i="26"/>
  <c r="Y1294" i="26"/>
  <c r="Z1294" i="26" s="1"/>
  <c r="AA1294" i="26" s="1"/>
  <c r="J1294" i="26"/>
  <c r="R1294" i="26"/>
  <c r="R1298" i="26"/>
  <c r="N1305" i="26"/>
  <c r="Y1349" i="26"/>
  <c r="Z1349" i="26" s="1"/>
  <c r="AA1349" i="26" s="1"/>
  <c r="J1349" i="26"/>
  <c r="F1349" i="26"/>
  <c r="Y1368" i="26"/>
  <c r="Z1368" i="26" s="1"/>
  <c r="AA1368" i="26" s="1"/>
  <c r="J1368" i="26"/>
  <c r="R1368" i="26"/>
  <c r="F1368" i="26"/>
  <c r="R1376" i="26"/>
  <c r="F1376" i="26"/>
  <c r="J1376" i="26"/>
  <c r="F1388" i="26"/>
  <c r="Y1388" i="26"/>
  <c r="Z1388" i="26" s="1"/>
  <c r="AA1388" i="26" s="1"/>
  <c r="J1388" i="26"/>
  <c r="M1396" i="26"/>
  <c r="I1396" i="26"/>
  <c r="Q1396" i="26"/>
  <c r="E1396" i="26"/>
  <c r="V1396" i="26" s="1"/>
  <c r="N1396" i="26" s="1"/>
  <c r="R1110" i="26"/>
  <c r="N1115" i="26"/>
  <c r="V1116" i="26"/>
  <c r="J1121" i="26"/>
  <c r="V1124" i="26"/>
  <c r="R1124" i="26" s="1"/>
  <c r="N1125" i="26"/>
  <c r="R1126" i="26"/>
  <c r="J1129" i="26"/>
  <c r="V1132" i="26"/>
  <c r="N1133" i="26"/>
  <c r="R1134" i="26"/>
  <c r="N1146" i="26"/>
  <c r="R1147" i="26"/>
  <c r="J1150" i="26"/>
  <c r="N1154" i="26"/>
  <c r="R1155" i="26"/>
  <c r="J1158" i="26"/>
  <c r="N1163" i="26"/>
  <c r="R1164" i="26"/>
  <c r="J1167" i="26"/>
  <c r="R1208" i="26"/>
  <c r="V1210" i="26"/>
  <c r="R1210" i="26" s="1"/>
  <c r="F1212" i="26"/>
  <c r="Y1212" i="26"/>
  <c r="Z1212" i="26" s="1"/>
  <c r="AA1212" i="26" s="1"/>
  <c r="J1212" i="26"/>
  <c r="R1246" i="26"/>
  <c r="F1249" i="26"/>
  <c r="R1249" i="26"/>
  <c r="V1261" i="26"/>
  <c r="Y1265" i="26"/>
  <c r="Z1265" i="26" s="1"/>
  <c r="AA1265" i="26" s="1"/>
  <c r="J1265" i="26"/>
  <c r="Y1274" i="26"/>
  <c r="Z1274" i="26" s="1"/>
  <c r="AA1274" i="26" s="1"/>
  <c r="J1274" i="26"/>
  <c r="R1283" i="26"/>
  <c r="J1289" i="26"/>
  <c r="V1290" i="26"/>
  <c r="R1291" i="26"/>
  <c r="F1294" i="26"/>
  <c r="F1300" i="26"/>
  <c r="J1300" i="26"/>
  <c r="Y1304" i="26"/>
  <c r="Z1304" i="26" s="1"/>
  <c r="AA1304" i="26" s="1"/>
  <c r="R1304" i="26"/>
  <c r="F1304" i="26"/>
  <c r="F1345" i="26"/>
  <c r="N1345" i="26"/>
  <c r="Y1345" i="26"/>
  <c r="Z1345" i="26" s="1"/>
  <c r="AA1345" i="26" s="1"/>
  <c r="J1345" i="26"/>
  <c r="R1367" i="26"/>
  <c r="F1367" i="26"/>
  <c r="J1367" i="26"/>
  <c r="Y1367" i="26"/>
  <c r="Z1367" i="26" s="1"/>
  <c r="AA1367" i="26" s="1"/>
  <c r="F1387" i="26"/>
  <c r="Y1387" i="26"/>
  <c r="Z1387" i="26" s="1"/>
  <c r="AA1387" i="26" s="1"/>
  <c r="N1387" i="26"/>
  <c r="J1387" i="26"/>
  <c r="R1201" i="26"/>
  <c r="R1218" i="26"/>
  <c r="N1240" i="26"/>
  <c r="V1243" i="26"/>
  <c r="V1251" i="26"/>
  <c r="J1260" i="26"/>
  <c r="V1267" i="26"/>
  <c r="R1269" i="26"/>
  <c r="V1276" i="26"/>
  <c r="J1282" i="26"/>
  <c r="V1283" i="26"/>
  <c r="N1286" i="26"/>
  <c r="V1288" i="26"/>
  <c r="N1288" i="26" s="1"/>
  <c r="N1317" i="26"/>
  <c r="N1337" i="26"/>
  <c r="N1386" i="26"/>
  <c r="F1394" i="26"/>
  <c r="Y1394" i="26"/>
  <c r="Z1394" i="26" s="1"/>
  <c r="AA1394" i="26" s="1"/>
  <c r="J1394" i="26"/>
  <c r="V1188" i="26"/>
  <c r="N1194" i="26"/>
  <c r="R1195" i="26"/>
  <c r="N1203" i="26"/>
  <c r="R1204" i="26"/>
  <c r="N1211" i="26"/>
  <c r="R1212" i="26"/>
  <c r="N1219" i="26"/>
  <c r="R1220" i="26"/>
  <c r="N1229" i="26"/>
  <c r="R1230" i="26"/>
  <c r="F1238" i="26"/>
  <c r="Y1238" i="26"/>
  <c r="Z1238" i="26" s="1"/>
  <c r="AA1238" i="26" s="1"/>
  <c r="V1240" i="26"/>
  <c r="V1248" i="26"/>
  <c r="V1257" i="26"/>
  <c r="V1264" i="26"/>
  <c r="N1264" i="26" s="1"/>
  <c r="F1271" i="26"/>
  <c r="Y1271" i="26"/>
  <c r="Z1271" i="26" s="1"/>
  <c r="AA1271" i="26" s="1"/>
  <c r="J1271" i="26"/>
  <c r="N1280" i="26"/>
  <c r="V1286" i="26"/>
  <c r="Y1311" i="26"/>
  <c r="Z1311" i="26" s="1"/>
  <c r="AA1311" i="26" s="1"/>
  <c r="J1311" i="26"/>
  <c r="F1311" i="26"/>
  <c r="N1312" i="26"/>
  <c r="V1319" i="26"/>
  <c r="V1328" i="26"/>
  <c r="N1328" i="26" s="1"/>
  <c r="V1336" i="26"/>
  <c r="N1368" i="26"/>
  <c r="V1372" i="26"/>
  <c r="N1376" i="26"/>
  <c r="F1382" i="26"/>
  <c r="N1382" i="26"/>
  <c r="Y1382" i="26"/>
  <c r="Z1382" i="26" s="1"/>
  <c r="AA1382" i="26" s="1"/>
  <c r="J1382" i="26"/>
  <c r="Y1407" i="26"/>
  <c r="Z1407" i="26" s="1"/>
  <c r="AA1407" i="26" s="1"/>
  <c r="J1407" i="26"/>
  <c r="F1407" i="26"/>
  <c r="Y1411" i="26"/>
  <c r="Z1411" i="26" s="1"/>
  <c r="AA1411" i="26" s="1"/>
  <c r="J1411" i="26"/>
  <c r="F1411" i="26"/>
  <c r="R1411" i="26"/>
  <c r="N1423" i="26"/>
  <c r="J1423" i="26"/>
  <c r="V1197" i="26"/>
  <c r="N1197" i="26" s="1"/>
  <c r="V1206" i="26"/>
  <c r="R1206" i="26" s="1"/>
  <c r="V1214" i="26"/>
  <c r="V1223" i="26"/>
  <c r="R1237" i="26"/>
  <c r="J1238" i="26"/>
  <c r="V1242" i="26"/>
  <c r="V1244" i="26"/>
  <c r="R1245" i="26"/>
  <c r="V1250" i="26"/>
  <c r="V1252" i="26"/>
  <c r="R1254" i="26"/>
  <c r="N1258" i="26"/>
  <c r="N1260" i="26"/>
  <c r="N1265" i="26"/>
  <c r="N1274" i="26"/>
  <c r="V1277" i="26"/>
  <c r="F1279" i="26"/>
  <c r="R1279" i="26"/>
  <c r="V1284" i="26"/>
  <c r="V1291" i="26"/>
  <c r="N1294" i="26"/>
  <c r="F1310" i="26"/>
  <c r="J1310" i="26"/>
  <c r="R1310" i="26"/>
  <c r="V1315" i="26"/>
  <c r="V1320" i="26"/>
  <c r="N1321" i="26"/>
  <c r="F1342" i="26"/>
  <c r="N1342" i="26"/>
  <c r="J1342" i="26"/>
  <c r="N1349" i="26"/>
  <c r="N1351" i="26"/>
  <c r="V1379" i="26"/>
  <c r="R1434" i="26"/>
  <c r="V1190" i="26"/>
  <c r="R1190" i="26" s="1"/>
  <c r="R1194" i="26"/>
  <c r="N1196" i="26"/>
  <c r="V1199" i="26"/>
  <c r="R1203" i="26"/>
  <c r="N1205" i="26"/>
  <c r="V1208" i="26"/>
  <c r="R1211" i="26"/>
  <c r="N1213" i="26"/>
  <c r="V1216" i="26"/>
  <c r="R1219" i="26"/>
  <c r="N1222" i="26"/>
  <c r="V1225" i="26"/>
  <c r="V1228" i="26"/>
  <c r="R1229" i="26"/>
  <c r="N1231" i="26"/>
  <c r="N1241" i="26"/>
  <c r="R1242" i="26"/>
  <c r="N1249" i="26"/>
  <c r="Y1268" i="26"/>
  <c r="Z1268" i="26" s="1"/>
  <c r="AA1268" i="26" s="1"/>
  <c r="J1268" i="26"/>
  <c r="R1268" i="26"/>
  <c r="N1285" i="26"/>
  <c r="N1287" i="26"/>
  <c r="N1292" i="26"/>
  <c r="R1299" i="26"/>
  <c r="F1299" i="26"/>
  <c r="Y1299" i="26"/>
  <c r="Z1299" i="26" s="1"/>
  <c r="AA1299" i="26" s="1"/>
  <c r="F1309" i="26"/>
  <c r="Y1309" i="26"/>
  <c r="Z1309" i="26" s="1"/>
  <c r="AA1309" i="26" s="1"/>
  <c r="R1318" i="26"/>
  <c r="J1323" i="26"/>
  <c r="F1323" i="26"/>
  <c r="N1323" i="26"/>
  <c r="Y1323" i="26"/>
  <c r="Z1323" i="26" s="1"/>
  <c r="AA1323" i="26" s="1"/>
  <c r="F1325" i="26"/>
  <c r="Y1325" i="26"/>
  <c r="Z1325" i="26" s="1"/>
  <c r="AA1325" i="26" s="1"/>
  <c r="J1325" i="26"/>
  <c r="Y1329" i="26"/>
  <c r="Z1329" i="26" s="1"/>
  <c r="AA1329" i="26" s="1"/>
  <c r="J1329" i="26"/>
  <c r="F1329" i="26"/>
  <c r="R1333" i="26"/>
  <c r="Y1338" i="26"/>
  <c r="Z1338" i="26" s="1"/>
  <c r="AA1338" i="26" s="1"/>
  <c r="J1338" i="26"/>
  <c r="R1338" i="26"/>
  <c r="Y1348" i="26"/>
  <c r="Z1348" i="26" s="1"/>
  <c r="AA1348" i="26" s="1"/>
  <c r="J1348" i="26"/>
  <c r="F1348" i="26"/>
  <c r="F1353" i="26"/>
  <c r="N1353" i="26"/>
  <c r="Y1353" i="26"/>
  <c r="Z1353" i="26" s="1"/>
  <c r="AA1353" i="26" s="1"/>
  <c r="J1353" i="26"/>
  <c r="Y1423" i="26"/>
  <c r="Z1423" i="26" s="1"/>
  <c r="AA1423" i="26" s="1"/>
  <c r="R1424" i="26"/>
  <c r="F1432" i="26"/>
  <c r="Y1432" i="26"/>
  <c r="Z1432" i="26" s="1"/>
  <c r="AA1432" i="26" s="1"/>
  <c r="J1432" i="26"/>
  <c r="R1432" i="26"/>
  <c r="V1306" i="26"/>
  <c r="Y1313" i="26"/>
  <c r="Z1313" i="26" s="1"/>
  <c r="AA1313" i="26" s="1"/>
  <c r="J1313" i="26"/>
  <c r="J1316" i="26"/>
  <c r="R1316" i="26"/>
  <c r="R1317" i="26"/>
  <c r="Y1322" i="26"/>
  <c r="Z1322" i="26" s="1"/>
  <c r="AA1322" i="26" s="1"/>
  <c r="J1322" i="26"/>
  <c r="J1324" i="26"/>
  <c r="R1324" i="26"/>
  <c r="R1325" i="26"/>
  <c r="N1330" i="26"/>
  <c r="R1336" i="26"/>
  <c r="V1351" i="26"/>
  <c r="R1351" i="26" s="1"/>
  <c r="R1353" i="26"/>
  <c r="Y1355" i="26"/>
  <c r="Z1355" i="26" s="1"/>
  <c r="AA1355" i="26" s="1"/>
  <c r="J1355" i="26"/>
  <c r="R1355" i="26"/>
  <c r="V1399" i="26"/>
  <c r="R1399" i="26" s="1"/>
  <c r="N1433" i="26"/>
  <c r="Y1433" i="26"/>
  <c r="Z1433" i="26" s="1"/>
  <c r="AA1433" i="26" s="1"/>
  <c r="J1433" i="26"/>
  <c r="F1433" i="26"/>
  <c r="R1433" i="26"/>
  <c r="J1490" i="26"/>
  <c r="R1490" i="26"/>
  <c r="F1490" i="26"/>
  <c r="N1490" i="26"/>
  <c r="Y1490" i="26"/>
  <c r="Z1490" i="26" s="1"/>
  <c r="AA1490" i="26" s="1"/>
  <c r="F1491" i="26"/>
  <c r="Y1491" i="26"/>
  <c r="Z1491" i="26" s="1"/>
  <c r="AA1491" i="26" s="1"/>
  <c r="J1491" i="26"/>
  <c r="N1491" i="26"/>
  <c r="F1499" i="26"/>
  <c r="N1499" i="26"/>
  <c r="J1499" i="26"/>
  <c r="Y1499" i="26"/>
  <c r="Z1499" i="26" s="1"/>
  <c r="AA1499" i="26" s="1"/>
  <c r="N1304" i="26"/>
  <c r="V1330" i="26"/>
  <c r="F1332" i="26"/>
  <c r="R1332" i="26"/>
  <c r="Y1332" i="26"/>
  <c r="Z1332" i="26" s="1"/>
  <c r="AA1332" i="26" s="1"/>
  <c r="F1344" i="26"/>
  <c r="R1344" i="26"/>
  <c r="Y1344" i="26"/>
  <c r="Z1344" i="26" s="1"/>
  <c r="AA1344" i="26" s="1"/>
  <c r="N1348" i="26"/>
  <c r="F1366" i="26"/>
  <c r="N1366" i="26"/>
  <c r="J1366" i="26"/>
  <c r="Y1380" i="26"/>
  <c r="Z1380" i="26" s="1"/>
  <c r="AA1380" i="26" s="1"/>
  <c r="J1380" i="26"/>
  <c r="F1380" i="26"/>
  <c r="Y1395" i="26"/>
  <c r="Z1395" i="26" s="1"/>
  <c r="AA1395" i="26" s="1"/>
  <c r="J1395" i="26"/>
  <c r="F1395" i="26"/>
  <c r="F1402" i="26"/>
  <c r="Y1402" i="26"/>
  <c r="Z1402" i="26" s="1"/>
  <c r="AA1402" i="26" s="1"/>
  <c r="J1402" i="26"/>
  <c r="N1402" i="26"/>
  <c r="Y1414" i="26"/>
  <c r="Z1414" i="26" s="1"/>
  <c r="AA1414" i="26" s="1"/>
  <c r="J1414" i="26"/>
  <c r="F1414" i="26"/>
  <c r="R1300" i="26"/>
  <c r="F1301" i="26"/>
  <c r="Y1301" i="26"/>
  <c r="Z1301" i="26" s="1"/>
  <c r="AA1301" i="26" s="1"/>
  <c r="R1305" i="26"/>
  <c r="N1331" i="26"/>
  <c r="J1332" i="26"/>
  <c r="V1337" i="26"/>
  <c r="J1344" i="26"/>
  <c r="R1356" i="26"/>
  <c r="R1358" i="26"/>
  <c r="F1358" i="26"/>
  <c r="N1367" i="26"/>
  <c r="R1375" i="26"/>
  <c r="F1403" i="26"/>
  <c r="Y1403" i="26"/>
  <c r="Z1403" i="26" s="1"/>
  <c r="AA1403" i="26" s="1"/>
  <c r="J1403" i="26"/>
  <c r="R1425" i="26"/>
  <c r="I1466" i="26"/>
  <c r="Q1466" i="26"/>
  <c r="E1466" i="26"/>
  <c r="V1466" i="26"/>
  <c r="M1466" i="26"/>
  <c r="N1263" i="26"/>
  <c r="N1273" i="26"/>
  <c r="N1282" i="26"/>
  <c r="N1290" i="26"/>
  <c r="V1298" i="26"/>
  <c r="N1308" i="26"/>
  <c r="R1309" i="26"/>
  <c r="N1338" i="26"/>
  <c r="R1348" i="26"/>
  <c r="V1354" i="26"/>
  <c r="Y1356" i="26"/>
  <c r="Z1356" i="26" s="1"/>
  <c r="AA1356" i="26" s="1"/>
  <c r="J1356" i="26"/>
  <c r="F1356" i="26"/>
  <c r="V1364" i="26"/>
  <c r="F1375" i="26"/>
  <c r="N1375" i="26"/>
  <c r="J1375" i="26"/>
  <c r="R1388" i="26"/>
  <c r="N1400" i="26"/>
  <c r="R1426" i="26"/>
  <c r="R1445" i="26"/>
  <c r="N1326" i="26"/>
  <c r="N1334" i="26"/>
  <c r="N1346" i="26"/>
  <c r="V1431" i="26"/>
  <c r="J1465" i="26"/>
  <c r="R1465" i="26"/>
  <c r="F1465" i="26"/>
  <c r="N1465" i="26"/>
  <c r="Y1465" i="26"/>
  <c r="Z1465" i="26" s="1"/>
  <c r="AA1465" i="26" s="1"/>
  <c r="J1498" i="26"/>
  <c r="R1498" i="26"/>
  <c r="F1498" i="26"/>
  <c r="Y1498" i="26"/>
  <c r="Z1498" i="26" s="1"/>
  <c r="AA1498" i="26" s="1"/>
  <c r="N1498" i="26"/>
  <c r="J1389" i="26"/>
  <c r="F1389" i="26"/>
  <c r="F1391" i="26"/>
  <c r="J1391" i="26"/>
  <c r="R1420" i="26"/>
  <c r="Y1427" i="26"/>
  <c r="Z1427" i="26" s="1"/>
  <c r="AA1427" i="26" s="1"/>
  <c r="F1427" i="26"/>
  <c r="J1427" i="26"/>
  <c r="F1477" i="26"/>
  <c r="N1477" i="26"/>
  <c r="Y1477" i="26"/>
  <c r="Z1477" i="26" s="1"/>
  <c r="AA1477" i="26" s="1"/>
  <c r="R1477" i="26"/>
  <c r="J1477" i="26"/>
  <c r="V1369" i="26"/>
  <c r="V1378" i="26"/>
  <c r="R1387" i="26"/>
  <c r="N1409" i="26"/>
  <c r="Y1409" i="26"/>
  <c r="Z1409" i="26" s="1"/>
  <c r="AA1409" i="26" s="1"/>
  <c r="J1409" i="26"/>
  <c r="N1414" i="26"/>
  <c r="V1416" i="26"/>
  <c r="N1417" i="26"/>
  <c r="Y1417" i="26"/>
  <c r="Z1417" i="26" s="1"/>
  <c r="AA1417" i="26" s="1"/>
  <c r="J1417" i="26"/>
  <c r="R1417" i="26"/>
  <c r="F1417" i="26"/>
  <c r="F1430" i="26"/>
  <c r="R1430" i="26"/>
  <c r="N1357" i="26"/>
  <c r="F1365" i="26"/>
  <c r="R1365" i="26"/>
  <c r="V1373" i="26"/>
  <c r="F1374" i="26"/>
  <c r="J1374" i="26"/>
  <c r="R1374" i="26"/>
  <c r="N1379" i="26"/>
  <c r="V1381" i="26"/>
  <c r="N1381" i="26" s="1"/>
  <c r="R1390" i="26"/>
  <c r="R1395" i="26"/>
  <c r="J1398" i="26"/>
  <c r="F1398" i="26"/>
  <c r="Y1398" i="26"/>
  <c r="Z1398" i="26" s="1"/>
  <c r="AA1398" i="26" s="1"/>
  <c r="Y1406" i="26"/>
  <c r="Z1406" i="26" s="1"/>
  <c r="AA1406" i="26" s="1"/>
  <c r="J1406" i="26"/>
  <c r="R1406" i="26"/>
  <c r="N1407" i="26"/>
  <c r="V1421" i="26"/>
  <c r="V1424" i="26"/>
  <c r="R1428" i="26"/>
  <c r="E1436" i="26"/>
  <c r="M1436" i="26"/>
  <c r="Q1436" i="26"/>
  <c r="I1436" i="26"/>
  <c r="V1436" i="26"/>
  <c r="Q1468" i="26"/>
  <c r="E1468" i="26"/>
  <c r="M1468" i="26"/>
  <c r="I1468" i="26"/>
  <c r="V1468" i="26"/>
  <c r="R1491" i="26"/>
  <c r="V1370" i="26"/>
  <c r="N1370" i="26" s="1"/>
  <c r="R1386" i="26"/>
  <c r="N1388" i="26"/>
  <c r="N1390" i="26"/>
  <c r="R1391" i="26"/>
  <c r="N1395" i="26"/>
  <c r="R1407" i="26"/>
  <c r="V1412" i="26"/>
  <c r="V1419" i="26"/>
  <c r="V1425" i="26"/>
  <c r="N1428" i="26"/>
  <c r="Q1437" i="26"/>
  <c r="V1437" i="26"/>
  <c r="I1437" i="26"/>
  <c r="E1437" i="26"/>
  <c r="I1458" i="26"/>
  <c r="E1458" i="26"/>
  <c r="Q1458" i="26"/>
  <c r="V1458" i="26"/>
  <c r="R1458" i="26" s="1"/>
  <c r="N1392" i="26"/>
  <c r="R1393" i="26"/>
  <c r="V1397" i="26"/>
  <c r="R1400" i="26"/>
  <c r="N1403" i="26"/>
  <c r="N1413" i="26"/>
  <c r="N1430" i="26"/>
  <c r="I1443" i="26"/>
  <c r="Q1443" i="26"/>
  <c r="M1443" i="26"/>
  <c r="V1443" i="26"/>
  <c r="N1445" i="26"/>
  <c r="R1373" i="26"/>
  <c r="R1397" i="26"/>
  <c r="N1406" i="26"/>
  <c r="V1408" i="26"/>
  <c r="F1410" i="26"/>
  <c r="N1416" i="26"/>
  <c r="I1422" i="26"/>
  <c r="Q1422" i="26"/>
  <c r="E1422" i="26"/>
  <c r="V1422" i="26" s="1"/>
  <c r="N1422" i="26" s="1"/>
  <c r="N1432" i="26"/>
  <c r="E1443" i="26"/>
  <c r="Y1444" i="26"/>
  <c r="Z1444" i="26" s="1"/>
  <c r="AA1444" i="26" s="1"/>
  <c r="F1444" i="26"/>
  <c r="N1444" i="26"/>
  <c r="J1457" i="26"/>
  <c r="F1457" i="26"/>
  <c r="Y1457" i="26"/>
  <c r="Z1457" i="26" s="1"/>
  <c r="AA1457" i="26" s="1"/>
  <c r="Y1462" i="26"/>
  <c r="Z1462" i="26" s="1"/>
  <c r="AA1462" i="26" s="1"/>
  <c r="J1462" i="26"/>
  <c r="E1469" i="26"/>
  <c r="M1469" i="26"/>
  <c r="V1469" i="26"/>
  <c r="I1469" i="26"/>
  <c r="Q1469" i="26"/>
  <c r="N1492" i="26"/>
  <c r="Q1493" i="26"/>
  <c r="E1493" i="26"/>
  <c r="M1493" i="26"/>
  <c r="I1493" i="26"/>
  <c r="V1493" i="26"/>
  <c r="V1383" i="26"/>
  <c r="R1385" i="26"/>
  <c r="R1392" i="26"/>
  <c r="N1394" i="26"/>
  <c r="N1411" i="26"/>
  <c r="J1413" i="26"/>
  <c r="V1420" i="26"/>
  <c r="N1427" i="26"/>
  <c r="V1441" i="26"/>
  <c r="I1441" i="26"/>
  <c r="Q1441" i="26"/>
  <c r="R1468" i="26"/>
  <c r="Q1477" i="26"/>
  <c r="E1477" i="26"/>
  <c r="M1477" i="26"/>
  <c r="Y1438" i="26"/>
  <c r="Z1438" i="26" s="1"/>
  <c r="AA1438" i="26" s="1"/>
  <c r="J1438" i="26"/>
  <c r="N1439" i="26"/>
  <c r="R1440" i="26"/>
  <c r="V1445" i="26"/>
  <c r="Q1445" i="26"/>
  <c r="M1455" i="26"/>
  <c r="V1455" i="26"/>
  <c r="I1455" i="26"/>
  <c r="E1455" i="26"/>
  <c r="Q1455" i="26"/>
  <c r="Y1440" i="26"/>
  <c r="Z1440" i="26" s="1"/>
  <c r="AA1440" i="26" s="1"/>
  <c r="J1440" i="26"/>
  <c r="R1442" i="26"/>
  <c r="N1461" i="26"/>
  <c r="R1484" i="26"/>
  <c r="Q1485" i="26"/>
  <c r="E1485" i="26"/>
  <c r="M1485" i="26"/>
  <c r="I1485" i="26"/>
  <c r="V1485" i="26"/>
  <c r="N1496" i="26"/>
  <c r="N1426" i="26"/>
  <c r="N1434" i="26"/>
  <c r="R1444" i="26"/>
  <c r="I1450" i="26"/>
  <c r="E1450" i="26"/>
  <c r="M1450" i="26"/>
  <c r="V1450" i="26"/>
  <c r="Q1451" i="26"/>
  <c r="M1451" i="26"/>
  <c r="Q1460" i="26"/>
  <c r="E1460" i="26"/>
  <c r="M1460" i="26"/>
  <c r="J1473" i="26"/>
  <c r="R1473" i="26"/>
  <c r="F1473" i="26"/>
  <c r="Y1473" i="26"/>
  <c r="Z1473" i="26" s="1"/>
  <c r="AA1473" i="26" s="1"/>
  <c r="Q1475" i="26"/>
  <c r="E1475" i="26"/>
  <c r="M1475" i="26"/>
  <c r="V1475" i="26"/>
  <c r="R1475" i="26" s="1"/>
  <c r="J1482" i="26"/>
  <c r="R1482" i="26"/>
  <c r="F1482" i="26"/>
  <c r="Y1482" i="26"/>
  <c r="Z1482" i="26" s="1"/>
  <c r="AA1482" i="26" s="1"/>
  <c r="Q1484" i="26"/>
  <c r="E1484" i="26"/>
  <c r="M1484" i="26"/>
  <c r="V1484" i="26"/>
  <c r="N1500" i="26"/>
  <c r="V1404" i="26"/>
  <c r="N1410" i="26"/>
  <c r="N1418" i="26"/>
  <c r="V1429" i="26"/>
  <c r="V1439" i="26"/>
  <c r="I1439" i="26"/>
  <c r="J1442" i="26"/>
  <c r="E1444" i="26"/>
  <c r="M1444" i="26"/>
  <c r="V1451" i="26"/>
  <c r="Q1452" i="26"/>
  <c r="E1452" i="26"/>
  <c r="M1452" i="26"/>
  <c r="V1452" i="26"/>
  <c r="I1452" i="26"/>
  <c r="E1453" i="26"/>
  <c r="V1453" i="26"/>
  <c r="Q1453" i="26"/>
  <c r="V1460" i="26"/>
  <c r="Y1474" i="26"/>
  <c r="Z1474" i="26" s="1"/>
  <c r="AA1474" i="26" s="1"/>
  <c r="Y1483" i="26"/>
  <c r="Z1483" i="26" s="1"/>
  <c r="AA1483" i="26" s="1"/>
  <c r="R1500" i="26"/>
  <c r="Q1501" i="26"/>
  <c r="E1501" i="26"/>
  <c r="M1501" i="26"/>
  <c r="I1501" i="26"/>
  <c r="V1501" i="26"/>
  <c r="M1447" i="26"/>
  <c r="V1447" i="26"/>
  <c r="I1447" i="26"/>
  <c r="R1450" i="26"/>
  <c r="N1459" i="26"/>
  <c r="R1466" i="26"/>
  <c r="E1478" i="26"/>
  <c r="M1478" i="26"/>
  <c r="V1478" i="26"/>
  <c r="R1478" i="26" s="1"/>
  <c r="I1491" i="26"/>
  <c r="Q1491" i="26"/>
  <c r="E1491" i="26"/>
  <c r="E1494" i="26"/>
  <c r="M1494" i="26"/>
  <c r="V1494" i="26"/>
  <c r="Y1454" i="26"/>
  <c r="Z1454" i="26" s="1"/>
  <c r="AA1454" i="26" s="1"/>
  <c r="J1454" i="26"/>
  <c r="N1462" i="26"/>
  <c r="N1467" i="26"/>
  <c r="R1492" i="26"/>
  <c r="N1451" i="26"/>
  <c r="E1461" i="26"/>
  <c r="V1461" i="26"/>
  <c r="M1463" i="26"/>
  <c r="V1463" i="26"/>
  <c r="I1463" i="26"/>
  <c r="R1467" i="26"/>
  <c r="R1474" i="26"/>
  <c r="R1483" i="26"/>
  <c r="Q1492" i="26"/>
  <c r="E1492" i="26"/>
  <c r="R1499" i="26"/>
  <c r="Y1446" i="26"/>
  <c r="Z1446" i="26" s="1"/>
  <c r="AA1446" i="26" s="1"/>
  <c r="J1446" i="26"/>
  <c r="J1449" i="26"/>
  <c r="F1449" i="26"/>
  <c r="R1451" i="26"/>
  <c r="I1459" i="26"/>
  <c r="Y1459" i="26"/>
  <c r="Z1459" i="26" s="1"/>
  <c r="AA1459" i="26" s="1"/>
  <c r="Q1467" i="26"/>
  <c r="E1467" i="26"/>
  <c r="I1474" i="26"/>
  <c r="Q1474" i="26"/>
  <c r="E1474" i="26"/>
  <c r="F1476" i="26"/>
  <c r="N1476" i="26"/>
  <c r="N1478" i="26"/>
  <c r="I1483" i="26"/>
  <c r="Q1483" i="26"/>
  <c r="E1483" i="26"/>
  <c r="E1486" i="26"/>
  <c r="M1486" i="26"/>
  <c r="V1486" i="26"/>
  <c r="V1492" i="26"/>
  <c r="I1499" i="26"/>
  <c r="Q1499" i="26"/>
  <c r="E1499" i="26"/>
  <c r="E1502" i="26"/>
  <c r="M1502" i="26"/>
  <c r="V1502" i="26"/>
  <c r="Q1457" i="26"/>
  <c r="J1470" i="26"/>
  <c r="I1471" i="26"/>
  <c r="Q1473" i="26"/>
  <c r="J1479" i="26"/>
  <c r="I1480" i="26"/>
  <c r="Q1482" i="26"/>
  <c r="J1487" i="26"/>
  <c r="I1488" i="26"/>
  <c r="Q1490" i="26"/>
  <c r="J1495" i="26"/>
  <c r="I1496" i="26"/>
  <c r="Q1498" i="26"/>
  <c r="V1471" i="26"/>
  <c r="V1480" i="26"/>
  <c r="V1488" i="26"/>
  <c r="V1496" i="26"/>
  <c r="H2961" i="27" l="1"/>
  <c r="E2961" i="27"/>
  <c r="U2961" i="27"/>
  <c r="V2961" i="27" s="1"/>
  <c r="W2961" i="27" s="1"/>
  <c r="K2961" i="27"/>
  <c r="N2961" i="27"/>
  <c r="N577" i="26"/>
  <c r="Y577" i="26"/>
  <c r="Z577" i="26" s="1"/>
  <c r="AA577" i="26" s="1"/>
  <c r="J577" i="26"/>
  <c r="R577" i="26"/>
  <c r="F577" i="26"/>
  <c r="Y132" i="26"/>
  <c r="Z132" i="26" s="1"/>
  <c r="AA132" i="26" s="1"/>
  <c r="F132" i="26"/>
  <c r="R132" i="26"/>
  <c r="J132" i="26"/>
  <c r="N132" i="26"/>
  <c r="Y559" i="26"/>
  <c r="Z559" i="26" s="1"/>
  <c r="AA559" i="26" s="1"/>
  <c r="J559" i="26"/>
  <c r="R559" i="26"/>
  <c r="F559" i="26"/>
  <c r="N559" i="26"/>
  <c r="Y1488" i="26"/>
  <c r="Z1488" i="26" s="1"/>
  <c r="AA1488" i="26" s="1"/>
  <c r="J1488" i="26"/>
  <c r="F1488" i="26"/>
  <c r="N1488" i="26"/>
  <c r="R1488" i="26"/>
  <c r="Y1486" i="26"/>
  <c r="Z1486" i="26" s="1"/>
  <c r="AA1486" i="26" s="1"/>
  <c r="F1486" i="26"/>
  <c r="J1486" i="26"/>
  <c r="F1501" i="26"/>
  <c r="N1501" i="26"/>
  <c r="Y1501" i="26"/>
  <c r="Z1501" i="26" s="1"/>
  <c r="AA1501" i="26" s="1"/>
  <c r="J1501" i="26"/>
  <c r="R1501" i="26"/>
  <c r="F1460" i="26"/>
  <c r="Y1460" i="26"/>
  <c r="Z1460" i="26" s="1"/>
  <c r="AA1460" i="26" s="1"/>
  <c r="N1460" i="26"/>
  <c r="J1460" i="26"/>
  <c r="Y1419" i="26"/>
  <c r="Z1419" i="26" s="1"/>
  <c r="AA1419" i="26" s="1"/>
  <c r="N1419" i="26"/>
  <c r="J1419" i="26"/>
  <c r="F1419" i="26"/>
  <c r="Y1378" i="26"/>
  <c r="Z1378" i="26" s="1"/>
  <c r="AA1378" i="26" s="1"/>
  <c r="J1378" i="26"/>
  <c r="F1378" i="26"/>
  <c r="Y1336" i="26"/>
  <c r="Z1336" i="26" s="1"/>
  <c r="AA1336" i="26" s="1"/>
  <c r="J1336" i="26"/>
  <c r="F1336" i="26"/>
  <c r="N1056" i="26"/>
  <c r="Y1056" i="26"/>
  <c r="Z1056" i="26" s="1"/>
  <c r="AA1056" i="26" s="1"/>
  <c r="J1056" i="26"/>
  <c r="F1056" i="26"/>
  <c r="J1053" i="26"/>
  <c r="F1053" i="26"/>
  <c r="N1053" i="26"/>
  <c r="J1043" i="26"/>
  <c r="N1043" i="26"/>
  <c r="F1043" i="26"/>
  <c r="J1023" i="26"/>
  <c r="F1023" i="26"/>
  <c r="N1023" i="26"/>
  <c r="Y1023" i="26"/>
  <c r="Z1023" i="26" s="1"/>
  <c r="AA1023" i="26" s="1"/>
  <c r="Y1012" i="26"/>
  <c r="Z1012" i="26" s="1"/>
  <c r="AA1012" i="26" s="1"/>
  <c r="J1012" i="26"/>
  <c r="F1012" i="26"/>
  <c r="J740" i="26"/>
  <c r="F740" i="26"/>
  <c r="N740" i="26"/>
  <c r="Y740" i="26"/>
  <c r="Z740" i="26" s="1"/>
  <c r="AA740" i="26" s="1"/>
  <c r="F974" i="26"/>
  <c r="J974" i="26"/>
  <c r="Y974" i="26"/>
  <c r="Z974" i="26" s="1"/>
  <c r="AA974" i="26" s="1"/>
  <c r="J849" i="26"/>
  <c r="F849" i="26"/>
  <c r="Y849" i="26"/>
  <c r="Z849" i="26" s="1"/>
  <c r="AA849" i="26" s="1"/>
  <c r="J959" i="26"/>
  <c r="F959" i="26"/>
  <c r="Y959" i="26"/>
  <c r="Z959" i="26" s="1"/>
  <c r="AA959" i="26" s="1"/>
  <c r="F631" i="26"/>
  <c r="Y631" i="26"/>
  <c r="Z631" i="26" s="1"/>
  <c r="AA631" i="26" s="1"/>
  <c r="J631" i="26"/>
  <c r="N631" i="26"/>
  <c r="Y347" i="26"/>
  <c r="Z347" i="26" s="1"/>
  <c r="AA347" i="26" s="1"/>
  <c r="J347" i="26"/>
  <c r="F347" i="26"/>
  <c r="J411" i="26"/>
  <c r="F411" i="26"/>
  <c r="R411" i="26"/>
  <c r="Y411" i="26"/>
  <c r="Z411" i="26" s="1"/>
  <c r="AA411" i="26" s="1"/>
  <c r="Y663" i="26"/>
  <c r="Z663" i="26" s="1"/>
  <c r="AA663" i="26" s="1"/>
  <c r="J663" i="26"/>
  <c r="R663" i="26"/>
  <c r="F663" i="26"/>
  <c r="J134" i="26"/>
  <c r="N134" i="26"/>
  <c r="R134" i="26"/>
  <c r="Y134" i="26"/>
  <c r="Z134" i="26" s="1"/>
  <c r="AA134" i="26" s="1"/>
  <c r="F134" i="26"/>
  <c r="J126" i="26"/>
  <c r="F126" i="26"/>
  <c r="R126" i="26"/>
  <c r="Y126" i="26"/>
  <c r="Z126" i="26" s="1"/>
  <c r="AA126" i="26" s="1"/>
  <c r="Y464" i="26"/>
  <c r="Z464" i="26" s="1"/>
  <c r="AA464" i="26" s="1"/>
  <c r="J464" i="26"/>
  <c r="F464" i="26"/>
  <c r="J47" i="26"/>
  <c r="Y47" i="26"/>
  <c r="Z47" i="26" s="1"/>
  <c r="AA47" i="26" s="1"/>
  <c r="F47" i="26"/>
  <c r="N47" i="26"/>
  <c r="Y1480" i="26"/>
  <c r="Z1480" i="26" s="1"/>
  <c r="AA1480" i="26" s="1"/>
  <c r="J1480" i="26"/>
  <c r="R1480" i="26"/>
  <c r="F1480" i="26"/>
  <c r="F1451" i="26"/>
  <c r="J1451" i="26"/>
  <c r="Y1451" i="26"/>
  <c r="Z1451" i="26" s="1"/>
  <c r="AA1451" i="26" s="1"/>
  <c r="N1480" i="26"/>
  <c r="F1443" i="26"/>
  <c r="Y1443" i="26"/>
  <c r="Z1443" i="26" s="1"/>
  <c r="AA1443" i="26" s="1"/>
  <c r="R1443" i="26"/>
  <c r="J1443" i="26"/>
  <c r="J1369" i="26"/>
  <c r="R1369" i="26"/>
  <c r="F1369" i="26"/>
  <c r="Y1369" i="26"/>
  <c r="Z1369" i="26" s="1"/>
  <c r="AA1369" i="26" s="1"/>
  <c r="N1369" i="26"/>
  <c r="Y1290" i="26"/>
  <c r="Z1290" i="26" s="1"/>
  <c r="AA1290" i="26" s="1"/>
  <c r="J1290" i="26"/>
  <c r="F1290" i="26"/>
  <c r="J1100" i="26"/>
  <c r="F1100" i="26"/>
  <c r="N1100" i="26"/>
  <c r="Y1100" i="26"/>
  <c r="Z1100" i="26" s="1"/>
  <c r="AA1100" i="26" s="1"/>
  <c r="Y1040" i="26"/>
  <c r="Z1040" i="26" s="1"/>
  <c r="AA1040" i="26" s="1"/>
  <c r="J1040" i="26"/>
  <c r="F1040" i="26"/>
  <c r="R1056" i="26"/>
  <c r="J732" i="26"/>
  <c r="F732" i="26"/>
  <c r="R732" i="26"/>
  <c r="N732" i="26"/>
  <c r="Y732" i="26"/>
  <c r="Z732" i="26" s="1"/>
  <c r="AA732" i="26" s="1"/>
  <c r="Y508" i="26"/>
  <c r="Z508" i="26" s="1"/>
  <c r="AA508" i="26" s="1"/>
  <c r="J508" i="26"/>
  <c r="F508" i="26"/>
  <c r="Y691" i="26"/>
  <c r="Z691" i="26" s="1"/>
  <c r="AA691" i="26" s="1"/>
  <c r="J691" i="26"/>
  <c r="F691" i="26"/>
  <c r="F462" i="26"/>
  <c r="Y462" i="26"/>
  <c r="Z462" i="26" s="1"/>
  <c r="AA462" i="26" s="1"/>
  <c r="J462" i="26"/>
  <c r="R462" i="26"/>
  <c r="J200" i="26"/>
  <c r="Y200" i="26"/>
  <c r="Z200" i="26" s="1"/>
  <c r="AA200" i="26" s="1"/>
  <c r="R200" i="26"/>
  <c r="F200" i="26"/>
  <c r="N200" i="26"/>
  <c r="J118" i="26"/>
  <c r="F118" i="26"/>
  <c r="R118" i="26"/>
  <c r="Y118" i="26"/>
  <c r="Z118" i="26" s="1"/>
  <c r="AA118" i="26" s="1"/>
  <c r="J54" i="26"/>
  <c r="F54" i="26"/>
  <c r="Y54" i="26"/>
  <c r="Z54" i="26" s="1"/>
  <c r="AA54" i="26" s="1"/>
  <c r="N54" i="26"/>
  <c r="R688" i="26"/>
  <c r="J252" i="26"/>
  <c r="F252" i="26"/>
  <c r="R252" i="26"/>
  <c r="N252" i="26"/>
  <c r="Y252" i="26"/>
  <c r="Z252" i="26" s="1"/>
  <c r="AA252" i="26" s="1"/>
  <c r="N178" i="26"/>
  <c r="J178" i="26"/>
  <c r="F178" i="26"/>
  <c r="R178" i="26"/>
  <c r="Y178" i="26"/>
  <c r="Z178" i="26" s="1"/>
  <c r="AA178" i="26" s="1"/>
  <c r="J491" i="26"/>
  <c r="Y491" i="26"/>
  <c r="Z491" i="26" s="1"/>
  <c r="AA491" i="26" s="1"/>
  <c r="F491" i="26"/>
  <c r="R491" i="26"/>
  <c r="J214" i="26"/>
  <c r="N214" i="26"/>
  <c r="R214" i="26"/>
  <c r="F214" i="26"/>
  <c r="Y214" i="26"/>
  <c r="Z214" i="26" s="1"/>
  <c r="AA214" i="26" s="1"/>
  <c r="V546" i="26"/>
  <c r="N219" i="26"/>
  <c r="J219" i="26"/>
  <c r="F219" i="26"/>
  <c r="R219" i="26"/>
  <c r="Y219" i="26"/>
  <c r="Z219" i="26" s="1"/>
  <c r="AA219" i="26" s="1"/>
  <c r="R1378" i="26"/>
  <c r="R192" i="26"/>
  <c r="Y192" i="26"/>
  <c r="Z192" i="26" s="1"/>
  <c r="AA192" i="26" s="1"/>
  <c r="J192" i="26"/>
  <c r="F192" i="26"/>
  <c r="R740" i="26"/>
  <c r="F561" i="26"/>
  <c r="Y561" i="26"/>
  <c r="Z561" i="26" s="1"/>
  <c r="AA561" i="26" s="1"/>
  <c r="J561" i="26"/>
  <c r="N347" i="26"/>
  <c r="Y77" i="26"/>
  <c r="Z77" i="26" s="1"/>
  <c r="AA77" i="26" s="1"/>
  <c r="F77" i="26"/>
  <c r="J77" i="26"/>
  <c r="N553" i="26"/>
  <c r="Y553" i="26"/>
  <c r="Z553" i="26" s="1"/>
  <c r="AA553" i="26" s="1"/>
  <c r="J553" i="26"/>
  <c r="F553" i="26"/>
  <c r="R553" i="26"/>
  <c r="Y1471" i="26"/>
  <c r="Z1471" i="26" s="1"/>
  <c r="AA1471" i="26" s="1"/>
  <c r="J1471" i="26"/>
  <c r="R1471" i="26"/>
  <c r="F1471" i="26"/>
  <c r="F1453" i="26"/>
  <c r="J1453" i="26"/>
  <c r="Y1453" i="26"/>
  <c r="Z1453" i="26" s="1"/>
  <c r="AA1453" i="26" s="1"/>
  <c r="R1453" i="26"/>
  <c r="N1471" i="26"/>
  <c r="F1445" i="26"/>
  <c r="Y1445" i="26"/>
  <c r="Z1445" i="26" s="1"/>
  <c r="AA1445" i="26" s="1"/>
  <c r="J1445" i="26"/>
  <c r="F1408" i="26"/>
  <c r="Y1408" i="26"/>
  <c r="Z1408" i="26" s="1"/>
  <c r="AA1408" i="26" s="1"/>
  <c r="J1408" i="26"/>
  <c r="R1408" i="26"/>
  <c r="Y1397" i="26"/>
  <c r="Z1397" i="26" s="1"/>
  <c r="AA1397" i="26" s="1"/>
  <c r="J1397" i="26"/>
  <c r="F1397" i="26"/>
  <c r="N1397" i="26"/>
  <c r="F1468" i="26"/>
  <c r="N1468" i="26"/>
  <c r="Y1468" i="26"/>
  <c r="Z1468" i="26" s="1"/>
  <c r="AA1468" i="26" s="1"/>
  <c r="J1468" i="26"/>
  <c r="N1408" i="26"/>
  <c r="Y1208" i="26"/>
  <c r="Z1208" i="26" s="1"/>
  <c r="AA1208" i="26" s="1"/>
  <c r="J1208" i="26"/>
  <c r="N1208" i="26"/>
  <c r="F1208" i="26"/>
  <c r="Y1320" i="26"/>
  <c r="Z1320" i="26" s="1"/>
  <c r="AA1320" i="26" s="1"/>
  <c r="J1320" i="26"/>
  <c r="F1320" i="26"/>
  <c r="R1320" i="26"/>
  <c r="Y1284" i="26"/>
  <c r="Z1284" i="26" s="1"/>
  <c r="AA1284" i="26" s="1"/>
  <c r="J1284" i="26"/>
  <c r="F1284" i="26"/>
  <c r="Y1223" i="26"/>
  <c r="Z1223" i="26" s="1"/>
  <c r="AA1223" i="26" s="1"/>
  <c r="J1223" i="26"/>
  <c r="F1223" i="26"/>
  <c r="F1319" i="26"/>
  <c r="N1319" i="26"/>
  <c r="R1319" i="26"/>
  <c r="J1319" i="26"/>
  <c r="Y1319" i="26"/>
  <c r="Z1319" i="26" s="1"/>
  <c r="AA1319" i="26" s="1"/>
  <c r="N1320" i="26"/>
  <c r="J1267" i="26"/>
  <c r="Y1267" i="26"/>
  <c r="Z1267" i="26" s="1"/>
  <c r="AA1267" i="26" s="1"/>
  <c r="F1267" i="26"/>
  <c r="N1206" i="26"/>
  <c r="Y1278" i="26"/>
  <c r="Z1278" i="26" s="1"/>
  <c r="AA1278" i="26" s="1"/>
  <c r="J1278" i="26"/>
  <c r="F1278" i="26"/>
  <c r="R1278" i="26"/>
  <c r="J1140" i="26"/>
  <c r="N1140" i="26"/>
  <c r="F1140" i="26"/>
  <c r="J1192" i="26"/>
  <c r="Y1192" i="26"/>
  <c r="Z1192" i="26" s="1"/>
  <c r="AA1192" i="26" s="1"/>
  <c r="F1192" i="26"/>
  <c r="N1192" i="26"/>
  <c r="Y1151" i="26"/>
  <c r="Z1151" i="26" s="1"/>
  <c r="AA1151" i="26" s="1"/>
  <c r="J1151" i="26"/>
  <c r="F1151" i="26"/>
  <c r="J1145" i="26"/>
  <c r="Y1145" i="26"/>
  <c r="Z1145" i="26" s="1"/>
  <c r="AA1145" i="26" s="1"/>
  <c r="F1145" i="26"/>
  <c r="N1145" i="26"/>
  <c r="Y1168" i="26"/>
  <c r="Z1168" i="26" s="1"/>
  <c r="AA1168" i="26" s="1"/>
  <c r="J1168" i="26"/>
  <c r="F1168" i="26"/>
  <c r="J1083" i="26"/>
  <c r="F1083" i="26"/>
  <c r="R1083" i="26"/>
  <c r="N1083" i="26"/>
  <c r="Y1083" i="26"/>
  <c r="Z1083" i="26" s="1"/>
  <c r="AA1083" i="26" s="1"/>
  <c r="F1156" i="26"/>
  <c r="Y1156" i="26"/>
  <c r="Z1156" i="26" s="1"/>
  <c r="AA1156" i="26" s="1"/>
  <c r="J1156" i="26"/>
  <c r="F1111" i="26"/>
  <c r="J1111" i="26"/>
  <c r="R1111" i="26"/>
  <c r="Y1111" i="26"/>
  <c r="Z1111" i="26" s="1"/>
  <c r="AA1111" i="26" s="1"/>
  <c r="N1111" i="26"/>
  <c r="F1148" i="26"/>
  <c r="Y1148" i="26"/>
  <c r="Z1148" i="26" s="1"/>
  <c r="AA1148" i="26" s="1"/>
  <c r="J1148" i="26"/>
  <c r="J1005" i="26"/>
  <c r="Y1005" i="26"/>
  <c r="Z1005" i="26" s="1"/>
  <c r="AA1005" i="26" s="1"/>
  <c r="F1005" i="26"/>
  <c r="N1005" i="26"/>
  <c r="Y987" i="26"/>
  <c r="Z987" i="26" s="1"/>
  <c r="AA987" i="26" s="1"/>
  <c r="J987" i="26"/>
  <c r="F987" i="26"/>
  <c r="R949" i="26"/>
  <c r="F913" i="26"/>
  <c r="J913" i="26"/>
  <c r="Y913" i="26"/>
  <c r="Z913" i="26" s="1"/>
  <c r="AA913" i="26" s="1"/>
  <c r="F1104" i="26"/>
  <c r="N1104" i="26"/>
  <c r="J1104" i="26"/>
  <c r="R1104" i="26"/>
  <c r="Y1104" i="26"/>
  <c r="Z1104" i="26" s="1"/>
  <c r="AA1104" i="26" s="1"/>
  <c r="J878" i="26"/>
  <c r="Y878" i="26"/>
  <c r="Z878" i="26" s="1"/>
  <c r="AA878" i="26" s="1"/>
  <c r="F878" i="26"/>
  <c r="Y931" i="26"/>
  <c r="Z931" i="26" s="1"/>
  <c r="AA931" i="26" s="1"/>
  <c r="J931" i="26"/>
  <c r="R931" i="26"/>
  <c r="F931" i="26"/>
  <c r="N959" i="26"/>
  <c r="R1040" i="26"/>
  <c r="J745" i="26"/>
  <c r="F745" i="26"/>
  <c r="Y745" i="26"/>
  <c r="Z745" i="26" s="1"/>
  <c r="AA745" i="26" s="1"/>
  <c r="J724" i="26"/>
  <c r="F724" i="26"/>
  <c r="R724" i="26"/>
  <c r="N724" i="26"/>
  <c r="Y724" i="26"/>
  <c r="Z724" i="26" s="1"/>
  <c r="AA724" i="26" s="1"/>
  <c r="F929" i="26"/>
  <c r="J929" i="26"/>
  <c r="N929" i="26"/>
  <c r="Y929" i="26"/>
  <c r="Z929" i="26" s="1"/>
  <c r="AA929" i="26" s="1"/>
  <c r="R929" i="26"/>
  <c r="J845" i="26"/>
  <c r="R845" i="26"/>
  <c r="F845" i="26"/>
  <c r="N845" i="26"/>
  <c r="Y845" i="26"/>
  <c r="Z845" i="26" s="1"/>
  <c r="AA845" i="26" s="1"/>
  <c r="J503" i="26"/>
  <c r="F503" i="26"/>
  <c r="Y503" i="26"/>
  <c r="Z503" i="26" s="1"/>
  <c r="AA503" i="26" s="1"/>
  <c r="N503" i="26"/>
  <c r="J954" i="26"/>
  <c r="F954" i="26"/>
  <c r="Y954" i="26"/>
  <c r="Z954" i="26" s="1"/>
  <c r="AA954" i="26" s="1"/>
  <c r="J885" i="26"/>
  <c r="F885" i="26"/>
  <c r="Y885" i="26"/>
  <c r="Z885" i="26" s="1"/>
  <c r="AA885" i="26" s="1"/>
  <c r="Y788" i="26"/>
  <c r="Z788" i="26" s="1"/>
  <c r="AA788" i="26" s="1"/>
  <c r="J788" i="26"/>
  <c r="R788" i="26"/>
  <c r="F788" i="26"/>
  <c r="J662" i="26"/>
  <c r="Y662" i="26"/>
  <c r="Z662" i="26" s="1"/>
  <c r="AA662" i="26" s="1"/>
  <c r="F662" i="26"/>
  <c r="Y648" i="26"/>
  <c r="Z648" i="26" s="1"/>
  <c r="AA648" i="26" s="1"/>
  <c r="J648" i="26"/>
  <c r="F648" i="26"/>
  <c r="V547" i="26"/>
  <c r="Y679" i="26"/>
  <c r="Z679" i="26" s="1"/>
  <c r="AA679" i="26" s="1"/>
  <c r="J679" i="26"/>
  <c r="F679" i="26"/>
  <c r="Y710" i="26"/>
  <c r="Z710" i="26" s="1"/>
  <c r="AA710" i="26" s="1"/>
  <c r="J710" i="26"/>
  <c r="F710" i="26"/>
  <c r="Y643" i="26"/>
  <c r="Z643" i="26" s="1"/>
  <c r="AA643" i="26" s="1"/>
  <c r="J643" i="26"/>
  <c r="F643" i="26"/>
  <c r="R503" i="26"/>
  <c r="N662" i="26"/>
  <c r="J441" i="26"/>
  <c r="Y441" i="26"/>
  <c r="Z441" i="26" s="1"/>
  <c r="AA441" i="26" s="1"/>
  <c r="F441" i="26"/>
  <c r="R441" i="26"/>
  <c r="J426" i="26"/>
  <c r="R426" i="26"/>
  <c r="N426" i="26"/>
  <c r="Y426" i="26"/>
  <c r="Z426" i="26" s="1"/>
  <c r="AA426" i="26" s="1"/>
  <c r="F426" i="26"/>
  <c r="J283" i="26"/>
  <c r="F283" i="26"/>
  <c r="Y283" i="26"/>
  <c r="Z283" i="26" s="1"/>
  <c r="AA283" i="26" s="1"/>
  <c r="Y698" i="26"/>
  <c r="Z698" i="26" s="1"/>
  <c r="AA698" i="26" s="1"/>
  <c r="J698" i="26"/>
  <c r="R698" i="26"/>
  <c r="F698" i="26"/>
  <c r="N648" i="26"/>
  <c r="N515" i="26"/>
  <c r="Y515" i="26"/>
  <c r="Z515" i="26" s="1"/>
  <c r="AA515" i="26" s="1"/>
  <c r="J515" i="26"/>
  <c r="F515" i="26"/>
  <c r="F425" i="26"/>
  <c r="J425" i="26"/>
  <c r="Y425" i="26"/>
  <c r="Z425" i="26" s="1"/>
  <c r="AA425" i="26" s="1"/>
  <c r="R425" i="26"/>
  <c r="N377" i="26"/>
  <c r="N248" i="26"/>
  <c r="J248" i="26"/>
  <c r="Y248" i="26"/>
  <c r="Z248" i="26" s="1"/>
  <c r="AA248" i="26" s="1"/>
  <c r="F248" i="26"/>
  <c r="J127" i="26"/>
  <c r="N127" i="26"/>
  <c r="Y127" i="26"/>
  <c r="Z127" i="26" s="1"/>
  <c r="AA127" i="26" s="1"/>
  <c r="R127" i="26"/>
  <c r="F127" i="26"/>
  <c r="J191" i="26"/>
  <c r="Y191" i="26"/>
  <c r="Z191" i="26" s="1"/>
  <c r="AA191" i="26" s="1"/>
  <c r="R191" i="26"/>
  <c r="F191" i="26"/>
  <c r="N191" i="26"/>
  <c r="J110" i="26"/>
  <c r="F110" i="26"/>
  <c r="R110" i="26"/>
  <c r="Y110" i="26"/>
  <c r="Z110" i="26" s="1"/>
  <c r="AA110" i="26" s="1"/>
  <c r="R643" i="26"/>
  <c r="Y435" i="26"/>
  <c r="Z435" i="26" s="1"/>
  <c r="AA435" i="26" s="1"/>
  <c r="J435" i="26"/>
  <c r="F435" i="26"/>
  <c r="J350" i="26"/>
  <c r="F350" i="26"/>
  <c r="R350" i="26"/>
  <c r="N350" i="26"/>
  <c r="Y350" i="26"/>
  <c r="Z350" i="26" s="1"/>
  <c r="AA350" i="26" s="1"/>
  <c r="Y473" i="26"/>
  <c r="Z473" i="26" s="1"/>
  <c r="AA473" i="26" s="1"/>
  <c r="J473" i="26"/>
  <c r="F473" i="26"/>
  <c r="J206" i="26"/>
  <c r="N206" i="26"/>
  <c r="Y206" i="26"/>
  <c r="Z206" i="26" s="1"/>
  <c r="AA206" i="26" s="1"/>
  <c r="F206" i="26"/>
  <c r="R206" i="26"/>
  <c r="R686" i="26"/>
  <c r="Y349" i="26"/>
  <c r="Z349" i="26" s="1"/>
  <c r="AA349" i="26" s="1"/>
  <c r="J349" i="26"/>
  <c r="N349" i="26"/>
  <c r="F349" i="26"/>
  <c r="J231" i="26"/>
  <c r="F231" i="26"/>
  <c r="Y231" i="26"/>
  <c r="Z231" i="26" s="1"/>
  <c r="AA231" i="26" s="1"/>
  <c r="R231" i="26"/>
  <c r="N107" i="26"/>
  <c r="J107" i="26"/>
  <c r="F107" i="26"/>
  <c r="Y107" i="26"/>
  <c r="Z107" i="26" s="1"/>
  <c r="AA107" i="26" s="1"/>
  <c r="R107" i="26"/>
  <c r="R1284" i="26"/>
  <c r="V38" i="26"/>
  <c r="Y39" i="26"/>
  <c r="Z39" i="26" s="1"/>
  <c r="AA39" i="26" s="1"/>
  <c r="F39" i="26"/>
  <c r="J39" i="26"/>
  <c r="N118" i="26"/>
  <c r="J1404" i="26"/>
  <c r="Y1404" i="26"/>
  <c r="Z1404" i="26" s="1"/>
  <c r="AA1404" i="26" s="1"/>
  <c r="F1404" i="26"/>
  <c r="F1437" i="26"/>
  <c r="J1437" i="26"/>
  <c r="Y1437" i="26"/>
  <c r="Z1437" i="26" s="1"/>
  <c r="AA1437" i="26" s="1"/>
  <c r="R1437" i="26"/>
  <c r="R1404" i="26"/>
  <c r="N1437" i="26"/>
  <c r="Y1330" i="26"/>
  <c r="Z1330" i="26" s="1"/>
  <c r="AA1330" i="26" s="1"/>
  <c r="J1330" i="26"/>
  <c r="F1330" i="26"/>
  <c r="R1330" i="26"/>
  <c r="J1228" i="26"/>
  <c r="R1228" i="26"/>
  <c r="Y1228" i="26"/>
  <c r="Z1228" i="26" s="1"/>
  <c r="AA1228" i="26" s="1"/>
  <c r="F1228" i="26"/>
  <c r="N1228" i="26"/>
  <c r="Y1379" i="26"/>
  <c r="Z1379" i="26" s="1"/>
  <c r="AA1379" i="26" s="1"/>
  <c r="J1379" i="26"/>
  <c r="F1379" i="26"/>
  <c r="R1379" i="26"/>
  <c r="J1315" i="26"/>
  <c r="F1315" i="26"/>
  <c r="N1315" i="26"/>
  <c r="Y1315" i="26"/>
  <c r="Z1315" i="26" s="1"/>
  <c r="AA1315" i="26" s="1"/>
  <c r="R1315" i="26"/>
  <c r="J1252" i="26"/>
  <c r="R1252" i="26"/>
  <c r="N1252" i="26"/>
  <c r="Y1252" i="26"/>
  <c r="Z1252" i="26" s="1"/>
  <c r="AA1252" i="26" s="1"/>
  <c r="F1252" i="26"/>
  <c r="Y1214" i="26"/>
  <c r="Z1214" i="26" s="1"/>
  <c r="AA1214" i="26" s="1"/>
  <c r="J1214" i="26"/>
  <c r="F1214" i="26"/>
  <c r="Y1269" i="26"/>
  <c r="Z1269" i="26" s="1"/>
  <c r="AA1269" i="26" s="1"/>
  <c r="J1269" i="26"/>
  <c r="F1269" i="26"/>
  <c r="J1131" i="26"/>
  <c r="F1131" i="26"/>
  <c r="R1131" i="26"/>
  <c r="Y1131" i="26"/>
  <c r="Z1131" i="26" s="1"/>
  <c r="AA1131" i="26" s="1"/>
  <c r="J1185" i="26"/>
  <c r="R1185" i="26"/>
  <c r="F1185" i="26"/>
  <c r="Y1185" i="26"/>
  <c r="Z1185" i="26" s="1"/>
  <c r="AA1185" i="26" s="1"/>
  <c r="N1185" i="26"/>
  <c r="R1140" i="26"/>
  <c r="J1092" i="26"/>
  <c r="Y1092" i="26"/>
  <c r="Z1092" i="26" s="1"/>
  <c r="AA1092" i="26" s="1"/>
  <c r="F1092" i="26"/>
  <c r="N1092" i="26"/>
  <c r="R1023" i="26"/>
  <c r="Y1292" i="26"/>
  <c r="Z1292" i="26" s="1"/>
  <c r="AA1292" i="26" s="1"/>
  <c r="J1292" i="26"/>
  <c r="F1292" i="26"/>
  <c r="R1292" i="26"/>
  <c r="J1075" i="26"/>
  <c r="F1075" i="26"/>
  <c r="R1075" i="26"/>
  <c r="N1075" i="26"/>
  <c r="Y1075" i="26"/>
  <c r="Z1075" i="26" s="1"/>
  <c r="AA1075" i="26" s="1"/>
  <c r="N1148" i="26"/>
  <c r="N1336" i="26"/>
  <c r="J1226" i="26"/>
  <c r="F1226" i="26"/>
  <c r="Y1226" i="26"/>
  <c r="Z1226" i="26" s="1"/>
  <c r="AA1226" i="26" s="1"/>
  <c r="R1226" i="26"/>
  <c r="N1226" i="26"/>
  <c r="R987" i="26"/>
  <c r="N985" i="26"/>
  <c r="Y985" i="26"/>
  <c r="Z985" i="26" s="1"/>
  <c r="AA985" i="26" s="1"/>
  <c r="J985" i="26"/>
  <c r="F985" i="26"/>
  <c r="N954" i="26"/>
  <c r="J737" i="26"/>
  <c r="F737" i="26"/>
  <c r="Y737" i="26"/>
  <c r="Z737" i="26" s="1"/>
  <c r="AA737" i="26" s="1"/>
  <c r="J1004" i="26"/>
  <c r="F1004" i="26"/>
  <c r="Y1004" i="26"/>
  <c r="Z1004" i="26" s="1"/>
  <c r="AA1004" i="26" s="1"/>
  <c r="R1004" i="26"/>
  <c r="N1004" i="26"/>
  <c r="R878" i="26"/>
  <c r="J716" i="26"/>
  <c r="F716" i="26"/>
  <c r="R716" i="26"/>
  <c r="Y716" i="26"/>
  <c r="Z716" i="26" s="1"/>
  <c r="AA716" i="26" s="1"/>
  <c r="N716" i="26"/>
  <c r="N878" i="26"/>
  <c r="J500" i="26"/>
  <c r="N500" i="26"/>
  <c r="Y500" i="26"/>
  <c r="Z500" i="26" s="1"/>
  <c r="AA500" i="26" s="1"/>
  <c r="F500" i="26"/>
  <c r="R500" i="26"/>
  <c r="J838" i="26"/>
  <c r="Y838" i="26"/>
  <c r="Z838" i="26" s="1"/>
  <c r="AA838" i="26" s="1"/>
  <c r="F838" i="26"/>
  <c r="J689" i="26"/>
  <c r="Y689" i="26"/>
  <c r="Z689" i="26" s="1"/>
  <c r="AA689" i="26" s="1"/>
  <c r="F689" i="26"/>
  <c r="Y675" i="26"/>
  <c r="Z675" i="26" s="1"/>
  <c r="AA675" i="26" s="1"/>
  <c r="J675" i="26"/>
  <c r="F675" i="26"/>
  <c r="Y668" i="26"/>
  <c r="Z668" i="26" s="1"/>
  <c r="AA668" i="26" s="1"/>
  <c r="J668" i="26"/>
  <c r="F668" i="26"/>
  <c r="J600" i="26"/>
  <c r="Y600" i="26"/>
  <c r="Z600" i="26" s="1"/>
  <c r="AA600" i="26" s="1"/>
  <c r="F600" i="26"/>
  <c r="R600" i="26"/>
  <c r="Y552" i="26"/>
  <c r="Z552" i="26" s="1"/>
  <c r="AA552" i="26" s="1"/>
  <c r="N552" i="26"/>
  <c r="J552" i="26"/>
  <c r="F552" i="26"/>
  <c r="Y923" i="26"/>
  <c r="Z923" i="26" s="1"/>
  <c r="AA923" i="26" s="1"/>
  <c r="J923" i="26"/>
  <c r="F923" i="26"/>
  <c r="N838" i="26"/>
  <c r="Y702" i="26"/>
  <c r="Z702" i="26" s="1"/>
  <c r="AA702" i="26" s="1"/>
  <c r="J702" i="26"/>
  <c r="F702" i="26"/>
  <c r="J632" i="26"/>
  <c r="F632" i="26"/>
  <c r="N632" i="26"/>
  <c r="Y632" i="26"/>
  <c r="Z632" i="26" s="1"/>
  <c r="AA632" i="26" s="1"/>
  <c r="R632" i="26"/>
  <c r="R435" i="26"/>
  <c r="N675" i="26"/>
  <c r="J275" i="26"/>
  <c r="F275" i="26"/>
  <c r="Y275" i="26"/>
  <c r="Z275" i="26" s="1"/>
  <c r="AA275" i="26" s="1"/>
  <c r="N275" i="26"/>
  <c r="Y647" i="26"/>
  <c r="Z647" i="26" s="1"/>
  <c r="AA647" i="26" s="1"/>
  <c r="J647" i="26"/>
  <c r="R647" i="26"/>
  <c r="F647" i="26"/>
  <c r="J549" i="26"/>
  <c r="Y549" i="26"/>
  <c r="Z549" i="26" s="1"/>
  <c r="AA549" i="26" s="1"/>
  <c r="F549" i="26"/>
  <c r="Y457" i="26"/>
  <c r="Z457" i="26" s="1"/>
  <c r="AA457" i="26" s="1"/>
  <c r="J457" i="26"/>
  <c r="F457" i="26"/>
  <c r="J421" i="26"/>
  <c r="F421" i="26"/>
  <c r="Y421" i="26"/>
  <c r="Z421" i="26" s="1"/>
  <c r="AA421" i="26" s="1"/>
  <c r="R421" i="26"/>
  <c r="Y896" i="26"/>
  <c r="Z896" i="26" s="1"/>
  <c r="AA896" i="26" s="1"/>
  <c r="J896" i="26"/>
  <c r="F896" i="26"/>
  <c r="J119" i="26"/>
  <c r="N119" i="26"/>
  <c r="F119" i="26"/>
  <c r="Y119" i="26"/>
  <c r="Z119" i="26" s="1"/>
  <c r="AA119" i="26" s="1"/>
  <c r="R119" i="26"/>
  <c r="R347" i="26"/>
  <c r="J182" i="26"/>
  <c r="Y182" i="26"/>
  <c r="Z182" i="26" s="1"/>
  <c r="AA182" i="26" s="1"/>
  <c r="R182" i="26"/>
  <c r="F182" i="26"/>
  <c r="N182" i="26"/>
  <c r="J102" i="26"/>
  <c r="F102" i="26"/>
  <c r="R102" i="26"/>
  <c r="Y102" i="26"/>
  <c r="Z102" i="26" s="1"/>
  <c r="AA102" i="26" s="1"/>
  <c r="J603" i="26"/>
  <c r="Y603" i="26"/>
  <c r="Z603" i="26" s="1"/>
  <c r="AA603" i="26" s="1"/>
  <c r="F603" i="26"/>
  <c r="N603" i="26"/>
  <c r="R464" i="26"/>
  <c r="J417" i="26"/>
  <c r="R417" i="26"/>
  <c r="Y417" i="26"/>
  <c r="Z417" i="26" s="1"/>
  <c r="AA417" i="26" s="1"/>
  <c r="N417" i="26"/>
  <c r="F417" i="26"/>
  <c r="V572" i="26"/>
  <c r="N411" i="26"/>
  <c r="J222" i="26"/>
  <c r="F222" i="26"/>
  <c r="Y222" i="26"/>
  <c r="Z222" i="26" s="1"/>
  <c r="AA222" i="26" s="1"/>
  <c r="R222" i="26"/>
  <c r="J83" i="26"/>
  <c r="Y83" i="26"/>
  <c r="Z83" i="26" s="1"/>
  <c r="AA83" i="26" s="1"/>
  <c r="F83" i="26"/>
  <c r="N83" i="26"/>
  <c r="R183" i="26"/>
  <c r="Y183" i="26"/>
  <c r="Z183" i="26" s="1"/>
  <c r="AA183" i="26" s="1"/>
  <c r="J183" i="26"/>
  <c r="F183" i="26"/>
  <c r="V557" i="26"/>
  <c r="F406" i="26"/>
  <c r="J406" i="26"/>
  <c r="N406" i="26"/>
  <c r="R406" i="26"/>
  <c r="Y406" i="26"/>
  <c r="Z406" i="26" s="1"/>
  <c r="AA406" i="26" s="1"/>
  <c r="F74" i="26"/>
  <c r="J74" i="26"/>
  <c r="Y74" i="26"/>
  <c r="Z74" i="26" s="1"/>
  <c r="AA74" i="26" s="1"/>
  <c r="N74" i="26"/>
  <c r="Y72" i="26"/>
  <c r="Z72" i="26" s="1"/>
  <c r="AA72" i="26" s="1"/>
  <c r="R72" i="26"/>
  <c r="F72" i="26"/>
  <c r="J72" i="26"/>
  <c r="Y101" i="26"/>
  <c r="Z101" i="26" s="1"/>
  <c r="AA101" i="26" s="1"/>
  <c r="N101" i="26"/>
  <c r="J101" i="26"/>
  <c r="F101" i="26"/>
  <c r="N72" i="26"/>
  <c r="Y1502" i="26"/>
  <c r="Z1502" i="26" s="1"/>
  <c r="AA1502" i="26" s="1"/>
  <c r="F1502" i="26"/>
  <c r="J1502" i="26"/>
  <c r="Y1494" i="26"/>
  <c r="Z1494" i="26" s="1"/>
  <c r="AA1494" i="26" s="1"/>
  <c r="J1494" i="26"/>
  <c r="F1494" i="26"/>
  <c r="R1494" i="26"/>
  <c r="J1429" i="26"/>
  <c r="Y1429" i="26"/>
  <c r="Z1429" i="26" s="1"/>
  <c r="AA1429" i="26" s="1"/>
  <c r="F1429" i="26"/>
  <c r="R1429" i="26"/>
  <c r="Y1469" i="26"/>
  <c r="Z1469" i="26" s="1"/>
  <c r="AA1469" i="26" s="1"/>
  <c r="J1469" i="26"/>
  <c r="F1469" i="26"/>
  <c r="R1469" i="26"/>
  <c r="Y1190" i="26"/>
  <c r="Z1190" i="26" s="1"/>
  <c r="AA1190" i="26" s="1"/>
  <c r="J1190" i="26"/>
  <c r="N1190" i="26"/>
  <c r="F1190" i="26"/>
  <c r="Y1276" i="26"/>
  <c r="Z1276" i="26" s="1"/>
  <c r="AA1276" i="26" s="1"/>
  <c r="J1276" i="26"/>
  <c r="F1276" i="26"/>
  <c r="J1210" i="26"/>
  <c r="Y1210" i="26"/>
  <c r="Z1210" i="26" s="1"/>
  <c r="AA1210" i="26" s="1"/>
  <c r="F1210" i="26"/>
  <c r="N1210" i="26"/>
  <c r="Y1189" i="26"/>
  <c r="Z1189" i="26" s="1"/>
  <c r="AA1189" i="26" s="1"/>
  <c r="J1189" i="26"/>
  <c r="F1189" i="26"/>
  <c r="R1189" i="26"/>
  <c r="F1165" i="26"/>
  <c r="Y1165" i="26"/>
  <c r="Z1165" i="26" s="1"/>
  <c r="AA1165" i="26" s="1"/>
  <c r="J1165" i="26"/>
  <c r="R1165" i="26"/>
  <c r="Y1074" i="26"/>
  <c r="Z1074" i="26" s="1"/>
  <c r="AA1074" i="26" s="1"/>
  <c r="J1074" i="26"/>
  <c r="F1074" i="26"/>
  <c r="J918" i="26"/>
  <c r="Y918" i="26"/>
  <c r="Z918" i="26" s="1"/>
  <c r="AA918" i="26" s="1"/>
  <c r="F918" i="26"/>
  <c r="N918" i="26"/>
  <c r="J925" i="26"/>
  <c r="R925" i="26"/>
  <c r="F925" i="26"/>
  <c r="Y925" i="26"/>
  <c r="Z925" i="26" s="1"/>
  <c r="AA925" i="26" s="1"/>
  <c r="Y944" i="26"/>
  <c r="Z944" i="26" s="1"/>
  <c r="AA944" i="26" s="1"/>
  <c r="J944" i="26"/>
  <c r="F944" i="26"/>
  <c r="Y934" i="26"/>
  <c r="Z934" i="26" s="1"/>
  <c r="AA934" i="26" s="1"/>
  <c r="J934" i="26"/>
  <c r="F934" i="26"/>
  <c r="F965" i="26"/>
  <c r="Y965" i="26"/>
  <c r="Z965" i="26" s="1"/>
  <c r="AA965" i="26" s="1"/>
  <c r="J965" i="26"/>
  <c r="J681" i="26"/>
  <c r="Y681" i="26"/>
  <c r="Z681" i="26" s="1"/>
  <c r="AA681" i="26" s="1"/>
  <c r="F681" i="26"/>
  <c r="Y695" i="26"/>
  <c r="Z695" i="26" s="1"/>
  <c r="AA695" i="26" s="1"/>
  <c r="J695" i="26"/>
  <c r="F695" i="26"/>
  <c r="Y659" i="26"/>
  <c r="Z659" i="26" s="1"/>
  <c r="AA659" i="26" s="1"/>
  <c r="J659" i="26"/>
  <c r="F659" i="26"/>
  <c r="Y680" i="26"/>
  <c r="Z680" i="26" s="1"/>
  <c r="AA680" i="26" s="1"/>
  <c r="J680" i="26"/>
  <c r="F680" i="26"/>
  <c r="Y458" i="26"/>
  <c r="Z458" i="26" s="1"/>
  <c r="AA458" i="26" s="1"/>
  <c r="J458" i="26"/>
  <c r="F458" i="26"/>
  <c r="R458" i="26"/>
  <c r="J236" i="26"/>
  <c r="Y236" i="26"/>
  <c r="Z236" i="26" s="1"/>
  <c r="AA236" i="26" s="1"/>
  <c r="R236" i="26"/>
  <c r="F236" i="26"/>
  <c r="N236" i="26"/>
  <c r="J309" i="26"/>
  <c r="R309" i="26"/>
  <c r="F309" i="26"/>
  <c r="N309" i="26"/>
  <c r="Y309" i="26"/>
  <c r="Z309" i="26" s="1"/>
  <c r="AA309" i="26" s="1"/>
  <c r="J9" i="26"/>
  <c r="Y9" i="26"/>
  <c r="Z9" i="26" s="1"/>
  <c r="AA9" i="26" s="1"/>
  <c r="R9" i="26"/>
  <c r="F9" i="26"/>
  <c r="N9" i="26"/>
  <c r="Y242" i="26"/>
  <c r="Z242" i="26" s="1"/>
  <c r="AA242" i="26" s="1"/>
  <c r="J242" i="26"/>
  <c r="N242" i="26"/>
  <c r="F242" i="26"/>
  <c r="J37" i="26"/>
  <c r="R37" i="26"/>
  <c r="F37" i="26"/>
  <c r="N37" i="26"/>
  <c r="Y37" i="26"/>
  <c r="Z37" i="26" s="1"/>
  <c r="AA37" i="26" s="1"/>
  <c r="Y1412" i="26"/>
  <c r="Z1412" i="26" s="1"/>
  <c r="AA1412" i="26" s="1"/>
  <c r="J1412" i="26"/>
  <c r="F1412" i="26"/>
  <c r="F1354" i="26"/>
  <c r="R1354" i="26"/>
  <c r="Y1354" i="26"/>
  <c r="Z1354" i="26" s="1"/>
  <c r="AA1354" i="26" s="1"/>
  <c r="J1354" i="26"/>
  <c r="Y1291" i="26"/>
  <c r="Z1291" i="26" s="1"/>
  <c r="AA1291" i="26" s="1"/>
  <c r="J1291" i="26"/>
  <c r="F1291" i="26"/>
  <c r="R1412" i="26"/>
  <c r="Y1396" i="26"/>
  <c r="Z1396" i="26" s="1"/>
  <c r="AA1396" i="26" s="1"/>
  <c r="J1396" i="26"/>
  <c r="F1396" i="26"/>
  <c r="R1396" i="26"/>
  <c r="J1144" i="26"/>
  <c r="F1144" i="26"/>
  <c r="R1144" i="26"/>
  <c r="Y1144" i="26"/>
  <c r="Z1144" i="26" s="1"/>
  <c r="AA1144" i="26" s="1"/>
  <c r="J1076" i="26"/>
  <c r="Y1076" i="26"/>
  <c r="Z1076" i="26" s="1"/>
  <c r="AA1076" i="26" s="1"/>
  <c r="N1076" i="26"/>
  <c r="F1076" i="26"/>
  <c r="J1091" i="26"/>
  <c r="F1091" i="26"/>
  <c r="R1091" i="26"/>
  <c r="N1091" i="26"/>
  <c r="Y1091" i="26"/>
  <c r="Z1091" i="26" s="1"/>
  <c r="AA1091" i="26" s="1"/>
  <c r="Y1065" i="26"/>
  <c r="Z1065" i="26" s="1"/>
  <c r="AA1065" i="26" s="1"/>
  <c r="J1065" i="26"/>
  <c r="R1065" i="26"/>
  <c r="F1065" i="26"/>
  <c r="Y960" i="26"/>
  <c r="Z960" i="26" s="1"/>
  <c r="AA960" i="26" s="1"/>
  <c r="J960" i="26"/>
  <c r="F960" i="26"/>
  <c r="J870" i="26"/>
  <c r="Y870" i="26"/>
  <c r="Z870" i="26" s="1"/>
  <c r="AA870" i="26" s="1"/>
  <c r="F870" i="26"/>
  <c r="Y933" i="26"/>
  <c r="Z933" i="26" s="1"/>
  <c r="AA933" i="26" s="1"/>
  <c r="J933" i="26"/>
  <c r="F933" i="26"/>
  <c r="R933" i="26"/>
  <c r="J906" i="26"/>
  <c r="Y906" i="26"/>
  <c r="Z906" i="26" s="1"/>
  <c r="AA906" i="26" s="1"/>
  <c r="F906" i="26"/>
  <c r="N906" i="26"/>
  <c r="J769" i="26"/>
  <c r="Y769" i="26"/>
  <c r="Z769" i="26" s="1"/>
  <c r="AA769" i="26" s="1"/>
  <c r="F769" i="26"/>
  <c r="R870" i="26"/>
  <c r="R1076" i="26"/>
  <c r="J638" i="26"/>
  <c r="Y638" i="26"/>
  <c r="Z638" i="26" s="1"/>
  <c r="AA638" i="26" s="1"/>
  <c r="F638" i="26"/>
  <c r="Y687" i="26"/>
  <c r="Z687" i="26" s="1"/>
  <c r="AA687" i="26" s="1"/>
  <c r="J687" i="26"/>
  <c r="F687" i="26"/>
  <c r="J510" i="26"/>
  <c r="Y510" i="26"/>
  <c r="Z510" i="26" s="1"/>
  <c r="AA510" i="26" s="1"/>
  <c r="F510" i="26"/>
  <c r="J475" i="26"/>
  <c r="F475" i="26"/>
  <c r="Y475" i="26"/>
  <c r="Z475" i="26" s="1"/>
  <c r="AA475" i="26" s="1"/>
  <c r="Y484" i="26"/>
  <c r="Z484" i="26" s="1"/>
  <c r="AA484" i="26" s="1"/>
  <c r="J484" i="26"/>
  <c r="F484" i="26"/>
  <c r="R484" i="26"/>
  <c r="Y1463" i="26"/>
  <c r="Z1463" i="26" s="1"/>
  <c r="AA1463" i="26" s="1"/>
  <c r="J1463" i="26"/>
  <c r="F1463" i="26"/>
  <c r="N1463" i="26"/>
  <c r="R1463" i="26"/>
  <c r="N1443" i="26"/>
  <c r="R1328" i="26"/>
  <c r="Y1225" i="26"/>
  <c r="Z1225" i="26" s="1"/>
  <c r="AA1225" i="26" s="1"/>
  <c r="J1225" i="26"/>
  <c r="N1225" i="26"/>
  <c r="F1225" i="26"/>
  <c r="Y1250" i="26"/>
  <c r="Z1250" i="26" s="1"/>
  <c r="AA1250" i="26" s="1"/>
  <c r="J1250" i="26"/>
  <c r="F1250" i="26"/>
  <c r="N1250" i="26"/>
  <c r="Y1188" i="26"/>
  <c r="Z1188" i="26" s="1"/>
  <c r="AA1188" i="26" s="1"/>
  <c r="J1188" i="26"/>
  <c r="F1188" i="26"/>
  <c r="N1188" i="26"/>
  <c r="R1188" i="26"/>
  <c r="J1124" i="26"/>
  <c r="Y1124" i="26"/>
  <c r="Z1124" i="26" s="1"/>
  <c r="AA1124" i="26" s="1"/>
  <c r="F1124" i="26"/>
  <c r="N1124" i="26"/>
  <c r="Y1183" i="26"/>
  <c r="Z1183" i="26" s="1"/>
  <c r="AA1183" i="26" s="1"/>
  <c r="J1183" i="26"/>
  <c r="F1183" i="26"/>
  <c r="N1088" i="26"/>
  <c r="Y1088" i="26"/>
  <c r="Z1088" i="26" s="1"/>
  <c r="AA1088" i="26" s="1"/>
  <c r="J1088" i="26"/>
  <c r="F1088" i="26"/>
  <c r="R1276" i="26"/>
  <c r="N1040" i="26"/>
  <c r="J795" i="26"/>
  <c r="F795" i="26"/>
  <c r="Y795" i="26"/>
  <c r="Z795" i="26" s="1"/>
  <c r="AA795" i="26" s="1"/>
  <c r="R687" i="26"/>
  <c r="J646" i="26"/>
  <c r="Y646" i="26"/>
  <c r="Z646" i="26" s="1"/>
  <c r="AA646" i="26" s="1"/>
  <c r="F646" i="26"/>
  <c r="Y660" i="26"/>
  <c r="Z660" i="26" s="1"/>
  <c r="AA660" i="26" s="1"/>
  <c r="J660" i="26"/>
  <c r="F660" i="26"/>
  <c r="Y694" i="26"/>
  <c r="Z694" i="26" s="1"/>
  <c r="AA694" i="26" s="1"/>
  <c r="J694" i="26"/>
  <c r="F694" i="26"/>
  <c r="J422" i="26"/>
  <c r="Y422" i="26"/>
  <c r="Z422" i="26" s="1"/>
  <c r="AA422" i="26" s="1"/>
  <c r="F422" i="26"/>
  <c r="R422" i="26"/>
  <c r="N540" i="26"/>
  <c r="Y540" i="26"/>
  <c r="Z540" i="26" s="1"/>
  <c r="AA540" i="26" s="1"/>
  <c r="J540" i="26"/>
  <c r="F540" i="26"/>
  <c r="J266" i="26"/>
  <c r="F266" i="26"/>
  <c r="Y266" i="26"/>
  <c r="Z266" i="26" s="1"/>
  <c r="AA266" i="26" s="1"/>
  <c r="N266" i="26"/>
  <c r="N496" i="26"/>
  <c r="Y496" i="26"/>
  <c r="Z496" i="26" s="1"/>
  <c r="AA496" i="26" s="1"/>
  <c r="J496" i="26"/>
  <c r="F496" i="26"/>
  <c r="Y746" i="26"/>
  <c r="Z746" i="26" s="1"/>
  <c r="AA746" i="26" s="1"/>
  <c r="J746" i="26"/>
  <c r="R746" i="26"/>
  <c r="F746" i="26"/>
  <c r="N872" i="26"/>
  <c r="N746" i="26"/>
  <c r="R550" i="26"/>
  <c r="F550" i="26"/>
  <c r="Y550" i="26"/>
  <c r="Z550" i="26" s="1"/>
  <c r="AA550" i="26" s="1"/>
  <c r="J550" i="26"/>
  <c r="N550" i="26"/>
  <c r="J94" i="26"/>
  <c r="F94" i="26"/>
  <c r="R94" i="26"/>
  <c r="Y94" i="26"/>
  <c r="Z94" i="26" s="1"/>
  <c r="AA94" i="26" s="1"/>
  <c r="J733" i="26"/>
  <c r="R733" i="26"/>
  <c r="Y733" i="26"/>
  <c r="Z733" i="26" s="1"/>
  <c r="AA733" i="26" s="1"/>
  <c r="F733" i="26"/>
  <c r="N733" i="26"/>
  <c r="R54" i="26"/>
  <c r="N484" i="26"/>
  <c r="F78" i="26"/>
  <c r="J78" i="26"/>
  <c r="N78" i="26"/>
  <c r="R78" i="26"/>
  <c r="Y78" i="26"/>
  <c r="Z78" i="26" s="1"/>
  <c r="AA78" i="26" s="1"/>
  <c r="F1452" i="26"/>
  <c r="Y1452" i="26"/>
  <c r="Z1452" i="26" s="1"/>
  <c r="AA1452" i="26" s="1"/>
  <c r="J1452" i="26"/>
  <c r="R1452" i="26"/>
  <c r="N1452" i="26"/>
  <c r="F1485" i="26"/>
  <c r="N1485" i="26"/>
  <c r="Y1485" i="26"/>
  <c r="Z1485" i="26" s="1"/>
  <c r="AA1485" i="26" s="1"/>
  <c r="J1485" i="26"/>
  <c r="R1485" i="26"/>
  <c r="F1441" i="26"/>
  <c r="R1441" i="26"/>
  <c r="Y1441" i="26"/>
  <c r="Z1441" i="26" s="1"/>
  <c r="AA1441" i="26" s="1"/>
  <c r="J1441" i="26"/>
  <c r="N1458" i="26"/>
  <c r="Y1458" i="26"/>
  <c r="Z1458" i="26" s="1"/>
  <c r="AA1458" i="26" s="1"/>
  <c r="J1458" i="26"/>
  <c r="F1458" i="26"/>
  <c r="F1424" i="26"/>
  <c r="J1424" i="26"/>
  <c r="Y1424" i="26"/>
  <c r="Z1424" i="26" s="1"/>
  <c r="AA1424" i="26" s="1"/>
  <c r="R1419" i="26"/>
  <c r="Y1364" i="26"/>
  <c r="Z1364" i="26" s="1"/>
  <c r="AA1364" i="26" s="1"/>
  <c r="J1364" i="26"/>
  <c r="F1364" i="26"/>
  <c r="N1364" i="26"/>
  <c r="F1466" i="26"/>
  <c r="Y1466" i="26"/>
  <c r="Z1466" i="26" s="1"/>
  <c r="AA1466" i="26" s="1"/>
  <c r="J1466" i="26"/>
  <c r="N1466" i="26"/>
  <c r="R1250" i="26"/>
  <c r="Y1199" i="26"/>
  <c r="Z1199" i="26" s="1"/>
  <c r="AA1199" i="26" s="1"/>
  <c r="J1199" i="26"/>
  <c r="N1199" i="26"/>
  <c r="F1199" i="26"/>
  <c r="Y1197" i="26"/>
  <c r="Z1197" i="26" s="1"/>
  <c r="AA1197" i="26" s="1"/>
  <c r="J1197" i="26"/>
  <c r="F1197" i="26"/>
  <c r="Y1257" i="26"/>
  <c r="Z1257" i="26" s="1"/>
  <c r="AA1257" i="26" s="1"/>
  <c r="J1257" i="26"/>
  <c r="F1257" i="26"/>
  <c r="R1257" i="26"/>
  <c r="R1192" i="26"/>
  <c r="J1160" i="26"/>
  <c r="F1160" i="26"/>
  <c r="R1160" i="26"/>
  <c r="Y1160" i="26"/>
  <c r="Z1160" i="26" s="1"/>
  <c r="AA1160" i="26" s="1"/>
  <c r="J1123" i="26"/>
  <c r="F1123" i="26"/>
  <c r="R1123" i="26"/>
  <c r="Y1123" i="26"/>
  <c r="Z1123" i="26" s="1"/>
  <c r="AA1123" i="26" s="1"/>
  <c r="J1059" i="26"/>
  <c r="F1059" i="26"/>
  <c r="R1059" i="26"/>
  <c r="Y1059" i="26"/>
  <c r="Z1059" i="26" s="1"/>
  <c r="AA1059" i="26" s="1"/>
  <c r="N1059" i="26"/>
  <c r="J1285" i="26"/>
  <c r="Y1285" i="26"/>
  <c r="Z1285" i="26" s="1"/>
  <c r="AA1285" i="26" s="1"/>
  <c r="F1285" i="26"/>
  <c r="R1285" i="26"/>
  <c r="N1123" i="26"/>
  <c r="J997" i="26"/>
  <c r="Y997" i="26"/>
  <c r="Z997" i="26" s="1"/>
  <c r="AA997" i="26" s="1"/>
  <c r="F997" i="26"/>
  <c r="N997" i="26"/>
  <c r="N1012" i="26"/>
  <c r="Y1035" i="26"/>
  <c r="Z1035" i="26" s="1"/>
  <c r="AA1035" i="26" s="1"/>
  <c r="J1035" i="26"/>
  <c r="R1035" i="26"/>
  <c r="F1035" i="26"/>
  <c r="N1035" i="26"/>
  <c r="R1043" i="26"/>
  <c r="R944" i="26"/>
  <c r="R871" i="26"/>
  <c r="F871" i="26"/>
  <c r="J871" i="26"/>
  <c r="Y871" i="26"/>
  <c r="Z871" i="26" s="1"/>
  <c r="AA871" i="26" s="1"/>
  <c r="Y818" i="26"/>
  <c r="Z818" i="26" s="1"/>
  <c r="AA818" i="26" s="1"/>
  <c r="R818" i="26"/>
  <c r="F818" i="26"/>
  <c r="J818" i="26"/>
  <c r="Y656" i="26"/>
  <c r="Z656" i="26" s="1"/>
  <c r="AA656" i="26" s="1"/>
  <c r="J656" i="26"/>
  <c r="F656" i="26"/>
  <c r="R849" i="26"/>
  <c r="Y652" i="26"/>
  <c r="Z652" i="26" s="1"/>
  <c r="AA652" i="26" s="1"/>
  <c r="J652" i="26"/>
  <c r="F652" i="26"/>
  <c r="N508" i="26"/>
  <c r="Y482" i="26"/>
  <c r="Z482" i="26" s="1"/>
  <c r="AA482" i="26" s="1"/>
  <c r="J482" i="26"/>
  <c r="F482" i="26"/>
  <c r="R745" i="26"/>
  <c r="J258" i="26"/>
  <c r="F258" i="26"/>
  <c r="Y258" i="26"/>
  <c r="Z258" i="26" s="1"/>
  <c r="AA258" i="26" s="1"/>
  <c r="N258" i="26"/>
  <c r="Y399" i="26"/>
  <c r="Z399" i="26" s="1"/>
  <c r="AA399" i="26" s="1"/>
  <c r="J399" i="26"/>
  <c r="F399" i="26"/>
  <c r="Y358" i="26"/>
  <c r="Z358" i="26" s="1"/>
  <c r="AA358" i="26" s="1"/>
  <c r="J358" i="26"/>
  <c r="F358" i="26"/>
  <c r="J141" i="26"/>
  <c r="F141" i="26"/>
  <c r="R141" i="26"/>
  <c r="Y141" i="26"/>
  <c r="Z141" i="26" s="1"/>
  <c r="AA141" i="26" s="1"/>
  <c r="N663" i="26"/>
  <c r="Y592" i="26"/>
  <c r="Z592" i="26" s="1"/>
  <c r="AA592" i="26" s="1"/>
  <c r="R592" i="26"/>
  <c r="F592" i="26"/>
  <c r="J592" i="26"/>
  <c r="Y374" i="26"/>
  <c r="Z374" i="26" s="1"/>
  <c r="AA374" i="26" s="1"/>
  <c r="J374" i="26"/>
  <c r="F374" i="26"/>
  <c r="J87" i="26"/>
  <c r="Y87" i="26"/>
  <c r="Z87" i="26" s="1"/>
  <c r="AA87" i="26" s="1"/>
  <c r="N87" i="26"/>
  <c r="F87" i="26"/>
  <c r="R87" i="26"/>
  <c r="Y704" i="26"/>
  <c r="Z704" i="26" s="1"/>
  <c r="AA704" i="26" s="1"/>
  <c r="J704" i="26"/>
  <c r="F704" i="26"/>
  <c r="R399" i="26"/>
  <c r="N687" i="26"/>
  <c r="R473" i="26"/>
  <c r="Y65" i="26"/>
  <c r="Z65" i="26" s="1"/>
  <c r="AA65" i="26" s="1"/>
  <c r="F65" i="26"/>
  <c r="J65" i="26"/>
  <c r="Y93" i="26"/>
  <c r="Z93" i="26" s="1"/>
  <c r="AA93" i="26" s="1"/>
  <c r="N93" i="26"/>
  <c r="J93" i="26"/>
  <c r="F93" i="26"/>
  <c r="N1494" i="26"/>
  <c r="Y1461" i="26"/>
  <c r="Z1461" i="26" s="1"/>
  <c r="AA1461" i="26" s="1"/>
  <c r="J1461" i="26"/>
  <c r="R1461" i="26"/>
  <c r="F1461" i="26"/>
  <c r="N1453" i="26"/>
  <c r="N1486" i="26"/>
  <c r="Y1447" i="26"/>
  <c r="Z1447" i="26" s="1"/>
  <c r="AA1447" i="26" s="1"/>
  <c r="N1447" i="26"/>
  <c r="J1447" i="26"/>
  <c r="F1447" i="26"/>
  <c r="R1447" i="26"/>
  <c r="F1484" i="26"/>
  <c r="J1484" i="26"/>
  <c r="Y1484" i="26"/>
  <c r="Z1484" i="26" s="1"/>
  <c r="AA1484" i="26" s="1"/>
  <c r="F1475" i="26"/>
  <c r="J1475" i="26"/>
  <c r="Y1475" i="26"/>
  <c r="Z1475" i="26" s="1"/>
  <c r="AA1475" i="26" s="1"/>
  <c r="N1469" i="26"/>
  <c r="J1383" i="26"/>
  <c r="N1383" i="26"/>
  <c r="F1383" i="26"/>
  <c r="Y1383" i="26"/>
  <c r="Z1383" i="26" s="1"/>
  <c r="AA1383" i="26" s="1"/>
  <c r="R1364" i="26"/>
  <c r="J1421" i="26"/>
  <c r="N1421" i="26"/>
  <c r="Y1421" i="26"/>
  <c r="Z1421" i="26" s="1"/>
  <c r="AA1421" i="26" s="1"/>
  <c r="F1421" i="26"/>
  <c r="N1404" i="26"/>
  <c r="N1412" i="26"/>
  <c r="N1378" i="26"/>
  <c r="J1244" i="26"/>
  <c r="R1244" i="26"/>
  <c r="N1244" i="26"/>
  <c r="F1244" i="26"/>
  <c r="Y1244" i="26"/>
  <c r="Z1244" i="26" s="1"/>
  <c r="AA1244" i="26" s="1"/>
  <c r="N1424" i="26"/>
  <c r="J1372" i="26"/>
  <c r="R1372" i="26"/>
  <c r="F1372" i="26"/>
  <c r="N1372" i="26"/>
  <c r="Y1372" i="26"/>
  <c r="Z1372" i="26" s="1"/>
  <c r="AA1372" i="26" s="1"/>
  <c r="Y1248" i="26"/>
  <c r="Z1248" i="26" s="1"/>
  <c r="AA1248" i="26" s="1"/>
  <c r="J1248" i="26"/>
  <c r="F1248" i="26"/>
  <c r="R1248" i="26"/>
  <c r="Y1283" i="26"/>
  <c r="Z1283" i="26" s="1"/>
  <c r="AA1283" i="26" s="1"/>
  <c r="J1283" i="26"/>
  <c r="F1283" i="26"/>
  <c r="J1251" i="26"/>
  <c r="F1251" i="26"/>
  <c r="Y1251" i="26"/>
  <c r="Z1251" i="26" s="1"/>
  <c r="AA1251" i="26" s="1"/>
  <c r="R1251" i="26"/>
  <c r="Y1116" i="26"/>
  <c r="Z1116" i="26" s="1"/>
  <c r="AA1116" i="26" s="1"/>
  <c r="J1116" i="26"/>
  <c r="F1116" i="26"/>
  <c r="R1116" i="26"/>
  <c r="Y1273" i="26"/>
  <c r="Z1273" i="26" s="1"/>
  <c r="AA1273" i="26" s="1"/>
  <c r="R1273" i="26"/>
  <c r="F1273" i="26"/>
  <c r="J1273" i="26"/>
  <c r="R1145" i="26"/>
  <c r="Y1263" i="26"/>
  <c r="Z1263" i="26" s="1"/>
  <c r="AA1263" i="26" s="1"/>
  <c r="J1263" i="26"/>
  <c r="R1263" i="26"/>
  <c r="F1263" i="26"/>
  <c r="R1223" i="26"/>
  <c r="J1176" i="26"/>
  <c r="R1176" i="26"/>
  <c r="F1176" i="26"/>
  <c r="N1176" i="26"/>
  <c r="Y1176" i="26"/>
  <c r="Z1176" i="26" s="1"/>
  <c r="AA1176" i="26" s="1"/>
  <c r="N1072" i="26"/>
  <c r="Y1072" i="26"/>
  <c r="Z1072" i="26" s="1"/>
  <c r="AA1072" i="26" s="1"/>
  <c r="J1072" i="26"/>
  <c r="F1072" i="26"/>
  <c r="J1084" i="26"/>
  <c r="Y1084" i="26"/>
  <c r="Z1084" i="26" s="1"/>
  <c r="AA1084" i="26" s="1"/>
  <c r="F1084" i="26"/>
  <c r="N1084" i="26"/>
  <c r="N1151" i="26"/>
  <c r="J1047" i="26"/>
  <c r="N1047" i="26"/>
  <c r="R1047" i="26"/>
  <c r="F1047" i="26"/>
  <c r="Y1073" i="26"/>
  <c r="Z1073" i="26" s="1"/>
  <c r="AA1073" i="26" s="1"/>
  <c r="J1073" i="26"/>
  <c r="R1073" i="26"/>
  <c r="F1073" i="26"/>
  <c r="J1045" i="26"/>
  <c r="F1045" i="26"/>
  <c r="N1045" i="26"/>
  <c r="Y1090" i="26"/>
  <c r="Z1090" i="26" s="1"/>
  <c r="AA1090" i="26" s="1"/>
  <c r="J1090" i="26"/>
  <c r="F1090" i="26"/>
  <c r="N931" i="26"/>
  <c r="J946" i="26"/>
  <c r="F946" i="26"/>
  <c r="Y946" i="26"/>
  <c r="Z946" i="26" s="1"/>
  <c r="AA946" i="26" s="1"/>
  <c r="N946" i="26"/>
  <c r="J1013" i="26"/>
  <c r="F1013" i="26"/>
  <c r="Y1013" i="26"/>
  <c r="Z1013" i="26" s="1"/>
  <c r="AA1013" i="26" s="1"/>
  <c r="R1013" i="26"/>
  <c r="N1013" i="26"/>
  <c r="R954" i="26"/>
  <c r="Y928" i="26"/>
  <c r="Z928" i="26" s="1"/>
  <c r="AA928" i="26" s="1"/>
  <c r="J928" i="26"/>
  <c r="N928" i="26"/>
  <c r="F928" i="26"/>
  <c r="N1251" i="26"/>
  <c r="J917" i="26"/>
  <c r="Y917" i="26"/>
  <c r="Z917" i="26" s="1"/>
  <c r="AA917" i="26" s="1"/>
  <c r="F917" i="26"/>
  <c r="J926" i="26"/>
  <c r="F926" i="26"/>
  <c r="Y926" i="26"/>
  <c r="Z926" i="26" s="1"/>
  <c r="AA926" i="26" s="1"/>
  <c r="R1005" i="26"/>
  <c r="F976" i="26"/>
  <c r="Y976" i="26"/>
  <c r="Z976" i="26" s="1"/>
  <c r="AA976" i="26" s="1"/>
  <c r="J976" i="26"/>
  <c r="R976" i="26"/>
  <c r="J717" i="26"/>
  <c r="R717" i="26"/>
  <c r="Y717" i="26"/>
  <c r="Z717" i="26" s="1"/>
  <c r="AA717" i="26" s="1"/>
  <c r="F717" i="26"/>
  <c r="N717" i="26"/>
  <c r="J697" i="26"/>
  <c r="Y697" i="26"/>
  <c r="Z697" i="26" s="1"/>
  <c r="AA697" i="26" s="1"/>
  <c r="F697" i="26"/>
  <c r="Y683" i="26"/>
  <c r="Z683" i="26" s="1"/>
  <c r="AA683" i="26" s="1"/>
  <c r="J683" i="26"/>
  <c r="F683" i="26"/>
  <c r="R561" i="26"/>
  <c r="Y644" i="26"/>
  <c r="Z644" i="26" s="1"/>
  <c r="AA644" i="26" s="1"/>
  <c r="J644" i="26"/>
  <c r="F644" i="26"/>
  <c r="N561" i="26"/>
  <c r="R960" i="26"/>
  <c r="Y810" i="26"/>
  <c r="Z810" i="26" s="1"/>
  <c r="AA810" i="26" s="1"/>
  <c r="R810" i="26"/>
  <c r="F810" i="26"/>
  <c r="J810" i="26"/>
  <c r="Y678" i="26"/>
  <c r="Z678" i="26" s="1"/>
  <c r="AA678" i="26" s="1"/>
  <c r="J678" i="26"/>
  <c r="F678" i="26"/>
  <c r="J403" i="26"/>
  <c r="Y403" i="26"/>
  <c r="Z403" i="26" s="1"/>
  <c r="AA403" i="26" s="1"/>
  <c r="R403" i="26"/>
  <c r="F403" i="26"/>
  <c r="N403" i="26"/>
  <c r="N691" i="26"/>
  <c r="F744" i="26"/>
  <c r="N744" i="26"/>
  <c r="R744" i="26"/>
  <c r="J744" i="26"/>
  <c r="Y744" i="26"/>
  <c r="Z744" i="26" s="1"/>
  <c r="AA744" i="26" s="1"/>
  <c r="N681" i="26"/>
  <c r="N646" i="26"/>
  <c r="N769" i="26"/>
  <c r="V568" i="26"/>
  <c r="N491" i="26"/>
  <c r="F454" i="26"/>
  <c r="Y454" i="26"/>
  <c r="Z454" i="26" s="1"/>
  <c r="AA454" i="26" s="1"/>
  <c r="J454" i="26"/>
  <c r="J414" i="26"/>
  <c r="N414" i="26"/>
  <c r="Y414" i="26"/>
  <c r="Z414" i="26" s="1"/>
  <c r="AA414" i="26" s="1"/>
  <c r="F414" i="26"/>
  <c r="N441" i="26"/>
  <c r="R258" i="26"/>
  <c r="J95" i="26"/>
  <c r="N95" i="26"/>
  <c r="R95" i="26"/>
  <c r="Y95" i="26"/>
  <c r="Z95" i="26" s="1"/>
  <c r="AA95" i="26" s="1"/>
  <c r="F95" i="26"/>
  <c r="J133" i="26"/>
  <c r="F133" i="26"/>
  <c r="R133" i="26"/>
  <c r="Y133" i="26"/>
  <c r="Z133" i="26" s="1"/>
  <c r="AA133" i="26" s="1"/>
  <c r="R77" i="26"/>
  <c r="F369" i="26"/>
  <c r="Y369" i="26"/>
  <c r="Z369" i="26" s="1"/>
  <c r="AA369" i="26" s="1"/>
  <c r="J369" i="26"/>
  <c r="R283" i="26"/>
  <c r="N240" i="26"/>
  <c r="J240" i="26"/>
  <c r="Y240" i="26"/>
  <c r="Z240" i="26" s="1"/>
  <c r="AA240" i="26" s="1"/>
  <c r="F240" i="26"/>
  <c r="J79" i="26"/>
  <c r="Y79" i="26"/>
  <c r="Z79" i="26" s="1"/>
  <c r="AA79" i="26" s="1"/>
  <c r="N79" i="26"/>
  <c r="F79" i="26"/>
  <c r="N647" i="26"/>
  <c r="J325" i="26"/>
  <c r="R325" i="26"/>
  <c r="F325" i="26"/>
  <c r="N325" i="26"/>
  <c r="Y325" i="26"/>
  <c r="Z325" i="26" s="1"/>
  <c r="AA325" i="26" s="1"/>
  <c r="J167" i="26"/>
  <c r="N167" i="26"/>
  <c r="Y167" i="26"/>
  <c r="Z167" i="26" s="1"/>
  <c r="AA167" i="26" s="1"/>
  <c r="F167" i="26"/>
  <c r="R167" i="26"/>
  <c r="N1484" i="26"/>
  <c r="N358" i="26"/>
  <c r="N210" i="26"/>
  <c r="J210" i="26"/>
  <c r="F210" i="26"/>
  <c r="R210" i="26"/>
  <c r="Y210" i="26"/>
  <c r="Z210" i="26" s="1"/>
  <c r="AA210" i="26" s="1"/>
  <c r="R39" i="26"/>
  <c r="R659" i="26"/>
  <c r="N99" i="26"/>
  <c r="J99" i="26"/>
  <c r="F99" i="26"/>
  <c r="R99" i="26"/>
  <c r="Y99" i="26"/>
  <c r="Z99" i="26" s="1"/>
  <c r="AA99" i="26" s="1"/>
  <c r="F66" i="26"/>
  <c r="Y66" i="26"/>
  <c r="Z66" i="26" s="1"/>
  <c r="AA66" i="26" s="1"/>
  <c r="J66" i="26"/>
  <c r="N66" i="26"/>
  <c r="N110" i="26"/>
  <c r="Y148" i="26"/>
  <c r="Z148" i="26" s="1"/>
  <c r="AA148" i="26" s="1"/>
  <c r="N148" i="26"/>
  <c r="J148" i="26"/>
  <c r="F148" i="26"/>
  <c r="N222" i="26"/>
  <c r="J158" i="26"/>
  <c r="F158" i="26"/>
  <c r="N158" i="26"/>
  <c r="Y158" i="26"/>
  <c r="Z158" i="26" s="1"/>
  <c r="AA158" i="26" s="1"/>
  <c r="R158" i="26"/>
  <c r="V64" i="26"/>
  <c r="R454" i="26"/>
  <c r="N425" i="26"/>
  <c r="N94" i="26"/>
  <c r="J17" i="26"/>
  <c r="F17" i="26"/>
  <c r="Y17" i="26"/>
  <c r="Z17" i="26" s="1"/>
  <c r="AA17" i="26" s="1"/>
  <c r="N17" i="26"/>
  <c r="R17" i="26"/>
  <c r="N510" i="26"/>
  <c r="J1370" i="26"/>
  <c r="R1370" i="26"/>
  <c r="F1370" i="26"/>
  <c r="Y1370" i="26"/>
  <c r="Z1370" i="26" s="1"/>
  <c r="AA1370" i="26" s="1"/>
  <c r="Y1381" i="26"/>
  <c r="Z1381" i="26" s="1"/>
  <c r="AA1381" i="26" s="1"/>
  <c r="J1381" i="26"/>
  <c r="F1381" i="26"/>
  <c r="J1399" i="26"/>
  <c r="N1399" i="26"/>
  <c r="Y1399" i="26"/>
  <c r="Z1399" i="26" s="1"/>
  <c r="AA1399" i="26" s="1"/>
  <c r="F1399" i="26"/>
  <c r="J1243" i="26"/>
  <c r="F1243" i="26"/>
  <c r="Y1243" i="26"/>
  <c r="Z1243" i="26" s="1"/>
  <c r="AA1243" i="26" s="1"/>
  <c r="R1243" i="26"/>
  <c r="N1243" i="26"/>
  <c r="J1132" i="26"/>
  <c r="Y1132" i="26"/>
  <c r="Z1132" i="26" s="1"/>
  <c r="AA1132" i="26" s="1"/>
  <c r="F1132" i="26"/>
  <c r="N1132" i="26"/>
  <c r="J1108" i="26"/>
  <c r="F1108" i="26"/>
  <c r="Y1108" i="26"/>
  <c r="Z1108" i="26" s="1"/>
  <c r="AA1108" i="26" s="1"/>
  <c r="N1108" i="26"/>
  <c r="N1276" i="26"/>
  <c r="J872" i="26"/>
  <c r="F872" i="26"/>
  <c r="Y872" i="26"/>
  <c r="Z872" i="26" s="1"/>
  <c r="AA872" i="26" s="1"/>
  <c r="F832" i="26"/>
  <c r="Y832" i="26"/>
  <c r="Z832" i="26" s="1"/>
  <c r="AA832" i="26" s="1"/>
  <c r="J832" i="26"/>
  <c r="N832" i="26"/>
  <c r="Y664" i="26"/>
  <c r="Z664" i="26" s="1"/>
  <c r="AA664" i="26" s="1"/>
  <c r="J664" i="26"/>
  <c r="F664" i="26"/>
  <c r="Y645" i="26"/>
  <c r="Z645" i="26" s="1"/>
  <c r="AA645" i="26" s="1"/>
  <c r="J645" i="26"/>
  <c r="F645" i="26"/>
  <c r="J300" i="26"/>
  <c r="F300" i="26"/>
  <c r="Y300" i="26"/>
  <c r="Z300" i="26" s="1"/>
  <c r="AA300" i="26" s="1"/>
  <c r="N300" i="26"/>
  <c r="R569" i="26"/>
  <c r="J569" i="26"/>
  <c r="N569" i="26"/>
  <c r="Y569" i="26"/>
  <c r="Z569" i="26" s="1"/>
  <c r="AA569" i="26" s="1"/>
  <c r="F569" i="26"/>
  <c r="J190" i="26"/>
  <c r="F190" i="26"/>
  <c r="R190" i="26"/>
  <c r="N190" i="26"/>
  <c r="Y190" i="26"/>
  <c r="Z190" i="26" s="1"/>
  <c r="AA190" i="26" s="1"/>
  <c r="Y688" i="26"/>
  <c r="Z688" i="26" s="1"/>
  <c r="AA688" i="26" s="1"/>
  <c r="J688" i="26"/>
  <c r="F688" i="26"/>
  <c r="J223" i="26"/>
  <c r="N223" i="26"/>
  <c r="Y223" i="26"/>
  <c r="Z223" i="26" s="1"/>
  <c r="AA223" i="26" s="1"/>
  <c r="F223" i="26"/>
  <c r="R223" i="26"/>
  <c r="F53" i="26"/>
  <c r="N53" i="26"/>
  <c r="Y53" i="26"/>
  <c r="Z53" i="26" s="1"/>
  <c r="AA53" i="26" s="1"/>
  <c r="J53" i="26"/>
  <c r="R53" i="26"/>
  <c r="F1416" i="26"/>
  <c r="Y1416" i="26"/>
  <c r="Z1416" i="26" s="1"/>
  <c r="AA1416" i="26" s="1"/>
  <c r="J1416" i="26"/>
  <c r="R1416" i="26"/>
  <c r="R1381" i="26"/>
  <c r="Y1328" i="26"/>
  <c r="Z1328" i="26" s="1"/>
  <c r="AA1328" i="26" s="1"/>
  <c r="J1328" i="26"/>
  <c r="F1328" i="26"/>
  <c r="F1261" i="26"/>
  <c r="Y1261" i="26"/>
  <c r="Z1261" i="26" s="1"/>
  <c r="AA1261" i="26" s="1"/>
  <c r="J1261" i="26"/>
  <c r="R1261" i="26"/>
  <c r="R1132" i="26"/>
  <c r="J1217" i="26"/>
  <c r="F1217" i="26"/>
  <c r="Y1217" i="26"/>
  <c r="Z1217" i="26" s="1"/>
  <c r="AA1217" i="26" s="1"/>
  <c r="R1217" i="26"/>
  <c r="N1217" i="26"/>
  <c r="R1053" i="26"/>
  <c r="J973" i="26"/>
  <c r="N973" i="26"/>
  <c r="Y973" i="26"/>
  <c r="Z973" i="26" s="1"/>
  <c r="AA973" i="26" s="1"/>
  <c r="F973" i="26"/>
  <c r="Y912" i="26"/>
  <c r="Z912" i="26" s="1"/>
  <c r="AA912" i="26" s="1"/>
  <c r="J912" i="26"/>
  <c r="F912" i="26"/>
  <c r="F949" i="26"/>
  <c r="J949" i="26"/>
  <c r="Y949" i="26"/>
  <c r="Z949" i="26" s="1"/>
  <c r="AA949" i="26" s="1"/>
  <c r="J705" i="26"/>
  <c r="Y705" i="26"/>
  <c r="Z705" i="26" s="1"/>
  <c r="AA705" i="26" s="1"/>
  <c r="F705" i="26"/>
  <c r="N849" i="26"/>
  <c r="Y651" i="26"/>
  <c r="Z651" i="26" s="1"/>
  <c r="AA651" i="26" s="1"/>
  <c r="J651" i="26"/>
  <c r="F651" i="26"/>
  <c r="R918" i="26"/>
  <c r="J292" i="26"/>
  <c r="F292" i="26"/>
  <c r="N292" i="26"/>
  <c r="Y292" i="26"/>
  <c r="Z292" i="26" s="1"/>
  <c r="AA292" i="26" s="1"/>
  <c r="N651" i="26"/>
  <c r="R1502" i="26"/>
  <c r="N1431" i="26"/>
  <c r="J1431" i="26"/>
  <c r="Y1431" i="26"/>
  <c r="Z1431" i="26" s="1"/>
  <c r="AA1431" i="26" s="1"/>
  <c r="F1431" i="26"/>
  <c r="J1306" i="26"/>
  <c r="F1306" i="26"/>
  <c r="Y1306" i="26"/>
  <c r="Z1306" i="26" s="1"/>
  <c r="AA1306" i="26" s="1"/>
  <c r="N1261" i="26"/>
  <c r="Y1206" i="26"/>
  <c r="Z1206" i="26" s="1"/>
  <c r="AA1206" i="26" s="1"/>
  <c r="J1206" i="26"/>
  <c r="F1206" i="26"/>
  <c r="Y1264" i="26"/>
  <c r="Z1264" i="26" s="1"/>
  <c r="AA1264" i="26" s="1"/>
  <c r="J1264" i="26"/>
  <c r="F1264" i="26"/>
  <c r="R1264" i="26"/>
  <c r="F1288" i="26"/>
  <c r="Y1288" i="26"/>
  <c r="Z1288" i="26" s="1"/>
  <c r="AA1288" i="26" s="1"/>
  <c r="J1288" i="26"/>
  <c r="R1288" i="26"/>
  <c r="Y1038" i="26"/>
  <c r="Z1038" i="26" s="1"/>
  <c r="AA1038" i="26" s="1"/>
  <c r="J1038" i="26"/>
  <c r="N1038" i="26"/>
  <c r="F1038" i="26"/>
  <c r="R1038" i="26"/>
  <c r="J1068" i="26"/>
  <c r="Y1068" i="26"/>
  <c r="Z1068" i="26" s="1"/>
  <c r="AA1068" i="26" s="1"/>
  <c r="N1068" i="26"/>
  <c r="F1068" i="26"/>
  <c r="J1067" i="26"/>
  <c r="F1067" i="26"/>
  <c r="R1067" i="26"/>
  <c r="N1067" i="26"/>
  <c r="Y1067" i="26"/>
  <c r="Z1067" i="26" s="1"/>
  <c r="AA1067" i="26" s="1"/>
  <c r="J1031" i="26"/>
  <c r="F1031" i="26"/>
  <c r="N1031" i="26"/>
  <c r="Y1031" i="26"/>
  <c r="Z1031" i="26" s="1"/>
  <c r="AA1031" i="26" s="1"/>
  <c r="N1183" i="26"/>
  <c r="J886" i="26"/>
  <c r="F886" i="26"/>
  <c r="Y886" i="26"/>
  <c r="Z886" i="26" s="1"/>
  <c r="AA886" i="26" s="1"/>
  <c r="N1165" i="26"/>
  <c r="Y1081" i="26"/>
  <c r="Z1081" i="26" s="1"/>
  <c r="AA1081" i="26" s="1"/>
  <c r="J1081" i="26"/>
  <c r="R1081" i="26"/>
  <c r="F1081" i="26"/>
  <c r="Y699" i="26"/>
  <c r="Z699" i="26" s="1"/>
  <c r="AA699" i="26" s="1"/>
  <c r="J699" i="26"/>
  <c r="F699" i="26"/>
  <c r="J586" i="26"/>
  <c r="F586" i="26"/>
  <c r="R586" i="26"/>
  <c r="Y586" i="26"/>
  <c r="Z586" i="26" s="1"/>
  <c r="AA586" i="26" s="1"/>
  <c r="Y489" i="26"/>
  <c r="Z489" i="26" s="1"/>
  <c r="AA489" i="26" s="1"/>
  <c r="J489" i="26"/>
  <c r="F489" i="26"/>
  <c r="Y696" i="26"/>
  <c r="Z696" i="26" s="1"/>
  <c r="AA696" i="26" s="1"/>
  <c r="J696" i="26"/>
  <c r="F696" i="26"/>
  <c r="Y661" i="26"/>
  <c r="Z661" i="26" s="1"/>
  <c r="AA661" i="26" s="1"/>
  <c r="J661" i="26"/>
  <c r="F661" i="26"/>
  <c r="R540" i="26"/>
  <c r="J405" i="26"/>
  <c r="Y405" i="26"/>
  <c r="Z405" i="26" s="1"/>
  <c r="AA405" i="26" s="1"/>
  <c r="F405" i="26"/>
  <c r="N405" i="26"/>
  <c r="N563" i="26"/>
  <c r="Y563" i="26"/>
  <c r="Z563" i="26" s="1"/>
  <c r="AA563" i="26" s="1"/>
  <c r="J563" i="26"/>
  <c r="R563" i="26"/>
  <c r="F563" i="26"/>
  <c r="J111" i="26"/>
  <c r="N111" i="26"/>
  <c r="F111" i="26"/>
  <c r="R111" i="26"/>
  <c r="Y111" i="26"/>
  <c r="Z111" i="26" s="1"/>
  <c r="AA111" i="26" s="1"/>
  <c r="J181" i="26"/>
  <c r="F181" i="26"/>
  <c r="R181" i="26"/>
  <c r="Y181" i="26"/>
  <c r="Z181" i="26" s="1"/>
  <c r="AA181" i="26" s="1"/>
  <c r="R242" i="26"/>
  <c r="N475" i="26"/>
  <c r="F377" i="26"/>
  <c r="Y377" i="26"/>
  <c r="Z377" i="26" s="1"/>
  <c r="AA377" i="26" s="1"/>
  <c r="J377" i="26"/>
  <c r="J213" i="26"/>
  <c r="F213" i="26"/>
  <c r="Y213" i="26"/>
  <c r="Z213" i="26" s="1"/>
  <c r="AA213" i="26" s="1"/>
  <c r="R213" i="26"/>
  <c r="N696" i="26"/>
  <c r="N126" i="26"/>
  <c r="V558" i="26"/>
  <c r="Y88" i="26"/>
  <c r="Z88" i="26" s="1"/>
  <c r="AA88" i="26" s="1"/>
  <c r="R88" i="26"/>
  <c r="F88" i="26"/>
  <c r="J88" i="26"/>
  <c r="N115" i="26"/>
  <c r="J115" i="26"/>
  <c r="F115" i="26"/>
  <c r="Y115" i="26"/>
  <c r="Z115" i="26" s="1"/>
  <c r="AA115" i="26" s="1"/>
  <c r="R115" i="26"/>
  <c r="J1450" i="26"/>
  <c r="F1450" i="26"/>
  <c r="Y1450" i="26"/>
  <c r="Z1450" i="26" s="1"/>
  <c r="AA1450" i="26" s="1"/>
  <c r="N1450" i="26"/>
  <c r="R1460" i="26"/>
  <c r="R1486" i="26"/>
  <c r="Y1422" i="26"/>
  <c r="Z1422" i="26" s="1"/>
  <c r="AA1422" i="26" s="1"/>
  <c r="F1422" i="26"/>
  <c r="R1422" i="26"/>
  <c r="J1422" i="26"/>
  <c r="N1441" i="26"/>
  <c r="R1431" i="26"/>
  <c r="F1373" i="26"/>
  <c r="N1373" i="26"/>
  <c r="J1373" i="26"/>
  <c r="Y1373" i="26"/>
  <c r="Z1373" i="26" s="1"/>
  <c r="AA1373" i="26" s="1"/>
  <c r="Y1337" i="26"/>
  <c r="Z1337" i="26" s="1"/>
  <c r="AA1337" i="26" s="1"/>
  <c r="J1337" i="26"/>
  <c r="F1337" i="26"/>
  <c r="R1337" i="26"/>
  <c r="J1277" i="26"/>
  <c r="F1277" i="26"/>
  <c r="Y1277" i="26"/>
  <c r="Z1277" i="26" s="1"/>
  <c r="AA1277" i="26" s="1"/>
  <c r="N1257" i="26"/>
  <c r="N1429" i="26"/>
  <c r="N1080" i="26"/>
  <c r="Y1080" i="26"/>
  <c r="Z1080" i="26" s="1"/>
  <c r="AA1080" i="26" s="1"/>
  <c r="J1080" i="26"/>
  <c r="F1080" i="26"/>
  <c r="F1113" i="26"/>
  <c r="Y1113" i="26"/>
  <c r="Z1113" i="26" s="1"/>
  <c r="AA1113" i="26" s="1"/>
  <c r="J1113" i="26"/>
  <c r="Y1180" i="26"/>
  <c r="Z1180" i="26" s="1"/>
  <c r="AA1180" i="26" s="1"/>
  <c r="J1180" i="26"/>
  <c r="F1180" i="26"/>
  <c r="R1180" i="26"/>
  <c r="Y1082" i="26"/>
  <c r="Z1082" i="26" s="1"/>
  <c r="AA1082" i="26" s="1"/>
  <c r="J1082" i="26"/>
  <c r="F1082" i="26"/>
  <c r="R1100" i="26"/>
  <c r="N944" i="26"/>
  <c r="N1306" i="26"/>
  <c r="N934" i="26"/>
  <c r="R1068" i="26"/>
  <c r="J962" i="26"/>
  <c r="F962" i="26"/>
  <c r="Y962" i="26"/>
  <c r="Z962" i="26" s="1"/>
  <c r="AA962" i="26" s="1"/>
  <c r="N885" i="26"/>
  <c r="N886" i="26"/>
  <c r="J787" i="26"/>
  <c r="F787" i="26"/>
  <c r="Y787" i="26"/>
  <c r="Z787" i="26" s="1"/>
  <c r="AA787" i="26" s="1"/>
  <c r="J670" i="26"/>
  <c r="Y670" i="26"/>
  <c r="Z670" i="26" s="1"/>
  <c r="AA670" i="26" s="1"/>
  <c r="F670" i="26"/>
  <c r="Y562" i="26"/>
  <c r="Z562" i="26" s="1"/>
  <c r="AA562" i="26" s="1"/>
  <c r="N562" i="26"/>
  <c r="J562" i="26"/>
  <c r="F562" i="26"/>
  <c r="R787" i="26"/>
  <c r="Y686" i="26"/>
  <c r="Z686" i="26" s="1"/>
  <c r="AA686" i="26" s="1"/>
  <c r="J686" i="26"/>
  <c r="F686" i="26"/>
  <c r="J412" i="26"/>
  <c r="Y412" i="26"/>
  <c r="Z412" i="26" s="1"/>
  <c r="AA412" i="26" s="1"/>
  <c r="N412" i="26"/>
  <c r="R412" i="26"/>
  <c r="F412" i="26"/>
  <c r="N694" i="26"/>
  <c r="F470" i="26"/>
  <c r="Y470" i="26"/>
  <c r="Z470" i="26" s="1"/>
  <c r="AA470" i="26" s="1"/>
  <c r="J470" i="26"/>
  <c r="R470" i="26"/>
  <c r="R795" i="26"/>
  <c r="Y682" i="26"/>
  <c r="Z682" i="26" s="1"/>
  <c r="AA682" i="26" s="1"/>
  <c r="J682" i="26"/>
  <c r="R682" i="26"/>
  <c r="F682" i="26"/>
  <c r="J535" i="26"/>
  <c r="Y535" i="26"/>
  <c r="Z535" i="26" s="1"/>
  <c r="AA535" i="26" s="1"/>
  <c r="F535" i="26"/>
  <c r="N535" i="26"/>
  <c r="N462" i="26"/>
  <c r="J103" i="26"/>
  <c r="N103" i="26"/>
  <c r="Y103" i="26"/>
  <c r="Z103" i="26" s="1"/>
  <c r="AA103" i="26" s="1"/>
  <c r="F103" i="26"/>
  <c r="R103" i="26"/>
  <c r="J560" i="26"/>
  <c r="F560" i="26"/>
  <c r="Y560" i="26"/>
  <c r="Z560" i="26" s="1"/>
  <c r="AA560" i="26" s="1"/>
  <c r="R560" i="26"/>
  <c r="N652" i="26"/>
  <c r="Y44" i="26"/>
  <c r="Z44" i="26" s="1"/>
  <c r="AA44" i="26" s="1"/>
  <c r="J44" i="26"/>
  <c r="F44" i="26"/>
  <c r="R44" i="26"/>
  <c r="F1500" i="26"/>
  <c r="J1500" i="26"/>
  <c r="Y1500" i="26"/>
  <c r="Z1500" i="26" s="1"/>
  <c r="AA1500" i="26" s="1"/>
  <c r="N77" i="26"/>
  <c r="Y1496" i="26"/>
  <c r="Z1496" i="26" s="1"/>
  <c r="AA1496" i="26" s="1"/>
  <c r="J1496" i="26"/>
  <c r="R1496" i="26"/>
  <c r="F1496" i="26"/>
  <c r="F1492" i="26"/>
  <c r="J1492" i="26"/>
  <c r="Y1492" i="26"/>
  <c r="Z1492" i="26" s="1"/>
  <c r="AA1492" i="26" s="1"/>
  <c r="N1502" i="26"/>
  <c r="Y1478" i="26"/>
  <c r="Z1478" i="26" s="1"/>
  <c r="AA1478" i="26" s="1"/>
  <c r="J1478" i="26"/>
  <c r="F1478" i="26"/>
  <c r="F1439" i="26"/>
  <c r="R1439" i="26"/>
  <c r="J1439" i="26"/>
  <c r="Y1439" i="26"/>
  <c r="Z1439" i="26" s="1"/>
  <c r="AA1439" i="26" s="1"/>
  <c r="Y1455" i="26"/>
  <c r="Z1455" i="26" s="1"/>
  <c r="AA1455" i="26" s="1"/>
  <c r="R1455" i="26"/>
  <c r="J1455" i="26"/>
  <c r="F1455" i="26"/>
  <c r="N1455" i="26"/>
  <c r="N1420" i="26"/>
  <c r="Y1420" i="26"/>
  <c r="Z1420" i="26" s="1"/>
  <c r="AA1420" i="26" s="1"/>
  <c r="J1420" i="26"/>
  <c r="F1420" i="26"/>
  <c r="F1493" i="26"/>
  <c r="N1493" i="26"/>
  <c r="Y1493" i="26"/>
  <c r="Z1493" i="26" s="1"/>
  <c r="AA1493" i="26" s="1"/>
  <c r="R1493" i="26"/>
  <c r="J1493" i="26"/>
  <c r="N1475" i="26"/>
  <c r="N1425" i="26"/>
  <c r="Y1425" i="26"/>
  <c r="Z1425" i="26" s="1"/>
  <c r="AA1425" i="26" s="1"/>
  <c r="J1425" i="26"/>
  <c r="F1425" i="26"/>
  <c r="Y1436" i="26"/>
  <c r="Z1436" i="26" s="1"/>
  <c r="AA1436" i="26" s="1"/>
  <c r="R1436" i="26"/>
  <c r="F1436" i="26"/>
  <c r="N1436" i="26"/>
  <c r="J1436" i="26"/>
  <c r="R1383" i="26"/>
  <c r="N1354" i="26"/>
  <c r="J1298" i="26"/>
  <c r="F1298" i="26"/>
  <c r="N1298" i="26"/>
  <c r="Y1298" i="26"/>
  <c r="Z1298" i="26" s="1"/>
  <c r="AA1298" i="26" s="1"/>
  <c r="J1351" i="26"/>
  <c r="Y1351" i="26"/>
  <c r="Z1351" i="26" s="1"/>
  <c r="AA1351" i="26" s="1"/>
  <c r="F1351" i="26"/>
  <c r="Y1216" i="26"/>
  <c r="Z1216" i="26" s="1"/>
  <c r="AA1216" i="26" s="1"/>
  <c r="J1216" i="26"/>
  <c r="N1216" i="26"/>
  <c r="F1216" i="26"/>
  <c r="R1306" i="26"/>
  <c r="Y1242" i="26"/>
  <c r="Z1242" i="26" s="1"/>
  <c r="AA1242" i="26" s="1"/>
  <c r="J1242" i="26"/>
  <c r="F1242" i="26"/>
  <c r="N1242" i="26"/>
  <c r="Y1286" i="26"/>
  <c r="Z1286" i="26" s="1"/>
  <c r="AA1286" i="26" s="1"/>
  <c r="J1286" i="26"/>
  <c r="F1286" i="26"/>
  <c r="R1286" i="26"/>
  <c r="Y1240" i="26"/>
  <c r="Z1240" i="26" s="1"/>
  <c r="AA1240" i="26" s="1"/>
  <c r="J1240" i="26"/>
  <c r="F1240" i="26"/>
  <c r="R1240" i="26"/>
  <c r="N1248" i="26"/>
  <c r="J1152" i="26"/>
  <c r="F1152" i="26"/>
  <c r="R1152" i="26"/>
  <c r="Y1152" i="26"/>
  <c r="Z1152" i="26" s="1"/>
  <c r="AA1152" i="26" s="1"/>
  <c r="J1110" i="26"/>
  <c r="F1110" i="26"/>
  <c r="N1110" i="26"/>
  <c r="Y1110" i="26"/>
  <c r="Z1110" i="26" s="1"/>
  <c r="AA1110" i="26" s="1"/>
  <c r="J1141" i="26"/>
  <c r="F1141" i="26"/>
  <c r="R1141" i="26"/>
  <c r="N1141" i="26"/>
  <c r="Y1174" i="26"/>
  <c r="Z1174" i="26" s="1"/>
  <c r="AA1174" i="26" s="1"/>
  <c r="J1174" i="26"/>
  <c r="F1174" i="26"/>
  <c r="Y1130" i="26"/>
  <c r="Z1130" i="26" s="1"/>
  <c r="AA1130" i="26" s="1"/>
  <c r="J1130" i="26"/>
  <c r="F1130" i="26"/>
  <c r="N1064" i="26"/>
  <c r="Y1064" i="26"/>
  <c r="Z1064" i="26" s="1"/>
  <c r="AA1064" i="26" s="1"/>
  <c r="J1064" i="26"/>
  <c r="F1064" i="26"/>
  <c r="R1197" i="26"/>
  <c r="J1060" i="26"/>
  <c r="Y1060" i="26"/>
  <c r="Z1060" i="26" s="1"/>
  <c r="AA1060" i="26" s="1"/>
  <c r="F1060" i="26"/>
  <c r="N1060" i="26"/>
  <c r="R1148" i="26"/>
  <c r="F1280" i="26"/>
  <c r="Y1280" i="26"/>
  <c r="Z1280" i="26" s="1"/>
  <c r="AA1280" i="26" s="1"/>
  <c r="J1280" i="26"/>
  <c r="N1168" i="26"/>
  <c r="F1135" i="26"/>
  <c r="Y1135" i="26"/>
  <c r="Z1135" i="26" s="1"/>
  <c r="AA1135" i="26" s="1"/>
  <c r="J1135" i="26"/>
  <c r="R1135" i="26"/>
  <c r="J1015" i="26"/>
  <c r="Y1015" i="26"/>
  <c r="Z1015" i="26" s="1"/>
  <c r="AA1015" i="26" s="1"/>
  <c r="N1015" i="26"/>
  <c r="F1015" i="26"/>
  <c r="R1074" i="26"/>
  <c r="Y952" i="26"/>
  <c r="Z952" i="26" s="1"/>
  <c r="AA952" i="26" s="1"/>
  <c r="J952" i="26"/>
  <c r="R952" i="26"/>
  <c r="F952" i="26"/>
  <c r="Y932" i="26"/>
  <c r="Z932" i="26" s="1"/>
  <c r="AA932" i="26" s="1"/>
  <c r="J932" i="26"/>
  <c r="R932" i="26"/>
  <c r="F932" i="26"/>
  <c r="N870" i="26"/>
  <c r="J1153" i="26"/>
  <c r="Y1153" i="26"/>
  <c r="Z1153" i="26" s="1"/>
  <c r="AA1153" i="26" s="1"/>
  <c r="F1153" i="26"/>
  <c r="N1153" i="26"/>
  <c r="R1072" i="26"/>
  <c r="R1012" i="26"/>
  <c r="J790" i="26"/>
  <c r="F790" i="26"/>
  <c r="N790" i="26"/>
  <c r="Y790" i="26"/>
  <c r="Z790" i="26" s="1"/>
  <c r="AA790" i="26" s="1"/>
  <c r="J748" i="26"/>
  <c r="F748" i="26"/>
  <c r="N748" i="26"/>
  <c r="Y748" i="26"/>
  <c r="Z748" i="26" s="1"/>
  <c r="AA748" i="26" s="1"/>
  <c r="Y916" i="26"/>
  <c r="Z916" i="26" s="1"/>
  <c r="AA916" i="26" s="1"/>
  <c r="J916" i="26"/>
  <c r="F916" i="26"/>
  <c r="N1277" i="26"/>
  <c r="R974" i="26"/>
  <c r="Y1003" i="26"/>
  <c r="Z1003" i="26" s="1"/>
  <c r="AA1003" i="26" s="1"/>
  <c r="J1003" i="26"/>
  <c r="F1003" i="26"/>
  <c r="R965" i="26"/>
  <c r="N464" i="26"/>
  <c r="R934" i="26"/>
  <c r="Y707" i="26"/>
  <c r="Z707" i="26" s="1"/>
  <c r="AA707" i="26" s="1"/>
  <c r="J707" i="26"/>
  <c r="F707" i="26"/>
  <c r="R695" i="26"/>
  <c r="R681" i="26"/>
  <c r="R664" i="26"/>
  <c r="J654" i="26"/>
  <c r="Y654" i="26"/>
  <c r="Z654" i="26" s="1"/>
  <c r="AA654" i="26" s="1"/>
  <c r="F654" i="26"/>
  <c r="Y640" i="26"/>
  <c r="Z640" i="26" s="1"/>
  <c r="AA640" i="26" s="1"/>
  <c r="J640" i="26"/>
  <c r="F640" i="26"/>
  <c r="N925" i="26"/>
  <c r="J846" i="26"/>
  <c r="Y846" i="26"/>
  <c r="Z846" i="26" s="1"/>
  <c r="AA846" i="26" s="1"/>
  <c r="F846" i="26"/>
  <c r="Y703" i="26"/>
  <c r="Z703" i="26" s="1"/>
  <c r="AA703" i="26" s="1"/>
  <c r="J703" i="26"/>
  <c r="F703" i="26"/>
  <c r="R631" i="26"/>
  <c r="Y667" i="26"/>
  <c r="Z667" i="26" s="1"/>
  <c r="AA667" i="26" s="1"/>
  <c r="J667" i="26"/>
  <c r="F667" i="26"/>
  <c r="N933" i="26"/>
  <c r="N659" i="26"/>
  <c r="R959" i="26"/>
  <c r="R737" i="26"/>
  <c r="R680" i="26"/>
  <c r="R645" i="26"/>
  <c r="Y465" i="26"/>
  <c r="Z465" i="26" s="1"/>
  <c r="AA465" i="26" s="1"/>
  <c r="J465" i="26"/>
  <c r="F465" i="26"/>
  <c r="R465" i="26"/>
  <c r="Y431" i="26"/>
  <c r="Z431" i="26" s="1"/>
  <c r="AA431" i="26" s="1"/>
  <c r="J431" i="26"/>
  <c r="F431" i="26"/>
  <c r="F416" i="26"/>
  <c r="J416" i="26"/>
  <c r="R416" i="26"/>
  <c r="Y416" i="26"/>
  <c r="Z416" i="26" s="1"/>
  <c r="AA416" i="26" s="1"/>
  <c r="N923" i="26"/>
  <c r="N664" i="26"/>
  <c r="Y476" i="26"/>
  <c r="Z476" i="26" s="1"/>
  <c r="AA476" i="26" s="1"/>
  <c r="J476" i="26"/>
  <c r="R476" i="26"/>
  <c r="F476" i="26"/>
  <c r="J400" i="26"/>
  <c r="F400" i="26"/>
  <c r="Y400" i="26"/>
  <c r="Z400" i="26" s="1"/>
  <c r="AA400" i="26" s="1"/>
  <c r="R400" i="26"/>
  <c r="N400" i="26"/>
  <c r="J409" i="26"/>
  <c r="Y409" i="26"/>
  <c r="Z409" i="26" s="1"/>
  <c r="AA409" i="26" s="1"/>
  <c r="R409" i="26"/>
  <c r="F409" i="26"/>
  <c r="Y391" i="26"/>
  <c r="Z391" i="26" s="1"/>
  <c r="AA391" i="26" s="1"/>
  <c r="J391" i="26"/>
  <c r="F391" i="26"/>
  <c r="R292" i="26"/>
  <c r="J142" i="26"/>
  <c r="N142" i="26"/>
  <c r="F142" i="26"/>
  <c r="Y142" i="26"/>
  <c r="Z142" i="26" s="1"/>
  <c r="AA142" i="26" s="1"/>
  <c r="R142" i="26"/>
  <c r="J75" i="26"/>
  <c r="Y75" i="26"/>
  <c r="Z75" i="26" s="1"/>
  <c r="AA75" i="26" s="1"/>
  <c r="F75" i="26"/>
  <c r="N75" i="26"/>
  <c r="N458" i="26"/>
  <c r="J199" i="26"/>
  <c r="F199" i="26"/>
  <c r="R199" i="26"/>
  <c r="N199" i="26"/>
  <c r="Y199" i="26"/>
  <c r="Z199" i="26" s="1"/>
  <c r="AA199" i="26" s="1"/>
  <c r="N695" i="26"/>
  <c r="N645" i="26"/>
  <c r="N435" i="26"/>
  <c r="J232" i="26"/>
  <c r="N232" i="26"/>
  <c r="Y232" i="26"/>
  <c r="Z232" i="26" s="1"/>
  <c r="AA232" i="26" s="1"/>
  <c r="F232" i="26"/>
  <c r="R232" i="26"/>
  <c r="J71" i="26"/>
  <c r="Y71" i="26"/>
  <c r="Z71" i="26" s="1"/>
  <c r="AA71" i="26" s="1"/>
  <c r="N71" i="26"/>
  <c r="F71" i="26"/>
  <c r="R71" i="26"/>
  <c r="N679" i="26"/>
  <c r="J527" i="26"/>
  <c r="Y527" i="26"/>
  <c r="Z527" i="26" s="1"/>
  <c r="AA527" i="26" s="1"/>
  <c r="F527" i="26"/>
  <c r="N527" i="26"/>
  <c r="N422" i="26"/>
  <c r="J317" i="26"/>
  <c r="R317" i="26"/>
  <c r="F317" i="26"/>
  <c r="N317" i="26"/>
  <c r="Y317" i="26"/>
  <c r="Z317" i="26" s="1"/>
  <c r="AA317" i="26" s="1"/>
  <c r="J159" i="26"/>
  <c r="N159" i="26"/>
  <c r="Y159" i="26"/>
  <c r="Z159" i="26" s="1"/>
  <c r="AA159" i="26" s="1"/>
  <c r="F159" i="26"/>
  <c r="R159" i="26"/>
  <c r="N192" i="26"/>
  <c r="J18" i="26"/>
  <c r="Y18" i="26"/>
  <c r="Z18" i="26" s="1"/>
  <c r="AA18" i="26" s="1"/>
  <c r="N18" i="26"/>
  <c r="R18" i="26"/>
  <c r="F18" i="26"/>
  <c r="Y230" i="26"/>
  <c r="Z230" i="26" s="1"/>
  <c r="AA230" i="26" s="1"/>
  <c r="J230" i="26"/>
  <c r="N230" i="26"/>
  <c r="F230" i="26"/>
  <c r="N374" i="26"/>
  <c r="N102" i="26"/>
  <c r="Y250" i="26"/>
  <c r="Z250" i="26" s="1"/>
  <c r="AA250" i="26" s="1"/>
  <c r="J250" i="26"/>
  <c r="F250" i="26"/>
  <c r="R250" i="26"/>
  <c r="R47" i="26"/>
  <c r="Y85" i="26"/>
  <c r="Z85" i="26" s="1"/>
  <c r="AA85" i="26" s="1"/>
  <c r="J85" i="26"/>
  <c r="F85" i="26"/>
  <c r="Y125" i="26"/>
  <c r="Z125" i="26" s="1"/>
  <c r="AA125" i="26" s="1"/>
  <c r="N125" i="26"/>
  <c r="J125" i="26"/>
  <c r="F125" i="26"/>
  <c r="N680" i="26"/>
  <c r="R748" i="26"/>
  <c r="R704" i="26"/>
  <c r="R8" i="26"/>
  <c r="F8" i="26"/>
  <c r="J8" i="26"/>
  <c r="R64" i="26" l="1"/>
  <c r="Y64" i="26"/>
  <c r="Z64" i="26" s="1"/>
  <c r="AA64" i="26" s="1"/>
  <c r="J64" i="26"/>
  <c r="F64" i="26"/>
  <c r="N64" i="26"/>
  <c r="Y568" i="26"/>
  <c r="Z568" i="26" s="1"/>
  <c r="AA568" i="26" s="1"/>
  <c r="N568" i="26"/>
  <c r="J568" i="26"/>
  <c r="F568" i="26"/>
  <c r="R568" i="26"/>
  <c r="Y572" i="26"/>
  <c r="Z572" i="26" s="1"/>
  <c r="AA572" i="26" s="1"/>
  <c r="N572" i="26"/>
  <c r="F572" i="26"/>
  <c r="J572" i="26"/>
  <c r="R572" i="26"/>
  <c r="Y558" i="26"/>
  <c r="Z558" i="26" s="1"/>
  <c r="AA558" i="26" s="1"/>
  <c r="N558" i="26"/>
  <c r="F558" i="26"/>
  <c r="J558" i="26"/>
  <c r="R558" i="26"/>
  <c r="R546" i="26"/>
  <c r="N546" i="26"/>
  <c r="Y546" i="26"/>
  <c r="Z546" i="26" s="1"/>
  <c r="AA546" i="26" s="1"/>
  <c r="J546" i="26"/>
  <c r="F546" i="26"/>
  <c r="F557" i="26"/>
  <c r="Y557" i="26"/>
  <c r="Z557" i="26" s="1"/>
  <c r="AA557" i="26" s="1"/>
  <c r="J557" i="26"/>
  <c r="R557" i="26"/>
  <c r="N557" i="26"/>
  <c r="Y38" i="26"/>
  <c r="Z38" i="26" s="1"/>
  <c r="AA38" i="26" s="1"/>
  <c r="F38" i="26"/>
  <c r="J38" i="26"/>
  <c r="R38" i="26"/>
  <c r="N38" i="26"/>
  <c r="F547" i="26"/>
  <c r="J547" i="26"/>
  <c r="N547" i="26"/>
  <c r="Y547" i="26"/>
  <c r="Z547" i="26" s="1"/>
  <c r="AA547" i="26" s="1"/>
  <c r="R547" i="26"/>
  <c r="B40" i="6" l="1"/>
  <c r="B33" i="6"/>
  <c r="B26" i="6"/>
  <c r="B19" i="6"/>
  <c r="B23" i="6" s="1"/>
  <c r="M39" i="6" l="1"/>
  <c r="M32" i="6"/>
  <c r="M25" i="6"/>
  <c r="M18" i="6"/>
  <c r="B22" i="6" l="1"/>
  <c r="B29" i="6"/>
  <c r="B36" i="6"/>
  <c r="B43" i="6"/>
  <c r="B44" i="6" l="1"/>
  <c r="B42" i="6"/>
  <c r="B37" i="6"/>
  <c r="B35" i="6"/>
  <c r="B28" i="6"/>
  <c r="B30" i="6"/>
  <c r="B21" i="6"/>
  <c r="G38" i="2" l="1"/>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D16" i="6" l="1"/>
  <c r="C16" i="6"/>
  <c r="L14" i="5"/>
  <c r="K14" i="5"/>
  <c r="J14" i="5"/>
  <c r="I14" i="5"/>
  <c r="L13" i="5"/>
  <c r="K13" i="5"/>
  <c r="J13" i="5"/>
  <c r="I13" i="5"/>
  <c r="L12" i="5"/>
  <c r="K12" i="5"/>
  <c r="J12" i="5"/>
  <c r="I12" i="5"/>
  <c r="L11" i="5"/>
  <c r="K11" i="5"/>
  <c r="J11" i="5"/>
  <c r="I11" i="5"/>
  <c r="L10" i="5"/>
  <c r="K10" i="5"/>
  <c r="J10" i="5"/>
  <c r="I10" i="5"/>
  <c r="I15" i="5" s="1"/>
  <c r="I17" i="5" s="1"/>
  <c r="B7" i="6" s="1"/>
  <c r="J20" i="6" l="1"/>
  <c r="D20" i="6"/>
  <c r="D22" i="6" s="1"/>
  <c r="F20" i="6"/>
  <c r="G20" i="6"/>
  <c r="H20" i="6"/>
  <c r="I20" i="6"/>
  <c r="K20" i="6"/>
  <c r="L20" i="6"/>
  <c r="E20" i="6"/>
  <c r="C20" i="6"/>
  <c r="C22" i="6" s="1"/>
  <c r="E16" i="6"/>
  <c r="G39" i="2"/>
  <c r="J15" i="5"/>
  <c r="L15" i="5"/>
  <c r="K15" i="5"/>
  <c r="F16" i="6" l="1"/>
  <c r="E22" i="6"/>
  <c r="K17" i="5"/>
  <c r="J17" i="5"/>
  <c r="L17" i="5"/>
  <c r="G41" i="2"/>
  <c r="G43" i="2" s="1"/>
  <c r="I20" i="5"/>
  <c r="I22" i="5" s="1"/>
  <c r="I24" i="5" s="1"/>
  <c r="L20" i="5" l="1"/>
  <c r="L22" i="5" s="1"/>
  <c r="L24" i="5" s="1"/>
  <c r="L26" i="5" s="1"/>
  <c r="B13" i="6"/>
  <c r="J20" i="5"/>
  <c r="J22" i="5" s="1"/>
  <c r="J24" i="5" s="1"/>
  <c r="J26" i="5" s="1"/>
  <c r="B9" i="6"/>
  <c r="K20" i="5"/>
  <c r="K22" i="5" s="1"/>
  <c r="K24" i="5" s="1"/>
  <c r="K28" i="5" s="1"/>
  <c r="B11" i="6"/>
  <c r="G16" i="6"/>
  <c r="F22" i="6"/>
  <c r="I26" i="5"/>
  <c r="I28" i="5"/>
  <c r="K26" i="5"/>
  <c r="L28" i="5"/>
  <c r="L29" i="5" s="1"/>
  <c r="J28" i="5" l="1"/>
  <c r="F34" i="6"/>
  <c r="F36" i="6" s="1"/>
  <c r="H34" i="6"/>
  <c r="J34" i="6"/>
  <c r="K34" i="6"/>
  <c r="L34" i="6"/>
  <c r="C34" i="6"/>
  <c r="C36" i="6" s="1"/>
  <c r="G34" i="6"/>
  <c r="G36" i="6" s="1"/>
  <c r="I34" i="6"/>
  <c r="D34" i="6"/>
  <c r="D36" i="6" s="1"/>
  <c r="E34" i="6"/>
  <c r="E36" i="6" s="1"/>
  <c r="D27" i="6"/>
  <c r="D29" i="6" s="1"/>
  <c r="L27" i="6"/>
  <c r="G27" i="6"/>
  <c r="G29" i="6" s="1"/>
  <c r="E27" i="6"/>
  <c r="E29" i="6" s="1"/>
  <c r="C27" i="6"/>
  <c r="C29" i="6" s="1"/>
  <c r="F27" i="6"/>
  <c r="F29" i="6" s="1"/>
  <c r="H27" i="6"/>
  <c r="I27" i="6"/>
  <c r="K27" i="6"/>
  <c r="J27" i="6"/>
  <c r="H41" i="6"/>
  <c r="J41" i="6"/>
  <c r="D41" i="6"/>
  <c r="D43" i="6" s="1"/>
  <c r="I41" i="6"/>
  <c r="K41" i="6"/>
  <c r="L41" i="6"/>
  <c r="C41" i="6"/>
  <c r="C43" i="6" s="1"/>
  <c r="G41" i="6"/>
  <c r="G43" i="6" s="1"/>
  <c r="E41" i="6"/>
  <c r="E43" i="6" s="1"/>
  <c r="F41" i="6"/>
  <c r="F43" i="6" s="1"/>
  <c r="H16" i="6"/>
  <c r="G22" i="6"/>
  <c r="I29" i="5"/>
  <c r="I30" i="5" s="1"/>
  <c r="B6" i="6" s="1"/>
  <c r="K29" i="5"/>
  <c r="K30" i="5" s="1"/>
  <c r="J29" i="5"/>
  <c r="J30" i="5"/>
  <c r="B8" i="6" s="1"/>
  <c r="L30" i="5"/>
  <c r="I16" i="6" l="1"/>
  <c r="H36" i="6"/>
  <c r="H43" i="6"/>
  <c r="H29" i="6"/>
  <c r="H22" i="6"/>
  <c r="B12" i="6"/>
  <c r="C19" i="6"/>
  <c r="B10" i="6"/>
  <c r="J16" i="6" l="1"/>
  <c r="I29" i="6"/>
  <c r="I22" i="6"/>
  <c r="I36" i="6"/>
  <c r="I43" i="6"/>
  <c r="E19" i="6"/>
  <c r="D19" i="6"/>
  <c r="K26" i="6"/>
  <c r="D26" i="6"/>
  <c r="H26" i="6"/>
  <c r="L26" i="6"/>
  <c r="E26" i="6"/>
  <c r="I26" i="6"/>
  <c r="F26" i="6"/>
  <c r="J26" i="6"/>
  <c r="C26" i="6"/>
  <c r="G26" i="6"/>
  <c r="K33" i="6"/>
  <c r="F33" i="6"/>
  <c r="J33" i="6"/>
  <c r="E33" i="6"/>
  <c r="I33" i="6"/>
  <c r="D33" i="6"/>
  <c r="H33" i="6"/>
  <c r="L33" i="6"/>
  <c r="C33" i="6"/>
  <c r="G33" i="6"/>
  <c r="K19" i="6"/>
  <c r="F19" i="6"/>
  <c r="J19" i="6"/>
  <c r="I19" i="6"/>
  <c r="H19" i="6"/>
  <c r="L19" i="6"/>
  <c r="G19" i="6"/>
  <c r="K40" i="6"/>
  <c r="D40" i="6"/>
  <c r="H40" i="6"/>
  <c r="L40" i="6"/>
  <c r="E40" i="6"/>
  <c r="I40" i="6"/>
  <c r="F40" i="6"/>
  <c r="J40" i="6"/>
  <c r="C40" i="6"/>
  <c r="G40" i="6"/>
  <c r="E21" i="6" l="1"/>
  <c r="E23" i="6" s="1"/>
  <c r="D21" i="6"/>
  <c r="D23" i="6" s="1"/>
  <c r="K16" i="6"/>
  <c r="K35" i="6" s="1"/>
  <c r="J22" i="6"/>
  <c r="J36" i="6"/>
  <c r="J29" i="6"/>
  <c r="J43" i="6"/>
  <c r="D42" i="6"/>
  <c r="D44" i="6" s="1"/>
  <c r="E35" i="6"/>
  <c r="E37" i="6" s="1"/>
  <c r="C37" i="6"/>
  <c r="C35" i="6"/>
  <c r="C44" i="6"/>
  <c r="C42" i="6"/>
  <c r="E42" i="6"/>
  <c r="E44" i="6" s="1"/>
  <c r="D35" i="6"/>
  <c r="D37" i="6" s="1"/>
  <c r="H42" i="6"/>
  <c r="H44" i="6" s="1"/>
  <c r="G42" i="6"/>
  <c r="G44" i="6" s="1"/>
  <c r="J42" i="6"/>
  <c r="F42" i="6"/>
  <c r="F44" i="6" s="1"/>
  <c r="I42" i="6"/>
  <c r="I44" i="6" s="1"/>
  <c r="H35" i="6"/>
  <c r="H37" i="6" s="1"/>
  <c r="I35" i="6"/>
  <c r="I37" i="6" s="1"/>
  <c r="J35" i="6"/>
  <c r="G35" i="6"/>
  <c r="G37" i="6" s="1"/>
  <c r="F35" i="6"/>
  <c r="F37" i="6" s="1"/>
  <c r="J28" i="6"/>
  <c r="F28" i="6"/>
  <c r="F30" i="6" s="1"/>
  <c r="I28" i="6"/>
  <c r="I30" i="6" s="1"/>
  <c r="E28" i="6"/>
  <c r="E30" i="6" s="1"/>
  <c r="H28" i="6"/>
  <c r="H30" i="6" s="1"/>
  <c r="G28" i="6"/>
  <c r="G30" i="6" s="1"/>
  <c r="D28" i="6"/>
  <c r="D30" i="6" s="1"/>
  <c r="C28" i="6"/>
  <c r="C30" i="6"/>
  <c r="K28" i="6"/>
  <c r="H21" i="6"/>
  <c r="H23" i="6" s="1"/>
  <c r="I21" i="6"/>
  <c r="I23" i="6" s="1"/>
  <c r="J21" i="6"/>
  <c r="G21" i="6"/>
  <c r="G23" i="6" s="1"/>
  <c r="F21" i="6"/>
  <c r="F23" i="6" s="1"/>
  <c r="C23" i="6"/>
  <c r="C21" i="6"/>
  <c r="K21" i="6"/>
  <c r="J37" i="6" l="1"/>
  <c r="J23" i="6"/>
  <c r="K42" i="6"/>
  <c r="J44" i="6"/>
  <c r="J30" i="6"/>
  <c r="L16" i="6"/>
  <c r="K29" i="6"/>
  <c r="K30" i="6" s="1"/>
  <c r="K22" i="6"/>
  <c r="K23" i="6" s="1"/>
  <c r="K43" i="6"/>
  <c r="K36" i="6"/>
  <c r="K37" i="6" s="1"/>
  <c r="K44" i="6" l="1"/>
  <c r="L43" i="6"/>
  <c r="M43" i="6" s="1"/>
  <c r="L32" i="5" s="1"/>
  <c r="L36" i="6"/>
  <c r="M36" i="6" s="1"/>
  <c r="K32" i="5" s="1"/>
  <c r="L29" i="6"/>
  <c r="M29" i="6" s="1"/>
  <c r="J32" i="5" s="1"/>
  <c r="L22" i="6"/>
  <c r="M22" i="6" s="1"/>
  <c r="I32" i="5" s="1"/>
  <c r="L28" i="6"/>
  <c r="L21" i="6"/>
  <c r="L42" i="6"/>
  <c r="L35" i="6"/>
  <c r="L23" i="6" l="1"/>
  <c r="M23" i="6" s="1"/>
  <c r="L30" i="6"/>
  <c r="M30" i="6" s="1"/>
  <c r="L44" i="6"/>
  <c r="M44" i="6" s="1"/>
  <c r="L37" i="6"/>
  <c r="M37" i="6" s="1"/>
  <c r="M28" i="6"/>
  <c r="J31" i="5" s="1"/>
  <c r="J33" i="5" s="1"/>
  <c r="M35" i="6"/>
  <c r="K31" i="5" s="1"/>
  <c r="K33" i="5" s="1"/>
  <c r="M42" i="6"/>
  <c r="L31" i="5" s="1"/>
  <c r="L33" i="5" s="1"/>
  <c r="M21" i="6"/>
  <c r="I31" i="5" s="1"/>
  <c r="I33" i="5" s="1"/>
</calcChain>
</file>

<file path=xl/comments1.xml><?xml version="1.0" encoding="utf-8"?>
<comments xmlns="http://schemas.openxmlformats.org/spreadsheetml/2006/main">
  <authors>
    <author>Scott Roberts</author>
  </authors>
  <commentList>
    <comment ref="A1" authorId="0" shapeId="0">
      <text>
        <r>
          <rPr>
            <b/>
            <sz val="8"/>
            <color indexed="81"/>
            <rFont val="Tahoma"/>
            <family val="2"/>
          </rPr>
          <t xml:space="preserve">
</t>
        </r>
        <r>
          <rPr>
            <b/>
            <u/>
            <sz val="8"/>
            <color indexed="81"/>
            <rFont val="Tahoma"/>
            <family val="2"/>
          </rPr>
          <t>Use this template for estimates prepared after Stage Gate 2 is approved or to estimate the Construction Contract Amount for a PMP that feeds into Stage Gate 2</t>
        </r>
        <r>
          <rPr>
            <b/>
            <sz val="8"/>
            <color indexed="81"/>
            <rFont val="Tahoma"/>
            <family val="2"/>
          </rPr>
          <t xml:space="preserve">
Step 1:  Determine if you are utilizing a APWA or CSI (MasterFormat 2004) specifications for the project.  
Step 2:  Choose the appropriate tabs below for either APWA or CSI
Step 3:  Copy over the bid items to this summary sheet
Note:  APWA Estimates should be done on a sheet by sheet break-out with a summarized list here.</t>
        </r>
      </text>
    </comment>
    <comment ref="G43" authorId="0" shapeId="0">
      <text>
        <r>
          <rPr>
            <b/>
            <sz val="8"/>
            <color indexed="81"/>
            <rFont val="Tahoma"/>
            <family val="2"/>
          </rPr>
          <t>This number is used in the cost plan spreadsheet that is part of the Project Management Methodology.</t>
        </r>
      </text>
    </comment>
  </commentList>
</comments>
</file>

<file path=xl/comments2.xml><?xml version="1.0" encoding="utf-8"?>
<comments xmlns="http://schemas.openxmlformats.org/spreadsheetml/2006/main">
  <authors>
    <author>Ward, Keith</author>
    <author>Scott Roberts</author>
  </authors>
  <commentList>
    <comment ref="A1" authorId="0" shapeId="0">
      <text>
        <r>
          <rPr>
            <b/>
            <sz val="9"/>
            <color indexed="81"/>
            <rFont val="Tahoma"/>
            <family val="2"/>
          </rPr>
          <t>Use this template for estimates prepared through Stage Gate 2 approval</t>
        </r>
        <r>
          <rPr>
            <sz val="9"/>
            <color indexed="81"/>
            <rFont val="Tahoma"/>
            <family val="2"/>
          </rPr>
          <t xml:space="preserve">
-If this is a Initiation Phase estimate, fill out a set of quantity and cost columns for only Option 1 (other options are not developed at this point).
-If this is an Options Analysis Phase estimate, fill out a set of quantity and cost columns for each option.
-In the Basis of Estimate, list the historic unit costs (or similar completed types of projects) used to estimate the construction bid amount.
-Fill in the items, item description, units, cost per unit, and quantity of units.  The cost will be calculated and summed automatically.</t>
        </r>
      </text>
    </comment>
    <comment ref="B9" authorId="1" shapeId="0">
      <text>
        <r>
          <rPr>
            <sz val="8"/>
            <color indexed="81"/>
            <rFont val="Tahoma"/>
            <family val="2"/>
          </rPr>
          <t xml:space="preserve">Cost Items used to calculate an estimate at this phase should only be for the </t>
        </r>
        <r>
          <rPr>
            <b/>
            <sz val="8"/>
            <color indexed="81"/>
            <rFont val="Tahoma"/>
            <family val="2"/>
          </rPr>
          <t>major items of work</t>
        </r>
        <r>
          <rPr>
            <sz val="8"/>
            <color indexed="81"/>
            <rFont val="Tahoma"/>
            <family val="2"/>
          </rPr>
          <t xml:space="preserve">.  Each cost item should include all work required to construct that major item of work.  
There may only be one cost item on some projects (combined sewer pipe), or several (stormwater pipe, storm water tank, storm water above ground storage), but </t>
        </r>
        <r>
          <rPr>
            <b/>
            <sz val="8"/>
            <color indexed="81"/>
            <rFont val="Tahoma"/>
            <family val="2"/>
          </rPr>
          <t>usually not more than 5 major cost items to a project</t>
        </r>
        <r>
          <rPr>
            <sz val="8"/>
            <color indexed="81"/>
            <rFont val="Tahoma"/>
            <family val="2"/>
          </rPr>
          <t>. 
It is very important to document all assumptions in the Basis of Estimate Template.</t>
        </r>
      </text>
    </comment>
    <comment ref="H19" authorId="1" shapeId="0">
      <text>
        <r>
          <rPr>
            <b/>
            <u/>
            <sz val="8"/>
            <color indexed="81"/>
            <rFont val="Tahoma"/>
            <family val="2"/>
          </rPr>
          <t>Includes:</t>
        </r>
        <r>
          <rPr>
            <b/>
            <sz val="8"/>
            <color indexed="81"/>
            <rFont val="Tahoma"/>
            <family val="2"/>
          </rPr>
          <t xml:space="preserve">
-Permit Fees
-Construction Surveying
-Materials Testing</t>
        </r>
      </text>
    </comment>
    <comment ref="H31" authorId="1" shapeId="0">
      <text>
        <r>
          <rPr>
            <b/>
            <sz val="8"/>
            <color indexed="81"/>
            <rFont val="Tahoma"/>
            <family val="2"/>
          </rPr>
          <t xml:space="preserve">A worksheet for distributing the cost of adding inflation is provided on the following tab.
</t>
        </r>
      </text>
    </comment>
  </commentList>
</comments>
</file>

<file path=xl/sharedStrings.xml><?xml version="1.0" encoding="utf-8"?>
<sst xmlns="http://schemas.openxmlformats.org/spreadsheetml/2006/main" count="28419" uniqueCount="23051">
  <si>
    <t>Cost Estimator(s):</t>
  </si>
  <si>
    <t>SF</t>
  </si>
  <si>
    <t>LF</t>
  </si>
  <si>
    <t>CY</t>
  </si>
  <si>
    <t>LS</t>
  </si>
  <si>
    <t>HR</t>
  </si>
  <si>
    <t>CLEARING</t>
  </si>
  <si>
    <t>SY</t>
  </si>
  <si>
    <t>REMOVE CULVERT</t>
  </si>
  <si>
    <t>REMOVE FENCE, WOOD</t>
  </si>
  <si>
    <t>REMOVE BOLLARD</t>
  </si>
  <si>
    <t>EA</t>
  </si>
  <si>
    <t>TN</t>
  </si>
  <si>
    <t>RELOCATE ROCK FACING</t>
  </si>
  <si>
    <t>CONSTRUCTION GEOTEXTILE FOR UNDERGROUND DRAINAGE</t>
  </si>
  <si>
    <t>LB</t>
  </si>
  <si>
    <t>VF</t>
  </si>
  <si>
    <t>Bid Item</t>
  </si>
  <si>
    <t>Bid Item Description</t>
  </si>
  <si>
    <t>Quantity</t>
  </si>
  <si>
    <t>Unit</t>
  </si>
  <si>
    <t>Unit Price</t>
  </si>
  <si>
    <t>Unit Price Extension</t>
  </si>
  <si>
    <t>Project Name:</t>
  </si>
  <si>
    <t xml:space="preserve">Date: </t>
  </si>
  <si>
    <t>Project Phase:</t>
  </si>
  <si>
    <t>Project Phase</t>
  </si>
  <si>
    <t>30% Design</t>
  </si>
  <si>
    <t>60% Design</t>
  </si>
  <si>
    <t>Project Management Plan</t>
  </si>
  <si>
    <t>90% Design</t>
  </si>
  <si>
    <t>Final Design</t>
  </si>
  <si>
    <t>&lt;&lt;Select&gt;&gt;</t>
  </si>
  <si>
    <t>&lt;&lt;Enter date estimate was prepared&gt;&gt;</t>
  </si>
  <si>
    <t>&lt;&lt;Enter names of cost estimators&gt;&gt;</t>
  </si>
  <si>
    <t>Item</t>
  </si>
  <si>
    <t>Construction Line Item Pricing</t>
  </si>
  <si>
    <t>Construction Bid Amount</t>
  </si>
  <si>
    <t>Sales Tax %</t>
  </si>
  <si>
    <t>Construction Contract Amount</t>
  </si>
  <si>
    <t>Option 1</t>
  </si>
  <si>
    <t>Option 2</t>
  </si>
  <si>
    <t>Option 3</t>
  </si>
  <si>
    <t>#</t>
  </si>
  <si>
    <t>Project ID:</t>
  </si>
  <si>
    <t>&lt;&lt;Enter project ID from EPMS&gt;&gt;</t>
  </si>
  <si>
    <t>&lt;&lt;Enter project name from EPMS&gt;&gt;</t>
  </si>
  <si>
    <t>Planning Phase</t>
  </si>
  <si>
    <t>Initiation</t>
  </si>
  <si>
    <t>Options Analysis</t>
  </si>
  <si>
    <t>01 00 00</t>
  </si>
  <si>
    <t>General Requirements</t>
  </si>
  <si>
    <t>01 10 00</t>
  </si>
  <si>
    <t>Summary</t>
  </si>
  <si>
    <t>01 11 00</t>
  </si>
  <si>
    <t>Summary of Work</t>
  </si>
  <si>
    <t>01 11 13</t>
  </si>
  <si>
    <t>Work Covered by Contract Documents</t>
  </si>
  <si>
    <t>01 11 16</t>
  </si>
  <si>
    <t>Work by Owner</t>
  </si>
  <si>
    <t>01 11 19</t>
  </si>
  <si>
    <t>Purchase Contracts</t>
  </si>
  <si>
    <t>01 12 00</t>
  </si>
  <si>
    <t>Multiple Contract Summary</t>
  </si>
  <si>
    <t>01 12 13</t>
  </si>
  <si>
    <t>Summary of Contracts</t>
  </si>
  <si>
    <t>01 12 16</t>
  </si>
  <si>
    <t>Work Sequence</t>
  </si>
  <si>
    <t>01 12 19</t>
  </si>
  <si>
    <t>Contract Interface</t>
  </si>
  <si>
    <t>01 14 00</t>
  </si>
  <si>
    <t>Work Restrictions</t>
  </si>
  <si>
    <t>01 14 13</t>
  </si>
  <si>
    <t>Access to Site</t>
  </si>
  <si>
    <t>01 14 16</t>
  </si>
  <si>
    <t>Coordination with Occupants</t>
  </si>
  <si>
    <t>01 14 19</t>
  </si>
  <si>
    <t>Use of Site</t>
  </si>
  <si>
    <t>01 18 00</t>
  </si>
  <si>
    <t>Project Utility Sources</t>
  </si>
  <si>
    <t>01 18 13</t>
  </si>
  <si>
    <t>Utility Service Connections</t>
  </si>
  <si>
    <t>01 20 00</t>
  </si>
  <si>
    <t>Price and Payment Procedures</t>
  </si>
  <si>
    <t>01 21 00</t>
  </si>
  <si>
    <t>Allowances</t>
  </si>
  <si>
    <t>01 21 13</t>
  </si>
  <si>
    <t>Cash Allowances</t>
  </si>
  <si>
    <t>01 21 16</t>
  </si>
  <si>
    <t>Contingency Allowances</t>
  </si>
  <si>
    <t>01 21 19</t>
  </si>
  <si>
    <t>Testing and Inspecting Allowances</t>
  </si>
  <si>
    <t>01 21 23</t>
  </si>
  <si>
    <t>Installation Allowances</t>
  </si>
  <si>
    <t>01 21 26</t>
  </si>
  <si>
    <t>Product Allowances</t>
  </si>
  <si>
    <t>01 21 29</t>
  </si>
  <si>
    <t>Quantity Allowances</t>
  </si>
  <si>
    <t>01 21 43</t>
  </si>
  <si>
    <t>Time Allowances</t>
  </si>
  <si>
    <t>01 22 00</t>
  </si>
  <si>
    <t>Unit Prices</t>
  </si>
  <si>
    <t>01 22 13</t>
  </si>
  <si>
    <t>Unit Price Measurement</t>
  </si>
  <si>
    <t>01 22 16</t>
  </si>
  <si>
    <t>Unit Price Payment</t>
  </si>
  <si>
    <t>01 23 00</t>
  </si>
  <si>
    <t>Alternates</t>
  </si>
  <si>
    <t>01 24 00</t>
  </si>
  <si>
    <t>Value Analysis</t>
  </si>
  <si>
    <t>01 24 13</t>
  </si>
  <si>
    <t>Value Engineering</t>
  </si>
  <si>
    <t>01 25 00</t>
  </si>
  <si>
    <t>Substitution Procedures</t>
  </si>
  <si>
    <t>01 25 13</t>
  </si>
  <si>
    <t>Product Substitution Procedures</t>
  </si>
  <si>
    <t>01 25 16</t>
  </si>
  <si>
    <t>Execution Substitution Procedures</t>
  </si>
  <si>
    <t>01 26 00</t>
  </si>
  <si>
    <t>Contract Modification Procedures</t>
  </si>
  <si>
    <t>01 26 13</t>
  </si>
  <si>
    <t>Requests for Interpretation</t>
  </si>
  <si>
    <t>01 26 19</t>
  </si>
  <si>
    <t>Clarification Notices</t>
  </si>
  <si>
    <t>01 26 33</t>
  </si>
  <si>
    <t>Minor Changes in the Work</t>
  </si>
  <si>
    <t>01 26 36</t>
  </si>
  <si>
    <t>Supplemental Instructions</t>
  </si>
  <si>
    <t>01 26 39</t>
  </si>
  <si>
    <t>Field Orders</t>
  </si>
  <si>
    <t>01 26 43</t>
  </si>
  <si>
    <t>Amendments</t>
  </si>
  <si>
    <t>01 26 46</t>
  </si>
  <si>
    <t>Construction Change Directives</t>
  </si>
  <si>
    <t>01 26 49</t>
  </si>
  <si>
    <t>Work Change Directives</t>
  </si>
  <si>
    <t>01 26 53</t>
  </si>
  <si>
    <t>Proposal Requests</t>
  </si>
  <si>
    <t>01 26 54</t>
  </si>
  <si>
    <t>Proposal Worksheet Summaries</t>
  </si>
  <si>
    <t>01 26 57</t>
  </si>
  <si>
    <t>Change Order Requests</t>
  </si>
  <si>
    <t>01 26 63</t>
  </si>
  <si>
    <t>Change Orders</t>
  </si>
  <si>
    <t>01 29 00</t>
  </si>
  <si>
    <t>Payment Procedures</t>
  </si>
  <si>
    <t>01 29 73</t>
  </si>
  <si>
    <t>Schedule of Values</t>
  </si>
  <si>
    <t>01 29 76</t>
  </si>
  <si>
    <t>Progress Payment Procedures</t>
  </si>
  <si>
    <t>01 29 83</t>
  </si>
  <si>
    <t>Payment Procedures for Testing Laboratory Services</t>
  </si>
  <si>
    <t>01 30 00</t>
  </si>
  <si>
    <t>Administrative Requirements</t>
  </si>
  <si>
    <t>01 31 00</t>
  </si>
  <si>
    <t>Project Management and Coordination</t>
  </si>
  <si>
    <t>01 31 13</t>
  </si>
  <si>
    <t>Project Coordination</t>
  </si>
  <si>
    <t>01 31 14</t>
  </si>
  <si>
    <t>Facility Services Coordination</t>
  </si>
  <si>
    <t>01 31 16</t>
  </si>
  <si>
    <t>Multiple Contract Coordination</t>
  </si>
  <si>
    <t>01 31 19</t>
  </si>
  <si>
    <t>Project Meetings</t>
  </si>
  <si>
    <t>01 31 23</t>
  </si>
  <si>
    <t>Project Web Site</t>
  </si>
  <si>
    <t>01 31 26</t>
  </si>
  <si>
    <t>Electronic Communication Protocols</t>
  </si>
  <si>
    <t>01 32 00</t>
  </si>
  <si>
    <t>Construction Progress Documentation</t>
  </si>
  <si>
    <t>01 32 13</t>
  </si>
  <si>
    <t>Scheduling of Work</t>
  </si>
  <si>
    <t>01 32 16</t>
  </si>
  <si>
    <t>Construction Progress Schedule</t>
  </si>
  <si>
    <t>01 32 19</t>
  </si>
  <si>
    <t>Submittals Schedule</t>
  </si>
  <si>
    <t>01 32 23</t>
  </si>
  <si>
    <t>Survey and Layout Data</t>
  </si>
  <si>
    <t>01 32 26</t>
  </si>
  <si>
    <t>Construction Progress Reporting</t>
  </si>
  <si>
    <t>01 32 29</t>
  </si>
  <si>
    <t>Periodic Work Observation</t>
  </si>
  <si>
    <t>01 32 33</t>
  </si>
  <si>
    <t>Photographic Documentation</t>
  </si>
  <si>
    <t>01 32 36</t>
  </si>
  <si>
    <t>Video Monitoring and Documentation</t>
  </si>
  <si>
    <t>01 32 43</t>
  </si>
  <si>
    <t>Purchase Order Tracking</t>
  </si>
  <si>
    <t>01 33 00</t>
  </si>
  <si>
    <t>Submittal Procedures</t>
  </si>
  <si>
    <t>01 33 13</t>
  </si>
  <si>
    <t>Certificates</t>
  </si>
  <si>
    <t>01 33 16</t>
  </si>
  <si>
    <t>Design Data</t>
  </si>
  <si>
    <t>01 33 19</t>
  </si>
  <si>
    <t>Field Test Reporting</t>
  </si>
  <si>
    <t>01 33 23</t>
  </si>
  <si>
    <t>Shop Drawings, Product Data, and Samples</t>
  </si>
  <si>
    <t>01 33 26</t>
  </si>
  <si>
    <t>Source Quality Control Reporting</t>
  </si>
  <si>
    <t>01 33 29</t>
  </si>
  <si>
    <t>Sustainable Design Reporting</t>
  </si>
  <si>
    <t>01 33 29.01</t>
  </si>
  <si>
    <t>Material Cost Summary Form</t>
  </si>
  <si>
    <t>01 33 29.02</t>
  </si>
  <si>
    <t>Wood-Containing Product List</t>
  </si>
  <si>
    <t>01 33 29.03</t>
  </si>
  <si>
    <t>Metal-Containing Product List</t>
  </si>
  <si>
    <t>01 33 29.04</t>
  </si>
  <si>
    <t>Material Content Form</t>
  </si>
  <si>
    <t>01 33 29.05</t>
  </si>
  <si>
    <t>New Product Source Form</t>
  </si>
  <si>
    <t>01 33 29.06</t>
  </si>
  <si>
    <t>Reused Product Form</t>
  </si>
  <si>
    <t>01 33 29.07</t>
  </si>
  <si>
    <t>Prohibited Content Installer Certification</t>
  </si>
  <si>
    <t>01 35 00</t>
  </si>
  <si>
    <t>Special Procedures</t>
  </si>
  <si>
    <t>01 35 13</t>
  </si>
  <si>
    <t>Special Project Procedures</t>
  </si>
  <si>
    <t>01 35 13.13</t>
  </si>
  <si>
    <t>Special Project Procedures for Airport Facilities</t>
  </si>
  <si>
    <t>01 35 13.16</t>
  </si>
  <si>
    <t>Special Project Procedures for Detention Facilities</t>
  </si>
  <si>
    <t>01 35 13.19</t>
  </si>
  <si>
    <t>Special Project Procedures for Healthcare Facilities</t>
  </si>
  <si>
    <t>01 35 13.26</t>
  </si>
  <si>
    <t>Special Project Procedures for Clean Rooms</t>
  </si>
  <si>
    <t>01 35 13.43</t>
  </si>
  <si>
    <t>Special Project Procedures for Contaminated Sites</t>
  </si>
  <si>
    <t>01 35 16</t>
  </si>
  <si>
    <t>Alteration Project Procedures</t>
  </si>
  <si>
    <t>01 35 23</t>
  </si>
  <si>
    <t>Owner Safety Requirements</t>
  </si>
  <si>
    <t>01 35 26</t>
  </si>
  <si>
    <t>Governmental Safety Requirements</t>
  </si>
  <si>
    <t>01 35 29</t>
  </si>
  <si>
    <t>Health, Safety, and Emergency Response Procedures</t>
  </si>
  <si>
    <t>01 35 29.13</t>
  </si>
  <si>
    <t>Health, Safety, and Emergency Response Procedures for Contaminated Sites</t>
  </si>
  <si>
    <t>01 35 33</t>
  </si>
  <si>
    <t>Infection Control Procedures</t>
  </si>
  <si>
    <t>01 35 43</t>
  </si>
  <si>
    <t>Environmental Procedures</t>
  </si>
  <si>
    <t>01 35 43.13</t>
  </si>
  <si>
    <t>Environmental Procedures for Hazardous Materials</t>
  </si>
  <si>
    <t>01 35 43.16</t>
  </si>
  <si>
    <t>Environmental Procedures for Toxic Materials</t>
  </si>
  <si>
    <t>01 35 46</t>
  </si>
  <si>
    <t>Indoor Air Quality Procedures</t>
  </si>
  <si>
    <t>01 35 53</t>
  </si>
  <si>
    <t>Security Procedures</t>
  </si>
  <si>
    <t>01 35 63</t>
  </si>
  <si>
    <t>Sustainability Certification Project Requirements</t>
  </si>
  <si>
    <t>01 35 66</t>
  </si>
  <si>
    <t>Sustainability Certification Project Procedures</t>
  </si>
  <si>
    <t>01 35 91</t>
  </si>
  <si>
    <t>Historic Treatment Procedures</t>
  </si>
  <si>
    <t>01 40 00</t>
  </si>
  <si>
    <t>Quality Requirements</t>
  </si>
  <si>
    <t>01 41 00</t>
  </si>
  <si>
    <t>Regulatory Requirements</t>
  </si>
  <si>
    <t>01 41 13</t>
  </si>
  <si>
    <t>Codes</t>
  </si>
  <si>
    <t>01 41 16</t>
  </si>
  <si>
    <t>Laws</t>
  </si>
  <si>
    <t>01 41 19</t>
  </si>
  <si>
    <t>Rules</t>
  </si>
  <si>
    <t>01 41 23</t>
  </si>
  <si>
    <t>Fees</t>
  </si>
  <si>
    <t>01 41 26</t>
  </si>
  <si>
    <t>Permit Requirements</t>
  </si>
  <si>
    <t>01 42 00</t>
  </si>
  <si>
    <t>References</t>
  </si>
  <si>
    <t>01 42 13</t>
  </si>
  <si>
    <t>Abbreviations and Acronyms</t>
  </si>
  <si>
    <t>01 42 16</t>
  </si>
  <si>
    <t>Definitions</t>
  </si>
  <si>
    <t>01 42 19</t>
  </si>
  <si>
    <t>Reference Standards</t>
  </si>
  <si>
    <t>01 43 00</t>
  </si>
  <si>
    <t>Quality Assurance</t>
  </si>
  <si>
    <t>01 43 13</t>
  </si>
  <si>
    <t>Manufacturer Qualifications</t>
  </si>
  <si>
    <t>01 43 16</t>
  </si>
  <si>
    <t>Supplier Qualifications</t>
  </si>
  <si>
    <t>01 43 19</t>
  </si>
  <si>
    <t>Fabricator Qualifications</t>
  </si>
  <si>
    <t>01 43 23</t>
  </si>
  <si>
    <t>Installer Qualifications</t>
  </si>
  <si>
    <t>01 43 26</t>
  </si>
  <si>
    <t>Testing and Inspecting Agency Qualifications</t>
  </si>
  <si>
    <t>01 43 29</t>
  </si>
  <si>
    <t>Code-Required Special Inspector Qualifications</t>
  </si>
  <si>
    <t>01 43 33</t>
  </si>
  <si>
    <t>Manufacturer's Field Services</t>
  </si>
  <si>
    <t>01 43 36</t>
  </si>
  <si>
    <t>Field Samples</t>
  </si>
  <si>
    <t>01 43 39</t>
  </si>
  <si>
    <t>Mockups</t>
  </si>
  <si>
    <t>01 45 00</t>
  </si>
  <si>
    <t>Quality Control</t>
  </si>
  <si>
    <t>01 45 13</t>
  </si>
  <si>
    <t>Source Quality Control Procedures</t>
  </si>
  <si>
    <t>01 45 16</t>
  </si>
  <si>
    <t>Field Quality Control Procedures</t>
  </si>
  <si>
    <t>01 45 23</t>
  </si>
  <si>
    <t>Testing and Inspecting Services</t>
  </si>
  <si>
    <t>01 45 26</t>
  </si>
  <si>
    <t>Plant Inspection Procedures</t>
  </si>
  <si>
    <t>01 45 29</t>
  </si>
  <si>
    <t>Testing Laboratory Services</t>
  </si>
  <si>
    <t>01 45 33</t>
  </si>
  <si>
    <t>Code-Required Special Inspections and Procedures</t>
  </si>
  <si>
    <t>01 50 00</t>
  </si>
  <si>
    <t>Temporary Facilities and Controls</t>
  </si>
  <si>
    <t>01 51 00</t>
  </si>
  <si>
    <t>Temporary Utilities</t>
  </si>
  <si>
    <t>01 51 13</t>
  </si>
  <si>
    <t>Temporary Electricity</t>
  </si>
  <si>
    <t>01 51 16</t>
  </si>
  <si>
    <t>Temporary Fire Protection</t>
  </si>
  <si>
    <t>01 51 19</t>
  </si>
  <si>
    <t>Temporary Fuel Oil</t>
  </si>
  <si>
    <t>01 51 23</t>
  </si>
  <si>
    <t>Temporary Heating, Cooling, and Ventilating</t>
  </si>
  <si>
    <t>01 51 26</t>
  </si>
  <si>
    <t>Temporary Lighting</t>
  </si>
  <si>
    <t>01 51 29</t>
  </si>
  <si>
    <t>Temporary Natural-Gas</t>
  </si>
  <si>
    <t>01 51 33</t>
  </si>
  <si>
    <t>Temporary Telecommunications</t>
  </si>
  <si>
    <t>01 51 36</t>
  </si>
  <si>
    <t>Temporary Water</t>
  </si>
  <si>
    <t>01 52 00</t>
  </si>
  <si>
    <t>Construction Facilities</t>
  </si>
  <si>
    <t>01 52 13</t>
  </si>
  <si>
    <t>Field Offices and Sheds</t>
  </si>
  <si>
    <t>01 52 16</t>
  </si>
  <si>
    <t>First Aid Facilities</t>
  </si>
  <si>
    <t>01 52 19</t>
  </si>
  <si>
    <t>Sanitary Facilities</t>
  </si>
  <si>
    <t>01 53 00</t>
  </si>
  <si>
    <t>Temporary Construction</t>
  </si>
  <si>
    <t>01 53 13</t>
  </si>
  <si>
    <t>Temporary Bridges</t>
  </si>
  <si>
    <t>01 53 16</t>
  </si>
  <si>
    <t>Temporary Decking</t>
  </si>
  <si>
    <t>01 53 19</t>
  </si>
  <si>
    <t>Temporary Overpasses</t>
  </si>
  <si>
    <t>01 53 23</t>
  </si>
  <si>
    <t>Temporary Ramps</t>
  </si>
  <si>
    <t>01 53 26</t>
  </si>
  <si>
    <t>Temporary Runarounds</t>
  </si>
  <si>
    <t>01 54 00</t>
  </si>
  <si>
    <t>Construction Aids</t>
  </si>
  <si>
    <t>01 54 13</t>
  </si>
  <si>
    <t>Temporary Elevators</t>
  </si>
  <si>
    <t>01 54 16</t>
  </si>
  <si>
    <t>Temporary Hoists</t>
  </si>
  <si>
    <t>01 54 19</t>
  </si>
  <si>
    <t>Temporary Cranes</t>
  </si>
  <si>
    <t>01 54 23</t>
  </si>
  <si>
    <t>Temporary Scaffolding and Platforms</t>
  </si>
  <si>
    <t>01 54 26</t>
  </si>
  <si>
    <t>Temporary Swing Staging</t>
  </si>
  <si>
    <t>01 55 00</t>
  </si>
  <si>
    <t>Vehicular Access and Parking</t>
  </si>
  <si>
    <t>01 55 13</t>
  </si>
  <si>
    <t>Temporary Access Roads</t>
  </si>
  <si>
    <t>01 55 16</t>
  </si>
  <si>
    <t>Haul Routes</t>
  </si>
  <si>
    <t>01 55 19</t>
  </si>
  <si>
    <t>Temporary Parking Areas</t>
  </si>
  <si>
    <t>01 55 23</t>
  </si>
  <si>
    <t>Temporary Roads</t>
  </si>
  <si>
    <t>01 55 26</t>
  </si>
  <si>
    <t>Traffic Control</t>
  </si>
  <si>
    <t>01 55 29</t>
  </si>
  <si>
    <t>Staging Areas</t>
  </si>
  <si>
    <t>01 56 00</t>
  </si>
  <si>
    <t>Temporary Barriers and Enclosures</t>
  </si>
  <si>
    <t>01 56 13</t>
  </si>
  <si>
    <t>Temporary Air Barriers</t>
  </si>
  <si>
    <t>01 56 16</t>
  </si>
  <si>
    <t>Temporary Dust Barriers</t>
  </si>
  <si>
    <t>01 56 19</t>
  </si>
  <si>
    <t>Temporary Noise Barriers</t>
  </si>
  <si>
    <t>01 56 23</t>
  </si>
  <si>
    <t>Temporary Barricades</t>
  </si>
  <si>
    <t>01 56 26</t>
  </si>
  <si>
    <t>Temporary Fencing</t>
  </si>
  <si>
    <t>01 56 29</t>
  </si>
  <si>
    <t>Temporary Protective Walkways</t>
  </si>
  <si>
    <t>01 56 33</t>
  </si>
  <si>
    <t>Temporary Security Barriers</t>
  </si>
  <si>
    <t>01 56 36</t>
  </si>
  <si>
    <t>Temporary Security Enclosures</t>
  </si>
  <si>
    <t>01 56 39</t>
  </si>
  <si>
    <t>Temporary Tree and Plant Protection</t>
  </si>
  <si>
    <t>01 57 00</t>
  </si>
  <si>
    <t>Temporary Controls</t>
  </si>
  <si>
    <t>01 57 13</t>
  </si>
  <si>
    <t>Temporary Erosion and Sediment Control</t>
  </si>
  <si>
    <t>01 57 16</t>
  </si>
  <si>
    <t>Temporary Pest Control</t>
  </si>
  <si>
    <t>01 57 19</t>
  </si>
  <si>
    <t>Temporary Environmental Controls</t>
  </si>
  <si>
    <t>01 57 23</t>
  </si>
  <si>
    <t>Temporary Storm Water Pollution Control</t>
  </si>
  <si>
    <t>01 58 00</t>
  </si>
  <si>
    <t>Project Identification</t>
  </si>
  <si>
    <t>01 58 13</t>
  </si>
  <si>
    <t>Temporary Project Signage</t>
  </si>
  <si>
    <t>01 58 16</t>
  </si>
  <si>
    <t>Temporary Interior Signage</t>
  </si>
  <si>
    <t>01 60 00</t>
  </si>
  <si>
    <t>Product Requirements</t>
  </si>
  <si>
    <t>01 61 00</t>
  </si>
  <si>
    <t>Common Product Requirements</t>
  </si>
  <si>
    <t>01 61 13</t>
  </si>
  <si>
    <t>Software Licensing Requirements</t>
  </si>
  <si>
    <t>01 62 00</t>
  </si>
  <si>
    <t>Product Options</t>
  </si>
  <si>
    <t>01 64 00</t>
  </si>
  <si>
    <t>Owner-Furnished Products</t>
  </si>
  <si>
    <t>01 65 00</t>
  </si>
  <si>
    <t>Product Delivery Requirements</t>
  </si>
  <si>
    <t>01 66 00</t>
  </si>
  <si>
    <t>Product Storage and Handling Requirements</t>
  </si>
  <si>
    <t>01 66 13</t>
  </si>
  <si>
    <t>Product Storage and Handling Requirements for Hazardous Materials</t>
  </si>
  <si>
    <t>01 66 16</t>
  </si>
  <si>
    <t>Product Storage and Handling Requirements for Toxic Materials</t>
  </si>
  <si>
    <t>01 70 00</t>
  </si>
  <si>
    <t>Execution and Closeout Requirements</t>
  </si>
  <si>
    <t>01 71 00</t>
  </si>
  <si>
    <t>Examination and Preparation</t>
  </si>
  <si>
    <t>01 71 13</t>
  </si>
  <si>
    <t>Mobilization</t>
  </si>
  <si>
    <t>01 71 16</t>
  </si>
  <si>
    <t>Acceptance of Conditions</t>
  </si>
  <si>
    <t>01 71 23</t>
  </si>
  <si>
    <t>Field Engineering</t>
  </si>
  <si>
    <t>01 71 23.13</t>
  </si>
  <si>
    <t>Construction Layout</t>
  </si>
  <si>
    <t>01 71 23.16</t>
  </si>
  <si>
    <t>Construction Surveying</t>
  </si>
  <si>
    <t>01 71 33</t>
  </si>
  <si>
    <t>Protection of Adjacent Construction</t>
  </si>
  <si>
    <t>01 73 00</t>
  </si>
  <si>
    <t>Execution</t>
  </si>
  <si>
    <t>01 73 13</t>
  </si>
  <si>
    <t>Application</t>
  </si>
  <si>
    <t>01 73 16</t>
  </si>
  <si>
    <t>Erection</t>
  </si>
  <si>
    <t>01 73 19</t>
  </si>
  <si>
    <t>Installation</t>
  </si>
  <si>
    <t>01 73 23</t>
  </si>
  <si>
    <t>Bracing and Anchoring</t>
  </si>
  <si>
    <t>01 73 26</t>
  </si>
  <si>
    <t>Existing Products</t>
  </si>
  <si>
    <t>01 73 29</t>
  </si>
  <si>
    <t>Cutting and Patching</t>
  </si>
  <si>
    <t>01 74 00</t>
  </si>
  <si>
    <t>Cleaning and Waste Management</t>
  </si>
  <si>
    <t>01 74 13</t>
  </si>
  <si>
    <t>Progress Cleaning</t>
  </si>
  <si>
    <t>01 74 16</t>
  </si>
  <si>
    <t>Site Maintenance</t>
  </si>
  <si>
    <t>01 74 19</t>
  </si>
  <si>
    <t>Construction Waste Management and Disposal</t>
  </si>
  <si>
    <t>01 74 23</t>
  </si>
  <si>
    <t>Final Cleaning</t>
  </si>
  <si>
    <t>01 75 00</t>
  </si>
  <si>
    <t>Starting and Adjusting</t>
  </si>
  <si>
    <t>01 75 13</t>
  </si>
  <si>
    <t>Checkout Procedures</t>
  </si>
  <si>
    <t>01 75 16</t>
  </si>
  <si>
    <t>Startup Procedures</t>
  </si>
  <si>
    <t>01 76 00</t>
  </si>
  <si>
    <t>Protecting Installed Construction</t>
  </si>
  <si>
    <t>01 77 00</t>
  </si>
  <si>
    <t>Closeout Procedures</t>
  </si>
  <si>
    <t>01 77 13</t>
  </si>
  <si>
    <t>Preliminary Closeout Reviews</t>
  </si>
  <si>
    <t>01 77 16</t>
  </si>
  <si>
    <t>Final Closeout Review</t>
  </si>
  <si>
    <t>01 77 19</t>
  </si>
  <si>
    <t>Closeout Requirements</t>
  </si>
  <si>
    <t>01 78 00</t>
  </si>
  <si>
    <t>Closeout Submittals</t>
  </si>
  <si>
    <t>01 78 13</t>
  </si>
  <si>
    <t>Completion and Correction List</t>
  </si>
  <si>
    <t>01 78 19</t>
  </si>
  <si>
    <t>Maintenance Contracts</t>
  </si>
  <si>
    <t>01 78 23</t>
  </si>
  <si>
    <t>Operation and Maintenance Data</t>
  </si>
  <si>
    <t>01 78 23.13</t>
  </si>
  <si>
    <t>Operation Data</t>
  </si>
  <si>
    <t>01 78 23.16</t>
  </si>
  <si>
    <t>Maintenance Data</t>
  </si>
  <si>
    <t>01 78 23.19</t>
  </si>
  <si>
    <t>Preventative Maintenance Instructions</t>
  </si>
  <si>
    <t>01 78 29</t>
  </si>
  <si>
    <t>Final Site Survey</t>
  </si>
  <si>
    <t>01 78 33</t>
  </si>
  <si>
    <t>Bonds</t>
  </si>
  <si>
    <t>01 78 36</t>
  </si>
  <si>
    <t>Warranties</t>
  </si>
  <si>
    <t>01 78 39</t>
  </si>
  <si>
    <t>Project Record Documents</t>
  </si>
  <si>
    <t>01 78 43</t>
  </si>
  <si>
    <t>Spare Parts</t>
  </si>
  <si>
    <t>01 78 46</t>
  </si>
  <si>
    <t>Extra Stock Materials</t>
  </si>
  <si>
    <t>01 78 53</t>
  </si>
  <si>
    <t>Sustainable Design Closeout Documentation</t>
  </si>
  <si>
    <t>01 79 00</t>
  </si>
  <si>
    <t>Demonstration and Training</t>
  </si>
  <si>
    <t>01 80 00</t>
  </si>
  <si>
    <t>Performance Requirements</t>
  </si>
  <si>
    <t>01 81 00</t>
  </si>
  <si>
    <t>Facility Performance Requirements</t>
  </si>
  <si>
    <t>01 81 13</t>
  </si>
  <si>
    <t>Sustainable Design Requirements</t>
  </si>
  <si>
    <t>01 81 16</t>
  </si>
  <si>
    <t>Facility Environmental Requirements</t>
  </si>
  <si>
    <t>01 81 19</t>
  </si>
  <si>
    <t>Indoor Air Quality Requirements</t>
  </si>
  <si>
    <t>01 82 00</t>
  </si>
  <si>
    <t>Facility Substructure Performance Requirements</t>
  </si>
  <si>
    <t>01 82 13</t>
  </si>
  <si>
    <t>Foundation Performance Requirements</t>
  </si>
  <si>
    <t>01 82 16</t>
  </si>
  <si>
    <t>Basement Construction Performance Requirements</t>
  </si>
  <si>
    <t>01 83 00</t>
  </si>
  <si>
    <t>Facility Shell Performance Requirements</t>
  </si>
  <si>
    <t>01 83 13</t>
  </si>
  <si>
    <t>Superstructure Performance Requirements</t>
  </si>
  <si>
    <t>01 83 16</t>
  </si>
  <si>
    <t>Exterior Enclosure Performance Requirements</t>
  </si>
  <si>
    <t>01 83 19</t>
  </si>
  <si>
    <t>Roofing Performance Requirements</t>
  </si>
  <si>
    <t>01 84 00</t>
  </si>
  <si>
    <t>Interiors Performance Requirements</t>
  </si>
  <si>
    <t>01 84 13</t>
  </si>
  <si>
    <t>Interior Construction Performance Requirements</t>
  </si>
  <si>
    <t>01 84 16</t>
  </si>
  <si>
    <t>Stairways Performance Requirements</t>
  </si>
  <si>
    <t>01 84 19</t>
  </si>
  <si>
    <t>Interior Finishes Performance Requirements</t>
  </si>
  <si>
    <t>01 85 00</t>
  </si>
  <si>
    <t>Conveying Equipment Performance Requirements</t>
  </si>
  <si>
    <t>01 86 00</t>
  </si>
  <si>
    <t>Facility Services Performance Requirements</t>
  </si>
  <si>
    <t>01 86 13</t>
  </si>
  <si>
    <t>Fire Suppression Performance Requirements</t>
  </si>
  <si>
    <t>01 86 16</t>
  </si>
  <si>
    <t>Plumbing Performance Requirements</t>
  </si>
  <si>
    <t>01 86 19</t>
  </si>
  <si>
    <t>HVAC Performance Requirements</t>
  </si>
  <si>
    <t>01 86 23</t>
  </si>
  <si>
    <t>Integrated Automation Performance Requirements</t>
  </si>
  <si>
    <t>01 86 26</t>
  </si>
  <si>
    <t>Electrical Performance Requirements</t>
  </si>
  <si>
    <t>01 86 29</t>
  </si>
  <si>
    <t>Communications Performance Requirements</t>
  </si>
  <si>
    <t>01 86 33</t>
  </si>
  <si>
    <t>Electronic Safety and Security Performance Requirements</t>
  </si>
  <si>
    <t>01 87 00</t>
  </si>
  <si>
    <t>Equipment and Furnishings Performance Requirements</t>
  </si>
  <si>
    <t>01 87 13</t>
  </si>
  <si>
    <t>Equipment Performance Requirements</t>
  </si>
  <si>
    <t>01 87 16</t>
  </si>
  <si>
    <t>Furnishings Performance Requirements</t>
  </si>
  <si>
    <t>01 88 00</t>
  </si>
  <si>
    <t>Other Facility Construction Performance Requirements</t>
  </si>
  <si>
    <t>01 88 13</t>
  </si>
  <si>
    <t>Special Construction Performance Requirements</t>
  </si>
  <si>
    <t>01 88 16</t>
  </si>
  <si>
    <t>Selective Construction Performance Requirements</t>
  </si>
  <si>
    <t>01 89 00</t>
  </si>
  <si>
    <t>Site Construction Performance Requirements</t>
  </si>
  <si>
    <t>01 89 13</t>
  </si>
  <si>
    <t>Site Preparation Performance Requirements</t>
  </si>
  <si>
    <t>01 89 16</t>
  </si>
  <si>
    <t>Site Improvements Performance Requirements</t>
  </si>
  <si>
    <t>01 89 19</t>
  </si>
  <si>
    <t>Site Plumbing Utilities Performance Requirements</t>
  </si>
  <si>
    <t>01 89 23</t>
  </si>
  <si>
    <t>Site HVAC Utilities Performance Requirements</t>
  </si>
  <si>
    <t>01 89 26</t>
  </si>
  <si>
    <t>Site Electrical Utilities Performance Requirements</t>
  </si>
  <si>
    <t>01 89 29</t>
  </si>
  <si>
    <t>Other Site Construction Performance Requirements</t>
  </si>
  <si>
    <t>01 90 00</t>
  </si>
  <si>
    <t>Life Cycle Activities</t>
  </si>
  <si>
    <t>01 91 00</t>
  </si>
  <si>
    <t>Commissioning</t>
  </si>
  <si>
    <t>01 91 13</t>
  </si>
  <si>
    <t>General Commissioning Requirements</t>
  </si>
  <si>
    <t>01 91 16</t>
  </si>
  <si>
    <t>Facility Substructure Commissioning</t>
  </si>
  <si>
    <t>01 91 16.13</t>
  </si>
  <si>
    <t>Foundation Commissioning</t>
  </si>
  <si>
    <t>01 91 16.53</t>
  </si>
  <si>
    <t>Basement Construction Commissioning</t>
  </si>
  <si>
    <t>01 91 19</t>
  </si>
  <si>
    <t>Facility Shell Commissioning</t>
  </si>
  <si>
    <t>01 91 19.13</t>
  </si>
  <si>
    <t>Superstructure Commissioning</t>
  </si>
  <si>
    <t>01 91 19.43</t>
  </si>
  <si>
    <t>Exterior Enclosure Commissioning</t>
  </si>
  <si>
    <t>01 91 19.73</t>
  </si>
  <si>
    <t>Roofing Commissioning</t>
  </si>
  <si>
    <t>01 91 23</t>
  </si>
  <si>
    <t>Interiors Commissioning</t>
  </si>
  <si>
    <t>01 91 23.13</t>
  </si>
  <si>
    <t>Interior Construction Commissioning</t>
  </si>
  <si>
    <t>01 91 23.43</t>
  </si>
  <si>
    <t>Stairways Commissioning</t>
  </si>
  <si>
    <t>01 91 23.73</t>
  </si>
  <si>
    <t>Interior Finishes Commissioning</t>
  </si>
  <si>
    <t>01 92 00</t>
  </si>
  <si>
    <t>Facility Operation</t>
  </si>
  <si>
    <t>01 92 13</t>
  </si>
  <si>
    <t>Facility Operation Procedures</t>
  </si>
  <si>
    <t>01 93 00</t>
  </si>
  <si>
    <t>Facility Maintenance</t>
  </si>
  <si>
    <t>01 93 13</t>
  </si>
  <si>
    <t>Facility Maintenance Procedures</t>
  </si>
  <si>
    <t>01 93 16</t>
  </si>
  <si>
    <t>Recycling Programs</t>
  </si>
  <si>
    <t>01 94 00</t>
  </si>
  <si>
    <t>Facility Decommissioning</t>
  </si>
  <si>
    <t>01 94 13</t>
  </si>
  <si>
    <t>Facility Decommissioning Procedures</t>
  </si>
  <si>
    <t>02 00 00</t>
  </si>
  <si>
    <t>Existing Conditions</t>
  </si>
  <si>
    <t>02 01 00</t>
  </si>
  <si>
    <t>Maintenance of Existing Conditions</t>
  </si>
  <si>
    <t>02 01 50</t>
  </si>
  <si>
    <t>Maintenance of Site Remediation</t>
  </si>
  <si>
    <t>02 01 65</t>
  </si>
  <si>
    <t>Maintenance of Underground Storage Tank Removal</t>
  </si>
  <si>
    <t>02 01 80</t>
  </si>
  <si>
    <t>Maintenance of Facility Remediation</t>
  </si>
  <si>
    <t>02 01 86</t>
  </si>
  <si>
    <t>Maintenance of Hazardous Waste Drum Handling</t>
  </si>
  <si>
    <t>02 05 00</t>
  </si>
  <si>
    <t>Common Work Results for Existing Conditions</t>
  </si>
  <si>
    <t>02 05 19</t>
  </si>
  <si>
    <t>Geosynthetics for Existing Conditions</t>
  </si>
  <si>
    <t>02 05 19.13</t>
  </si>
  <si>
    <t>Geotextiles for Existing Conditions</t>
  </si>
  <si>
    <t>02 05 19.16</t>
  </si>
  <si>
    <t>Geomembranes for Existing Conditions</t>
  </si>
  <si>
    <t>02 05 19.19</t>
  </si>
  <si>
    <t>Geogrids for Existing Conditions</t>
  </si>
  <si>
    <t>02 06 00</t>
  </si>
  <si>
    <t>Schedules for Existing Conditions</t>
  </si>
  <si>
    <t>02 06 30</t>
  </si>
  <si>
    <t>Schedules for Subsurface Investigations</t>
  </si>
  <si>
    <t>02 06 30.13</t>
  </si>
  <si>
    <t>Boring or Test Pit Log Schedule</t>
  </si>
  <si>
    <t>02 06 50</t>
  </si>
  <si>
    <t>Schedules for Site Remediation</t>
  </si>
  <si>
    <t>02 06 65</t>
  </si>
  <si>
    <t>Schedules for Underground Storage Tank Removal</t>
  </si>
  <si>
    <t>02 06 80</t>
  </si>
  <si>
    <t>Schedules for Facility Remediation</t>
  </si>
  <si>
    <t>02 06 86</t>
  </si>
  <si>
    <t>Schedules for Hazardous Waste Drum Handling</t>
  </si>
  <si>
    <t>02 08 00</t>
  </si>
  <si>
    <t>Commissioning of Existing Conditions</t>
  </si>
  <si>
    <t>02 20 00</t>
  </si>
  <si>
    <t>Assessment</t>
  </si>
  <si>
    <t>02 21 00</t>
  </si>
  <si>
    <t>Surveys</t>
  </si>
  <si>
    <t>02 21 13</t>
  </si>
  <si>
    <t>Site Surveys</t>
  </si>
  <si>
    <t>02 21 13.13</t>
  </si>
  <si>
    <t>Boundary and Survey Markers</t>
  </si>
  <si>
    <t>02 21 13.23</t>
  </si>
  <si>
    <t>Archeological and Historic Surveys</t>
  </si>
  <si>
    <t>02 21 16</t>
  </si>
  <si>
    <t>Measured Drawings</t>
  </si>
  <si>
    <t>02 22 00</t>
  </si>
  <si>
    <t>Existing Conditions Assessment</t>
  </si>
  <si>
    <t>02 22 13</t>
  </si>
  <si>
    <t>Movement and Vibration Assessment</t>
  </si>
  <si>
    <t>02 22 16</t>
  </si>
  <si>
    <t>Acoustic Assessment</t>
  </si>
  <si>
    <t>02 22 19</t>
  </si>
  <si>
    <t>Traffic Assessment</t>
  </si>
  <si>
    <t>02 22 23</t>
  </si>
  <si>
    <t>Accessibility Assessment</t>
  </si>
  <si>
    <t>02 24 00</t>
  </si>
  <si>
    <t>Environmental Assessment</t>
  </si>
  <si>
    <t>02 24 13</t>
  </si>
  <si>
    <t>Natural Environment Assessment</t>
  </si>
  <si>
    <t>02 24 13.13</t>
  </si>
  <si>
    <t>Air Assessment</t>
  </si>
  <si>
    <t>02 24 13.43</t>
  </si>
  <si>
    <t>Water Assessment</t>
  </si>
  <si>
    <t>02 24 13.73</t>
  </si>
  <si>
    <t>Land Assessment</t>
  </si>
  <si>
    <t>02 24 23</t>
  </si>
  <si>
    <t>Chemical Sampling and Analysis of Soils</t>
  </si>
  <si>
    <t>02 24 43</t>
  </si>
  <si>
    <t>Transboundary and Global Environmental Aspects Assessment</t>
  </si>
  <si>
    <t>02 25 00</t>
  </si>
  <si>
    <t>Existing Material Assessment</t>
  </si>
  <si>
    <t>02 25 16</t>
  </si>
  <si>
    <t>Existing Concrete Assessment</t>
  </si>
  <si>
    <t>02 25 16.13</t>
  </si>
  <si>
    <t>Concrete Assessment Drilling</t>
  </si>
  <si>
    <t>02 25 19</t>
  </si>
  <si>
    <t>Existing Masonry Assessment</t>
  </si>
  <si>
    <t>02 25 19.13</t>
  </si>
  <si>
    <t>Masonry Assessment Drilling</t>
  </si>
  <si>
    <t>02 25 23</t>
  </si>
  <si>
    <t>Existing Metals Assessment</t>
  </si>
  <si>
    <t>02 25 23.13</t>
  </si>
  <si>
    <t>Welding Investigations</t>
  </si>
  <si>
    <t>02 25 26</t>
  </si>
  <si>
    <t>Existing Wood, Plastics, and Composites Assessment</t>
  </si>
  <si>
    <t>02 25 29</t>
  </si>
  <si>
    <t>Existing Thermal and Moisture Protection Assessment</t>
  </si>
  <si>
    <t>02 25 29.13</t>
  </si>
  <si>
    <t>Waterproofing Investigations</t>
  </si>
  <si>
    <t>02 25 29.23</t>
  </si>
  <si>
    <t>Roofing Investigations</t>
  </si>
  <si>
    <t>02 26 00</t>
  </si>
  <si>
    <t>Hazardous Material Assessment</t>
  </si>
  <si>
    <t>02 26 23</t>
  </si>
  <si>
    <t>Asbestos Assessment</t>
  </si>
  <si>
    <t>02 26 26</t>
  </si>
  <si>
    <t>Lead Assessment</t>
  </si>
  <si>
    <t>02 26 29</t>
  </si>
  <si>
    <t>Polychlorinate Biphenyl Assessment</t>
  </si>
  <si>
    <t>02 26 33</t>
  </si>
  <si>
    <t>Biological Assessment</t>
  </si>
  <si>
    <t>02 26 36</t>
  </si>
  <si>
    <t>Hazardous Waste Drum Assessment</t>
  </si>
  <si>
    <t>02 30 00</t>
  </si>
  <si>
    <t>Subsurface Investigation</t>
  </si>
  <si>
    <t>02 31 00</t>
  </si>
  <si>
    <t>Geophysical Investigations</t>
  </si>
  <si>
    <t>02 31 13</t>
  </si>
  <si>
    <t>Seismic Investigations</t>
  </si>
  <si>
    <t>02 31 16</t>
  </si>
  <si>
    <t>Gravity Investigations</t>
  </si>
  <si>
    <t>02 31 19</t>
  </si>
  <si>
    <t>Magnetic Investigations</t>
  </si>
  <si>
    <t>02 31 23</t>
  </si>
  <si>
    <t>Electromagnetic Investigations</t>
  </si>
  <si>
    <t>02 31 26</t>
  </si>
  <si>
    <t>Electrical Resistivity Investigations</t>
  </si>
  <si>
    <t>02 31 29</t>
  </si>
  <si>
    <t>Magnetotelluric Investigations</t>
  </si>
  <si>
    <t>02 32 00</t>
  </si>
  <si>
    <t>Geotechnical Investigations</t>
  </si>
  <si>
    <t>02 32 13</t>
  </si>
  <si>
    <t>Subsurface Drilling and Sampling</t>
  </si>
  <si>
    <t>02 32 16</t>
  </si>
  <si>
    <t>Material Testing</t>
  </si>
  <si>
    <t>02 32 19</t>
  </si>
  <si>
    <t>Exploratory Excavations</t>
  </si>
  <si>
    <t>02 32 23</t>
  </si>
  <si>
    <t>Geotechnical Monitoring Before Construction</t>
  </si>
  <si>
    <t>02 40 00</t>
  </si>
  <si>
    <t>Demolition and Structure Moving</t>
  </si>
  <si>
    <t>02 41 00</t>
  </si>
  <si>
    <t>Demolition</t>
  </si>
  <si>
    <t>02 41 13</t>
  </si>
  <si>
    <t>Selective Site Demolition</t>
  </si>
  <si>
    <t>02 41 13.13</t>
  </si>
  <si>
    <t>Paving Removal</t>
  </si>
  <si>
    <t>02 41 13.23</t>
  </si>
  <si>
    <t>Utility Line Removal</t>
  </si>
  <si>
    <t>02 41 13.33</t>
  </si>
  <si>
    <t>Railtrack Removal</t>
  </si>
  <si>
    <t>02 41 16</t>
  </si>
  <si>
    <t>Structure Demolition</t>
  </si>
  <si>
    <t>02 41 16.13</t>
  </si>
  <si>
    <t>Building Demolition</t>
  </si>
  <si>
    <t>02 41 16.23</t>
  </si>
  <si>
    <t>Tower Demolition</t>
  </si>
  <si>
    <t>02 41 16.33</t>
  </si>
  <si>
    <t>Bridge Demolition</t>
  </si>
  <si>
    <t>02 41 16.43</t>
  </si>
  <si>
    <t>Dam Demolition</t>
  </si>
  <si>
    <t>02 41 19</t>
  </si>
  <si>
    <t>Selective Demolition</t>
  </si>
  <si>
    <t>02 41 19.13</t>
  </si>
  <si>
    <t>Selective Building Demolition</t>
  </si>
  <si>
    <t>02 41 19.16</t>
  </si>
  <si>
    <t>Selective Interior Demolition</t>
  </si>
  <si>
    <t>02 41 19.19</t>
  </si>
  <si>
    <t>Selective Facility Services Demolition</t>
  </si>
  <si>
    <t>02 41 19.33</t>
  </si>
  <si>
    <t>Selective Bridge Demolition</t>
  </si>
  <si>
    <t>02 41 91</t>
  </si>
  <si>
    <t>Selective Historic Demolition</t>
  </si>
  <si>
    <t>02 42 00</t>
  </si>
  <si>
    <t>Removal and Salvage of Construction Materials</t>
  </si>
  <si>
    <t>02 42 13</t>
  </si>
  <si>
    <t>Deconstruction of Structures</t>
  </si>
  <si>
    <t>02 42 13.13</t>
  </si>
  <si>
    <t>Deconstruction of Buildings</t>
  </si>
  <si>
    <t>02 42 91</t>
  </si>
  <si>
    <t>Removal and Salvage of Historic Construction Materials</t>
  </si>
  <si>
    <t>02 43 00</t>
  </si>
  <si>
    <t>Structure Moving</t>
  </si>
  <si>
    <t>02 43 13</t>
  </si>
  <si>
    <t>Structure Relocation</t>
  </si>
  <si>
    <t>02 43 16</t>
  </si>
  <si>
    <t>Structure Raising</t>
  </si>
  <si>
    <t>02 43 16.13</t>
  </si>
  <si>
    <t>Building Raising</t>
  </si>
  <si>
    <t>02 50 00</t>
  </si>
  <si>
    <t>Site Remediation</t>
  </si>
  <si>
    <t>02 51 00</t>
  </si>
  <si>
    <t>Physical Decontamination</t>
  </si>
  <si>
    <t>02 51 13</t>
  </si>
  <si>
    <t>Coagulation and Flocculation Decontamination</t>
  </si>
  <si>
    <t>02 51 16</t>
  </si>
  <si>
    <t>Reverse-Osmosis Decontamination</t>
  </si>
  <si>
    <t>02 51 19</t>
  </si>
  <si>
    <t>Solidification and Stabilization Decontamination</t>
  </si>
  <si>
    <t>02 51 23</t>
  </si>
  <si>
    <t>Mechanical Filtration Decontamination</t>
  </si>
  <si>
    <t>02 51 26</t>
  </si>
  <si>
    <t>Radioactive Decontamination</t>
  </si>
  <si>
    <t>02 51 29</t>
  </si>
  <si>
    <t>Surface Cleaning Decontamination</t>
  </si>
  <si>
    <t>02 51 29.13</t>
  </si>
  <si>
    <t>High-Pressure Water Cleaning Decontamination</t>
  </si>
  <si>
    <t>02 51 29.16</t>
  </si>
  <si>
    <t>Vacuum Sweeping Cleaning Decontamination</t>
  </si>
  <si>
    <t>02 51 33</t>
  </si>
  <si>
    <t>Surface Removal Decontamination</t>
  </si>
  <si>
    <t>02 51 33.13</t>
  </si>
  <si>
    <t>Surface Removal Decontamination by Grinding</t>
  </si>
  <si>
    <t>02 51 33.16</t>
  </si>
  <si>
    <t>Surface Removal Decontamination by Sand Blasting</t>
  </si>
  <si>
    <t>02 51 33.19</t>
  </si>
  <si>
    <t>Surface Removal Decontamination by Ultrasound</t>
  </si>
  <si>
    <t>02 52 00</t>
  </si>
  <si>
    <t>Chemical Decontamination</t>
  </si>
  <si>
    <t>02 52 13</t>
  </si>
  <si>
    <t>Chemical Precipitation Decontamination</t>
  </si>
  <si>
    <t>02 52 16</t>
  </si>
  <si>
    <t>Ion Change Decontamination</t>
  </si>
  <si>
    <t>02 52 19</t>
  </si>
  <si>
    <t>Neutralization Decontamination</t>
  </si>
  <si>
    <t>02 53 00</t>
  </si>
  <si>
    <t>Thermal Decontamination</t>
  </si>
  <si>
    <t>02 53 13</t>
  </si>
  <si>
    <t>Incineration Decontamination</t>
  </si>
  <si>
    <t>02 53 13.13</t>
  </si>
  <si>
    <t>Remediation of Contaminated Soils and Sludges by Incineration</t>
  </si>
  <si>
    <t>02 53 16</t>
  </si>
  <si>
    <t>Thermal Desorption Decontamination</t>
  </si>
  <si>
    <t>02 53 16.13</t>
  </si>
  <si>
    <t>Remediation of Contaminated Soils by Thermal Desorption</t>
  </si>
  <si>
    <t>02 53 19</t>
  </si>
  <si>
    <t>Vitrification Decontamination</t>
  </si>
  <si>
    <t>02 54 00</t>
  </si>
  <si>
    <t>Biological Decontamination</t>
  </si>
  <si>
    <t>02 54 13</t>
  </si>
  <si>
    <t>Aerobic Processes Decontamination</t>
  </si>
  <si>
    <t>02 54 16</t>
  </si>
  <si>
    <t>Anaerobic Processes Decontamination</t>
  </si>
  <si>
    <t>02 54 19</t>
  </si>
  <si>
    <t>Bioremediation Decontamination</t>
  </si>
  <si>
    <t>02 54 19.13</t>
  </si>
  <si>
    <t>Bioremediation Using Landfarming</t>
  </si>
  <si>
    <t>02 54 19.16</t>
  </si>
  <si>
    <t>Bioremediation of Soils Using Windrow Composting</t>
  </si>
  <si>
    <t>02 54 19.19</t>
  </si>
  <si>
    <t>Bioremediation Using Bacteria Injection</t>
  </si>
  <si>
    <t>02 54 23</t>
  </si>
  <si>
    <t>Soil Washing through Separation/Solubilization</t>
  </si>
  <si>
    <t>02 54 26</t>
  </si>
  <si>
    <t>Organic Decontamination</t>
  </si>
  <si>
    <t>02 55 00</t>
  </si>
  <si>
    <t>Remediation Soil Stabilization</t>
  </si>
  <si>
    <t>02 56 00</t>
  </si>
  <si>
    <t>Site Containment</t>
  </si>
  <si>
    <t>02 56 13</t>
  </si>
  <si>
    <t>Waste Containment</t>
  </si>
  <si>
    <t>02 56 13.13</t>
  </si>
  <si>
    <t>Geomembrane Waste Containment</t>
  </si>
  <si>
    <t>02 56 19</t>
  </si>
  <si>
    <t>Gas Containment</t>
  </si>
  <si>
    <t>02 56 19.13</t>
  </si>
  <si>
    <t>Fluid-Applied Gas Barrier</t>
  </si>
  <si>
    <t>02 57 00</t>
  </si>
  <si>
    <t>Sinkhole Remediation</t>
  </si>
  <si>
    <t>02 57 13</t>
  </si>
  <si>
    <t>Sinkhole Remediation by Grouting</t>
  </si>
  <si>
    <t>02 57 13.13</t>
  </si>
  <si>
    <t>Sinkhole Remediation by Compaction Grouting</t>
  </si>
  <si>
    <t>02 57 13.16</t>
  </si>
  <si>
    <t>Sinkhole Remediation by Cap Grouting</t>
  </si>
  <si>
    <t>02 57 16</t>
  </si>
  <si>
    <t>Sinkhole Remediation by Backfilling</t>
  </si>
  <si>
    <t>02 58 00</t>
  </si>
  <si>
    <t>Snow Control</t>
  </si>
  <si>
    <t>02 58 13</t>
  </si>
  <si>
    <t>Snow Fencing</t>
  </si>
  <si>
    <t>02 58 16</t>
  </si>
  <si>
    <t>Snow Avalanche Control</t>
  </si>
  <si>
    <t>02 60 00</t>
  </si>
  <si>
    <t>Contaminated Site Material Removal</t>
  </si>
  <si>
    <t>02 61 00</t>
  </si>
  <si>
    <t>Removal and Disposal of Contaminated Soils</t>
  </si>
  <si>
    <t>02 61 13</t>
  </si>
  <si>
    <t>Excavation and Handling of Contaminated Material</t>
  </si>
  <si>
    <t>02 61 23</t>
  </si>
  <si>
    <t>Removal and Disposal of Polychlorinate Biphenyl Contaminated Soils</t>
  </si>
  <si>
    <t>02 61 26</t>
  </si>
  <si>
    <t>Removal and Disposal of Asbestos Contaminated Soils</t>
  </si>
  <si>
    <t>02 61 29</t>
  </si>
  <si>
    <t>Removal and Disposal of Organically Contaminated Soils</t>
  </si>
  <si>
    <t>02 62 00</t>
  </si>
  <si>
    <t>Hazardous Waste Recovery Processes</t>
  </si>
  <si>
    <t>02 62 13</t>
  </si>
  <si>
    <t>Air and Steam Stripping</t>
  </si>
  <si>
    <t>02 62 16</t>
  </si>
  <si>
    <t>Soil Vapor Extraction</t>
  </si>
  <si>
    <t>02 62 19</t>
  </si>
  <si>
    <t>Soil Washing and Flushing</t>
  </si>
  <si>
    <t>02 65 00</t>
  </si>
  <si>
    <t>Underground Storage Tank Removal</t>
  </si>
  <si>
    <t>02 66 00</t>
  </si>
  <si>
    <t>Landfill Construction and Storage</t>
  </si>
  <si>
    <t>02 70 00</t>
  </si>
  <si>
    <t>Water Remediation</t>
  </si>
  <si>
    <t>02 71 00</t>
  </si>
  <si>
    <t>Groundwater Treatment</t>
  </si>
  <si>
    <t>02 72 00</t>
  </si>
  <si>
    <t>Water Decontamination</t>
  </si>
  <si>
    <t>02 72 13</t>
  </si>
  <si>
    <t>Chemical Water Decontamination</t>
  </si>
  <si>
    <t>02 72 16</t>
  </si>
  <si>
    <t>Biological Water Decontamination</t>
  </si>
  <si>
    <t>02 72 19</t>
  </si>
  <si>
    <t>Electrolysis Water Decontamination</t>
  </si>
  <si>
    <t>02 80 00</t>
  </si>
  <si>
    <t>Facility Remediation</t>
  </si>
  <si>
    <t>02 81 00</t>
  </si>
  <si>
    <t>Transportation and Disposal of Hazardous Materials</t>
  </si>
  <si>
    <t>02 82 00</t>
  </si>
  <si>
    <t>Asbestos Remediation</t>
  </si>
  <si>
    <t>02 82 13</t>
  </si>
  <si>
    <t>Asbestos Abatement</t>
  </si>
  <si>
    <t>02 82 13.13</t>
  </si>
  <si>
    <t>Glovebag Asbestos Abatement</t>
  </si>
  <si>
    <t>02 82 13.16</t>
  </si>
  <si>
    <t>Precautions for Asbestos Abatement</t>
  </si>
  <si>
    <t>02 82 13.19</t>
  </si>
  <si>
    <t>Asbestos Floor Tile and Mastic Abatement</t>
  </si>
  <si>
    <t>02 82 16</t>
  </si>
  <si>
    <t>Engineering Control of Asbestos Containing Materials</t>
  </si>
  <si>
    <t>02 82 33</t>
  </si>
  <si>
    <t>Removal and Disposal of Asbestos Containing Materials</t>
  </si>
  <si>
    <t>02 83 00</t>
  </si>
  <si>
    <t>Lead Remediation</t>
  </si>
  <si>
    <t>02 83 13</t>
  </si>
  <si>
    <t>Lead Hazard Control Activities</t>
  </si>
  <si>
    <t>02 83 19</t>
  </si>
  <si>
    <t>Lead-Based Paint Remediation</t>
  </si>
  <si>
    <t>02 83 33</t>
  </si>
  <si>
    <t>Removal and Disposal of Material Containing Lead</t>
  </si>
  <si>
    <t>02 83 33.13</t>
  </si>
  <si>
    <t>Lead-Based Paint Removal and Disposal</t>
  </si>
  <si>
    <t>02 84 00</t>
  </si>
  <si>
    <t>Polychlorinate Biphenyl Remediation</t>
  </si>
  <si>
    <t>02 84 16</t>
  </si>
  <si>
    <t>Handling of Lighting Ballasts and Lamps Containing PCBs and Mercury</t>
  </si>
  <si>
    <t>02 84 33</t>
  </si>
  <si>
    <t>Removal and Disposal of Polychlorinate Biphenyls</t>
  </si>
  <si>
    <t>02 85 00</t>
  </si>
  <si>
    <t>Mold Remediation</t>
  </si>
  <si>
    <t>02 85 13</t>
  </si>
  <si>
    <t>Precautions for Mold Remediation</t>
  </si>
  <si>
    <t>02 85 16</t>
  </si>
  <si>
    <t>Mold Remediation Preparation and Containment</t>
  </si>
  <si>
    <t>02 85 19</t>
  </si>
  <si>
    <t>Mold Remediation Clearance Air Sampling</t>
  </si>
  <si>
    <t>02 85 33</t>
  </si>
  <si>
    <t>Removal and Disposal of Materials with Mold</t>
  </si>
  <si>
    <t>02 86 00</t>
  </si>
  <si>
    <t>Hazardous Waste Drum Handling</t>
  </si>
  <si>
    <t>03 00 00</t>
  </si>
  <si>
    <t>Concrete</t>
  </si>
  <si>
    <t>03 01 00</t>
  </si>
  <si>
    <t>Maintenance of Concrete</t>
  </si>
  <si>
    <t>03 01 10</t>
  </si>
  <si>
    <t>Maintenance of Concrete Forming and Accessories</t>
  </si>
  <si>
    <t>03 01 20</t>
  </si>
  <si>
    <t>Maintenance of Concrete Reinforcing</t>
  </si>
  <si>
    <t>03 01 23</t>
  </si>
  <si>
    <t>Maintenance of Stressing Tendons</t>
  </si>
  <si>
    <t>03 01 30</t>
  </si>
  <si>
    <t>Maintenance of Cast-in-Place Concrete</t>
  </si>
  <si>
    <t>03 01 30.51</t>
  </si>
  <si>
    <t>Cleaning of Cast-in-Place Concrete</t>
  </si>
  <si>
    <t>03 01 30.61</t>
  </si>
  <si>
    <t>Resurfacing of Cast-in-Place Concrete</t>
  </si>
  <si>
    <t>03 01 30.71</t>
  </si>
  <si>
    <t>Rehabilitation of Cast-in-Place Concrete</t>
  </si>
  <si>
    <t>03 01 30.72</t>
  </si>
  <si>
    <t>Strengthening of Cast-in-Place Concrete</t>
  </si>
  <si>
    <t>03 01 40</t>
  </si>
  <si>
    <t>Maintenance of Precast Concrete</t>
  </si>
  <si>
    <t>03 01 40.51</t>
  </si>
  <si>
    <t>Cleaning of Precast Concrete</t>
  </si>
  <si>
    <t>03 01 40.61</t>
  </si>
  <si>
    <t>Resurfacing of Precast Concrete</t>
  </si>
  <si>
    <t>03 01 40.71</t>
  </si>
  <si>
    <t>Rehabilitation of Precast Concrete</t>
  </si>
  <si>
    <t>03 01 40.72</t>
  </si>
  <si>
    <t>Strengthening of Precast Concrete</t>
  </si>
  <si>
    <t>03 01 50</t>
  </si>
  <si>
    <t>Maintenance of Cast Decks and Underlayment</t>
  </si>
  <si>
    <t>03 01 50.51</t>
  </si>
  <si>
    <t>Cleaning Cast Decks and Underlayment</t>
  </si>
  <si>
    <t>03 01 50.61</t>
  </si>
  <si>
    <t>Resurfacing of Cast Decks and Underlayment</t>
  </si>
  <si>
    <t>03 01 50.71</t>
  </si>
  <si>
    <t>Rehabilitation of Cast Decks and Underlayment</t>
  </si>
  <si>
    <t>03 01 50.72</t>
  </si>
  <si>
    <t>Strengthening of Cast Decks and Underlayment</t>
  </si>
  <si>
    <t>03 01 60</t>
  </si>
  <si>
    <t>Maintenance of Grouting</t>
  </si>
  <si>
    <t>03 01 70</t>
  </si>
  <si>
    <t>Maintenance of Mass Concrete</t>
  </si>
  <si>
    <t>03 01 80</t>
  </si>
  <si>
    <t>Maintenance of Concrete Cutting and Boring</t>
  </si>
  <si>
    <t>03 05 00</t>
  </si>
  <si>
    <t>Common Work Results for Concrete</t>
  </si>
  <si>
    <t>03 06 00</t>
  </si>
  <si>
    <t>Schedules for Concrete</t>
  </si>
  <si>
    <t>03 06 10</t>
  </si>
  <si>
    <t>Schedules for Concrete Forming and Accessories</t>
  </si>
  <si>
    <t>03 06 20</t>
  </si>
  <si>
    <t>Schedules for Concrete Reinforcing</t>
  </si>
  <si>
    <t>03 06 20.13</t>
  </si>
  <si>
    <t>Concrete Beam Reinforcing Schedule</t>
  </si>
  <si>
    <t>03 06 20.16</t>
  </si>
  <si>
    <t>Concrete Slab Reinforcing Schedule</t>
  </si>
  <si>
    <t>03 06 30</t>
  </si>
  <si>
    <t>Schedules for Cast-in-Place Concrete</t>
  </si>
  <si>
    <t>03 06 30.13</t>
  </si>
  <si>
    <t>Concrete Footing Schedule</t>
  </si>
  <si>
    <t>03 06 30.16</t>
  </si>
  <si>
    <t>Concrete Column Schedule</t>
  </si>
  <si>
    <t>03 06 30.19</t>
  </si>
  <si>
    <t>Concrete Slab Schedule</t>
  </si>
  <si>
    <t>03 06 30.23</t>
  </si>
  <si>
    <t>Concrete Shaft Schedule</t>
  </si>
  <si>
    <t>03 06 30.26</t>
  </si>
  <si>
    <t>Concrete Beam Schedule</t>
  </si>
  <si>
    <t>03 06 40</t>
  </si>
  <si>
    <t>Schedules for Precast Concrete</t>
  </si>
  <si>
    <t>03 06 40.13</t>
  </si>
  <si>
    <t>Precast Concrete Panel Schedule</t>
  </si>
  <si>
    <t>03 06 50</t>
  </si>
  <si>
    <t>Schedules for Cast Decks and Underlayment</t>
  </si>
  <si>
    <t>03 06 60</t>
  </si>
  <si>
    <t>Schedules for Grouting</t>
  </si>
  <si>
    <t>03 06 70</t>
  </si>
  <si>
    <t>Schedules for Mass Concrete</t>
  </si>
  <si>
    <t>03 06 80</t>
  </si>
  <si>
    <t>Schedules for Concrete Cutting and Boring</t>
  </si>
  <si>
    <t>03 08 00</t>
  </si>
  <si>
    <t>Commissioning of Concrete</t>
  </si>
  <si>
    <t>03 10 00</t>
  </si>
  <si>
    <t>Concrete Forming and Accessories</t>
  </si>
  <si>
    <t>03 11 00</t>
  </si>
  <si>
    <t>Concrete Forming</t>
  </si>
  <si>
    <t>03 11 13</t>
  </si>
  <si>
    <t>Structural Cast-in-Place Concrete Forming</t>
  </si>
  <si>
    <t>03 11 13.13</t>
  </si>
  <si>
    <t>Concrete Slip Forming</t>
  </si>
  <si>
    <t>03 11 13.16</t>
  </si>
  <si>
    <t>Concrete Shoring</t>
  </si>
  <si>
    <t>03 11 13.19</t>
  </si>
  <si>
    <t>Falsework</t>
  </si>
  <si>
    <t>03 11 16</t>
  </si>
  <si>
    <t>Architectural Cast-in Place Concrete Forming</t>
  </si>
  <si>
    <t>03 11 16.13</t>
  </si>
  <si>
    <t>Concrete Form Liners</t>
  </si>
  <si>
    <t>03 11 19</t>
  </si>
  <si>
    <t>Insulating Concrete Forming</t>
  </si>
  <si>
    <t>03 11 23</t>
  </si>
  <si>
    <t>Permanent Stair Forming</t>
  </si>
  <si>
    <t>03 15 00</t>
  </si>
  <si>
    <t>Concrete Accessories</t>
  </si>
  <si>
    <t>03 15 13</t>
  </si>
  <si>
    <t>Waterstops</t>
  </si>
  <si>
    <t>03 15 13.13</t>
  </si>
  <si>
    <t>Non-Expanding Waterstops</t>
  </si>
  <si>
    <t>03 15 13.16</t>
  </si>
  <si>
    <t>Expanding Waterstops</t>
  </si>
  <si>
    <t>03 15 13.19</t>
  </si>
  <si>
    <t>Combination Expanding and Injection Hose Waterstops</t>
  </si>
  <si>
    <t>03 15 13.21</t>
  </si>
  <si>
    <t>Injection Hose Waterstops</t>
  </si>
  <si>
    <t>03 15 16</t>
  </si>
  <si>
    <t>Concrete Construction Joints</t>
  </si>
  <si>
    <t>03 20 00</t>
  </si>
  <si>
    <t>Concrete Reinforcing</t>
  </si>
  <si>
    <t>03 21 00</t>
  </si>
  <si>
    <t>Reinforcement Bars</t>
  </si>
  <si>
    <t>03 21 11</t>
  </si>
  <si>
    <t>Plain Steel Reinforcement Bars</t>
  </si>
  <si>
    <t>03 21 13</t>
  </si>
  <si>
    <t>Galvanized Reinforcement Steel Bars</t>
  </si>
  <si>
    <t>03 21 16</t>
  </si>
  <si>
    <t>Epoxy-Coated Reinforcement Steel Bars</t>
  </si>
  <si>
    <t>03 21 19</t>
  </si>
  <si>
    <t>Stainless Steel Reinforcement Bars</t>
  </si>
  <si>
    <t>03 21 21</t>
  </si>
  <si>
    <t>Composite Reinforcement Bars</t>
  </si>
  <si>
    <t>03 21 21.11</t>
  </si>
  <si>
    <t>Glass Fiber-Reinforced Polymer Reinforcement Bars</t>
  </si>
  <si>
    <t>03 21 21.13</t>
  </si>
  <si>
    <t>Organic Fiber-Reinforced Polymer Reinforcement Bars</t>
  </si>
  <si>
    <t>03 21 21.16</t>
  </si>
  <si>
    <t>Carbon Fiber-Reinforced Polymer Reinforcement Bars</t>
  </si>
  <si>
    <t>03 22 00</t>
  </si>
  <si>
    <t>Fabric and Grid Reinforcing</t>
  </si>
  <si>
    <t>03 22 13</t>
  </si>
  <si>
    <t>Galvanized Welded Wire Fabric Reinforcing</t>
  </si>
  <si>
    <t>03 22 16</t>
  </si>
  <si>
    <t>Epoxy-Coated Welded Wire Fabric Reinforcing</t>
  </si>
  <si>
    <t>03 22 19</t>
  </si>
  <si>
    <t>Composite Grid Reinforcing</t>
  </si>
  <si>
    <t>03 23 00</t>
  </si>
  <si>
    <t>Stressed Tendon Reinforcing</t>
  </si>
  <si>
    <t>03 24 00</t>
  </si>
  <si>
    <t>Fibrous Reinforcing</t>
  </si>
  <si>
    <t>03 25 00</t>
  </si>
  <si>
    <t>Composite Reinforcing</t>
  </si>
  <si>
    <t>03 25 13</t>
  </si>
  <si>
    <t>Glass Fiber-Reinforced Polymer Reinforcing</t>
  </si>
  <si>
    <t>03 25 16</t>
  </si>
  <si>
    <t>Organic Fiber-Reinforced Polymer Reinforcing</t>
  </si>
  <si>
    <t>03 25 19</t>
  </si>
  <si>
    <t>Carbon Fiber-Reinforced Polymer Reinforcing</t>
  </si>
  <si>
    <t>03 30 00</t>
  </si>
  <si>
    <t>Cast-in-Place Concrete</t>
  </si>
  <si>
    <t>03 30 53</t>
  </si>
  <si>
    <t>Miscellaneous Cast-in-Place Concrete</t>
  </si>
  <si>
    <t>03 31 00</t>
  </si>
  <si>
    <t>Structural Concrete</t>
  </si>
  <si>
    <t>03 31 13</t>
  </si>
  <si>
    <t>Heavyweight Structural Concrete</t>
  </si>
  <si>
    <t>03 31 16</t>
  </si>
  <si>
    <t>Lightweight Structural Concrete</t>
  </si>
  <si>
    <t>03 31 19</t>
  </si>
  <si>
    <t>Shrinkage-Compensating Structural Concrete</t>
  </si>
  <si>
    <t>03 31 23</t>
  </si>
  <si>
    <t>High-Performance Structural Concrete</t>
  </si>
  <si>
    <t>03 31 24</t>
  </si>
  <si>
    <t>Ultra High-Performance Structural Concrete</t>
  </si>
  <si>
    <t>03 31 26</t>
  </si>
  <si>
    <t>Self-Compacting Concrete</t>
  </si>
  <si>
    <t>03 33 00</t>
  </si>
  <si>
    <t>Architectural Concrete</t>
  </si>
  <si>
    <t>03 33 13</t>
  </si>
  <si>
    <t>Heavyweight Architectural Concrete</t>
  </si>
  <si>
    <t>03 33 16</t>
  </si>
  <si>
    <t>Lightweight Architectural Concrete</t>
  </si>
  <si>
    <t>03 34 00</t>
  </si>
  <si>
    <t>Low Density Concrete</t>
  </si>
  <si>
    <t>03 35 00</t>
  </si>
  <si>
    <t>Concrete Finishing</t>
  </si>
  <si>
    <t>03 35 13</t>
  </si>
  <si>
    <t>High-Tolerance Concrete Floor Finishing</t>
  </si>
  <si>
    <t>03 35 16</t>
  </si>
  <si>
    <t>Heavy-Duty Concrete Floor Finishing</t>
  </si>
  <si>
    <t>03 35 19</t>
  </si>
  <si>
    <t>Colored Concrete Finishing</t>
  </si>
  <si>
    <t>03 35 23</t>
  </si>
  <si>
    <t>Exposed Aggregate Concrete Finishing</t>
  </si>
  <si>
    <t>03 35 26</t>
  </si>
  <si>
    <t>Grooved Concrete Surface Finishing</t>
  </si>
  <si>
    <t>03 35 29</t>
  </si>
  <si>
    <t>Tooled Concrete Finishing</t>
  </si>
  <si>
    <t>03 35 33</t>
  </si>
  <si>
    <t>Stamped Concrete Finishing</t>
  </si>
  <si>
    <t>03 35 43</t>
  </si>
  <si>
    <t>Polished Concrete Finishing</t>
  </si>
  <si>
    <t>03 37 00</t>
  </si>
  <si>
    <t>Specialty Placed Concrete</t>
  </si>
  <si>
    <t>03 37 13</t>
  </si>
  <si>
    <t>Shotcrete</t>
  </si>
  <si>
    <t>03 37 16</t>
  </si>
  <si>
    <t>Pumped Concrete</t>
  </si>
  <si>
    <t>03 37 19</t>
  </si>
  <si>
    <t>Pneumatically Placed Concrete</t>
  </si>
  <si>
    <t>03 37 23</t>
  </si>
  <si>
    <t>Roller-Compacted Concrete</t>
  </si>
  <si>
    <t>03 37 26</t>
  </si>
  <si>
    <t>Underwater Placed Concrete</t>
  </si>
  <si>
    <t>03 38 00</t>
  </si>
  <si>
    <t>Post-Tensioned Concrete</t>
  </si>
  <si>
    <t>03 38 13</t>
  </si>
  <si>
    <t>Post-Tensioned Concrete Preparation</t>
  </si>
  <si>
    <t>03 38 16</t>
  </si>
  <si>
    <t>Unbonded Post-Tensioned Concrete</t>
  </si>
  <si>
    <t>03 38 19</t>
  </si>
  <si>
    <t>Bonded Post-Tensioned Concrete</t>
  </si>
  <si>
    <t>03 39 00</t>
  </si>
  <si>
    <t>Concrete Curing</t>
  </si>
  <si>
    <t>03 39 13</t>
  </si>
  <si>
    <t>Water Concrete Curing</t>
  </si>
  <si>
    <t>03 39 16</t>
  </si>
  <si>
    <t>Sand Concrete Curing</t>
  </si>
  <si>
    <t>03 39 23</t>
  </si>
  <si>
    <t>Membrane Concrete Curing</t>
  </si>
  <si>
    <t>03 39 23.13</t>
  </si>
  <si>
    <t>Chemical Compound Membrane Concrete Curing</t>
  </si>
  <si>
    <t>03 39 23.23</t>
  </si>
  <si>
    <t>Sheet Membrane Concrete Curing</t>
  </si>
  <si>
    <t>03 40 00</t>
  </si>
  <si>
    <t>Precast Concrete</t>
  </si>
  <si>
    <t>03 41 00</t>
  </si>
  <si>
    <t>Precast Structural Concrete</t>
  </si>
  <si>
    <t>03 41 13</t>
  </si>
  <si>
    <t>Precast Concrete Hollow Core Planks</t>
  </si>
  <si>
    <t>03 41 16</t>
  </si>
  <si>
    <t>Precast Concrete Slabs</t>
  </si>
  <si>
    <t>03 41 23</t>
  </si>
  <si>
    <t>Precast Concrete Stairs</t>
  </si>
  <si>
    <t>03 41 33</t>
  </si>
  <si>
    <t>Precast Structural Pretensioned Concrete</t>
  </si>
  <si>
    <t>03 41 36</t>
  </si>
  <si>
    <t>Precast Structural Post-Tensioned Concrete</t>
  </si>
  <si>
    <t>03 45 00</t>
  </si>
  <si>
    <t>Precast Architectural Concrete</t>
  </si>
  <si>
    <t>03 45 13</t>
  </si>
  <si>
    <t>Faced Architectural Precast Concrete</t>
  </si>
  <si>
    <t>03 45 33</t>
  </si>
  <si>
    <t>Precast Architectural Pretensioned Concrete</t>
  </si>
  <si>
    <t>03 45 36</t>
  </si>
  <si>
    <t>Precast Architectural Post-Tensioned Concrete</t>
  </si>
  <si>
    <t>03 47 00</t>
  </si>
  <si>
    <t>Site-Cast Concrete</t>
  </si>
  <si>
    <t>03 47 13</t>
  </si>
  <si>
    <t>Tilt-Up Concrete</t>
  </si>
  <si>
    <t>03 47 16</t>
  </si>
  <si>
    <t>Lift-Slab Concrete</t>
  </si>
  <si>
    <t>03 48 00</t>
  </si>
  <si>
    <t>Precast Concrete Specialties</t>
  </si>
  <si>
    <t>03 48 13</t>
  </si>
  <si>
    <t>Precast Concrete Bollards</t>
  </si>
  <si>
    <t>03 48 16</t>
  </si>
  <si>
    <t>Precast Concrete Splash Blocks</t>
  </si>
  <si>
    <t>03 48 19</t>
  </si>
  <si>
    <t>Precast Concrete Stair Treads</t>
  </si>
  <si>
    <t>03 48 33</t>
  </si>
  <si>
    <t>Precast Pre-Framed Concrete Panels</t>
  </si>
  <si>
    <t>03 48 43</t>
  </si>
  <si>
    <t>Precast Concrete Trim</t>
  </si>
  <si>
    <t>03 49 00</t>
  </si>
  <si>
    <t>Glass-Fiber-Reinforced Concrete</t>
  </si>
  <si>
    <t>03 49 13</t>
  </si>
  <si>
    <t>Glass-Fiber-Reinforced Concrete Column Covers</t>
  </si>
  <si>
    <t>03 49 16</t>
  </si>
  <si>
    <t>Glass-Fiber-Reinforced Concrete Spandrels</t>
  </si>
  <si>
    <t>03 49 43</t>
  </si>
  <si>
    <t>Glass-Fiber-Reinforced Concrete Trim</t>
  </si>
  <si>
    <t>03 50 00</t>
  </si>
  <si>
    <t>Cast Decks and Underlayment</t>
  </si>
  <si>
    <t>03 51 00</t>
  </si>
  <si>
    <t>Cast Roof Decks</t>
  </si>
  <si>
    <t>03 51 13</t>
  </si>
  <si>
    <t>Cementitious Wood Fiber Decks</t>
  </si>
  <si>
    <t>03 51 16</t>
  </si>
  <si>
    <t>Gypsum Concrete Roof Decks</t>
  </si>
  <si>
    <t>03 52 00</t>
  </si>
  <si>
    <t>Lightweight Concrete Roof Insulation</t>
  </si>
  <si>
    <t>03 52 13</t>
  </si>
  <si>
    <t>Composite Concrete Roof Insulation</t>
  </si>
  <si>
    <t>03 52 16</t>
  </si>
  <si>
    <t>Lightweight Insulating Concrete</t>
  </si>
  <si>
    <t>03 52 16.13</t>
  </si>
  <si>
    <t>Lightweight Cellular Insulating Concrete</t>
  </si>
  <si>
    <t>03 52 16.16</t>
  </si>
  <si>
    <t>Lightweight Aggregate Insulating Concrete</t>
  </si>
  <si>
    <t>03 53 00</t>
  </si>
  <si>
    <t>Concrete Topping</t>
  </si>
  <si>
    <t>03 53 13</t>
  </si>
  <si>
    <t>Emery-Aggregate Concrete Topping</t>
  </si>
  <si>
    <t>03 53 16</t>
  </si>
  <si>
    <t>Iron-Aggregate Concrete Topping</t>
  </si>
  <si>
    <t>03 54 00</t>
  </si>
  <si>
    <t>Cast Underlayment</t>
  </si>
  <si>
    <t>03 54 13</t>
  </si>
  <si>
    <t>Gypsum Cement Underlayment</t>
  </si>
  <si>
    <t>03 54 16</t>
  </si>
  <si>
    <t>Hydraulic Cement Underlayment</t>
  </si>
  <si>
    <t>03 60 00</t>
  </si>
  <si>
    <t>Grouting</t>
  </si>
  <si>
    <t>03 61 00</t>
  </si>
  <si>
    <t>Cementitious Grouting</t>
  </si>
  <si>
    <t>03 61 13</t>
  </si>
  <si>
    <t>Dry-Pack Grouting</t>
  </si>
  <si>
    <t>03 62 00</t>
  </si>
  <si>
    <t>Non-Shrink Grouting</t>
  </si>
  <si>
    <t>03 62 13</t>
  </si>
  <si>
    <t>Non-Metallic Non-Shrink Grouting</t>
  </si>
  <si>
    <t>03 62 16</t>
  </si>
  <si>
    <t>Metallic Non-Shrink Grouting</t>
  </si>
  <si>
    <t>03 63 00</t>
  </si>
  <si>
    <t>Epoxy Grouting</t>
  </si>
  <si>
    <t>03 64 00</t>
  </si>
  <si>
    <t>Injection Grouting</t>
  </si>
  <si>
    <t>03 64 23</t>
  </si>
  <si>
    <t>Epoxy Injection Grouting</t>
  </si>
  <si>
    <t>03 70 00</t>
  </si>
  <si>
    <t>Mass Concrete</t>
  </si>
  <si>
    <t>03 71 00</t>
  </si>
  <si>
    <t>Mass Concrete for Raft Foundations</t>
  </si>
  <si>
    <t>03 72 00</t>
  </si>
  <si>
    <t>Mass Concrete for Dams</t>
  </si>
  <si>
    <t>03 80 00</t>
  </si>
  <si>
    <t>Concrete Cutting and Boring</t>
  </si>
  <si>
    <t>03 81 00</t>
  </si>
  <si>
    <t>Concrete Cutting</t>
  </si>
  <si>
    <t>03 81 13</t>
  </si>
  <si>
    <t>Flat Concrete Sawing</t>
  </si>
  <si>
    <t>03 81 16</t>
  </si>
  <si>
    <t>Track Mounted Concrete Wall Sawing</t>
  </si>
  <si>
    <t>03 81 19</t>
  </si>
  <si>
    <t>Wire Concrete Wall Sawing</t>
  </si>
  <si>
    <t>03 81 23</t>
  </si>
  <si>
    <t>Hand Concrete Wall Sawing</t>
  </si>
  <si>
    <t>03 81 26</t>
  </si>
  <si>
    <t>Chain Concrete Wall Sawing</t>
  </si>
  <si>
    <t>03 82 00</t>
  </si>
  <si>
    <t>Concrete Boring</t>
  </si>
  <si>
    <t>03 82 13</t>
  </si>
  <si>
    <t>Concrete Core Drilling</t>
  </si>
  <si>
    <t>04 00 00</t>
  </si>
  <si>
    <t>Masonry</t>
  </si>
  <si>
    <t>04 01 00</t>
  </si>
  <si>
    <t>Maintenance of Masonry</t>
  </si>
  <si>
    <t>04 01 20</t>
  </si>
  <si>
    <t>Maintenance of Unit Masonry</t>
  </si>
  <si>
    <t>04 01 20.41</t>
  </si>
  <si>
    <t>Unit Masonry Stabilization</t>
  </si>
  <si>
    <t>04 01 20.51</t>
  </si>
  <si>
    <t>Unit Masonry Maintenance</t>
  </si>
  <si>
    <t>04 01 20.52</t>
  </si>
  <si>
    <t>Unit Masonry Cleaning</t>
  </si>
  <si>
    <t>04 01 20.91</t>
  </si>
  <si>
    <t>Unit Masonry Restoration</t>
  </si>
  <si>
    <t>04 01 20.93</t>
  </si>
  <si>
    <t>Testing and Sampling Brick Units for Restoration</t>
  </si>
  <si>
    <t>04 01 40</t>
  </si>
  <si>
    <t>Maintenance of Stone Assemblies</t>
  </si>
  <si>
    <t>04 01 40.51</t>
  </si>
  <si>
    <t>Stone Maintenance</t>
  </si>
  <si>
    <t>04 01 40.52</t>
  </si>
  <si>
    <t>Stone Cleaning</t>
  </si>
  <si>
    <t>04 01 40.91</t>
  </si>
  <si>
    <t>Stone Restoration</t>
  </si>
  <si>
    <t>04 01 50</t>
  </si>
  <si>
    <t>Maintenance of Refractory Masonry</t>
  </si>
  <si>
    <t>04 01 60</t>
  </si>
  <si>
    <t>Maintenance of Corrosion-Resistant Masonry</t>
  </si>
  <si>
    <t>04 01 70</t>
  </si>
  <si>
    <t>Maintenance of Manufactured Masonry</t>
  </si>
  <si>
    <t>04 05 00</t>
  </si>
  <si>
    <t>Common Work Results for Masonry</t>
  </si>
  <si>
    <t>04 05 13</t>
  </si>
  <si>
    <t>Masonry Mortaring</t>
  </si>
  <si>
    <t>04 05 13.16</t>
  </si>
  <si>
    <t>Chemical-Resistant Masonry Mortaring</t>
  </si>
  <si>
    <t>04 05 13.19</t>
  </si>
  <si>
    <t>Epoxy Masonry Mortaring</t>
  </si>
  <si>
    <t>04 05 13.23</t>
  </si>
  <si>
    <t>Surface Bonding Masonry Mortaring</t>
  </si>
  <si>
    <t>04 05 13.26</t>
  </si>
  <si>
    <t>Engineered Masonry Mortaring</t>
  </si>
  <si>
    <t>04 05 13.29</t>
  </si>
  <si>
    <t>Refractory Masonry Mortaring</t>
  </si>
  <si>
    <t>04 05 13.91</t>
  </si>
  <si>
    <t>Masonry Restoration Mortaring</t>
  </si>
  <si>
    <t>04 05 16</t>
  </si>
  <si>
    <t>Masonry Grouting</t>
  </si>
  <si>
    <t>04 05 16.16</t>
  </si>
  <si>
    <t>Chemical-Resistant Masonry Grouting</t>
  </si>
  <si>
    <t>04 05 16.26</t>
  </si>
  <si>
    <t>Engineered Masonry Grouting</t>
  </si>
  <si>
    <t>04 05 19</t>
  </si>
  <si>
    <t>Masonry Anchorage and Reinforcing</t>
  </si>
  <si>
    <t>04 05 19.13</t>
  </si>
  <si>
    <t>Continuous Joint Reinforcing</t>
  </si>
  <si>
    <t>04 05 19.16</t>
  </si>
  <si>
    <t>Masonry Anchors</t>
  </si>
  <si>
    <t>04 05 19.26</t>
  </si>
  <si>
    <t>Masonry Reinforcing Bars</t>
  </si>
  <si>
    <t>04 05 19.29</t>
  </si>
  <si>
    <t>Stone Anchors</t>
  </si>
  <si>
    <t>04 05 21</t>
  </si>
  <si>
    <t>Masonry Strengthening</t>
  </si>
  <si>
    <t>04 05 23</t>
  </si>
  <si>
    <t>Masonry Accessories</t>
  </si>
  <si>
    <t>04 05 23.13</t>
  </si>
  <si>
    <t>Masonry Control and Expansion Joints</t>
  </si>
  <si>
    <t>04 05 23.16</t>
  </si>
  <si>
    <t>Masonry Embedded Flashing</t>
  </si>
  <si>
    <t>04 05 23.19</t>
  </si>
  <si>
    <t>Masonry Cavity Drainage, Weepholes, and Vents</t>
  </si>
  <si>
    <t>04 06 00</t>
  </si>
  <si>
    <t>Schedules for Masonry</t>
  </si>
  <si>
    <t>04 06 20</t>
  </si>
  <si>
    <t>Schedules for Unit Masonry</t>
  </si>
  <si>
    <t>04 06 40</t>
  </si>
  <si>
    <t>Schedules for Stone Assemblies</t>
  </si>
  <si>
    <t>04 06 50</t>
  </si>
  <si>
    <t>Schedules for Refractory Masonry</t>
  </si>
  <si>
    <t>04 06 60</t>
  </si>
  <si>
    <t>Schedules for Corrosion-Resistant Masonry</t>
  </si>
  <si>
    <t>04 06 70</t>
  </si>
  <si>
    <t>Schedules for Manufactured Masonry</t>
  </si>
  <si>
    <t>04 08 00</t>
  </si>
  <si>
    <t>Commissioning of Masonry</t>
  </si>
  <si>
    <t>04 20 00</t>
  </si>
  <si>
    <t>Unit Masonry</t>
  </si>
  <si>
    <t>04 21 00</t>
  </si>
  <si>
    <t>Clay Unit Masonry</t>
  </si>
  <si>
    <t>04 21 13</t>
  </si>
  <si>
    <t>Brick Masonry</t>
  </si>
  <si>
    <t>04 21 13.13</t>
  </si>
  <si>
    <t>Brick Veneer Masonry</t>
  </si>
  <si>
    <t>04 21 13.23</t>
  </si>
  <si>
    <t>Surface-Bonded Brick Masonry</t>
  </si>
  <si>
    <t>04 21 16</t>
  </si>
  <si>
    <t>Ceramic Glazed Clay Masonry</t>
  </si>
  <si>
    <t>04 21 19</t>
  </si>
  <si>
    <t>Clay Tile Masonry</t>
  </si>
  <si>
    <t>04 21 23</t>
  </si>
  <si>
    <t>Structural Clay Tile Masonry</t>
  </si>
  <si>
    <t>04 21 26</t>
  </si>
  <si>
    <t>Glazed Structural Clay Tile Masonry</t>
  </si>
  <si>
    <t>04 21 29</t>
  </si>
  <si>
    <t>Terra Cotta Masonry</t>
  </si>
  <si>
    <t>04 22 00</t>
  </si>
  <si>
    <t>Concrete Unit Masonry</t>
  </si>
  <si>
    <t>04 22 00.13</t>
  </si>
  <si>
    <t>Concrete Unit Veneer Masonry</t>
  </si>
  <si>
    <t>04 22 00.16</t>
  </si>
  <si>
    <t>Surface-Bonded Concrete Unit Masonry</t>
  </si>
  <si>
    <t>04 22 19</t>
  </si>
  <si>
    <t>Insulated Concrete Unit Masonry</t>
  </si>
  <si>
    <t>04 22 23</t>
  </si>
  <si>
    <t>Architectural Concrete Unit Masonry</t>
  </si>
  <si>
    <t>04 22 23.13</t>
  </si>
  <si>
    <t>Exposed Aggregate Concrete Unit Masonry</t>
  </si>
  <si>
    <t>04 22 23.16</t>
  </si>
  <si>
    <t>Fluted Concrete Unit Masonry</t>
  </si>
  <si>
    <t>04 22 23.19</t>
  </si>
  <si>
    <t>Molded-Face Concrete Unit Masonry</t>
  </si>
  <si>
    <t>04 22 23.23</t>
  </si>
  <si>
    <t>Prefaced Concrete Unit Masonry</t>
  </si>
  <si>
    <t>04 22 23.26</t>
  </si>
  <si>
    <t>Sound-Absorbing Concrete Unit Masonry</t>
  </si>
  <si>
    <t>04 22 23.29</t>
  </si>
  <si>
    <t>Split-Face Concrete Unit Masonry</t>
  </si>
  <si>
    <t>04 22 26</t>
  </si>
  <si>
    <t>Autoclaved Aerated Concrete Unit Masonry</t>
  </si>
  <si>
    <t>04 22 33</t>
  </si>
  <si>
    <t>Interlocking Concrete Unit Masonry</t>
  </si>
  <si>
    <t>04 23 00</t>
  </si>
  <si>
    <t>Glass Unit Masonry</t>
  </si>
  <si>
    <t>04 23 13</t>
  </si>
  <si>
    <t>Vertical Glass Unit Masonry</t>
  </si>
  <si>
    <t>04 23 16</t>
  </si>
  <si>
    <t>Glass Unit Masonry Floors</t>
  </si>
  <si>
    <t>04 23 19</t>
  </si>
  <si>
    <t>Glass Unit Masonry Skylights</t>
  </si>
  <si>
    <t>04 24 00</t>
  </si>
  <si>
    <t>Adobe Unit Masonry</t>
  </si>
  <si>
    <t>04 24 13</t>
  </si>
  <si>
    <t>Site-Cast Adobe Unit Masonry</t>
  </si>
  <si>
    <t>04 24 16</t>
  </si>
  <si>
    <t>Manufactured Adobe Unit Masonry</t>
  </si>
  <si>
    <t>04 25 00</t>
  </si>
  <si>
    <t>Unit Masonry Panels</t>
  </si>
  <si>
    <t>04 25 13</t>
  </si>
  <si>
    <t>Metal-Supported Unit Masonry Panels</t>
  </si>
  <si>
    <t>04 26 00</t>
  </si>
  <si>
    <t>Single-Wythe Unit Masonry</t>
  </si>
  <si>
    <t>04 26 13</t>
  </si>
  <si>
    <t>Masonry Veneer</t>
  </si>
  <si>
    <t>04 27 00</t>
  </si>
  <si>
    <t>Multiple-Wythe Unit Masonry</t>
  </si>
  <si>
    <t>04 27 13</t>
  </si>
  <si>
    <t>Composite Unit Masonry</t>
  </si>
  <si>
    <t>04 27 23</t>
  </si>
  <si>
    <t>Cavity Wall Unit Masonry</t>
  </si>
  <si>
    <t>04 28 00</t>
  </si>
  <si>
    <t>Concrete Form Masonry Units</t>
  </si>
  <si>
    <t>04 28 13</t>
  </si>
  <si>
    <t>Dry-Stacked, Concrete-Filled Masonry Units</t>
  </si>
  <si>
    <t>04 28 23</t>
  </si>
  <si>
    <t>Mortar-Set, Concrete-Filled Masonry Units</t>
  </si>
  <si>
    <t>04 29 00</t>
  </si>
  <si>
    <t>Engineered Unit Masonry</t>
  </si>
  <si>
    <t>04 40 00</t>
  </si>
  <si>
    <t>Stone Assemblies</t>
  </si>
  <si>
    <t>04 41 00</t>
  </si>
  <si>
    <t>Dry-Placed Stone</t>
  </si>
  <si>
    <t>04 42 00</t>
  </si>
  <si>
    <t>Exterior Stone Cladding</t>
  </si>
  <si>
    <t>04 42 13</t>
  </si>
  <si>
    <t>Masonry-Supported Stone Cladding</t>
  </si>
  <si>
    <t>04 42 16</t>
  </si>
  <si>
    <t>Steel-Stud-Supported Stone Cladding</t>
  </si>
  <si>
    <t>04 42 19</t>
  </si>
  <si>
    <t>Strongback-Frame-Supported Stone Cladding</t>
  </si>
  <si>
    <t>04 42 23</t>
  </si>
  <si>
    <t>Truss-Supported Stone Cladding</t>
  </si>
  <si>
    <t>04 42 26</t>
  </si>
  <si>
    <t>Grid-System-Supported Stone Cladding</t>
  </si>
  <si>
    <t>04 42 43</t>
  </si>
  <si>
    <t>Stone Panels for Curtain Walls</t>
  </si>
  <si>
    <t>04 43 00</t>
  </si>
  <si>
    <t>Stone Masonry</t>
  </si>
  <si>
    <t>04 43 13</t>
  </si>
  <si>
    <t>Stone Masonry Veneer</t>
  </si>
  <si>
    <t>04 43 13.13</t>
  </si>
  <si>
    <t>Anchored Stone Masonry Veneer</t>
  </si>
  <si>
    <t>04 43 13.16</t>
  </si>
  <si>
    <t>Adhered Stone Masonry Veneer</t>
  </si>
  <si>
    <t>04 50 00</t>
  </si>
  <si>
    <t>Refractory Masonry</t>
  </si>
  <si>
    <t>04 51 00</t>
  </si>
  <si>
    <t>Flue Liner Masonry</t>
  </si>
  <si>
    <t>04 52 00</t>
  </si>
  <si>
    <t>Combustion Chamber Masonry</t>
  </si>
  <si>
    <t>04 53 00</t>
  </si>
  <si>
    <t>Castable Refractory Masonry</t>
  </si>
  <si>
    <t>04 54 00</t>
  </si>
  <si>
    <t>Refractory Brick Masonry</t>
  </si>
  <si>
    <t>04 57 00</t>
  </si>
  <si>
    <t>Masonry Fireplaces</t>
  </si>
  <si>
    <t>04 57 33</t>
  </si>
  <si>
    <t>Modular Masonry Fireplaces</t>
  </si>
  <si>
    <t>04 60 00</t>
  </si>
  <si>
    <t>Corrosion-Resistant Masonry</t>
  </si>
  <si>
    <t>04 61 00</t>
  </si>
  <si>
    <t>Chemical-Resistant Brick Masonry</t>
  </si>
  <si>
    <t>04 62 00</t>
  </si>
  <si>
    <t>Vitrified Clay Liner Plate</t>
  </si>
  <si>
    <t>04 70 00</t>
  </si>
  <si>
    <t>Manufactured Masonry</t>
  </si>
  <si>
    <t>04 71 00</t>
  </si>
  <si>
    <t>Manufactured Brick Masonry</t>
  </si>
  <si>
    <t>04 71 13</t>
  </si>
  <si>
    <t>Calcium Silicate Manufactured Brick Masonry</t>
  </si>
  <si>
    <t>04 72 00</t>
  </si>
  <si>
    <t>Cast Stone Masonry</t>
  </si>
  <si>
    <t>04 73 00</t>
  </si>
  <si>
    <t>Manufactured Stone Masonry</t>
  </si>
  <si>
    <t>04 73 13</t>
  </si>
  <si>
    <t>Calcium Silicate Manufactured Stone Masonry</t>
  </si>
  <si>
    <t>05 00 00</t>
  </si>
  <si>
    <t>Metals</t>
  </si>
  <si>
    <t>05 01 00</t>
  </si>
  <si>
    <t>Maintenance of Metals</t>
  </si>
  <si>
    <t>05 01 10</t>
  </si>
  <si>
    <t>Maintenance of Structural Metal Framing</t>
  </si>
  <si>
    <t>05 01 20</t>
  </si>
  <si>
    <t>Maintenance of Metal Joists</t>
  </si>
  <si>
    <t>05 01 30</t>
  </si>
  <si>
    <t>Maintenance of Metal Decking</t>
  </si>
  <si>
    <t>05 01 40</t>
  </si>
  <si>
    <t>Maintenance of Cold-Formed Metal Framing</t>
  </si>
  <si>
    <t>05 01 50</t>
  </si>
  <si>
    <t>Maintenance of Metal Fabrications</t>
  </si>
  <si>
    <t>05 01 70</t>
  </si>
  <si>
    <t>Maintenance of Decorative Metal</t>
  </si>
  <si>
    <t>05 01 70.91</t>
  </si>
  <si>
    <t>Historic Treatment of Decorative Metal</t>
  </si>
  <si>
    <t>05 05 00</t>
  </si>
  <si>
    <t>Common Work Results for Metals</t>
  </si>
  <si>
    <t>05 05 13</t>
  </si>
  <si>
    <t>Shop-Applied Coatings for Metal</t>
  </si>
  <si>
    <t>05 05 23</t>
  </si>
  <si>
    <t>Metal Fastenings</t>
  </si>
  <si>
    <t>05 05 53</t>
  </si>
  <si>
    <t>Security Metal Fastenings</t>
  </si>
  <si>
    <t>05 06 00</t>
  </si>
  <si>
    <t>Schedules for Metals</t>
  </si>
  <si>
    <t>05 06 10</t>
  </si>
  <si>
    <t>Schedules for Structural Metal Framing</t>
  </si>
  <si>
    <t>05 06 10.13</t>
  </si>
  <si>
    <t>Steel Column Schedule</t>
  </si>
  <si>
    <t>05 06 10.16</t>
  </si>
  <si>
    <t>Steel Beam Schedule</t>
  </si>
  <si>
    <t>05 06 20</t>
  </si>
  <si>
    <t>Schedules for Metal Joists</t>
  </si>
  <si>
    <t>05 06 20.13</t>
  </si>
  <si>
    <t>Steel Joist Schedule</t>
  </si>
  <si>
    <t>05 06 30</t>
  </si>
  <si>
    <t>Schedules for Metal Decking</t>
  </si>
  <si>
    <t>05 06 40</t>
  </si>
  <si>
    <t>Schedules for Cold-Formed Metal Framing</t>
  </si>
  <si>
    <t>05 06 50</t>
  </si>
  <si>
    <t>Schedules for Metal Fabrications</t>
  </si>
  <si>
    <t>05 06 70</t>
  </si>
  <si>
    <t>Schedules for Decorative Metal</t>
  </si>
  <si>
    <t>05 08 00</t>
  </si>
  <si>
    <t>Commissioning of Metals</t>
  </si>
  <si>
    <t>05 10 00</t>
  </si>
  <si>
    <t>Structural Metal Framing</t>
  </si>
  <si>
    <t>05 12 00</t>
  </si>
  <si>
    <t>Structural Steel Framing</t>
  </si>
  <si>
    <t>05 12 13</t>
  </si>
  <si>
    <t>Architecturally-Exposed Structural Steel Framing</t>
  </si>
  <si>
    <t>05 12 16</t>
  </si>
  <si>
    <t>Fabricated Fireproofed Steel Columns</t>
  </si>
  <si>
    <t>05 12 19</t>
  </si>
  <si>
    <t>Buckling Restrained Braces</t>
  </si>
  <si>
    <t>05 12 23</t>
  </si>
  <si>
    <t>Structural Steel for Buildings</t>
  </si>
  <si>
    <t>05 12 33</t>
  </si>
  <si>
    <t>Structural Steel for Bridges</t>
  </si>
  <si>
    <t>05 13 00</t>
  </si>
  <si>
    <t>Structural Stainless-Steel Framing</t>
  </si>
  <si>
    <t>05 14 00</t>
  </si>
  <si>
    <t>Structural Aluminum Framing</t>
  </si>
  <si>
    <t>05 14 13</t>
  </si>
  <si>
    <t>Architecturally-Exposed Structural Aluminum Framing</t>
  </si>
  <si>
    <t>05 15 00</t>
  </si>
  <si>
    <t>Wire Rope Assemblies</t>
  </si>
  <si>
    <t>05 15 13</t>
  </si>
  <si>
    <t>Aluminum Wire Rope Assemblies</t>
  </si>
  <si>
    <t>05 15 16</t>
  </si>
  <si>
    <t>Steel Wire Rope Assemblies</t>
  </si>
  <si>
    <t>05 15 19</t>
  </si>
  <si>
    <t>Stainless-Steel Wire Rope Assemblies</t>
  </si>
  <si>
    <t>05 16 00</t>
  </si>
  <si>
    <t>Structural Cabling</t>
  </si>
  <si>
    <t>05 16 13</t>
  </si>
  <si>
    <t>Cable Bow Truss Assemblies</t>
  </si>
  <si>
    <t>05 16 33</t>
  </si>
  <si>
    <t>Bridge Cabling</t>
  </si>
  <si>
    <t>05 17 00</t>
  </si>
  <si>
    <t>Structural Rod Assemblies</t>
  </si>
  <si>
    <t>05 19 00</t>
  </si>
  <si>
    <t>Tension Rod and Cable Truss Assemblies</t>
  </si>
  <si>
    <t>05 19 13</t>
  </si>
  <si>
    <t>Façade Support Truss Assemblies</t>
  </si>
  <si>
    <t>05 19 19</t>
  </si>
  <si>
    <t>Canopy Support Truss Assemblies</t>
  </si>
  <si>
    <t>05 20 00</t>
  </si>
  <si>
    <t>Metal Joists</t>
  </si>
  <si>
    <t>05 21 00</t>
  </si>
  <si>
    <t>Steel Joist Framing</t>
  </si>
  <si>
    <t>05 21 13</t>
  </si>
  <si>
    <t>Deep Longspan Steel Joist Framing</t>
  </si>
  <si>
    <t>05 21 16</t>
  </si>
  <si>
    <t>Longspan Steel Joist Framing</t>
  </si>
  <si>
    <t>05 21 19</t>
  </si>
  <si>
    <t>Open Web Steel Joist Framing</t>
  </si>
  <si>
    <t>05 21 23</t>
  </si>
  <si>
    <t>Steel Joist Girder Framing</t>
  </si>
  <si>
    <t>05 25 00</t>
  </si>
  <si>
    <t>Aluminum Joist Framing</t>
  </si>
  <si>
    <t>05 30 00</t>
  </si>
  <si>
    <t>Metal Decking</t>
  </si>
  <si>
    <t>05 31 00</t>
  </si>
  <si>
    <t>Steel Decking</t>
  </si>
  <si>
    <t>05 31 13</t>
  </si>
  <si>
    <t>Steel Floor Decking</t>
  </si>
  <si>
    <t>05 31 23</t>
  </si>
  <si>
    <t>Steel Roof Decking</t>
  </si>
  <si>
    <t>05 31 33</t>
  </si>
  <si>
    <t>Steel Form Decking</t>
  </si>
  <si>
    <t>05 33 00</t>
  </si>
  <si>
    <t>Aluminum Decking</t>
  </si>
  <si>
    <t>05 33 13</t>
  </si>
  <si>
    <t>Aluminum Floor Decking</t>
  </si>
  <si>
    <t>05 33 23</t>
  </si>
  <si>
    <t>Aluminum Roof Decking</t>
  </si>
  <si>
    <t>05 34 00</t>
  </si>
  <si>
    <t>Acoustical Metal Decking</t>
  </si>
  <si>
    <t>05 35 00</t>
  </si>
  <si>
    <t>Raceway Decking Assemblies</t>
  </si>
  <si>
    <t>05 36 00</t>
  </si>
  <si>
    <t>Composite Metal Decking</t>
  </si>
  <si>
    <t>05 36 13</t>
  </si>
  <si>
    <t>Composite Steel Plate and Elastomer Decking</t>
  </si>
  <si>
    <t>05 40 00</t>
  </si>
  <si>
    <t>Cold-Formed Metal Framing</t>
  </si>
  <si>
    <t>05 41 00</t>
  </si>
  <si>
    <t>Structural Metal Stud Framing</t>
  </si>
  <si>
    <t>05 42 00</t>
  </si>
  <si>
    <t>Cold-Formed Metal Joist Framing</t>
  </si>
  <si>
    <t>05 42 13</t>
  </si>
  <si>
    <t>Cold-Formed Metal Floor Joist Framing</t>
  </si>
  <si>
    <t>05 42 23</t>
  </si>
  <si>
    <t>Cold-Formed Metal Roof Joist Framing</t>
  </si>
  <si>
    <t>05 43 00</t>
  </si>
  <si>
    <t>Slotted Channel Framing</t>
  </si>
  <si>
    <t>05 44 00</t>
  </si>
  <si>
    <t>Cold-Formed Metal Trusses</t>
  </si>
  <si>
    <t>05 44 13</t>
  </si>
  <si>
    <t>Cold-Formed Metal Roof Trusses</t>
  </si>
  <si>
    <t>05 45 00</t>
  </si>
  <si>
    <t>Metal Support Assemblies</t>
  </si>
  <si>
    <t>05 45 13</t>
  </si>
  <si>
    <t>Mechanical Metal Supports</t>
  </si>
  <si>
    <t>05 45 16</t>
  </si>
  <si>
    <t>Electrical Metal Supports</t>
  </si>
  <si>
    <t>05 45 19</t>
  </si>
  <si>
    <t>Communications Metal Supports</t>
  </si>
  <si>
    <t>05 45 23</t>
  </si>
  <si>
    <t>Healthcare Metal Supports</t>
  </si>
  <si>
    <t>05 50 00</t>
  </si>
  <si>
    <t>Metal Fabrications</t>
  </si>
  <si>
    <t>05 51 00</t>
  </si>
  <si>
    <t>Metal Stairs</t>
  </si>
  <si>
    <t>05 51 13</t>
  </si>
  <si>
    <t>Metal Pan Stairs</t>
  </si>
  <si>
    <t>05 51 16</t>
  </si>
  <si>
    <t>Metal Floor Plate Stairs</t>
  </si>
  <si>
    <t>05 51 19</t>
  </si>
  <si>
    <t>Metal Grating Stairs</t>
  </si>
  <si>
    <t>05 51 23</t>
  </si>
  <si>
    <t>Metal Fire Escapes</t>
  </si>
  <si>
    <t>05 51 33</t>
  </si>
  <si>
    <t>Metal Ladders</t>
  </si>
  <si>
    <t>05 51 33.13</t>
  </si>
  <si>
    <t>Vertical Metal Ladders</t>
  </si>
  <si>
    <t>05 51 33.16</t>
  </si>
  <si>
    <t>Inclined Metal Ladders</t>
  </si>
  <si>
    <t>05 51 33.23</t>
  </si>
  <si>
    <t>Alternating Tread Ladders</t>
  </si>
  <si>
    <t>05 51 36</t>
  </si>
  <si>
    <t>Metal Walkways</t>
  </si>
  <si>
    <t>05 51 36.13</t>
  </si>
  <si>
    <t>Metal Catwalks</t>
  </si>
  <si>
    <t>05 51 36.16</t>
  </si>
  <si>
    <t>Metal Ramps</t>
  </si>
  <si>
    <t>05 52 00</t>
  </si>
  <si>
    <t>Metal Railings</t>
  </si>
  <si>
    <t>05 52 13</t>
  </si>
  <si>
    <t>Pipe and Tube Railings</t>
  </si>
  <si>
    <t>05 53 00</t>
  </si>
  <si>
    <t>Metal Gratings</t>
  </si>
  <si>
    <t>05 53 13</t>
  </si>
  <si>
    <t>Bar Gratings</t>
  </si>
  <si>
    <t>05 53 16</t>
  </si>
  <si>
    <t>Plank Gratings</t>
  </si>
  <si>
    <t>05 54 00</t>
  </si>
  <si>
    <t>Metal Floor Plates</t>
  </si>
  <si>
    <t>05 55 00</t>
  </si>
  <si>
    <t>Metal Stair Treads and Nosings</t>
  </si>
  <si>
    <t>05 55 13</t>
  </si>
  <si>
    <t>Metal Stair Treads</t>
  </si>
  <si>
    <t>05 55 16</t>
  </si>
  <si>
    <t>Metal Stair Nosings</t>
  </si>
  <si>
    <t>05 56 00</t>
  </si>
  <si>
    <t>Metal Castings</t>
  </si>
  <si>
    <t>05 58 00</t>
  </si>
  <si>
    <t>Formed Metal Fabrications</t>
  </si>
  <si>
    <t>05 58 13</t>
  </si>
  <si>
    <t>Column Covers</t>
  </si>
  <si>
    <t>05 58 16</t>
  </si>
  <si>
    <t>Formed Metal Enclosures</t>
  </si>
  <si>
    <t>05 58 19</t>
  </si>
  <si>
    <t>Heating/Cooling Unit Covers</t>
  </si>
  <si>
    <t>05 58 23</t>
  </si>
  <si>
    <t>Formed Metal Guards</t>
  </si>
  <si>
    <t>05 59 00</t>
  </si>
  <si>
    <t>Metal Specialties</t>
  </si>
  <si>
    <t>05 59 13</t>
  </si>
  <si>
    <t>Metal Balconies</t>
  </si>
  <si>
    <t>05 59 63</t>
  </si>
  <si>
    <t>Detention Enclosures</t>
  </si>
  <si>
    <t>05 70 00</t>
  </si>
  <si>
    <t>Decorative Metal</t>
  </si>
  <si>
    <t>05 71 00</t>
  </si>
  <si>
    <t>Decorative Metal Stairs</t>
  </si>
  <si>
    <t>05 71 13</t>
  </si>
  <si>
    <t>Fabricated Metal Spiral Stairs</t>
  </si>
  <si>
    <t>05 73 00</t>
  </si>
  <si>
    <t>Decorative Metal Railings</t>
  </si>
  <si>
    <t>05 73 13</t>
  </si>
  <si>
    <t>Glazed Decorative Metal Railings</t>
  </si>
  <si>
    <t>05 73 16</t>
  </si>
  <si>
    <t>Wire Rope Decorative Metal Railings</t>
  </si>
  <si>
    <t>05 74 00</t>
  </si>
  <si>
    <t>Decorative Metal Castings</t>
  </si>
  <si>
    <t>05 75 00</t>
  </si>
  <si>
    <t>Decorative Formed Metal</t>
  </si>
  <si>
    <t>05 76 00</t>
  </si>
  <si>
    <t>Decorative Forged Metal</t>
  </si>
  <si>
    <t>06 00 00</t>
  </si>
  <si>
    <t>Wood, Plastics, and Composites</t>
  </si>
  <si>
    <t>06 01 00</t>
  </si>
  <si>
    <t>Maintenance of Wood, Plastics, and Composites</t>
  </si>
  <si>
    <t>06 01 10</t>
  </si>
  <si>
    <t>Maintenance of Rough Carpentry</t>
  </si>
  <si>
    <t>06 01 10.71</t>
  </si>
  <si>
    <t>Rough Carpentry Rehabilitation</t>
  </si>
  <si>
    <t>06 01 10.91</t>
  </si>
  <si>
    <t>Rough Carpentry Restoration</t>
  </si>
  <si>
    <t>06 01 10.92</t>
  </si>
  <si>
    <t>Rough Carpentry Preservation</t>
  </si>
  <si>
    <t>06 01 20</t>
  </si>
  <si>
    <t>Maintenance of Finish Carpentry</t>
  </si>
  <si>
    <t>06 01 20.71</t>
  </si>
  <si>
    <t>Finish Carpentry Rehabilitation</t>
  </si>
  <si>
    <t>06 01 20.91</t>
  </si>
  <si>
    <t>Finish Carpentry Restoration</t>
  </si>
  <si>
    <t>06 01 20.92</t>
  </si>
  <si>
    <t>Finish Carpentry Preservation</t>
  </si>
  <si>
    <t>06 01 40</t>
  </si>
  <si>
    <t>Maintenance of Architectural Woodwork</t>
  </si>
  <si>
    <t>06 01 40.51</t>
  </si>
  <si>
    <t>Architectural Woodwork Cleaning</t>
  </si>
  <si>
    <t>06 01 40.61</t>
  </si>
  <si>
    <t>Architectural Woodwork Refinishing</t>
  </si>
  <si>
    <t>06 01 40.91</t>
  </si>
  <si>
    <t>Architectural Woodwork Restoration</t>
  </si>
  <si>
    <t>06 01 50</t>
  </si>
  <si>
    <t>Maintenance of Structural Plastics</t>
  </si>
  <si>
    <t>06 01 60</t>
  </si>
  <si>
    <t>Maintenance of Plastic Fabrications</t>
  </si>
  <si>
    <t>06 01 60.51</t>
  </si>
  <si>
    <t>Plastic Cleaning</t>
  </si>
  <si>
    <t>06 01 60.71</t>
  </si>
  <si>
    <t>Plastic Rehabilitation</t>
  </si>
  <si>
    <t>06 01 60.91</t>
  </si>
  <si>
    <t>Plastic Restoration</t>
  </si>
  <si>
    <t>06 01 60.92</t>
  </si>
  <si>
    <t>Plastic Preservation</t>
  </si>
  <si>
    <t>06 01 70</t>
  </si>
  <si>
    <t>Maintenance of Structural Composites</t>
  </si>
  <si>
    <t>06 01 80</t>
  </si>
  <si>
    <t>Maintenance of Composite Assemblies</t>
  </si>
  <si>
    <t>06 01 80.51</t>
  </si>
  <si>
    <t>Composite Cleaning</t>
  </si>
  <si>
    <t>06 01 80.71</t>
  </si>
  <si>
    <t>Composite Rehabilitation</t>
  </si>
  <si>
    <t>06 01 80.91</t>
  </si>
  <si>
    <t>Composite Restoration</t>
  </si>
  <si>
    <t>06 01 80.92</t>
  </si>
  <si>
    <t>Composite Preservation</t>
  </si>
  <si>
    <t>06 05 00</t>
  </si>
  <si>
    <t>Common Work Results for Wood, Plastics, and Composites</t>
  </si>
  <si>
    <t>06 05 23</t>
  </si>
  <si>
    <t>Wood, Plastic, and Composite Fastenings</t>
  </si>
  <si>
    <t>06 05 73</t>
  </si>
  <si>
    <t>Wood Treatment</t>
  </si>
  <si>
    <t>06 05 73.13</t>
  </si>
  <si>
    <t>Fire-Retardant Wood Treatment</t>
  </si>
  <si>
    <t>06 05 73.33</t>
  </si>
  <si>
    <t>Preservative Wood Treatment</t>
  </si>
  <si>
    <t>06 05 73.91</t>
  </si>
  <si>
    <t>Long-Term Wood Treatment</t>
  </si>
  <si>
    <t>06 05 73.93</t>
  </si>
  <si>
    <t>Eradication of Insects in Wood</t>
  </si>
  <si>
    <t>06 05 73.96</t>
  </si>
  <si>
    <t>Antiseptic Treatment of Wood</t>
  </si>
  <si>
    <t>06 05 83</t>
  </si>
  <si>
    <t>Shop-Applied Wood Coatings</t>
  </si>
  <si>
    <t>06 06 00</t>
  </si>
  <si>
    <t>Schedules for Wood, Plastics, and Composites</t>
  </si>
  <si>
    <t>06 06 10</t>
  </si>
  <si>
    <t>Schedules for Rough Carpentry</t>
  </si>
  <si>
    <t>06 06 10.13</t>
  </si>
  <si>
    <t>Nailing Schedule</t>
  </si>
  <si>
    <t>06 06 10.16</t>
  </si>
  <si>
    <t>Wood Beam Schedule</t>
  </si>
  <si>
    <t>06 06 10.19</t>
  </si>
  <si>
    <t>Plywood Shear Wall Schedule</t>
  </si>
  <si>
    <t>06 06 10.23</t>
  </si>
  <si>
    <t>Plywood Web Joist Schedule</t>
  </si>
  <si>
    <t>06 06 10.26</t>
  </si>
  <si>
    <t>Wood Truss Schedule</t>
  </si>
  <si>
    <t>06 06 20</t>
  </si>
  <si>
    <t>Schedules for Finish Carpentry</t>
  </si>
  <si>
    <t>06 06 40</t>
  </si>
  <si>
    <t>Schedules for Architectural Woodwork</t>
  </si>
  <si>
    <t>06 06 50</t>
  </si>
  <si>
    <t>Schedules for Structural Plastics</t>
  </si>
  <si>
    <t>06 06 60</t>
  </si>
  <si>
    <t>Schedules for Plastic Fabrications</t>
  </si>
  <si>
    <t>06 06 70</t>
  </si>
  <si>
    <t>Schedules for Structural Composites</t>
  </si>
  <si>
    <t>06 06 80</t>
  </si>
  <si>
    <t>Schedules for Composite Assemblies</t>
  </si>
  <si>
    <t>06 08 00</t>
  </si>
  <si>
    <t>Commissioning of Wood, Plastics, and Composites</t>
  </si>
  <si>
    <t>06 10 00</t>
  </si>
  <si>
    <t>Rough Carpentry</t>
  </si>
  <si>
    <t>06 10 53</t>
  </si>
  <si>
    <t>Miscellaneous Rough Carpentry</t>
  </si>
  <si>
    <t>06 10 63</t>
  </si>
  <si>
    <t>Exterior Rough Carpentry</t>
  </si>
  <si>
    <t>06 11 00</t>
  </si>
  <si>
    <t>Wood Framing</t>
  </si>
  <si>
    <t>06 11 13</t>
  </si>
  <si>
    <t>Engineered Wood Products</t>
  </si>
  <si>
    <t>06 11 16</t>
  </si>
  <si>
    <t>Mechanically Graded Lumber</t>
  </si>
  <si>
    <t>06 12 00</t>
  </si>
  <si>
    <t>Structural Panels</t>
  </si>
  <si>
    <t>06 12 13</t>
  </si>
  <si>
    <t>Cementitious Reinforced Panels</t>
  </si>
  <si>
    <t>06 12 16</t>
  </si>
  <si>
    <t>Stressed Skin Panels</t>
  </si>
  <si>
    <t>06 13 00</t>
  </si>
  <si>
    <t>Heavy Timber Construction</t>
  </si>
  <si>
    <t>06 13 13</t>
  </si>
  <si>
    <t>Log Construction</t>
  </si>
  <si>
    <t>06 13 13.91</t>
  </si>
  <si>
    <t>Period Horizontal Log Work</t>
  </si>
  <si>
    <t>06 13 16</t>
  </si>
  <si>
    <t>Pole Construction</t>
  </si>
  <si>
    <t>06 13 23</t>
  </si>
  <si>
    <t>Heavy Timber Framing</t>
  </si>
  <si>
    <t>06 13 26</t>
  </si>
  <si>
    <t>Heavy Timber Trusses</t>
  </si>
  <si>
    <t>06 13 33</t>
  </si>
  <si>
    <t>Heavy Timber Pier Construction</t>
  </si>
  <si>
    <t>06 14 00</t>
  </si>
  <si>
    <t>Treated Wood Foundations</t>
  </si>
  <si>
    <t>06 15 00</t>
  </si>
  <si>
    <t>Wood Decking</t>
  </si>
  <si>
    <t>06 15 13</t>
  </si>
  <si>
    <t>Wood Floor Decking</t>
  </si>
  <si>
    <t>06 15 13.91</t>
  </si>
  <si>
    <t>Carvel Planking</t>
  </si>
  <si>
    <t>06 15 16</t>
  </si>
  <si>
    <t>Wood Roof Decking</t>
  </si>
  <si>
    <t>06 15 19</t>
  </si>
  <si>
    <t>Timber Decking</t>
  </si>
  <si>
    <t>06 15 23</t>
  </si>
  <si>
    <t>Laminated Wood Decking</t>
  </si>
  <si>
    <t>06 15 33</t>
  </si>
  <si>
    <t>Wood Patio Decking</t>
  </si>
  <si>
    <t>06 16 00</t>
  </si>
  <si>
    <t>Sheathing</t>
  </si>
  <si>
    <t>06 16 13</t>
  </si>
  <si>
    <t>Insulating Sheathing</t>
  </si>
  <si>
    <t>06 16 23</t>
  </si>
  <si>
    <t>Subflooring</t>
  </si>
  <si>
    <t>06 16 26</t>
  </si>
  <si>
    <t>Underlayment</t>
  </si>
  <si>
    <t>06 16 33</t>
  </si>
  <si>
    <t>Wood Board Sheathing</t>
  </si>
  <si>
    <t>06 16 36</t>
  </si>
  <si>
    <t>Wood Panel Product Sheathing</t>
  </si>
  <si>
    <t>06 16 43</t>
  </si>
  <si>
    <t>Gypsum Sheathing</t>
  </si>
  <si>
    <t>06 16 53</t>
  </si>
  <si>
    <t>Moisture-Resistant Sheathing Board</t>
  </si>
  <si>
    <t>06 16 63</t>
  </si>
  <si>
    <t>Cementitious Sheathing</t>
  </si>
  <si>
    <t>06 17 00</t>
  </si>
  <si>
    <t>Shop-Fabricated Structural Wood</t>
  </si>
  <si>
    <t>06 17 13</t>
  </si>
  <si>
    <t>Laminated Veneer Lumber</t>
  </si>
  <si>
    <t>06 17 23</t>
  </si>
  <si>
    <t>Parallel Strand Lumber</t>
  </si>
  <si>
    <t>06 17 33</t>
  </si>
  <si>
    <t>Wood I-Joists</t>
  </si>
  <si>
    <t>06 17 36</t>
  </si>
  <si>
    <t>Metal-Web Wood Joists</t>
  </si>
  <si>
    <t>06 17 43</t>
  </si>
  <si>
    <t>Rim Boards</t>
  </si>
  <si>
    <t>06 17 53</t>
  </si>
  <si>
    <t>Shop-Fabricated Wood Trusses</t>
  </si>
  <si>
    <t>06 18 00</t>
  </si>
  <si>
    <t>Glued-Laminated Construction</t>
  </si>
  <si>
    <t>06 18 13</t>
  </si>
  <si>
    <t>Glued-Laminated Beams</t>
  </si>
  <si>
    <t>06 18 16</t>
  </si>
  <si>
    <t>Glued-Laminated Columns</t>
  </si>
  <si>
    <t>06 20 00</t>
  </si>
  <si>
    <t>Finish Carpentry</t>
  </si>
  <si>
    <t>06 20 13</t>
  </si>
  <si>
    <t>Exterior Finish Carpentry</t>
  </si>
  <si>
    <t>06 20 23</t>
  </si>
  <si>
    <t>Interior Finish Carpentry</t>
  </si>
  <si>
    <t>06 22 00</t>
  </si>
  <si>
    <t>Millwork</t>
  </si>
  <si>
    <t>06 22 13</t>
  </si>
  <si>
    <t>Standard Pattern Wood Trim</t>
  </si>
  <si>
    <t>06 25 00</t>
  </si>
  <si>
    <t>Prefinished Paneling</t>
  </si>
  <si>
    <t>06 25 13</t>
  </si>
  <si>
    <t>Prefinished Hardboard Paneling</t>
  </si>
  <si>
    <t>06 25 16</t>
  </si>
  <si>
    <t>Prefinished Plywood Paneling</t>
  </si>
  <si>
    <t>06 26 00</t>
  </si>
  <si>
    <t>Board Paneling</t>
  </si>
  <si>
    <t>06 26 13</t>
  </si>
  <si>
    <t>Profile Board Paneling</t>
  </si>
  <si>
    <t>06 40 00</t>
  </si>
  <si>
    <t>Architectural Woodwork</t>
  </si>
  <si>
    <t>06 40 13</t>
  </si>
  <si>
    <t>Exterior Architectural Woodwork</t>
  </si>
  <si>
    <t>06 40 23</t>
  </si>
  <si>
    <t>Interior Architectural Woodwork</t>
  </si>
  <si>
    <t>06 41 00</t>
  </si>
  <si>
    <t>Architectural Wood Casework</t>
  </si>
  <si>
    <t>06 41 13</t>
  </si>
  <si>
    <t>Wood-Veneer-Faced Architectural Cabinets</t>
  </si>
  <si>
    <t>06 41 16</t>
  </si>
  <si>
    <t>Plastic-Laminate-Clad Architectural Cabinets</t>
  </si>
  <si>
    <t>06 41 93</t>
  </si>
  <si>
    <t>Cabinet and Drawer Hardware</t>
  </si>
  <si>
    <t>06 42 00</t>
  </si>
  <si>
    <t>Wood Paneling</t>
  </si>
  <si>
    <t>06 42 13</t>
  </si>
  <si>
    <t>Wood Board Paneling</t>
  </si>
  <si>
    <t>06 42 14</t>
  </si>
  <si>
    <t>Stile and Rail Wood Paneling</t>
  </si>
  <si>
    <t>06 42 16</t>
  </si>
  <si>
    <t>Flush Wood Paneling</t>
  </si>
  <si>
    <t>06 42 19</t>
  </si>
  <si>
    <t>Plastic-Laminate-Faced Wood Paneling</t>
  </si>
  <si>
    <t>06 43 00</t>
  </si>
  <si>
    <t>Wood Stairs and Railings</t>
  </si>
  <si>
    <t>06 43 13</t>
  </si>
  <si>
    <t>Wood Stairs</t>
  </si>
  <si>
    <t>06 43 16</t>
  </si>
  <si>
    <t>Wood Railings</t>
  </si>
  <si>
    <t>06 44 00</t>
  </si>
  <si>
    <t>Ornamental Woodwork</t>
  </si>
  <si>
    <t>06 44 13</t>
  </si>
  <si>
    <t>Wood Turnings</t>
  </si>
  <si>
    <t>06 44 16</t>
  </si>
  <si>
    <t>Wood Pilasters</t>
  </si>
  <si>
    <t>06 44 19</t>
  </si>
  <si>
    <t>Wood Grilles</t>
  </si>
  <si>
    <t>06 44 23</t>
  </si>
  <si>
    <t>Wood Corbels</t>
  </si>
  <si>
    <t>06 44 26</t>
  </si>
  <si>
    <t>Wood Cupolas</t>
  </si>
  <si>
    <t>06 44 29</t>
  </si>
  <si>
    <t>Wood Finials</t>
  </si>
  <si>
    <t>06 44 33</t>
  </si>
  <si>
    <t>Wood Mantels</t>
  </si>
  <si>
    <t>06 44 36</t>
  </si>
  <si>
    <t>Wood Pediment Heads</t>
  </si>
  <si>
    <t>06 44 39</t>
  </si>
  <si>
    <t>Wood Posts and Columns</t>
  </si>
  <si>
    <t>06 46 00</t>
  </si>
  <si>
    <t>Wood Trim</t>
  </si>
  <si>
    <t>06 46 13</t>
  </si>
  <si>
    <t>Wood Door and Window Casings</t>
  </si>
  <si>
    <t>06 46 16</t>
  </si>
  <si>
    <t>Wood Aprons</t>
  </si>
  <si>
    <t>06 46 19</t>
  </si>
  <si>
    <t>Wood Base and Shoe Moldings</t>
  </si>
  <si>
    <t>06 46 23</t>
  </si>
  <si>
    <t>Wood Chair Rails</t>
  </si>
  <si>
    <t>06 46 26</t>
  </si>
  <si>
    <t>Wood Cornices</t>
  </si>
  <si>
    <t>06 46 29</t>
  </si>
  <si>
    <t>Wood Fascia and Soffits</t>
  </si>
  <si>
    <t>06 46 33</t>
  </si>
  <si>
    <t>Wood Stops, Stools, and Sills</t>
  </si>
  <si>
    <t>06 46 91</t>
  </si>
  <si>
    <t>Splicing of Wooden Components</t>
  </si>
  <si>
    <t>06 48 00</t>
  </si>
  <si>
    <t>Wood Frames</t>
  </si>
  <si>
    <t>06 48 13</t>
  </si>
  <si>
    <t>Exterior Wood Door Frames</t>
  </si>
  <si>
    <t>06 48 16</t>
  </si>
  <si>
    <t>Interior Wood Door Frames</t>
  </si>
  <si>
    <t>06 48 19</t>
  </si>
  <si>
    <t>Ornamental Wood Frames</t>
  </si>
  <si>
    <t>06 48 23</t>
  </si>
  <si>
    <t>Stick-Built Wood Windows</t>
  </si>
  <si>
    <t>06 48 26</t>
  </si>
  <si>
    <t>Wood-Veneer Frames</t>
  </si>
  <si>
    <t>06 49 00</t>
  </si>
  <si>
    <t>Wood Screens and Exterior Wood Shutters</t>
  </si>
  <si>
    <t>06 49 13</t>
  </si>
  <si>
    <t>Wood Screens</t>
  </si>
  <si>
    <t>06 49 16</t>
  </si>
  <si>
    <t>Exterior Wood Blinds</t>
  </si>
  <si>
    <t>06 49 19</t>
  </si>
  <si>
    <t>Exterior Wood Shutters</t>
  </si>
  <si>
    <t>06 50 00</t>
  </si>
  <si>
    <t>Structural Plastics</t>
  </si>
  <si>
    <t>06 51 00</t>
  </si>
  <si>
    <t>Structural Plastic Shapes and Plates</t>
  </si>
  <si>
    <t>06 51 13</t>
  </si>
  <si>
    <t>Plastic Lumber</t>
  </si>
  <si>
    <t>06 52 00</t>
  </si>
  <si>
    <t>Plastic Structural Assemblies</t>
  </si>
  <si>
    <t>06 53 00</t>
  </si>
  <si>
    <t>Plastic Decking</t>
  </si>
  <si>
    <t>06 53 13</t>
  </si>
  <si>
    <t>Solid Plastic Decking</t>
  </si>
  <si>
    <t>06 60 00</t>
  </si>
  <si>
    <t>Plastic Fabrications</t>
  </si>
  <si>
    <t>06 61 00</t>
  </si>
  <si>
    <t>Simulated Stone Fabrications</t>
  </si>
  <si>
    <t>06 61 13</t>
  </si>
  <si>
    <t>Cultured Marble Fabrications</t>
  </si>
  <si>
    <t>06 61 16</t>
  </si>
  <si>
    <t>Solid Surfacing Fabrications</t>
  </si>
  <si>
    <t>06 61 19</t>
  </si>
  <si>
    <t>Quartz Surfacing Fabrications</t>
  </si>
  <si>
    <t>06 63 00</t>
  </si>
  <si>
    <t>Plastic Railings</t>
  </si>
  <si>
    <t>06 64 00</t>
  </si>
  <si>
    <t>Plastic Paneling</t>
  </si>
  <si>
    <t>06 64 13</t>
  </si>
  <si>
    <t>Plastic Lattice Paneling</t>
  </si>
  <si>
    <t>06 65 00</t>
  </si>
  <si>
    <t>Plastic Simulated Wood Trim</t>
  </si>
  <si>
    <t>06 66 00</t>
  </si>
  <si>
    <t>Custom Ornamental Simulated Woodwork</t>
  </si>
  <si>
    <t>06 70 00</t>
  </si>
  <si>
    <t>Structural Composites</t>
  </si>
  <si>
    <t>06 71 00</t>
  </si>
  <si>
    <t>Structural Composite Shapes and Plates</t>
  </si>
  <si>
    <t>06 71 13</t>
  </si>
  <si>
    <t>Composite Lumber</t>
  </si>
  <si>
    <t>06 72 00</t>
  </si>
  <si>
    <t>Composite Structural Assemblies</t>
  </si>
  <si>
    <t>06 72 13</t>
  </si>
  <si>
    <t>Composite Joist Assemblies</t>
  </si>
  <si>
    <t>06 73 00</t>
  </si>
  <si>
    <t>Composite Decking</t>
  </si>
  <si>
    <t>06 73 13</t>
  </si>
  <si>
    <t>Composite Structural Decking</t>
  </si>
  <si>
    <t>06 74 00</t>
  </si>
  <si>
    <t>Composite Gratings</t>
  </si>
  <si>
    <t>06 74 13</t>
  </si>
  <si>
    <t>Fiberglass Reinforced Gratings</t>
  </si>
  <si>
    <t>06 80 00</t>
  </si>
  <si>
    <t>Composite Fabrications</t>
  </si>
  <si>
    <t>06 81 00</t>
  </si>
  <si>
    <t>Composite Railings</t>
  </si>
  <si>
    <t>06 81 13</t>
  </si>
  <si>
    <t>Glass-Fiber-Reinforced Plastic Railings</t>
  </si>
  <si>
    <t>06 83 00</t>
  </si>
  <si>
    <t>Composite Paneling</t>
  </si>
  <si>
    <t>06 83 13</t>
  </si>
  <si>
    <t>Resin Composite Paneling</t>
  </si>
  <si>
    <t>06 83 16</t>
  </si>
  <si>
    <t>Fiberglass Reinforced Paneling</t>
  </si>
  <si>
    <t>07 00 00</t>
  </si>
  <si>
    <t>Thermal and Moisture Protection</t>
  </si>
  <si>
    <t>07 01 00</t>
  </si>
  <si>
    <t>Operation and Maintenance of Thermal and Moisture Protection</t>
  </si>
  <si>
    <t>07 01 10</t>
  </si>
  <si>
    <t>Maintenance of Dampproofing and Waterproofing</t>
  </si>
  <si>
    <t>07 01 10.81</t>
  </si>
  <si>
    <t>Waterproofing Replacement</t>
  </si>
  <si>
    <t>07 01 20</t>
  </si>
  <si>
    <t>Maintenance of Thermal Protection</t>
  </si>
  <si>
    <t>07 01 30</t>
  </si>
  <si>
    <t>Maintenance of Steep Slope Roofing</t>
  </si>
  <si>
    <t>07 01 40</t>
  </si>
  <si>
    <t>Maintenance of Roofing and Siding Panels</t>
  </si>
  <si>
    <t>07 01 50</t>
  </si>
  <si>
    <t>Maintenance of Membrane Roofing</t>
  </si>
  <si>
    <t>07 01 50.13</t>
  </si>
  <si>
    <t>Roof Moisture Survey</t>
  </si>
  <si>
    <t>07 01 50.16</t>
  </si>
  <si>
    <t>Roof Maintenance Program</t>
  </si>
  <si>
    <t>07 01 50.19</t>
  </si>
  <si>
    <t>Preparation for Re-Roofing</t>
  </si>
  <si>
    <t>07 01 50.23</t>
  </si>
  <si>
    <t>Roof Removal</t>
  </si>
  <si>
    <t>07 01 50.61</t>
  </si>
  <si>
    <t>Roof Re-Coating</t>
  </si>
  <si>
    <t>07 01 50.81</t>
  </si>
  <si>
    <t>Roof Replacement</t>
  </si>
  <si>
    <t>07 01 50.91</t>
  </si>
  <si>
    <t>Roofing Restoration</t>
  </si>
  <si>
    <t>07 01 60</t>
  </si>
  <si>
    <t>Maintenance of Flashing and Sheet Metal</t>
  </si>
  <si>
    <t>07 01 60.71</t>
  </si>
  <si>
    <t>Flashing and Sheet Metal Rehabilitation</t>
  </si>
  <si>
    <t>07 01 60.91</t>
  </si>
  <si>
    <t>Flashing and Sheet Metal Restoration</t>
  </si>
  <si>
    <t>07 01 60.92</t>
  </si>
  <si>
    <t>Flashing and Sheet Metal Preservation</t>
  </si>
  <si>
    <t>07 01 70</t>
  </si>
  <si>
    <t>Operation and Maintenance of Roof Specialties and Accessories</t>
  </si>
  <si>
    <t>07 01 80</t>
  </si>
  <si>
    <t>Maintenance of Fire and Smoke Protection</t>
  </si>
  <si>
    <t>07 01 90</t>
  </si>
  <si>
    <t>Maintenance of Joint Protection</t>
  </si>
  <si>
    <t>07 01 90.71</t>
  </si>
  <si>
    <t>Joint Sealant Rehabilitation</t>
  </si>
  <si>
    <t>07 01 90.81</t>
  </si>
  <si>
    <t>Joint Sealant Replacement</t>
  </si>
  <si>
    <t>07 05 00</t>
  </si>
  <si>
    <t>Common Work Results for Thermal and Moisture Protection</t>
  </si>
  <si>
    <t>07 06 00</t>
  </si>
  <si>
    <t>Schedules for Thermal and Moisture Protection</t>
  </si>
  <si>
    <t>07 06 10</t>
  </si>
  <si>
    <t>Schedules for Dampproofing and Waterproofing</t>
  </si>
  <si>
    <t>07 06 20</t>
  </si>
  <si>
    <t>Schedules for Thermal Protection</t>
  </si>
  <si>
    <t>07 06 30</t>
  </si>
  <si>
    <t>Schedules for Steep Slope Roofing</t>
  </si>
  <si>
    <t>07 06 40</t>
  </si>
  <si>
    <t>Schedules for Roofing and Siding Panels</t>
  </si>
  <si>
    <t>07 06 50</t>
  </si>
  <si>
    <t>Schedules for Membrane Roofing</t>
  </si>
  <si>
    <t>07 06 60</t>
  </si>
  <si>
    <t>Schedules for Flashing and Sheet Metal</t>
  </si>
  <si>
    <t>07 06 70</t>
  </si>
  <si>
    <t>Schedules for Roof Specialties and Accessories</t>
  </si>
  <si>
    <t>07 06 80</t>
  </si>
  <si>
    <t>Schedules for Fire and Smoke Protection</t>
  </si>
  <si>
    <t>07 06 80.13</t>
  </si>
  <si>
    <t>Fireproofing Schedule</t>
  </si>
  <si>
    <t>07 06 80.16</t>
  </si>
  <si>
    <t>Firestopping Schedule</t>
  </si>
  <si>
    <t>07 06 90</t>
  </si>
  <si>
    <t>Schedules for Joint Protection</t>
  </si>
  <si>
    <t>07 06 90.13</t>
  </si>
  <si>
    <t>Joint Sealant Schedule</t>
  </si>
  <si>
    <t>07 08 00</t>
  </si>
  <si>
    <t>Commissioning of Thermal and Moisture Protection</t>
  </si>
  <si>
    <t>07 10 00</t>
  </si>
  <si>
    <t>Dampproofing and Waterproofing</t>
  </si>
  <si>
    <t>07 11 00</t>
  </si>
  <si>
    <t>Dampproofing</t>
  </si>
  <si>
    <t>07 11 13</t>
  </si>
  <si>
    <t>Bituminous Dampproofing</t>
  </si>
  <si>
    <t>07 11 16</t>
  </si>
  <si>
    <t>Cementitious Dampproofing</t>
  </si>
  <si>
    <t>07 11 19</t>
  </si>
  <si>
    <t>Sheet Dampproofing</t>
  </si>
  <si>
    <t>07 12 00</t>
  </si>
  <si>
    <t>Built-Up Bituminous Waterproofing</t>
  </si>
  <si>
    <t>07 12 13</t>
  </si>
  <si>
    <t>Built-Up Asphalt Waterproofing</t>
  </si>
  <si>
    <t>07 12 16</t>
  </si>
  <si>
    <t>Built-Up Coal Tar Waterproofing</t>
  </si>
  <si>
    <t>07 13 00</t>
  </si>
  <si>
    <t>Sheet Waterproofing</t>
  </si>
  <si>
    <t>07 13 13</t>
  </si>
  <si>
    <t>Bituminous Sheet Waterproofing</t>
  </si>
  <si>
    <t>07 13 26</t>
  </si>
  <si>
    <t>Self-Adhering Sheet Waterproofing</t>
  </si>
  <si>
    <t>07 13 52</t>
  </si>
  <si>
    <t>Modified Bituminous Sheet Waterproofing</t>
  </si>
  <si>
    <t>07 13 53</t>
  </si>
  <si>
    <t>Elastomeric Sheet Waterproofing</t>
  </si>
  <si>
    <t>07 13 54</t>
  </si>
  <si>
    <t>Thermoplastic Sheet Waterproofing</t>
  </si>
  <si>
    <t>07 14 00</t>
  </si>
  <si>
    <t>Fluid-Applied Waterproofing</t>
  </si>
  <si>
    <t>07 14 13</t>
  </si>
  <si>
    <t>Hot Fluid-Applied Rubberized Asphalt Waterproofing</t>
  </si>
  <si>
    <t>07 14 16</t>
  </si>
  <si>
    <t>Cold Fluid-Applied Waterproofing</t>
  </si>
  <si>
    <t>07 15 00</t>
  </si>
  <si>
    <t>Sheet Metal Waterproofing</t>
  </si>
  <si>
    <t>07 15 13</t>
  </si>
  <si>
    <t>Sheet Lead Waterproofing</t>
  </si>
  <si>
    <t>07 16 00</t>
  </si>
  <si>
    <t>Cementitious and Reactive Waterproofing</t>
  </si>
  <si>
    <t>07 16 13</t>
  </si>
  <si>
    <t>Polymer Modified Cement Waterproofing</t>
  </si>
  <si>
    <t>07 16 16</t>
  </si>
  <si>
    <t>Crystalline Waterproofing</t>
  </si>
  <si>
    <t>07 16 19</t>
  </si>
  <si>
    <t>Metal Oxide Waterproofing</t>
  </si>
  <si>
    <t>07 17 00</t>
  </si>
  <si>
    <t>Bentonite Waterproofing</t>
  </si>
  <si>
    <t>07 17 13</t>
  </si>
  <si>
    <t>Bentonite Panel Waterproofing</t>
  </si>
  <si>
    <t>07 17 16</t>
  </si>
  <si>
    <t>Bentonite Composite Sheet Waterproofing</t>
  </si>
  <si>
    <t>07 18 00</t>
  </si>
  <si>
    <t>Traffic Coatings</t>
  </si>
  <si>
    <t>07 18 13</t>
  </si>
  <si>
    <t>Pedestrian Traffic Coatings</t>
  </si>
  <si>
    <t>07 18 16</t>
  </si>
  <si>
    <t>Vehicular Traffic Coatings</t>
  </si>
  <si>
    <t>07 19 00</t>
  </si>
  <si>
    <t>Water Repellents</t>
  </si>
  <si>
    <t>07 19 13</t>
  </si>
  <si>
    <t>Acrylic Water Repellents</t>
  </si>
  <si>
    <t>07 19 16</t>
  </si>
  <si>
    <t>Silane Water Repellents</t>
  </si>
  <si>
    <t>07 19 19</t>
  </si>
  <si>
    <t>Silicone Water Repellents</t>
  </si>
  <si>
    <t>07 19 23</t>
  </si>
  <si>
    <t>Siloxane Water Repellents</t>
  </si>
  <si>
    <t>07 19 26</t>
  </si>
  <si>
    <t>Stearate Water Repellents</t>
  </si>
  <si>
    <t>07 20 00</t>
  </si>
  <si>
    <t>Thermal Protection</t>
  </si>
  <si>
    <t>07 21 00</t>
  </si>
  <si>
    <t>Thermal Insulation</t>
  </si>
  <si>
    <t>07 21 13</t>
  </si>
  <si>
    <t>Board Insulation</t>
  </si>
  <si>
    <t>07 21 13.13</t>
  </si>
  <si>
    <t>Foam Board Insulation</t>
  </si>
  <si>
    <t>07 21 13.16</t>
  </si>
  <si>
    <t>Fibrous Board Insulation</t>
  </si>
  <si>
    <t>07 21 13.19</t>
  </si>
  <si>
    <t>Mineral Board Insulation</t>
  </si>
  <si>
    <t>07 21 16</t>
  </si>
  <si>
    <t>Blanket Insulation</t>
  </si>
  <si>
    <t>07 21 19</t>
  </si>
  <si>
    <t>Foamed-In-Place Insulation</t>
  </si>
  <si>
    <t>07 21 23</t>
  </si>
  <si>
    <t>Loose-Fill Insulation</t>
  </si>
  <si>
    <t>07 21 26</t>
  </si>
  <si>
    <t>Blown Insulation</t>
  </si>
  <si>
    <t>07 21 29</t>
  </si>
  <si>
    <t>Sprayed Insulation</t>
  </si>
  <si>
    <t>07 21 53</t>
  </si>
  <si>
    <t>Reflective Insulation</t>
  </si>
  <si>
    <t>07 22 00</t>
  </si>
  <si>
    <t>Roof and Deck Insulation</t>
  </si>
  <si>
    <t>07 22 13</t>
  </si>
  <si>
    <t>Asphaltic Perlite Concrete Deck</t>
  </si>
  <si>
    <t>07 22 16</t>
  </si>
  <si>
    <t>Roof Board Insulation</t>
  </si>
  <si>
    <t>07 24 00</t>
  </si>
  <si>
    <t>Exterior Insulation and Finish Systems</t>
  </si>
  <si>
    <t>07 24 13</t>
  </si>
  <si>
    <t>Polymer-Based Exterior Insulation and Finish System</t>
  </si>
  <si>
    <t>07 24 16</t>
  </si>
  <si>
    <t>Polymer-Modified Exterior Insulation and Finish System</t>
  </si>
  <si>
    <t>07 24 19</t>
  </si>
  <si>
    <t>Water-Drainage Exterior Insulation and Finish System</t>
  </si>
  <si>
    <t>07 24 23</t>
  </si>
  <si>
    <t>Direct-Applied Finish Systems</t>
  </si>
  <si>
    <t>07 25 00</t>
  </si>
  <si>
    <t>Weather Barriers</t>
  </si>
  <si>
    <t>07 26 00</t>
  </si>
  <si>
    <t>Vapor Retarders</t>
  </si>
  <si>
    <t>07 26 13</t>
  </si>
  <si>
    <t>Above-Grade Vapor Retarders</t>
  </si>
  <si>
    <t>07 26 16</t>
  </si>
  <si>
    <t>Below-Grade Vapor Retarders</t>
  </si>
  <si>
    <t>07 26 23</t>
  </si>
  <si>
    <t>Below-Grade Gas Retarders</t>
  </si>
  <si>
    <t>07 27 00</t>
  </si>
  <si>
    <t>Air Barriers</t>
  </si>
  <si>
    <t>07 27 13</t>
  </si>
  <si>
    <t>Modified Bituminous Sheet Air Barriers</t>
  </si>
  <si>
    <t>07 27 16</t>
  </si>
  <si>
    <t>Sheet Metal Membrane Air Barriers</t>
  </si>
  <si>
    <t>07 27 19</t>
  </si>
  <si>
    <t>Plastic Sheet Air Barriers</t>
  </si>
  <si>
    <t>07 27 23</t>
  </si>
  <si>
    <t>Board Product Air Barriers</t>
  </si>
  <si>
    <t>07 27 26</t>
  </si>
  <si>
    <t>Fluid-Applied Membrane Air Barriers</t>
  </si>
  <si>
    <t>07 27 36</t>
  </si>
  <si>
    <t>Sprayed Foam Air Barrier</t>
  </si>
  <si>
    <t>07 30 00</t>
  </si>
  <si>
    <t>Steep Slope Roofing</t>
  </si>
  <si>
    <t>07 30 91</t>
  </si>
  <si>
    <t>Canvas Roofing</t>
  </si>
  <si>
    <t>07 31 00</t>
  </si>
  <si>
    <t>Shingles and Shakes</t>
  </si>
  <si>
    <t>07 31 13</t>
  </si>
  <si>
    <t>Asphalt Shingles</t>
  </si>
  <si>
    <t>07 31 13.13</t>
  </si>
  <si>
    <t>Fiberglass-Reinforced Asphalt Shingles</t>
  </si>
  <si>
    <t>07 31 16</t>
  </si>
  <si>
    <t>Metal Shingles</t>
  </si>
  <si>
    <t>07 31 19</t>
  </si>
  <si>
    <t>Mineral-Fiber Cement Shingles</t>
  </si>
  <si>
    <t>07 31 23</t>
  </si>
  <si>
    <t>Porcelain Enamel Shingles</t>
  </si>
  <si>
    <t>07 31 26</t>
  </si>
  <si>
    <t>Slate Shingles</t>
  </si>
  <si>
    <t>07 31 29</t>
  </si>
  <si>
    <t>Wood Shingles and Shakes</t>
  </si>
  <si>
    <t>07 31 29.13</t>
  </si>
  <si>
    <t>Wood Shingles</t>
  </si>
  <si>
    <t>07 31 29.16</t>
  </si>
  <si>
    <t>Wood Shakes</t>
  </si>
  <si>
    <t>07 31 33</t>
  </si>
  <si>
    <t>Composite Rubber Shingles</t>
  </si>
  <si>
    <t>07 31 53</t>
  </si>
  <si>
    <t>Plastic Shakes</t>
  </si>
  <si>
    <t>07 32 00</t>
  </si>
  <si>
    <t>Roof Tiles</t>
  </si>
  <si>
    <t>07 32 13</t>
  </si>
  <si>
    <t>Clay Roof Tiles</t>
  </si>
  <si>
    <t>07 32 16</t>
  </si>
  <si>
    <t>Concrete Roof Tiles</t>
  </si>
  <si>
    <t>07 32 19</t>
  </si>
  <si>
    <t>Metal Roof Tiles</t>
  </si>
  <si>
    <t>07 32 23</t>
  </si>
  <si>
    <t>Mineral-Fiber Cement Roof Tiles</t>
  </si>
  <si>
    <t>07 32 26</t>
  </si>
  <si>
    <t>Plastic Roof Tiles</t>
  </si>
  <si>
    <t>07 32 29</t>
  </si>
  <si>
    <t>Rubber Tiles/Panels</t>
  </si>
  <si>
    <t>07 33 00</t>
  </si>
  <si>
    <t>Natural Roof Coverings</t>
  </si>
  <si>
    <t>07 33 13</t>
  </si>
  <si>
    <t>Sod Roofing</t>
  </si>
  <si>
    <t>07 33 16</t>
  </si>
  <si>
    <t>Thatched Roofing</t>
  </si>
  <si>
    <t>07 33 63</t>
  </si>
  <si>
    <t>Vegetated Roofing</t>
  </si>
  <si>
    <t>07 40 00</t>
  </si>
  <si>
    <t>Roofing and Siding Panels</t>
  </si>
  <si>
    <t>07 41 00</t>
  </si>
  <si>
    <t>Roof Panels</t>
  </si>
  <si>
    <t>07 41 13</t>
  </si>
  <si>
    <t>Metal Roof Panels</t>
  </si>
  <si>
    <t>07 41 23</t>
  </si>
  <si>
    <t>Wood Roof Panels</t>
  </si>
  <si>
    <t>07 41 33</t>
  </si>
  <si>
    <t>Plastic Roof Panels</t>
  </si>
  <si>
    <t>07 41 43</t>
  </si>
  <si>
    <t>Composite Roof Panels</t>
  </si>
  <si>
    <t>07 41 63</t>
  </si>
  <si>
    <t>Fabricated Roof Panel Assemblies</t>
  </si>
  <si>
    <t>07 42 00</t>
  </si>
  <si>
    <t>Wall Panels</t>
  </si>
  <si>
    <t>07 42 13</t>
  </si>
  <si>
    <t>Metal Wall Panels</t>
  </si>
  <si>
    <t>07 42 13.13</t>
  </si>
  <si>
    <t>Formed Metal Wall Panels</t>
  </si>
  <si>
    <t>07 42 13.16</t>
  </si>
  <si>
    <t>Metal Plate Wall Panels</t>
  </si>
  <si>
    <t>07 42 13.19</t>
  </si>
  <si>
    <t>Insulated Metal Wall Panels</t>
  </si>
  <si>
    <t>07 42 13.23</t>
  </si>
  <si>
    <t>Metal Composite Material Wall Panels</t>
  </si>
  <si>
    <t>07 42 23</t>
  </si>
  <si>
    <t>Wood Wall Panels</t>
  </si>
  <si>
    <t>07 42 29</t>
  </si>
  <si>
    <t>Terracotta Wall Panels</t>
  </si>
  <si>
    <t>07 42 33</t>
  </si>
  <si>
    <t>Plastic Wall Panels</t>
  </si>
  <si>
    <t>07 42 43</t>
  </si>
  <si>
    <t>Composite Wall Panels</t>
  </si>
  <si>
    <t>07 42 63</t>
  </si>
  <si>
    <t>Fabricated Wall Panel Assemblies</t>
  </si>
  <si>
    <t>07 42 93</t>
  </si>
  <si>
    <t>Soffit Panels</t>
  </si>
  <si>
    <t>07 44 00</t>
  </si>
  <si>
    <t>Faced Panels</t>
  </si>
  <si>
    <t>07 44 13</t>
  </si>
  <si>
    <t>Aggregate Coated Panels</t>
  </si>
  <si>
    <t>07 44 16</t>
  </si>
  <si>
    <t>Porcelain Enameled Faced Panels</t>
  </si>
  <si>
    <t>07 44 19</t>
  </si>
  <si>
    <t>Tile-Faced Panels</t>
  </si>
  <si>
    <t>07 44 23</t>
  </si>
  <si>
    <t>Ceramic-Tile-Faced Panels</t>
  </si>
  <si>
    <t>07 44 33</t>
  </si>
  <si>
    <t>Metal Faced Panels</t>
  </si>
  <si>
    <t>07 44 53</t>
  </si>
  <si>
    <t>Glass-Fiber-Reinforced Cementitious Panels</t>
  </si>
  <si>
    <t>07 44 56</t>
  </si>
  <si>
    <t>Mineral-Fiber-Reinforced Cementitious Panels</t>
  </si>
  <si>
    <t>07 44 63</t>
  </si>
  <si>
    <t>Fabricated Faced Panel Assemblies</t>
  </si>
  <si>
    <t>07 46 00</t>
  </si>
  <si>
    <t>Siding</t>
  </si>
  <si>
    <t>07 46 16</t>
  </si>
  <si>
    <t>Aluminum Siding</t>
  </si>
  <si>
    <t>07 46 19</t>
  </si>
  <si>
    <t>Steel Siding</t>
  </si>
  <si>
    <t>07 46 23</t>
  </si>
  <si>
    <t>Wood Siding</t>
  </si>
  <si>
    <t>07 46 26</t>
  </si>
  <si>
    <t>Hardboard Siding</t>
  </si>
  <si>
    <t>07 46 29</t>
  </si>
  <si>
    <t>Plywood Siding</t>
  </si>
  <si>
    <t>07 46 33</t>
  </si>
  <si>
    <t>Plastic Siding</t>
  </si>
  <si>
    <t>07 46 43</t>
  </si>
  <si>
    <t>Composition Siding</t>
  </si>
  <si>
    <t>07 46 46</t>
  </si>
  <si>
    <t>Fiber-Cement Siding</t>
  </si>
  <si>
    <t>07 46 63</t>
  </si>
  <si>
    <t>Fabricated Panel Assemblies with Siding</t>
  </si>
  <si>
    <t>07 50 00</t>
  </si>
  <si>
    <t>Membrane Roofing</t>
  </si>
  <si>
    <t>07 51 00</t>
  </si>
  <si>
    <t>Built-Up Bituminous Roofing</t>
  </si>
  <si>
    <t>07 51 13</t>
  </si>
  <si>
    <t>Built-Up Asphalt Roofing</t>
  </si>
  <si>
    <t>07 51 13.13</t>
  </si>
  <si>
    <t>Cold-Applied Built-Up Asphalt Roofing</t>
  </si>
  <si>
    <t>07 51 16</t>
  </si>
  <si>
    <t>Built-Up Coal Tar Roofing</t>
  </si>
  <si>
    <t>07 51 23</t>
  </si>
  <si>
    <t>Glass-Fiber-Reinforced Asphalt Emulsion Roofing</t>
  </si>
  <si>
    <t>07 52 00</t>
  </si>
  <si>
    <t>Modified Bituminous Membrane Roofing</t>
  </si>
  <si>
    <t>07 52 13</t>
  </si>
  <si>
    <t>Atactic-Polypropylene-Modified Bituminous Membrane Roofing</t>
  </si>
  <si>
    <t>07 52 13.11</t>
  </si>
  <si>
    <t>Cold Adhesive Applied Atactic-Polypropylene-Modified Bituminous Membrane Roofing</t>
  </si>
  <si>
    <t>07 52 13.13</t>
  </si>
  <si>
    <t>Torch-Applied Atactic-Polypropylene-Modified Bituminous Membrane Roofing</t>
  </si>
  <si>
    <t>07 52 13.14</t>
  </si>
  <si>
    <t>Mechanically Fastened Atactic-Polypropylene-Modified Bituminous Membrane Roofing</t>
  </si>
  <si>
    <t>07 52 16</t>
  </si>
  <si>
    <t>Styrene-Butadiene-Styrene Modified Bituminous Membrane Roofing</t>
  </si>
  <si>
    <t>07 52 16.11</t>
  </si>
  <si>
    <t>Cold Adhesive Styrene-Butadiene-Styrene Modified Bituminous Membrane Roofing</t>
  </si>
  <si>
    <t>07 52 16.12</t>
  </si>
  <si>
    <t>Hot-Mopped Styrene-Butadiene-Styrene Modified Bituminous Membrane Roofing</t>
  </si>
  <si>
    <t>07 52 16.13</t>
  </si>
  <si>
    <t>Torch-Applied Styrene-Butadiene-Styrene Modified Bituminous Membrane Roofing</t>
  </si>
  <si>
    <t>07 52 16.14</t>
  </si>
  <si>
    <t>Mechanically Fastened Styrene-Butadiene-Styrene Modified Bituminous Membrane Roofing</t>
  </si>
  <si>
    <t>07 53 00</t>
  </si>
  <si>
    <t>Elastomeric Membrane Roofing</t>
  </si>
  <si>
    <t>07 53 13</t>
  </si>
  <si>
    <t>Chlorinated-Polyethylene Roofing</t>
  </si>
  <si>
    <t>07 53 16</t>
  </si>
  <si>
    <t>Chlorosulfonate-Polyethylene Roofing</t>
  </si>
  <si>
    <t>07 53 23</t>
  </si>
  <si>
    <t>Ethylene-Propylene-Diene-Monomer Roofing</t>
  </si>
  <si>
    <t>07 53 29</t>
  </si>
  <si>
    <t>Polyisobutylene Roofing</t>
  </si>
  <si>
    <t>07 54 00</t>
  </si>
  <si>
    <t>Thermoplastic Membrane Roofing</t>
  </si>
  <si>
    <t>07 54 13</t>
  </si>
  <si>
    <t>Copolymer-Alloy Roofing</t>
  </si>
  <si>
    <t>07 54 16</t>
  </si>
  <si>
    <t>Ethylene-Interpolymer Roofing</t>
  </si>
  <si>
    <t>07 54 19</t>
  </si>
  <si>
    <t>Polyvinyl-Chloride Roofing</t>
  </si>
  <si>
    <t>07 54 23</t>
  </si>
  <si>
    <t>Thermoplastic-Polyolefin Roofing</t>
  </si>
  <si>
    <t>07 54 26</t>
  </si>
  <si>
    <t>Nitrile-Butadiene-Polymer Roofing</t>
  </si>
  <si>
    <t>07 55 00</t>
  </si>
  <si>
    <t>Protected Membrane Roofing</t>
  </si>
  <si>
    <t>07 55 51</t>
  </si>
  <si>
    <t>Built-Up Bituminous Protected Membrane Roofing</t>
  </si>
  <si>
    <t>07 55 52</t>
  </si>
  <si>
    <t>Modified Bituminous Protected Membrane Roofing</t>
  </si>
  <si>
    <t>07 55 53</t>
  </si>
  <si>
    <t>Elastomeric Protected Membrane Roofing</t>
  </si>
  <si>
    <t>07 55 54</t>
  </si>
  <si>
    <t>Thermoplastic Protected Membrane Roofing</t>
  </si>
  <si>
    <t>07 55 56</t>
  </si>
  <si>
    <t>Fluid-Applied Protected Membrane Roofing</t>
  </si>
  <si>
    <t>07 55 56.13</t>
  </si>
  <si>
    <t>Hot-Applied Rubberized Asphalt Protected Membrane Roofing</t>
  </si>
  <si>
    <t>07 55 63</t>
  </si>
  <si>
    <t>Vegetated Protected Membrane Roofing</t>
  </si>
  <si>
    <t>07 56 00</t>
  </si>
  <si>
    <t>Fluid-Applied Roofing</t>
  </si>
  <si>
    <t>07 57 00</t>
  </si>
  <si>
    <t>Coated Foamed Roofing</t>
  </si>
  <si>
    <t>07 57 13</t>
  </si>
  <si>
    <t>Sprayed Polyurethane Foam Roofing</t>
  </si>
  <si>
    <t>07 58 00</t>
  </si>
  <si>
    <t>Roll Roofing</t>
  </si>
  <si>
    <t>07 60 00</t>
  </si>
  <si>
    <t>Flashing and Sheet Metal</t>
  </si>
  <si>
    <t>07 61 00</t>
  </si>
  <si>
    <t>Sheet Metal Roofing</t>
  </si>
  <si>
    <t>07 61 13</t>
  </si>
  <si>
    <t>Standing Seam Sheet Metal Roofing</t>
  </si>
  <si>
    <t>07 61 16</t>
  </si>
  <si>
    <t>Batten Seam Sheet Metal Roofing</t>
  </si>
  <si>
    <t>07 61 19</t>
  </si>
  <si>
    <t>Flat Seam Sheet Metal Roofing</t>
  </si>
  <si>
    <t>07 62 00</t>
  </si>
  <si>
    <t>Sheet Metal Flashing and Trim</t>
  </si>
  <si>
    <t>07 63 00</t>
  </si>
  <si>
    <t>Sheet Metal Roofing Specialties</t>
  </si>
  <si>
    <t>07 64 00</t>
  </si>
  <si>
    <t>Sheet Metal Wall Cladding</t>
  </si>
  <si>
    <t>07 64 13</t>
  </si>
  <si>
    <t>Standing Seam Sheet Metal Wall Cladding</t>
  </si>
  <si>
    <t>07 64 16</t>
  </si>
  <si>
    <t>Batten Seam Sheet Metal Wall Cladding</t>
  </si>
  <si>
    <t>07 64 19</t>
  </si>
  <si>
    <t>Flat Seam Sheet Metal Wall Cladding</t>
  </si>
  <si>
    <t>07 65 00</t>
  </si>
  <si>
    <t>Flexible Flashing</t>
  </si>
  <si>
    <t>07 65 13</t>
  </si>
  <si>
    <t>Laminated Sheet Flashing</t>
  </si>
  <si>
    <t>07 65 16</t>
  </si>
  <si>
    <t>Modified Bituminous Sheet Flashing</t>
  </si>
  <si>
    <t>07 65 19</t>
  </si>
  <si>
    <t>Plastic Sheet Flashing</t>
  </si>
  <si>
    <t>07 65 23</t>
  </si>
  <si>
    <t>Rubber Sheet Flashing</t>
  </si>
  <si>
    <t>07 65 26</t>
  </si>
  <si>
    <t>Self-Adhering Sheet Flashing</t>
  </si>
  <si>
    <t>07 70 00</t>
  </si>
  <si>
    <t>Roof and Wall Specialties and Accessories</t>
  </si>
  <si>
    <t>07 71 00</t>
  </si>
  <si>
    <t>Roof Specialties</t>
  </si>
  <si>
    <t>07 71 13</t>
  </si>
  <si>
    <t>Manufactured Copings</t>
  </si>
  <si>
    <t>07 71 16</t>
  </si>
  <si>
    <t>Manufactured Counterflashing Systems</t>
  </si>
  <si>
    <t>07 71 19</t>
  </si>
  <si>
    <t>Manufactured Gravel Stops and Fascias</t>
  </si>
  <si>
    <t>07 71 23</t>
  </si>
  <si>
    <t>Manufactured Gutters and Downspouts</t>
  </si>
  <si>
    <t>07 71 23.13</t>
  </si>
  <si>
    <t>Gutter Debris Guards</t>
  </si>
  <si>
    <t>07 71 26</t>
  </si>
  <si>
    <t>Reglets</t>
  </si>
  <si>
    <t>07 71 29</t>
  </si>
  <si>
    <t>Manufactured Roof Expansion Joints</t>
  </si>
  <si>
    <t>07 71 33</t>
  </si>
  <si>
    <t>Manufactured Scuppers</t>
  </si>
  <si>
    <t>07 72 00</t>
  </si>
  <si>
    <t>Roof Accessories</t>
  </si>
  <si>
    <t>07 72 13</t>
  </si>
  <si>
    <t>Manufactured Curbs</t>
  </si>
  <si>
    <t>07 72 23</t>
  </si>
  <si>
    <t>Relief Vents</t>
  </si>
  <si>
    <t>07 72 26</t>
  </si>
  <si>
    <t>Ridge Vents</t>
  </si>
  <si>
    <t>07 72 33</t>
  </si>
  <si>
    <t>Roof Hatches</t>
  </si>
  <si>
    <t>07 72 36</t>
  </si>
  <si>
    <t>Smoke Vents</t>
  </si>
  <si>
    <t>07 72 43</t>
  </si>
  <si>
    <t>Roof Walk Boards</t>
  </si>
  <si>
    <t>07 72 46</t>
  </si>
  <si>
    <t>Roof Walkways</t>
  </si>
  <si>
    <t>07 72 53</t>
  </si>
  <si>
    <t>Snow Guards</t>
  </si>
  <si>
    <t>07 72 63</t>
  </si>
  <si>
    <t>Waste Containment Assemblies</t>
  </si>
  <si>
    <t>07 76 00</t>
  </si>
  <si>
    <t>Roof Pavers</t>
  </si>
  <si>
    <t>07 76 13</t>
  </si>
  <si>
    <t>Roof Ballast Pavers</t>
  </si>
  <si>
    <t>07 76 16</t>
  </si>
  <si>
    <t>Roof Decking Pavers</t>
  </si>
  <si>
    <t>07 77 00</t>
  </si>
  <si>
    <t>Wall Specialties</t>
  </si>
  <si>
    <t>07 80 00</t>
  </si>
  <si>
    <t>Fire and Smoke Protection</t>
  </si>
  <si>
    <t>07 81 00</t>
  </si>
  <si>
    <t>Applied Fireproofing</t>
  </si>
  <si>
    <t>07 81 13</t>
  </si>
  <si>
    <t>Cement Aggregate Fireproofing</t>
  </si>
  <si>
    <t>07 81 16</t>
  </si>
  <si>
    <t>Cementitious Fireproofing</t>
  </si>
  <si>
    <t>07 81 19</t>
  </si>
  <si>
    <t>Foamed Magnesium-Oxychloride Fireproofing</t>
  </si>
  <si>
    <t>07 81 23</t>
  </si>
  <si>
    <t>Intumescent Fireproofing</t>
  </si>
  <si>
    <t>07 81 26</t>
  </si>
  <si>
    <t>Magnesium Cement Fireproofing</t>
  </si>
  <si>
    <t>07 81 29</t>
  </si>
  <si>
    <t>Mineral-Fiber Cementitious Fireproofing</t>
  </si>
  <si>
    <t>07 81 33</t>
  </si>
  <si>
    <t>Mineral-Fiber Fireproofing</t>
  </si>
  <si>
    <t>07 82 00</t>
  </si>
  <si>
    <t>Board Fireproofing</t>
  </si>
  <si>
    <t>07 82 13</t>
  </si>
  <si>
    <t>Calcium-Silicate Board Fireproofing</t>
  </si>
  <si>
    <t>07 82 16</t>
  </si>
  <si>
    <t>Slag-Fiber Board Fireproofing</t>
  </si>
  <si>
    <t>07 84 00</t>
  </si>
  <si>
    <t>Firestopping</t>
  </si>
  <si>
    <t>07 84 13</t>
  </si>
  <si>
    <t>Penetration Firestopping</t>
  </si>
  <si>
    <t>07 84 13.13</t>
  </si>
  <si>
    <t>Penetration Firestopping Mortars</t>
  </si>
  <si>
    <t>07 84 13.16</t>
  </si>
  <si>
    <t>Penetration Firestopping Devices</t>
  </si>
  <si>
    <t>07 84 43</t>
  </si>
  <si>
    <t>Joint Firestopping</t>
  </si>
  <si>
    <t>07 84 53</t>
  </si>
  <si>
    <t>Building Perimeter Firestopping</t>
  </si>
  <si>
    <t>07 86 00</t>
  </si>
  <si>
    <t>Smoke Seals</t>
  </si>
  <si>
    <t>07 87 00</t>
  </si>
  <si>
    <t>Smoke Containment Barriers</t>
  </si>
  <si>
    <t>07 90 00</t>
  </si>
  <si>
    <t>Joint Protection</t>
  </si>
  <si>
    <t>07 91 00</t>
  </si>
  <si>
    <t>Preformed Joint Seals</t>
  </si>
  <si>
    <t>07 91 13</t>
  </si>
  <si>
    <t>Compression Seals</t>
  </si>
  <si>
    <t>07 91 16</t>
  </si>
  <si>
    <t>Joint Gaskets</t>
  </si>
  <si>
    <t>07 91 23</t>
  </si>
  <si>
    <t>Backer Rods</t>
  </si>
  <si>
    <t>07 91 26</t>
  </si>
  <si>
    <t>Joint Fillers</t>
  </si>
  <si>
    <t>07 92 00</t>
  </si>
  <si>
    <t>Joint Sealants</t>
  </si>
  <si>
    <t>07 92 13</t>
  </si>
  <si>
    <t>Elastomeric Joint Sealants</t>
  </si>
  <si>
    <t>07 92 16</t>
  </si>
  <si>
    <t>Rigid Joint Sealants</t>
  </si>
  <si>
    <t>07 92 19</t>
  </si>
  <si>
    <t>Acoustical Joint Sealants</t>
  </si>
  <si>
    <t>07 95 00</t>
  </si>
  <si>
    <t>Expansion Control</t>
  </si>
  <si>
    <t>07 95 13</t>
  </si>
  <si>
    <t>Expansion Joint Cover Assemblies</t>
  </si>
  <si>
    <t>07 95 53</t>
  </si>
  <si>
    <t>Joint Slide Bearings</t>
  </si>
  <si>
    <t>07 95 63</t>
  </si>
  <si>
    <t>Bridge Expansion Joint Cover Assemblies</t>
  </si>
  <si>
    <t>08 00 00</t>
  </si>
  <si>
    <t>Openings</t>
  </si>
  <si>
    <t>08 01 00</t>
  </si>
  <si>
    <t>Operation and Maintenance of Openings</t>
  </si>
  <si>
    <t>08 01 10</t>
  </si>
  <si>
    <t>Operation and Maintenance of Doors and Frames</t>
  </si>
  <si>
    <t>08 01 11</t>
  </si>
  <si>
    <t>Operation and Maintenance of Metal Doors and Frames</t>
  </si>
  <si>
    <t>08 01 14</t>
  </si>
  <si>
    <t>Operation and Maintenance of Wood Doors</t>
  </si>
  <si>
    <t>08 01 15</t>
  </si>
  <si>
    <t>Operation and Maintenance of Plastic Doors</t>
  </si>
  <si>
    <t>08 01 16</t>
  </si>
  <si>
    <t>Operation and Maintenance of Composite Doors</t>
  </si>
  <si>
    <t>08 01 17</t>
  </si>
  <si>
    <t>Operation and Maintenance of Integrated Door Opening Assemblies</t>
  </si>
  <si>
    <t>08 01 30</t>
  </si>
  <si>
    <t>Operation and Maintenance of Specialty Doors and Frames</t>
  </si>
  <si>
    <t>08 01 32</t>
  </si>
  <si>
    <t>Operation and Maintenance of Sliding Glass Doors</t>
  </si>
  <si>
    <t>08 01 33</t>
  </si>
  <si>
    <t>Operation and Maintenance of Coiling Doors and Grilles</t>
  </si>
  <si>
    <t>08 01 34</t>
  </si>
  <si>
    <t>Operation and Maintenance of Special Function Doors</t>
  </si>
  <si>
    <t>08 01 35</t>
  </si>
  <si>
    <t>Operation and Maintenance of Folding Doors and Grilles</t>
  </si>
  <si>
    <t>08 01 36</t>
  </si>
  <si>
    <t>Operation and Maintenance of Panel Doors</t>
  </si>
  <si>
    <t>08 01 39</t>
  </si>
  <si>
    <t>Operation and Maintenance of Traffic Doors</t>
  </si>
  <si>
    <t>08 01 40</t>
  </si>
  <si>
    <t>Operation and Maintenance of Entrances, Storefronts, and Curtain Walls</t>
  </si>
  <si>
    <t>08 01 41</t>
  </si>
  <si>
    <t>Operation and Maintenance of Entrances</t>
  </si>
  <si>
    <t>08 01 42</t>
  </si>
  <si>
    <t>Operation and Maintenance of Storefronts</t>
  </si>
  <si>
    <t>08 01 44</t>
  </si>
  <si>
    <t>Operation and Maintenance of Curtain Walls</t>
  </si>
  <si>
    <t>08 01 50</t>
  </si>
  <si>
    <t>Operation and Maintenance of Windows</t>
  </si>
  <si>
    <t>08 01 51</t>
  </si>
  <si>
    <t>Operation and Maintenance of Metal Windows</t>
  </si>
  <si>
    <t>08 01 52</t>
  </si>
  <si>
    <t>Operation and Maintenance of Wood Windows</t>
  </si>
  <si>
    <t>08 01 52.61</t>
  </si>
  <si>
    <t>Wood Window Repairs</t>
  </si>
  <si>
    <t>08 01 52.71</t>
  </si>
  <si>
    <t>Wood Window Rehabilitation</t>
  </si>
  <si>
    <t>08 01 52.81</t>
  </si>
  <si>
    <t>Wood Window Replacement</t>
  </si>
  <si>
    <t>08 01 52.91</t>
  </si>
  <si>
    <t>Wood Window Restoration</t>
  </si>
  <si>
    <t>08 01 52.93</t>
  </si>
  <si>
    <t>Historic Treatment of Wood Windows</t>
  </si>
  <si>
    <t>08 01 53</t>
  </si>
  <si>
    <t>Operation and Maintenance of Plastic Windows</t>
  </si>
  <si>
    <t>08 01 54</t>
  </si>
  <si>
    <t>Operation and Maintenance of Composite Windows</t>
  </si>
  <si>
    <t>08 01 56</t>
  </si>
  <si>
    <t>Operation and Maintenance of Special Function Windows</t>
  </si>
  <si>
    <t>08 01 60</t>
  </si>
  <si>
    <t>Operation and Maintenance of Skylights and Roof Windows</t>
  </si>
  <si>
    <t>08 01 61</t>
  </si>
  <si>
    <t>Operation and Maintenance of Roof Windows</t>
  </si>
  <si>
    <t>08 01 62</t>
  </si>
  <si>
    <t>Operation and Maintenance of Unit Skylights</t>
  </si>
  <si>
    <t>08 01 63</t>
  </si>
  <si>
    <t>Operation and Maintenance of Metal-Framed Skylights</t>
  </si>
  <si>
    <t>08 01 64</t>
  </si>
  <si>
    <t>Operation and Maintenance of Plastic-Framed Skylights</t>
  </si>
  <si>
    <t>08 01 70</t>
  </si>
  <si>
    <t>Operation and Maintenance of Hardware</t>
  </si>
  <si>
    <t>08 01 71</t>
  </si>
  <si>
    <t>Operation and Maintenance of Door Hardware</t>
  </si>
  <si>
    <t>08 01 74</t>
  </si>
  <si>
    <t>Operation and Maintenance of Access Control Hardware</t>
  </si>
  <si>
    <t>08 01 75</t>
  </si>
  <si>
    <t>Operation and Maintenance of Window Hardware</t>
  </si>
  <si>
    <t>08 01 80</t>
  </si>
  <si>
    <t>Maintenance of Glazing</t>
  </si>
  <si>
    <t>08 01 81</t>
  </si>
  <si>
    <t>Maintenance of Glass Glazing</t>
  </si>
  <si>
    <t>08 01 84</t>
  </si>
  <si>
    <t>Maintenance of Plastic Glazing</t>
  </si>
  <si>
    <t>08 01 88</t>
  </si>
  <si>
    <t>Maintenance of Special Function Glazing</t>
  </si>
  <si>
    <t>08 01 90</t>
  </si>
  <si>
    <t>Operation and Maintenance of Louvers and Vents</t>
  </si>
  <si>
    <t>08 01 91</t>
  </si>
  <si>
    <t>Operation and Maintenance of Louvers</t>
  </si>
  <si>
    <t>08 01 92</t>
  </si>
  <si>
    <t>Operation and Maintenance of Louvered Equipment Enclosures</t>
  </si>
  <si>
    <t>08 01 95</t>
  </si>
  <si>
    <t>Operation and Maintenance of Vents</t>
  </si>
  <si>
    <t>08 05 00</t>
  </si>
  <si>
    <t>Common Work Results for Openings</t>
  </si>
  <si>
    <t>08 06 00</t>
  </si>
  <si>
    <t>Schedules for Openings</t>
  </si>
  <si>
    <t>08 06 10</t>
  </si>
  <si>
    <t>Door Schedule</t>
  </si>
  <si>
    <t>08 06 10.13</t>
  </si>
  <si>
    <t>Door Type Schedule</t>
  </si>
  <si>
    <t>08 06 10.16</t>
  </si>
  <si>
    <t>Frame Type Schedule</t>
  </si>
  <si>
    <t>08 06 40</t>
  </si>
  <si>
    <t>Schedules for Entrances, Storefronts, and Curtain Walls</t>
  </si>
  <si>
    <t>08 06 41</t>
  </si>
  <si>
    <t>Entrance Schedule</t>
  </si>
  <si>
    <t>08 06 42</t>
  </si>
  <si>
    <t>Storefront Schedule</t>
  </si>
  <si>
    <t>08 06 50</t>
  </si>
  <si>
    <t>Window Schedule</t>
  </si>
  <si>
    <t>08 06 60</t>
  </si>
  <si>
    <t>Skylight Schedule</t>
  </si>
  <si>
    <t>08 06 70</t>
  </si>
  <si>
    <t>Hardware Schedule</t>
  </si>
  <si>
    <t>08 06 71</t>
  </si>
  <si>
    <t>Door Hardware Schedule</t>
  </si>
  <si>
    <t>08 06 80</t>
  </si>
  <si>
    <t>Glazing Schedule</t>
  </si>
  <si>
    <t>08 06 90</t>
  </si>
  <si>
    <t>Louver and Vent Schedule</t>
  </si>
  <si>
    <t>08 08 00</t>
  </si>
  <si>
    <t>Commissioning of Openings</t>
  </si>
  <si>
    <t>08 10 00</t>
  </si>
  <si>
    <t>Doors and Frames</t>
  </si>
  <si>
    <t>08 11 00</t>
  </si>
  <si>
    <t>Metal Doors and Frames</t>
  </si>
  <si>
    <t>08 11 13</t>
  </si>
  <si>
    <t>Hollow Metal Doors and Frames</t>
  </si>
  <si>
    <t>08 11 13.13</t>
  </si>
  <si>
    <t>Standard Hollow Metal Doors and Frames</t>
  </si>
  <si>
    <t>08 11 13.16</t>
  </si>
  <si>
    <t>Custom Hollow Metal Doors and Frames</t>
  </si>
  <si>
    <t>08 11 16</t>
  </si>
  <si>
    <t>Aluminum Doors and Frames</t>
  </si>
  <si>
    <t>08 11 19</t>
  </si>
  <si>
    <t>Stainless-Steel Doors and Frames</t>
  </si>
  <si>
    <t>08 11 23</t>
  </si>
  <si>
    <t>Bronze Doors and Frames</t>
  </si>
  <si>
    <t>08 11 63</t>
  </si>
  <si>
    <t>Metal Screen and Storm Doors and Frames</t>
  </si>
  <si>
    <t>08 11 63.13</t>
  </si>
  <si>
    <t>Steel Screen and Storm Doors and Frames</t>
  </si>
  <si>
    <t>08 11 63.23</t>
  </si>
  <si>
    <t>Aluminum Screen and Storm Doors and Frames</t>
  </si>
  <si>
    <t>08 11 66</t>
  </si>
  <si>
    <t>Metal Screen Doors and Frames</t>
  </si>
  <si>
    <t>08 11 66.13</t>
  </si>
  <si>
    <t>Steel Screen Doors and Frames</t>
  </si>
  <si>
    <t>08 11 66.23</t>
  </si>
  <si>
    <t>Aluminum Screen Doors and Frames</t>
  </si>
  <si>
    <t>08 11 69</t>
  </si>
  <si>
    <t>Metal Storm Doors and Frames</t>
  </si>
  <si>
    <t>08 11 69.13</t>
  </si>
  <si>
    <t>Steel Storm Doors and Frames</t>
  </si>
  <si>
    <t>08 11 69.23</t>
  </si>
  <si>
    <t>Aluminum Storm Doors and Frames</t>
  </si>
  <si>
    <t>08 11 73</t>
  </si>
  <si>
    <t>Sliding Metal Fire Doors</t>
  </si>
  <si>
    <t>08 11 74</t>
  </si>
  <si>
    <t>Sliding Metal Grilles</t>
  </si>
  <si>
    <t>08 12 00</t>
  </si>
  <si>
    <t>Metal Frames</t>
  </si>
  <si>
    <t>08 12 13</t>
  </si>
  <si>
    <t>Hollow Metal Frames</t>
  </si>
  <si>
    <t>08 12 13.13</t>
  </si>
  <si>
    <t>Standard Hollow Metal Frames</t>
  </si>
  <si>
    <t>08 12 13.53</t>
  </si>
  <si>
    <t>Custom Hollow Metal Frames</t>
  </si>
  <si>
    <t>08 12 16</t>
  </si>
  <si>
    <t>Aluminum Frames</t>
  </si>
  <si>
    <t>08 12 19</t>
  </si>
  <si>
    <t>Stainless-Steel Frames</t>
  </si>
  <si>
    <t>08 12 23</t>
  </si>
  <si>
    <t>Bronze Frames</t>
  </si>
  <si>
    <t>08 13 00</t>
  </si>
  <si>
    <t>Metal Doors</t>
  </si>
  <si>
    <t>08 13 13</t>
  </si>
  <si>
    <t>Hollow Metal Doors</t>
  </si>
  <si>
    <t>08 13 16</t>
  </si>
  <si>
    <t>Aluminum Doors</t>
  </si>
  <si>
    <t>08 13 19</t>
  </si>
  <si>
    <t>Stainless-Steel Doors</t>
  </si>
  <si>
    <t>08 13 23</t>
  </si>
  <si>
    <t>Bronze Doors</t>
  </si>
  <si>
    <t>08 13 73</t>
  </si>
  <si>
    <t>Sliding Metal Doors</t>
  </si>
  <si>
    <t>08 13 76</t>
  </si>
  <si>
    <t>Bifolding Metal Doors</t>
  </si>
  <si>
    <t>08 14 00</t>
  </si>
  <si>
    <t>Wood Doors</t>
  </si>
  <si>
    <t>08 14 13</t>
  </si>
  <si>
    <t>Carved Wood Doors</t>
  </si>
  <si>
    <t>08 14 16</t>
  </si>
  <si>
    <t>Flush Wood Doors</t>
  </si>
  <si>
    <t>08 14 23</t>
  </si>
  <si>
    <t>Clad Wood Doors</t>
  </si>
  <si>
    <t>08 14 23.13</t>
  </si>
  <si>
    <t>Metal-Faced Wood Doors</t>
  </si>
  <si>
    <t>08 14 23.16</t>
  </si>
  <si>
    <t>Plastic-Laminate-Faced Wood Doors</t>
  </si>
  <si>
    <t>08 14 23.19</t>
  </si>
  <si>
    <t>Molded-Hardboard-Faced Wood Doors</t>
  </si>
  <si>
    <t>08 14 29</t>
  </si>
  <si>
    <t>Prefinished Wood Doors</t>
  </si>
  <si>
    <t>08 14 33</t>
  </si>
  <si>
    <t>Stile and Rail Wood Doors</t>
  </si>
  <si>
    <t>08 14 66</t>
  </si>
  <si>
    <t>Wood Screen Doors</t>
  </si>
  <si>
    <t>08 14 69</t>
  </si>
  <si>
    <t>Wood Storm Doors</t>
  </si>
  <si>
    <t>08 14 73</t>
  </si>
  <si>
    <t>Sliding Wood Doors</t>
  </si>
  <si>
    <t>08 14 76</t>
  </si>
  <si>
    <t>Bifolding Wood Doors</t>
  </si>
  <si>
    <t>08 15 00</t>
  </si>
  <si>
    <t>Plastic Doors</t>
  </si>
  <si>
    <t>08 15 13</t>
  </si>
  <si>
    <t>Laminated Plastic Doors</t>
  </si>
  <si>
    <t>08 15 16</t>
  </si>
  <si>
    <t>Solid Plastic Doors</t>
  </si>
  <si>
    <t>08 15 66</t>
  </si>
  <si>
    <t>Plastic Screen Doors</t>
  </si>
  <si>
    <t>08 15 69</t>
  </si>
  <si>
    <t>Plastic Storm Doors</t>
  </si>
  <si>
    <t>08 15 73</t>
  </si>
  <si>
    <t>Sliding Plastic Doors</t>
  </si>
  <si>
    <t>08 15 76</t>
  </si>
  <si>
    <t>Bifolding Plastic Doors</t>
  </si>
  <si>
    <t>08 16 00</t>
  </si>
  <si>
    <t>Composite Doors</t>
  </si>
  <si>
    <t>08 16 13</t>
  </si>
  <si>
    <t>Fiberglass Doors</t>
  </si>
  <si>
    <t>08 16 73</t>
  </si>
  <si>
    <t>Sliding Composite Doors</t>
  </si>
  <si>
    <t>08 16 76</t>
  </si>
  <si>
    <t>Bifolding Composite Doors</t>
  </si>
  <si>
    <t>08 17 00</t>
  </si>
  <si>
    <t>Integrated Door Opening Assemblies</t>
  </si>
  <si>
    <t>08 17 13</t>
  </si>
  <si>
    <t>Integrated Metal Door Opening Assemblies</t>
  </si>
  <si>
    <t>08 17 23</t>
  </si>
  <si>
    <t>Integrated Wood Door Opening Assemblies</t>
  </si>
  <si>
    <t>08 17 33</t>
  </si>
  <si>
    <t>Integrated Plastic Door Opening Assemblies</t>
  </si>
  <si>
    <t>08 17 43</t>
  </si>
  <si>
    <t>Integrated Composite Door Opening Assemblies</t>
  </si>
  <si>
    <t>08 30 00</t>
  </si>
  <si>
    <t>Specialty Doors and Frames</t>
  </si>
  <si>
    <t>08 31 00</t>
  </si>
  <si>
    <t>Access Doors and Panels</t>
  </si>
  <si>
    <t>08 31 13</t>
  </si>
  <si>
    <t>Access Doors and Frames</t>
  </si>
  <si>
    <t>08 31 13.53</t>
  </si>
  <si>
    <t>Security Access Doors and Frames</t>
  </si>
  <si>
    <t>08 31 16</t>
  </si>
  <si>
    <t>Access Panels and Frames</t>
  </si>
  <si>
    <t>08 32 00</t>
  </si>
  <si>
    <t>Sliding Glass Doors</t>
  </si>
  <si>
    <t>08 32 13</t>
  </si>
  <si>
    <t>Sliding Aluminum-Framed Glass Doors</t>
  </si>
  <si>
    <t>08 32 16</t>
  </si>
  <si>
    <t>Sliding Plastic-Framed Glass Doors</t>
  </si>
  <si>
    <t>08 32 19</t>
  </si>
  <si>
    <t>Sliding Wood-Framed Glass Doors</t>
  </si>
  <si>
    <t>08 33 00</t>
  </si>
  <si>
    <t>Coiling Doors and Grilles</t>
  </si>
  <si>
    <t>08 33 13</t>
  </si>
  <si>
    <t>Coiling Counter Doors</t>
  </si>
  <si>
    <t>08 33 16</t>
  </si>
  <si>
    <t>Coiling Counter Grilles</t>
  </si>
  <si>
    <t>08 33 23</t>
  </si>
  <si>
    <t>Overhead Coiling Doors</t>
  </si>
  <si>
    <t>08 33 23.13</t>
  </si>
  <si>
    <t>Overhead Rapid Coiling Doors</t>
  </si>
  <si>
    <t>08 33 26</t>
  </si>
  <si>
    <t>Overhead Coiling Grilles</t>
  </si>
  <si>
    <t>08 33 33</t>
  </si>
  <si>
    <t>Side Coiling Doors</t>
  </si>
  <si>
    <t>08 33 36</t>
  </si>
  <si>
    <t>Side Coiling Grilles</t>
  </si>
  <si>
    <t>08 33 43</t>
  </si>
  <si>
    <t>Overhead Coiling Smoke Curtains</t>
  </si>
  <si>
    <t>08 34 00</t>
  </si>
  <si>
    <t>Special Function Doors</t>
  </si>
  <si>
    <t>08 34 13</t>
  </si>
  <si>
    <t>Cold Storage Doors</t>
  </si>
  <si>
    <t>08 34 16</t>
  </si>
  <si>
    <t>Hangar Doors</t>
  </si>
  <si>
    <t>08 34 19</t>
  </si>
  <si>
    <t>Industrial Doors</t>
  </si>
  <si>
    <t>08 34 33</t>
  </si>
  <si>
    <t>Lightproof Doors</t>
  </si>
  <si>
    <t>08 34 36</t>
  </si>
  <si>
    <t>Darkroom Doors</t>
  </si>
  <si>
    <t>08 34 46</t>
  </si>
  <si>
    <t>Radio-Frequency-Interference Shielding Doors</t>
  </si>
  <si>
    <t>08 34 49</t>
  </si>
  <si>
    <t>Radiation Shielding Doors and Frames</t>
  </si>
  <si>
    <t>08 34 49.13</t>
  </si>
  <si>
    <t>Neutron Shielding Doors and Frames</t>
  </si>
  <si>
    <t>08 34 53</t>
  </si>
  <si>
    <t>Security Doors and Frames</t>
  </si>
  <si>
    <t>08 34 56</t>
  </si>
  <si>
    <t>Security Gates</t>
  </si>
  <si>
    <t>08 34 58</t>
  </si>
  <si>
    <t>File Room Doors and Frames</t>
  </si>
  <si>
    <t>08 34 59</t>
  </si>
  <si>
    <t>Vault Doors and Day Gates</t>
  </si>
  <si>
    <t>08 34 63</t>
  </si>
  <si>
    <t>Detention Doors and Frames</t>
  </si>
  <si>
    <t>08 34 63.13</t>
  </si>
  <si>
    <t>Steel Detention Doors and Frames</t>
  </si>
  <si>
    <t>08 34 63.16</t>
  </si>
  <si>
    <t>Steel Plate Detention Doors and Frames</t>
  </si>
  <si>
    <t>08 34 63.33</t>
  </si>
  <si>
    <t>Detention Door Frame Protection</t>
  </si>
  <si>
    <t>08 34 73</t>
  </si>
  <si>
    <t>Sound Control Door Assemblies</t>
  </si>
  <si>
    <t>08 35 00</t>
  </si>
  <si>
    <t>Folding Doors and Grilles</t>
  </si>
  <si>
    <t>08 35 13</t>
  </si>
  <si>
    <t>Folding Doors</t>
  </si>
  <si>
    <t>08 35 13.13</t>
  </si>
  <si>
    <t>Accordion Folding Doors</t>
  </si>
  <si>
    <t>08 35 13.23</t>
  </si>
  <si>
    <t>Accordion Folding Fire Doors</t>
  </si>
  <si>
    <t>08 35 13.33</t>
  </si>
  <si>
    <t>Panel Folding Doors</t>
  </si>
  <si>
    <t>08 35 16</t>
  </si>
  <si>
    <t>Folding Grilles</t>
  </si>
  <si>
    <t>08 35 16.13</t>
  </si>
  <si>
    <t>Accordion Folding Grilles</t>
  </si>
  <si>
    <t>08 36 00</t>
  </si>
  <si>
    <t>Panel Doors</t>
  </si>
  <si>
    <t>08 36 13</t>
  </si>
  <si>
    <t>Sectional Doors</t>
  </si>
  <si>
    <t>08 36 16</t>
  </si>
  <si>
    <t>Single-Panel Doors</t>
  </si>
  <si>
    <t>08 36 19</t>
  </si>
  <si>
    <t>Multi-Leaf Vertical Lift Doors</t>
  </si>
  <si>
    <t>08 36 23</t>
  </si>
  <si>
    <t>Telescoping Vertical Lift Doors</t>
  </si>
  <si>
    <t>08 38 00</t>
  </si>
  <si>
    <t>Traffic Doors</t>
  </si>
  <si>
    <t>08 38 13</t>
  </si>
  <si>
    <t>Flexible Strip Doors</t>
  </si>
  <si>
    <t>08 38 16</t>
  </si>
  <si>
    <t>Flexible Traffic Doors</t>
  </si>
  <si>
    <t>08 38 19</t>
  </si>
  <si>
    <t>Rigid Traffic Doors</t>
  </si>
  <si>
    <t>08 39 00</t>
  </si>
  <si>
    <t>Pressure-Resistant Doors</t>
  </si>
  <si>
    <t>08 39 13</t>
  </si>
  <si>
    <t>Airtight Doors</t>
  </si>
  <si>
    <t>08 39 19</t>
  </si>
  <si>
    <t>Watertight Doors</t>
  </si>
  <si>
    <t>08 39 53</t>
  </si>
  <si>
    <t>Blast-Resistant Doors</t>
  </si>
  <si>
    <t>08 40 00</t>
  </si>
  <si>
    <t>Entrances, Storefronts, and Curtain Walls</t>
  </si>
  <si>
    <t>08 41 00</t>
  </si>
  <si>
    <t>Entrances and Storefronts</t>
  </si>
  <si>
    <t>08 41 13</t>
  </si>
  <si>
    <t>Aluminum-Framed Entrances and Storefronts</t>
  </si>
  <si>
    <t>08 41 16</t>
  </si>
  <si>
    <t>Bronze-Framed Entrances and Storefronts</t>
  </si>
  <si>
    <t>08 41 19</t>
  </si>
  <si>
    <t>Stainless-Steel-Framed Entrances and Storefronts</t>
  </si>
  <si>
    <t>08 41 23</t>
  </si>
  <si>
    <t>Steel-Framed Entrances and Storefronts</t>
  </si>
  <si>
    <t>08 41 26</t>
  </si>
  <si>
    <t>All-Glass Entrances and Storefronts</t>
  </si>
  <si>
    <t>08 42 00</t>
  </si>
  <si>
    <t>Entrances</t>
  </si>
  <si>
    <t>08 42 26</t>
  </si>
  <si>
    <t>All-Glass Entrances</t>
  </si>
  <si>
    <t>08 42 29</t>
  </si>
  <si>
    <t>Automatic Entrances</t>
  </si>
  <si>
    <t>08 42 29.13</t>
  </si>
  <si>
    <t>Folding Automatic Entrances</t>
  </si>
  <si>
    <t>08 42 29.23</t>
  </si>
  <si>
    <t>Sliding Automatic Entrances</t>
  </si>
  <si>
    <t>08 42 29.33</t>
  </si>
  <si>
    <t>Swinging Automatic Entrances</t>
  </si>
  <si>
    <t>08 42 33</t>
  </si>
  <si>
    <t>Revolving Door Entrances</t>
  </si>
  <si>
    <t>08 42 33.13</t>
  </si>
  <si>
    <t>Security Revolving Door Entrances</t>
  </si>
  <si>
    <t>08 42 36</t>
  </si>
  <si>
    <t>Balanced Door Entrances</t>
  </si>
  <si>
    <t>08 42 39</t>
  </si>
  <si>
    <t>Pressure-Resistant Entrances</t>
  </si>
  <si>
    <t>08 42 43</t>
  </si>
  <si>
    <t>Intensive Care Unit/Critical Care Unit Entrances</t>
  </si>
  <si>
    <t>08 43 00</t>
  </si>
  <si>
    <t>Storefronts</t>
  </si>
  <si>
    <t>08 43 11</t>
  </si>
  <si>
    <t>Timber-Framed Storefronts</t>
  </si>
  <si>
    <t>08 43 13</t>
  </si>
  <si>
    <t>Aluminum-Framed Storefronts</t>
  </si>
  <si>
    <t>08 43 16</t>
  </si>
  <si>
    <t>Bronze-Framed Storefronts</t>
  </si>
  <si>
    <t>08 43 19</t>
  </si>
  <si>
    <t>Stainless-Steel-Framed Storefronts</t>
  </si>
  <si>
    <t>08 43 23</t>
  </si>
  <si>
    <t>Steel-Framed Storefronts</t>
  </si>
  <si>
    <t>08 43 26</t>
  </si>
  <si>
    <t>All-Glass Storefronts</t>
  </si>
  <si>
    <t>08 43 27</t>
  </si>
  <si>
    <t>Channel Glass Storefronts</t>
  </si>
  <si>
    <t>08 43 29</t>
  </si>
  <si>
    <t>Sliding Storefronts</t>
  </si>
  <si>
    <t>08 44 00</t>
  </si>
  <si>
    <t>Curtain Wall and Glazed Assemblies</t>
  </si>
  <si>
    <t>08 44 11</t>
  </si>
  <si>
    <t>Glazed Timber Curtain Walls</t>
  </si>
  <si>
    <t>08 44 13</t>
  </si>
  <si>
    <t>Glazed Aluminum Curtain Walls</t>
  </si>
  <si>
    <t>08 44 16</t>
  </si>
  <si>
    <t>Glazed Bronze Curtain Walls</t>
  </si>
  <si>
    <t>08 44 18</t>
  </si>
  <si>
    <t>Glazed Steel Curtain Walls</t>
  </si>
  <si>
    <t>08 44 19</t>
  </si>
  <si>
    <t>Glazed Stainless-Steel Curtain Walls</t>
  </si>
  <si>
    <t>08 44 23</t>
  </si>
  <si>
    <t>Structural Sealant Glazed Curtain Walls</t>
  </si>
  <si>
    <t>08 44 26</t>
  </si>
  <si>
    <t>Structural Glass Curtain Walls</t>
  </si>
  <si>
    <t>08 44 26.19</t>
  </si>
  <si>
    <t>Point Supported Structural Glass</t>
  </si>
  <si>
    <t>08 44 33</t>
  </si>
  <si>
    <t>Sloped Glazing Assemblies</t>
  </si>
  <si>
    <t>08 45 00</t>
  </si>
  <si>
    <t>Translucent Wall and Roof Assemblies</t>
  </si>
  <si>
    <t>08 45 13</t>
  </si>
  <si>
    <t>Structured-Polycarbonate-Panel Assemblies</t>
  </si>
  <si>
    <t>08 45 23</t>
  </si>
  <si>
    <t>Fiberglass-Sandwich-Panel Assemblies</t>
  </si>
  <si>
    <t>08 50 00</t>
  </si>
  <si>
    <t>Windows</t>
  </si>
  <si>
    <t>08 51 00</t>
  </si>
  <si>
    <t>Metal Windows</t>
  </si>
  <si>
    <t>08 51 13</t>
  </si>
  <si>
    <t>Aluminum Windows</t>
  </si>
  <si>
    <t>08 51 16</t>
  </si>
  <si>
    <t>Bronze Windows</t>
  </si>
  <si>
    <t>08 51 19</t>
  </si>
  <si>
    <t>Stainless-Steel Windows</t>
  </si>
  <si>
    <t>08 51 23</t>
  </si>
  <si>
    <t>Steel Windows</t>
  </si>
  <si>
    <t>08 51 66</t>
  </si>
  <si>
    <t>Metal Window Screens</t>
  </si>
  <si>
    <t>08 51 69</t>
  </si>
  <si>
    <t>Metal Storm Windows</t>
  </si>
  <si>
    <t>08 52 00</t>
  </si>
  <si>
    <t>Wood Windows</t>
  </si>
  <si>
    <t>08 52 13</t>
  </si>
  <si>
    <t>Metal-Clad Wood Windows</t>
  </si>
  <si>
    <t>08 52 16</t>
  </si>
  <si>
    <t>Plastic-Clad Wood Windows</t>
  </si>
  <si>
    <t>08 52 66</t>
  </si>
  <si>
    <t>Wood Window Screens</t>
  </si>
  <si>
    <t>08 52 69</t>
  </si>
  <si>
    <t>Wood Storm Windows</t>
  </si>
  <si>
    <t>08 53 00</t>
  </si>
  <si>
    <t>Plastic Windows</t>
  </si>
  <si>
    <t>08 53 13</t>
  </si>
  <si>
    <t>Vinyl Windows</t>
  </si>
  <si>
    <t>08 53 66</t>
  </si>
  <si>
    <t>Vinyl Window Screens</t>
  </si>
  <si>
    <t>08 53 69</t>
  </si>
  <si>
    <t>Vinyl Storm Windows</t>
  </si>
  <si>
    <t>08 54 00</t>
  </si>
  <si>
    <t>Composite Windows</t>
  </si>
  <si>
    <t>08 54 13</t>
  </si>
  <si>
    <t>Fiberglass Windows</t>
  </si>
  <si>
    <t>08 54 66</t>
  </si>
  <si>
    <t>Fiberglass Window Screens</t>
  </si>
  <si>
    <t>08 54 69</t>
  </si>
  <si>
    <t>Fiberglass Storm Windows</t>
  </si>
  <si>
    <t>08 55 00</t>
  </si>
  <si>
    <t>Pressure-Resistant Windows</t>
  </si>
  <si>
    <t>08 56 00</t>
  </si>
  <si>
    <t>Special Function Windows</t>
  </si>
  <si>
    <t>08 56 19</t>
  </si>
  <si>
    <t>Pass Windows</t>
  </si>
  <si>
    <t>08 56 46</t>
  </si>
  <si>
    <t>Radio-Frequency-Interference Shielding Windows</t>
  </si>
  <si>
    <t>08 56 49</t>
  </si>
  <si>
    <t>Radiation Shielding Windows</t>
  </si>
  <si>
    <t>08 56 53</t>
  </si>
  <si>
    <t>Security Windows</t>
  </si>
  <si>
    <t>08 56 56</t>
  </si>
  <si>
    <t>Security Window Screens</t>
  </si>
  <si>
    <t>08 56 59</t>
  </si>
  <si>
    <t>Service and Teller Window Units</t>
  </si>
  <si>
    <t>08 56 63</t>
  </si>
  <si>
    <t>Detention Windows</t>
  </si>
  <si>
    <t>08 56 66</t>
  </si>
  <si>
    <t>Detention Window Screens</t>
  </si>
  <si>
    <t>08 56 73</t>
  </si>
  <si>
    <t>Sound Control Windows</t>
  </si>
  <si>
    <t>08 56 88</t>
  </si>
  <si>
    <t>Interior Insulating Windows</t>
  </si>
  <si>
    <t>08 60 00</t>
  </si>
  <si>
    <t>Roof Windows and Skylights</t>
  </si>
  <si>
    <t>08 61 00</t>
  </si>
  <si>
    <t>Roof Windows</t>
  </si>
  <si>
    <t>08 61 13</t>
  </si>
  <si>
    <t>Metal Roof Windows</t>
  </si>
  <si>
    <t>08 61 16</t>
  </si>
  <si>
    <t>Wood Roof Windows</t>
  </si>
  <si>
    <t>08 62 00</t>
  </si>
  <si>
    <t>Unit Skylights</t>
  </si>
  <si>
    <t>08 62 13</t>
  </si>
  <si>
    <t>Domed Unit Skylights</t>
  </si>
  <si>
    <t>08 62 16</t>
  </si>
  <si>
    <t>Pyramidal Unit Skylights</t>
  </si>
  <si>
    <t>08 62 19</t>
  </si>
  <si>
    <t>Vaulted Unit Skylights</t>
  </si>
  <si>
    <t>08 62 23</t>
  </si>
  <si>
    <t>Tubular Skylights</t>
  </si>
  <si>
    <t>08 63 00</t>
  </si>
  <si>
    <t>Metal-Framed Skylights</t>
  </si>
  <si>
    <t>08 63 13</t>
  </si>
  <si>
    <t>Domed Metal-Framed Skylights</t>
  </si>
  <si>
    <t>08 63 16</t>
  </si>
  <si>
    <t>Pyramidal Metal-Framed Skylights</t>
  </si>
  <si>
    <t>08 63 19</t>
  </si>
  <si>
    <t>Vaulted Metal-Framed Skylights</t>
  </si>
  <si>
    <t>08 63 23</t>
  </si>
  <si>
    <t>Ridge Metal-Framed Skylights</t>
  </si>
  <si>
    <t>08 63 53</t>
  </si>
  <si>
    <t>Motorized Metal-Framed Skylights</t>
  </si>
  <si>
    <t>08 64 00</t>
  </si>
  <si>
    <t>Plastic-Framed Skylights</t>
  </si>
  <si>
    <t>08 67 00</t>
  </si>
  <si>
    <t>Skylight Protection and Screens</t>
  </si>
  <si>
    <t>08 70 00</t>
  </si>
  <si>
    <t>Hardware</t>
  </si>
  <si>
    <t>08 71 00</t>
  </si>
  <si>
    <t>Door Hardware</t>
  </si>
  <si>
    <t>08 71 13</t>
  </si>
  <si>
    <t>Automatic Door Operators</t>
  </si>
  <si>
    <t>08 71 53</t>
  </si>
  <si>
    <t>Security Door Hardware</t>
  </si>
  <si>
    <t>08 71 63</t>
  </si>
  <si>
    <t>Detention Door Hardware</t>
  </si>
  <si>
    <t>08 74 00</t>
  </si>
  <si>
    <t>Access Control Hardware</t>
  </si>
  <si>
    <t>08 74 13</t>
  </si>
  <si>
    <t>Card Key Access Control Hardware</t>
  </si>
  <si>
    <t>08 74 16</t>
  </si>
  <si>
    <t>Keypad Access Control Hardware</t>
  </si>
  <si>
    <t>08 74 19</t>
  </si>
  <si>
    <t>Biometric Identity Access Control Hardware</t>
  </si>
  <si>
    <t>08 75 00</t>
  </si>
  <si>
    <t>Window Hardware</t>
  </si>
  <si>
    <t>08 75 13</t>
  </si>
  <si>
    <t>Automatic Window Equipment</t>
  </si>
  <si>
    <t>08 75 16</t>
  </si>
  <si>
    <t>Window Operators</t>
  </si>
  <si>
    <t>08 78 00</t>
  </si>
  <si>
    <t>Special Function Hardware</t>
  </si>
  <si>
    <t>08 79 00</t>
  </si>
  <si>
    <t>Hardware Accessories</t>
  </si>
  <si>
    <t>08 79 13</t>
  </si>
  <si>
    <t>Key Storage Equipment</t>
  </si>
  <si>
    <t>08 80 00</t>
  </si>
  <si>
    <t>Glazing</t>
  </si>
  <si>
    <t>08 81 00</t>
  </si>
  <si>
    <t>Glass Glazing</t>
  </si>
  <si>
    <t>08 81 13</t>
  </si>
  <si>
    <t>Decorative Glass Glazing</t>
  </si>
  <si>
    <t>08 83 00</t>
  </si>
  <si>
    <t>Mirrors</t>
  </si>
  <si>
    <t>08 83 13</t>
  </si>
  <si>
    <t>Mirrored Glass Glazing</t>
  </si>
  <si>
    <t>08 83 16</t>
  </si>
  <si>
    <t>Mirrored Plastic Glazing</t>
  </si>
  <si>
    <t>08 84 00</t>
  </si>
  <si>
    <t>Plastic Glazing</t>
  </si>
  <si>
    <t>08 84 13</t>
  </si>
  <si>
    <t>Decorative Plastic Glazing</t>
  </si>
  <si>
    <t>08 85 00</t>
  </si>
  <si>
    <t>Glazing Accessories</t>
  </si>
  <si>
    <t>08 87 00</t>
  </si>
  <si>
    <t>Glazing Surface Films</t>
  </si>
  <si>
    <t>08 87 13</t>
  </si>
  <si>
    <t>Solar Control Films</t>
  </si>
  <si>
    <t>08 87 23</t>
  </si>
  <si>
    <t>Safety and Security Films</t>
  </si>
  <si>
    <t>08 87 23.13</t>
  </si>
  <si>
    <t>Safety Films</t>
  </si>
  <si>
    <t>08 87 23.16</t>
  </si>
  <si>
    <t>Security Films</t>
  </si>
  <si>
    <t>08 87 33</t>
  </si>
  <si>
    <t>Decorative Films</t>
  </si>
  <si>
    <t>08 88 00</t>
  </si>
  <si>
    <t>Special Function Glazing</t>
  </si>
  <si>
    <t>08 88 13</t>
  </si>
  <si>
    <t>Fire-Resistant Glazing</t>
  </si>
  <si>
    <t>08 88 19</t>
  </si>
  <si>
    <t>Hurricane-Resistant Glazing</t>
  </si>
  <si>
    <t>08 88 23</t>
  </si>
  <si>
    <t>Cable Suspended Glazing</t>
  </si>
  <si>
    <t>08 88 33</t>
  </si>
  <si>
    <t>Transparent Mirrored Glazing</t>
  </si>
  <si>
    <t>08 88 36</t>
  </si>
  <si>
    <t>Switchable Glass</t>
  </si>
  <si>
    <t>08 88 36.16</t>
  </si>
  <si>
    <t>Electronically Controlled Switchable Glass</t>
  </si>
  <si>
    <t>08 88 39</t>
  </si>
  <si>
    <t>Pressure-Resistant Glazing</t>
  </si>
  <si>
    <t>08 88 49</t>
  </si>
  <si>
    <t>Radiation-Resistant Glazing</t>
  </si>
  <si>
    <t>08 88 53</t>
  </si>
  <si>
    <t>Security Glazing</t>
  </si>
  <si>
    <t>08 88 56</t>
  </si>
  <si>
    <t>Ballistics-Resistant Glazing</t>
  </si>
  <si>
    <t>08 90 00</t>
  </si>
  <si>
    <t>Louvers and Vents</t>
  </si>
  <si>
    <t>08 91 00</t>
  </si>
  <si>
    <t>Louvers</t>
  </si>
  <si>
    <t>08 91 13</t>
  </si>
  <si>
    <t>Motorized Wall Louvers</t>
  </si>
  <si>
    <t>08 91 16</t>
  </si>
  <si>
    <t>Operable Wall Louvers</t>
  </si>
  <si>
    <t>08 91 19</t>
  </si>
  <si>
    <t>Fixed Louvers</t>
  </si>
  <si>
    <t>08 91 26</t>
  </si>
  <si>
    <t>Door Louvers</t>
  </si>
  <si>
    <t>08 92 00</t>
  </si>
  <si>
    <t>Louvered Equipment Enclosures</t>
  </si>
  <si>
    <t>08 95 00</t>
  </si>
  <si>
    <t>Vents</t>
  </si>
  <si>
    <t>08 95 13</t>
  </si>
  <si>
    <t>Soffit Vents</t>
  </si>
  <si>
    <t>08 95 16</t>
  </si>
  <si>
    <t>Wall Vents</t>
  </si>
  <si>
    <t>08 95 33</t>
  </si>
  <si>
    <t>Explosion Vents</t>
  </si>
  <si>
    <t>08 95 43</t>
  </si>
  <si>
    <t>Flood Vents</t>
  </si>
  <si>
    <t>09 00 00</t>
  </si>
  <si>
    <t>Finishes</t>
  </si>
  <si>
    <t>09 01 00</t>
  </si>
  <si>
    <t>Maintenance of Finishes</t>
  </si>
  <si>
    <t>09 01 20</t>
  </si>
  <si>
    <t>Maintenance of Plaster and Gypsum Board</t>
  </si>
  <si>
    <t>09 01 20.91</t>
  </si>
  <si>
    <t>Plaster Restoration</t>
  </si>
  <si>
    <t>09 01 30</t>
  </si>
  <si>
    <t>Maintenance of Tiling</t>
  </si>
  <si>
    <t>09 01 30.91</t>
  </si>
  <si>
    <t>Tile Restoration</t>
  </si>
  <si>
    <t>09 01 50</t>
  </si>
  <si>
    <t>Maintenance of Ceilings</t>
  </si>
  <si>
    <t>09 01 50.91</t>
  </si>
  <si>
    <t>Ceiling Restoration</t>
  </si>
  <si>
    <t>09 01 60</t>
  </si>
  <si>
    <t>Maintenance of Flooring</t>
  </si>
  <si>
    <t>09 01 60.91</t>
  </si>
  <si>
    <t>Flooring Restoration</t>
  </si>
  <si>
    <t>09 01 70</t>
  </si>
  <si>
    <t>Maintenance of Wall Finishes</t>
  </si>
  <si>
    <t>09 01 70.91</t>
  </si>
  <si>
    <t>Wall Finish Restoration</t>
  </si>
  <si>
    <t>09 01 80</t>
  </si>
  <si>
    <t>Maintenance of Acoustic Treatment</t>
  </si>
  <si>
    <t>09 01 90</t>
  </si>
  <si>
    <t>Maintenance of Painting and Coating</t>
  </si>
  <si>
    <t>09 01 90.51</t>
  </si>
  <si>
    <t>Paint Cleaning</t>
  </si>
  <si>
    <t>09 01 90.52</t>
  </si>
  <si>
    <t>Maintenance Repainting</t>
  </si>
  <si>
    <t>09 01 90.53</t>
  </si>
  <si>
    <t>Maintenance Coatings</t>
  </si>
  <si>
    <t>09 01 90.61</t>
  </si>
  <si>
    <t>Repainting</t>
  </si>
  <si>
    <t>09 01 90.91</t>
  </si>
  <si>
    <t>Paint Restoration</t>
  </si>
  <si>
    <t>09 01 90.92</t>
  </si>
  <si>
    <t>Coating Restoration</t>
  </si>
  <si>
    <t>09 01 90.93</t>
  </si>
  <si>
    <t>Paint Preservation</t>
  </si>
  <si>
    <t>09 05 00</t>
  </si>
  <si>
    <t>Common Work Results for Finishes</t>
  </si>
  <si>
    <t>09 05 13</t>
  </si>
  <si>
    <t>Common Finishes</t>
  </si>
  <si>
    <t>09 05 61</t>
  </si>
  <si>
    <t>Common Work Results for Flooring Preparation</t>
  </si>
  <si>
    <t>09 06 00</t>
  </si>
  <si>
    <t>Schedules for Finishes</t>
  </si>
  <si>
    <t>09 06 00.13</t>
  </si>
  <si>
    <t>Room Finish Schedule</t>
  </si>
  <si>
    <t>09 06 20</t>
  </si>
  <si>
    <t>Schedules for Plaster and Gypsum Board</t>
  </si>
  <si>
    <t>09 06 30</t>
  </si>
  <si>
    <t>Schedules for Tiling</t>
  </si>
  <si>
    <t>09 06 50</t>
  </si>
  <si>
    <t>Schedules for Ceilings</t>
  </si>
  <si>
    <t>09 06 60</t>
  </si>
  <si>
    <t>Schedules for Flooring</t>
  </si>
  <si>
    <t>09 06 70</t>
  </si>
  <si>
    <t>Schedules for Wall Finishes</t>
  </si>
  <si>
    <t>09 06 80</t>
  </si>
  <si>
    <t>Schedules for Acoustical Treatment</t>
  </si>
  <si>
    <t>09 06 90</t>
  </si>
  <si>
    <t>Schedules for Painting and Coating</t>
  </si>
  <si>
    <t>09 06 90.13</t>
  </si>
  <si>
    <t>Paint Schedule</t>
  </si>
  <si>
    <t>09 08 00</t>
  </si>
  <si>
    <t>Commissioning of Finishes</t>
  </si>
  <si>
    <t>09 20 00</t>
  </si>
  <si>
    <t>Plaster and Gypsum Board</t>
  </si>
  <si>
    <t>09 21 00</t>
  </si>
  <si>
    <t>Plaster and Gypsum Board Assemblies</t>
  </si>
  <si>
    <t>09 21 13</t>
  </si>
  <si>
    <t>Plaster Assemblies</t>
  </si>
  <si>
    <t>09 21 16</t>
  </si>
  <si>
    <t>Gypsum Board Assemblies</t>
  </si>
  <si>
    <t>09 21 16.23</t>
  </si>
  <si>
    <t>Gypsum Board Shaft Wall Assemblies</t>
  </si>
  <si>
    <t>09 21 16.33</t>
  </si>
  <si>
    <t>Gypsum Board Area Separation Wall Assemblies</t>
  </si>
  <si>
    <t>09 22 00</t>
  </si>
  <si>
    <t>Supports for Plaster and Gypsum Board</t>
  </si>
  <si>
    <t>09 22 13</t>
  </si>
  <si>
    <t>Metal Furring</t>
  </si>
  <si>
    <t>09 22 13.13</t>
  </si>
  <si>
    <t>Metal Channel Furring</t>
  </si>
  <si>
    <t>09 22 13.23</t>
  </si>
  <si>
    <t>Resilient Channel Furring</t>
  </si>
  <si>
    <t>09 22 16</t>
  </si>
  <si>
    <t>Non-Structural Metal Framing</t>
  </si>
  <si>
    <t>09 22 16.13</t>
  </si>
  <si>
    <t>Non-Structural Metal Stud Framing</t>
  </si>
  <si>
    <t>09 22 26</t>
  </si>
  <si>
    <t>Suspension Systems</t>
  </si>
  <si>
    <t>09 22 26.23</t>
  </si>
  <si>
    <t>Metal Suspension Systems</t>
  </si>
  <si>
    <t>09 22 26.33</t>
  </si>
  <si>
    <t>Plastic Suspension Systems</t>
  </si>
  <si>
    <t>09 22 36</t>
  </si>
  <si>
    <t>Lath</t>
  </si>
  <si>
    <t>09 22 36.13</t>
  </si>
  <si>
    <t>Gypsum Lath</t>
  </si>
  <si>
    <t>09 22 36.23</t>
  </si>
  <si>
    <t>Metal Lath</t>
  </si>
  <si>
    <t>09 22 39</t>
  </si>
  <si>
    <t>Veneer Plaster Base</t>
  </si>
  <si>
    <t>09 23 00</t>
  </si>
  <si>
    <t>Gypsum Plastering</t>
  </si>
  <si>
    <t>09 23 13</t>
  </si>
  <si>
    <t>Acoustical Gypsum Plastering</t>
  </si>
  <si>
    <t>09 23 82</t>
  </si>
  <si>
    <t>Fireproof Gypsum Plastering</t>
  </si>
  <si>
    <t>09 24 00</t>
  </si>
  <si>
    <t>Cement Plastering</t>
  </si>
  <si>
    <t>09 24 13</t>
  </si>
  <si>
    <t>Adobe Finish</t>
  </si>
  <si>
    <t>09 24 23</t>
  </si>
  <si>
    <t>Cement Stucco</t>
  </si>
  <si>
    <t>09 24 33</t>
  </si>
  <si>
    <t>Cement Parging</t>
  </si>
  <si>
    <t>09 25 00</t>
  </si>
  <si>
    <t>Other Plastering</t>
  </si>
  <si>
    <t>09 25 13</t>
  </si>
  <si>
    <t>Acrylic Plastering</t>
  </si>
  <si>
    <t>09 25 13.13</t>
  </si>
  <si>
    <t>Acrylic Plaster Finish</t>
  </si>
  <si>
    <t>09 25 23</t>
  </si>
  <si>
    <t>Lime Based Plastering</t>
  </si>
  <si>
    <t>09 25 26</t>
  </si>
  <si>
    <t>Natural Clay Plastering</t>
  </si>
  <si>
    <t>09 26 00</t>
  </si>
  <si>
    <t>Veneer Plastering</t>
  </si>
  <si>
    <t>09 26 13</t>
  </si>
  <si>
    <t>Gypsum Veneer Plastering</t>
  </si>
  <si>
    <t>09 27 00</t>
  </si>
  <si>
    <t>Plaster Fabrications</t>
  </si>
  <si>
    <t>09 27 13</t>
  </si>
  <si>
    <t>Glass-Fiber-Reinforced Plaster Fabrications</t>
  </si>
  <si>
    <t>09 27 23</t>
  </si>
  <si>
    <t>Simulated Plaster Fabrications</t>
  </si>
  <si>
    <t>09 28 00</t>
  </si>
  <si>
    <t>Backing Boards and Underlayments</t>
  </si>
  <si>
    <t>09 28 13</t>
  </si>
  <si>
    <t>Cementitious Backing Boards</t>
  </si>
  <si>
    <t>09 28 16</t>
  </si>
  <si>
    <t>Glass-Mat Faced Gypsum Backing Boards</t>
  </si>
  <si>
    <t>09 28 19</t>
  </si>
  <si>
    <t>Fibered Gypsum Backing Boards</t>
  </si>
  <si>
    <t>09 29 00</t>
  </si>
  <si>
    <t>Gypsum Board</t>
  </si>
  <si>
    <t>09 29 82</t>
  </si>
  <si>
    <t>Gypsum Board Fireproofing</t>
  </si>
  <si>
    <t>09 30 00</t>
  </si>
  <si>
    <t>Tiling</t>
  </si>
  <si>
    <t>09 30 13</t>
  </si>
  <si>
    <t>Ceramic Tiling</t>
  </si>
  <si>
    <t>09 30 16</t>
  </si>
  <si>
    <t>Quarry Tiling</t>
  </si>
  <si>
    <t>09 30 19</t>
  </si>
  <si>
    <t>Paver Tiling</t>
  </si>
  <si>
    <t>09 30 23</t>
  </si>
  <si>
    <t>Glass Mosaic Tiling</t>
  </si>
  <si>
    <t>09 30 26</t>
  </si>
  <si>
    <t>Plastic Tiling</t>
  </si>
  <si>
    <t>09 30 29</t>
  </si>
  <si>
    <t>Metal Tiling</t>
  </si>
  <si>
    <t>09 30 33</t>
  </si>
  <si>
    <t>Stone Tiling</t>
  </si>
  <si>
    <t>09 30 36</t>
  </si>
  <si>
    <t>Concrete Tiling</t>
  </si>
  <si>
    <t>09 30 39</t>
  </si>
  <si>
    <t>Brick Tiling</t>
  </si>
  <si>
    <t>09 31 00</t>
  </si>
  <si>
    <t>Thin-Set Tiling</t>
  </si>
  <si>
    <t>09 31 13</t>
  </si>
  <si>
    <t>Thin-Set Ceramic Tiling</t>
  </si>
  <si>
    <t>09 31 16</t>
  </si>
  <si>
    <t>Thin-Set Quarry Tiling</t>
  </si>
  <si>
    <t>09 31 19</t>
  </si>
  <si>
    <t>Thin-Set Paver Tiling</t>
  </si>
  <si>
    <t>09 31 23</t>
  </si>
  <si>
    <t>Thin-Set Glass Mosaic Tiling</t>
  </si>
  <si>
    <t>09 31 26</t>
  </si>
  <si>
    <t>Thin-Set Plastic Tiling</t>
  </si>
  <si>
    <t>09 31 29</t>
  </si>
  <si>
    <t>Thin-Set Metal Tiling</t>
  </si>
  <si>
    <t>09 31 33</t>
  </si>
  <si>
    <t>Thin-Set Stone Tiling</t>
  </si>
  <si>
    <t>09 31 36</t>
  </si>
  <si>
    <t>Thin-Set Concrete Tiling</t>
  </si>
  <si>
    <t>09 32 00</t>
  </si>
  <si>
    <t>Mortar-Bed Tiling</t>
  </si>
  <si>
    <t>09 32 13</t>
  </si>
  <si>
    <t>Mortar-Bed Ceramic Tiling</t>
  </si>
  <si>
    <t>09 32 16</t>
  </si>
  <si>
    <t>Mortar-Bed Quarry Tiling</t>
  </si>
  <si>
    <t>09 32 19</t>
  </si>
  <si>
    <t>Mortar-Bed Paver Tiling</t>
  </si>
  <si>
    <t>09 32 23</t>
  </si>
  <si>
    <t>Mortar-Bed Glass Mosaic Tiling</t>
  </si>
  <si>
    <t>09 32 26</t>
  </si>
  <si>
    <t>Mortar-Bed Plastic Tiling</t>
  </si>
  <si>
    <t>09 32 29</t>
  </si>
  <si>
    <t>Mortar-Bed Metal Tiling</t>
  </si>
  <si>
    <t>09 32 33</t>
  </si>
  <si>
    <t>Mortar-Bed Stone Tiling</t>
  </si>
  <si>
    <t>09 32 36</t>
  </si>
  <si>
    <t>Mortar-Bed Concrete Tiling</t>
  </si>
  <si>
    <t>09 33 00</t>
  </si>
  <si>
    <t>Conductive Tiling</t>
  </si>
  <si>
    <t>09 33 13</t>
  </si>
  <si>
    <t>Conductive Ceramic Tiling</t>
  </si>
  <si>
    <t>09 33 16</t>
  </si>
  <si>
    <t>Conductive Quarry Tiling</t>
  </si>
  <si>
    <t>09 33 19</t>
  </si>
  <si>
    <t>Conductive Paver Tiling</t>
  </si>
  <si>
    <t>09 33 23</t>
  </si>
  <si>
    <t>Conductive Glass Mosaic Tiling</t>
  </si>
  <si>
    <t>09 33 26</t>
  </si>
  <si>
    <t>Conductive Plastic Tiling</t>
  </si>
  <si>
    <t>09 33 29</t>
  </si>
  <si>
    <t>Conductive Metal Tiling</t>
  </si>
  <si>
    <t>09 33 33</t>
  </si>
  <si>
    <t>Conductive Stone Tiling</t>
  </si>
  <si>
    <t>09 33 36</t>
  </si>
  <si>
    <t>Conductive Concrete Tiling</t>
  </si>
  <si>
    <t>09 34 00</t>
  </si>
  <si>
    <t>Waterproofing-Membrane Tiling</t>
  </si>
  <si>
    <t>09 34 13</t>
  </si>
  <si>
    <t>Waterproofing-Membrane Ceramic Tiling</t>
  </si>
  <si>
    <t>09 34 16</t>
  </si>
  <si>
    <t>Waterproofing-Membrane Quarry Tiling</t>
  </si>
  <si>
    <t>09 34 19</t>
  </si>
  <si>
    <t>Waterproofing-Membrane Paver Tiling</t>
  </si>
  <si>
    <t>09 34 23</t>
  </si>
  <si>
    <t>Waterproofing-Membrane Glass Mosaic Tiling</t>
  </si>
  <si>
    <t>09 34 26</t>
  </si>
  <si>
    <t>Waterproofing-Membrane Plastic Tiling</t>
  </si>
  <si>
    <t>09 34 29</t>
  </si>
  <si>
    <t>Waterproofing-Membrane Metal Tiling</t>
  </si>
  <si>
    <t>09 34 33</t>
  </si>
  <si>
    <t>Waterproofing-Membrane Stone Tiling</t>
  </si>
  <si>
    <t>09 34 36</t>
  </si>
  <si>
    <t>Waterproofing-Membrane Concrete Tiling</t>
  </si>
  <si>
    <t>09 35 00</t>
  </si>
  <si>
    <t>Chemical-Resistant Tiling</t>
  </si>
  <si>
    <t>09 35 13</t>
  </si>
  <si>
    <t>Chemical-Resistant Ceramic Tiling</t>
  </si>
  <si>
    <t>09 35 16</t>
  </si>
  <si>
    <t>Chemical-Resistant Quarry Tiling</t>
  </si>
  <si>
    <t>09 35 19</t>
  </si>
  <si>
    <t>Chemical-Resistant Paver Tiling</t>
  </si>
  <si>
    <t>09 35 23</t>
  </si>
  <si>
    <t>Chemical-Resistant Glass Mosaic Tiling</t>
  </si>
  <si>
    <t>09 35 26</t>
  </si>
  <si>
    <t>Chemical-Resistant Plastic Tiling</t>
  </si>
  <si>
    <t>09 35 29</t>
  </si>
  <si>
    <t>Chemical-Resistant Metal Tiling</t>
  </si>
  <si>
    <t>09 35 33</t>
  </si>
  <si>
    <t>Chemical-Resistant Stone Tiling</t>
  </si>
  <si>
    <t>09 35 36</t>
  </si>
  <si>
    <t>Chemical-Resistant Concrete Tiling</t>
  </si>
  <si>
    <t>09 50 00</t>
  </si>
  <si>
    <t>Ceilings</t>
  </si>
  <si>
    <t>09 51 00</t>
  </si>
  <si>
    <t>Acoustical Ceilings</t>
  </si>
  <si>
    <t>09 51 13</t>
  </si>
  <si>
    <t>Acoustical Panel Ceilings</t>
  </si>
  <si>
    <t>09 51 14</t>
  </si>
  <si>
    <t>Acoustical Fabric-Faced Panel Ceilings</t>
  </si>
  <si>
    <t>09 51 23</t>
  </si>
  <si>
    <t>Acoustical Tile Ceilings</t>
  </si>
  <si>
    <t>09 51 26</t>
  </si>
  <si>
    <t>Acoustical Wood Ceilings</t>
  </si>
  <si>
    <t>09 51 33</t>
  </si>
  <si>
    <t>Acoustical Metal Pan Ceilings</t>
  </si>
  <si>
    <t>09 51 33.13</t>
  </si>
  <si>
    <t>Acoustical Snap-in Metal Pan Ceilings</t>
  </si>
  <si>
    <t>09 51 53</t>
  </si>
  <si>
    <t>Direct-Applied Acoustical Ceilings</t>
  </si>
  <si>
    <t>09 53 00</t>
  </si>
  <si>
    <t>Acoustical Ceiling Suspension Assemblies</t>
  </si>
  <si>
    <t>09 53 13</t>
  </si>
  <si>
    <t>Curved Profile Ceiling Suspension Assemblies</t>
  </si>
  <si>
    <t>09 53 23</t>
  </si>
  <si>
    <t>Metal Acoustical Ceiling Suspension Assemblies</t>
  </si>
  <si>
    <t>09 53 33</t>
  </si>
  <si>
    <t>Plastic Acoustical Ceiling Suspension Assemblies</t>
  </si>
  <si>
    <t>09 54 00</t>
  </si>
  <si>
    <t>Specialty Ceilings</t>
  </si>
  <si>
    <t>09 54 13</t>
  </si>
  <si>
    <t>Open Metal Mesh Ceilings</t>
  </si>
  <si>
    <t>09 54 16</t>
  </si>
  <si>
    <t>Luminous Ceilings</t>
  </si>
  <si>
    <t>09 54 19</t>
  </si>
  <si>
    <t>Mirror Panel Ceilings</t>
  </si>
  <si>
    <t>09 54 23</t>
  </si>
  <si>
    <t>Linear Metal Ceilings</t>
  </si>
  <si>
    <t>09 54 26</t>
  </si>
  <si>
    <t>Suspended Wood Ceilings</t>
  </si>
  <si>
    <t>09 54 33</t>
  </si>
  <si>
    <t>Decorative Panel Ceilings</t>
  </si>
  <si>
    <t>09 54 36</t>
  </si>
  <si>
    <t>Suspended Decorative Grids</t>
  </si>
  <si>
    <t>09 54 43</t>
  </si>
  <si>
    <t>Stretched-Fabric Ceiling Systems</t>
  </si>
  <si>
    <t>09 54 46</t>
  </si>
  <si>
    <t>Fabric-Wrapped Ceiling Panels</t>
  </si>
  <si>
    <t>09 54 53</t>
  </si>
  <si>
    <t>Fiberglass Reinforced Panel Ceilings</t>
  </si>
  <si>
    <t>09 56 00</t>
  </si>
  <si>
    <t>Textured Ceilings</t>
  </si>
  <si>
    <t>09 56 13</t>
  </si>
  <si>
    <t>Gypsum-Panel Textured Ceilings</t>
  </si>
  <si>
    <t>09 56 16</t>
  </si>
  <si>
    <t>Metal-Panel Textured Ceilings</t>
  </si>
  <si>
    <t>09 57 00</t>
  </si>
  <si>
    <t>Special Function Ceilings</t>
  </si>
  <si>
    <t>09 57 53</t>
  </si>
  <si>
    <t>Security Ceiling Assemblies</t>
  </si>
  <si>
    <t>09 58 00</t>
  </si>
  <si>
    <t>Integrated Ceiling Assemblies</t>
  </si>
  <si>
    <t>09 60 00</t>
  </si>
  <si>
    <t>Flooring</t>
  </si>
  <si>
    <t>09 60 13</t>
  </si>
  <si>
    <t>Acoustic Underlayment</t>
  </si>
  <si>
    <t>09 61 00</t>
  </si>
  <si>
    <t>Flooring Treatment</t>
  </si>
  <si>
    <t>09 61 13</t>
  </si>
  <si>
    <t>Slip-Resistant Flooring Treatment</t>
  </si>
  <si>
    <t>09 61 36</t>
  </si>
  <si>
    <t>Static-Resistant Flooring Treatment</t>
  </si>
  <si>
    <t>09 62 00</t>
  </si>
  <si>
    <t>Specialty Flooring</t>
  </si>
  <si>
    <t>09 62 13</t>
  </si>
  <si>
    <t>Asphaltic Plank Flooring</t>
  </si>
  <si>
    <t>09 62 19</t>
  </si>
  <si>
    <t>Laminate Flooring</t>
  </si>
  <si>
    <t>09 62 23</t>
  </si>
  <si>
    <t>Bamboo Flooring</t>
  </si>
  <si>
    <t>09 62 26</t>
  </si>
  <si>
    <t>Leather Flooring</t>
  </si>
  <si>
    <t>09 62 29</t>
  </si>
  <si>
    <t>Cork Flooring</t>
  </si>
  <si>
    <t>09 62 35</t>
  </si>
  <si>
    <t>Acid-Resistant Flooring</t>
  </si>
  <si>
    <t>09 62 48</t>
  </si>
  <si>
    <t>Acoustic Flooring</t>
  </si>
  <si>
    <t>09 62 53</t>
  </si>
  <si>
    <t>Synthetic Turf Flooring</t>
  </si>
  <si>
    <t>09 62 63</t>
  </si>
  <si>
    <t>Metal Flooring</t>
  </si>
  <si>
    <t>09 62 63.13</t>
  </si>
  <si>
    <t>Aluminum Flooring</t>
  </si>
  <si>
    <t>09 62 63.16</t>
  </si>
  <si>
    <t>Stainless Steel Flooring</t>
  </si>
  <si>
    <t>09 62 83</t>
  </si>
  <si>
    <t>Structural Glass Flooring</t>
  </si>
  <si>
    <t>09 63 00</t>
  </si>
  <si>
    <t>Masonry Flooring</t>
  </si>
  <si>
    <t>09 63 13</t>
  </si>
  <si>
    <t>Brick Flooring</t>
  </si>
  <si>
    <t>09 63 13.35</t>
  </si>
  <si>
    <t>Chemical-Resistant Brick Flooring</t>
  </si>
  <si>
    <t>09 63 40</t>
  </si>
  <si>
    <t>Stone Flooring</t>
  </si>
  <si>
    <t>09 63 43</t>
  </si>
  <si>
    <t>Composition Stone Flooring</t>
  </si>
  <si>
    <t>09 64 00</t>
  </si>
  <si>
    <t>Wood Flooring</t>
  </si>
  <si>
    <t>09 64 16</t>
  </si>
  <si>
    <t>Wood Block Flooring</t>
  </si>
  <si>
    <t>09 64 19</t>
  </si>
  <si>
    <t>Wood Composition Flooring</t>
  </si>
  <si>
    <t>09 64 23</t>
  </si>
  <si>
    <t>Wood Parquet Flooring</t>
  </si>
  <si>
    <t>09 64 23.13</t>
  </si>
  <si>
    <t>Acrylic-Impregnated Wood Parquet Flooring</t>
  </si>
  <si>
    <t>09 64 29</t>
  </si>
  <si>
    <t>Wood Strip and Plank Flooring</t>
  </si>
  <si>
    <t>09 64 33</t>
  </si>
  <si>
    <t>Laminated Wood Flooring</t>
  </si>
  <si>
    <t>09 64 53</t>
  </si>
  <si>
    <t>Resilient Wood Flooring Assemblies</t>
  </si>
  <si>
    <t>09 64 66</t>
  </si>
  <si>
    <t>Wood Athletic Flooring</t>
  </si>
  <si>
    <t>09 65 00</t>
  </si>
  <si>
    <t>Resilient Flooring</t>
  </si>
  <si>
    <t>09 65 13</t>
  </si>
  <si>
    <t>Resilient Base and Accessories</t>
  </si>
  <si>
    <t>09 65 13.13</t>
  </si>
  <si>
    <t>Resilient Base</t>
  </si>
  <si>
    <t>09 65 13.23</t>
  </si>
  <si>
    <t>Resilient Stair Treads and Risers</t>
  </si>
  <si>
    <t>09 65 13.26</t>
  </si>
  <si>
    <t>Resilient Stair Nosings</t>
  </si>
  <si>
    <t>09 65 13.33</t>
  </si>
  <si>
    <t>Resilient Accessories</t>
  </si>
  <si>
    <t>09 65 13.36</t>
  </si>
  <si>
    <t>Resilient Carpet Transitions</t>
  </si>
  <si>
    <t>09 65 16</t>
  </si>
  <si>
    <t>Resilient Sheet Flooring</t>
  </si>
  <si>
    <t>09 65 16.23</t>
  </si>
  <si>
    <t>Vinyl Sheet Flooring</t>
  </si>
  <si>
    <t>09 65 16.33</t>
  </si>
  <si>
    <t>Rubber Sheet Flooring</t>
  </si>
  <si>
    <t>09 65 16.43</t>
  </si>
  <si>
    <t>PVC-Free Sheet Flooring</t>
  </si>
  <si>
    <t>09 65 19</t>
  </si>
  <si>
    <t>Resilient Tile Flooring</t>
  </si>
  <si>
    <t>09 65 33</t>
  </si>
  <si>
    <t>Conductive Resilient Flooring</t>
  </si>
  <si>
    <t>09 65 36</t>
  </si>
  <si>
    <t>Static-Control Resilient Flooring</t>
  </si>
  <si>
    <t>09 65 36.13</t>
  </si>
  <si>
    <t>Static-Dissipative Resilient Flooring</t>
  </si>
  <si>
    <t>09 65 36.16</t>
  </si>
  <si>
    <t>Static-Resistant Resilient Flooring</t>
  </si>
  <si>
    <t>09 65 43</t>
  </si>
  <si>
    <t>Linoleum Flooring</t>
  </si>
  <si>
    <t>09 65 66</t>
  </si>
  <si>
    <t>Resilient Athletic Flooring</t>
  </si>
  <si>
    <t>09 66 00</t>
  </si>
  <si>
    <t>Terrazzo Flooring</t>
  </si>
  <si>
    <t>09 66 13</t>
  </si>
  <si>
    <t>Portland Cement Terrazzo Flooring</t>
  </si>
  <si>
    <t>09 66 13.13</t>
  </si>
  <si>
    <t>Sand Cushion Terrazzo Flooring</t>
  </si>
  <si>
    <t>09 66 13.16</t>
  </si>
  <si>
    <t>Monolithic Terrazzo Flooring</t>
  </si>
  <si>
    <t>09 66 13.19</t>
  </si>
  <si>
    <t>Bonded Terrazzo Flooring</t>
  </si>
  <si>
    <t>09 66 13.23</t>
  </si>
  <si>
    <t>Palladina Terrazzo Flooring</t>
  </si>
  <si>
    <t>09 66 13.26</t>
  </si>
  <si>
    <t>Rustic Terrazzo Flooring</t>
  </si>
  <si>
    <t>09 66 13.33</t>
  </si>
  <si>
    <t>Structural Terrazzo Flooring</t>
  </si>
  <si>
    <t>09 66 16</t>
  </si>
  <si>
    <t>Terrazzo Floor Tile</t>
  </si>
  <si>
    <t>09 66 16.13</t>
  </si>
  <si>
    <t>Portland Cement Terrazzo Floor Tile</t>
  </si>
  <si>
    <t>09 66 16.16</t>
  </si>
  <si>
    <t>Plastic-Matrix Terrazzo Floor Tile</t>
  </si>
  <si>
    <t>09 66 23</t>
  </si>
  <si>
    <t>Resinous Matrix Terrazzo Flooring</t>
  </si>
  <si>
    <t>09 66 23.13</t>
  </si>
  <si>
    <t>Polyacrylate Modified Cementitious Terrazzo Flooring</t>
  </si>
  <si>
    <t>09 66 23.16</t>
  </si>
  <si>
    <t>Epoxy-Resin Terrazzo Flooring</t>
  </si>
  <si>
    <t>09 66 23.19</t>
  </si>
  <si>
    <t>Polyester-Resin Terrazzo Flooring</t>
  </si>
  <si>
    <t>09 66 33</t>
  </si>
  <si>
    <t>Conductive Terrazzo Flooring</t>
  </si>
  <si>
    <t>09 66 33.13</t>
  </si>
  <si>
    <t>Conductive Epoxy-Resin Terrazzo</t>
  </si>
  <si>
    <t>09 66 33.16</t>
  </si>
  <si>
    <t>Conductive Polyester-Resin Terrazzo Flooring</t>
  </si>
  <si>
    <t>09 66 33.19</t>
  </si>
  <si>
    <t>Conductive Plastic-Matrix Terrazzo Flooring</t>
  </si>
  <si>
    <t>09 67 00</t>
  </si>
  <si>
    <t>Fluid-Applied Flooring</t>
  </si>
  <si>
    <t>09 67 13</t>
  </si>
  <si>
    <t>Elastomeric Liquid Flooring</t>
  </si>
  <si>
    <t>09 67 13.33</t>
  </si>
  <si>
    <t>Conductive Elastomeric Liquid Flooring</t>
  </si>
  <si>
    <t>09 67 16</t>
  </si>
  <si>
    <t>Epoxy-Marble Chip Flooring</t>
  </si>
  <si>
    <t>09 67 19</t>
  </si>
  <si>
    <t>Magnesium-Oxychloride Flooring</t>
  </si>
  <si>
    <t>09 67 23</t>
  </si>
  <si>
    <t>Resinous Flooring</t>
  </si>
  <si>
    <t>09 67 26</t>
  </si>
  <si>
    <t>Quartz Flooring</t>
  </si>
  <si>
    <t>09 67 66</t>
  </si>
  <si>
    <t>Fluid-Applied Athletic Flooring</t>
  </si>
  <si>
    <t>09 68 00</t>
  </si>
  <si>
    <t>Carpeting</t>
  </si>
  <si>
    <t>09 68 13</t>
  </si>
  <si>
    <t>Tile Carpeting</t>
  </si>
  <si>
    <t>09 68 16</t>
  </si>
  <si>
    <t>Sheet Carpeting</t>
  </si>
  <si>
    <t>09 69 00</t>
  </si>
  <si>
    <t>Access Flooring</t>
  </si>
  <si>
    <t>09 69 13</t>
  </si>
  <si>
    <t>Rigid-Grid Access Flooring</t>
  </si>
  <si>
    <t>09 69 16</t>
  </si>
  <si>
    <t>Snap-on Stringer Access Flooring</t>
  </si>
  <si>
    <t>09 69 19</t>
  </si>
  <si>
    <t>Stringerless Access Flooring</t>
  </si>
  <si>
    <t>09 69 33</t>
  </si>
  <si>
    <t>Low-Profile Fixed Height Access Flooring</t>
  </si>
  <si>
    <t>09 69 53</t>
  </si>
  <si>
    <t>Access Flooring Accessories</t>
  </si>
  <si>
    <t>09 69 56</t>
  </si>
  <si>
    <t>Access Flooring Stairs and Stringers</t>
  </si>
  <si>
    <t>09 70 00</t>
  </si>
  <si>
    <t>Wall Finishes</t>
  </si>
  <si>
    <t>09 72 00</t>
  </si>
  <si>
    <t>Wall Coverings</t>
  </si>
  <si>
    <t>09 72 13</t>
  </si>
  <si>
    <t>Cork Wall Coverings</t>
  </si>
  <si>
    <t>09 72 16</t>
  </si>
  <si>
    <t>Vinyl-Coated Fabric Wall Coverings</t>
  </si>
  <si>
    <t>09 72 16.13</t>
  </si>
  <si>
    <t>Flexible Vinyl Wall Coverings</t>
  </si>
  <si>
    <t>09 72 16.16</t>
  </si>
  <si>
    <t>Rigid-Sheet Vinyl Wall Coverings</t>
  </si>
  <si>
    <t>09 72 19</t>
  </si>
  <si>
    <t>Textile Wall Coverings</t>
  </si>
  <si>
    <t>09 72 23</t>
  </si>
  <si>
    <t>Wallpapering</t>
  </si>
  <si>
    <t>09 73 00</t>
  </si>
  <si>
    <t>Wall Carpeting</t>
  </si>
  <si>
    <t>09 74 00</t>
  </si>
  <si>
    <t>Flexible Wood Sheets</t>
  </si>
  <si>
    <t>09 74 13</t>
  </si>
  <si>
    <t>Wood Wall Coverings</t>
  </si>
  <si>
    <t>09 74 16</t>
  </si>
  <si>
    <t>Flexible Wood Veneers</t>
  </si>
  <si>
    <t>09 75 00</t>
  </si>
  <si>
    <t>Stone Facing</t>
  </si>
  <si>
    <t>09 75 13</t>
  </si>
  <si>
    <t>Stone Wall Facing</t>
  </si>
  <si>
    <t>09 75 19</t>
  </si>
  <si>
    <t>Stone Trim</t>
  </si>
  <si>
    <t>09 76 00</t>
  </si>
  <si>
    <t>Plastic Blocks</t>
  </si>
  <si>
    <t>09 77 00</t>
  </si>
  <si>
    <t>Special Wall Surfacing</t>
  </si>
  <si>
    <t>09 77 13</t>
  </si>
  <si>
    <t>Stretched-Fabric Wall Systems</t>
  </si>
  <si>
    <t>09 77 23</t>
  </si>
  <si>
    <t>Fabric-Wrapped Panels</t>
  </si>
  <si>
    <t>09 77 53</t>
  </si>
  <si>
    <t>Vegetated Wall Systems</t>
  </si>
  <si>
    <t>09 80 00</t>
  </si>
  <si>
    <t>Acoustic Treatment</t>
  </si>
  <si>
    <t>09 81 00</t>
  </si>
  <si>
    <t>Acoustic Insulation</t>
  </si>
  <si>
    <t>09 81 13</t>
  </si>
  <si>
    <t>Acoustic Board Insulation</t>
  </si>
  <si>
    <t>09 81 16</t>
  </si>
  <si>
    <t>Acoustic Blanket Insulation</t>
  </si>
  <si>
    <t>09 81 29</t>
  </si>
  <si>
    <t>Sprayed Acoustic Insulation</t>
  </si>
  <si>
    <t>09 83 00</t>
  </si>
  <si>
    <t>Acoustic Finishes</t>
  </si>
  <si>
    <t>09 83 13</t>
  </si>
  <si>
    <t>Acoustic Wall Coating</t>
  </si>
  <si>
    <t>09 83 16</t>
  </si>
  <si>
    <t>Acoustic Ceiling Coating</t>
  </si>
  <si>
    <t>09 83 22</t>
  </si>
  <si>
    <t>Acoustic Drapery</t>
  </si>
  <si>
    <t>09 84 00</t>
  </si>
  <si>
    <t>Acoustic Room Components</t>
  </si>
  <si>
    <t>09 84 13</t>
  </si>
  <si>
    <t>Fixed Sound-Absorptive Panels</t>
  </si>
  <si>
    <t>09 84 14</t>
  </si>
  <si>
    <t>Acoustic Stretched-Fabric Wall Systems</t>
  </si>
  <si>
    <t>09 84 16</t>
  </si>
  <si>
    <t>Fixed Sound-Reflective Panels</t>
  </si>
  <si>
    <t>09 84 23</t>
  </si>
  <si>
    <t>Moveable Sound-Absorptive Panels</t>
  </si>
  <si>
    <t>09 84 26</t>
  </si>
  <si>
    <t>Moveable Sound-Reflective Panels</t>
  </si>
  <si>
    <t>09 84 33</t>
  </si>
  <si>
    <t>Sound-Absorbing Wall Units</t>
  </si>
  <si>
    <t>09 84 36</t>
  </si>
  <si>
    <t>Sound-Absorbing Ceiling Units</t>
  </si>
  <si>
    <t>09 90 00</t>
  </si>
  <si>
    <t>Painting and Coating</t>
  </si>
  <si>
    <t>09 91 00</t>
  </si>
  <si>
    <t>Painting</t>
  </si>
  <si>
    <t>09 91 13</t>
  </si>
  <si>
    <t>Exterior Painting</t>
  </si>
  <si>
    <t>09 91 23</t>
  </si>
  <si>
    <t>Interior Painting</t>
  </si>
  <si>
    <t>09 93 00</t>
  </si>
  <si>
    <t>Staining and Transparent Finishing</t>
  </si>
  <si>
    <t>09 93 13</t>
  </si>
  <si>
    <t>Exterior Staining and Finishing</t>
  </si>
  <si>
    <t>09 93 13.13</t>
  </si>
  <si>
    <t>Exterior Staining</t>
  </si>
  <si>
    <t>09 93 13.53</t>
  </si>
  <si>
    <t>Exterior Finishing</t>
  </si>
  <si>
    <t>09 93 23</t>
  </si>
  <si>
    <t>Interior Staining and Finishing</t>
  </si>
  <si>
    <t>09 93 23.13</t>
  </si>
  <si>
    <t>Interior Staining</t>
  </si>
  <si>
    <t>09 93 23.53</t>
  </si>
  <si>
    <t>Interior Finishing</t>
  </si>
  <si>
    <t>09 94 00</t>
  </si>
  <si>
    <t>Decorative Finishing</t>
  </si>
  <si>
    <t>09 94 13</t>
  </si>
  <si>
    <t>Textured Finishing</t>
  </si>
  <si>
    <t>09 94 16</t>
  </si>
  <si>
    <t>Faux Finishing</t>
  </si>
  <si>
    <t>09 94 19</t>
  </si>
  <si>
    <t>Multicolor Interior Finishing</t>
  </si>
  <si>
    <t>09 96 00</t>
  </si>
  <si>
    <t>High-Performance Coatings</t>
  </si>
  <si>
    <t>09 96 13</t>
  </si>
  <si>
    <t>Abrasion-Resistant Coatings</t>
  </si>
  <si>
    <t>09 96 23</t>
  </si>
  <si>
    <t>Graffiti-Resistant Coatings</t>
  </si>
  <si>
    <t>09 96 26</t>
  </si>
  <si>
    <t>Marine Coatings</t>
  </si>
  <si>
    <t>09 96 33</t>
  </si>
  <si>
    <t>High-Temperature-Resistant Coatings</t>
  </si>
  <si>
    <t>09 96 35</t>
  </si>
  <si>
    <t>Chemical-Resistant Coatings</t>
  </si>
  <si>
    <t>09 96 43</t>
  </si>
  <si>
    <t>Fire-Retardant Coatings</t>
  </si>
  <si>
    <t>09 96 46</t>
  </si>
  <si>
    <t>Intumescent Painting</t>
  </si>
  <si>
    <t>09 96 53</t>
  </si>
  <si>
    <t>Elastomeric Coatings</t>
  </si>
  <si>
    <t>09 96 56</t>
  </si>
  <si>
    <t>Epoxy Coatings</t>
  </si>
  <si>
    <t>09 96 59</t>
  </si>
  <si>
    <t>High-Build Glazed Coatings</t>
  </si>
  <si>
    <t>09 96 63</t>
  </si>
  <si>
    <t>Textured Plastic Coatings</t>
  </si>
  <si>
    <t>09 96 66</t>
  </si>
  <si>
    <t>Aggregate Wall Coatings</t>
  </si>
  <si>
    <t>09 97 00</t>
  </si>
  <si>
    <t>Special Coatings</t>
  </si>
  <si>
    <t>09 97 13</t>
  </si>
  <si>
    <t>Steel Coatings</t>
  </si>
  <si>
    <t>09 97 13.13</t>
  </si>
  <si>
    <t>Interior Steel Coatings</t>
  </si>
  <si>
    <t>09 97 13.23</t>
  </si>
  <si>
    <t>Exterior Steel Coatings</t>
  </si>
  <si>
    <t>09 97 23</t>
  </si>
  <si>
    <t>Concrete and Masonry Coatings</t>
  </si>
  <si>
    <t>09 97 26</t>
  </si>
  <si>
    <t>Cementitious Coatings</t>
  </si>
  <si>
    <t>09 97 26.13</t>
  </si>
  <si>
    <t>Interior Cementitious Coatings</t>
  </si>
  <si>
    <t>09 97 26.23</t>
  </si>
  <si>
    <t>Exterior Cementitious Coatings</t>
  </si>
  <si>
    <t>10 00 00</t>
  </si>
  <si>
    <t>Specialties</t>
  </si>
  <si>
    <t>10 01 00</t>
  </si>
  <si>
    <t>Operation and Maintenance of Specialties</t>
  </si>
  <si>
    <t>10 01 10</t>
  </si>
  <si>
    <t>Operation and Maintenance of Information Specialties</t>
  </si>
  <si>
    <t>10 01 20</t>
  </si>
  <si>
    <t>Operation and Maintenance of Interior Specialties</t>
  </si>
  <si>
    <t>10 01 30</t>
  </si>
  <si>
    <t>Operation and Maintenance of Fireplaces and Stoves</t>
  </si>
  <si>
    <t>10 01 40</t>
  </si>
  <si>
    <t>Operation and Maintenance of Safety Specialties</t>
  </si>
  <si>
    <t>10 01 50</t>
  </si>
  <si>
    <t>Operation and Maintenance of Storage Specialties</t>
  </si>
  <si>
    <t>10 01 70</t>
  </si>
  <si>
    <t>Operation and Maintenance of Exterior Specialties</t>
  </si>
  <si>
    <t>10 01 80</t>
  </si>
  <si>
    <t>Operation and Maintenance of Other Specialties</t>
  </si>
  <si>
    <t>10 05 00</t>
  </si>
  <si>
    <t>Common Work Results for Specialties</t>
  </si>
  <si>
    <t>10 06 00</t>
  </si>
  <si>
    <t>Schedules for Specialties</t>
  </si>
  <si>
    <t>10 06 10</t>
  </si>
  <si>
    <t>Schedules for Information Specialties</t>
  </si>
  <si>
    <t>10 06 10.13</t>
  </si>
  <si>
    <t>Exterior Signage Schedule</t>
  </si>
  <si>
    <t>10 06 10.16</t>
  </si>
  <si>
    <t>Interior Signage Schedule</t>
  </si>
  <si>
    <t>10 06 20</t>
  </si>
  <si>
    <t>Schedules for Interior Specialties</t>
  </si>
  <si>
    <t>10 06 20.13</t>
  </si>
  <si>
    <t>Toilet, Bath, and Laundry Accessory Schedule</t>
  </si>
  <si>
    <t>10 06 30</t>
  </si>
  <si>
    <t>Schedules for Fireplaces and Stoves</t>
  </si>
  <si>
    <t>10 06 40</t>
  </si>
  <si>
    <t>Schedules for Safety Specialties</t>
  </si>
  <si>
    <t>10 06 50</t>
  </si>
  <si>
    <t>Schedules for Storage Specialties</t>
  </si>
  <si>
    <t>10 06 70</t>
  </si>
  <si>
    <t>Schedules for Exterior Specialties</t>
  </si>
  <si>
    <t>10 06 80</t>
  </si>
  <si>
    <t>Schedules for Other Specialties</t>
  </si>
  <si>
    <t>10 08 00</t>
  </si>
  <si>
    <t>Commissioning of Specialties</t>
  </si>
  <si>
    <t>10 10 00</t>
  </si>
  <si>
    <t>Information Specialties</t>
  </si>
  <si>
    <t>10 11 00</t>
  </si>
  <si>
    <t>Visual Display Units</t>
  </si>
  <si>
    <t>10 11 13</t>
  </si>
  <si>
    <t>Chalkboards</t>
  </si>
  <si>
    <t>10 11 13.13</t>
  </si>
  <si>
    <t>Fixed Chalkboards</t>
  </si>
  <si>
    <t>10 11 13.23</t>
  </si>
  <si>
    <t>Modular-Support-Mounted Chalkboards</t>
  </si>
  <si>
    <t>10 11 13.33</t>
  </si>
  <si>
    <t>Rail-Mounted Chalkboards</t>
  </si>
  <si>
    <t>10 11 13.43</t>
  </si>
  <si>
    <t>Portable Chalkboards</t>
  </si>
  <si>
    <t>10 11 16</t>
  </si>
  <si>
    <t>Markerboards</t>
  </si>
  <si>
    <t>10 11 16.13</t>
  </si>
  <si>
    <t>Fixed Markerboards</t>
  </si>
  <si>
    <t>10 11 16.23</t>
  </si>
  <si>
    <t>Modular-Support-Mounted Markerboards</t>
  </si>
  <si>
    <t>10 11 16.33</t>
  </si>
  <si>
    <t>Rail-Mounted Markerboards</t>
  </si>
  <si>
    <t>10 11 16.43</t>
  </si>
  <si>
    <t>Portable Markerboards</t>
  </si>
  <si>
    <t>10 11 16.53</t>
  </si>
  <si>
    <t>Electronic Markerboards</t>
  </si>
  <si>
    <t>10 11 23</t>
  </si>
  <si>
    <t>Tackboards</t>
  </si>
  <si>
    <t>10 11 23.13</t>
  </si>
  <si>
    <t>Fixed Tackboards</t>
  </si>
  <si>
    <t>10 11 23.23</t>
  </si>
  <si>
    <t>Modular-Support-Mounted Tackboards</t>
  </si>
  <si>
    <t>10 11 23.33</t>
  </si>
  <si>
    <t>Rail-Mounted Tackboards</t>
  </si>
  <si>
    <t>10 11 23.43</t>
  </si>
  <si>
    <t>Portable Tackboards</t>
  </si>
  <si>
    <t>10 11 33</t>
  </si>
  <si>
    <t>Sliding Visual Display Units</t>
  </si>
  <si>
    <t>10 11 33.13</t>
  </si>
  <si>
    <t>Horizontal-Sliding Visual Display Units</t>
  </si>
  <si>
    <t>10 11 33.23</t>
  </si>
  <si>
    <t>Vertical-Sliding Visual Display Units</t>
  </si>
  <si>
    <t>10 11 36</t>
  </si>
  <si>
    <t>Visual Display Conference Units</t>
  </si>
  <si>
    <t>10 11 39</t>
  </si>
  <si>
    <t>Visual Display Rails</t>
  </si>
  <si>
    <t>10 11 43</t>
  </si>
  <si>
    <t>Visual Display Wall Panels</t>
  </si>
  <si>
    <t>10 11 46</t>
  </si>
  <si>
    <t>Visual Display Fabrics</t>
  </si>
  <si>
    <t>10 12 00</t>
  </si>
  <si>
    <t>Display Cases</t>
  </si>
  <si>
    <t>10 13 00</t>
  </si>
  <si>
    <t>Directories</t>
  </si>
  <si>
    <t>10 13 13</t>
  </si>
  <si>
    <t>Electronic Directories</t>
  </si>
  <si>
    <t>10 13 23</t>
  </si>
  <si>
    <t>Illuminated Directories</t>
  </si>
  <si>
    <t>10 14 00</t>
  </si>
  <si>
    <t>Signage</t>
  </si>
  <si>
    <t>10 14 16</t>
  </si>
  <si>
    <t>Plaques</t>
  </si>
  <si>
    <t>10 14 19</t>
  </si>
  <si>
    <t>Dimensional Letter Signage</t>
  </si>
  <si>
    <t>10 14 23</t>
  </si>
  <si>
    <t>Panel Signage</t>
  </si>
  <si>
    <t>10 14 23.13</t>
  </si>
  <si>
    <t>Engraved Panel Signage</t>
  </si>
  <si>
    <t>10 14 26</t>
  </si>
  <si>
    <t>Post and Panel/Pylon Signage</t>
  </si>
  <si>
    <t>10 14 33</t>
  </si>
  <si>
    <t>Illuminated Panel Signage</t>
  </si>
  <si>
    <t>10 14 43</t>
  </si>
  <si>
    <t>Photoluminescent Signage</t>
  </si>
  <si>
    <t>10 14 53</t>
  </si>
  <si>
    <t>Traffic Signage</t>
  </si>
  <si>
    <t>10 14 53.13</t>
  </si>
  <si>
    <t>Transportation Reference Markers</t>
  </si>
  <si>
    <t>10 14 63</t>
  </si>
  <si>
    <t>Electronic Message Signage</t>
  </si>
  <si>
    <t>10 14 64</t>
  </si>
  <si>
    <t>Audible Signage</t>
  </si>
  <si>
    <t>10 14 66</t>
  </si>
  <si>
    <t>Floating Signage</t>
  </si>
  <si>
    <t>10 17 00</t>
  </si>
  <si>
    <t>Telephone Specialties</t>
  </si>
  <si>
    <t>10 17 13</t>
  </si>
  <si>
    <t>Telephone Directory Units</t>
  </si>
  <si>
    <t>10 17 16</t>
  </si>
  <si>
    <t>Telephone Enclosures</t>
  </si>
  <si>
    <t>10 17 16.13</t>
  </si>
  <si>
    <t>Telephone Stalls</t>
  </si>
  <si>
    <t>10 17 16.16</t>
  </si>
  <si>
    <t>Telephone Alcoves</t>
  </si>
  <si>
    <t>10 17 19</t>
  </si>
  <si>
    <t>Telephone Shelving</t>
  </si>
  <si>
    <t>10 18 00</t>
  </si>
  <si>
    <t>Informational Kiosks</t>
  </si>
  <si>
    <t>10 20 00</t>
  </si>
  <si>
    <t>Interior Specialties</t>
  </si>
  <si>
    <t>10 21 00</t>
  </si>
  <si>
    <t>Compartments and Cubicles</t>
  </si>
  <si>
    <t>10 21 13</t>
  </si>
  <si>
    <t>Toilet Compartments</t>
  </si>
  <si>
    <t>10 21 13.13</t>
  </si>
  <si>
    <t>Metal Toilet Compartments</t>
  </si>
  <si>
    <t>10 21 13.16</t>
  </si>
  <si>
    <t>Plastic-Laminate-Clad Toilet Compartments</t>
  </si>
  <si>
    <t>10 21 13.19</t>
  </si>
  <si>
    <t>Plastic Toilet Compartments</t>
  </si>
  <si>
    <t>10 21 13.23</t>
  </si>
  <si>
    <t>Particleboard Toilet Compartments</t>
  </si>
  <si>
    <t>10 21 13.40</t>
  </si>
  <si>
    <t>Stone Toilet Compartments</t>
  </si>
  <si>
    <t>10 21 16</t>
  </si>
  <si>
    <t>Shower and Dressing Compartments</t>
  </si>
  <si>
    <t>10 21 16.13</t>
  </si>
  <si>
    <t>Metal Shower and Dressing Compartments</t>
  </si>
  <si>
    <t>10 21 16.16</t>
  </si>
  <si>
    <t>Plastic-Laminate-Clad Shower and Dressing Compartments</t>
  </si>
  <si>
    <t>10 21 16.19</t>
  </si>
  <si>
    <t>Plastic Shower and Dressing Compartments</t>
  </si>
  <si>
    <t>10 21 16.23</t>
  </si>
  <si>
    <t>Particleboard Shower and Dressing Compartments</t>
  </si>
  <si>
    <t>10 21 16.40</t>
  </si>
  <si>
    <t>Stone Shower and Dressing Compartments</t>
  </si>
  <si>
    <t>10 21 23</t>
  </si>
  <si>
    <t>Cubicle Curtains and Track</t>
  </si>
  <si>
    <t>10 21 23.13</t>
  </si>
  <si>
    <t>Cubicle Curtains</t>
  </si>
  <si>
    <t>10 21 23.16</t>
  </si>
  <si>
    <t>Cubicle Track and Hardware</t>
  </si>
  <si>
    <t>10 22 00</t>
  </si>
  <si>
    <t>Partitions</t>
  </si>
  <si>
    <t>10 22 13</t>
  </si>
  <si>
    <t>Wire Mesh Partitions</t>
  </si>
  <si>
    <t>10 22 14</t>
  </si>
  <si>
    <t>Expanded Metal Partitions</t>
  </si>
  <si>
    <t>10 22 16</t>
  </si>
  <si>
    <t>Folding Gates</t>
  </si>
  <si>
    <t>10 22 19</t>
  </si>
  <si>
    <t>Demountable Partitions</t>
  </si>
  <si>
    <t>10 22 19.13</t>
  </si>
  <si>
    <t>Demountable Metal Partitions</t>
  </si>
  <si>
    <t>10 22 19.23</t>
  </si>
  <si>
    <t>Demountable Wood Partitions</t>
  </si>
  <si>
    <t>10 22 19.33</t>
  </si>
  <si>
    <t>Demountable Plastic Partitions</t>
  </si>
  <si>
    <t>10 22 19.43</t>
  </si>
  <si>
    <t>Demountable Composite Partitions</t>
  </si>
  <si>
    <t>10 22 19.53</t>
  </si>
  <si>
    <t>Demountable Gypsum Partitions</t>
  </si>
  <si>
    <t>10 22 23</t>
  </si>
  <si>
    <t>Portable Partitions, Screens, and Panels</t>
  </si>
  <si>
    <t>10 22 23.13</t>
  </si>
  <si>
    <t>Wall Screens</t>
  </si>
  <si>
    <t>10 22 23.23</t>
  </si>
  <si>
    <t>Movable Panel Systems</t>
  </si>
  <si>
    <t>10 22 33</t>
  </si>
  <si>
    <t>Accordion Folding Partitions</t>
  </si>
  <si>
    <t>10 22 36</t>
  </si>
  <si>
    <t>Coiling Partitions</t>
  </si>
  <si>
    <t>10 22 39</t>
  </si>
  <si>
    <t>Folding Panel Partitions</t>
  </si>
  <si>
    <t>10 22 43</t>
  </si>
  <si>
    <t>Sliding Partitions</t>
  </si>
  <si>
    <t>10 25 00</t>
  </si>
  <si>
    <t>Service Walls</t>
  </si>
  <si>
    <t>10 25 13</t>
  </si>
  <si>
    <t>Patient Bed Service Walls</t>
  </si>
  <si>
    <t>10 25 16</t>
  </si>
  <si>
    <t>Modular Service Walls</t>
  </si>
  <si>
    <t>10 26 00</t>
  </si>
  <si>
    <t>Wall and Door Protection</t>
  </si>
  <si>
    <t>10 26 13</t>
  </si>
  <si>
    <t>Corner Guards</t>
  </si>
  <si>
    <t>10 26 16</t>
  </si>
  <si>
    <t>Bumper Guards</t>
  </si>
  <si>
    <t>10 26 16.13</t>
  </si>
  <si>
    <t>Bumper Rails</t>
  </si>
  <si>
    <t>10 26 16.16</t>
  </si>
  <si>
    <t>Protective Corridor Handrails</t>
  </si>
  <si>
    <t>10 26 23</t>
  </si>
  <si>
    <t>Protective Wall Covering</t>
  </si>
  <si>
    <t>10 26 23.13</t>
  </si>
  <si>
    <t>Impact Resistant Wall Protection</t>
  </si>
  <si>
    <t>10 26 33</t>
  </si>
  <si>
    <t>Door and Frame Protection</t>
  </si>
  <si>
    <t>10 26 41</t>
  </si>
  <si>
    <t>Bullet Resistant Panels</t>
  </si>
  <si>
    <t>10 28 00</t>
  </si>
  <si>
    <t>Toilet, Bath, and Laundry Accessories</t>
  </si>
  <si>
    <t>10 28 13</t>
  </si>
  <si>
    <t>Toilet Accessories</t>
  </si>
  <si>
    <t>10 28 13.13</t>
  </si>
  <si>
    <t>Commercial Toilet Accessories</t>
  </si>
  <si>
    <t>10 28 13.19</t>
  </si>
  <si>
    <t>Healthcare Toilet Accessories</t>
  </si>
  <si>
    <t>10 28 13.53</t>
  </si>
  <si>
    <t>Security Toilet Accessories</t>
  </si>
  <si>
    <t>10 28 13.63</t>
  </si>
  <si>
    <t>Detention Toilet Accessories</t>
  </si>
  <si>
    <t>10 28 16</t>
  </si>
  <si>
    <t>Bath Accessories</t>
  </si>
  <si>
    <t>10 28 16.13</t>
  </si>
  <si>
    <t>Residential Bath Accessories</t>
  </si>
  <si>
    <t>10 28 19</t>
  </si>
  <si>
    <t>Tub and Shower Doors</t>
  </si>
  <si>
    <t>10 28 19.16</t>
  </si>
  <si>
    <t>Shower Doors</t>
  </si>
  <si>
    <t>10 28 19.19</t>
  </si>
  <si>
    <t>Tub Doors</t>
  </si>
  <si>
    <t>10 28 23</t>
  </si>
  <si>
    <t>Laundry Accessories</t>
  </si>
  <si>
    <t>10 28 23.13</t>
  </si>
  <si>
    <t>Built-In Ironing Boards</t>
  </si>
  <si>
    <t>10 28 23.16</t>
  </si>
  <si>
    <t>Clothes Drying Racks</t>
  </si>
  <si>
    <t>10 30 00</t>
  </si>
  <si>
    <t>Fireplaces and Stoves</t>
  </si>
  <si>
    <t>10 31 00</t>
  </si>
  <si>
    <t>Manufactured Fireplaces</t>
  </si>
  <si>
    <t>10 31 13</t>
  </si>
  <si>
    <t>Manufactured Fireplace Chimneys</t>
  </si>
  <si>
    <t>10 31 16</t>
  </si>
  <si>
    <t>Manufactured Fireplace Forms</t>
  </si>
  <si>
    <t>10 32 00</t>
  </si>
  <si>
    <t>Fireplace Specialties</t>
  </si>
  <si>
    <t>10 32 13</t>
  </si>
  <si>
    <t>Fireplace Dampers</t>
  </si>
  <si>
    <t>10 32 16</t>
  </si>
  <si>
    <t>Fireplace Inserts</t>
  </si>
  <si>
    <t>10 32 19</t>
  </si>
  <si>
    <t>Fireplace Screens</t>
  </si>
  <si>
    <t>10 32 23</t>
  </si>
  <si>
    <t>Fireplace Doors</t>
  </si>
  <si>
    <t>10 32 26</t>
  </si>
  <si>
    <t>Fireplace Water Heaters</t>
  </si>
  <si>
    <t>10 35 00</t>
  </si>
  <si>
    <t>Stoves</t>
  </si>
  <si>
    <t>10 35 13</t>
  </si>
  <si>
    <t>Heating Stoves</t>
  </si>
  <si>
    <t>10 35 23</t>
  </si>
  <si>
    <t>Cooking Stoves</t>
  </si>
  <si>
    <t>10 40 00</t>
  </si>
  <si>
    <t>Safety Specialties</t>
  </si>
  <si>
    <t>10 41 00</t>
  </si>
  <si>
    <t>Emergency Access and Information Cabinets</t>
  </si>
  <si>
    <t>10 41 13</t>
  </si>
  <si>
    <t>Fire Department Plan Cabinets</t>
  </si>
  <si>
    <t>10 41 16</t>
  </si>
  <si>
    <t>Emergency Key Cabinets</t>
  </si>
  <si>
    <t>10 43 00</t>
  </si>
  <si>
    <t>Emergency Aid Specialties</t>
  </si>
  <si>
    <t>10 43 13</t>
  </si>
  <si>
    <t>Defibrillator Cabinets</t>
  </si>
  <si>
    <t>10 43 16</t>
  </si>
  <si>
    <t>First Aid Cabinets</t>
  </si>
  <si>
    <t>10 43 21</t>
  </si>
  <si>
    <t>Accessibility Evacuation Chairs</t>
  </si>
  <si>
    <t>10 43 31</t>
  </si>
  <si>
    <t>Respiration Equipment</t>
  </si>
  <si>
    <t>10 43 33</t>
  </si>
  <si>
    <t>Breathing Air Replenishment Systems</t>
  </si>
  <si>
    <t>10 44 00</t>
  </si>
  <si>
    <t>Fire Protection Specialties</t>
  </si>
  <si>
    <t>10 44 13</t>
  </si>
  <si>
    <t>Fire Protection Cabinets</t>
  </si>
  <si>
    <t>10 44 13.53</t>
  </si>
  <si>
    <t>Security Fire Extinguisher Cabinets</t>
  </si>
  <si>
    <t>10 44 16</t>
  </si>
  <si>
    <t>Fire Extinguishers</t>
  </si>
  <si>
    <t>10 44 16.13</t>
  </si>
  <si>
    <t>Portable Fire Extinguishers</t>
  </si>
  <si>
    <t>10 44 16.16</t>
  </si>
  <si>
    <t>Wheeled Fire Extinguisher Units</t>
  </si>
  <si>
    <t>10 44 43</t>
  </si>
  <si>
    <t>Fire Extinguisher Accessories</t>
  </si>
  <si>
    <t>10 50 00</t>
  </si>
  <si>
    <t>Storage Specialties</t>
  </si>
  <si>
    <t>10 51 00</t>
  </si>
  <si>
    <t>Lockers</t>
  </si>
  <si>
    <t>10 51 13</t>
  </si>
  <si>
    <t>Metal Lockers</t>
  </si>
  <si>
    <t>10 51 16</t>
  </si>
  <si>
    <t>Wood Lockers</t>
  </si>
  <si>
    <t>10 51 23</t>
  </si>
  <si>
    <t>Plastic-Laminate-Clad Lockers</t>
  </si>
  <si>
    <t>10 51 26</t>
  </si>
  <si>
    <t>Plastic Lockers</t>
  </si>
  <si>
    <t>10 51 26.13</t>
  </si>
  <si>
    <t>Recycled Plastic Lockers</t>
  </si>
  <si>
    <t>10 51 29</t>
  </si>
  <si>
    <t>Phenolic Lockers</t>
  </si>
  <si>
    <t>10 51 33</t>
  </si>
  <si>
    <t>Glass Lockers</t>
  </si>
  <si>
    <t>10 51 43</t>
  </si>
  <si>
    <t>Wire Mesh Storage Lockers</t>
  </si>
  <si>
    <t>10 51 53</t>
  </si>
  <si>
    <t>Locker Room Benches</t>
  </si>
  <si>
    <t>10 55 00</t>
  </si>
  <si>
    <t>Postal Specialties</t>
  </si>
  <si>
    <t>10 55 13</t>
  </si>
  <si>
    <t>Central Mail Delivery Boxes</t>
  </si>
  <si>
    <t>10 55 13.13</t>
  </si>
  <si>
    <t>Cluster Box Units</t>
  </si>
  <si>
    <t>10 55 16</t>
  </si>
  <si>
    <t>Mail Collection Boxes</t>
  </si>
  <si>
    <t>10 55 19</t>
  </si>
  <si>
    <t>Receiving Boxes</t>
  </si>
  <si>
    <t>10 55 23</t>
  </si>
  <si>
    <t>Mail Boxes</t>
  </si>
  <si>
    <t>10 55 23.13</t>
  </si>
  <si>
    <t>Apartment Mail Boxes</t>
  </si>
  <si>
    <t>10 55 23.16</t>
  </si>
  <si>
    <t>Mail Box Directories</t>
  </si>
  <si>
    <t>10 55 23.19</t>
  </si>
  <si>
    <t>Mail Box Key Keepers</t>
  </si>
  <si>
    <t>10 55 26</t>
  </si>
  <si>
    <t>Parcel Lockers</t>
  </si>
  <si>
    <t>10 55 33</t>
  </si>
  <si>
    <t>Data Distribution Boxes</t>
  </si>
  <si>
    <t>10 55 36</t>
  </si>
  <si>
    <t>Package Depositories</t>
  </si>
  <si>
    <t>10 55 91</t>
  </si>
  <si>
    <t>Mail Chutes</t>
  </si>
  <si>
    <t>10 56 00</t>
  </si>
  <si>
    <t>Storage Assemblies</t>
  </si>
  <si>
    <t>10 56 13</t>
  </si>
  <si>
    <t>Metal Storage Shelving</t>
  </si>
  <si>
    <t>10 56 13.13</t>
  </si>
  <si>
    <t>End-Panel-Support Metal Storage Shelving</t>
  </si>
  <si>
    <t>10 56 13.16</t>
  </si>
  <si>
    <t>Post-and-Shelf Metal Storage Shelving</t>
  </si>
  <si>
    <t>10 56 13.19</t>
  </si>
  <si>
    <t>Post-and-Beam Metal Storage Shelving</t>
  </si>
  <si>
    <t>10 56 13.23</t>
  </si>
  <si>
    <t>Cantilever Metal Storage Shelving</t>
  </si>
  <si>
    <t>10 56 16</t>
  </si>
  <si>
    <t>Fabricated Wood Storage Shelving</t>
  </si>
  <si>
    <t>10 56 17</t>
  </si>
  <si>
    <t>Wall-Mounted Standards and Shelving</t>
  </si>
  <si>
    <t>10 56 19</t>
  </si>
  <si>
    <t>Plastic Storage Shelving</t>
  </si>
  <si>
    <t>10 56 19.13</t>
  </si>
  <si>
    <t>Recycled Plastic Storage Shelving</t>
  </si>
  <si>
    <t>10 56 23</t>
  </si>
  <si>
    <t>Wire Storage Shelving</t>
  </si>
  <si>
    <t>10 56 26</t>
  </si>
  <si>
    <t>Mobile Storage Shelving</t>
  </si>
  <si>
    <t>10 56 26.13</t>
  </si>
  <si>
    <t>Manual Mobile Storage Shelving</t>
  </si>
  <si>
    <t>10 56 26.23</t>
  </si>
  <si>
    <t>Motorized Mobile Storage Shelving</t>
  </si>
  <si>
    <t>10 56 29</t>
  </si>
  <si>
    <t>Storage Racks</t>
  </si>
  <si>
    <t>10 56 29.13</t>
  </si>
  <si>
    <t>Flow Storage Racks</t>
  </si>
  <si>
    <t>10 56 29.16</t>
  </si>
  <si>
    <t>Pallet Storage Racks</t>
  </si>
  <si>
    <t>10 56 29.19</t>
  </si>
  <si>
    <t>Movable-Shelf Storage Racks</t>
  </si>
  <si>
    <t>10 56 29.23</t>
  </si>
  <si>
    <t>Stacker Storage Racks</t>
  </si>
  <si>
    <t>10 56 29.26</t>
  </si>
  <si>
    <t>Cantilever Storage Racks</t>
  </si>
  <si>
    <t>10 56 29.29</t>
  </si>
  <si>
    <t>Drive-In Storage Racks</t>
  </si>
  <si>
    <t>10 56 29.33</t>
  </si>
  <si>
    <t>Drive-Through Storage Racks</t>
  </si>
  <si>
    <t>10 56 29.43</t>
  </si>
  <si>
    <t>Wine Storage Racks</t>
  </si>
  <si>
    <t>10 56 33</t>
  </si>
  <si>
    <t>Mercantile Storage Assemblies</t>
  </si>
  <si>
    <t>10 57 00</t>
  </si>
  <si>
    <t>Wardrobe and Closet Specialties</t>
  </si>
  <si>
    <t>10 57 13</t>
  </si>
  <si>
    <t>Hat and Coat Racks</t>
  </si>
  <si>
    <t>10 57 16</t>
  </si>
  <si>
    <t>Boot Racks</t>
  </si>
  <si>
    <t>10 57 23</t>
  </si>
  <si>
    <t>Closet and Utility Shelving</t>
  </si>
  <si>
    <t>10 57 23.13</t>
  </si>
  <si>
    <t>Wire Closet and Utility Shelving</t>
  </si>
  <si>
    <t>10 57 23.16</t>
  </si>
  <si>
    <t>Plastic-Laminate-Clad Closet and Utility Shelving</t>
  </si>
  <si>
    <t>10 57 23.19</t>
  </si>
  <si>
    <t>Wood Closet and Utility Shelving</t>
  </si>
  <si>
    <t>10 57 33</t>
  </si>
  <si>
    <t>Closet and Utility Shelving Hardware</t>
  </si>
  <si>
    <t>10 70 00</t>
  </si>
  <si>
    <t>Exterior Specialties</t>
  </si>
  <si>
    <t>10 71 00</t>
  </si>
  <si>
    <t>Exterior Protection</t>
  </si>
  <si>
    <t>10 71 13</t>
  </si>
  <si>
    <t>Exterior Sun Control Devices</t>
  </si>
  <si>
    <t>10 71 13.13</t>
  </si>
  <si>
    <t>Exterior Shutters</t>
  </si>
  <si>
    <t>10 71 13.19</t>
  </si>
  <si>
    <t>Rolling Exterior Shutters</t>
  </si>
  <si>
    <t>10 71 13.23</t>
  </si>
  <si>
    <t>Coiling Exterior Shutters</t>
  </si>
  <si>
    <t>10 71 13.26</t>
  </si>
  <si>
    <t>Decorative Exterior Shutters</t>
  </si>
  <si>
    <t>10 71 13.29</t>
  </si>
  <si>
    <t>Side-Hinged Exterior Shutters</t>
  </si>
  <si>
    <t>10 71 13.43</t>
  </si>
  <si>
    <t>Fixed Sun Screens</t>
  </si>
  <si>
    <t>10 71 16</t>
  </si>
  <si>
    <t>Storm Panels</t>
  </si>
  <si>
    <t>10 71 16.13</t>
  </si>
  <si>
    <t>Demountable Storm Panels</t>
  </si>
  <si>
    <t>10 71 16.16</t>
  </si>
  <si>
    <t>Movable Storm Panels</t>
  </si>
  <si>
    <t>10 71 19</t>
  </si>
  <si>
    <t>Flood Barriers</t>
  </si>
  <si>
    <t>10 73 00</t>
  </si>
  <si>
    <t>Protective Covers</t>
  </si>
  <si>
    <t>10 73 13</t>
  </si>
  <si>
    <t>Awnings</t>
  </si>
  <si>
    <t>10 73 16</t>
  </si>
  <si>
    <t>Canopies</t>
  </si>
  <si>
    <t>10 73 23</t>
  </si>
  <si>
    <t>Car Shelters</t>
  </si>
  <si>
    <t>10 73 26</t>
  </si>
  <si>
    <t>Walkway Coverings</t>
  </si>
  <si>
    <t>10 73 33</t>
  </si>
  <si>
    <t>Marquees</t>
  </si>
  <si>
    <t>10 73 43</t>
  </si>
  <si>
    <t>Transportation Stop Shelters</t>
  </si>
  <si>
    <t>10 74 00</t>
  </si>
  <si>
    <t>Manufactured Exterior Specialties</t>
  </si>
  <si>
    <t>10 74 13</t>
  </si>
  <si>
    <t>Exterior Clocks</t>
  </si>
  <si>
    <t>10 74 23</t>
  </si>
  <si>
    <t>Cupolas</t>
  </si>
  <si>
    <t>10 74 26</t>
  </si>
  <si>
    <t>Spires</t>
  </si>
  <si>
    <t>10 74 29</t>
  </si>
  <si>
    <t>Steeples</t>
  </si>
  <si>
    <t>10 74 33</t>
  </si>
  <si>
    <t>Weathervanes</t>
  </si>
  <si>
    <t>10 74 43</t>
  </si>
  <si>
    <t>Below-Grade Egress Assemblies</t>
  </si>
  <si>
    <t>10 74 46</t>
  </si>
  <si>
    <t>Window Wells</t>
  </si>
  <si>
    <t>10 75 00</t>
  </si>
  <si>
    <t>Flagpoles</t>
  </si>
  <si>
    <t>10 75 13</t>
  </si>
  <si>
    <t>Automatic Flagpoles</t>
  </si>
  <si>
    <t>10 75 16</t>
  </si>
  <si>
    <t>Ground-Set Flagpoles</t>
  </si>
  <si>
    <t>10 75 19</t>
  </si>
  <si>
    <t>Nautical Flagpoles</t>
  </si>
  <si>
    <t>10 75 23</t>
  </si>
  <si>
    <t>Wall-Mounted Flagpoles</t>
  </si>
  <si>
    <t>10 80 00</t>
  </si>
  <si>
    <t>Other Specialties</t>
  </si>
  <si>
    <t>10 81 00</t>
  </si>
  <si>
    <t>Pest Control Devices</t>
  </si>
  <si>
    <t>10 81 13</t>
  </si>
  <si>
    <t>Bird Control Devices</t>
  </si>
  <si>
    <t>10 81 16</t>
  </si>
  <si>
    <t>Insect Control Devices</t>
  </si>
  <si>
    <t>10 81 19</t>
  </si>
  <si>
    <t>Rodent Control Devices</t>
  </si>
  <si>
    <t>10 82 00</t>
  </si>
  <si>
    <t>Grilles and Screens</t>
  </si>
  <si>
    <t>10 82 13</t>
  </si>
  <si>
    <t>Exterior Grilles and Screens</t>
  </si>
  <si>
    <t>10 82 19</t>
  </si>
  <si>
    <t>Exterior Sound Screens</t>
  </si>
  <si>
    <t>10 82 23</t>
  </si>
  <si>
    <t>Interior Grilles and Screens</t>
  </si>
  <si>
    <t>10 83 00</t>
  </si>
  <si>
    <t>Flags and Banners</t>
  </si>
  <si>
    <t>10 83 13</t>
  </si>
  <si>
    <t>Flags</t>
  </si>
  <si>
    <t>10 83 16</t>
  </si>
  <si>
    <t>Banners</t>
  </si>
  <si>
    <t>10 84 00</t>
  </si>
  <si>
    <t>Gas Lighting</t>
  </si>
  <si>
    <t>10 84 13</t>
  </si>
  <si>
    <t>Exterior Gas Lighting</t>
  </si>
  <si>
    <t>10 84 16</t>
  </si>
  <si>
    <t>Interior Gas Lighting</t>
  </si>
  <si>
    <t>10 86 00</t>
  </si>
  <si>
    <t>Security Mirrors and Domes</t>
  </si>
  <si>
    <t>10 88 00</t>
  </si>
  <si>
    <t>Scales</t>
  </si>
  <si>
    <t>11 00 00</t>
  </si>
  <si>
    <t>Equipment</t>
  </si>
  <si>
    <t>11 01 00</t>
  </si>
  <si>
    <t>Operation and Maintenance of Equipment</t>
  </si>
  <si>
    <t>11 01 10</t>
  </si>
  <si>
    <t>Operation and Maintenance of Vehicle and Pedestrian Equipment</t>
  </si>
  <si>
    <t>11 01 15</t>
  </si>
  <si>
    <t>Operation and Maintenance of Security, Bank, and Detention Equipment</t>
  </si>
  <si>
    <t>11 01 20</t>
  </si>
  <si>
    <t>Operation and Maintenance of Commercial Equipment</t>
  </si>
  <si>
    <t>11 01 30</t>
  </si>
  <si>
    <t>Operation and Maintenance of Residential Equipment</t>
  </si>
  <si>
    <t>11 01 40</t>
  </si>
  <si>
    <t>Operation and Maintenance of Foodservice Equipment</t>
  </si>
  <si>
    <t>11 01 50</t>
  </si>
  <si>
    <t>Operation and Maintenance of Educational and Scientific Equipment</t>
  </si>
  <si>
    <t>11 01 56</t>
  </si>
  <si>
    <t>Operation and Maintenance of Observatory Equipment</t>
  </si>
  <si>
    <t>11 01 60</t>
  </si>
  <si>
    <t>Operation and Maintenance of Entertainment Equipment</t>
  </si>
  <si>
    <t>11 01 65</t>
  </si>
  <si>
    <t>Operation and Maintenance of Athletic and Recreational Equipment</t>
  </si>
  <si>
    <t>11 01 70</t>
  </si>
  <si>
    <t>Operation and Maintenance of Healthcare Equipment</t>
  </si>
  <si>
    <t>11 01 80</t>
  </si>
  <si>
    <t>Operation and Maintenance of Collection and Disposal Equipment</t>
  </si>
  <si>
    <t>11 01 90</t>
  </si>
  <si>
    <t>Operation and Maintenance of Other Equipment</t>
  </si>
  <si>
    <t>11 05 00</t>
  </si>
  <si>
    <t>Common Work Results for Equipment</t>
  </si>
  <si>
    <t>11 05 13</t>
  </si>
  <si>
    <t>Common Motor Requirements for Equipment</t>
  </si>
  <si>
    <t>11 06 00</t>
  </si>
  <si>
    <t>Schedules for Equipment</t>
  </si>
  <si>
    <t>11 06 10</t>
  </si>
  <si>
    <t>Schedules for Vehicle and Pedestrian Equipment</t>
  </si>
  <si>
    <t>11 06 15</t>
  </si>
  <si>
    <t>Schedules for Security, Bank, and Detention Equipment</t>
  </si>
  <si>
    <t>11 06 15.13</t>
  </si>
  <si>
    <t>Teller and Service Equipment Schedule</t>
  </si>
  <si>
    <t>11 06 20</t>
  </si>
  <si>
    <t>Schedules for Commercial Equipment</t>
  </si>
  <si>
    <t>11 06 30</t>
  </si>
  <si>
    <t>Schedules for Residential Equipment</t>
  </si>
  <si>
    <t>11 06 40</t>
  </si>
  <si>
    <t>Schedules for Foodservice Equipment</t>
  </si>
  <si>
    <t>11 06 40.13</t>
  </si>
  <si>
    <t>Foodservice Equipment Schedule</t>
  </si>
  <si>
    <t>11 06 50</t>
  </si>
  <si>
    <t>Schedules for Educational and Scientific Equipment</t>
  </si>
  <si>
    <t>11 06 60</t>
  </si>
  <si>
    <t>Schedules for Entertainment Equipment</t>
  </si>
  <si>
    <t>11 06 65</t>
  </si>
  <si>
    <t>Schedules for Athletic and Recreational Equipment</t>
  </si>
  <si>
    <t>11 06 70</t>
  </si>
  <si>
    <t>Schedules for Healthcare Equipment</t>
  </si>
  <si>
    <t>11 06 70.13</t>
  </si>
  <si>
    <t>Healthcare Equipment Schedule</t>
  </si>
  <si>
    <t>11 06 80</t>
  </si>
  <si>
    <t>Schedules for Collection and Disposal Equipment</t>
  </si>
  <si>
    <t>11 06 90</t>
  </si>
  <si>
    <t>Schedules for Other Equipment</t>
  </si>
  <si>
    <t>11 08 00</t>
  </si>
  <si>
    <t>Commissioning of Equipment</t>
  </si>
  <si>
    <t>11 10 00</t>
  </si>
  <si>
    <t>Vehicle and Pedestrian Equipment</t>
  </si>
  <si>
    <t>11 11 00</t>
  </si>
  <si>
    <t>Vehicle Service Equipment</t>
  </si>
  <si>
    <t>11 11 13</t>
  </si>
  <si>
    <t>Compressed-Air Vehicle Service Equipment</t>
  </si>
  <si>
    <t>11 11 19</t>
  </si>
  <si>
    <t>Vehicle Lubrication Equipment</t>
  </si>
  <si>
    <t>11 11 23</t>
  </si>
  <si>
    <t>Tire-Changing Equipment</t>
  </si>
  <si>
    <t>11 11 26</t>
  </si>
  <si>
    <t>Vehicle-Washing Equipment</t>
  </si>
  <si>
    <t>11 12 00</t>
  </si>
  <si>
    <t>Parking Control Equipment</t>
  </si>
  <si>
    <t>11 12 13</t>
  </si>
  <si>
    <t>Parking Key and Card Control Units</t>
  </si>
  <si>
    <t>11 12 16</t>
  </si>
  <si>
    <t>Parking Ticket Dispensers</t>
  </si>
  <si>
    <t>11 12 23</t>
  </si>
  <si>
    <t>Parking Meters</t>
  </si>
  <si>
    <t>11 12 26</t>
  </si>
  <si>
    <t>Parking Fee Collection Equipment</t>
  </si>
  <si>
    <t>11 12 33</t>
  </si>
  <si>
    <t>Parking Gates</t>
  </si>
  <si>
    <t>11 13 00</t>
  </si>
  <si>
    <t>Loading Dock Equipment</t>
  </si>
  <si>
    <t>11 13 13</t>
  </si>
  <si>
    <t>Loading Dock Bumpers</t>
  </si>
  <si>
    <t>11 13 16</t>
  </si>
  <si>
    <t>Loading Dock Seals and Shelters</t>
  </si>
  <si>
    <t>11 13 16.13</t>
  </si>
  <si>
    <t>Loading Dock Seals</t>
  </si>
  <si>
    <t>11 13 16.23</t>
  </si>
  <si>
    <t>Loading Dock Shelters</t>
  </si>
  <si>
    <t>11 13 16.33</t>
  </si>
  <si>
    <t>Loading Dock Rail Shelters</t>
  </si>
  <si>
    <t>11 13 19</t>
  </si>
  <si>
    <t>Stationary Loading Dock Equipment</t>
  </si>
  <si>
    <t>11 13 19.13</t>
  </si>
  <si>
    <t>Loading Dock Levelers</t>
  </si>
  <si>
    <t>11 13 19.23</t>
  </si>
  <si>
    <t>Stationary Loading Dock Lifts</t>
  </si>
  <si>
    <t>11 13 19.26</t>
  </si>
  <si>
    <t>Loading Dock Truck Lifts</t>
  </si>
  <si>
    <t>11 13 19.33</t>
  </si>
  <si>
    <t>Loading Dock Truck Restraints</t>
  </si>
  <si>
    <t>11 13 23</t>
  </si>
  <si>
    <t>Portable Dock Equipment</t>
  </si>
  <si>
    <t>11 13 23.13</t>
  </si>
  <si>
    <t>Portable Dock Lifts</t>
  </si>
  <si>
    <t>11 13 23.16</t>
  </si>
  <si>
    <t>Portable Dock Ramps</t>
  </si>
  <si>
    <t>11 13 23.19</t>
  </si>
  <si>
    <t>Portable Dock Bridges</t>
  </si>
  <si>
    <t>11 13 23.23</t>
  </si>
  <si>
    <t>Portable Dock Platforms</t>
  </si>
  <si>
    <t>11 13 26</t>
  </si>
  <si>
    <t>Loading Dock Lights</t>
  </si>
  <si>
    <t>11 14 00</t>
  </si>
  <si>
    <t>Pedestrian Control Equipment</t>
  </si>
  <si>
    <t>11 14 13</t>
  </si>
  <si>
    <t>Pedestrian Gates</t>
  </si>
  <si>
    <t>11 14 13.13</t>
  </si>
  <si>
    <t>Portable Posts and Railings</t>
  </si>
  <si>
    <t>11 14 13.16</t>
  </si>
  <si>
    <t>Rotary Gates</t>
  </si>
  <si>
    <t>11 14 13.19</t>
  </si>
  <si>
    <t>Turnstiles</t>
  </si>
  <si>
    <t>11 14 16</t>
  </si>
  <si>
    <t>Money-Changing Equipment</t>
  </si>
  <si>
    <t>11 14 16.19</t>
  </si>
  <si>
    <t>Money-Changing Machines</t>
  </si>
  <si>
    <t>11 14 26</t>
  </si>
  <si>
    <t>Pedestrian Fare Collection Equipment</t>
  </si>
  <si>
    <t>11 14 26.13</t>
  </si>
  <si>
    <t>Pedestrian Coin Fare Collection Equipment</t>
  </si>
  <si>
    <t>11 14 43</t>
  </si>
  <si>
    <t>Pedestrian Detection Equipment</t>
  </si>
  <si>
    <t>11 14 43.13</t>
  </si>
  <si>
    <t>Electronic Detection and Counting Systems</t>
  </si>
  <si>
    <t>11 14 53</t>
  </si>
  <si>
    <t>Pedestrian Security Equipment</t>
  </si>
  <si>
    <t>11 15 00</t>
  </si>
  <si>
    <t>Security, Detention, and Banking Equipment</t>
  </si>
  <si>
    <t>11 16 00</t>
  </si>
  <si>
    <t>Vault Equipment</t>
  </si>
  <si>
    <t>11 16 13</t>
  </si>
  <si>
    <t>Safe Deposit Boxes</t>
  </si>
  <si>
    <t>11 16 16</t>
  </si>
  <si>
    <t>Safes</t>
  </si>
  <si>
    <t>11 16 23</t>
  </si>
  <si>
    <t>Vault Ventilators</t>
  </si>
  <si>
    <t>11 17 00</t>
  </si>
  <si>
    <t>Teller and Service Equipment</t>
  </si>
  <si>
    <t>11 17 13</t>
  </si>
  <si>
    <t>Teller Equipment Systems</t>
  </si>
  <si>
    <t>11 17 16</t>
  </si>
  <si>
    <t>Automatic Banking Systems</t>
  </si>
  <si>
    <t>11 17 23</t>
  </si>
  <si>
    <t>Money Handling Equipment</t>
  </si>
  <si>
    <t>11 17 33</t>
  </si>
  <si>
    <t>Money Cart Pass-Through</t>
  </si>
  <si>
    <t>11 17 36</t>
  </si>
  <si>
    <t>Package Transfer Units</t>
  </si>
  <si>
    <t>11 18 00</t>
  </si>
  <si>
    <t>Security Equipment</t>
  </si>
  <si>
    <t>11 18 13</t>
  </si>
  <si>
    <t>Deal Drawers</t>
  </si>
  <si>
    <t>11 18 16</t>
  </si>
  <si>
    <t>Gun Ports</t>
  </si>
  <si>
    <t>11 18 23</t>
  </si>
  <si>
    <t>Valuable Material Storage</t>
  </si>
  <si>
    <t>11 19 00</t>
  </si>
  <si>
    <t>Detention Equipment</t>
  </si>
  <si>
    <t>11 19 13</t>
  </si>
  <si>
    <t>Detention Pass-Through Doors</t>
  </si>
  <si>
    <t>11 19 16</t>
  </si>
  <si>
    <t>Detention Gun Lockers</t>
  </si>
  <si>
    <t>11 20 00</t>
  </si>
  <si>
    <t>Commercial Equipment</t>
  </si>
  <si>
    <t>11 21 00</t>
  </si>
  <si>
    <t>Mercantile and Service Equipment</t>
  </si>
  <si>
    <t>11 21 13</t>
  </si>
  <si>
    <t>Cash Registers and Checking Equipment</t>
  </si>
  <si>
    <t>11 21 23</t>
  </si>
  <si>
    <t>Vending Equipment</t>
  </si>
  <si>
    <t>11 21 23.13</t>
  </si>
  <si>
    <t>Vending Machines</t>
  </si>
  <si>
    <t>11 21 33</t>
  </si>
  <si>
    <t>Checkroom Equipment</t>
  </si>
  <si>
    <t>11 21 43</t>
  </si>
  <si>
    <t>Weighing and Wrapping Equipment</t>
  </si>
  <si>
    <t>11 21 53</t>
  </si>
  <si>
    <t>Barber and Beauty Shop Equipment</t>
  </si>
  <si>
    <t>11 22 00</t>
  </si>
  <si>
    <t>Refrigerated Display Equipment</t>
  </si>
  <si>
    <t>11 23 00</t>
  </si>
  <si>
    <t>Commercial Laundry and Dry Cleaning Equipment</t>
  </si>
  <si>
    <t>11 23 13</t>
  </si>
  <si>
    <t>Dry Cleaning Equipment</t>
  </si>
  <si>
    <t>11 23 16</t>
  </si>
  <si>
    <t>Drying and Conditioning Equipment</t>
  </si>
  <si>
    <t>11 23 19</t>
  </si>
  <si>
    <t>Finishing Equipment</t>
  </si>
  <si>
    <t>11 23 23</t>
  </si>
  <si>
    <t>Commercial Ironing Equipment</t>
  </si>
  <si>
    <t>11 23 26</t>
  </si>
  <si>
    <t>Commercial Washers and Extractors</t>
  </si>
  <si>
    <t>11 23 33</t>
  </si>
  <si>
    <t>Coin-Operated Laundry Equipment</t>
  </si>
  <si>
    <t>11 23 43</t>
  </si>
  <si>
    <t>Hanging Garment Conveyors</t>
  </si>
  <si>
    <t>11 24 00</t>
  </si>
  <si>
    <t>Maintenance Equipment</t>
  </si>
  <si>
    <t>11 24 13</t>
  </si>
  <si>
    <t>Floor and Wall Cleaning Equipment</t>
  </si>
  <si>
    <t>11 24 16</t>
  </si>
  <si>
    <t>Housekeeping Carts</t>
  </si>
  <si>
    <t>11 24 19</t>
  </si>
  <si>
    <t>Vacuum Cleaning Systems</t>
  </si>
  <si>
    <t>11 24 23</t>
  </si>
  <si>
    <t>Façade Access Equipment</t>
  </si>
  <si>
    <t>11 24 23.13</t>
  </si>
  <si>
    <t>Window Washing Systems</t>
  </si>
  <si>
    <t>11 24 29</t>
  </si>
  <si>
    <t>Facility Fall Protection</t>
  </si>
  <si>
    <t>11 25 00</t>
  </si>
  <si>
    <t>Hospitality Equipment</t>
  </si>
  <si>
    <t>11 25 13</t>
  </si>
  <si>
    <t>Registration Equipment</t>
  </si>
  <si>
    <t>11 26 00</t>
  </si>
  <si>
    <t>Unit Kitchens</t>
  </si>
  <si>
    <t>11 26 13</t>
  </si>
  <si>
    <t>Metal Unit Kitchens</t>
  </si>
  <si>
    <t>11 26 16</t>
  </si>
  <si>
    <t>Wood Unit Kitchens</t>
  </si>
  <si>
    <t>11 26 19</t>
  </si>
  <si>
    <t>Plastic-Laminate-Clad Unit Kitchens</t>
  </si>
  <si>
    <t>11 27 00</t>
  </si>
  <si>
    <t>Photographic Processing Equipment</t>
  </si>
  <si>
    <t>11 27 13</t>
  </si>
  <si>
    <t>Darkroom Processing Equipment</t>
  </si>
  <si>
    <t>11 27 16</t>
  </si>
  <si>
    <t>Film Transfer Cabinets</t>
  </si>
  <si>
    <t>11 28 00</t>
  </si>
  <si>
    <t>Office Equipment</t>
  </si>
  <si>
    <t>11 28 13</t>
  </si>
  <si>
    <t>Computers</t>
  </si>
  <si>
    <t>11 28 16</t>
  </si>
  <si>
    <t>Printers</t>
  </si>
  <si>
    <t>11 28 19</t>
  </si>
  <si>
    <t>Self-Contained Facsimile Machines</t>
  </si>
  <si>
    <t>11 28 23</t>
  </si>
  <si>
    <t>Copiers</t>
  </si>
  <si>
    <t>11 29 00</t>
  </si>
  <si>
    <t>Postal, Packaging, and Shipping Equipment</t>
  </si>
  <si>
    <t>11 29 23</t>
  </si>
  <si>
    <t>Packaging Equipment</t>
  </si>
  <si>
    <t>11 29 33</t>
  </si>
  <si>
    <t>Shipping Equipment</t>
  </si>
  <si>
    <t>11 29 55</t>
  </si>
  <si>
    <t>Postal Equipment</t>
  </si>
  <si>
    <t>11 30 00</t>
  </si>
  <si>
    <t>Residential Equipment</t>
  </si>
  <si>
    <t>11 31 00</t>
  </si>
  <si>
    <t>Residential Appliances</t>
  </si>
  <si>
    <t>11 31 13</t>
  </si>
  <si>
    <t>Residential Kitchen Appliances</t>
  </si>
  <si>
    <t>11 31 23</t>
  </si>
  <si>
    <t>Residential Laundry Appliances</t>
  </si>
  <si>
    <t>11 33 00</t>
  </si>
  <si>
    <t>Retractable Stairs</t>
  </si>
  <si>
    <t>11 34 00</t>
  </si>
  <si>
    <t>Residential Ceiling Fans</t>
  </si>
  <si>
    <t>11 40 00</t>
  </si>
  <si>
    <t>Foodservice Equipment</t>
  </si>
  <si>
    <t>11 41 00</t>
  </si>
  <si>
    <t>Foodservice Storage Equipment</t>
  </si>
  <si>
    <t>11 41 13</t>
  </si>
  <si>
    <t>Refrigerated Food Storage Cases</t>
  </si>
  <si>
    <t>11 41 23</t>
  </si>
  <si>
    <t>Walk-In Coolers</t>
  </si>
  <si>
    <t>11 41 26</t>
  </si>
  <si>
    <t>Walk-In Freezers</t>
  </si>
  <si>
    <t>11 41 33</t>
  </si>
  <si>
    <t>Foodservice Shelving</t>
  </si>
  <si>
    <t>11 42 00</t>
  </si>
  <si>
    <t>Food Preparation Equipment</t>
  </si>
  <si>
    <t>11 42 13</t>
  </si>
  <si>
    <t>Food Preparation Appliances</t>
  </si>
  <si>
    <t>11 42 16</t>
  </si>
  <si>
    <t>Food Preparation Surfaces</t>
  </si>
  <si>
    <t>11 43 00</t>
  </si>
  <si>
    <t>Food Delivery Carts and Conveyors</t>
  </si>
  <si>
    <t>11 43 13</t>
  </si>
  <si>
    <t>Food Delivery Carts</t>
  </si>
  <si>
    <t>11 43 16</t>
  </si>
  <si>
    <t>Food Delivery Conveyors</t>
  </si>
  <si>
    <t>11 44 00</t>
  </si>
  <si>
    <t>Food Cooking Equipment</t>
  </si>
  <si>
    <t>11 44 13</t>
  </si>
  <si>
    <t>Commercial Ranges</t>
  </si>
  <si>
    <t>11 44 16</t>
  </si>
  <si>
    <t>Commercial Ovens</t>
  </si>
  <si>
    <t>11 46 00</t>
  </si>
  <si>
    <t>Food Dispensing Equipment</t>
  </si>
  <si>
    <t>11 46 13</t>
  </si>
  <si>
    <t>Bar Equipment</t>
  </si>
  <si>
    <t>11 46 16</t>
  </si>
  <si>
    <t>Service Line Equipment</t>
  </si>
  <si>
    <t>11 46 19</t>
  </si>
  <si>
    <t>Soda Fountain Equipment</t>
  </si>
  <si>
    <t>11 47 00</t>
  </si>
  <si>
    <t>Ice Machines</t>
  </si>
  <si>
    <t>11 48 00</t>
  </si>
  <si>
    <t>Cleaning and Disposal Equipment</t>
  </si>
  <si>
    <t>11 48 13</t>
  </si>
  <si>
    <t>Commercial Dishwashers</t>
  </si>
  <si>
    <t>11 50 00</t>
  </si>
  <si>
    <t>Educational and Scientific Equipment</t>
  </si>
  <si>
    <t>11 51 00</t>
  </si>
  <si>
    <t>Library Equipment</t>
  </si>
  <si>
    <t>11 51 13</t>
  </si>
  <si>
    <t>Automated Book Storage and Retrieval Systems</t>
  </si>
  <si>
    <t>11 51 16</t>
  </si>
  <si>
    <t>Book Depositories</t>
  </si>
  <si>
    <t>11 51 19</t>
  </si>
  <si>
    <t>Book Theft Protection Equipment</t>
  </si>
  <si>
    <t>11 51 23</t>
  </si>
  <si>
    <t>Library Stack Systems</t>
  </si>
  <si>
    <t>11 51 23.13</t>
  </si>
  <si>
    <t>Metal Library Shelving</t>
  </si>
  <si>
    <t>11 52 00</t>
  </si>
  <si>
    <t>Audio-Visual Equipment</t>
  </si>
  <si>
    <t>11 52 13</t>
  </si>
  <si>
    <t>Projection Screens</t>
  </si>
  <si>
    <t>11 52 13.13</t>
  </si>
  <si>
    <t>Fixed Projection Screens</t>
  </si>
  <si>
    <t>11 52 13.16</t>
  </si>
  <si>
    <t>Portable Projection Screens</t>
  </si>
  <si>
    <t>11 52 13.19</t>
  </si>
  <si>
    <t>Rear Projection Screens</t>
  </si>
  <si>
    <t>11 52 16</t>
  </si>
  <si>
    <t>Projectors</t>
  </si>
  <si>
    <t>11 52 16.13</t>
  </si>
  <si>
    <t>Movie Projectors</t>
  </si>
  <si>
    <t>11 52 16.16</t>
  </si>
  <si>
    <t>Slide Projectors</t>
  </si>
  <si>
    <t>11 52 16.19</t>
  </si>
  <si>
    <t>Overhead Projectors</t>
  </si>
  <si>
    <t>11 52 16.23</t>
  </si>
  <si>
    <t>Opaque Projectors</t>
  </si>
  <si>
    <t>11 52 16.26</t>
  </si>
  <si>
    <t>Video Projectors</t>
  </si>
  <si>
    <t>11 52 19</t>
  </si>
  <si>
    <t>Players and Recorders</t>
  </si>
  <si>
    <t>11 52 23</t>
  </si>
  <si>
    <t>Audio-Visual Equipment Supports</t>
  </si>
  <si>
    <t>11 53 00</t>
  </si>
  <si>
    <t>Laboratory Equipment</t>
  </si>
  <si>
    <t>11 53 13</t>
  </si>
  <si>
    <t>Laboratory Fume Hoods</t>
  </si>
  <si>
    <t>11 53 13.13</t>
  </si>
  <si>
    <t>Recirculating Laboratory Fume Hoods</t>
  </si>
  <si>
    <t>11 53 16</t>
  </si>
  <si>
    <t>Laboratory Incubators</t>
  </si>
  <si>
    <t>11 53 17</t>
  </si>
  <si>
    <t>Laboratory Equipment Washers</t>
  </si>
  <si>
    <t>11 53 19</t>
  </si>
  <si>
    <t>Laboratory Sterilizers</t>
  </si>
  <si>
    <t>11 53 23</t>
  </si>
  <si>
    <t>Laboratory Refrigerators</t>
  </si>
  <si>
    <t>11 53 26</t>
  </si>
  <si>
    <t>Laboratory Freezers</t>
  </si>
  <si>
    <t>11 53 29</t>
  </si>
  <si>
    <t>Laboratory Controlled-Environment Cabinets</t>
  </si>
  <si>
    <t>11 53 33</t>
  </si>
  <si>
    <t>Emergency Safety Appliances</t>
  </si>
  <si>
    <t>11 53 43</t>
  </si>
  <si>
    <t>Service Fittings and Accessories</t>
  </si>
  <si>
    <t>11 53 53</t>
  </si>
  <si>
    <t>Biological Safety Cabinets</t>
  </si>
  <si>
    <t>11 55 00</t>
  </si>
  <si>
    <t>Planetarium Equipment</t>
  </si>
  <si>
    <t>11 55 13</t>
  </si>
  <si>
    <t>Planetarium Projectors</t>
  </si>
  <si>
    <t>11 55 16</t>
  </si>
  <si>
    <t>Planetarium Pendulums</t>
  </si>
  <si>
    <t>11 56 00</t>
  </si>
  <si>
    <t>Observatory Equipment</t>
  </si>
  <si>
    <t>11 56 13</t>
  </si>
  <si>
    <t>Telescopes</t>
  </si>
  <si>
    <t>11 56 16</t>
  </si>
  <si>
    <t>Telescope Mounts</t>
  </si>
  <si>
    <t>11 56 19</t>
  </si>
  <si>
    <t>Telescope Drive Mechanisms</t>
  </si>
  <si>
    <t>11 56 23</t>
  </si>
  <si>
    <t>Telescope Domes</t>
  </si>
  <si>
    <t>11 57 00</t>
  </si>
  <si>
    <t>Vocational Shop Equipment</t>
  </si>
  <si>
    <t>11 59 00</t>
  </si>
  <si>
    <t>Exhibit Equipment</t>
  </si>
  <si>
    <t>11 60 00</t>
  </si>
  <si>
    <t>Entertainment Equipment</t>
  </si>
  <si>
    <t>11 61 00</t>
  </si>
  <si>
    <t>Theater and Stage Equipment</t>
  </si>
  <si>
    <t>11 61 13</t>
  </si>
  <si>
    <t>Acoustical Shells</t>
  </si>
  <si>
    <t>11 61 23</t>
  </si>
  <si>
    <t>Folding and Portable Stages</t>
  </si>
  <si>
    <t>11 61 33</t>
  </si>
  <si>
    <t>Rigging Systems and Controls</t>
  </si>
  <si>
    <t>11 61 43</t>
  </si>
  <si>
    <t>Stage Curtains</t>
  </si>
  <si>
    <t>11 62 00</t>
  </si>
  <si>
    <t>Musical Equipment</t>
  </si>
  <si>
    <t>11 62 13</t>
  </si>
  <si>
    <t>Bells</t>
  </si>
  <si>
    <t>11 62 16</t>
  </si>
  <si>
    <t>Carillons</t>
  </si>
  <si>
    <t>11 62 19</t>
  </si>
  <si>
    <t>Organs</t>
  </si>
  <si>
    <t>11 65 00</t>
  </si>
  <si>
    <t>Athletic and Recreational Equipment</t>
  </si>
  <si>
    <t>11 66 00</t>
  </si>
  <si>
    <t>Athletic Equipment</t>
  </si>
  <si>
    <t>11 66 13</t>
  </si>
  <si>
    <t>Exercise Equipment</t>
  </si>
  <si>
    <t>11 66 23</t>
  </si>
  <si>
    <t>Gymnasium Equipment</t>
  </si>
  <si>
    <t>11 66 23.13</t>
  </si>
  <si>
    <t>Basketball Equipment</t>
  </si>
  <si>
    <t>11 66 23.23</t>
  </si>
  <si>
    <t>Volleyball Equipment</t>
  </si>
  <si>
    <t>11 66 23.33</t>
  </si>
  <si>
    <t>Interior Tennis Equipment</t>
  </si>
  <si>
    <t>11 66 23.43</t>
  </si>
  <si>
    <t>Interior Track and Field Equipment</t>
  </si>
  <si>
    <t>11 66 23.53</t>
  </si>
  <si>
    <t>Wall Padding</t>
  </si>
  <si>
    <t>11 66 23.56</t>
  </si>
  <si>
    <t>Mat Storage</t>
  </si>
  <si>
    <t>11 66 43</t>
  </si>
  <si>
    <t>Interior Scoreboards</t>
  </si>
  <si>
    <t>11 66 53</t>
  </si>
  <si>
    <t>Gymnasium Dividers</t>
  </si>
  <si>
    <t>11 66 53.13</t>
  </si>
  <si>
    <t>Batting/Golf Cages</t>
  </si>
  <si>
    <t>11 67 00</t>
  </si>
  <si>
    <t>Recreational Equipment</t>
  </si>
  <si>
    <t>11 67 13</t>
  </si>
  <si>
    <t>Bowling Alley Equipment</t>
  </si>
  <si>
    <t>11 67 23</t>
  </si>
  <si>
    <t>Shooting Range Equipment</t>
  </si>
  <si>
    <t>11 67 33</t>
  </si>
  <si>
    <t>Climbing Walls</t>
  </si>
  <si>
    <t>11 67 43</t>
  </si>
  <si>
    <t>Table Games Equipment</t>
  </si>
  <si>
    <t>11 67 43.13</t>
  </si>
  <si>
    <t>Pool Tables</t>
  </si>
  <si>
    <t>11 67 43.23</t>
  </si>
  <si>
    <t>Ping-Pong Tables</t>
  </si>
  <si>
    <t>11 67 53</t>
  </si>
  <si>
    <t>Game Room Equipment</t>
  </si>
  <si>
    <t>11 67 53.13</t>
  </si>
  <si>
    <t>Video Games</t>
  </si>
  <si>
    <t>11 67 53.23</t>
  </si>
  <si>
    <t>Pinball Machines</t>
  </si>
  <si>
    <t>11 68 00</t>
  </si>
  <si>
    <t>Play Field Equipment and Structures</t>
  </si>
  <si>
    <t>11 68 13</t>
  </si>
  <si>
    <t>Playground Equipment</t>
  </si>
  <si>
    <t>11 68 16</t>
  </si>
  <si>
    <t>Play Structures</t>
  </si>
  <si>
    <t>11 68 23</t>
  </si>
  <si>
    <t>Exterior Court Athletic Equipment</t>
  </si>
  <si>
    <t>11 68 23.13</t>
  </si>
  <si>
    <t>Exterior Basketball Equipment</t>
  </si>
  <si>
    <t>11 68 23.23</t>
  </si>
  <si>
    <t>Exterior Volleyball Equipment</t>
  </si>
  <si>
    <t>11 68 23.33</t>
  </si>
  <si>
    <t>Tennis Equipment</t>
  </si>
  <si>
    <t>11 68 33</t>
  </si>
  <si>
    <t>Athletic Field Equipment</t>
  </si>
  <si>
    <t>11 68 33.13</t>
  </si>
  <si>
    <t>Football Field Equipment</t>
  </si>
  <si>
    <t>11 68 33.23</t>
  </si>
  <si>
    <t>Soccer and Field Hockey Equipment</t>
  </si>
  <si>
    <t>11 68 33.33</t>
  </si>
  <si>
    <t>Baseball Field Equipment</t>
  </si>
  <si>
    <t>11 68 33.43</t>
  </si>
  <si>
    <t>Track and Field Equipment</t>
  </si>
  <si>
    <t>11 68 43</t>
  </si>
  <si>
    <t>Exterior Scoreboards</t>
  </si>
  <si>
    <t>11 70 00</t>
  </si>
  <si>
    <t>Healthcare Equipment</t>
  </si>
  <si>
    <t>11 71 00</t>
  </si>
  <si>
    <t>Medical Sterilizing Equipment</t>
  </si>
  <si>
    <t>11 72 00</t>
  </si>
  <si>
    <t>Examination and Treatment Equipment</t>
  </si>
  <si>
    <t>11 72 13</t>
  </si>
  <si>
    <t>Examination Equipment</t>
  </si>
  <si>
    <t>11 72 53</t>
  </si>
  <si>
    <t>Treatment Equipment</t>
  </si>
  <si>
    <t>11 73 00</t>
  </si>
  <si>
    <t>Patient Care Equipment</t>
  </si>
  <si>
    <t>11 74 00</t>
  </si>
  <si>
    <t>Dental Equipment</t>
  </si>
  <si>
    <t>11 75 00</t>
  </si>
  <si>
    <t>Optical Equipment</t>
  </si>
  <si>
    <t>11 76 00</t>
  </si>
  <si>
    <t>Operating Room Equipment</t>
  </si>
  <si>
    <t>11 77 00</t>
  </si>
  <si>
    <t>Radiology Equipment</t>
  </si>
  <si>
    <t>11 78 00</t>
  </si>
  <si>
    <t>Mortuary Equipment</t>
  </si>
  <si>
    <t>11 78 13</t>
  </si>
  <si>
    <t>Mortuary Refrigerators</t>
  </si>
  <si>
    <t>11 78 16</t>
  </si>
  <si>
    <t>Crematorium Equipment</t>
  </si>
  <si>
    <t>11 78 19</t>
  </si>
  <si>
    <t>Mortuary Lifts</t>
  </si>
  <si>
    <t>11 79 00</t>
  </si>
  <si>
    <t>Therapy Equipment</t>
  </si>
  <si>
    <t>11 80 00</t>
  </si>
  <si>
    <t>Collection and Disposal Equipment</t>
  </si>
  <si>
    <t>11 82 00</t>
  </si>
  <si>
    <t>Solid Waste Handling Equipment</t>
  </si>
  <si>
    <t>11 82 13</t>
  </si>
  <si>
    <t>Solid Waste Bins</t>
  </si>
  <si>
    <t>11 82 19</t>
  </si>
  <si>
    <t>Packaged Incinerators</t>
  </si>
  <si>
    <t>11 82 23</t>
  </si>
  <si>
    <t>Recycling Equipment</t>
  </si>
  <si>
    <t>11 82 26</t>
  </si>
  <si>
    <t>Facility Waste Compactors</t>
  </si>
  <si>
    <t>11 82 29</t>
  </si>
  <si>
    <t>Composting Equipment</t>
  </si>
  <si>
    <t>11 82 33</t>
  </si>
  <si>
    <t>Facility Waste Shredders</t>
  </si>
  <si>
    <t>11 82 36</t>
  </si>
  <si>
    <t>Facility Waste Balers</t>
  </si>
  <si>
    <t>11 90 00</t>
  </si>
  <si>
    <t>Other Equipment</t>
  </si>
  <si>
    <t>11 91 00</t>
  </si>
  <si>
    <t>Religious Equipment</t>
  </si>
  <si>
    <t>11 91 13</t>
  </si>
  <si>
    <t>Baptisteries</t>
  </si>
  <si>
    <t>11 92 00</t>
  </si>
  <si>
    <t>Agricultural Equipment</t>
  </si>
  <si>
    <t>11 92 13</t>
  </si>
  <si>
    <t>Milkers</t>
  </si>
  <si>
    <t>11 92 16</t>
  </si>
  <si>
    <t>Stock Feeders</t>
  </si>
  <si>
    <t>11 92 19</t>
  </si>
  <si>
    <t>Stock Waterers</t>
  </si>
  <si>
    <t>11 92 23</t>
  </si>
  <si>
    <t>Agricultural Waste Clean-Up Equipment</t>
  </si>
  <si>
    <t>11 93 00</t>
  </si>
  <si>
    <t>Horticultural Equipment</t>
  </si>
  <si>
    <t>11 93 13</t>
  </si>
  <si>
    <t>Hydroponic Growing Systems</t>
  </si>
  <si>
    <t>11 93 16</t>
  </si>
  <si>
    <t>Seeders</t>
  </si>
  <si>
    <t>11 93 19</t>
  </si>
  <si>
    <t>Transplanters</t>
  </si>
  <si>
    <t>11 93 23</t>
  </si>
  <si>
    <t>Potting Machines</t>
  </si>
  <si>
    <t>11 93 26</t>
  </si>
  <si>
    <t>Flat Fillers</t>
  </si>
  <si>
    <t>11 93 29</t>
  </si>
  <si>
    <t>Baggers</t>
  </si>
  <si>
    <t>11 93 33</t>
  </si>
  <si>
    <t>Soil Mixers</t>
  </si>
  <si>
    <t>11 95 00</t>
  </si>
  <si>
    <t>Arts and Crafts Equipment</t>
  </si>
  <si>
    <t>11 95 13</t>
  </si>
  <si>
    <t>Kilns</t>
  </si>
  <si>
    <t>12 00 00</t>
  </si>
  <si>
    <t>Furnishings</t>
  </si>
  <si>
    <t>12 01 00</t>
  </si>
  <si>
    <t>Operation and Maintenance of Furnishings</t>
  </si>
  <si>
    <t>12 01 10</t>
  </si>
  <si>
    <t>Operation and Maintenance of Art</t>
  </si>
  <si>
    <t>12 01 20</t>
  </si>
  <si>
    <t>Operation and Maintenance of Window Treatments</t>
  </si>
  <si>
    <t>12 01 30</t>
  </si>
  <si>
    <t>Operation and Maintenance of Casework</t>
  </si>
  <si>
    <t>12 01 40</t>
  </si>
  <si>
    <t>Operation and Maintenance of Furnishings and Accessories</t>
  </si>
  <si>
    <t>12 01 50</t>
  </si>
  <si>
    <t>Operation and Maintenance of Furniture</t>
  </si>
  <si>
    <t>12 01 60</t>
  </si>
  <si>
    <t>Operation and Maintenance of Multiple Seating</t>
  </si>
  <si>
    <t>12 01 90</t>
  </si>
  <si>
    <t>Operation and Maintenance of Other Furnishings</t>
  </si>
  <si>
    <t>12 05 00</t>
  </si>
  <si>
    <t>Common Work Results for Furnishings</t>
  </si>
  <si>
    <t>12 05 13</t>
  </si>
  <si>
    <t>Fabrics</t>
  </si>
  <si>
    <t>12 06 00</t>
  </si>
  <si>
    <t>Schedules for Furnishings</t>
  </si>
  <si>
    <t>12 06 10</t>
  </si>
  <si>
    <t>Schedules for Art</t>
  </si>
  <si>
    <t>12 06 20</t>
  </si>
  <si>
    <t>Schedules for Window Treatments</t>
  </si>
  <si>
    <t>12 06 20.13</t>
  </si>
  <si>
    <t>Window Treatment Schedule</t>
  </si>
  <si>
    <t>12 06 30</t>
  </si>
  <si>
    <t>Schedules for Casework</t>
  </si>
  <si>
    <t>12 06 30.13</t>
  </si>
  <si>
    <t>Manufactured Casework Schedule</t>
  </si>
  <si>
    <t>12 06 40</t>
  </si>
  <si>
    <t>Schedules for Furnishings and Accessories</t>
  </si>
  <si>
    <t>12 06 40.13</t>
  </si>
  <si>
    <t>Furnishings Schedule</t>
  </si>
  <si>
    <t>12 06 50</t>
  </si>
  <si>
    <t>Schedules for Furniture</t>
  </si>
  <si>
    <t>12 06 60</t>
  </si>
  <si>
    <t>Schedules for Multiple Seating</t>
  </si>
  <si>
    <t>12 06 90</t>
  </si>
  <si>
    <t>Schedules for Other Furnishings</t>
  </si>
  <si>
    <t>12 08 00</t>
  </si>
  <si>
    <t>Commissioning of Furnishings</t>
  </si>
  <si>
    <t>12 10 00</t>
  </si>
  <si>
    <t>Art</t>
  </si>
  <si>
    <t>12 11 00</t>
  </si>
  <si>
    <t>Murals</t>
  </si>
  <si>
    <t>12 11 13</t>
  </si>
  <si>
    <t>Photo Murals</t>
  </si>
  <si>
    <t>12 11 16</t>
  </si>
  <si>
    <t>Sculptured Brick Panels</t>
  </si>
  <si>
    <t>12 11 23</t>
  </si>
  <si>
    <t>Brick Murals</t>
  </si>
  <si>
    <t>12 11 26</t>
  </si>
  <si>
    <t>Ceramic Tile Murals</t>
  </si>
  <si>
    <t>12 11 33</t>
  </si>
  <si>
    <t>Trompe l'oeil</t>
  </si>
  <si>
    <t>12 12 00</t>
  </si>
  <si>
    <t>Wall Decorations</t>
  </si>
  <si>
    <t>12 12 13</t>
  </si>
  <si>
    <t>Commissioned Paintings</t>
  </si>
  <si>
    <t>12 12 16</t>
  </si>
  <si>
    <t>Framed Paintings</t>
  </si>
  <si>
    <t>12 12 19</t>
  </si>
  <si>
    <t>Framed Prints</t>
  </si>
  <si>
    <t>12 12 23</t>
  </si>
  <si>
    <t>Tapestries</t>
  </si>
  <si>
    <t>12 12 26</t>
  </si>
  <si>
    <t>Wall Hangings</t>
  </si>
  <si>
    <t>12 14 00</t>
  </si>
  <si>
    <t>Sculptures</t>
  </si>
  <si>
    <t>12 14 13</t>
  </si>
  <si>
    <t>Carved Sculpture</t>
  </si>
  <si>
    <t>12 14 16</t>
  </si>
  <si>
    <t>Cast Sculpture</t>
  </si>
  <si>
    <t>12 14 19</t>
  </si>
  <si>
    <t>Constructed Sculpture</t>
  </si>
  <si>
    <t>12 14 23</t>
  </si>
  <si>
    <t>Relief Art</t>
  </si>
  <si>
    <t>12 17 00</t>
  </si>
  <si>
    <t>Art Glass</t>
  </si>
  <si>
    <t>12 17 13</t>
  </si>
  <si>
    <t>Etched Glass</t>
  </si>
  <si>
    <t>12 17 16</t>
  </si>
  <si>
    <t>Stained Glass</t>
  </si>
  <si>
    <t>12 19 00</t>
  </si>
  <si>
    <t>Religious Art</t>
  </si>
  <si>
    <t>12 20 00</t>
  </si>
  <si>
    <t>Window Treatments</t>
  </si>
  <si>
    <t>12 21 00</t>
  </si>
  <si>
    <t>Window Blinds</t>
  </si>
  <si>
    <t>12 21 13</t>
  </si>
  <si>
    <t>Horizontal Louver Blinds</t>
  </si>
  <si>
    <t>12 21 13.13</t>
  </si>
  <si>
    <t>Metal Horizontal Louver Blinds</t>
  </si>
  <si>
    <t>12 21 13.23</t>
  </si>
  <si>
    <t>Wood Horizontal Louver Blinds</t>
  </si>
  <si>
    <t>12 21 13.33</t>
  </si>
  <si>
    <t>Plastic Horizontal Louver Blinds</t>
  </si>
  <si>
    <t>12 21 16</t>
  </si>
  <si>
    <t>Vertical Louver Blinds</t>
  </si>
  <si>
    <t>12 21 16.13</t>
  </si>
  <si>
    <t>Metal Vertical Louver Blinds</t>
  </si>
  <si>
    <t>12 21 16.23</t>
  </si>
  <si>
    <t>Wood Vertical Louver Blinds</t>
  </si>
  <si>
    <t>12 21 16.33</t>
  </si>
  <si>
    <t>Plastic Vertical Louver Blinds</t>
  </si>
  <si>
    <t>12 21 23</t>
  </si>
  <si>
    <t>Roll-Down Blinds</t>
  </si>
  <si>
    <t>12 21 26</t>
  </si>
  <si>
    <t>Black-Out Blinds</t>
  </si>
  <si>
    <t>12 22 00</t>
  </si>
  <si>
    <t>Curtains and Drapes</t>
  </si>
  <si>
    <t>12 22 13</t>
  </si>
  <si>
    <t>Draperies</t>
  </si>
  <si>
    <t>12 22 16</t>
  </si>
  <si>
    <t>Drapery Track and Accessories</t>
  </si>
  <si>
    <t>12 23 00</t>
  </si>
  <si>
    <t>Interior Shutters</t>
  </si>
  <si>
    <t>12 23 13</t>
  </si>
  <si>
    <t>Wood Interior Shutters</t>
  </si>
  <si>
    <t>12 24 00</t>
  </si>
  <si>
    <t>Window Shades</t>
  </si>
  <si>
    <t>12 24 13</t>
  </si>
  <si>
    <t>Roller Window Shades</t>
  </si>
  <si>
    <t>12 24 16</t>
  </si>
  <si>
    <t>Pleated Window Shades</t>
  </si>
  <si>
    <t>12 24 16.13</t>
  </si>
  <si>
    <t>Z-Pleated Window Shades</t>
  </si>
  <si>
    <t>12 24 16.16</t>
  </si>
  <si>
    <t>Cellular Shades</t>
  </si>
  <si>
    <t>12 24 16.19</t>
  </si>
  <si>
    <t>Roman Shades</t>
  </si>
  <si>
    <t>12 25 00</t>
  </si>
  <si>
    <t>Window Treatment Operating Hardware</t>
  </si>
  <si>
    <t>12 25 09</t>
  </si>
  <si>
    <t>Window Treatment Control System</t>
  </si>
  <si>
    <t>12 25 13</t>
  </si>
  <si>
    <t>Motorized Drapery Rods</t>
  </si>
  <si>
    <t>12 30 00</t>
  </si>
  <si>
    <t>Casework</t>
  </si>
  <si>
    <t>12 31 00</t>
  </si>
  <si>
    <t>Manufactured Metal Casework</t>
  </si>
  <si>
    <t>12 31 16</t>
  </si>
  <si>
    <t>Manufactured Metal Sandwich Panel Casework</t>
  </si>
  <si>
    <t>12 32 00</t>
  </si>
  <si>
    <t>Manufactured Wood Casework</t>
  </si>
  <si>
    <t>12 32 13</t>
  </si>
  <si>
    <t>Manufactured Wood-Veneer-Faced Casework</t>
  </si>
  <si>
    <t>12 32 16</t>
  </si>
  <si>
    <t>Manufactured Plastic-Laminate-Clad Casework</t>
  </si>
  <si>
    <t>12 34 00</t>
  </si>
  <si>
    <t>Manufactured Plastic Casework</t>
  </si>
  <si>
    <t>12 34 16</t>
  </si>
  <si>
    <t>Manufactured Solid-Plastic Casework</t>
  </si>
  <si>
    <t>12 35 00</t>
  </si>
  <si>
    <t>Specialty Casework</t>
  </si>
  <si>
    <t>12 35 17</t>
  </si>
  <si>
    <t>Bank Casework</t>
  </si>
  <si>
    <t>12 35 25</t>
  </si>
  <si>
    <t>Hospitality Casework</t>
  </si>
  <si>
    <t>12 35 30</t>
  </si>
  <si>
    <t>Residential Casework</t>
  </si>
  <si>
    <t>12 35 30.13</t>
  </si>
  <si>
    <t>Kitchen Casework</t>
  </si>
  <si>
    <t>12 35 30.23</t>
  </si>
  <si>
    <t>Bathroom Casework</t>
  </si>
  <si>
    <t>12 35 30.43</t>
  </si>
  <si>
    <t>Dormitory Casework</t>
  </si>
  <si>
    <t>12 35 33</t>
  </si>
  <si>
    <t>Utility Room Casework</t>
  </si>
  <si>
    <t>12 35 36</t>
  </si>
  <si>
    <t>Mailroom Casework</t>
  </si>
  <si>
    <t>12 35 39</t>
  </si>
  <si>
    <t>Commercial Kitchen Casework</t>
  </si>
  <si>
    <t>12 35 50</t>
  </si>
  <si>
    <t>Educational/Library Casework</t>
  </si>
  <si>
    <t>12 35 50.13</t>
  </si>
  <si>
    <t>Educational Casework</t>
  </si>
  <si>
    <t>12 35 50.53</t>
  </si>
  <si>
    <t>Library Casework</t>
  </si>
  <si>
    <t>12 35 50.56</t>
  </si>
  <si>
    <t>Built-In Study Carrels</t>
  </si>
  <si>
    <t>12 35 53</t>
  </si>
  <si>
    <t>Laboratory Casework</t>
  </si>
  <si>
    <t>12 35 53.13</t>
  </si>
  <si>
    <t>Metal Laboratory Casework</t>
  </si>
  <si>
    <t>12 35 53.16</t>
  </si>
  <si>
    <t>Plastic-Laminate-Clad Laboratory Casework</t>
  </si>
  <si>
    <t>12 35 53.19</t>
  </si>
  <si>
    <t>Wood Laboratory Casework</t>
  </si>
  <si>
    <t>12 35 53.23</t>
  </si>
  <si>
    <t>Solid-Plastic Laboratory Casework</t>
  </si>
  <si>
    <t>12 35 59</t>
  </si>
  <si>
    <t>Display Casework</t>
  </si>
  <si>
    <t>12 35 70</t>
  </si>
  <si>
    <t>Healthcare Casework</t>
  </si>
  <si>
    <t>12 35 70.13</t>
  </si>
  <si>
    <t>Hospital Casework</t>
  </si>
  <si>
    <t>12 35 70.16</t>
  </si>
  <si>
    <t>Nurse Station Casework</t>
  </si>
  <si>
    <t>12 35 70.19</t>
  </si>
  <si>
    <t>Exam Room Casework</t>
  </si>
  <si>
    <t>12 35 70.74</t>
  </si>
  <si>
    <t>Dental Casework</t>
  </si>
  <si>
    <t>12 35 83</t>
  </si>
  <si>
    <t>Performing Arts Casework</t>
  </si>
  <si>
    <t>12 35 91</t>
  </si>
  <si>
    <t>Religious Casework</t>
  </si>
  <si>
    <t>12 36 00</t>
  </si>
  <si>
    <t>Countertops</t>
  </si>
  <si>
    <t>12 36 13</t>
  </si>
  <si>
    <t>Concrete Countertops</t>
  </si>
  <si>
    <t>12 36 16</t>
  </si>
  <si>
    <t>Metal Countertops</t>
  </si>
  <si>
    <t>12 36 19</t>
  </si>
  <si>
    <t>Wood Countertops</t>
  </si>
  <si>
    <t>12 36 23</t>
  </si>
  <si>
    <t>Plastic Countertops</t>
  </si>
  <si>
    <t>12 36 23.13</t>
  </si>
  <si>
    <t>Plastic-Laminate-Clad Countertops</t>
  </si>
  <si>
    <t>12 36 40</t>
  </si>
  <si>
    <t>Stone Countertops</t>
  </si>
  <si>
    <t>12 36 53</t>
  </si>
  <si>
    <t>Laboratory Countertops</t>
  </si>
  <si>
    <t>12 36 61</t>
  </si>
  <si>
    <t>Simulated Stone Countertops</t>
  </si>
  <si>
    <t>12 36 61.13</t>
  </si>
  <si>
    <t>Cultured Marble Countertops</t>
  </si>
  <si>
    <t>12 36 61.16</t>
  </si>
  <si>
    <t>Solid Surfacing Countertops</t>
  </si>
  <si>
    <t>12 36 61.19</t>
  </si>
  <si>
    <t>Quartz Agglomerate Countertops</t>
  </si>
  <si>
    <t>12 40 00</t>
  </si>
  <si>
    <t>Furnishings and Accessories</t>
  </si>
  <si>
    <t>12 41 00</t>
  </si>
  <si>
    <t>Office Accessories</t>
  </si>
  <si>
    <t>12 41 13</t>
  </si>
  <si>
    <t>Desk Accessories</t>
  </si>
  <si>
    <t>12 42 00</t>
  </si>
  <si>
    <t>Table Accessories</t>
  </si>
  <si>
    <t>12 42 13</t>
  </si>
  <si>
    <t>Ceramics</t>
  </si>
  <si>
    <t>12 42 16</t>
  </si>
  <si>
    <t>Flatware</t>
  </si>
  <si>
    <t>12 42 16.13</t>
  </si>
  <si>
    <t>Silverware</t>
  </si>
  <si>
    <t>12 42 19</t>
  </si>
  <si>
    <t>Hollowware</t>
  </si>
  <si>
    <t>12 42 23</t>
  </si>
  <si>
    <t>Glassware</t>
  </si>
  <si>
    <t>12 42 26</t>
  </si>
  <si>
    <t>Table Linens</t>
  </si>
  <si>
    <t>12 42 26.13</t>
  </si>
  <si>
    <t>Napery</t>
  </si>
  <si>
    <t>12 43 00</t>
  </si>
  <si>
    <t>Portable Lamps</t>
  </si>
  <si>
    <t>12 43 13</t>
  </si>
  <si>
    <t>Lamps</t>
  </si>
  <si>
    <t>12 43 13.13</t>
  </si>
  <si>
    <t>Desk Lamps</t>
  </si>
  <si>
    <t>12 43 13.16</t>
  </si>
  <si>
    <t>Table Lamps</t>
  </si>
  <si>
    <t>12 43 13.19</t>
  </si>
  <si>
    <t>Floor Lamps</t>
  </si>
  <si>
    <t>12 44 00</t>
  </si>
  <si>
    <t>Bath Furnishings</t>
  </si>
  <si>
    <t>12 44 13</t>
  </si>
  <si>
    <t>Bath Linens</t>
  </si>
  <si>
    <t>12 44 13.13</t>
  </si>
  <si>
    <t>Bath Mats</t>
  </si>
  <si>
    <t>12 44 13.16</t>
  </si>
  <si>
    <t>Bath Towels</t>
  </si>
  <si>
    <t>12 44 16</t>
  </si>
  <si>
    <t>Shower Curtains</t>
  </si>
  <si>
    <t>12 45 00</t>
  </si>
  <si>
    <t>Bedroom Furnishings</t>
  </si>
  <si>
    <t>12 45 13</t>
  </si>
  <si>
    <t>Bed Linens</t>
  </si>
  <si>
    <t>12 45 13.13</t>
  </si>
  <si>
    <t>Blankets</t>
  </si>
  <si>
    <t>12 45 13.16</t>
  </si>
  <si>
    <t>Comforters</t>
  </si>
  <si>
    <t>12 45 16</t>
  </si>
  <si>
    <t>Pillows</t>
  </si>
  <si>
    <t>12 46 00</t>
  </si>
  <si>
    <t>Furnishing Accessories</t>
  </si>
  <si>
    <t>12 46 13</t>
  </si>
  <si>
    <t>Ash Receptacles</t>
  </si>
  <si>
    <t>12 46 16</t>
  </si>
  <si>
    <t>Bowls</t>
  </si>
  <si>
    <t>12 46 19</t>
  </si>
  <si>
    <t>Clocks</t>
  </si>
  <si>
    <t>12 46 23</t>
  </si>
  <si>
    <t>Decorative Crafts</t>
  </si>
  <si>
    <t>12 46 26</t>
  </si>
  <si>
    <t>Decorative Screens</t>
  </si>
  <si>
    <t>12 46 29</t>
  </si>
  <si>
    <t>Vases</t>
  </si>
  <si>
    <t>12 46 33</t>
  </si>
  <si>
    <t>Waste Receptacles</t>
  </si>
  <si>
    <t>12 48 00</t>
  </si>
  <si>
    <t>Rugs and Mats</t>
  </si>
  <si>
    <t>12 48 13</t>
  </si>
  <si>
    <t>Entrance Floor Mats and Frames</t>
  </si>
  <si>
    <t>12 48 13.13</t>
  </si>
  <si>
    <t>Entrance Floor Mats</t>
  </si>
  <si>
    <t>12 48 13.16</t>
  </si>
  <si>
    <t>Entrance Floor Mat Frames</t>
  </si>
  <si>
    <t>12 48 16</t>
  </si>
  <si>
    <t>Entrance Floor Grilles</t>
  </si>
  <si>
    <t>12 48 19</t>
  </si>
  <si>
    <t>Entrance Floor Gratings</t>
  </si>
  <si>
    <t>12 48 23</t>
  </si>
  <si>
    <t>Entrance Floor Grids</t>
  </si>
  <si>
    <t>12 48 26</t>
  </si>
  <si>
    <t>Entrance Tile</t>
  </si>
  <si>
    <t>12 48 43</t>
  </si>
  <si>
    <t>Floor Mats</t>
  </si>
  <si>
    <t>12 48 43.13</t>
  </si>
  <si>
    <t>Chair Mats</t>
  </si>
  <si>
    <t>12 48 53</t>
  </si>
  <si>
    <t>Rugs</t>
  </si>
  <si>
    <t>12 48 53.13</t>
  </si>
  <si>
    <t>Runners</t>
  </si>
  <si>
    <t>12 48 53.16</t>
  </si>
  <si>
    <t>Oriental Rugs</t>
  </si>
  <si>
    <t>12 50 00</t>
  </si>
  <si>
    <t>Furniture</t>
  </si>
  <si>
    <t>12 51 00</t>
  </si>
  <si>
    <t>Office Furniture</t>
  </si>
  <si>
    <t>12 51 16</t>
  </si>
  <si>
    <t>Case Goods</t>
  </si>
  <si>
    <t>12 51 16.13</t>
  </si>
  <si>
    <t>Metal Case Goods</t>
  </si>
  <si>
    <t>12 51 16.16</t>
  </si>
  <si>
    <t>Wood Case Goods</t>
  </si>
  <si>
    <t>12 51 16.19</t>
  </si>
  <si>
    <t>Plastic-Laminate-Clad Case Goods</t>
  </si>
  <si>
    <t>12 51 19</t>
  </si>
  <si>
    <t>Filing Cabinets</t>
  </si>
  <si>
    <t>12 51 19.13</t>
  </si>
  <si>
    <t>Lateral Filing Cabinets</t>
  </si>
  <si>
    <t>12 51 19.16</t>
  </si>
  <si>
    <t>Vertical Filing Cabinets</t>
  </si>
  <si>
    <t>12 51 23</t>
  </si>
  <si>
    <t>Office Tables</t>
  </si>
  <si>
    <t>12 51 83</t>
  </si>
  <si>
    <t>Custom Office Furniture</t>
  </si>
  <si>
    <t>12 52 00</t>
  </si>
  <si>
    <t>Seating</t>
  </si>
  <si>
    <t>12 52 13</t>
  </si>
  <si>
    <t>Chairs</t>
  </si>
  <si>
    <t>12 52 19</t>
  </si>
  <si>
    <t>Upholstered Seating</t>
  </si>
  <si>
    <t>12 52 23</t>
  </si>
  <si>
    <t>Office Seating</t>
  </si>
  <si>
    <t>12 52 70</t>
  </si>
  <si>
    <t>Healthcare Seating</t>
  </si>
  <si>
    <t>12 52 83</t>
  </si>
  <si>
    <t>Custom Seating</t>
  </si>
  <si>
    <t>12 53 00</t>
  </si>
  <si>
    <t>Retail Furniture</t>
  </si>
  <si>
    <t>12 53 83</t>
  </si>
  <si>
    <t>Custom Retail Furniture</t>
  </si>
  <si>
    <t>12 54 00</t>
  </si>
  <si>
    <t>Hospitality Furniture</t>
  </si>
  <si>
    <t>12 54 13</t>
  </si>
  <si>
    <t>Hotel and Motel Furniture</t>
  </si>
  <si>
    <t>12 54 16</t>
  </si>
  <si>
    <t>Restaurant Furniture</t>
  </si>
  <si>
    <t>12 54 83</t>
  </si>
  <si>
    <t>Custom Hospitality Furniture</t>
  </si>
  <si>
    <t>12 55 00</t>
  </si>
  <si>
    <t>Detention Furniture</t>
  </si>
  <si>
    <t>12 55 13</t>
  </si>
  <si>
    <t>Detention Bunks</t>
  </si>
  <si>
    <t>12 55 16</t>
  </si>
  <si>
    <t>Detention Desks</t>
  </si>
  <si>
    <t>12 55 19</t>
  </si>
  <si>
    <t>Detention Stools</t>
  </si>
  <si>
    <t>12 55 23</t>
  </si>
  <si>
    <t>Detention Tables</t>
  </si>
  <si>
    <t>12 55 26</t>
  </si>
  <si>
    <t>Detention Safety Clothes Hooks</t>
  </si>
  <si>
    <t>12 55 83</t>
  </si>
  <si>
    <t>Custom Detention Furniture</t>
  </si>
  <si>
    <t>12 55 86</t>
  </si>
  <si>
    <t>Detention Control Room Furniture</t>
  </si>
  <si>
    <t>12 56 00</t>
  </si>
  <si>
    <t>Institutional Furniture</t>
  </si>
  <si>
    <t>12 56 23</t>
  </si>
  <si>
    <t>Religious Furniture</t>
  </si>
  <si>
    <t>12 56 33</t>
  </si>
  <si>
    <t>Classroom Furniture</t>
  </si>
  <si>
    <t>12 56 33.13</t>
  </si>
  <si>
    <t>Fixed Classroom Tables</t>
  </si>
  <si>
    <t>12 56 39</t>
  </si>
  <si>
    <t>Lecterns</t>
  </si>
  <si>
    <t>12 56 43</t>
  </si>
  <si>
    <t>Dormitory Furniture</t>
  </si>
  <si>
    <t>12 56 51</t>
  </si>
  <si>
    <t>Library Furniture</t>
  </si>
  <si>
    <t>12 56 51.13</t>
  </si>
  <si>
    <t>Book Shelves</t>
  </si>
  <si>
    <t>12 56 51.16</t>
  </si>
  <si>
    <t>Study Carrels</t>
  </si>
  <si>
    <t>12 56 51.19</t>
  </si>
  <si>
    <t>Index Card File Cabinets</t>
  </si>
  <si>
    <t>12 56 52</t>
  </si>
  <si>
    <t>Audio-Visual Furniture</t>
  </si>
  <si>
    <t>12 56 53</t>
  </si>
  <si>
    <t>Laboratory Furniture</t>
  </si>
  <si>
    <t>12 56 70</t>
  </si>
  <si>
    <t>Healthcare Furniture</t>
  </si>
  <si>
    <t>12 56 83</t>
  </si>
  <si>
    <t>Custom Institutional Furniture</t>
  </si>
  <si>
    <t>12 56 86</t>
  </si>
  <si>
    <t>Institutional Control Room Furniture</t>
  </si>
  <si>
    <t>12 57 00</t>
  </si>
  <si>
    <t>Industrial Furniture</t>
  </si>
  <si>
    <t>12 57 13</t>
  </si>
  <si>
    <t>Welding Benches</t>
  </si>
  <si>
    <t>12 57 16</t>
  </si>
  <si>
    <t>Welding Screens</t>
  </si>
  <si>
    <t>12 57 19</t>
  </si>
  <si>
    <t>Laser Containment Screens</t>
  </si>
  <si>
    <t>12 57 83</t>
  </si>
  <si>
    <t>Custom Industrial Furniture</t>
  </si>
  <si>
    <t>12 57 86</t>
  </si>
  <si>
    <t>Industrial Control Room Furniture</t>
  </si>
  <si>
    <t>12 58 00</t>
  </si>
  <si>
    <t>Residential Furniture</t>
  </si>
  <si>
    <t>12 58 13</t>
  </si>
  <si>
    <t>Couches and Loveseats</t>
  </si>
  <si>
    <t>12 58 13.13</t>
  </si>
  <si>
    <t>Futons</t>
  </si>
  <si>
    <t>12 58 16</t>
  </si>
  <si>
    <t>Residential Chairs</t>
  </si>
  <si>
    <t>12 58 16.13</t>
  </si>
  <si>
    <t>Reclining Chairs</t>
  </si>
  <si>
    <t>12 58 19</t>
  </si>
  <si>
    <t>Dining Tables and Chairs</t>
  </si>
  <si>
    <t>12 58 23</t>
  </si>
  <si>
    <t>Coffee Tables</t>
  </si>
  <si>
    <t>12 58 26</t>
  </si>
  <si>
    <t>Entertainment Centers</t>
  </si>
  <si>
    <t>12 58 29</t>
  </si>
  <si>
    <t>Beds</t>
  </si>
  <si>
    <t>12 58 29.13</t>
  </si>
  <si>
    <t>Daybeds</t>
  </si>
  <si>
    <t>12 58 33</t>
  </si>
  <si>
    <t>Dressers</t>
  </si>
  <si>
    <t>12 58 33.13</t>
  </si>
  <si>
    <t>Armoires</t>
  </si>
  <si>
    <t>12 58 36</t>
  </si>
  <si>
    <t>Nightstands</t>
  </si>
  <si>
    <t>12 58 83</t>
  </si>
  <si>
    <t>Custom Residential Furniture</t>
  </si>
  <si>
    <t>12 59 00</t>
  </si>
  <si>
    <t>Systems Furniture</t>
  </si>
  <si>
    <t>12 59 13</t>
  </si>
  <si>
    <t>Panel-Hung Component System Furniture</t>
  </si>
  <si>
    <t>12 59 16</t>
  </si>
  <si>
    <t>Free-Standing Component System Furniture</t>
  </si>
  <si>
    <t>12 59 19</t>
  </si>
  <si>
    <t>Beam System Furniture</t>
  </si>
  <si>
    <t>12 59 23</t>
  </si>
  <si>
    <t>Desk System Furniture</t>
  </si>
  <si>
    <t>12 59 83</t>
  </si>
  <si>
    <t>Custom Systems Furniture</t>
  </si>
  <si>
    <t>12 60 00</t>
  </si>
  <si>
    <t>Multiple Seating</t>
  </si>
  <si>
    <t>12 61 00</t>
  </si>
  <si>
    <t>Fixed Audience Seating</t>
  </si>
  <si>
    <t>12 61 13</t>
  </si>
  <si>
    <t>Upholstered Audience Seating</t>
  </si>
  <si>
    <t>12 61 16</t>
  </si>
  <si>
    <t>Molded-Plastic Audience Seating</t>
  </si>
  <si>
    <t>12 62 00</t>
  </si>
  <si>
    <t>Portable Audience Seating</t>
  </si>
  <si>
    <t>12 62 13</t>
  </si>
  <si>
    <t>Folding Chairs</t>
  </si>
  <si>
    <t>12 62 16</t>
  </si>
  <si>
    <t>Interlocking Chairs</t>
  </si>
  <si>
    <t>12 62 19</t>
  </si>
  <si>
    <t>Stacking Chairs</t>
  </si>
  <si>
    <t>12 63 00</t>
  </si>
  <si>
    <t>Stadium and Arena Seating</t>
  </si>
  <si>
    <t>12 63 13</t>
  </si>
  <si>
    <t>Stadium and Arena Bench Seating</t>
  </si>
  <si>
    <t>12 63 23</t>
  </si>
  <si>
    <t>Stadium and Arena Seats</t>
  </si>
  <si>
    <t>12 64 00</t>
  </si>
  <si>
    <t>Booths and Tables</t>
  </si>
  <si>
    <t>12 65 00</t>
  </si>
  <si>
    <t>Multiple-Use Fixed Seating</t>
  </si>
  <si>
    <t>12 66 00</t>
  </si>
  <si>
    <t>Telescoping Stands</t>
  </si>
  <si>
    <t>12 66 13</t>
  </si>
  <si>
    <t>Telescoping Bleachers</t>
  </si>
  <si>
    <t>12 66 23</t>
  </si>
  <si>
    <t>Telescoping Chair Platforms</t>
  </si>
  <si>
    <t>12 67 00</t>
  </si>
  <si>
    <t>Pews and Benches</t>
  </si>
  <si>
    <t>12 67 13</t>
  </si>
  <si>
    <t>Pews</t>
  </si>
  <si>
    <t>12 67 23</t>
  </si>
  <si>
    <t>Benches</t>
  </si>
  <si>
    <t>12 68 00</t>
  </si>
  <si>
    <t>Seat and Table Assemblies</t>
  </si>
  <si>
    <t>12 68 13</t>
  </si>
  <si>
    <t>Pedestal Tablet Arm Chairs</t>
  </si>
  <si>
    <t>12 90 00</t>
  </si>
  <si>
    <t>Other Furnishings</t>
  </si>
  <si>
    <t>12 92 00</t>
  </si>
  <si>
    <t>Interior Planters and Artificial Plants</t>
  </si>
  <si>
    <t>12 92 13</t>
  </si>
  <si>
    <t>Interior Artificial Plants</t>
  </si>
  <si>
    <t>12 92 33</t>
  </si>
  <si>
    <t>Interior Planters</t>
  </si>
  <si>
    <t>12 92 43</t>
  </si>
  <si>
    <t>Interior Landscaping Accessories</t>
  </si>
  <si>
    <t>12 93 00</t>
  </si>
  <si>
    <t>Site Furnishings</t>
  </si>
  <si>
    <t>12 93 13</t>
  </si>
  <si>
    <t>Bicycle Racks</t>
  </si>
  <si>
    <t>12 93 14</t>
  </si>
  <si>
    <t>Bicycle Lockers</t>
  </si>
  <si>
    <t>12 93 23</t>
  </si>
  <si>
    <t>Trash and Litter Receptors</t>
  </si>
  <si>
    <t>12 93 33</t>
  </si>
  <si>
    <t>Manufactured Planters</t>
  </si>
  <si>
    <t>12 93 43</t>
  </si>
  <si>
    <t>Site Seating and Tables</t>
  </si>
  <si>
    <t>12 93 43.13</t>
  </si>
  <si>
    <t>Site Seating</t>
  </si>
  <si>
    <t>12 93 43.53</t>
  </si>
  <si>
    <t>Site Tables</t>
  </si>
  <si>
    <t>13 00 00</t>
  </si>
  <si>
    <t>Special Construction</t>
  </si>
  <si>
    <t>13 01 00</t>
  </si>
  <si>
    <t>Operation and Maintenance of Special Construction</t>
  </si>
  <si>
    <t>13 01 10</t>
  </si>
  <si>
    <t>Operation and Maintenance of Special Facility Components</t>
  </si>
  <si>
    <t>13 01 11</t>
  </si>
  <si>
    <t>Operation and Maintenance of Swimming Pools</t>
  </si>
  <si>
    <t>13 01 12</t>
  </si>
  <si>
    <t>Operation and Maintenance of Fountains</t>
  </si>
  <si>
    <t>13 01 13</t>
  </si>
  <si>
    <t>Operation and Maintenance of Aquariums</t>
  </si>
  <si>
    <t>13 01 14</t>
  </si>
  <si>
    <t>Operation and Maintenance of Amusement Park Structures and Equipment</t>
  </si>
  <si>
    <t>13 01 18</t>
  </si>
  <si>
    <t>Operation and Maintenance of Ice Rinks</t>
  </si>
  <si>
    <t>13 01 20</t>
  </si>
  <si>
    <t>Operation and Maintenance of Special Purpose Rooms</t>
  </si>
  <si>
    <t>13 01 21</t>
  </si>
  <si>
    <t>Operation and Maintenance of Controlled Environment Rooms</t>
  </si>
  <si>
    <t>13 01 23</t>
  </si>
  <si>
    <t>Operation and Maintenance of Planetariums</t>
  </si>
  <si>
    <t>13 01 30</t>
  </si>
  <si>
    <t>Operation and Maintenance of Special Structures</t>
  </si>
  <si>
    <t>13 01 40</t>
  </si>
  <si>
    <t>Operation and Maintenance of Integrated Construction</t>
  </si>
  <si>
    <t>13 01 49</t>
  </si>
  <si>
    <t>Operation and Maintenance of Radiation Protection</t>
  </si>
  <si>
    <t>13 01 50</t>
  </si>
  <si>
    <t>Operation and Maintenance of Special Instrumentation</t>
  </si>
  <si>
    <t>13 01 51</t>
  </si>
  <si>
    <t>Operation and Maintenance of Stress Instrumentation</t>
  </si>
  <si>
    <t>13 01 52</t>
  </si>
  <si>
    <t>Operation and Maintenance of Seismic Instrumentation</t>
  </si>
  <si>
    <t>13 01 53</t>
  </si>
  <si>
    <t>Operation and Maintenance of Meteorological Instrumentation</t>
  </si>
  <si>
    <t>13 05 00</t>
  </si>
  <si>
    <t>Common Work Results for Special Construction</t>
  </si>
  <si>
    <t>13 06 00</t>
  </si>
  <si>
    <t>Schedules for Special Construction</t>
  </si>
  <si>
    <t>13 06 10</t>
  </si>
  <si>
    <t>Schedules for Special Facility Components</t>
  </si>
  <si>
    <t>13 06 20</t>
  </si>
  <si>
    <t>Schedules for Special Purpose Rooms</t>
  </si>
  <si>
    <t>13 06 30</t>
  </si>
  <si>
    <t>Schedules for Special Structures</t>
  </si>
  <si>
    <t>13 06 40</t>
  </si>
  <si>
    <t>Schedules for Integrated Construction</t>
  </si>
  <si>
    <t>13 06 50</t>
  </si>
  <si>
    <t>Schedules for Special Instrumentation</t>
  </si>
  <si>
    <t>13 08 00</t>
  </si>
  <si>
    <t>Commissioning of Special Construction</t>
  </si>
  <si>
    <t>13 08 10</t>
  </si>
  <si>
    <t>Commissioning of Special Facility Components</t>
  </si>
  <si>
    <t>13 08 11</t>
  </si>
  <si>
    <t>Commissioning of Swimming Pools</t>
  </si>
  <si>
    <t>13 08 12</t>
  </si>
  <si>
    <t>Commissioning of Fountains</t>
  </si>
  <si>
    <t>13 08 13</t>
  </si>
  <si>
    <t>Commissioning of Aquariums</t>
  </si>
  <si>
    <t>13 08 14</t>
  </si>
  <si>
    <t>Commissioning of Amusement Park Structures and Equipment</t>
  </si>
  <si>
    <t>13 08 18</t>
  </si>
  <si>
    <t>Commissioning of Ice Rinks</t>
  </si>
  <si>
    <t>13 08 20</t>
  </si>
  <si>
    <t>Commissioning of Special Purpose Rooms</t>
  </si>
  <si>
    <t>13 08 21</t>
  </si>
  <si>
    <t>Commissioning of Controlled Environment Rooms</t>
  </si>
  <si>
    <t>13 08 23</t>
  </si>
  <si>
    <t>Commissioning of Planetariums</t>
  </si>
  <si>
    <t>13 08 30</t>
  </si>
  <si>
    <t>Commissioning of Special Structures</t>
  </si>
  <si>
    <t>13 08 40</t>
  </si>
  <si>
    <t>Commissioning of Integrated Construction</t>
  </si>
  <si>
    <t>13 08 50</t>
  </si>
  <si>
    <t>Commissioning of Special Instrumentation</t>
  </si>
  <si>
    <t>13 10 00</t>
  </si>
  <si>
    <t>Special Facility Components</t>
  </si>
  <si>
    <t>13 11 00</t>
  </si>
  <si>
    <t>Swimming Pools</t>
  </si>
  <si>
    <t>13 11 13</t>
  </si>
  <si>
    <t>Below-Grade Swimming Pools</t>
  </si>
  <si>
    <t>13 11 23</t>
  </si>
  <si>
    <t>On-Grade Swimming Pools</t>
  </si>
  <si>
    <t>13 11 33</t>
  </si>
  <si>
    <t>Elevated Swimming Pools</t>
  </si>
  <si>
    <t>13 11 43</t>
  </si>
  <si>
    <t>Recirculating Gutter Systems</t>
  </si>
  <si>
    <t>13 11 46</t>
  </si>
  <si>
    <t>Swimming Pool Accessories</t>
  </si>
  <si>
    <t>13 11 49</t>
  </si>
  <si>
    <t>Swimming Pool Cleaning Equipment</t>
  </si>
  <si>
    <t>13 11 53</t>
  </si>
  <si>
    <t>Movable Pool Bulkheads</t>
  </si>
  <si>
    <t>13 11 56</t>
  </si>
  <si>
    <t>Movable Pool Floors</t>
  </si>
  <si>
    <t>13 12 00</t>
  </si>
  <si>
    <t>Fountains</t>
  </si>
  <si>
    <t>13 12 13</t>
  </si>
  <si>
    <t>Exterior Fountains</t>
  </si>
  <si>
    <t>13 12 23</t>
  </si>
  <si>
    <t>Interior Fountains</t>
  </si>
  <si>
    <t>13 13 00</t>
  </si>
  <si>
    <t>Aquariums</t>
  </si>
  <si>
    <t>13 14 00</t>
  </si>
  <si>
    <t>Amusement Park Structures and Equipment</t>
  </si>
  <si>
    <t>13 14 13</t>
  </si>
  <si>
    <t>Water Slides</t>
  </si>
  <si>
    <t>13 14 16</t>
  </si>
  <si>
    <t>Wave Generating Equipment</t>
  </si>
  <si>
    <t>13 14 23</t>
  </si>
  <si>
    <t>Amusement Park Rides</t>
  </si>
  <si>
    <t>13 17 00</t>
  </si>
  <si>
    <t>Tubs and Pools</t>
  </si>
  <si>
    <t>13 17 13</t>
  </si>
  <si>
    <t>Hot Tubs</t>
  </si>
  <si>
    <t>13 17 23</t>
  </si>
  <si>
    <t>Therapeutic Pools</t>
  </si>
  <si>
    <t>13 17 33</t>
  </si>
  <si>
    <t>Whirlpool Tubs</t>
  </si>
  <si>
    <t>13 18 00</t>
  </si>
  <si>
    <t>Ice Rinks</t>
  </si>
  <si>
    <t>13 18 13</t>
  </si>
  <si>
    <t>Ice Rink Floor Systems</t>
  </si>
  <si>
    <t>13 18 16</t>
  </si>
  <si>
    <t>Ice Rink Dasher Boards</t>
  </si>
  <si>
    <t>13 19 00</t>
  </si>
  <si>
    <t>Kennels and Animal Shelters</t>
  </si>
  <si>
    <t>13 19 13</t>
  </si>
  <si>
    <t>Kennel Enclosures and Gates</t>
  </si>
  <si>
    <t>13 19 16</t>
  </si>
  <si>
    <t>Kennel Feeding Devices</t>
  </si>
  <si>
    <t>13 20 00</t>
  </si>
  <si>
    <t>Special Purpose Rooms</t>
  </si>
  <si>
    <t>13 21 00</t>
  </si>
  <si>
    <t>Controlled Environment Rooms</t>
  </si>
  <si>
    <t>13 21 13</t>
  </si>
  <si>
    <t>Clean Rooms</t>
  </si>
  <si>
    <t>13 21 16</t>
  </si>
  <si>
    <t>Hyperbaric Rooms</t>
  </si>
  <si>
    <t>13 21 23</t>
  </si>
  <si>
    <t>Insulated Rooms</t>
  </si>
  <si>
    <t>13 21 26</t>
  </si>
  <si>
    <t>Cold Storage Rooms</t>
  </si>
  <si>
    <t>13 21 26.13</t>
  </si>
  <si>
    <t>Walk-in Coolers</t>
  </si>
  <si>
    <t>13 21 26.16</t>
  </si>
  <si>
    <t>Walk-in Freezers</t>
  </si>
  <si>
    <t>13 21 29</t>
  </si>
  <si>
    <t>Constant Temperature Rooms</t>
  </si>
  <si>
    <t>13 21 48</t>
  </si>
  <si>
    <t>Sound-Conditioned Rooms</t>
  </si>
  <si>
    <t>13 22 00</t>
  </si>
  <si>
    <t>Office Shelters and Booths</t>
  </si>
  <si>
    <t>13 23 00</t>
  </si>
  <si>
    <t>Planetariums</t>
  </si>
  <si>
    <t>13 24 00</t>
  </si>
  <si>
    <t>Special Activity Rooms</t>
  </si>
  <si>
    <t>13 24 16</t>
  </si>
  <si>
    <t>Saunas</t>
  </si>
  <si>
    <t>13 24 26</t>
  </si>
  <si>
    <t>Steam Baths</t>
  </si>
  <si>
    <t>13 24 66</t>
  </si>
  <si>
    <t>Athletic Rooms</t>
  </si>
  <si>
    <t>13 26 00</t>
  </si>
  <si>
    <t>Fabricated Rooms</t>
  </si>
  <si>
    <t>13 26 13</t>
  </si>
  <si>
    <t>Storm Shelter Rooms</t>
  </si>
  <si>
    <t>13 27 00</t>
  </si>
  <si>
    <t>Vaults</t>
  </si>
  <si>
    <t>13 27 16</t>
  </si>
  <si>
    <t>Modular Fire Vaults</t>
  </si>
  <si>
    <t>13 27 53</t>
  </si>
  <si>
    <t>Security Vaults</t>
  </si>
  <si>
    <t>13 27 53.13</t>
  </si>
  <si>
    <t>Modular Concrete Security Vaults</t>
  </si>
  <si>
    <t>13 27 53.16</t>
  </si>
  <si>
    <t>Modular Metal-Clad Laminated Security Vaults</t>
  </si>
  <si>
    <t>13 28 00</t>
  </si>
  <si>
    <t>Athletic and Recreational Special Construction</t>
  </si>
  <si>
    <t>13 28 13</t>
  </si>
  <si>
    <t>Indoor Soccer Boards</t>
  </si>
  <si>
    <t>13 28 16</t>
  </si>
  <si>
    <t>Safety Netting</t>
  </si>
  <si>
    <t>13 28 19</t>
  </si>
  <si>
    <t>Arena Football Boards</t>
  </si>
  <si>
    <t>13 28 26</t>
  </si>
  <si>
    <t>Floor Sockets</t>
  </si>
  <si>
    <t>13 28 33</t>
  </si>
  <si>
    <t>Athletic and Recreational Court Walls</t>
  </si>
  <si>
    <t>13 28 66</t>
  </si>
  <si>
    <t>Demountable Athletic Surfaces</t>
  </si>
  <si>
    <t>13 30 00</t>
  </si>
  <si>
    <t>Special Structures</t>
  </si>
  <si>
    <t>13 31 00</t>
  </si>
  <si>
    <t>Fabric Structures</t>
  </si>
  <si>
    <t>13 31 13</t>
  </si>
  <si>
    <t>Air-Supported Fabric Structures</t>
  </si>
  <si>
    <t>13 31 13.13</t>
  </si>
  <si>
    <t>Single-Walled Air-Supported Structures</t>
  </si>
  <si>
    <t>13 31 13.16</t>
  </si>
  <si>
    <t>Multiple-Walled Air-Supported Structures</t>
  </si>
  <si>
    <t>13 31 23</t>
  </si>
  <si>
    <t>Tensioned Fabric Structures</t>
  </si>
  <si>
    <t>13 31 33</t>
  </si>
  <si>
    <t>Framed Fabric Structures</t>
  </si>
  <si>
    <t>13 32 00</t>
  </si>
  <si>
    <t>Space Frames</t>
  </si>
  <si>
    <t>13 32 13</t>
  </si>
  <si>
    <t>Metal Space Frames</t>
  </si>
  <si>
    <t>13 32 23</t>
  </si>
  <si>
    <t>Wood Space Frames</t>
  </si>
  <si>
    <t>13 33 00</t>
  </si>
  <si>
    <t>Geodesic Structures</t>
  </si>
  <si>
    <t>13 33 13</t>
  </si>
  <si>
    <t>Geodesic Domes</t>
  </si>
  <si>
    <t>13 34 00</t>
  </si>
  <si>
    <t>Fabricated Engineered Structures</t>
  </si>
  <si>
    <t>13 34 13</t>
  </si>
  <si>
    <t>Glazed Structures</t>
  </si>
  <si>
    <t>13 34 13.13</t>
  </si>
  <si>
    <t>Greenhouses</t>
  </si>
  <si>
    <t>13 34 13.16</t>
  </si>
  <si>
    <t>Solariums</t>
  </si>
  <si>
    <t>13 34 13.19</t>
  </si>
  <si>
    <t>Swimming Pool Enclosures</t>
  </si>
  <si>
    <t>13 34 13.23</t>
  </si>
  <si>
    <t>Sunrooms</t>
  </si>
  <si>
    <t>13 34 13.26</t>
  </si>
  <si>
    <t>Conservatories</t>
  </si>
  <si>
    <t>13 34 16</t>
  </si>
  <si>
    <t>Grandstands and Bleachers</t>
  </si>
  <si>
    <t>13 34 16.13</t>
  </si>
  <si>
    <t>Grandstands</t>
  </si>
  <si>
    <t>13 34 16.53</t>
  </si>
  <si>
    <t>Bleachers</t>
  </si>
  <si>
    <t>13 34 18</t>
  </si>
  <si>
    <t>Post Frame Building Systems</t>
  </si>
  <si>
    <t>13 34 19</t>
  </si>
  <si>
    <t>Metal Building Systems</t>
  </si>
  <si>
    <t>13 34 23</t>
  </si>
  <si>
    <t>Fabricated Structures</t>
  </si>
  <si>
    <t>13 34 23.13</t>
  </si>
  <si>
    <t>Portable and Mobile Buildings</t>
  </si>
  <si>
    <t>13 34 23.14</t>
  </si>
  <si>
    <t>Fabricated Classroom Buildings</t>
  </si>
  <si>
    <t>13 34 23.16</t>
  </si>
  <si>
    <t>Fabricated Control Booths</t>
  </si>
  <si>
    <t>13 34 23.19</t>
  </si>
  <si>
    <t>Fabricated Dome Structures</t>
  </si>
  <si>
    <t>13 34 23.23</t>
  </si>
  <si>
    <t>Fabricated Substation Control Rooms</t>
  </si>
  <si>
    <t>13 34 56</t>
  </si>
  <si>
    <t>Observatories</t>
  </si>
  <si>
    <t>13 35 00</t>
  </si>
  <si>
    <t>Rammed Earth Construction</t>
  </si>
  <si>
    <t>13 35 13</t>
  </si>
  <si>
    <t>Rammed Earth Walls</t>
  </si>
  <si>
    <t>13 35 13.13</t>
  </si>
  <si>
    <t>Traditional Rammed Earth Walls</t>
  </si>
  <si>
    <t>13 35 13.23</t>
  </si>
  <si>
    <t>Stabilized Insulated Rammed Earth Walls</t>
  </si>
  <si>
    <t>13 36 00</t>
  </si>
  <si>
    <t>Towers</t>
  </si>
  <si>
    <t>13 36 13</t>
  </si>
  <si>
    <t>Metal Towers</t>
  </si>
  <si>
    <t>13 36 13.13</t>
  </si>
  <si>
    <t>Steel Towers</t>
  </si>
  <si>
    <t>13 36 23</t>
  </si>
  <si>
    <t>Wood Towers</t>
  </si>
  <si>
    <t>13 40 00</t>
  </si>
  <si>
    <t>Integrated Construction</t>
  </si>
  <si>
    <t>13 42 00</t>
  </si>
  <si>
    <t>Building Modules</t>
  </si>
  <si>
    <t>13 42 13</t>
  </si>
  <si>
    <t>Bathroom Unit Modules</t>
  </si>
  <si>
    <t>13 42 25</t>
  </si>
  <si>
    <t>Hospitality Unit Modules</t>
  </si>
  <si>
    <t>13 42 33</t>
  </si>
  <si>
    <t>Apartment Unit Modules</t>
  </si>
  <si>
    <t>13 42 43</t>
  </si>
  <si>
    <t>Dormitory Unit Modules</t>
  </si>
  <si>
    <t>13 42 63</t>
  </si>
  <si>
    <t>Detention Cell Modules</t>
  </si>
  <si>
    <t>13 42 63.13</t>
  </si>
  <si>
    <t>Precast-Concrete Detention Cell Modules</t>
  </si>
  <si>
    <t>13 42 63.16</t>
  </si>
  <si>
    <t>Steel Detention Cell Modules</t>
  </si>
  <si>
    <t>13 44 00</t>
  </si>
  <si>
    <t>Modular Mezzanines</t>
  </si>
  <si>
    <t>13 48 00</t>
  </si>
  <si>
    <t>Sound, Vibration, and Seismic Control</t>
  </si>
  <si>
    <t>13 48 13</t>
  </si>
  <si>
    <t>Manufactured Sound and Vibration Control Components</t>
  </si>
  <si>
    <t>13 48 23</t>
  </si>
  <si>
    <t>Fabricated Sound and Vibration Control Assemblies</t>
  </si>
  <si>
    <t>13 48 53</t>
  </si>
  <si>
    <t>Manufactured Seismic Control Components</t>
  </si>
  <si>
    <t>13 48 63</t>
  </si>
  <si>
    <t>Fabricated Seismic Control Assemblies</t>
  </si>
  <si>
    <t>13 49 00</t>
  </si>
  <si>
    <t>Radiation Protection</t>
  </si>
  <si>
    <t>13 49 13</t>
  </si>
  <si>
    <t>Integrated X-Ray Shielding Assemblies</t>
  </si>
  <si>
    <t>13 49 16</t>
  </si>
  <si>
    <t>Modular X-Ray Shielding Rooms</t>
  </si>
  <si>
    <t>13 49 23</t>
  </si>
  <si>
    <t>Integrated RFI/EMI Shielding Assemblies</t>
  </si>
  <si>
    <t>13 49 26</t>
  </si>
  <si>
    <t>Modular RFI/EMI Shielding Rooms</t>
  </si>
  <si>
    <t>13 50 00</t>
  </si>
  <si>
    <t>Special Instrumentation</t>
  </si>
  <si>
    <t>13 51 00</t>
  </si>
  <si>
    <t>Stress Instrumentation</t>
  </si>
  <si>
    <t>13 52 00</t>
  </si>
  <si>
    <t>Seismic Instrumentation</t>
  </si>
  <si>
    <t>13 53 00</t>
  </si>
  <si>
    <t>Meteorological Instrumentation</t>
  </si>
  <si>
    <t>13 53 13</t>
  </si>
  <si>
    <t>Solar Instrumentation</t>
  </si>
  <si>
    <t>13 53 23</t>
  </si>
  <si>
    <t>Wind Instrumentation</t>
  </si>
  <si>
    <t>14 00 00</t>
  </si>
  <si>
    <t>Conveying Equipment</t>
  </si>
  <si>
    <t>14 01 00</t>
  </si>
  <si>
    <t>Operation and Maintenance of Conveying Equipment</t>
  </si>
  <si>
    <t>14 01 10</t>
  </si>
  <si>
    <t>Operation and Maintenance of Dumbwaiters</t>
  </si>
  <si>
    <t>14 01 10.71</t>
  </si>
  <si>
    <t>Dumbwaiter Rehabilitation</t>
  </si>
  <si>
    <t>14 01 20</t>
  </si>
  <si>
    <t>Operation and Maintenance of Elevators</t>
  </si>
  <si>
    <t>14 01 20.71</t>
  </si>
  <si>
    <t>Elevator Rehabilitation</t>
  </si>
  <si>
    <t>14 01 30</t>
  </si>
  <si>
    <t>Operation and Maintenance of Escalators and Moving Walks</t>
  </si>
  <si>
    <t>14 01 30.71</t>
  </si>
  <si>
    <t>Escalators and Moving Walks Rehabilitation</t>
  </si>
  <si>
    <t>14 01 40</t>
  </si>
  <si>
    <t>Operation and Maintenance of Lifts</t>
  </si>
  <si>
    <t>14 01 40.71</t>
  </si>
  <si>
    <t>Lift Rehabilitation</t>
  </si>
  <si>
    <t>14 01 70</t>
  </si>
  <si>
    <t>Operation and Maintenance of Turntables</t>
  </si>
  <si>
    <t>14 01 80</t>
  </si>
  <si>
    <t>Operation and Maintenance of Scaffolding</t>
  </si>
  <si>
    <t>14 01 90</t>
  </si>
  <si>
    <t>Operation and Maintenance of Other Conveying Equipment</t>
  </si>
  <si>
    <t>14 05 00</t>
  </si>
  <si>
    <t>Common Work Results for Conveying Equipment</t>
  </si>
  <si>
    <t>14 06 00</t>
  </si>
  <si>
    <t>Schedules for Conveying Equipment</t>
  </si>
  <si>
    <t>14 06 10</t>
  </si>
  <si>
    <t>Schedules for Dumbwaiters</t>
  </si>
  <si>
    <t>14 06 20</t>
  </si>
  <si>
    <t>Schedules for Elevators</t>
  </si>
  <si>
    <t>14 06 20.13</t>
  </si>
  <si>
    <t>Elevator Equipment Schedule</t>
  </si>
  <si>
    <t>14 06 30</t>
  </si>
  <si>
    <t>Schedules for Escalators and Moving Walks</t>
  </si>
  <si>
    <t>14 06 40</t>
  </si>
  <si>
    <t>Schedules for Lifts</t>
  </si>
  <si>
    <t>14 06 40.13</t>
  </si>
  <si>
    <t>Lift Schedule</t>
  </si>
  <si>
    <t>14 06 70</t>
  </si>
  <si>
    <t>Schedules for Turntables</t>
  </si>
  <si>
    <t>14 06 80</t>
  </si>
  <si>
    <t>Schedules for Scaffolding</t>
  </si>
  <si>
    <t>14 06 90</t>
  </si>
  <si>
    <t>Schedules for Other Conveying Equipment</t>
  </si>
  <si>
    <t>14 08 00</t>
  </si>
  <si>
    <t>Commissioning of Conveying Equipment</t>
  </si>
  <si>
    <t>14 08 10</t>
  </si>
  <si>
    <t>Commissioning of Dumbwaiters</t>
  </si>
  <si>
    <t>14 08 20</t>
  </si>
  <si>
    <t>Commissioning of Elevators</t>
  </si>
  <si>
    <t>14 08 30</t>
  </si>
  <si>
    <t>Commissioning of Escalators and Moving Walks</t>
  </si>
  <si>
    <t>14 08 40</t>
  </si>
  <si>
    <t>Commissioning of Lifts</t>
  </si>
  <si>
    <t>14 08 70</t>
  </si>
  <si>
    <t>Commissioning of Turntables</t>
  </si>
  <si>
    <t>14 08 80</t>
  </si>
  <si>
    <t>Commissioning of Scaffolding</t>
  </si>
  <si>
    <t>14 10 00</t>
  </si>
  <si>
    <t>Dumbwaiters</t>
  </si>
  <si>
    <t>14 11 00</t>
  </si>
  <si>
    <t>Manual Dumbwaiters</t>
  </si>
  <si>
    <t>14 12 00</t>
  </si>
  <si>
    <t>Electric Dumbwaiters</t>
  </si>
  <si>
    <t>14 14 00</t>
  </si>
  <si>
    <t>Hydraulic Dumbwaiters</t>
  </si>
  <si>
    <t>14 20 00</t>
  </si>
  <si>
    <t>Elevators</t>
  </si>
  <si>
    <t>14 21 00</t>
  </si>
  <si>
    <t>Electric Traction Elevators</t>
  </si>
  <si>
    <t>14 21 13</t>
  </si>
  <si>
    <t>Electric Traction Freight Elevators</t>
  </si>
  <si>
    <t>14 21 23</t>
  </si>
  <si>
    <t>Electric Traction Passenger Elevators</t>
  </si>
  <si>
    <t>14 21 23.13</t>
  </si>
  <si>
    <t>Machine Room Electric Traction Passenger Elevators</t>
  </si>
  <si>
    <t>14 21 23.16</t>
  </si>
  <si>
    <t>Machine Room-Less Electric Traction Passenger Elevators</t>
  </si>
  <si>
    <t>14 21 33</t>
  </si>
  <si>
    <t>Electric Traction Residential Elevators</t>
  </si>
  <si>
    <t>14 21 43</t>
  </si>
  <si>
    <t>Electric Traction Service Elevators</t>
  </si>
  <si>
    <t>14 24 00</t>
  </si>
  <si>
    <t>Hydraulic Elevators</t>
  </si>
  <si>
    <t>14 24 13</t>
  </si>
  <si>
    <t>Hydraulic Freight Elevators</t>
  </si>
  <si>
    <t>14 24 23</t>
  </si>
  <si>
    <t>Hydraulic Passenger Elevators</t>
  </si>
  <si>
    <t>14 24 33</t>
  </si>
  <si>
    <t>Hydraulic Residential Elevators</t>
  </si>
  <si>
    <t>14 24 43</t>
  </si>
  <si>
    <t>Hydraulic Service Elevators</t>
  </si>
  <si>
    <t>14 26 00</t>
  </si>
  <si>
    <t>Limited-Use/Limited-Application Elevators</t>
  </si>
  <si>
    <t>14 27 00</t>
  </si>
  <si>
    <t>Custom Elevator Cabs and Doors</t>
  </si>
  <si>
    <t>14 27 13</t>
  </si>
  <si>
    <t>Custom Elevator Cab Finishes</t>
  </si>
  <si>
    <t>14 27 16</t>
  </si>
  <si>
    <t>Custom Elevator Doors</t>
  </si>
  <si>
    <t>14 28 00</t>
  </si>
  <si>
    <t>Elevator Equipment and Controls</t>
  </si>
  <si>
    <t>14 28 16</t>
  </si>
  <si>
    <t>Elevator Controls</t>
  </si>
  <si>
    <t>14 28 19</t>
  </si>
  <si>
    <t>Elevator Equipment</t>
  </si>
  <si>
    <t>14 28 19.13</t>
  </si>
  <si>
    <t>Elevator Safety Equipment</t>
  </si>
  <si>
    <t>14 28 19.16</t>
  </si>
  <si>
    <t>Elevator Hoistway Equipment</t>
  </si>
  <si>
    <t>14 30 00</t>
  </si>
  <si>
    <t>Escalators and Moving Walks</t>
  </si>
  <si>
    <t>14 31 00</t>
  </si>
  <si>
    <t>Escalators</t>
  </si>
  <si>
    <t>14 32 00</t>
  </si>
  <si>
    <t>Moving Walks</t>
  </si>
  <si>
    <t>14 33 00</t>
  </si>
  <si>
    <t>Moving Ramps</t>
  </si>
  <si>
    <t>14 33 13</t>
  </si>
  <si>
    <t>Motorized Ramps</t>
  </si>
  <si>
    <t>14 33 16</t>
  </si>
  <si>
    <t>Powered Ramps</t>
  </si>
  <si>
    <t>14 40 00</t>
  </si>
  <si>
    <t>Lifts</t>
  </si>
  <si>
    <t>14 41 00</t>
  </si>
  <si>
    <t>People Lifts</t>
  </si>
  <si>
    <t>14 41 13</t>
  </si>
  <si>
    <t>Counterbalanced People Lifts</t>
  </si>
  <si>
    <t>14 41 16</t>
  </si>
  <si>
    <t>Endless-Belt People Lifts</t>
  </si>
  <si>
    <t>14 42 00</t>
  </si>
  <si>
    <t>Wheelchair Lifts</t>
  </si>
  <si>
    <t>14 42 13</t>
  </si>
  <si>
    <t>Inclined Wheelchair Lifts</t>
  </si>
  <si>
    <t>14 42 16</t>
  </si>
  <si>
    <t>Vertical Wheelchair Lifts</t>
  </si>
  <si>
    <t>14 43 00</t>
  </si>
  <si>
    <t>Platform Lifts</t>
  </si>
  <si>
    <t>14 43 13</t>
  </si>
  <si>
    <t>Orchestra Lifts</t>
  </si>
  <si>
    <t>14 43 16</t>
  </si>
  <si>
    <t>Stage Lifts</t>
  </si>
  <si>
    <t>14 44 00</t>
  </si>
  <si>
    <t>Sidewalk Lifts</t>
  </si>
  <si>
    <t>14 45 00</t>
  </si>
  <si>
    <t>Vehicle Lifts</t>
  </si>
  <si>
    <t>14 70 00</t>
  </si>
  <si>
    <t>Turntables</t>
  </si>
  <si>
    <t>14 71 00</t>
  </si>
  <si>
    <t>Industrial Turntables</t>
  </si>
  <si>
    <t>14 71 11</t>
  </si>
  <si>
    <t>Vehicle Turntables</t>
  </si>
  <si>
    <t>14 72 00</t>
  </si>
  <si>
    <t>Hospitality Turntables</t>
  </si>
  <si>
    <t>14 72 25</t>
  </si>
  <si>
    <t>Restaurant Turntables</t>
  </si>
  <si>
    <t>14 73 00</t>
  </si>
  <si>
    <t>Exhibit Turntables</t>
  </si>
  <si>
    <t>14 73 59</t>
  </si>
  <si>
    <t>Display Turntables</t>
  </si>
  <si>
    <t>14 74 00</t>
  </si>
  <si>
    <t>Entertainment Turntables</t>
  </si>
  <si>
    <t>14 74 61</t>
  </si>
  <si>
    <t>Stage Turntables</t>
  </si>
  <si>
    <t>14 80 00</t>
  </si>
  <si>
    <t>Scaffolding</t>
  </si>
  <si>
    <t>14 81 00</t>
  </si>
  <si>
    <t>Suspended Scaffolding</t>
  </si>
  <si>
    <t>14 81 13</t>
  </si>
  <si>
    <t>Beam Scaffolding</t>
  </si>
  <si>
    <t>14 81 16</t>
  </si>
  <si>
    <t>Carriage Scaffolding</t>
  </si>
  <si>
    <t>14 81 19</t>
  </si>
  <si>
    <t>Hook Scaffolding</t>
  </si>
  <si>
    <t>14 82 00</t>
  </si>
  <si>
    <t>Rope Climbers</t>
  </si>
  <si>
    <t>14 82 13</t>
  </si>
  <si>
    <t>Manual Rope Climbers</t>
  </si>
  <si>
    <t>14 82 16</t>
  </si>
  <si>
    <t>Powered Rope Climbers</t>
  </si>
  <si>
    <t>14 83 00</t>
  </si>
  <si>
    <t>Elevating Platforms</t>
  </si>
  <si>
    <t>14 83 13</t>
  </si>
  <si>
    <t>Telescoping Platform Lifts</t>
  </si>
  <si>
    <t>14 83 13.13</t>
  </si>
  <si>
    <t>Electric and Battery Telescoping Platform Lifts</t>
  </si>
  <si>
    <t>14 83 13.16</t>
  </si>
  <si>
    <t>Pneumatic Telescoping Platform Lifts</t>
  </si>
  <si>
    <t>14 83 16</t>
  </si>
  <si>
    <t>Scissor Lift Platforms</t>
  </si>
  <si>
    <t>14 83 19</t>
  </si>
  <si>
    <t>Multi-Axis Platform Lifts</t>
  </si>
  <si>
    <t>14 84 00</t>
  </si>
  <si>
    <t>Powered Scaffolding</t>
  </si>
  <si>
    <t>14 84 13</t>
  </si>
  <si>
    <t>Window Washing Scaffolding</t>
  </si>
  <si>
    <t>14 84 23</t>
  </si>
  <si>
    <t>Window Washing Hoists</t>
  </si>
  <si>
    <t>14 90 00</t>
  </si>
  <si>
    <t>Other Conveying Equipment</t>
  </si>
  <si>
    <t>14 91 00</t>
  </si>
  <si>
    <t>Facility Chutes</t>
  </si>
  <si>
    <t>14 91 13</t>
  </si>
  <si>
    <t>Coal Chutes</t>
  </si>
  <si>
    <t>14 91 23</t>
  </si>
  <si>
    <t>Escape Chutes</t>
  </si>
  <si>
    <t>14 91 33</t>
  </si>
  <si>
    <t>Laundry and Linen Chutes</t>
  </si>
  <si>
    <t>14 91 82</t>
  </si>
  <si>
    <t>Trash Chutes</t>
  </si>
  <si>
    <t>14 92 00</t>
  </si>
  <si>
    <t>Pneumatic Tube Systems</t>
  </si>
  <si>
    <t>21 00 00</t>
  </si>
  <si>
    <t>Fire Suppression</t>
  </si>
  <si>
    <t>21 01 00</t>
  </si>
  <si>
    <t>Operation and Maintenance of Fire Suppression</t>
  </si>
  <si>
    <t>21 01 10</t>
  </si>
  <si>
    <t>Operation and Maintenance of Water-Based Fire-Suppression Systems</t>
  </si>
  <si>
    <t>21 01 20</t>
  </si>
  <si>
    <t>Operation and Maintenance of Fire-Extinguishing Systems</t>
  </si>
  <si>
    <t>21 01 30</t>
  </si>
  <si>
    <t>Operation and Maintenance of Fire-Suppression Equipment</t>
  </si>
  <si>
    <t>21 05 00</t>
  </si>
  <si>
    <t>Common Work Results for Fire Suppression</t>
  </si>
  <si>
    <t>21 05 13</t>
  </si>
  <si>
    <t>Common Motor Requirements for Fire-Suppression Equipment</t>
  </si>
  <si>
    <t>21 05 16</t>
  </si>
  <si>
    <t>Expansion Fittings and Loops for Fire-Suppression Piping</t>
  </si>
  <si>
    <t>21 05 19</t>
  </si>
  <si>
    <t>Meters and Gages for Fire-Suppression Systems</t>
  </si>
  <si>
    <t>21 05 23</t>
  </si>
  <si>
    <t>General-Duty Valves for Water-Based Fire-Suppression Piping</t>
  </si>
  <si>
    <t>21 05 29</t>
  </si>
  <si>
    <t>Hangers and Supports for Fire-Suppression Piping and Equipment</t>
  </si>
  <si>
    <t>21 05 33</t>
  </si>
  <si>
    <t>Heat Tracing for Fire-Suppression Piping</t>
  </si>
  <si>
    <t>21 05 48</t>
  </si>
  <si>
    <t>Vibration and Seismic Controls for Fire-Suppression Piping and Equipment</t>
  </si>
  <si>
    <t>21 05 53</t>
  </si>
  <si>
    <t>Identification for Fire-Suppression Piping and Equipment</t>
  </si>
  <si>
    <t>21 06 00</t>
  </si>
  <si>
    <t>Schedules for Fire Suppression</t>
  </si>
  <si>
    <t>21 06 10</t>
  </si>
  <si>
    <t>Schedules for Water-Based Fire-Suppression Systems</t>
  </si>
  <si>
    <t>21 06 20</t>
  </si>
  <si>
    <t>Schedules for Fire-Extinguishing Systems</t>
  </si>
  <si>
    <t>21 06 30</t>
  </si>
  <si>
    <t>Schedules for Fire-Suppression Equipment</t>
  </si>
  <si>
    <t>21 07 00</t>
  </si>
  <si>
    <t>Fire Suppression Systems Insulation</t>
  </si>
  <si>
    <t>21 07 16</t>
  </si>
  <si>
    <t>Fire-Suppression Equipment Insulation</t>
  </si>
  <si>
    <t>21 07 19</t>
  </si>
  <si>
    <t>Fire-Suppression Piping Insulation</t>
  </si>
  <si>
    <t>21 08 00</t>
  </si>
  <si>
    <t>Commissioning of Fire Suppression</t>
  </si>
  <si>
    <t>21 09 00</t>
  </si>
  <si>
    <t>Instrumentation and Control for Fire-Suppression Systems</t>
  </si>
  <si>
    <t>21 10 00</t>
  </si>
  <si>
    <t>Water-Based Fire-Suppression Systems</t>
  </si>
  <si>
    <t>21 11 00</t>
  </si>
  <si>
    <t>Facility Fire-Suppression Water-Service Piping</t>
  </si>
  <si>
    <t>21 11 16</t>
  </si>
  <si>
    <t>Facility Fire Hydrants</t>
  </si>
  <si>
    <t>21 11 19</t>
  </si>
  <si>
    <t>Fire-Department Connections</t>
  </si>
  <si>
    <t>21 12 00</t>
  </si>
  <si>
    <t>Fire-Suppression Standpipes</t>
  </si>
  <si>
    <t>21 12 13</t>
  </si>
  <si>
    <t>Fire-Suppression Hoses and Nozzles</t>
  </si>
  <si>
    <t>21 12 16</t>
  </si>
  <si>
    <t>Fire-Suppression Hose Reels</t>
  </si>
  <si>
    <t>21 12 19</t>
  </si>
  <si>
    <t>Fire-Suppression Hose Racks</t>
  </si>
  <si>
    <t>21 12 23</t>
  </si>
  <si>
    <t>Fire-Suppression Hose Valves</t>
  </si>
  <si>
    <t>21 13 00</t>
  </si>
  <si>
    <t>Fire-Suppression Sprinkler Systems</t>
  </si>
  <si>
    <t>21 13 13</t>
  </si>
  <si>
    <t>Wet-Pipe Sprinkler Systems</t>
  </si>
  <si>
    <t>21 13 16</t>
  </si>
  <si>
    <t>Dry-Pipe Sprinkler Systems</t>
  </si>
  <si>
    <t>21 13 19</t>
  </si>
  <si>
    <t>Preaction Sprinkler Systems</t>
  </si>
  <si>
    <t>21 13 23</t>
  </si>
  <si>
    <t>Combined Dry-Pipe and Preaction Sprinkler Systems</t>
  </si>
  <si>
    <t>21 13 26</t>
  </si>
  <si>
    <t>Deluge Fire-Suppression Sprinkler Systems</t>
  </si>
  <si>
    <t>21 13 29</t>
  </si>
  <si>
    <t>Water Spray Fixed Systems</t>
  </si>
  <si>
    <t>21 13 36</t>
  </si>
  <si>
    <t>Antifreeze Sprinkler Systems</t>
  </si>
  <si>
    <t>21 13 39</t>
  </si>
  <si>
    <t>Foam-Water Systems</t>
  </si>
  <si>
    <t>21 16 00</t>
  </si>
  <si>
    <t>Fire-Suppression Pressure Maintenance Pumps</t>
  </si>
  <si>
    <t>21 20 00</t>
  </si>
  <si>
    <t>Fire-Extinguishing Systems</t>
  </si>
  <si>
    <t>21 21 00</t>
  </si>
  <si>
    <t>Carbon-Dioxide Fire-Extinguishing Systems</t>
  </si>
  <si>
    <t>21 21 13</t>
  </si>
  <si>
    <t>Carbon-Dioxide Fire-Extinguishing Piping</t>
  </si>
  <si>
    <t>21 21 16</t>
  </si>
  <si>
    <t>Carbon-Dioxide Fire-Extinguishing Equipment</t>
  </si>
  <si>
    <t>21 22 00</t>
  </si>
  <si>
    <t>Clean-Agent Fire-Extinguishing Systems</t>
  </si>
  <si>
    <t>21 22 13</t>
  </si>
  <si>
    <t>Clean-Agent Fire-Extinguishing Piping</t>
  </si>
  <si>
    <t>21 22 16</t>
  </si>
  <si>
    <t>Clean-Agent Fire-Extinguishing Equipment</t>
  </si>
  <si>
    <t>21 23 00</t>
  </si>
  <si>
    <t>Wet-Chemical Fire-Extinguishing Systems</t>
  </si>
  <si>
    <t>21 23 13</t>
  </si>
  <si>
    <t>Wet-Chemical Fire-Extinguishing Piping</t>
  </si>
  <si>
    <t>21 23 16</t>
  </si>
  <si>
    <t>Wet-Chemical Fire-Extinguishing Equipment</t>
  </si>
  <si>
    <t>21 24 00</t>
  </si>
  <si>
    <t>Dry-Chemical Fire-Extinguishing Systems</t>
  </si>
  <si>
    <t>21 24 13</t>
  </si>
  <si>
    <t>Dry-Chemical Fire-Extinguishing Piping</t>
  </si>
  <si>
    <t>21 24 16</t>
  </si>
  <si>
    <t>Dry-Chemical Fire-Extinguishing Equipment</t>
  </si>
  <si>
    <t>21 30 00</t>
  </si>
  <si>
    <t>Fire Pumps</t>
  </si>
  <si>
    <t>21 31 00</t>
  </si>
  <si>
    <t>Centrifugal Fire Pumps</t>
  </si>
  <si>
    <t>21 31 13</t>
  </si>
  <si>
    <t>Electric-Drive, Centrifugal Fire Pumps</t>
  </si>
  <si>
    <t>21 31 16</t>
  </si>
  <si>
    <t>Diesel-Drive, Centrifugal Fire Pumps</t>
  </si>
  <si>
    <t>21 32 00</t>
  </si>
  <si>
    <t>Vertical-Turbine Fire Pumps</t>
  </si>
  <si>
    <t>21 32 13</t>
  </si>
  <si>
    <t>Electric-Drive, Vertical-Turbine Fire Pumps</t>
  </si>
  <si>
    <t>21 32 16</t>
  </si>
  <si>
    <t>Diesel-Drive, Vertical-Turbine Fire Pumps</t>
  </si>
  <si>
    <t>21 33 00</t>
  </si>
  <si>
    <t>Positive-Displacement Fire Pumps</t>
  </si>
  <si>
    <t>21 33 13</t>
  </si>
  <si>
    <t>Electric-Drive, Positive-Displacement Fire Pumps</t>
  </si>
  <si>
    <t>21 33 16</t>
  </si>
  <si>
    <t>Diesel-Drive, Positive-Displacement Fire Pumps</t>
  </si>
  <si>
    <t>21 40 00</t>
  </si>
  <si>
    <t>Fire-Suppression Water Storage</t>
  </si>
  <si>
    <t>21 41 00</t>
  </si>
  <si>
    <t>Storage Tanks for Fire-Suppression Water</t>
  </si>
  <si>
    <t>21 41 13</t>
  </si>
  <si>
    <t>Pressurized Storage Tanks for Fire-Suppression Water</t>
  </si>
  <si>
    <t>21 41 16</t>
  </si>
  <si>
    <t>Elevated Storage Tanks for Fire-Suppression Water</t>
  </si>
  <si>
    <t>21 41 19</t>
  </si>
  <si>
    <t>Roof-Mounted Storage Tanks for Fire-Suppression Water</t>
  </si>
  <si>
    <t>21 41 23</t>
  </si>
  <si>
    <t>Ground Suction Storage Tanks for Fire-Suppression Water</t>
  </si>
  <si>
    <t>21 41 26</t>
  </si>
  <si>
    <t>Underground Storage Tanks for Fire-Suppression Water</t>
  </si>
  <si>
    <t>21 41 29</t>
  </si>
  <si>
    <t>Storage Tanks for Fire-Suppression Water Additives</t>
  </si>
  <si>
    <t>22 00 00</t>
  </si>
  <si>
    <t>Plumbing</t>
  </si>
  <si>
    <t>22 01 00</t>
  </si>
  <si>
    <t>Operation and Maintenance of Plumbing</t>
  </si>
  <si>
    <t>22 01 10</t>
  </si>
  <si>
    <t>Operation and Maintenance of Plumbing Piping and Pumps</t>
  </si>
  <si>
    <t>22 01 30</t>
  </si>
  <si>
    <t>Operation and Maintenance of Plumbing Equipment</t>
  </si>
  <si>
    <t>22 01 40</t>
  </si>
  <si>
    <t>Operation and Maintenance of Plumbing Fixtures</t>
  </si>
  <si>
    <t>22 01 50</t>
  </si>
  <si>
    <t>Operation and Maintenance of Pool and Fountain Plumbing Systems</t>
  </si>
  <si>
    <t>22 01 60</t>
  </si>
  <si>
    <t>Operation and Maintenance of Laboratory and Healthcare Systems</t>
  </si>
  <si>
    <t>22 05 00</t>
  </si>
  <si>
    <t>Common Work Results for Plumbing</t>
  </si>
  <si>
    <t>22 05 13</t>
  </si>
  <si>
    <t>Common Motor Requirements for Plumbing Equipment</t>
  </si>
  <si>
    <t>22 05 16</t>
  </si>
  <si>
    <t>Expansion Fittings and Loops for Plumbing Piping</t>
  </si>
  <si>
    <t>22 05 19</t>
  </si>
  <si>
    <t>Meters and Gages for Plumbing Piping</t>
  </si>
  <si>
    <t>22 05 23</t>
  </si>
  <si>
    <t>General-Duty Valves for Plumbing Piping</t>
  </si>
  <si>
    <t>22 05 29</t>
  </si>
  <si>
    <t>Hangers and Supports for Plumbing Piping and Equipment</t>
  </si>
  <si>
    <t>22 05 33</t>
  </si>
  <si>
    <t>Heat Tracing for Plumbing Piping</t>
  </si>
  <si>
    <t>22 05 48</t>
  </si>
  <si>
    <t>Vibration and Seismic Controls for Plumbing Piping and Equipment</t>
  </si>
  <si>
    <t>22 05 53</t>
  </si>
  <si>
    <t>Identification for Plumbing Piping and Equipment</t>
  </si>
  <si>
    <t>22 05 73</t>
  </si>
  <si>
    <t>Facility Drainage Manholes</t>
  </si>
  <si>
    <t>22 05 76</t>
  </si>
  <si>
    <t>Facility Drainage Piping Cleanouts</t>
  </si>
  <si>
    <t>22 06 00</t>
  </si>
  <si>
    <t>Schedules for Plumbing</t>
  </si>
  <si>
    <t>22 06 10</t>
  </si>
  <si>
    <t>Schedules for Plumbing Piping and Pumps</t>
  </si>
  <si>
    <t>22 06 10.13</t>
  </si>
  <si>
    <t>Plumbing Pump Schedule</t>
  </si>
  <si>
    <t>22 06 12</t>
  </si>
  <si>
    <t>Schedules for Facility Potable Water Storage</t>
  </si>
  <si>
    <t>22 06 15</t>
  </si>
  <si>
    <t>Schedules for General Service Compressed-Air Equipment</t>
  </si>
  <si>
    <t>22 06 30</t>
  </si>
  <si>
    <t>Schedules for Plumbing Equipment</t>
  </si>
  <si>
    <t>22 06 30.13</t>
  </si>
  <si>
    <t>Domestic Water Heater Schedule</t>
  </si>
  <si>
    <t>22 06 40</t>
  </si>
  <si>
    <t>Schedules for Plumbing Fixtures</t>
  </si>
  <si>
    <t>22 06 40.13</t>
  </si>
  <si>
    <t>Plumbing Fixture Schedule</t>
  </si>
  <si>
    <t>22 06 50</t>
  </si>
  <si>
    <t>Schedules for Pool and Fountain Plumbing Systems</t>
  </si>
  <si>
    <t>22 06 60</t>
  </si>
  <si>
    <t>Schedules for Laboratory and Healthcare Systems</t>
  </si>
  <si>
    <t>22 07 00</t>
  </si>
  <si>
    <t>Plumbing Insulation</t>
  </si>
  <si>
    <t>22 07 16</t>
  </si>
  <si>
    <t>Plumbing Equipment Insulation</t>
  </si>
  <si>
    <t>22 07 19</t>
  </si>
  <si>
    <t>Plumbing Piping Insulation</t>
  </si>
  <si>
    <t>22 08 00</t>
  </si>
  <si>
    <t>Commissioning of Plumbing</t>
  </si>
  <si>
    <t>22 09 00</t>
  </si>
  <si>
    <t>Instrumentation and Control for Plumbing</t>
  </si>
  <si>
    <t>22 10 00</t>
  </si>
  <si>
    <t>Plumbing Piping</t>
  </si>
  <si>
    <t>22 11 00</t>
  </si>
  <si>
    <t>Facility Water Distribution</t>
  </si>
  <si>
    <t>22 11 13</t>
  </si>
  <si>
    <t>Facility Water Distribution Piping</t>
  </si>
  <si>
    <t>22 11 16</t>
  </si>
  <si>
    <t>Domestic Water Piping</t>
  </si>
  <si>
    <t>22 11 19</t>
  </si>
  <si>
    <t>Domestic Water Piping Specialties</t>
  </si>
  <si>
    <t>22 11 23</t>
  </si>
  <si>
    <t>Domestic Water Pumps</t>
  </si>
  <si>
    <t>22 11 23.13</t>
  </si>
  <si>
    <t>Domestic-Water Packaged Booster Pumps</t>
  </si>
  <si>
    <t>22 11 23.23</t>
  </si>
  <si>
    <t>Close-Coupled, In-Line, Sealless Centrifugal Domestic-Water Pumps</t>
  </si>
  <si>
    <t>22 11 23.26</t>
  </si>
  <si>
    <t>Close-Coupled, Horizontally Mounted, In-Line Centrifugal Domestic-Water Pumps</t>
  </si>
  <si>
    <t>22 11 23.29</t>
  </si>
  <si>
    <t>Close-Coupled, Vertically Mounted, In-Line Centrifugal Domestic-Water Pumps</t>
  </si>
  <si>
    <t>22 11 23.33</t>
  </si>
  <si>
    <t>Separately Coupled, In-Line Centrifugal Domestic-Water Pumps</t>
  </si>
  <si>
    <t>22 11 23.36</t>
  </si>
  <si>
    <t>Separately Coupled, Horizontally Mounted, In-Line Centrifugal Domestic-Water Pumps</t>
  </si>
  <si>
    <t>22 12 00</t>
  </si>
  <si>
    <t>Facility Potable-Water Storage Tanks</t>
  </si>
  <si>
    <t>22 12 13</t>
  </si>
  <si>
    <t>Facility Roof-Mounted, Potable-Water Storage Tanks</t>
  </si>
  <si>
    <t>22 12 16</t>
  </si>
  <si>
    <t>Facility Elevated, Potable-Water Storage Tanks</t>
  </si>
  <si>
    <t>22 12 19</t>
  </si>
  <si>
    <t>Facility Ground-Mounted, Potable-Water Storage Tanks</t>
  </si>
  <si>
    <t>22 12 23</t>
  </si>
  <si>
    <t>Facility Indoor Potable-Water Storage Tanks</t>
  </si>
  <si>
    <t>22 12 23.13</t>
  </si>
  <si>
    <t>Facility Steel, Indoor Potable-Water Storage Pressure Tanks</t>
  </si>
  <si>
    <t>22 12 23.16</t>
  </si>
  <si>
    <t>Facility Steel, Indoor Potable-Water Storage Non-Pressure Tanks</t>
  </si>
  <si>
    <t>22 12 23.23</t>
  </si>
  <si>
    <t>Facility Plastic, Indoor Potable-Water Storage Pressure Tanks</t>
  </si>
  <si>
    <t>22 12 23.26</t>
  </si>
  <si>
    <t>Facility Plastic, Indoor Potable-Water Storage Non-Pressure Tanks</t>
  </si>
  <si>
    <t>22 13 00</t>
  </si>
  <si>
    <t>Facility Sanitary Sewerage</t>
  </si>
  <si>
    <t>22 13 13</t>
  </si>
  <si>
    <t>Facility Sanitary Sewers</t>
  </si>
  <si>
    <t>22 13 16</t>
  </si>
  <si>
    <t>Sanitary Waste and Vent Piping</t>
  </si>
  <si>
    <t>22 13 19</t>
  </si>
  <si>
    <t>Sanitary Waste Piping Specialties</t>
  </si>
  <si>
    <t>22 13 19.13</t>
  </si>
  <si>
    <t>Sanitary Drains</t>
  </si>
  <si>
    <t>22 13 19.23</t>
  </si>
  <si>
    <t>Fats, Oils, and Grease Disposal Systems</t>
  </si>
  <si>
    <t>22 13 19.26</t>
  </si>
  <si>
    <t>Grease Removal Devices</t>
  </si>
  <si>
    <t>22 13 19.33</t>
  </si>
  <si>
    <t>Backwater Valves</t>
  </si>
  <si>
    <t>22 13 19.36</t>
  </si>
  <si>
    <t>Air-Admittance Valves</t>
  </si>
  <si>
    <t>22 13 23</t>
  </si>
  <si>
    <t>Sanitary Waste Interceptors</t>
  </si>
  <si>
    <t>22 13 26</t>
  </si>
  <si>
    <t>Sanitary Waste Separators</t>
  </si>
  <si>
    <t>22 13 29</t>
  </si>
  <si>
    <t>Sanitary Sewerage Pumps</t>
  </si>
  <si>
    <t>22 13 29.13</t>
  </si>
  <si>
    <t>Wet-Pit-Mounted, Vertical Sewerage Pumps</t>
  </si>
  <si>
    <t>22 13 29.16</t>
  </si>
  <si>
    <t>Submersible Sewerage Pumps</t>
  </si>
  <si>
    <t>22 13 29.23</t>
  </si>
  <si>
    <t>Sewerage Pump Reverse-Flow Assemblies</t>
  </si>
  <si>
    <t>22 13 29.33</t>
  </si>
  <si>
    <t>Sewerage Pump Basins and Pits</t>
  </si>
  <si>
    <t>22 13 33</t>
  </si>
  <si>
    <t>Packaged, Submersible Sewerage Pump Units</t>
  </si>
  <si>
    <t>22 13 36</t>
  </si>
  <si>
    <t>Packaged, Wastewater Pump Units</t>
  </si>
  <si>
    <t>22 13 43</t>
  </si>
  <si>
    <t>Facility Packaged Sewage Pumping Stations</t>
  </si>
  <si>
    <t>22 13 43.13</t>
  </si>
  <si>
    <t>Facility Dry-Well Packaged Sewage Pumping Stations</t>
  </si>
  <si>
    <t>22 13 43.16</t>
  </si>
  <si>
    <t>Facility Wet-Well Packaged Sewage Pumping Stations</t>
  </si>
  <si>
    <t>22 13 53</t>
  </si>
  <si>
    <t>Facility Septic Tanks</t>
  </si>
  <si>
    <t>22 13 63</t>
  </si>
  <si>
    <t>Facility Gray Water Tanks</t>
  </si>
  <si>
    <t>22 14 00</t>
  </si>
  <si>
    <t>Facility Storm Drainage</t>
  </si>
  <si>
    <t>22 14 13</t>
  </si>
  <si>
    <t>Facility Storm Drainage Piping</t>
  </si>
  <si>
    <t>22 14 16</t>
  </si>
  <si>
    <t>Rainwater Leaders</t>
  </si>
  <si>
    <t>22 14 19</t>
  </si>
  <si>
    <t>Sump Pump Discharge Piping</t>
  </si>
  <si>
    <t>22 14 23</t>
  </si>
  <si>
    <t>Storm Drainage Piping Specialties</t>
  </si>
  <si>
    <t>22 14 26</t>
  </si>
  <si>
    <t>Facility Storm Drains</t>
  </si>
  <si>
    <t>22 14 26.13</t>
  </si>
  <si>
    <t>Roof Drains</t>
  </si>
  <si>
    <t>22 14 26.16</t>
  </si>
  <si>
    <t>Facility Area Drains</t>
  </si>
  <si>
    <t>22 14 26.19</t>
  </si>
  <si>
    <t>Facility Trench Drains</t>
  </si>
  <si>
    <t>22 14 29</t>
  </si>
  <si>
    <t>Sump Pumps</t>
  </si>
  <si>
    <t>22 14 29.13</t>
  </si>
  <si>
    <t>Wet-Pit-Mounted, Vertical Sump Pumps</t>
  </si>
  <si>
    <t>22 14 29.16</t>
  </si>
  <si>
    <t>Submersible Sump Pumps</t>
  </si>
  <si>
    <t>22 14 29.19</t>
  </si>
  <si>
    <t>Sump-Pump Basins and Pits</t>
  </si>
  <si>
    <t>22 14 33</t>
  </si>
  <si>
    <t>Packaged, Pedestal Drainage Pump Units</t>
  </si>
  <si>
    <t>22 14 36</t>
  </si>
  <si>
    <t>Packaged, Submersible, Drainage Pump Units</t>
  </si>
  <si>
    <t>22 14 53</t>
  </si>
  <si>
    <t>Rainwater Storage Tanks</t>
  </si>
  <si>
    <t>22 15 00</t>
  </si>
  <si>
    <t>General Service Compressed-Air Systems</t>
  </si>
  <si>
    <t>22 15 13</t>
  </si>
  <si>
    <t>General Service Compressed-Air Piping</t>
  </si>
  <si>
    <t>22 15 16</t>
  </si>
  <si>
    <t>General Service Compressed-Air Valves</t>
  </si>
  <si>
    <t>22 15 19</t>
  </si>
  <si>
    <t>General Service Packaged Air Compressors and Receivers</t>
  </si>
  <si>
    <t>22 15 19.13</t>
  </si>
  <si>
    <t>General Service Packaged Reciprocating Air Compressors</t>
  </si>
  <si>
    <t>22 15 19.16</t>
  </si>
  <si>
    <t>General Service Packaged Liquid-Ring Air Compressors</t>
  </si>
  <si>
    <t>22 15 19.19</t>
  </si>
  <si>
    <t>General Service Packaged Rotary-Screw Air Compressors</t>
  </si>
  <si>
    <t>22 15 19.23</t>
  </si>
  <si>
    <t>General Service Packaged Sliding-Vane Air Compressors</t>
  </si>
  <si>
    <t>22 30 00</t>
  </si>
  <si>
    <t>Plumbing Equipment</t>
  </si>
  <si>
    <t>22 31 00</t>
  </si>
  <si>
    <t>Domestic Water Softeners</t>
  </si>
  <si>
    <t>22 31 13</t>
  </si>
  <si>
    <t>Residential Domestic Water Softeners</t>
  </si>
  <si>
    <t>22 31 16</t>
  </si>
  <si>
    <t>Commercial Domestic Water Softeners</t>
  </si>
  <si>
    <t>22 32 00</t>
  </si>
  <si>
    <t>Domestic Water Filtration Equipment</t>
  </si>
  <si>
    <t>22 32 13</t>
  </si>
  <si>
    <t>Domestic-Water Bag-Type Filters</t>
  </si>
  <si>
    <t>22 32 16</t>
  </si>
  <si>
    <t>Domestic-Water Freestanding Cartridge Filters</t>
  </si>
  <si>
    <t>22 32 19</t>
  </si>
  <si>
    <t>Domestic-Water Off-Floor Cartridge Filters</t>
  </si>
  <si>
    <t>22 32 23</t>
  </si>
  <si>
    <t>Domestic-Water Carbon Filters</t>
  </si>
  <si>
    <t>22 32 26</t>
  </si>
  <si>
    <t>Domestic-Water Sand Filters</t>
  </si>
  <si>
    <t>22 32 26.13</t>
  </si>
  <si>
    <t>Domestic-Water Circulating Sand Filters</t>
  </si>
  <si>
    <t>22 32 26.16</t>
  </si>
  <si>
    <t>Domestic-Water Multimedia Sand Filters</t>
  </si>
  <si>
    <t>22 32 26.19</t>
  </si>
  <si>
    <t>Domestic-Water Greensand Filters</t>
  </si>
  <si>
    <t>22 33 00</t>
  </si>
  <si>
    <t>Electric Domestic Water Heaters</t>
  </si>
  <si>
    <t>22 33 13</t>
  </si>
  <si>
    <t>Instantaneous Electric Domestic Water Heaters</t>
  </si>
  <si>
    <t>22 33 13.13</t>
  </si>
  <si>
    <t>Flow-Control, Instantaneous Electric Domestic Water Heaters</t>
  </si>
  <si>
    <t>22 33 13.16</t>
  </si>
  <si>
    <t>Thermostat-Control, Instantaneous Electric Domestic Water Heaters</t>
  </si>
  <si>
    <t>22 33 30</t>
  </si>
  <si>
    <t>Residential, Electric Domestic Water Heaters</t>
  </si>
  <si>
    <t>22 33 30.13</t>
  </si>
  <si>
    <t>Residential, Small-Capacity Electric Domestic Water Heaters</t>
  </si>
  <si>
    <t>22 33 30.16</t>
  </si>
  <si>
    <t>Residential, Storage Electric Domestic Water Heaters</t>
  </si>
  <si>
    <t>22 33 30.23</t>
  </si>
  <si>
    <t>Residential, Collector-to-Tank, Solar-Electric Domestic Water Heaters</t>
  </si>
  <si>
    <t>22 33 30.26</t>
  </si>
  <si>
    <t>Residential, Collector-to-Tank, Heat-Exchanger-Coil, Solar-Electric Domestic Water Heaters</t>
  </si>
  <si>
    <t>22 33 33</t>
  </si>
  <si>
    <t>Light-Commercial Electric Domestic Water Heaters</t>
  </si>
  <si>
    <t>22 33 36</t>
  </si>
  <si>
    <t>Commercial Domestic Water Electric Booster Heaters</t>
  </si>
  <si>
    <t>22 33 36.13</t>
  </si>
  <si>
    <t>22 33 36.16</t>
  </si>
  <si>
    <t>Commercial Storage Electric Domestic Water Heaters</t>
  </si>
  <si>
    <t>22 34 00</t>
  </si>
  <si>
    <t>Fuel-Fired Domestic Water Heaters</t>
  </si>
  <si>
    <t>22 34 13</t>
  </si>
  <si>
    <t>Instantaneous, Tankless, Gas Domestic Water Heaters</t>
  </si>
  <si>
    <t>22 34 30</t>
  </si>
  <si>
    <t>Residential Gas Domestic Water Heaters</t>
  </si>
  <si>
    <t>22 34 30.13</t>
  </si>
  <si>
    <t>Residential, Atmospheric, Gas Domestic Water Heaters</t>
  </si>
  <si>
    <t>22 34 30.16</t>
  </si>
  <si>
    <t>Residential, Direct-Vent, Gas Domestic Water Heaters</t>
  </si>
  <si>
    <t>22 34 30.19</t>
  </si>
  <si>
    <t>Residential, Power-Vent, Gas Domestic Water Heaters</t>
  </si>
  <si>
    <t>22 34 36</t>
  </si>
  <si>
    <t>Commercial Gas Domestic Water Heaters</t>
  </si>
  <si>
    <t>22 34 36.13</t>
  </si>
  <si>
    <t>Commercial, Atmospheric, Gas Domestic Water Heaters</t>
  </si>
  <si>
    <t>22 34 36.16</t>
  </si>
  <si>
    <t>Commercial, Power-Burner, Gas Domestic Water Heaters</t>
  </si>
  <si>
    <t>22 34 36.19</t>
  </si>
  <si>
    <t>Commercial, Power-Vent, Gas Domestic Water Heaters</t>
  </si>
  <si>
    <t>22 34 36.23</t>
  </si>
  <si>
    <t>Commercial, High-Efficiency, Gas Domestic Water Heaters</t>
  </si>
  <si>
    <t>22 34 36.26</t>
  </si>
  <si>
    <t>Commercial, Coil-Type, Finned-Tube, Gas Domestic Water Heaters</t>
  </si>
  <si>
    <t>22 34 36.29</t>
  </si>
  <si>
    <t>Commercial, Grid-Type, Finned-Tube, Gas Domestic Water Heaters</t>
  </si>
  <si>
    <t>22 34 46</t>
  </si>
  <si>
    <t>Oil-Fired Domestic Water Heaters</t>
  </si>
  <si>
    <t>22 34 46.13</t>
  </si>
  <si>
    <t>Large-Capacity, Oil-Fired Domestic Water Heaters</t>
  </si>
  <si>
    <t>22 34 56</t>
  </si>
  <si>
    <t>Dual-Fuel-Fired Domestic Water Heaters</t>
  </si>
  <si>
    <t>22 35 00</t>
  </si>
  <si>
    <t>Domestic Water Heat Exchangers</t>
  </si>
  <si>
    <t>22 35 13</t>
  </si>
  <si>
    <t>Instantaneous Domestic Water Heat Exchangers</t>
  </si>
  <si>
    <t>22 35 13.13</t>
  </si>
  <si>
    <t>Heating-Fluid-in-Coil, Instantaneous Domestic Water Heat Exchangers</t>
  </si>
  <si>
    <t>22 35 13.16</t>
  </si>
  <si>
    <t>Domestic-Water-in-Coil, Instantaneous Domestic Water Heat Exchangers</t>
  </si>
  <si>
    <t>22 35 13.19</t>
  </si>
  <si>
    <t>Heating-Fluid-in-U-Tube-Coil, Instantaneous Domestic Water Heat Exchangers</t>
  </si>
  <si>
    <t>22 35 23</t>
  </si>
  <si>
    <t>Circulating, Domestic Water Heat Exchangers</t>
  </si>
  <si>
    <t>22 35 23.13</t>
  </si>
  <si>
    <t>Circulating, Compact Domestic Water Heat Exchangers</t>
  </si>
  <si>
    <t>22 35 23.16</t>
  </si>
  <si>
    <t>Circulating, Storage Domestic Water Heat Exchangers</t>
  </si>
  <si>
    <t>22 35 29</t>
  </si>
  <si>
    <t>Noncirculating, Domestic Water Heat Exchangers</t>
  </si>
  <si>
    <t>22 35 29.13</t>
  </si>
  <si>
    <t>Noncirculating, Compact Domestic Water Heat Exchangers</t>
  </si>
  <si>
    <t>22 35 29.16</t>
  </si>
  <si>
    <t>Noncirculating, Storage Domestic Water Heat Exchangers</t>
  </si>
  <si>
    <t>22 35 36</t>
  </si>
  <si>
    <t>Domestic Water Brazed-Plate Heat Exchangers</t>
  </si>
  <si>
    <t>22 35 39</t>
  </si>
  <si>
    <t>Domestic Water Frame-and-Plate Heat Exchangers</t>
  </si>
  <si>
    <t>22 35 43</t>
  </si>
  <si>
    <t>Domestic Water Heat Reclaimers</t>
  </si>
  <si>
    <t>22 40 00</t>
  </si>
  <si>
    <t>Plumbing Fixtures</t>
  </si>
  <si>
    <t>22 41 00</t>
  </si>
  <si>
    <t>Residential Plumbing Fixtures</t>
  </si>
  <si>
    <t>22 41 13</t>
  </si>
  <si>
    <t>Residential Water Closets, Urinals, and Bidets</t>
  </si>
  <si>
    <t>22 41 13.13</t>
  </si>
  <si>
    <t>Residential Water Closets</t>
  </si>
  <si>
    <t>22 41 13.16</t>
  </si>
  <si>
    <t>Residential Urinals</t>
  </si>
  <si>
    <t>22 41 13.19</t>
  </si>
  <si>
    <t>Residential Bidets</t>
  </si>
  <si>
    <t>22 41 16</t>
  </si>
  <si>
    <t>Residential Lavatories and Sinks</t>
  </si>
  <si>
    <t>22 41 16.13</t>
  </si>
  <si>
    <t>Residential Lavatories</t>
  </si>
  <si>
    <t>22 41 16.16</t>
  </si>
  <si>
    <t>Residential Sinks</t>
  </si>
  <si>
    <t>22 41 19</t>
  </si>
  <si>
    <t>Residential Bathtubs</t>
  </si>
  <si>
    <t>22 41 23</t>
  </si>
  <si>
    <t>Residential Showers</t>
  </si>
  <si>
    <t>22 41 26</t>
  </si>
  <si>
    <t>Residential Disposers</t>
  </si>
  <si>
    <t>22 41 36</t>
  </si>
  <si>
    <t>Residential Laundry Trays</t>
  </si>
  <si>
    <t>22 41 39</t>
  </si>
  <si>
    <t>Residential Faucets, Supplies, and Trim</t>
  </si>
  <si>
    <t>22 42 00</t>
  </si>
  <si>
    <t>Commercial Plumbing Fixtures</t>
  </si>
  <si>
    <t>22 42 13</t>
  </si>
  <si>
    <t>Commercial Water Closets, Urinals, and Bidets</t>
  </si>
  <si>
    <t>22 42 13.13</t>
  </si>
  <si>
    <t>Commercial Water Closets</t>
  </si>
  <si>
    <t>22 42 13.16</t>
  </si>
  <si>
    <t>Commercial Urinals</t>
  </si>
  <si>
    <t>22 42 16</t>
  </si>
  <si>
    <t>Commercial Lavatories and Sinks</t>
  </si>
  <si>
    <t>22 42 16.13</t>
  </si>
  <si>
    <t>Commercial Lavatories</t>
  </si>
  <si>
    <t>22 42 16.16</t>
  </si>
  <si>
    <t>Commercial Sinks</t>
  </si>
  <si>
    <t>22 42 19</t>
  </si>
  <si>
    <t>Commercial Bathtubs</t>
  </si>
  <si>
    <t>22 42 23</t>
  </si>
  <si>
    <t>Commercial Showers</t>
  </si>
  <si>
    <t>22 42 26</t>
  </si>
  <si>
    <t>Commercial Disposers</t>
  </si>
  <si>
    <t>22 42 29</t>
  </si>
  <si>
    <t>Shampoo Bowls</t>
  </si>
  <si>
    <t>22 42 33</t>
  </si>
  <si>
    <t>Wash Fountains</t>
  </si>
  <si>
    <t>22 42 36</t>
  </si>
  <si>
    <t>Commercial Laundry Trays</t>
  </si>
  <si>
    <t>22 42 39</t>
  </si>
  <si>
    <t>Commercial Faucets, Supplies, and Trim</t>
  </si>
  <si>
    <t>22 42 43</t>
  </si>
  <si>
    <t>Flushometers</t>
  </si>
  <si>
    <t>22 43 00</t>
  </si>
  <si>
    <t>Healthcare Plumbing Fixtures</t>
  </si>
  <si>
    <t>22 43 13</t>
  </si>
  <si>
    <t>Healthcare Water Closets</t>
  </si>
  <si>
    <t>22 43 16</t>
  </si>
  <si>
    <t>Healthcare Sinks</t>
  </si>
  <si>
    <t>22 43 19</t>
  </si>
  <si>
    <t>Healthcare Bathtubs</t>
  </si>
  <si>
    <t>22 43 23</t>
  </si>
  <si>
    <t>Healthcare Showers</t>
  </si>
  <si>
    <t>22 43 39</t>
  </si>
  <si>
    <t>Healthcare Faucets</t>
  </si>
  <si>
    <t>22 43 43</t>
  </si>
  <si>
    <t>Healthcare Plumbing Fixture Flushometers</t>
  </si>
  <si>
    <t>22 45 00</t>
  </si>
  <si>
    <t>Emergency Plumbing Fixtures</t>
  </si>
  <si>
    <t>22 45 13</t>
  </si>
  <si>
    <t>Emergency Showers</t>
  </si>
  <si>
    <t>22 45 16</t>
  </si>
  <si>
    <t>Eyewash Equipment</t>
  </si>
  <si>
    <t>22 45 19</t>
  </si>
  <si>
    <t>Self-Contained Eyewash Equipment</t>
  </si>
  <si>
    <t>22 45 23</t>
  </si>
  <si>
    <t>Personal Eyewash Equipment</t>
  </si>
  <si>
    <t>22 45 26</t>
  </si>
  <si>
    <t>Eye/Face Wash Equipment</t>
  </si>
  <si>
    <t>22 45 29</t>
  </si>
  <si>
    <t>Hand-Held Emergency Drench Hoses</t>
  </si>
  <si>
    <t>22 45 33</t>
  </si>
  <si>
    <t>Combination Emergency Fixture Units</t>
  </si>
  <si>
    <t>22 45 36</t>
  </si>
  <si>
    <t>Emergency Fixture Water-Tempering Equipment</t>
  </si>
  <si>
    <t>22 46 00</t>
  </si>
  <si>
    <t>Security Plumbing Fixtures</t>
  </si>
  <si>
    <t>22 46 13</t>
  </si>
  <si>
    <t>Security Water Closets and Urinals</t>
  </si>
  <si>
    <t>22 46 13.13</t>
  </si>
  <si>
    <t>Security Water Closets</t>
  </si>
  <si>
    <t>22 46 13.16</t>
  </si>
  <si>
    <t>Security Urinals</t>
  </si>
  <si>
    <t>22 46 16</t>
  </si>
  <si>
    <t>Security Lavatories and Sinks</t>
  </si>
  <si>
    <t>22 46 16.13</t>
  </si>
  <si>
    <t>Security Lavatories</t>
  </si>
  <si>
    <t>22 46 16.16</t>
  </si>
  <si>
    <t>Security Sinks</t>
  </si>
  <si>
    <t>22 46 19</t>
  </si>
  <si>
    <t>Security Showers</t>
  </si>
  <si>
    <t>22 46 39</t>
  </si>
  <si>
    <t>Security Faucets, Supplies, and Trim</t>
  </si>
  <si>
    <t>22 46 43</t>
  </si>
  <si>
    <t>Security Plumbing Fixture Flushometers</t>
  </si>
  <si>
    <t>22 46 53</t>
  </si>
  <si>
    <t>Security Plumbing Fixture Supports</t>
  </si>
  <si>
    <t>22 47 00</t>
  </si>
  <si>
    <t>Drinking Fountains and Water Coolers</t>
  </si>
  <si>
    <t>22 47 13</t>
  </si>
  <si>
    <t>Drinking Fountains</t>
  </si>
  <si>
    <t>22 47 16</t>
  </si>
  <si>
    <t>Pressure Water Coolers</t>
  </si>
  <si>
    <t>22 47 19</t>
  </si>
  <si>
    <t>Water-Station Water Coolers</t>
  </si>
  <si>
    <t>22 47 23</t>
  </si>
  <si>
    <t>Remote Water Coolers</t>
  </si>
  <si>
    <t>22 50 00</t>
  </si>
  <si>
    <t>Pool and Fountain Plumbing Systems</t>
  </si>
  <si>
    <t>22 51 00</t>
  </si>
  <si>
    <t>Swimming Pool Plumbing Systems</t>
  </si>
  <si>
    <t>22 51 13</t>
  </si>
  <si>
    <t>Swimming Pool Piping</t>
  </si>
  <si>
    <t>22 51 16</t>
  </si>
  <si>
    <t>Swimming Pool Pumps</t>
  </si>
  <si>
    <t>22 51 19</t>
  </si>
  <si>
    <t>Swimming Pool Water Treatment Equipment</t>
  </si>
  <si>
    <t>22 51 23</t>
  </si>
  <si>
    <t>Swimming Pool Equipment Controls</t>
  </si>
  <si>
    <t>22 52 00</t>
  </si>
  <si>
    <t>Fountain Plumbing Systems</t>
  </si>
  <si>
    <t>22 52 13</t>
  </si>
  <si>
    <t>Fountain Piping</t>
  </si>
  <si>
    <t>22 52 16</t>
  </si>
  <si>
    <t>Fountain Pumps</t>
  </si>
  <si>
    <t>22 52 19</t>
  </si>
  <si>
    <t>Fountain Water Treatment Equipment</t>
  </si>
  <si>
    <t>22 52 23</t>
  </si>
  <si>
    <t>Fountain Equipment Controls</t>
  </si>
  <si>
    <t>22 60 00</t>
  </si>
  <si>
    <t>Gas and Vacuum Systems for Laboratory and Healthcare Facilities</t>
  </si>
  <si>
    <t>22 61 00</t>
  </si>
  <si>
    <t>Compressed-Air Systems for Laboratory and Healthcare Facilities</t>
  </si>
  <si>
    <t>22 61 13</t>
  </si>
  <si>
    <t>Compressed-Air Piping for Laboratory and Healthcare Facilities</t>
  </si>
  <si>
    <t>22 61 13.53</t>
  </si>
  <si>
    <t>Laboratory Compressed-Air Piping</t>
  </si>
  <si>
    <t>22 61 13.70</t>
  </si>
  <si>
    <t>Healthcare Compressed-Air Piping</t>
  </si>
  <si>
    <t>22 61 13.74</t>
  </si>
  <si>
    <t>Dental Compressed-Air Piping</t>
  </si>
  <si>
    <t>22 61 19</t>
  </si>
  <si>
    <t>Compressed-Air Equipment for Laboratory and Healthcare Facilities</t>
  </si>
  <si>
    <t>22 61 19.53</t>
  </si>
  <si>
    <t>Laboratory Compressed-Air Equipment</t>
  </si>
  <si>
    <t>22 61 19.70</t>
  </si>
  <si>
    <t>Healthcare Compressed-Air Equipment</t>
  </si>
  <si>
    <t>22 61 19.74</t>
  </si>
  <si>
    <t>Dental Compressed-Air Equipment</t>
  </si>
  <si>
    <t>22 62 00</t>
  </si>
  <si>
    <t>Vacuum Systems for Laboratory and Healthcare Facilities</t>
  </si>
  <si>
    <t>22 62 13</t>
  </si>
  <si>
    <t>Vacuum Piping for Laboratory and Healthcare Facilities</t>
  </si>
  <si>
    <t>22 62 13.53</t>
  </si>
  <si>
    <t>Laboratory Vacuum Piping</t>
  </si>
  <si>
    <t>22 62 13.70</t>
  </si>
  <si>
    <t>Healthcare, Surgical Vacuum Piping</t>
  </si>
  <si>
    <t>22 62 13.74</t>
  </si>
  <si>
    <t>Dental Vacuum Piping</t>
  </si>
  <si>
    <t>22 62 19</t>
  </si>
  <si>
    <t>Vacuum Equipment for Laboratory and Healthcare Facilities</t>
  </si>
  <si>
    <t>22 62 19.53</t>
  </si>
  <si>
    <t>Laboratory Vacuum Equipment</t>
  </si>
  <si>
    <t>22 62 19.70</t>
  </si>
  <si>
    <t>Healthcare Vacuum Equipment</t>
  </si>
  <si>
    <t>22 62 19.74</t>
  </si>
  <si>
    <t>Dental Vacuum and Evacuation Equipment</t>
  </si>
  <si>
    <t>22 62 23</t>
  </si>
  <si>
    <t>Waste Anesthesia-Gas Piping</t>
  </si>
  <si>
    <t>22 63 00</t>
  </si>
  <si>
    <t>Gas Systems for Laboratory and Healthcare Facilities</t>
  </si>
  <si>
    <t>22 63 13</t>
  </si>
  <si>
    <t>Gas Piping for Laboratory and Healthcare Facilities</t>
  </si>
  <si>
    <t>22 63 13.53</t>
  </si>
  <si>
    <t>Laboratory Gas Piping</t>
  </si>
  <si>
    <t>22 63 13.70</t>
  </si>
  <si>
    <t>Healthcare Gas Piping</t>
  </si>
  <si>
    <t>22 63 19</t>
  </si>
  <si>
    <t>Gas Storage Tanks for Laboratory and Healthcare Facilities</t>
  </si>
  <si>
    <t>22 63 19.53</t>
  </si>
  <si>
    <t>Laboratory Gas Storage Tanks</t>
  </si>
  <si>
    <t>22 63 19.70</t>
  </si>
  <si>
    <t>Healthcare Gas Storage Tanks</t>
  </si>
  <si>
    <t>22 66 00</t>
  </si>
  <si>
    <t>Chemical-Waste Systems for Laboratory and Healthcare Facilities</t>
  </si>
  <si>
    <t>22 66 53</t>
  </si>
  <si>
    <t>Laboratory Chemical-Waste and Vent Piping</t>
  </si>
  <si>
    <t>22 66 70</t>
  </si>
  <si>
    <t>Healthcare Chemical-Waste and Vent Piping</t>
  </si>
  <si>
    <t>22 66 83</t>
  </si>
  <si>
    <t>Chemical-Waste Tanks</t>
  </si>
  <si>
    <t>22 66 83.13</t>
  </si>
  <si>
    <t>Chemical-Waste Dilution Tanks</t>
  </si>
  <si>
    <t>22 66 83.16</t>
  </si>
  <si>
    <t>Chemical-Waste Neutralization Tanks</t>
  </si>
  <si>
    <t>22 67 00</t>
  </si>
  <si>
    <t>Processed Water Systems for Laboratory and Healthcare Facilities</t>
  </si>
  <si>
    <t>22 67 13</t>
  </si>
  <si>
    <t>Processed Water Piping for Laboratory and Healthcare Facilities</t>
  </si>
  <si>
    <t>22 67 13.13</t>
  </si>
  <si>
    <t>Distilled-Water Piping</t>
  </si>
  <si>
    <t>22 67 13.16</t>
  </si>
  <si>
    <t>Reverse-Osmosis Water Piping</t>
  </si>
  <si>
    <t>22 67 13.19</t>
  </si>
  <si>
    <t>Deionized-Water Piping</t>
  </si>
  <si>
    <t>22 67 19</t>
  </si>
  <si>
    <t>Processed Water Equipment for Laboratory and Healthcare Facilities</t>
  </si>
  <si>
    <t>22 67 19.13</t>
  </si>
  <si>
    <t>Distilled-Water Equipment</t>
  </si>
  <si>
    <t>22 67 19.16</t>
  </si>
  <si>
    <t>Reverse-Osmosis Water Equipment</t>
  </si>
  <si>
    <t>22 67 19.19</t>
  </si>
  <si>
    <t>Deionized-Water Equipment</t>
  </si>
  <si>
    <t>23 00 00</t>
  </si>
  <si>
    <t>Heating, Ventilating, and Air Conditioning (HVAC)</t>
  </si>
  <si>
    <t>23 01 00</t>
  </si>
  <si>
    <t>Operation and Maintenance of HVAC Systems</t>
  </si>
  <si>
    <t>23 01 10</t>
  </si>
  <si>
    <t>Operation and Maintenance of Facility Fuel Systems</t>
  </si>
  <si>
    <t>23 01 20</t>
  </si>
  <si>
    <t>Operation and Maintenance of HVAC Piping and Pumps</t>
  </si>
  <si>
    <t>23 01 30</t>
  </si>
  <si>
    <t>Operation and Maintenance of HVAC Air Distribution</t>
  </si>
  <si>
    <t>23 01 30.51</t>
  </si>
  <si>
    <t>HVAC Air-Distribution System Cleaning</t>
  </si>
  <si>
    <t>23 01 50</t>
  </si>
  <si>
    <t>Operation and Maintenance of Central Heating Equipment</t>
  </si>
  <si>
    <t>23 01 60</t>
  </si>
  <si>
    <t>Operation and Maintenance of Central Cooling Equipment</t>
  </si>
  <si>
    <t>23 01 60.71</t>
  </si>
  <si>
    <t>Refrigerant Recovery/Recycling</t>
  </si>
  <si>
    <t>23 01 70</t>
  </si>
  <si>
    <t>Operation and Maintenance of Central HVAC Equipment</t>
  </si>
  <si>
    <t>23 01 80</t>
  </si>
  <si>
    <t>Operation and Maintenance of Decentralized HVAC Equipment</t>
  </si>
  <si>
    <t>23 01 90</t>
  </si>
  <si>
    <t>Diagnostic Systems for HVAC</t>
  </si>
  <si>
    <t>23 05 00</t>
  </si>
  <si>
    <t>Common Work Results for HVAC</t>
  </si>
  <si>
    <t>23 05 13</t>
  </si>
  <si>
    <t>Common Motor Requirements for HVAC Equipment</t>
  </si>
  <si>
    <t>23 05 16</t>
  </si>
  <si>
    <t>Expansion Fittings and Loops for HVAC Piping</t>
  </si>
  <si>
    <t>23 05 19</t>
  </si>
  <si>
    <t>Meters and Gages for HVAC Piping</t>
  </si>
  <si>
    <t>23 05 23</t>
  </si>
  <si>
    <t>General-Duty Valves for HVAC Piping</t>
  </si>
  <si>
    <t>23 05 29</t>
  </si>
  <si>
    <t>Hangers and Supports for HVAC Piping and Equipment</t>
  </si>
  <si>
    <t>23 05 33</t>
  </si>
  <si>
    <t>Heat Tracing for HVAC Piping</t>
  </si>
  <si>
    <t>23 05 48</t>
  </si>
  <si>
    <t>Vibration and Seismic Controls for HVAC</t>
  </si>
  <si>
    <t>23 05 53</t>
  </si>
  <si>
    <t>Identification for HVAC Piping and Equipment</t>
  </si>
  <si>
    <t>23 05 63</t>
  </si>
  <si>
    <t>Anti-Microbial Coatings for HVAC Ducts and Equipment</t>
  </si>
  <si>
    <t>23 05 66</t>
  </si>
  <si>
    <t>Anti-Microbial Ultraviolet Emitters for HVAC Ducts and Equipment</t>
  </si>
  <si>
    <t>23 05 93</t>
  </si>
  <si>
    <t>Testing, Adjusting, and Balancing for HVAC</t>
  </si>
  <si>
    <t>23 06 00</t>
  </si>
  <si>
    <t>Schedules for HVAC</t>
  </si>
  <si>
    <t>23 06 10</t>
  </si>
  <si>
    <t>Schedules for Facility Fuel Service Systems</t>
  </si>
  <si>
    <t>23 06 20</t>
  </si>
  <si>
    <t>Schedules for HVAC Piping and Pumps</t>
  </si>
  <si>
    <t>23 06 20.13</t>
  </si>
  <si>
    <t>Hydronic Pump Schedule</t>
  </si>
  <si>
    <t>23 06 30</t>
  </si>
  <si>
    <t>Schedules for HVAC Air Distribution</t>
  </si>
  <si>
    <t>23 06 30.13</t>
  </si>
  <si>
    <t>HVAC Fan Schedule</t>
  </si>
  <si>
    <t>23 06 30.16</t>
  </si>
  <si>
    <t>Air Terminal Unit Schedule</t>
  </si>
  <si>
    <t>23 06 30.19</t>
  </si>
  <si>
    <t>Air Outlet and Inlet Schedule</t>
  </si>
  <si>
    <t>23 06 30.23</t>
  </si>
  <si>
    <t>HVAC Air Cleaning Device Schedule</t>
  </si>
  <si>
    <t>23 06 50</t>
  </si>
  <si>
    <t>Schedules for Central Heating Equipment</t>
  </si>
  <si>
    <t>23 06 50.13</t>
  </si>
  <si>
    <t>Heating Boiler Schedule</t>
  </si>
  <si>
    <t>23 06 60</t>
  </si>
  <si>
    <t>Schedules for Central Cooling Equipment</t>
  </si>
  <si>
    <t>23 06 60.13</t>
  </si>
  <si>
    <t>Refrigerant Condenser Schedule</t>
  </si>
  <si>
    <t>23 06 60.16</t>
  </si>
  <si>
    <t>Packaged Water Chiller Schedule</t>
  </si>
  <si>
    <t>23 06 70</t>
  </si>
  <si>
    <t>Schedules for Central HVAC Equipment</t>
  </si>
  <si>
    <t>23 06 70.13</t>
  </si>
  <si>
    <t>Indoor, Central-Station Air-Handling Unit Schedule</t>
  </si>
  <si>
    <t>23 06 70.16</t>
  </si>
  <si>
    <t>Packaged Outdoor HVAC Equipment Schedule</t>
  </si>
  <si>
    <t>23 06 80</t>
  </si>
  <si>
    <t>Schedules for Decentralized HVAC Equipment</t>
  </si>
  <si>
    <t>23 06 80.13</t>
  </si>
  <si>
    <t>Decentralized Unitary HVAC Equipment Schedule</t>
  </si>
  <si>
    <t>23 06 80.16</t>
  </si>
  <si>
    <t>Convection Heating and Cooling Unit Schedule</t>
  </si>
  <si>
    <t>23 06 80.19</t>
  </si>
  <si>
    <t>Radiant Heating Unit Schedule</t>
  </si>
  <si>
    <t>23 07 00</t>
  </si>
  <si>
    <t>HVAC Insulation</t>
  </si>
  <si>
    <t>23 07 13</t>
  </si>
  <si>
    <t>Duct Insulation</t>
  </si>
  <si>
    <t>23 07 16</t>
  </si>
  <si>
    <t>HVAC Equipment Insulation</t>
  </si>
  <si>
    <t>23 07 19</t>
  </si>
  <si>
    <t>HVAC Piping Insulation</t>
  </si>
  <si>
    <t>23 08 00</t>
  </si>
  <si>
    <t>Commissioning of HVAC</t>
  </si>
  <si>
    <t>23 09 00</t>
  </si>
  <si>
    <t>Instrumentation and Control for HVAC</t>
  </si>
  <si>
    <t>23 09 13</t>
  </si>
  <si>
    <t>Instrumentation and Control Devices for HVAC</t>
  </si>
  <si>
    <t>23 09 13.13</t>
  </si>
  <si>
    <t>Actuators and Operators</t>
  </si>
  <si>
    <t>23 09 13.23</t>
  </si>
  <si>
    <t>Sensors and Transmitters</t>
  </si>
  <si>
    <t>23 09 13.33</t>
  </si>
  <si>
    <t>Control Valves</t>
  </si>
  <si>
    <t>23 09 13.43</t>
  </si>
  <si>
    <t>Control Dampers</t>
  </si>
  <si>
    <t>23 09 23</t>
  </si>
  <si>
    <t>Direct-Digital Control System for HVAC</t>
  </si>
  <si>
    <t>23 09 33</t>
  </si>
  <si>
    <t>Electric and Electronic Control System for HVAC</t>
  </si>
  <si>
    <t>23 09 43</t>
  </si>
  <si>
    <t>Pneumatic Control System for HVAC</t>
  </si>
  <si>
    <t>23 09 53</t>
  </si>
  <si>
    <t>Pneumatic and Electric Control System for HVAC</t>
  </si>
  <si>
    <t>23 09 93</t>
  </si>
  <si>
    <t>Sequence of Operations for HVAC Controls</t>
  </si>
  <si>
    <t>23 10 00</t>
  </si>
  <si>
    <t>Facility Fuel Systems</t>
  </si>
  <si>
    <t>23 11 00</t>
  </si>
  <si>
    <t>Facility Fuel Piping</t>
  </si>
  <si>
    <t>23 11 13</t>
  </si>
  <si>
    <t>Facility Fuel-Oil Piping</t>
  </si>
  <si>
    <t>23 11 16</t>
  </si>
  <si>
    <t>Facility Gasoline Piping</t>
  </si>
  <si>
    <t>23 11 23</t>
  </si>
  <si>
    <t>Facility Natural-Gas Piping</t>
  </si>
  <si>
    <t>23 11 26</t>
  </si>
  <si>
    <t>Facility Liquefied-Petroleum Gas Piping</t>
  </si>
  <si>
    <t>23 12 00</t>
  </si>
  <si>
    <t>Facility Fuel Pumps</t>
  </si>
  <si>
    <t>23 12 13</t>
  </si>
  <si>
    <t>Facility Fuel-Oil Pumps</t>
  </si>
  <si>
    <t>23 12 16</t>
  </si>
  <si>
    <t>Facility Gasoline Dispensing Pumps</t>
  </si>
  <si>
    <t>23 13 00</t>
  </si>
  <si>
    <t>Facility Fuel-Storage Tanks</t>
  </si>
  <si>
    <t>23 13 13</t>
  </si>
  <si>
    <t>Facility Underground Fuel-Oil, Storage Tanks</t>
  </si>
  <si>
    <t>23 13 13.13</t>
  </si>
  <si>
    <t>Double-Wall Steel, Underground Fuel-Oil, Storage Tanks</t>
  </si>
  <si>
    <t>23 13 13.16</t>
  </si>
  <si>
    <t>Composite, Steel, Underground Fuel-Oil, Storage Tanks</t>
  </si>
  <si>
    <t>23 13 13.19</t>
  </si>
  <si>
    <t>Jacketed, Steel, Underground Fuel-Oil, Storage Tanks</t>
  </si>
  <si>
    <t>23 13 13.23</t>
  </si>
  <si>
    <t>Glass-Fiber-Reinforced-Plastic, Underground Fuel-Oil, Storage Tanks</t>
  </si>
  <si>
    <t>23 13 13.33</t>
  </si>
  <si>
    <t>Fuel-Oil Storage Tank Pumps</t>
  </si>
  <si>
    <t>23 13 23</t>
  </si>
  <si>
    <t>Facility Aboveground Fuel-Oil, Storage Tanks</t>
  </si>
  <si>
    <t>23 13 23.13</t>
  </si>
  <si>
    <t>Vertical, Steel, Aboveground Fuel-Oil, Storage Tanks</t>
  </si>
  <si>
    <t>23 13 23.16</t>
  </si>
  <si>
    <t>Horizontal, Steel, Aboveground Fuel-Oil, Storage Tanks</t>
  </si>
  <si>
    <t>23 13 23.19</t>
  </si>
  <si>
    <t>Containment-Dike, Steel, Aboveground Fuel-Oil, Storage Tanks</t>
  </si>
  <si>
    <t>23 13 23.23</t>
  </si>
  <si>
    <t>Insulated, Steel, Aboveground Fuel-Oil, Storage Tanks</t>
  </si>
  <si>
    <t>23 13 23.26</t>
  </si>
  <si>
    <t>Concrete-Vaulted, Steel, Aboveground Fuel-Oil, Storage Tanks</t>
  </si>
  <si>
    <t>23 20 00</t>
  </si>
  <si>
    <t>HVAC Piping and Pumps</t>
  </si>
  <si>
    <t>23 21 00</t>
  </si>
  <si>
    <t>Hydronic Piping and Pumps</t>
  </si>
  <si>
    <t>23 21 13</t>
  </si>
  <si>
    <t>Hydronic Piping</t>
  </si>
  <si>
    <t>23 21 13.13</t>
  </si>
  <si>
    <t>Underground Hydronic Piping</t>
  </si>
  <si>
    <t>23 21 13.23</t>
  </si>
  <si>
    <t>Aboveground Hydronic Piping</t>
  </si>
  <si>
    <t>23 21 13.33</t>
  </si>
  <si>
    <t>Ground-Loop Heat-Pump Piping</t>
  </si>
  <si>
    <t>23 21 16</t>
  </si>
  <si>
    <t>Hydronic Piping Specialties</t>
  </si>
  <si>
    <t>23 21 23</t>
  </si>
  <si>
    <t>Hydronic Pumps</t>
  </si>
  <si>
    <t>23 21 23.13</t>
  </si>
  <si>
    <t>In-Line Centrifugal Hydronic Pumps</t>
  </si>
  <si>
    <t>23 21 23.16</t>
  </si>
  <si>
    <t>Base-Mounted, Centrifugal Hydronic Pumps</t>
  </si>
  <si>
    <t>23 21 23.19</t>
  </si>
  <si>
    <t>Vertical-Mounted, Double-Suction Centrifugal Hydronic Pumps</t>
  </si>
  <si>
    <t>23 21 23.23</t>
  </si>
  <si>
    <t>Vertical-Turbine Hydronic Pumps</t>
  </si>
  <si>
    <t>23 21 29</t>
  </si>
  <si>
    <t>Automatic Condensate Pump Units</t>
  </si>
  <si>
    <t>23 22 00</t>
  </si>
  <si>
    <t>Steam and Condensate Piping and Pumps</t>
  </si>
  <si>
    <t>23 22 13</t>
  </si>
  <si>
    <t>Steam and Condensate Heating Piping</t>
  </si>
  <si>
    <t>23 22 13.13</t>
  </si>
  <si>
    <t>Underground Steam and Condensate Heating Piping</t>
  </si>
  <si>
    <t>23 22 13.23</t>
  </si>
  <si>
    <t>Aboveground Steam and Condensate Heating Piping</t>
  </si>
  <si>
    <t>23 22 16</t>
  </si>
  <si>
    <t>Steam and Condensate Heating Piping Specialties</t>
  </si>
  <si>
    <t>23 22 23</t>
  </si>
  <si>
    <t>Steam Condensate Pumps</t>
  </si>
  <si>
    <t>23 22 23.13</t>
  </si>
  <si>
    <t>Electric-Driven Steam Condensate Pumps</t>
  </si>
  <si>
    <t>23 22 23.23</t>
  </si>
  <si>
    <t>Pressure-Powered Steam Condensate Pumps</t>
  </si>
  <si>
    <t>23 23 00</t>
  </si>
  <si>
    <t>Refrigerant Piping</t>
  </si>
  <si>
    <t>23 23 13</t>
  </si>
  <si>
    <t>Refrigerant Piping Valves</t>
  </si>
  <si>
    <t>23 23 16</t>
  </si>
  <si>
    <t>Refrigerant Piping Specialties</t>
  </si>
  <si>
    <t>23 23 19</t>
  </si>
  <si>
    <t>Refrigerant Safety Relief Valve Discharge Piping</t>
  </si>
  <si>
    <t>23 23 23</t>
  </si>
  <si>
    <t>Refrigerants</t>
  </si>
  <si>
    <t>23 24 00</t>
  </si>
  <si>
    <t>Internal-Combustion Engine Piping</t>
  </si>
  <si>
    <t>23 24 13</t>
  </si>
  <si>
    <t>Internal-Combustion Engine Remote-Radiator Coolant Piping</t>
  </si>
  <si>
    <t>23 24 16</t>
  </si>
  <si>
    <t>Internal-Combustion Engine Exhaust Piping</t>
  </si>
  <si>
    <t>23 25 00</t>
  </si>
  <si>
    <t>HVAC Water Treatment</t>
  </si>
  <si>
    <t>23 25 13</t>
  </si>
  <si>
    <t>Water Treatment for Closed-Loop Hydronic Systems</t>
  </si>
  <si>
    <t>23 25 16</t>
  </si>
  <si>
    <t>Water Treatment for Open Hydronic Systems</t>
  </si>
  <si>
    <t>23 25 19</t>
  </si>
  <si>
    <t>Water Treatment for Steam System Feedwater</t>
  </si>
  <si>
    <t>23 25 23</t>
  </si>
  <si>
    <t>Water Treatment for Humidification Steam System Feedwater</t>
  </si>
  <si>
    <t>23 30 00</t>
  </si>
  <si>
    <t>HVAC Air Distribution</t>
  </si>
  <si>
    <t>23 31 00</t>
  </si>
  <si>
    <t>HVAC Ducts and Casings</t>
  </si>
  <si>
    <t>23 31 13</t>
  </si>
  <si>
    <t>Metal Ducts</t>
  </si>
  <si>
    <t>23 31 13.13</t>
  </si>
  <si>
    <t>Rectangular Metal Ducts</t>
  </si>
  <si>
    <t>23 31 13.16</t>
  </si>
  <si>
    <t>Round and Flat-Oval Spiral Ducts</t>
  </si>
  <si>
    <t>23 31 13.19</t>
  </si>
  <si>
    <t>Metal Duct Fittings</t>
  </si>
  <si>
    <t>23 31 16</t>
  </si>
  <si>
    <t>Nonmetal Ducts</t>
  </si>
  <si>
    <t>23 31 16.13</t>
  </si>
  <si>
    <t>Fibrous-Glass Ducts</t>
  </si>
  <si>
    <t>23 31 16.16</t>
  </si>
  <si>
    <t>Thermoset Fiberglass-Reinforced Plastic Ducts</t>
  </si>
  <si>
    <t>23 31 16.19</t>
  </si>
  <si>
    <t>PVC Ducts</t>
  </si>
  <si>
    <t>23 31 16.26</t>
  </si>
  <si>
    <t>Concrete Ducts</t>
  </si>
  <si>
    <t>23 31 19</t>
  </si>
  <si>
    <t>HVAC Casings</t>
  </si>
  <si>
    <t>23 32 00</t>
  </si>
  <si>
    <t>Air Plenums and Chases</t>
  </si>
  <si>
    <t>23 32 13</t>
  </si>
  <si>
    <t>Fabricated, Metal Air Plenums</t>
  </si>
  <si>
    <t>23 32 33</t>
  </si>
  <si>
    <t>Air-Distribution Ceiling Plenums</t>
  </si>
  <si>
    <t>23 32 36</t>
  </si>
  <si>
    <t>Air-Distribution Floor Plenums</t>
  </si>
  <si>
    <t>23 32 39</t>
  </si>
  <si>
    <t>Air-Distribution Wall Plenums</t>
  </si>
  <si>
    <t>23 32 43</t>
  </si>
  <si>
    <t>Air-Distribution Chases Formed by General Construction</t>
  </si>
  <si>
    <t>23 32 48</t>
  </si>
  <si>
    <t>Acoustical Air Plenums</t>
  </si>
  <si>
    <t>23 33 00</t>
  </si>
  <si>
    <t>Air Duct Accessories</t>
  </si>
  <si>
    <t>23 33 13</t>
  </si>
  <si>
    <t>Dampers</t>
  </si>
  <si>
    <t>23 33 13.13</t>
  </si>
  <si>
    <t>Volume-Control Dampers</t>
  </si>
  <si>
    <t>23 33 13.16</t>
  </si>
  <si>
    <t>Fire Dampers</t>
  </si>
  <si>
    <t>23 33 13.19</t>
  </si>
  <si>
    <t>Smoke-Control Dampers</t>
  </si>
  <si>
    <t>23 33 13.23</t>
  </si>
  <si>
    <t>Backdraft Dampers</t>
  </si>
  <si>
    <t>23 33 19</t>
  </si>
  <si>
    <t>Duct Silencers</t>
  </si>
  <si>
    <t>23 33 23</t>
  </si>
  <si>
    <t>Turning Vanes</t>
  </si>
  <si>
    <t>23 33 33</t>
  </si>
  <si>
    <t>Duct-Mounting Access Doors</t>
  </si>
  <si>
    <t>23 33 43</t>
  </si>
  <si>
    <t>Flexible Connectors</t>
  </si>
  <si>
    <t>23 33 46</t>
  </si>
  <si>
    <t>Flexible Ducts</t>
  </si>
  <si>
    <t>23 33 53</t>
  </si>
  <si>
    <t>Duct Liners</t>
  </si>
  <si>
    <t>23 34 00</t>
  </si>
  <si>
    <t>HVAC Fans</t>
  </si>
  <si>
    <t>23 34 13</t>
  </si>
  <si>
    <t>Axial HVAC Fans</t>
  </si>
  <si>
    <t>23 34 16</t>
  </si>
  <si>
    <t>Centrifugal HVAC Fans</t>
  </si>
  <si>
    <t>23 34 23</t>
  </si>
  <si>
    <t>HVAC Power Ventilators</t>
  </si>
  <si>
    <t>23 34 33</t>
  </si>
  <si>
    <t>Air Curtains</t>
  </si>
  <si>
    <t>23 35 00</t>
  </si>
  <si>
    <t>Special Exhaust Systems</t>
  </si>
  <si>
    <t>23 35 13</t>
  </si>
  <si>
    <t>Dust Collection Systems</t>
  </si>
  <si>
    <t>23 35 13.13</t>
  </si>
  <si>
    <t>Sawdust Collection Systems</t>
  </si>
  <si>
    <t>23 35 16</t>
  </si>
  <si>
    <t>Engine Exhaust Systems</t>
  </si>
  <si>
    <t>23 35 16.13</t>
  </si>
  <si>
    <t>Positive-Pressure Engine Exhaust Systems</t>
  </si>
  <si>
    <t>23 35 16.16</t>
  </si>
  <si>
    <t>Mechanical Engine Exhaust Systems</t>
  </si>
  <si>
    <t>23 36 00</t>
  </si>
  <si>
    <t>Air Terminal Units</t>
  </si>
  <si>
    <t>23 36 13</t>
  </si>
  <si>
    <t>Constant-Air-Volume Units</t>
  </si>
  <si>
    <t>23 36 16</t>
  </si>
  <si>
    <t>Variable-Air-Volume Units</t>
  </si>
  <si>
    <t>23 37 00</t>
  </si>
  <si>
    <t>Air Outlets and Inlets</t>
  </si>
  <si>
    <t>23 37 13</t>
  </si>
  <si>
    <t>Diffusers, Registers, and Grilles</t>
  </si>
  <si>
    <t>23 37 16</t>
  </si>
  <si>
    <t>Fabric Air Distribution Devices</t>
  </si>
  <si>
    <t>23 37 23</t>
  </si>
  <si>
    <t>HVAC Gravity Ventilators</t>
  </si>
  <si>
    <t>23 37 23.13</t>
  </si>
  <si>
    <t>HVAC Gravity Dome Ventilators</t>
  </si>
  <si>
    <t>23 37 23.16</t>
  </si>
  <si>
    <t>HVAC Gravity Louvered-Penthouse Ventilators</t>
  </si>
  <si>
    <t>23 37 23.19</t>
  </si>
  <si>
    <t>HVAC Gravity Upblast Ventilators</t>
  </si>
  <si>
    <t>23 38 00</t>
  </si>
  <si>
    <t>Ventilation Hoods</t>
  </si>
  <si>
    <t>23 38 13</t>
  </si>
  <si>
    <t>Commercial-Kitchen Hoods</t>
  </si>
  <si>
    <t>23 38 13.13</t>
  </si>
  <si>
    <t>Listed Commercial-Kitchen Hoods</t>
  </si>
  <si>
    <t>23 38 13.16</t>
  </si>
  <si>
    <t>Standard Commercial-Kitchen Hoods</t>
  </si>
  <si>
    <t>23 38 16</t>
  </si>
  <si>
    <t>Fume Hoods</t>
  </si>
  <si>
    <t>23 40 00</t>
  </si>
  <si>
    <t>HVAC Air Cleaning Devices</t>
  </si>
  <si>
    <t>23 41 00</t>
  </si>
  <si>
    <t>Particulate Air Filtration</t>
  </si>
  <si>
    <t>23 41 13</t>
  </si>
  <si>
    <t>Panel Air Filters</t>
  </si>
  <si>
    <t>23 41 16</t>
  </si>
  <si>
    <t>Renewable-Media Air Filters</t>
  </si>
  <si>
    <t>23 41 19</t>
  </si>
  <si>
    <t>Washable Air Filters</t>
  </si>
  <si>
    <t>23 41 23</t>
  </si>
  <si>
    <t>Extended Surface Filters</t>
  </si>
  <si>
    <t>23 41 33</t>
  </si>
  <si>
    <t>High-Efficiency Particulate Filtration</t>
  </si>
  <si>
    <t>23 41 43</t>
  </si>
  <si>
    <t>Ultra-Low Penetration Filtration</t>
  </si>
  <si>
    <t>23 41 46</t>
  </si>
  <si>
    <t>Super Ultra-Low Penetration Filtration</t>
  </si>
  <si>
    <t>23 42 00</t>
  </si>
  <si>
    <t>Gas-Phase Air Filtration</t>
  </si>
  <si>
    <t>23 42 13</t>
  </si>
  <si>
    <t>Activated-Carbon Air Filtration</t>
  </si>
  <si>
    <t>23 42 16</t>
  </si>
  <si>
    <t>Chemically-Impregnated Adsorption Air Filtration</t>
  </si>
  <si>
    <t>23 42 19</t>
  </si>
  <si>
    <t>Catalytic-Adsorption Air Filtration</t>
  </si>
  <si>
    <t>23 43 00</t>
  </si>
  <si>
    <t>Electronic Air Cleaners</t>
  </si>
  <si>
    <t>23 43 13</t>
  </si>
  <si>
    <t>Washable Electronic Air Cleaners</t>
  </si>
  <si>
    <t>23 43 16</t>
  </si>
  <si>
    <t>Agglomerator Electronic Air Cleaners</t>
  </si>
  <si>
    <t>23 43 23</t>
  </si>
  <si>
    <t>Self-Contained Electronic Air Cleaners</t>
  </si>
  <si>
    <t>23 50 00</t>
  </si>
  <si>
    <t>Central Heating Equipment</t>
  </si>
  <si>
    <t>23 51 00</t>
  </si>
  <si>
    <t>Breechings, Chimneys, and Stacks</t>
  </si>
  <si>
    <t>23 51 13</t>
  </si>
  <si>
    <t>Draft Control Devices</t>
  </si>
  <si>
    <t>23 51 13.13</t>
  </si>
  <si>
    <t>Draft-Induction Fans</t>
  </si>
  <si>
    <t>23 51 13.16</t>
  </si>
  <si>
    <t>Vent Dampers</t>
  </si>
  <si>
    <t>23 51 13.19</t>
  </si>
  <si>
    <t>Barometric Dampers</t>
  </si>
  <si>
    <t>23 51 16</t>
  </si>
  <si>
    <t>Fabricated Breechings and Accessories</t>
  </si>
  <si>
    <t>23 51 19</t>
  </si>
  <si>
    <t>Fabricated Stacks</t>
  </si>
  <si>
    <t>23 51 23</t>
  </si>
  <si>
    <t>Gas Vents</t>
  </si>
  <si>
    <t>23 51 33</t>
  </si>
  <si>
    <t>Insulated Sectional Chimneys</t>
  </si>
  <si>
    <t>23 51 43</t>
  </si>
  <si>
    <t>Flue-Gas Filtration Equipment</t>
  </si>
  <si>
    <t>23 51 43.13</t>
  </si>
  <si>
    <t>Gaseous Filtration</t>
  </si>
  <si>
    <t>23 51 43.16</t>
  </si>
  <si>
    <t>Particulate Filtration</t>
  </si>
  <si>
    <t>23 52 00</t>
  </si>
  <si>
    <t>Heating Boilers</t>
  </si>
  <si>
    <t>23 52 13</t>
  </si>
  <si>
    <t>Electric Boilers</t>
  </si>
  <si>
    <t>23 52 16</t>
  </si>
  <si>
    <t>Condensing Boilers</t>
  </si>
  <si>
    <t>23 52 16.13</t>
  </si>
  <si>
    <t>Stainless-Steel Condensing Boilers</t>
  </si>
  <si>
    <t>23 52 16.16</t>
  </si>
  <si>
    <t>Aluminum Condensing Boilers</t>
  </si>
  <si>
    <t>23 52 17</t>
  </si>
  <si>
    <t>Low Mass Boilers</t>
  </si>
  <si>
    <t>23 52 19</t>
  </si>
  <si>
    <t>Pulse Combustion Boilers</t>
  </si>
  <si>
    <t>23 52 23</t>
  </si>
  <si>
    <t>Cast-Iron Boilers</t>
  </si>
  <si>
    <t>23 52 33</t>
  </si>
  <si>
    <t>Water-Tube Boilers</t>
  </si>
  <si>
    <t>23 52 33.13</t>
  </si>
  <si>
    <t>Finned Water-Tube Boilers</t>
  </si>
  <si>
    <t>23 52 33.16</t>
  </si>
  <si>
    <t>Steel Water-Tube Boilers</t>
  </si>
  <si>
    <t>23 52 33.19</t>
  </si>
  <si>
    <t>Copper Water-Tube Boilers</t>
  </si>
  <si>
    <t>23 52 39</t>
  </si>
  <si>
    <t>Fire-Tube Boilers</t>
  </si>
  <si>
    <t>23 52 39.13</t>
  </si>
  <si>
    <t>Scotch Marine Boilers</t>
  </si>
  <si>
    <t>23 52 39.16</t>
  </si>
  <si>
    <t>Steel Fire-Tube Boilers</t>
  </si>
  <si>
    <t>23 52 83</t>
  </si>
  <si>
    <t>Boiler Blowdown Systems</t>
  </si>
  <si>
    <t>23 53 00</t>
  </si>
  <si>
    <t>Heating Boiler Feedwater Equipment</t>
  </si>
  <si>
    <t>23 53 13</t>
  </si>
  <si>
    <t>Boiler Feedwater Pumps</t>
  </si>
  <si>
    <t>23 53 16</t>
  </si>
  <si>
    <t>Deaerators</t>
  </si>
  <si>
    <t>23 54 00</t>
  </si>
  <si>
    <t>Furnaces</t>
  </si>
  <si>
    <t>23 54 13</t>
  </si>
  <si>
    <t>Electric-Resistance Furnaces</t>
  </si>
  <si>
    <t>23 54 16</t>
  </si>
  <si>
    <t>Fuel-Fired Furnaces</t>
  </si>
  <si>
    <t>23 54 16.13</t>
  </si>
  <si>
    <t>Gas-Fired Furnaces</t>
  </si>
  <si>
    <t>23 54 16.16</t>
  </si>
  <si>
    <t>Oil-Fired Furnaces</t>
  </si>
  <si>
    <t>23 55 00</t>
  </si>
  <si>
    <t>Fuel-Fired Heaters</t>
  </si>
  <si>
    <t>23 55 13</t>
  </si>
  <si>
    <t>Fuel-Fired Duct Heaters</t>
  </si>
  <si>
    <t>23 55 13.13</t>
  </si>
  <si>
    <t>Oil-Fired Duct Heaters</t>
  </si>
  <si>
    <t>23 55 13.16</t>
  </si>
  <si>
    <t>Gas-Fired Duct Heaters</t>
  </si>
  <si>
    <t>23 55 23</t>
  </si>
  <si>
    <t>Gas-Fired Radiant Heaters</t>
  </si>
  <si>
    <t>23 55 33</t>
  </si>
  <si>
    <t>Fuel-Fired Unit Heaters</t>
  </si>
  <si>
    <t>23 55 33.13</t>
  </si>
  <si>
    <t>Oil-Fired Unit Heaters</t>
  </si>
  <si>
    <t>23 55 33.16</t>
  </si>
  <si>
    <t>Gas-Fired Unit Heaters</t>
  </si>
  <si>
    <t>23 56 00</t>
  </si>
  <si>
    <t>Solar Energy Heating Equipment</t>
  </si>
  <si>
    <t>23 56 13</t>
  </si>
  <si>
    <t>Heating Solar Collectors</t>
  </si>
  <si>
    <t>23 56 13.13</t>
  </si>
  <si>
    <t>Heating Solar Flat-Plate Collectors</t>
  </si>
  <si>
    <t>23 56 13.16</t>
  </si>
  <si>
    <t>Heating Solar Concentrating Collectors</t>
  </si>
  <si>
    <t>23 56 13.19</t>
  </si>
  <si>
    <t>Heating Solar Vacuum-Tube Collectors</t>
  </si>
  <si>
    <t>23 56 16</t>
  </si>
  <si>
    <t>Packaged Solar Heating Equipment</t>
  </si>
  <si>
    <t>23 57 00</t>
  </si>
  <si>
    <t>Heat Exchangers for HVAC</t>
  </si>
  <si>
    <t>23 57 13</t>
  </si>
  <si>
    <t>Steam-to-Steam Heat Exchangers</t>
  </si>
  <si>
    <t>23 57 16</t>
  </si>
  <si>
    <t>Steam-to-Water Heat Exchangers</t>
  </si>
  <si>
    <t>23 57 19</t>
  </si>
  <si>
    <t>Liquid-to-Liquid Heat Exchangers</t>
  </si>
  <si>
    <t>23 57 19.13</t>
  </si>
  <si>
    <t>Plate-Type, Liquid-to-Liquid Heat Exchangers</t>
  </si>
  <si>
    <t>23 57 19.16</t>
  </si>
  <si>
    <t>Shell-Type, Liquid-to-Liquid Heat Exchangers</t>
  </si>
  <si>
    <t>23 57 33</t>
  </si>
  <si>
    <t>Direct Geoexchange Heat Exchangers</t>
  </si>
  <si>
    <t>23 60 00</t>
  </si>
  <si>
    <t>Central Cooling Equipment</t>
  </si>
  <si>
    <t>23 61 00</t>
  </si>
  <si>
    <t>Refrigerant Compressors</t>
  </si>
  <si>
    <t>23 61 13</t>
  </si>
  <si>
    <t>Centrifugal Refrigerant Compressors</t>
  </si>
  <si>
    <t>23 61 13.13</t>
  </si>
  <si>
    <t>Non-Condensable Gas Purge Equipment</t>
  </si>
  <si>
    <t>23 61 16</t>
  </si>
  <si>
    <t>Reciprocating Refrigerant Compressors</t>
  </si>
  <si>
    <t>23 61 19</t>
  </si>
  <si>
    <t>Scroll Refrigerant Compressors</t>
  </si>
  <si>
    <t>23 61 23</t>
  </si>
  <si>
    <t>Rotary-Screw Refrigerant Compressors</t>
  </si>
  <si>
    <t>23 62 00</t>
  </si>
  <si>
    <t>Packaged Compressor and Condenser Units</t>
  </si>
  <si>
    <t>23 62 13</t>
  </si>
  <si>
    <t>Packaged Air-Cooled Refrigerant Compressor and Condenser Units</t>
  </si>
  <si>
    <t>23 62 23</t>
  </si>
  <si>
    <t>Packaged Water-Cooled Refrigerant Compressor and Condenser Units</t>
  </si>
  <si>
    <t>23 63 00</t>
  </si>
  <si>
    <t>Refrigerant Condensers</t>
  </si>
  <si>
    <t>23 63 13</t>
  </si>
  <si>
    <t>Air-Cooled Refrigerant Condensers</t>
  </si>
  <si>
    <t>23 63 23</t>
  </si>
  <si>
    <t>Water-Cooled Refrigerant Condensers</t>
  </si>
  <si>
    <t>23 63 33</t>
  </si>
  <si>
    <t>Evaporative Refrigerant Condensers</t>
  </si>
  <si>
    <t>23 64 00</t>
  </si>
  <si>
    <t>Packaged Water Chillers</t>
  </si>
  <si>
    <t>23 64 13</t>
  </si>
  <si>
    <t>Absorption Water Chillers</t>
  </si>
  <si>
    <t>23 64 13.13</t>
  </si>
  <si>
    <t>Direct-Fired Absorption Water Chillers</t>
  </si>
  <si>
    <t>23 64 13.16</t>
  </si>
  <si>
    <t>Indirect-Fired Absorption Water Chillers</t>
  </si>
  <si>
    <t>23 64 16</t>
  </si>
  <si>
    <t>Centrifugal Water Chillers</t>
  </si>
  <si>
    <t>23 64 16.13</t>
  </si>
  <si>
    <t>Air-Cooled Centrifugal Water Chillers</t>
  </si>
  <si>
    <t>23 64 16.16</t>
  </si>
  <si>
    <t>Water-Cooled Centrifugal Water Chillers</t>
  </si>
  <si>
    <t>23 64 19</t>
  </si>
  <si>
    <t>Reciprocating Water Chillers</t>
  </si>
  <si>
    <t>23 64 23</t>
  </si>
  <si>
    <t>Scroll Water Chillers</t>
  </si>
  <si>
    <t>23 64 26</t>
  </si>
  <si>
    <t>Rotary-Screw Water Chillers</t>
  </si>
  <si>
    <t>23 65 00</t>
  </si>
  <si>
    <t>Cooling Towers</t>
  </si>
  <si>
    <t>23 65 13</t>
  </si>
  <si>
    <t>Forced-Draft Cooling Towers</t>
  </si>
  <si>
    <t>23 65 13.13</t>
  </si>
  <si>
    <t>Open-Circuit, Forced-Draft Cooling Towers</t>
  </si>
  <si>
    <t>23 65 13.16</t>
  </si>
  <si>
    <t>Closed-Circuit, Forced-Draft Cooling Towers</t>
  </si>
  <si>
    <t>23 65 16</t>
  </si>
  <si>
    <t>Natural-Draft Cooling Towers</t>
  </si>
  <si>
    <t>23 65 23</t>
  </si>
  <si>
    <t>Field-Erected Cooling Towers</t>
  </si>
  <si>
    <t>23 65 33</t>
  </si>
  <si>
    <t>Liquid Coolers</t>
  </si>
  <si>
    <t>23 70 00</t>
  </si>
  <si>
    <t>Central HVAC Equipment</t>
  </si>
  <si>
    <t>23 71 00</t>
  </si>
  <si>
    <t>Thermal Storage</t>
  </si>
  <si>
    <t>23 71 13</t>
  </si>
  <si>
    <t>Thermal Heat Storage</t>
  </si>
  <si>
    <t>23 71 13.13</t>
  </si>
  <si>
    <t>Room Storage Heaters for Thermal Storage</t>
  </si>
  <si>
    <t>23 71 13.16</t>
  </si>
  <si>
    <t>Heat-Pump Boosters for Thermal Storage</t>
  </si>
  <si>
    <t>23 71 13.19</t>
  </si>
  <si>
    <t>Central Furnace Heat-Storage Units</t>
  </si>
  <si>
    <t>23 71 13.23</t>
  </si>
  <si>
    <t>Pressurized-Water Thermal Storage Tanks</t>
  </si>
  <si>
    <t>23 71 16</t>
  </si>
  <si>
    <t>Chilled-Water Thermal Storage</t>
  </si>
  <si>
    <t>23 71 19</t>
  </si>
  <si>
    <t>Ice Storage</t>
  </si>
  <si>
    <t>23 71 19.13</t>
  </si>
  <si>
    <t>Internal Ice-on-Coil Thermal Storage</t>
  </si>
  <si>
    <t>23 71 19.16</t>
  </si>
  <si>
    <t>External Ice-on-Coil Thermal Storage</t>
  </si>
  <si>
    <t>23 71 19.19</t>
  </si>
  <si>
    <t>Encapsulated-Ice Thermal Storage</t>
  </si>
  <si>
    <t>23 71 19.23</t>
  </si>
  <si>
    <t>Ice-Harvesting Thermal Storage</t>
  </si>
  <si>
    <t>23 71 19.26</t>
  </si>
  <si>
    <t>Ice-Slurry Thermal Storage</t>
  </si>
  <si>
    <t>23 72 00</t>
  </si>
  <si>
    <t>Air-to-Air Energy Recovery Equipment</t>
  </si>
  <si>
    <t>23 72 13</t>
  </si>
  <si>
    <t>Heat-Wheel Air-to-Air Energy-Recovery Equipment</t>
  </si>
  <si>
    <t>23 72 16</t>
  </si>
  <si>
    <t>Heat-Pipe Air-to-Air Energy-Recovery Equipment</t>
  </si>
  <si>
    <t>23 72 19</t>
  </si>
  <si>
    <t>Fixed-Plate Air-to-Air Energy-Recovery Equipment</t>
  </si>
  <si>
    <t>23 72 23</t>
  </si>
  <si>
    <t>Packaged Air-to-Air Energy-Recovery Units</t>
  </si>
  <si>
    <t>23 73 00</t>
  </si>
  <si>
    <t>Indoor Central-Station Air-Handling Units</t>
  </si>
  <si>
    <t>23 73 13</t>
  </si>
  <si>
    <t>Modular Indoor Central-Station Air-Handling Units</t>
  </si>
  <si>
    <t>23 73 23</t>
  </si>
  <si>
    <t>Custom Indoor Central-Station Air-Handling Units</t>
  </si>
  <si>
    <t>23 73 33</t>
  </si>
  <si>
    <t>Indoor Indirect Fuel-Fired Heating and Ventilating Units</t>
  </si>
  <si>
    <t>23 73 33.13</t>
  </si>
  <si>
    <t>Indoor Indirect Oil-Fired Heating and Ventilating Units</t>
  </si>
  <si>
    <t>23 73 33.16</t>
  </si>
  <si>
    <t>Indoor Indirect Gas-Fired Heating and Ventilating Units</t>
  </si>
  <si>
    <t>23 73 39</t>
  </si>
  <si>
    <t>Indoor, Direct Gas-Fired Heating and Ventilating Units</t>
  </si>
  <si>
    <t>23 74 00</t>
  </si>
  <si>
    <t>Packaged Outdoor HVAC Equipment</t>
  </si>
  <si>
    <t>23 74 13</t>
  </si>
  <si>
    <t>Packaged, Outdoor, Central-Station Air-Handling Units</t>
  </si>
  <si>
    <t>23 74 23</t>
  </si>
  <si>
    <t>Packaged, Outdoor, Heating-Only Makeup-Air Units</t>
  </si>
  <si>
    <t>23 74 23.13</t>
  </si>
  <si>
    <t>Packaged, Direct-Fired, Outdoor, Heating-Only Makeup-Air Units</t>
  </si>
  <si>
    <t>23 74 23.16</t>
  </si>
  <si>
    <t>Packaged, Indirect-Fired, Outdoor, Heating-Only Makeup-Air Units</t>
  </si>
  <si>
    <t>23 74 33</t>
  </si>
  <si>
    <t>Dedicated Outdoor-Air Units</t>
  </si>
  <si>
    <t>23 75 00</t>
  </si>
  <si>
    <t>Custom-Packaged Outdoor HVAC Equipment</t>
  </si>
  <si>
    <t>23 75 13</t>
  </si>
  <si>
    <t>Custom-Packaged, Outdoor, Central-Station Air-Handling Units</t>
  </si>
  <si>
    <t>23 75 23</t>
  </si>
  <si>
    <t>Custom-Packaged, Outdoor, Heating and Ventilating Makeup-Air Units</t>
  </si>
  <si>
    <t>23 75 33</t>
  </si>
  <si>
    <t>Custom-Packaged, Outdoor, Heating and Cooling Makeup Air-Conditioners</t>
  </si>
  <si>
    <t>23 76 00</t>
  </si>
  <si>
    <t>Evaporative Air-Cooling Equipment</t>
  </si>
  <si>
    <t>23 76 13</t>
  </si>
  <si>
    <t>Direct Evaporative Air Coolers</t>
  </si>
  <si>
    <t>23 76 16</t>
  </si>
  <si>
    <t>Indirect Evaporative Air Coolers</t>
  </si>
  <si>
    <t>23 76 19</t>
  </si>
  <si>
    <t>Combined Direct and Indirect Evaporative Air Coolers</t>
  </si>
  <si>
    <t>23 80 00</t>
  </si>
  <si>
    <t>Decentralized HVAC Equipment</t>
  </si>
  <si>
    <t>23 81 00</t>
  </si>
  <si>
    <t>Decentralized Unitary HVAC Equipment</t>
  </si>
  <si>
    <t>23 81 13</t>
  </si>
  <si>
    <t>Packaged Terminal Air-Conditioners</t>
  </si>
  <si>
    <t>23 81 16</t>
  </si>
  <si>
    <t>Room Air-Conditioners</t>
  </si>
  <si>
    <t>23 81 19</t>
  </si>
  <si>
    <t>Self-Contained Air-Conditioners</t>
  </si>
  <si>
    <t>23 81 19.13</t>
  </si>
  <si>
    <t>Small-Capacity Self-Contained Air-Conditioners</t>
  </si>
  <si>
    <t>23 81 19.16</t>
  </si>
  <si>
    <t>Large-Capacity Self-Contained Air-Conditioners</t>
  </si>
  <si>
    <t>23 81 23</t>
  </si>
  <si>
    <t>Computer-Room Air-Conditioners</t>
  </si>
  <si>
    <t>23 81 26</t>
  </si>
  <si>
    <t>Split-System Air-Conditioners</t>
  </si>
  <si>
    <t>23 81 26.13</t>
  </si>
  <si>
    <t>Small-Capacity Split-System Air-Conditioners</t>
  </si>
  <si>
    <t>23 81 26.16</t>
  </si>
  <si>
    <t>Large-Capacity Split-System Air-Conditioners</t>
  </si>
  <si>
    <t>23 81 43</t>
  </si>
  <si>
    <t>Air-Source Unitary Heat Pumps</t>
  </si>
  <si>
    <t>23 81 46</t>
  </si>
  <si>
    <t>Water-Source Unitary Heat Pumps</t>
  </si>
  <si>
    <t>23 82 00</t>
  </si>
  <si>
    <t>Convection Heating and Cooling Units</t>
  </si>
  <si>
    <t>23 82 13</t>
  </si>
  <si>
    <t>Valance Heating and Cooling Units</t>
  </si>
  <si>
    <t>23 82 14</t>
  </si>
  <si>
    <t>Chilled Beams</t>
  </si>
  <si>
    <t>23 82 16</t>
  </si>
  <si>
    <t>Air Coils</t>
  </si>
  <si>
    <t>23 82 19</t>
  </si>
  <si>
    <t>Fan Coil Units</t>
  </si>
  <si>
    <t>23 82 23</t>
  </si>
  <si>
    <t>Unit Ventilators</t>
  </si>
  <si>
    <t>23 82 26</t>
  </si>
  <si>
    <t>Induction Units</t>
  </si>
  <si>
    <t>23 82 29</t>
  </si>
  <si>
    <t>Radiators</t>
  </si>
  <si>
    <t>23 82 33</t>
  </si>
  <si>
    <t>Convectors</t>
  </si>
  <si>
    <t>23 82 36</t>
  </si>
  <si>
    <t>Finned-Tube Radiation Heaters</t>
  </si>
  <si>
    <t>23 82 39</t>
  </si>
  <si>
    <t>Unit Heaters</t>
  </si>
  <si>
    <t>23 82 39.13</t>
  </si>
  <si>
    <t>Cabinet Unit Heaters</t>
  </si>
  <si>
    <t>23 82 39.16</t>
  </si>
  <si>
    <t>Propeller Unit Heaters</t>
  </si>
  <si>
    <t>23 82 39.19</t>
  </si>
  <si>
    <t>Wall and Ceiling Unit Heaters</t>
  </si>
  <si>
    <t>23 82 41</t>
  </si>
  <si>
    <t>Water-to-Water Heat Pumps</t>
  </si>
  <si>
    <t>23 83 00</t>
  </si>
  <si>
    <t>Radiant Heating Units</t>
  </si>
  <si>
    <t>23 83 13</t>
  </si>
  <si>
    <t>Radiant-Heating Electric Cables</t>
  </si>
  <si>
    <t>23 83 16</t>
  </si>
  <si>
    <t>Radiant-Heating Hydronic Piping</t>
  </si>
  <si>
    <t>23 83 23</t>
  </si>
  <si>
    <t>Radiant-Heating Electric Panels</t>
  </si>
  <si>
    <t>23 83 26</t>
  </si>
  <si>
    <t>23 83 33</t>
  </si>
  <si>
    <t>Electric Radiant Heaters</t>
  </si>
  <si>
    <t>23 84 00</t>
  </si>
  <si>
    <t>Humidity Control Equipment</t>
  </si>
  <si>
    <t>23 84 13</t>
  </si>
  <si>
    <t>Humidifiers</t>
  </si>
  <si>
    <t>23 84 13.13</t>
  </si>
  <si>
    <t>Heated-Pan Humidifiers</t>
  </si>
  <si>
    <t>23 84 13.16</t>
  </si>
  <si>
    <t>Wetted-Element Humidifiers</t>
  </si>
  <si>
    <t>23 84 13.19</t>
  </si>
  <si>
    <t>Atomizing Humidifiers</t>
  </si>
  <si>
    <t>23 84 13.23</t>
  </si>
  <si>
    <t>Direct-Steam-Injection Humidifiers</t>
  </si>
  <si>
    <t>23 84 13.26</t>
  </si>
  <si>
    <t>Jacketed, Steam Humidifiers</t>
  </si>
  <si>
    <t>23 84 13.29</t>
  </si>
  <si>
    <t>Self-Contained Steam Humidifiers</t>
  </si>
  <si>
    <t>23 84 13.33</t>
  </si>
  <si>
    <t>Portable Humidifiers</t>
  </si>
  <si>
    <t>23 84 16</t>
  </si>
  <si>
    <t>Mechanical Dehumidification Units</t>
  </si>
  <si>
    <t>23 84 16.13</t>
  </si>
  <si>
    <t>Outdoor, Mechanical Dehumidification Units</t>
  </si>
  <si>
    <t>23 84 16.16</t>
  </si>
  <si>
    <t>Indoor, Mechanical Dehumidification Units</t>
  </si>
  <si>
    <t>23 84 16.33</t>
  </si>
  <si>
    <t>Portable Dehumidifiers</t>
  </si>
  <si>
    <t>23 84 19</t>
  </si>
  <si>
    <t>Desiccant Dehumidification Units</t>
  </si>
  <si>
    <t>25 00 00</t>
  </si>
  <si>
    <t>Integrated Automation</t>
  </si>
  <si>
    <t>25 01 00</t>
  </si>
  <si>
    <t>Operation and Maintenance of Integrated Automation</t>
  </si>
  <si>
    <t>25 01 10</t>
  </si>
  <si>
    <t>Operation and Maintenance of Integrated Automation Network Equipment</t>
  </si>
  <si>
    <t>25 01 20</t>
  </si>
  <si>
    <t>Operation and Maintenance of Integrated Equipment</t>
  </si>
  <si>
    <t>25 01 30</t>
  </si>
  <si>
    <t>Operation and Maintenance of Integrated Automation Instrumentation and Terminal Devices</t>
  </si>
  <si>
    <t>25 01 90</t>
  </si>
  <si>
    <t>Diagnostic Systems for Integrated Automation</t>
  </si>
  <si>
    <t>25 05 00</t>
  </si>
  <si>
    <t>Common Work Results for Integrated Automation</t>
  </si>
  <si>
    <t>25 05 13</t>
  </si>
  <si>
    <t>Conductors and Cables for Integrated Automation</t>
  </si>
  <si>
    <t>25 05 26</t>
  </si>
  <si>
    <t>Grounding and Bonding for Integrated Automation</t>
  </si>
  <si>
    <t>25 05 28</t>
  </si>
  <si>
    <t>Pathways for Integrated Automation</t>
  </si>
  <si>
    <t>25 05 28.29</t>
  </si>
  <si>
    <t>Hangers and Supports for Integrated Automation</t>
  </si>
  <si>
    <t>25 05 28.33</t>
  </si>
  <si>
    <t>Conduits and Backboxes for Integrated Automation</t>
  </si>
  <si>
    <t>25 05 28.36</t>
  </si>
  <si>
    <t>Cable Trays for Integrated Automation</t>
  </si>
  <si>
    <t>25 05 28.39</t>
  </si>
  <si>
    <t>Surface Raceways for Integrated Automation</t>
  </si>
  <si>
    <t>25 05 48</t>
  </si>
  <si>
    <t>Vibration and Seismic Controls for Integrated Automation</t>
  </si>
  <si>
    <t>25 05 53</t>
  </si>
  <si>
    <t>Identification for Integrated Automation</t>
  </si>
  <si>
    <t>25 06 00</t>
  </si>
  <si>
    <t>Schedules for Integrated Automation</t>
  </si>
  <si>
    <t>25 06 11</t>
  </si>
  <si>
    <t>Schedules for Integrated Automation Network</t>
  </si>
  <si>
    <t>25 06 12</t>
  </si>
  <si>
    <t>Schedules for Integrated Automation Network Gateways</t>
  </si>
  <si>
    <t>25 06 13</t>
  </si>
  <si>
    <t>Schedules for Integrated Automation Control and Monitoring Network</t>
  </si>
  <si>
    <t>25 06 14</t>
  </si>
  <si>
    <t>Schedules for Integrated Automation Local Control Units</t>
  </si>
  <si>
    <t>25 06 30</t>
  </si>
  <si>
    <t>Schedules for Integrated Automation Instrumentation and Terminal Devices</t>
  </si>
  <si>
    <t>25 08 00</t>
  </si>
  <si>
    <t>Commissioning of Integrated Automation</t>
  </si>
  <si>
    <t>25 10 00</t>
  </si>
  <si>
    <t>Integrated Automation Network Equipment</t>
  </si>
  <si>
    <t>25 11 00</t>
  </si>
  <si>
    <t>Integrated Automation Network Devices</t>
  </si>
  <si>
    <t>25 11 13</t>
  </si>
  <si>
    <t>Integrated Automation Network Servers</t>
  </si>
  <si>
    <t>25 11 16</t>
  </si>
  <si>
    <t>Integrated Automation Network Routers, Bridges, Switches, Hubs, and Modems</t>
  </si>
  <si>
    <t>25 11 19</t>
  </si>
  <si>
    <t>Integrated Automation Network Operator Workstations</t>
  </si>
  <si>
    <t>25 12 00</t>
  </si>
  <si>
    <t>Integrated Automation Network Gateways</t>
  </si>
  <si>
    <t>25 12 13</t>
  </si>
  <si>
    <t>Hardwired Integration Network Gateways</t>
  </si>
  <si>
    <t>25 12 16</t>
  </si>
  <si>
    <t>Direct-Protocol Integration Network Gateways</t>
  </si>
  <si>
    <t>25 12 19</t>
  </si>
  <si>
    <t>Neutral-Protocol Integration Network Gateways</t>
  </si>
  <si>
    <t>25 12 23</t>
  </si>
  <si>
    <t>Client-Server Information/Database Integration Network Gateways</t>
  </si>
  <si>
    <t>25 13 00</t>
  </si>
  <si>
    <t>Integrated Automation Control and Monitoring Network</t>
  </si>
  <si>
    <t>25 13 13</t>
  </si>
  <si>
    <t>Integrated Automation Control and Monitoring Network Supervisory Control</t>
  </si>
  <si>
    <t>25 13 16</t>
  </si>
  <si>
    <t>Integrated Automation Control and Monitoring Network Integration Panels</t>
  </si>
  <si>
    <t>25 13 19</t>
  </si>
  <si>
    <t>Integrated Automation Control and Monitoring Network Interoperability</t>
  </si>
  <si>
    <t>25 14 00</t>
  </si>
  <si>
    <t>Integrated Automation Local Control Units</t>
  </si>
  <si>
    <t>25 14 13</t>
  </si>
  <si>
    <t>Integrated Automation Remote Control Panels</t>
  </si>
  <si>
    <t>25 14 16</t>
  </si>
  <si>
    <t>Integrated Automation Application-Specific Control Panels</t>
  </si>
  <si>
    <t>25 14 19</t>
  </si>
  <si>
    <t>Integrated Automation Terminal Control Units</t>
  </si>
  <si>
    <t>25 14 23</t>
  </si>
  <si>
    <t>Integrated Automation Field Equipment Panels</t>
  </si>
  <si>
    <t>25 15 00</t>
  </si>
  <si>
    <t>Integrated Automation Software</t>
  </si>
  <si>
    <t>25 15 13</t>
  </si>
  <si>
    <t>Integrated Automation Software for Network Gateways</t>
  </si>
  <si>
    <t>25 15 16</t>
  </si>
  <si>
    <t>Integrated Automation Software for Control and Monitoring Networks</t>
  </si>
  <si>
    <t>25 15 19</t>
  </si>
  <si>
    <t>Integrated Automation Software for Local Control Units</t>
  </si>
  <si>
    <t>25 30 00</t>
  </si>
  <si>
    <t>Integrated Automation Instrumentation and Terminal Devices</t>
  </si>
  <si>
    <t>25 31 00</t>
  </si>
  <si>
    <t>Integrated Automation Instrumentation and Terminal Devices for Facility Equipment</t>
  </si>
  <si>
    <t>25 32 00</t>
  </si>
  <si>
    <t>Integrated Automation Instrumentation and Terminal Devices for Conveying Equipment</t>
  </si>
  <si>
    <t>25 33 00</t>
  </si>
  <si>
    <t>Integrated Automation Instrumentation and Terminal Devices for Fire-Suppression Systems</t>
  </si>
  <si>
    <t>25 34 00</t>
  </si>
  <si>
    <t>Integrated Automation Instrumentation and Terminal Devices for Plumbing</t>
  </si>
  <si>
    <t>25 35 00</t>
  </si>
  <si>
    <t>Integrated Automation Instrumentation and Terminal Devices for HVAC</t>
  </si>
  <si>
    <t>25 35 13</t>
  </si>
  <si>
    <t>Integrated Automation Actuators and Operators</t>
  </si>
  <si>
    <t>25 35 16</t>
  </si>
  <si>
    <t>Integrated Automation Sensors and Transmitters</t>
  </si>
  <si>
    <t>25 35 19</t>
  </si>
  <si>
    <t>Integrated Automation Control Valves</t>
  </si>
  <si>
    <t>25 35 23</t>
  </si>
  <si>
    <t>Integrated Automation Control Dampers</t>
  </si>
  <si>
    <t>25 35 26</t>
  </si>
  <si>
    <t>Integrated Automation Compressed Air Supply</t>
  </si>
  <si>
    <t>25 36 00</t>
  </si>
  <si>
    <t>Integrated Automation Instrumentation and Terminal Devices for Electrical Systems</t>
  </si>
  <si>
    <t>25 36 13</t>
  </si>
  <si>
    <t>Integrated Automation Power Meters</t>
  </si>
  <si>
    <t>25 36 16</t>
  </si>
  <si>
    <t>Integrated Automation KW Transducers</t>
  </si>
  <si>
    <t>25 36 19</t>
  </si>
  <si>
    <t>Integrated Automation Current Sensors</t>
  </si>
  <si>
    <t>25 36 23</t>
  </si>
  <si>
    <t>Integrated Automation Battery Monitors</t>
  </si>
  <si>
    <t>25 36 26</t>
  </si>
  <si>
    <t>Integrated Automation Lighting Relays</t>
  </si>
  <si>
    <t>25 36 29</t>
  </si>
  <si>
    <t>Integrated Automation UPS Monitors</t>
  </si>
  <si>
    <t>25 37 00</t>
  </si>
  <si>
    <t>Integrated Automation Instrumentation and Terminal Devices for Communications Systems</t>
  </si>
  <si>
    <t>25 38 00</t>
  </si>
  <si>
    <t>Integrated Automation Instrumentation and Terminal Devices for Electronic Safety and Security Systems</t>
  </si>
  <si>
    <t>25 50 00</t>
  </si>
  <si>
    <t>Integrated Automation Facility Controls</t>
  </si>
  <si>
    <t>25 51 00</t>
  </si>
  <si>
    <t>Integrated Automation Control of Facility Equipment</t>
  </si>
  <si>
    <t>25 52 00</t>
  </si>
  <si>
    <t>Integrated Automation Control of Conveying Equipment</t>
  </si>
  <si>
    <t>25 53 00</t>
  </si>
  <si>
    <t>Integrated Automation Control of Fire-Suppression Systems</t>
  </si>
  <si>
    <t>25 54 00</t>
  </si>
  <si>
    <t>Integrated Automation Control of Plumbing</t>
  </si>
  <si>
    <t>25 55 00</t>
  </si>
  <si>
    <t>Integrated Automation Control of HVAC</t>
  </si>
  <si>
    <t>25 56 00</t>
  </si>
  <si>
    <t>Integrated Automation Control of Electrical Systems</t>
  </si>
  <si>
    <t>25 57 00</t>
  </si>
  <si>
    <t>Integrated Automation Control of Communications Systems</t>
  </si>
  <si>
    <t>25 58 00</t>
  </si>
  <si>
    <t>Integrated Automation Control of Electronic Safety and Security Systems</t>
  </si>
  <si>
    <t>25 90 00</t>
  </si>
  <si>
    <t>Integrated Automation Control Sequences</t>
  </si>
  <si>
    <t>25 91 00</t>
  </si>
  <si>
    <t>Integrated Automation Control Sequences for Facility Equipment</t>
  </si>
  <si>
    <t>25 92 00</t>
  </si>
  <si>
    <t>Integrated Automation Control Sequences for Conveying Equipment</t>
  </si>
  <si>
    <t>25 93 00</t>
  </si>
  <si>
    <t>Integrated Automation Control Sequences for Fire-Suppression Systems</t>
  </si>
  <si>
    <t>25 94 00</t>
  </si>
  <si>
    <t>Integrated Automation Control Sequences for Plumbing</t>
  </si>
  <si>
    <t>25 95 00</t>
  </si>
  <si>
    <t>Integrated Automation Control Sequences for HVAC</t>
  </si>
  <si>
    <t>25 96 00</t>
  </si>
  <si>
    <t>Integrated Automation Control Sequences for Electrical Systems</t>
  </si>
  <si>
    <t>25 97 00</t>
  </si>
  <si>
    <t>Integrated Automation Control Sequences for Communications Systems</t>
  </si>
  <si>
    <t>25 98 00</t>
  </si>
  <si>
    <t>Integrated Automation Control Sequences for Electronic Safety and Security Systems</t>
  </si>
  <si>
    <t>26 00 00</t>
  </si>
  <si>
    <t>Electrical</t>
  </si>
  <si>
    <t>26 01 00</t>
  </si>
  <si>
    <t>Operation and Maintenance of Electrical Systems</t>
  </si>
  <si>
    <t>26 01 10</t>
  </si>
  <si>
    <t>Operation and Maintenance of Medium-Voltage Electrical Distribution</t>
  </si>
  <si>
    <t>26 01 20</t>
  </si>
  <si>
    <t>Operation and Maintenance of Low-Voltage Electrical Distribution</t>
  </si>
  <si>
    <t>26 01 26</t>
  </si>
  <si>
    <t>Maintenance Testing of Electrical Systems</t>
  </si>
  <si>
    <t>26 01 30</t>
  </si>
  <si>
    <t>Operation and Maintenance of Facility Electrical Power Generating and Storing Equipment</t>
  </si>
  <si>
    <t>26 01 40</t>
  </si>
  <si>
    <t>Operation and Maintenance of Electrical and Cathodic Protection Systems</t>
  </si>
  <si>
    <t>26 01 50</t>
  </si>
  <si>
    <t>Operation and Maintenance of Lighting</t>
  </si>
  <si>
    <t>26 01 50.51</t>
  </si>
  <si>
    <t>Luminaire Relamping</t>
  </si>
  <si>
    <t>26 01 50.81</t>
  </si>
  <si>
    <t>Luminaire Replacement</t>
  </si>
  <si>
    <t>26 05 00</t>
  </si>
  <si>
    <t>Common Work Results for Electrical</t>
  </si>
  <si>
    <t>26 05 13</t>
  </si>
  <si>
    <t>Medium-Voltage Cables</t>
  </si>
  <si>
    <t>26 05 13.13</t>
  </si>
  <si>
    <t>Medium-Voltage Open Conductors</t>
  </si>
  <si>
    <t>26 05 13.16</t>
  </si>
  <si>
    <t>Medium-Voltage, Single- and Multi-Conductor Cables</t>
  </si>
  <si>
    <t>26 05 19</t>
  </si>
  <si>
    <t>Low-Voltage Electrical Power Conductors and Cables</t>
  </si>
  <si>
    <t>26 05 19.13</t>
  </si>
  <si>
    <t>Undercarpet Electrical Power Cables</t>
  </si>
  <si>
    <t>26 05 19.23</t>
  </si>
  <si>
    <t>Manufactured Wiring Assemblies</t>
  </si>
  <si>
    <t>26 05 23</t>
  </si>
  <si>
    <t>Control-Voltage Electrical Power Cables</t>
  </si>
  <si>
    <t>26 05 26</t>
  </si>
  <si>
    <t>Grounding and Bonding for Electrical Systems</t>
  </si>
  <si>
    <t>26 05 29</t>
  </si>
  <si>
    <t>Hangers and Supports for Electrical Systems</t>
  </si>
  <si>
    <t>26 05 33</t>
  </si>
  <si>
    <t>Raceway and Boxes for Electrical Systems</t>
  </si>
  <si>
    <t>26 05 33.13</t>
  </si>
  <si>
    <t>Conduit for Electrical Systems</t>
  </si>
  <si>
    <t>26 05 33.16</t>
  </si>
  <si>
    <t>Boxes for Electrical Systems</t>
  </si>
  <si>
    <t>26 05 33.23</t>
  </si>
  <si>
    <t>Surface raceways for Electrical Systems</t>
  </si>
  <si>
    <t>26 05 36</t>
  </si>
  <si>
    <t>Cable Trays for Electrical Systems</t>
  </si>
  <si>
    <t>26 05 39</t>
  </si>
  <si>
    <t>Underfloor Raceways for Electrical Systems</t>
  </si>
  <si>
    <t>26 05 43</t>
  </si>
  <si>
    <t>Underground Ducts and Raceways for Electrical Systems</t>
  </si>
  <si>
    <t>26 05 46</t>
  </si>
  <si>
    <t>Utility Poles for Electrical Systems</t>
  </si>
  <si>
    <t>26 05 48</t>
  </si>
  <si>
    <t>Vibration and Seismic Controls for Electrical Systems</t>
  </si>
  <si>
    <t>26 05 53</t>
  </si>
  <si>
    <t>Identification for Electrical Systems</t>
  </si>
  <si>
    <t>26 05 73</t>
  </si>
  <si>
    <t>Overcurrent Protective Device Coordination Study</t>
  </si>
  <si>
    <t>26 05 83</t>
  </si>
  <si>
    <t>Wiring Connections</t>
  </si>
  <si>
    <t>26 06 00</t>
  </si>
  <si>
    <t>Schedules for Electrical</t>
  </si>
  <si>
    <t>26 06 10</t>
  </si>
  <si>
    <t>Schedules for Medium-Voltage Electrical Distribution</t>
  </si>
  <si>
    <t>26 06 20</t>
  </si>
  <si>
    <t>Schedules for Low-Voltage Electrical Distribution</t>
  </si>
  <si>
    <t>26 06 20.13</t>
  </si>
  <si>
    <t>Electrical Switchboard Schedule</t>
  </si>
  <si>
    <t>26 06 20.16</t>
  </si>
  <si>
    <t>Electrical Panelboard Schedule</t>
  </si>
  <si>
    <t>26 06 20.19</t>
  </si>
  <si>
    <t>Electrical Motor-Control Center Schedule</t>
  </si>
  <si>
    <t>26 06 20.23</t>
  </si>
  <si>
    <t>Electrical Circuit Schedule</t>
  </si>
  <si>
    <t>26 06 20.26</t>
  </si>
  <si>
    <t>Wiring Device Schedule</t>
  </si>
  <si>
    <t>26 06 30</t>
  </si>
  <si>
    <t>Schedules for Facility Electrical Power Generating and Storing Equipment</t>
  </si>
  <si>
    <t>26 06 40</t>
  </si>
  <si>
    <t>Schedules for Electrical and Cathodic Protection Systems</t>
  </si>
  <si>
    <t>26 06 50</t>
  </si>
  <si>
    <t>Schedules for Lighting</t>
  </si>
  <si>
    <t>26 06 50.13</t>
  </si>
  <si>
    <t>Lighting Panelboard Schedule</t>
  </si>
  <si>
    <t>26 06 50.16</t>
  </si>
  <si>
    <t>Lighting Fixture Schedule</t>
  </si>
  <si>
    <t>26 08 00</t>
  </si>
  <si>
    <t>Commissioning of Electrical Systems</t>
  </si>
  <si>
    <t>26 09 00</t>
  </si>
  <si>
    <t>Instrumentation and Control for Electrical Systems</t>
  </si>
  <si>
    <t>26 09 13</t>
  </si>
  <si>
    <t>Electrical Power Monitoring</t>
  </si>
  <si>
    <t>26 09 15</t>
  </si>
  <si>
    <t>Peak Load Controllers</t>
  </si>
  <si>
    <t>26 09 16</t>
  </si>
  <si>
    <t>Electrical Controls and Relays</t>
  </si>
  <si>
    <t>26 09 17</t>
  </si>
  <si>
    <t>Programmable Controllers</t>
  </si>
  <si>
    <t>26 09 19</t>
  </si>
  <si>
    <t>Enclosed Contactors</t>
  </si>
  <si>
    <t>26 09 23</t>
  </si>
  <si>
    <t>Lighting Control Devices</t>
  </si>
  <si>
    <t>26 09 26</t>
  </si>
  <si>
    <t>Lighting Control Panelboards</t>
  </si>
  <si>
    <t>26 09 33</t>
  </si>
  <si>
    <t>Central Dimming Controls</t>
  </si>
  <si>
    <t>26 09 33.13</t>
  </si>
  <si>
    <t>Multichannel Remote-Controlled Dimmers</t>
  </si>
  <si>
    <t>26 09 33.16</t>
  </si>
  <si>
    <t>Remote-Controlled Dimming Stations</t>
  </si>
  <si>
    <t>26 09 36</t>
  </si>
  <si>
    <t>Modular Dimming Controls</t>
  </si>
  <si>
    <t>26 09 36.13</t>
  </si>
  <si>
    <t>Manual Modular Dimming Controls</t>
  </si>
  <si>
    <t>26 09 36.16</t>
  </si>
  <si>
    <t>Integrated Multipreset Modular Dimming Controls</t>
  </si>
  <si>
    <t>26 09 43</t>
  </si>
  <si>
    <t>Network Lighting Controls</t>
  </si>
  <si>
    <t>26 09 43.13</t>
  </si>
  <si>
    <t>Digital-Network Lighting Controls</t>
  </si>
  <si>
    <t>26 09 43.16</t>
  </si>
  <si>
    <t>Addressable Fixture Lighting Control</t>
  </si>
  <si>
    <t>26 09 61</t>
  </si>
  <si>
    <t>Theatrical Lighting Controls</t>
  </si>
  <si>
    <t>26 10 00</t>
  </si>
  <si>
    <t>Medium-Voltage Electrical Distribution</t>
  </si>
  <si>
    <t>26 11 00</t>
  </si>
  <si>
    <t>Substations</t>
  </si>
  <si>
    <t>26 11 13</t>
  </si>
  <si>
    <t>Primary Unit Substations</t>
  </si>
  <si>
    <t>26 11 16</t>
  </si>
  <si>
    <t>Secondary Unit Substations</t>
  </si>
  <si>
    <t>26 12 00</t>
  </si>
  <si>
    <t>Medium-Voltage Transformers</t>
  </si>
  <si>
    <t>26 12 13</t>
  </si>
  <si>
    <t>Liquid-Filled, Medium-Voltage Transformers</t>
  </si>
  <si>
    <t>26 12 16</t>
  </si>
  <si>
    <t>Dry-Type, Medium-Voltage Transformers</t>
  </si>
  <si>
    <t>26 12 19</t>
  </si>
  <si>
    <t>Pad-Mounted, Liquid-Filled, Medium-Voltage Transformers</t>
  </si>
  <si>
    <t>26 13 00</t>
  </si>
  <si>
    <t>Medium-Voltage Switchgear</t>
  </si>
  <si>
    <t>26 13 13</t>
  </si>
  <si>
    <t>Medium-Voltage Circuit Breaker Switchgear</t>
  </si>
  <si>
    <t>26 13 16</t>
  </si>
  <si>
    <t>Medium-Voltage Fusible Interrupter Switchgear</t>
  </si>
  <si>
    <t>26 13 19</t>
  </si>
  <si>
    <t>Medium-Voltage Vacuum Interrupter Switchgear</t>
  </si>
  <si>
    <t>26 13 23</t>
  </si>
  <si>
    <t>Medium-Voltage Metal-Enclosed Switchgear</t>
  </si>
  <si>
    <t>26 13 26</t>
  </si>
  <si>
    <t>Medium-Voltage Metal-Clad Switchgear</t>
  </si>
  <si>
    <t>26 13 29</t>
  </si>
  <si>
    <t>Medium-Voltage Compartmentalized Switchgear</t>
  </si>
  <si>
    <t>26 16 00</t>
  </si>
  <si>
    <t>Medium-Voltage Metering</t>
  </si>
  <si>
    <t>26 18 00</t>
  </si>
  <si>
    <t>Medium-Voltage Circuit Protection Devices</t>
  </si>
  <si>
    <t>26 18 13</t>
  </si>
  <si>
    <t>Medium-Voltage Cutouts</t>
  </si>
  <si>
    <t>26 18 16</t>
  </si>
  <si>
    <t>Medium-Voltage Fuses</t>
  </si>
  <si>
    <t>26 18 19</t>
  </si>
  <si>
    <t>Medium-Voltage Lightning Arresters</t>
  </si>
  <si>
    <t>26 18 23</t>
  </si>
  <si>
    <t>Medium-Voltage Surge Arresters</t>
  </si>
  <si>
    <t>26 18 26</t>
  </si>
  <si>
    <t>Medium-Voltage Reclosers</t>
  </si>
  <si>
    <t>26 18 29</t>
  </si>
  <si>
    <t>Medium-Voltage Enclosed Bus</t>
  </si>
  <si>
    <t>26 18 33</t>
  </si>
  <si>
    <t>Medium-Voltage Enclosed Fuse Cutouts</t>
  </si>
  <si>
    <t>26 18 36</t>
  </si>
  <si>
    <t>Medium-Voltage Enclosed Fuses</t>
  </si>
  <si>
    <t>26 18 39</t>
  </si>
  <si>
    <t>Medium-Voltage Motor Controllers</t>
  </si>
  <si>
    <t>26 20 00</t>
  </si>
  <si>
    <t>Low-Voltage Electrical Transmission</t>
  </si>
  <si>
    <t>26 21 00</t>
  </si>
  <si>
    <t>Low-Voltage Electrical Service Entrance</t>
  </si>
  <si>
    <t>26 21 13</t>
  </si>
  <si>
    <t>Low-Voltage Overhead Electrical Service Entrance</t>
  </si>
  <si>
    <t>26 21 16</t>
  </si>
  <si>
    <t>Low-Voltage Underground Electrical Service Entrance</t>
  </si>
  <si>
    <t>26 22 00</t>
  </si>
  <si>
    <t>Low-Voltage Transformers</t>
  </si>
  <si>
    <t>26 22 13</t>
  </si>
  <si>
    <t>Low-Voltage Distribution Transformers</t>
  </si>
  <si>
    <t>26 22 16</t>
  </si>
  <si>
    <t>Low-Voltage Buck-Boost Transformers</t>
  </si>
  <si>
    <t>26 22 19</t>
  </si>
  <si>
    <t>Control and Signal Transformers</t>
  </si>
  <si>
    <t>26 23 00</t>
  </si>
  <si>
    <t>Low-Voltage Switchgear</t>
  </si>
  <si>
    <t>26 23 13</t>
  </si>
  <si>
    <t>Paralleling Low-Voltage Switchgear</t>
  </si>
  <si>
    <t>26 24 00</t>
  </si>
  <si>
    <t>Switchboards and Panelboards</t>
  </si>
  <si>
    <t>26 24 13</t>
  </si>
  <si>
    <t>Switchboards</t>
  </si>
  <si>
    <t>26 24 16</t>
  </si>
  <si>
    <t>Panelboards</t>
  </si>
  <si>
    <t>26 24 19</t>
  </si>
  <si>
    <t>Motor-Control Centers</t>
  </si>
  <si>
    <t>26 25 00</t>
  </si>
  <si>
    <t>Enclosed Bus Assemblies</t>
  </si>
  <si>
    <t>26 26 00</t>
  </si>
  <si>
    <t>Power Distribution Units</t>
  </si>
  <si>
    <t>26 27 00</t>
  </si>
  <si>
    <t>Low-Voltage Distribution Equipment</t>
  </si>
  <si>
    <t>26 27 13</t>
  </si>
  <si>
    <t>Electricity Metering</t>
  </si>
  <si>
    <t>26 27 16</t>
  </si>
  <si>
    <t>Electrical Cabinets and Enclosures</t>
  </si>
  <si>
    <t>26 27 19</t>
  </si>
  <si>
    <t>Multi-Outlet Assemblies</t>
  </si>
  <si>
    <t>26 27 23</t>
  </si>
  <si>
    <t>Indoor Service Poles</t>
  </si>
  <si>
    <t>26 27 26</t>
  </si>
  <si>
    <t>Wiring Devices</t>
  </si>
  <si>
    <t>26 27 73</t>
  </si>
  <si>
    <t>Door Chimes</t>
  </si>
  <si>
    <t>26 28 00</t>
  </si>
  <si>
    <t>Low-Voltage Circuit Protective Devices</t>
  </si>
  <si>
    <t>26 28 13</t>
  </si>
  <si>
    <t>Fuses</t>
  </si>
  <si>
    <t>26 28 16</t>
  </si>
  <si>
    <t>Enclosed Switches and Circuit Breakers</t>
  </si>
  <si>
    <t>26 28 16.13</t>
  </si>
  <si>
    <t>Enclosed Circuit Breakers</t>
  </si>
  <si>
    <t>26 28 16.16</t>
  </si>
  <si>
    <t>Enclosed Switches</t>
  </si>
  <si>
    <t>26 29 00</t>
  </si>
  <si>
    <t>Low-Voltage Controllers</t>
  </si>
  <si>
    <t>26 29 13</t>
  </si>
  <si>
    <t>Enclosed Controllers</t>
  </si>
  <si>
    <t>26 29 13.13</t>
  </si>
  <si>
    <t>Across-the-Line Motor Controllers</t>
  </si>
  <si>
    <t>26 29 13.16</t>
  </si>
  <si>
    <t>Reduced-Voltage Motor Controllers</t>
  </si>
  <si>
    <t>26 29 23</t>
  </si>
  <si>
    <t>Variable-Frequency Motor Controllers</t>
  </si>
  <si>
    <t>26 29 33</t>
  </si>
  <si>
    <t>Controllers for Fire Pump Drivers</t>
  </si>
  <si>
    <t>26 29 33.13</t>
  </si>
  <si>
    <t>Full-Service Controllers for Fire Pump Electric-Motor Drivers</t>
  </si>
  <si>
    <t>26 29 33.16</t>
  </si>
  <si>
    <t>Limited-Service Controllers for Fire Pump Electric-Motor Drivers</t>
  </si>
  <si>
    <t>26 29 33.19</t>
  </si>
  <si>
    <t>Controllers for Fire Pump Diesel Engine Drivers</t>
  </si>
  <si>
    <t>26 30 00</t>
  </si>
  <si>
    <t>Facility Electrical Power Generating and Storing Equipment</t>
  </si>
  <si>
    <t>26 31 00</t>
  </si>
  <si>
    <t>Photovoltaic Collectors</t>
  </si>
  <si>
    <t>26 32 00</t>
  </si>
  <si>
    <t>Packaged Generator Assemblies</t>
  </si>
  <si>
    <t>26 32 13</t>
  </si>
  <si>
    <t>Engine Generators</t>
  </si>
  <si>
    <t>26 32 13.13</t>
  </si>
  <si>
    <t>Diesel-Engine-Driven Generator Sets</t>
  </si>
  <si>
    <t>26 32 13.16</t>
  </si>
  <si>
    <t>Gas-Engine-Driven Generator Sets</t>
  </si>
  <si>
    <t>26 32 13.26</t>
  </si>
  <si>
    <t>Gas-Turbine Engine-Driven Generators</t>
  </si>
  <si>
    <t>26 32 16</t>
  </si>
  <si>
    <t>Steam-Turbine Generators</t>
  </si>
  <si>
    <t>26 32 19</t>
  </si>
  <si>
    <t>Hydro-Turbine Generators</t>
  </si>
  <si>
    <t>26 32 23</t>
  </si>
  <si>
    <t>Wind Energy Equipment</t>
  </si>
  <si>
    <t>26 32 26</t>
  </si>
  <si>
    <t>Frequency Changers</t>
  </si>
  <si>
    <t>26 32 29</t>
  </si>
  <si>
    <t>Rotary Converters</t>
  </si>
  <si>
    <t>26 32 33</t>
  </si>
  <si>
    <t>Rotary Uninterruptible Power Units</t>
  </si>
  <si>
    <t>26 33 00</t>
  </si>
  <si>
    <t>Battery Equipment</t>
  </si>
  <si>
    <t>26 33 13</t>
  </si>
  <si>
    <t>Batteries</t>
  </si>
  <si>
    <t>26 33 16</t>
  </si>
  <si>
    <t>Battery Racks</t>
  </si>
  <si>
    <t>26 33 19</t>
  </si>
  <si>
    <t>Battery Units</t>
  </si>
  <si>
    <t>26 33 23</t>
  </si>
  <si>
    <t>Central Battery Equipment</t>
  </si>
  <si>
    <t>26 33 33</t>
  </si>
  <si>
    <t>Static Power Converters</t>
  </si>
  <si>
    <t>26 33 43</t>
  </si>
  <si>
    <t>Battery Chargers</t>
  </si>
  <si>
    <t>26 33 46</t>
  </si>
  <si>
    <t>Battery Monitoring</t>
  </si>
  <si>
    <t>26 33 53</t>
  </si>
  <si>
    <t>Static Uninterruptible Power Supply</t>
  </si>
  <si>
    <t>26 35 00</t>
  </si>
  <si>
    <t>Power Filters and Conditioners</t>
  </si>
  <si>
    <t>26 35 13</t>
  </si>
  <si>
    <t>Capacitors</t>
  </si>
  <si>
    <t>26 35 16</t>
  </si>
  <si>
    <t>Chokes and Inductors</t>
  </si>
  <si>
    <t>26 35 23</t>
  </si>
  <si>
    <t>Electromagnetic-Interference Filters</t>
  </si>
  <si>
    <t>26 35 26</t>
  </si>
  <si>
    <t>Harmonic Filters</t>
  </si>
  <si>
    <t>26 35 33</t>
  </si>
  <si>
    <t>Power Factor Correction Equipment</t>
  </si>
  <si>
    <t>26 35 36</t>
  </si>
  <si>
    <t>Slip Controllers</t>
  </si>
  <si>
    <t>26 35 43</t>
  </si>
  <si>
    <t>Static-Frequency Converters</t>
  </si>
  <si>
    <t>26 35 46</t>
  </si>
  <si>
    <t>Radio-Frequency-Interference Filters</t>
  </si>
  <si>
    <t>26 35 53</t>
  </si>
  <si>
    <t>Voltage Regulators</t>
  </si>
  <si>
    <t>26 36 00</t>
  </si>
  <si>
    <t>Transfer Switches</t>
  </si>
  <si>
    <t>26 36 13</t>
  </si>
  <si>
    <t>Manual Transfer Switches</t>
  </si>
  <si>
    <t>26 36 23</t>
  </si>
  <si>
    <t>Automatic Transfer Switches</t>
  </si>
  <si>
    <t>26 40 00</t>
  </si>
  <si>
    <t>Electrical and Cathodic Protection</t>
  </si>
  <si>
    <t>26 41 00</t>
  </si>
  <si>
    <t>Facility Lightning Protection</t>
  </si>
  <si>
    <t>26 41 13</t>
  </si>
  <si>
    <t>Lightning Protection for Structures</t>
  </si>
  <si>
    <t>26 41 13.13</t>
  </si>
  <si>
    <t>Lightning Protection for Buildings</t>
  </si>
  <si>
    <t>26 41 16</t>
  </si>
  <si>
    <t>Lightning Prevention and Dissipation</t>
  </si>
  <si>
    <t>26 41 19</t>
  </si>
  <si>
    <t>Early Streamer Emission Lightning Protection</t>
  </si>
  <si>
    <t>26 41 23</t>
  </si>
  <si>
    <t>Lightning Protection Surge Arresters and Suppressors</t>
  </si>
  <si>
    <t>26 42 00</t>
  </si>
  <si>
    <t>Cathodic Protection</t>
  </si>
  <si>
    <t>26 42 13</t>
  </si>
  <si>
    <t>Passive Cathodic Protection for Underground and Submerged Piping</t>
  </si>
  <si>
    <t>26 42 16</t>
  </si>
  <si>
    <t>Passive Cathodic Protection for Underground Storage Tank</t>
  </si>
  <si>
    <t>26 43 00</t>
  </si>
  <si>
    <t>Surge Protective Devices</t>
  </si>
  <si>
    <t>26 43 13</t>
  </si>
  <si>
    <t>Transient-Voltage Suppression for Low-Voltage Electrical Power Circuits</t>
  </si>
  <si>
    <t>26 50 00</t>
  </si>
  <si>
    <t>Lighting</t>
  </si>
  <si>
    <t>26 51 00</t>
  </si>
  <si>
    <t>Interior Lighting</t>
  </si>
  <si>
    <t>26 51 13</t>
  </si>
  <si>
    <t>Interior Lighting Fixtures, Lamps, And Ballasts</t>
  </si>
  <si>
    <t>26 52 00</t>
  </si>
  <si>
    <t>Emergency Lighting</t>
  </si>
  <si>
    <t>26 53 00</t>
  </si>
  <si>
    <t>Exit Signs</t>
  </si>
  <si>
    <t>26 54 00</t>
  </si>
  <si>
    <t>Classified Location Lighting</t>
  </si>
  <si>
    <t>26 55 00</t>
  </si>
  <si>
    <t>Special Purpose Lighting</t>
  </si>
  <si>
    <t>26 55 23</t>
  </si>
  <si>
    <t>Outline Lighting</t>
  </si>
  <si>
    <t>26 55 29</t>
  </si>
  <si>
    <t>Underwater Lighting</t>
  </si>
  <si>
    <t>26 55 33</t>
  </si>
  <si>
    <t>Hazard Warning Lighting</t>
  </si>
  <si>
    <t>26 55 36</t>
  </si>
  <si>
    <t>Obstruction Lighting</t>
  </si>
  <si>
    <t>26 55 39</t>
  </si>
  <si>
    <t>Helipad Lighting</t>
  </si>
  <si>
    <t>26 55 53</t>
  </si>
  <si>
    <t>Security Lighting</t>
  </si>
  <si>
    <t>26 55 59</t>
  </si>
  <si>
    <t>Display Lighting</t>
  </si>
  <si>
    <t>26 55 61</t>
  </si>
  <si>
    <t>Theatrical Lighting</t>
  </si>
  <si>
    <t>26 55 63</t>
  </si>
  <si>
    <t>Detention Lighting</t>
  </si>
  <si>
    <t>26 55 70</t>
  </si>
  <si>
    <t>Healthcare Lighting</t>
  </si>
  <si>
    <t>26 55 83</t>
  </si>
  <si>
    <t>Broadcast Lighting</t>
  </si>
  <si>
    <t>26 56 00</t>
  </si>
  <si>
    <t>Exterior Lighting</t>
  </si>
  <si>
    <t>26 56 13</t>
  </si>
  <si>
    <t>Lighting Poles and Standards</t>
  </si>
  <si>
    <t>26 56 16</t>
  </si>
  <si>
    <t>Parking Lighting</t>
  </si>
  <si>
    <t>26 56 19</t>
  </si>
  <si>
    <t>Roadway Lighting</t>
  </si>
  <si>
    <t>26 56 23</t>
  </si>
  <si>
    <t>Area Lighting</t>
  </si>
  <si>
    <t>26 56 26</t>
  </si>
  <si>
    <t>Landscape Lighting</t>
  </si>
  <si>
    <t>26 56 29</t>
  </si>
  <si>
    <t>Site Lighting</t>
  </si>
  <si>
    <t>26 56 33</t>
  </si>
  <si>
    <t>Walkway Lighting</t>
  </si>
  <si>
    <t>26 56 36</t>
  </si>
  <si>
    <t>Flood Lighting</t>
  </si>
  <si>
    <t>26 56 68</t>
  </si>
  <si>
    <t>Exterior Athletic Lighting</t>
  </si>
  <si>
    <t>27 00 00</t>
  </si>
  <si>
    <t>Communications</t>
  </si>
  <si>
    <t>27 01 00</t>
  </si>
  <si>
    <t>Operation and Maintenance of Communications Systems</t>
  </si>
  <si>
    <t>27 01 10</t>
  </si>
  <si>
    <t>Operation and Maintenance of Structured Cabling and Enclosures</t>
  </si>
  <si>
    <t>27 01 20</t>
  </si>
  <si>
    <t>Operation and Maintenance of Data Communications</t>
  </si>
  <si>
    <t>27 01 30</t>
  </si>
  <si>
    <t>Operation and Maintenance of Voice Communications</t>
  </si>
  <si>
    <t>27 01 40</t>
  </si>
  <si>
    <t>Operation and Maintenance of Audio-Video Communications</t>
  </si>
  <si>
    <t>27 01 50</t>
  </si>
  <si>
    <t>Operation and Maintenance of Distributed Communications and Monitoring</t>
  </si>
  <si>
    <t>27 05 00</t>
  </si>
  <si>
    <t>Common Work Results for Communications</t>
  </si>
  <si>
    <t>27 05 13</t>
  </si>
  <si>
    <t>Communications Services</t>
  </si>
  <si>
    <t>27 05 13.13</t>
  </si>
  <si>
    <t>Dialtone Services</t>
  </si>
  <si>
    <t>27 05 13.23</t>
  </si>
  <si>
    <t>T1 Services</t>
  </si>
  <si>
    <t>27 05 13.33</t>
  </si>
  <si>
    <t>DSL Services</t>
  </si>
  <si>
    <t>27 05 13.43</t>
  </si>
  <si>
    <t>Cable Services</t>
  </si>
  <si>
    <t>27 05 13.53</t>
  </si>
  <si>
    <t>Satellite Services</t>
  </si>
  <si>
    <t>27 05 26</t>
  </si>
  <si>
    <t>Grounding and Bonding for Communications Systems</t>
  </si>
  <si>
    <t>27 05 28</t>
  </si>
  <si>
    <t>Pathways for Communications Systems</t>
  </si>
  <si>
    <t>27 05 29</t>
  </si>
  <si>
    <t>Hangers and Supports for Communications Systems</t>
  </si>
  <si>
    <t>27 05 33</t>
  </si>
  <si>
    <t>Conduits and Backboxes for Communications Systems</t>
  </si>
  <si>
    <t>27 05 36</t>
  </si>
  <si>
    <t>Cable Trays for Communications Systems</t>
  </si>
  <si>
    <t>27 05 39</t>
  </si>
  <si>
    <t>Surface Raceways for Communications Systems</t>
  </si>
  <si>
    <t>27 05 43</t>
  </si>
  <si>
    <t>Underground Ducts and Raceways for Communications Systems</t>
  </si>
  <si>
    <t>27 05 46</t>
  </si>
  <si>
    <t>Utility Poles for Communications Systems</t>
  </si>
  <si>
    <t>27 05 48</t>
  </si>
  <si>
    <t>Vibration and Seismic Controls for Communications Systems</t>
  </si>
  <si>
    <t>27 05 53</t>
  </si>
  <si>
    <t>Identification for Communications Systems</t>
  </si>
  <si>
    <t>27 06 00</t>
  </si>
  <si>
    <t>Schedules for Communications</t>
  </si>
  <si>
    <t>27 06 10</t>
  </si>
  <si>
    <t>Schedules for Structured Cabling and Enclosures</t>
  </si>
  <si>
    <t>27 06 20</t>
  </si>
  <si>
    <t>Schedules for Data Communications</t>
  </si>
  <si>
    <t>27 06 30</t>
  </si>
  <si>
    <t>Schedules for Voice Communications</t>
  </si>
  <si>
    <t>27 06 40</t>
  </si>
  <si>
    <t>Schedules for Audio-Video Communications</t>
  </si>
  <si>
    <t>27 06 50</t>
  </si>
  <si>
    <t>Schedules for Distributed Communications and Monitoring</t>
  </si>
  <si>
    <t>27 08 00</t>
  </si>
  <si>
    <t>Commissioning of Communications</t>
  </si>
  <si>
    <t>27 10 00</t>
  </si>
  <si>
    <t>Structured Cabling</t>
  </si>
  <si>
    <t>27 11 00</t>
  </si>
  <si>
    <t>Communications Equipment Room Fittings</t>
  </si>
  <si>
    <t>27 11 13</t>
  </si>
  <si>
    <t>Communications Entrance Protection</t>
  </si>
  <si>
    <t>27 11 16</t>
  </si>
  <si>
    <t>Communications Cabinets, Racks, Frames, and Enclosures</t>
  </si>
  <si>
    <t>27 11 19</t>
  </si>
  <si>
    <t>Communications Termination Blocks and Patch Panels</t>
  </si>
  <si>
    <t>27 11 23</t>
  </si>
  <si>
    <t>Communications Cable Management and Ladder Rack</t>
  </si>
  <si>
    <t>27 11 26</t>
  </si>
  <si>
    <t>Communications Rack Mounted Power Protection and Power Strips</t>
  </si>
  <si>
    <t>27 13 00</t>
  </si>
  <si>
    <t>Communications Backbone Cabling</t>
  </si>
  <si>
    <t>27 13 13</t>
  </si>
  <si>
    <t>Communications Copper Backbone Cabling</t>
  </si>
  <si>
    <t>27 13 13.13</t>
  </si>
  <si>
    <t>Communications Copper Cable Splicing and Terminations</t>
  </si>
  <si>
    <t>27 13 23</t>
  </si>
  <si>
    <t>Communications Optical Fiber Backbone Cabling</t>
  </si>
  <si>
    <t>27 13 23.13</t>
  </si>
  <si>
    <t>Communications Optical Fiber Splicing and Terminations</t>
  </si>
  <si>
    <t>27 13 33</t>
  </si>
  <si>
    <t>Communications Coaxial Backbone Cabling</t>
  </si>
  <si>
    <t>27 13 33.13</t>
  </si>
  <si>
    <t>Communications Coaxial Splicing and Terminations</t>
  </si>
  <si>
    <t>27 13 43</t>
  </si>
  <si>
    <t>Communications Services Cabling</t>
  </si>
  <si>
    <t>27 13 43.13</t>
  </si>
  <si>
    <t>Dialtone Services Cabling</t>
  </si>
  <si>
    <t>27 13 43.23</t>
  </si>
  <si>
    <t>T1 Services Cabling</t>
  </si>
  <si>
    <t>27 13 43.33</t>
  </si>
  <si>
    <t>DSL Services Cabling</t>
  </si>
  <si>
    <t>27 13 43.43</t>
  </si>
  <si>
    <t>Cable Services Cabling</t>
  </si>
  <si>
    <t>27 13 43.53</t>
  </si>
  <si>
    <t>Satellite Services Cabling</t>
  </si>
  <si>
    <t>27 15 00</t>
  </si>
  <si>
    <t>Communications Horizontal Cabling</t>
  </si>
  <si>
    <t>27 15 00.16</t>
  </si>
  <si>
    <t>Voice Communications Horizontal Cabling</t>
  </si>
  <si>
    <t>27 15 00.19</t>
  </si>
  <si>
    <t>Data Communications Horizontal Cabling</t>
  </si>
  <si>
    <t>27 15 00.23</t>
  </si>
  <si>
    <t>Audio-Video Communications Horizontal Cabling</t>
  </si>
  <si>
    <t>27 15 00.39</t>
  </si>
  <si>
    <t>Patient Monitoring and Telemetry Communications Horizontal Cabling</t>
  </si>
  <si>
    <t>27 15 00.43</t>
  </si>
  <si>
    <t>Nurse Call and Intercom Communications Horizontal Cabling</t>
  </si>
  <si>
    <t>27 15 00.46</t>
  </si>
  <si>
    <t>Paging Communications Horizontal Cabling</t>
  </si>
  <si>
    <t>27 15 00.49</t>
  </si>
  <si>
    <t>Intermediate Frequency/Radio Frequency Communications Horizontal Cabling</t>
  </si>
  <si>
    <t>27 15 00.53</t>
  </si>
  <si>
    <t>Antennas Communications Horizontal Cabling</t>
  </si>
  <si>
    <t>27 15 13</t>
  </si>
  <si>
    <t>Communications Copper Horizontal Cabling</t>
  </si>
  <si>
    <t>27 15 23</t>
  </si>
  <si>
    <t>Communications Optical Fiber Horizontal Cabling</t>
  </si>
  <si>
    <t>27 15 33</t>
  </si>
  <si>
    <t>Communications Coaxial Horizontal Cabling</t>
  </si>
  <si>
    <t>27 15 43</t>
  </si>
  <si>
    <t>Communications Faceplates and Connectors</t>
  </si>
  <si>
    <t>27 16 00</t>
  </si>
  <si>
    <t>Communications Connecting Cords, Devices, and Adapters</t>
  </si>
  <si>
    <t>27 16 13</t>
  </si>
  <si>
    <t>Communications Custom Cable Assemblies</t>
  </si>
  <si>
    <t>27 16 16</t>
  </si>
  <si>
    <t>Communications Media Converters, Adapters, and Transceivers</t>
  </si>
  <si>
    <t>27 16 19</t>
  </si>
  <si>
    <t>Communications Patch Cords, Station Cords, and Cross Connect Wire</t>
  </si>
  <si>
    <t>27 20 00</t>
  </si>
  <si>
    <t>Data Communications</t>
  </si>
  <si>
    <t>27 21 00</t>
  </si>
  <si>
    <t>Data Communications Network Equipment</t>
  </si>
  <si>
    <t>27 21 13</t>
  </si>
  <si>
    <t>Data Communications Firewalls</t>
  </si>
  <si>
    <t>27 21 16</t>
  </si>
  <si>
    <t>Data Communications Routers, CSU/DSU, Multiplexers, Codecs, and Modems</t>
  </si>
  <si>
    <t>27 21 26</t>
  </si>
  <si>
    <t>Data Communications Network Management</t>
  </si>
  <si>
    <t>27 21 29</t>
  </si>
  <si>
    <t>Data Communications Switches and Hubs</t>
  </si>
  <si>
    <t>27 21 33</t>
  </si>
  <si>
    <t>Data Communications Wireless Access Points</t>
  </si>
  <si>
    <t>27 22 00</t>
  </si>
  <si>
    <t>Data Communications Hardware</t>
  </si>
  <si>
    <t>27 22 13</t>
  </si>
  <si>
    <t>Data Communications Mainframes</t>
  </si>
  <si>
    <t>27 22 16</t>
  </si>
  <si>
    <t>Data Communications Storage and Backup</t>
  </si>
  <si>
    <t>27 22 19</t>
  </si>
  <si>
    <t>Data Communications Servers</t>
  </si>
  <si>
    <t>27 22 23</t>
  </si>
  <si>
    <t>Data Communications Desktops</t>
  </si>
  <si>
    <t>27 22 26</t>
  </si>
  <si>
    <t>Data Communications Laptops</t>
  </si>
  <si>
    <t>27 22 29</t>
  </si>
  <si>
    <t>Data Communications Handhelds</t>
  </si>
  <si>
    <t>27 24 00</t>
  </si>
  <si>
    <t>Data Communications Peripheral Data Equipment</t>
  </si>
  <si>
    <t>27 24 13</t>
  </si>
  <si>
    <t>27 24 16</t>
  </si>
  <si>
    <t>Scanners</t>
  </si>
  <si>
    <t>27 24 19</t>
  </si>
  <si>
    <t>External Drives</t>
  </si>
  <si>
    <t>27 24 23</t>
  </si>
  <si>
    <t>Audio-Video Devices</t>
  </si>
  <si>
    <t>27 24 26</t>
  </si>
  <si>
    <t>Virtual Reality Equipment</t>
  </si>
  <si>
    <t>27 24 29</t>
  </si>
  <si>
    <t>Disaster Recovery Equipment</t>
  </si>
  <si>
    <t>27 25 00</t>
  </si>
  <si>
    <t>Data Communications Software</t>
  </si>
  <si>
    <t>27 25 13</t>
  </si>
  <si>
    <t>Virus Protection Software</t>
  </si>
  <si>
    <t>27 25 16</t>
  </si>
  <si>
    <t>Application Suites</t>
  </si>
  <si>
    <t>27 25 19</t>
  </si>
  <si>
    <t>Email Software</t>
  </si>
  <si>
    <t>27 25 23</t>
  </si>
  <si>
    <t>Graphics/Multimedia Software</t>
  </si>
  <si>
    <t>27 25 26</t>
  </si>
  <si>
    <t>Customer Relationship Management Software</t>
  </si>
  <si>
    <t>27 25 29</t>
  </si>
  <si>
    <t>Operating System Software</t>
  </si>
  <si>
    <t>27 25 33</t>
  </si>
  <si>
    <t>Database Software</t>
  </si>
  <si>
    <t>27 25 37</t>
  </si>
  <si>
    <t>Virtual Private Network Software</t>
  </si>
  <si>
    <t>27 25 39</t>
  </si>
  <si>
    <t>Internet Conferencing Software</t>
  </si>
  <si>
    <t>27 26 00</t>
  </si>
  <si>
    <t>Data Communications Programming and Integration Services</t>
  </si>
  <si>
    <t>27 26 13</t>
  </si>
  <si>
    <t>Web Development</t>
  </si>
  <si>
    <t>27 26 16</t>
  </si>
  <si>
    <t>Database Development</t>
  </si>
  <si>
    <t>27 26 19</t>
  </si>
  <si>
    <t>Application Development</t>
  </si>
  <si>
    <t>27 26 23</t>
  </si>
  <si>
    <t>Network Integration Requirements</t>
  </si>
  <si>
    <t>27 26 26</t>
  </si>
  <si>
    <t>Data Communications Integration Requirements</t>
  </si>
  <si>
    <t>27 30 00</t>
  </si>
  <si>
    <t>Voice Communications</t>
  </si>
  <si>
    <t>27 31 00</t>
  </si>
  <si>
    <t>Voice Communications Switching and Routing Equipment</t>
  </si>
  <si>
    <t>27 31 13</t>
  </si>
  <si>
    <t>PBX/ Key Systems</t>
  </si>
  <si>
    <t>27 31 23</t>
  </si>
  <si>
    <t>Internet Protocol Voice Switches</t>
  </si>
  <si>
    <t>27 32 00</t>
  </si>
  <si>
    <t>Voice Communications Terminal Equipment</t>
  </si>
  <si>
    <t>27 32 13</t>
  </si>
  <si>
    <t>Telephone Sets</t>
  </si>
  <si>
    <t>27 32 16</t>
  </si>
  <si>
    <t>Wireless Transceivers</t>
  </si>
  <si>
    <t>27 32 23</t>
  </si>
  <si>
    <t>Elevator Telephones</t>
  </si>
  <si>
    <t>27 32 26</t>
  </si>
  <si>
    <t>Ring-Down Emergency Telephones</t>
  </si>
  <si>
    <t>27 32 29</t>
  </si>
  <si>
    <t>Facsimiles and Modems</t>
  </si>
  <si>
    <t>27 32 36</t>
  </si>
  <si>
    <t>TTY Equipment</t>
  </si>
  <si>
    <t>27 32 43</t>
  </si>
  <si>
    <t>Radio Communications Equipment</t>
  </si>
  <si>
    <t>27 33 00</t>
  </si>
  <si>
    <t>Voice Communications Messaging</t>
  </si>
  <si>
    <t>27 33 16</t>
  </si>
  <si>
    <t>Voice Mail and Auto Attendant</t>
  </si>
  <si>
    <t>27 33 23</t>
  </si>
  <si>
    <t>Interactive Voice Response</t>
  </si>
  <si>
    <t>27 33 26</t>
  </si>
  <si>
    <t>Facsimile Servers</t>
  </si>
  <si>
    <t>27 34 00</t>
  </si>
  <si>
    <t>Call Accounting</t>
  </si>
  <si>
    <t>27 34 13</t>
  </si>
  <si>
    <t>Toll Fraud Equipment and Software</t>
  </si>
  <si>
    <t>27 34 16</t>
  </si>
  <si>
    <t>Telemanagement Software</t>
  </si>
  <si>
    <t>27 35 00</t>
  </si>
  <si>
    <t>Call Management</t>
  </si>
  <si>
    <t>27 35 13</t>
  </si>
  <si>
    <t>Digital Voice Announcers</t>
  </si>
  <si>
    <t>27 35 16</t>
  </si>
  <si>
    <t>Automatic Call Distributors</t>
  </si>
  <si>
    <t>27 35 19</t>
  </si>
  <si>
    <t>Call Status and Management Displays</t>
  </si>
  <si>
    <t>27 35 23</t>
  </si>
  <si>
    <t>Dedicated 911 Systems</t>
  </si>
  <si>
    <t>27 40 00</t>
  </si>
  <si>
    <t>Audio-Video Communications</t>
  </si>
  <si>
    <t>27 41 00</t>
  </si>
  <si>
    <t>Audio-Video Systems</t>
  </si>
  <si>
    <t>27 41 13</t>
  </si>
  <si>
    <t>Architecturally Integrated Audio-Video Equipment</t>
  </si>
  <si>
    <t>27 41 16</t>
  </si>
  <si>
    <t>Integrated Audio-Video Systems and Equipment</t>
  </si>
  <si>
    <t>27 41 16.25</t>
  </si>
  <si>
    <t>Integrated Audio-Video Systems and Equipment for Restaurants and Bars</t>
  </si>
  <si>
    <t>27 41 16.28</t>
  </si>
  <si>
    <t>Integrated Audio-Video Systems and Equipment for Conference Rooms</t>
  </si>
  <si>
    <t>27 41 16.29</t>
  </si>
  <si>
    <t>Integrated Audio-Video Systems and Equipment for Board Rooms</t>
  </si>
  <si>
    <t>27 41 16.51</t>
  </si>
  <si>
    <t>Integrated Audio-Video Systems and Equipment for Classrooms</t>
  </si>
  <si>
    <t>27 41 16.52</t>
  </si>
  <si>
    <t>Integrated Audio-Video Systems and Equipment for Religious Facilities</t>
  </si>
  <si>
    <t>27 41 16.61</t>
  </si>
  <si>
    <t>Integrated Audio-Video Systems and Equipment for Theaters</t>
  </si>
  <si>
    <t>27 41 16.62</t>
  </si>
  <si>
    <t>Integrated Audio-Video Systems and Equipment for Auditoriums</t>
  </si>
  <si>
    <t>27 41 16.63</t>
  </si>
  <si>
    <t>Integrated Audio-Video Systems and Equipment for Stadiums and Arenas</t>
  </si>
  <si>
    <t>27 41 19</t>
  </si>
  <si>
    <t>Portable Audio-Video Equipment</t>
  </si>
  <si>
    <t>27 41 23</t>
  </si>
  <si>
    <t>Audio-Video Accessories</t>
  </si>
  <si>
    <t>27 41 33</t>
  </si>
  <si>
    <t>Master Antenna Television Systems</t>
  </si>
  <si>
    <t>27 41 43</t>
  </si>
  <si>
    <t>Audio-Video Conferencing</t>
  </si>
  <si>
    <t>27 42 00</t>
  </si>
  <si>
    <t>Electronic Digital Systems</t>
  </si>
  <si>
    <t>27 42 13</t>
  </si>
  <si>
    <t>Point of Sale Systems</t>
  </si>
  <si>
    <t>27 42 16</t>
  </si>
  <si>
    <t>Transportation Information Display Systems</t>
  </si>
  <si>
    <t>27 42 19</t>
  </si>
  <si>
    <t>Public Information Systems</t>
  </si>
  <si>
    <t>27 50 00</t>
  </si>
  <si>
    <t>Distributed Communications and Monitoring Systems</t>
  </si>
  <si>
    <t>27 51 00</t>
  </si>
  <si>
    <t>Distributed Audio-Video Communications Systems</t>
  </si>
  <si>
    <t>27 51 13</t>
  </si>
  <si>
    <t>Paging Systems</t>
  </si>
  <si>
    <t>27 51 13.13</t>
  </si>
  <si>
    <t>Overhead Paging Systems</t>
  </si>
  <si>
    <t>27 51 16</t>
  </si>
  <si>
    <t>Public Address Systems</t>
  </si>
  <si>
    <t>27 51 19</t>
  </si>
  <si>
    <t>Sound Masking Systems</t>
  </si>
  <si>
    <t>27 51 23</t>
  </si>
  <si>
    <t>Intercommunications and Program Systems</t>
  </si>
  <si>
    <t>27 51 23.20</t>
  </si>
  <si>
    <t>Commercial Intercommunications and Program Systems</t>
  </si>
  <si>
    <t>27 51 23.30</t>
  </si>
  <si>
    <t>Residential Intercommunications and Program Systems</t>
  </si>
  <si>
    <t>27 51 23.50</t>
  </si>
  <si>
    <t>Educational Intercommunications and Program Systems</t>
  </si>
  <si>
    <t>27 51 23.63</t>
  </si>
  <si>
    <t>Detention Intercommunications and Program Systems</t>
  </si>
  <si>
    <t>27 51 23.70</t>
  </si>
  <si>
    <t>Healthcare Intercommunications and Program Systems</t>
  </si>
  <si>
    <t>27 51 26</t>
  </si>
  <si>
    <t>Assistive Listening Systems</t>
  </si>
  <si>
    <t>27 52 00</t>
  </si>
  <si>
    <t>Healthcare Communications and Monitoring Systems</t>
  </si>
  <si>
    <t>27 52 13</t>
  </si>
  <si>
    <t>Patient Monitoring and Telemetry Systems</t>
  </si>
  <si>
    <t>27 52 16</t>
  </si>
  <si>
    <t>Telemedicine Systems</t>
  </si>
  <si>
    <t>27 52 19</t>
  </si>
  <si>
    <t>Healthcare Imaging Systems</t>
  </si>
  <si>
    <t>27 52 23</t>
  </si>
  <si>
    <t>Nurse Call/Code Blue Systems</t>
  </si>
  <si>
    <t>27 53 00</t>
  </si>
  <si>
    <t>Distributed Systems</t>
  </si>
  <si>
    <t>27 53 13</t>
  </si>
  <si>
    <t>Clock Systems</t>
  </si>
  <si>
    <t>27 53 13.13</t>
  </si>
  <si>
    <t>Wireless Clock Systems</t>
  </si>
  <si>
    <t>27 53 16</t>
  </si>
  <si>
    <t>Infrared and Radio Frequency Tracking Systems</t>
  </si>
  <si>
    <t>27 53 19</t>
  </si>
  <si>
    <t>Internal Cellular, Paging, and Antenna Systems</t>
  </si>
  <si>
    <t>27 60 00</t>
  </si>
  <si>
    <t>28 00 00</t>
  </si>
  <si>
    <t>Electronic Safety and Security</t>
  </si>
  <si>
    <t>28 01 00</t>
  </si>
  <si>
    <t>Operation and Maintenance of Electronic Safety and Security</t>
  </si>
  <si>
    <t>28 01 10</t>
  </si>
  <si>
    <t>Operation and Maintenance of Electronic Access Control and Intrusion Detection</t>
  </si>
  <si>
    <t>28 01 10.51</t>
  </si>
  <si>
    <t>Maintenance and Administration of Electronic Access Control and Intrusion Detection</t>
  </si>
  <si>
    <t>28 01 10.71</t>
  </si>
  <si>
    <t>Revisions and Upgrades of Electronic Access Control and Intrusion Detection</t>
  </si>
  <si>
    <t>28 01 20</t>
  </si>
  <si>
    <t>Operation and Maintenance of Electronic Surveillance</t>
  </si>
  <si>
    <t>28 01 30</t>
  </si>
  <si>
    <t>Operation and Maintenance of Electronic Detection and Alarm</t>
  </si>
  <si>
    <t>28 01 30.51</t>
  </si>
  <si>
    <t>Maintenance and Administration of Electronic Detection and Alarm</t>
  </si>
  <si>
    <t>28 01 30.71</t>
  </si>
  <si>
    <t>Revisions and Upgrades of Electronic Detection and Alarm</t>
  </si>
  <si>
    <t>28 01 40</t>
  </si>
  <si>
    <t>Operation and Maintenance of Electronic Monitoring and Control</t>
  </si>
  <si>
    <t>28 01 40.51</t>
  </si>
  <si>
    <t>Maintenance and Administration of Electronic Monitoring and Control</t>
  </si>
  <si>
    <t>28 01 40.71</t>
  </si>
  <si>
    <t>Revisions and Upgrades of Electronic Monitoring and Control</t>
  </si>
  <si>
    <t>28 05 00</t>
  </si>
  <si>
    <t>Common Work Results for Electronic Safety and Security</t>
  </si>
  <si>
    <t>28 05 13</t>
  </si>
  <si>
    <t>Conductors and Cables for Electronic Safety and Security</t>
  </si>
  <si>
    <t>28 05 13.13</t>
  </si>
  <si>
    <t>CCTV Communications Conductors and Cables</t>
  </si>
  <si>
    <t>28 05 13.16</t>
  </si>
  <si>
    <t>Access Control Communications Conductors and Cables</t>
  </si>
  <si>
    <t>28 05 13.19</t>
  </si>
  <si>
    <t>Intrusion Detection Communications Conductors and Cables</t>
  </si>
  <si>
    <t>28 05 13.23</t>
  </si>
  <si>
    <t>Fire Alarm Communications Conductors and Cables</t>
  </si>
  <si>
    <t>28 05 26</t>
  </si>
  <si>
    <t>Grounding and Bonding for Electronic Safety and Security</t>
  </si>
  <si>
    <t>28 05 28</t>
  </si>
  <si>
    <t>Pathways for Electronic Safety and Security</t>
  </si>
  <si>
    <t>28 05 28.29</t>
  </si>
  <si>
    <t>Hangers and Supports for Electronic Safety and Security</t>
  </si>
  <si>
    <t>28 05 28.33</t>
  </si>
  <si>
    <t>Conduits and Backboxes for Electronic Safety and Security</t>
  </si>
  <si>
    <t>28 05 28.36</t>
  </si>
  <si>
    <t>Cable Trays for Electronic Safety and Security</t>
  </si>
  <si>
    <t>28 05 28.39</t>
  </si>
  <si>
    <t>Surface Raceways for Electronic Safety and Security</t>
  </si>
  <si>
    <t>28 05 48</t>
  </si>
  <si>
    <t>Vibration and Seismic Controls for Electronic Safety and Security</t>
  </si>
  <si>
    <t>28 05 53</t>
  </si>
  <si>
    <t>Identification for Electronic Safety and Security</t>
  </si>
  <si>
    <t>28 06 00</t>
  </si>
  <si>
    <t>Schedules for Electronic Safety and Security</t>
  </si>
  <si>
    <t>28 06 10</t>
  </si>
  <si>
    <t>Schedules for Electronic Access Control and Intrusion Detection</t>
  </si>
  <si>
    <t>28 06 20</t>
  </si>
  <si>
    <t>Schedules for Electronic Surveillance</t>
  </si>
  <si>
    <t>28 06 30</t>
  </si>
  <si>
    <t>Schedules for Electronic Detection and Alarm</t>
  </si>
  <si>
    <t>28 06 40</t>
  </si>
  <si>
    <t>Schedules for Electronic Monitoring and Control</t>
  </si>
  <si>
    <t>28 08 00</t>
  </si>
  <si>
    <t>Commissioning of Electronic Safety and Security</t>
  </si>
  <si>
    <t>28 10 00</t>
  </si>
  <si>
    <t>Electronic Access Control and Intrusion Detection</t>
  </si>
  <si>
    <t>28 13 00</t>
  </si>
  <si>
    <t>Access Control</t>
  </si>
  <si>
    <t>28 13 13</t>
  </si>
  <si>
    <t>Access Control Global Applications</t>
  </si>
  <si>
    <t>28 13 16</t>
  </si>
  <si>
    <t>Access Control Systems and Database Management</t>
  </si>
  <si>
    <t>28 13 19</t>
  </si>
  <si>
    <t>Access Control Systems Infrastructure</t>
  </si>
  <si>
    <t>28 13 26</t>
  </si>
  <si>
    <t>Access Control Remote Devices</t>
  </si>
  <si>
    <t>28 13 33</t>
  </si>
  <si>
    <t>Access Control Interfaces</t>
  </si>
  <si>
    <t>28 13 33.16</t>
  </si>
  <si>
    <t>Access Control Interfaces to Access Control Hardware</t>
  </si>
  <si>
    <t>28 13 33.26</t>
  </si>
  <si>
    <t>Access Control Interfaces to Intrusion Detection</t>
  </si>
  <si>
    <t>28 13 33.33</t>
  </si>
  <si>
    <t>Access Control Interfaces to Video Surveillance</t>
  </si>
  <si>
    <t>28 13 33.36</t>
  </si>
  <si>
    <t>Access Control Interfaces to Fire Alarm</t>
  </si>
  <si>
    <t>28 13 43</t>
  </si>
  <si>
    <t>Access Control Identification Management Systems</t>
  </si>
  <si>
    <t>28 13 53</t>
  </si>
  <si>
    <t>Security Access Detection</t>
  </si>
  <si>
    <t>28 13 53.13</t>
  </si>
  <si>
    <t>Security Access Metal Detectors</t>
  </si>
  <si>
    <t>28 13 53.16</t>
  </si>
  <si>
    <t>Security Access X-Ray Equipment</t>
  </si>
  <si>
    <t>28 13 53.23</t>
  </si>
  <si>
    <t>Security Access Explosive Detection Equipment</t>
  </si>
  <si>
    <t>28 13 53.29</t>
  </si>
  <si>
    <t>Security Access Sniffing Equipment</t>
  </si>
  <si>
    <t>28 13 63</t>
  </si>
  <si>
    <t>Access Control Vehicle Identification System</t>
  </si>
  <si>
    <t>28 16 00</t>
  </si>
  <si>
    <t>Intrusion Detection</t>
  </si>
  <si>
    <t>28 16 13</t>
  </si>
  <si>
    <t>Intrusion Detection Control, GUI, and Logic Systems</t>
  </si>
  <si>
    <t>28 16 16</t>
  </si>
  <si>
    <t>Intrusion Detection Systems Infrastructure</t>
  </si>
  <si>
    <t>28 16 19</t>
  </si>
  <si>
    <t>Intrusion Detection Remote Devices and Sensors</t>
  </si>
  <si>
    <t>28 16 33</t>
  </si>
  <si>
    <t>Intrusion Detection Interfaces</t>
  </si>
  <si>
    <t>28 16 33.13</t>
  </si>
  <si>
    <t>Intrusion Detection Interfaces to Remote Monitoring</t>
  </si>
  <si>
    <t>28 16 33.16</t>
  </si>
  <si>
    <t>Intrusion Detection Interfaces to Access Control Hardware</t>
  </si>
  <si>
    <t>28 16 33.23</t>
  </si>
  <si>
    <t>Intrusion Detection Interfaces to Access Control System</t>
  </si>
  <si>
    <t>28 16 33.33</t>
  </si>
  <si>
    <t>Intrusion Detection Interfaces to Video Surveillance</t>
  </si>
  <si>
    <t>28 16 33.36</t>
  </si>
  <si>
    <t>Intrusion Detection Interfaces to Fire Alarm</t>
  </si>
  <si>
    <t>28 16 43</t>
  </si>
  <si>
    <t>Perimeter Security Systems</t>
  </si>
  <si>
    <t>28 20 00</t>
  </si>
  <si>
    <t>Electronic Surveillance</t>
  </si>
  <si>
    <t>28 23 00</t>
  </si>
  <si>
    <t>Video Surveillance</t>
  </si>
  <si>
    <t>28 23 13</t>
  </si>
  <si>
    <t>Video Surveillance Control and Management Systems</t>
  </si>
  <si>
    <t>28 23 16</t>
  </si>
  <si>
    <t>Video Surveillance Monitoring and Supervisory Interfaces</t>
  </si>
  <si>
    <t>28 23 19</t>
  </si>
  <si>
    <t>Digital Video Recorders and Analog Recording Devices</t>
  </si>
  <si>
    <t>28 23 23</t>
  </si>
  <si>
    <t>Video Surveillance Systems Infrastructure</t>
  </si>
  <si>
    <t>28 23 26</t>
  </si>
  <si>
    <t>Video Surveillance Remote Positioning Equipment</t>
  </si>
  <si>
    <t>28 23 29</t>
  </si>
  <si>
    <t>Video Surveillance Remote Devices and Sensors</t>
  </si>
  <si>
    <t>28 26 00</t>
  </si>
  <si>
    <t>Electronic Personal Protection Systems</t>
  </si>
  <si>
    <t>28 26 13</t>
  </si>
  <si>
    <t>Electronic Personal Safety Detection Systems</t>
  </si>
  <si>
    <t>28 26 16</t>
  </si>
  <si>
    <t>Electronic Personal Safety Alarm Annunciation and Control Systems</t>
  </si>
  <si>
    <t>28 26 19</t>
  </si>
  <si>
    <t>Electronic Personal Safety Interfaces to Remote Monitoring</t>
  </si>
  <si>
    <t>28 26 23</t>
  </si>
  <si>
    <t>Electronic Personal Safety Emergency Aid Devices</t>
  </si>
  <si>
    <t>28 30 00</t>
  </si>
  <si>
    <t>Electronic Detection and Alarm</t>
  </si>
  <si>
    <t>28 31 00</t>
  </si>
  <si>
    <t>Fire Detection and Alarm</t>
  </si>
  <si>
    <t>28 31 11</t>
  </si>
  <si>
    <t>Digital, Addressable Fire-Alarm Systems</t>
  </si>
  <si>
    <t>28 31 12</t>
  </si>
  <si>
    <t>Zoned (DC Loop) Fire-Alarm Systems</t>
  </si>
  <si>
    <t>28 31 13</t>
  </si>
  <si>
    <t>Fire Detection and Alarm Control, GUI, and Logic Systems</t>
  </si>
  <si>
    <t>28 31 23</t>
  </si>
  <si>
    <t>Fire Detection and Alarm Annunciation Panels and Fire Stations</t>
  </si>
  <si>
    <t>28 31 33</t>
  </si>
  <si>
    <t>Fire Detection and Alarm Interfaces</t>
  </si>
  <si>
    <t>28 31 33.13</t>
  </si>
  <si>
    <t>Fire Detection and Alarm Interfaces to Remote Monitoring</t>
  </si>
  <si>
    <t>28 31 33.16</t>
  </si>
  <si>
    <t>Fire Detection and Alarm Interfaces to Access Control Hardware</t>
  </si>
  <si>
    <t>28 31 33.23</t>
  </si>
  <si>
    <t>Fire Detection and Alarm Interfaces to Access Control System</t>
  </si>
  <si>
    <t>28 31 33.26</t>
  </si>
  <si>
    <t>Fire Detection and Alarm Interfaces to Intrusion Detection</t>
  </si>
  <si>
    <t>28 31 33.33</t>
  </si>
  <si>
    <t>Fire Detection and Alarm Interfaces to Video Surveillance</t>
  </si>
  <si>
    <t>28 31 33.43</t>
  </si>
  <si>
    <t>Fire Detection and Alarm Interfaces to Elevator Control</t>
  </si>
  <si>
    <t>28 31 43</t>
  </si>
  <si>
    <t>Fire Detection Sensors</t>
  </si>
  <si>
    <t>28 31 46</t>
  </si>
  <si>
    <t>Smoke Detection Sensors</t>
  </si>
  <si>
    <t>28 31 49</t>
  </si>
  <si>
    <t>Carbon-Monoxide Detection Sensors</t>
  </si>
  <si>
    <t>28 31 53</t>
  </si>
  <si>
    <t>Fire Alarm Initiating Devices</t>
  </si>
  <si>
    <t>28 31 53.13</t>
  </si>
  <si>
    <t>Fire Alarm Pull Stations</t>
  </si>
  <si>
    <t>28 31 53.23</t>
  </si>
  <si>
    <t>Fire Alarm Level Detectors Switches</t>
  </si>
  <si>
    <t>28 31 53.33</t>
  </si>
  <si>
    <t>Fire Alarm Flow Switches</t>
  </si>
  <si>
    <t>28 31 53.43</t>
  </si>
  <si>
    <t>Fire Alarm Pressure Sensors</t>
  </si>
  <si>
    <t>28 31 63</t>
  </si>
  <si>
    <t>Fire Alarm Integrated Audio Visual Evacuation Systems</t>
  </si>
  <si>
    <t>28 31 63.13</t>
  </si>
  <si>
    <t>Fire Alarm Horns and Strobes</t>
  </si>
  <si>
    <t>28 32 00</t>
  </si>
  <si>
    <t>Radiation Detection and Alarm</t>
  </si>
  <si>
    <t>28 32 13</t>
  </si>
  <si>
    <t>Radiation Detection and Alarm Control, GUI, and Logic Systems</t>
  </si>
  <si>
    <t>28 32 23</t>
  </si>
  <si>
    <t>Radiation Detection and Alarm Integrated Audio Evacuation Systems</t>
  </si>
  <si>
    <t>28 32 33</t>
  </si>
  <si>
    <t>Radiation Detection Sensors</t>
  </si>
  <si>
    <t>28 32 43</t>
  </si>
  <si>
    <t>Radiation Dosimeters</t>
  </si>
  <si>
    <t>28 33 00</t>
  </si>
  <si>
    <t>Gas Detection and Alarm</t>
  </si>
  <si>
    <t>28 33 13</t>
  </si>
  <si>
    <t>Gas Detection and Alarm Control, GUI, and Logic Systems</t>
  </si>
  <si>
    <t>28 33 23</t>
  </si>
  <si>
    <t>Gas Detection and Alarm Integrated Audio Evacuation Systems</t>
  </si>
  <si>
    <t>28 33 33</t>
  </si>
  <si>
    <t>Gas Detection Sensors</t>
  </si>
  <si>
    <t>28 34 00</t>
  </si>
  <si>
    <t>Fuel-Oil Detection and Alarm</t>
  </si>
  <si>
    <t>28 34 13</t>
  </si>
  <si>
    <t>Fuel-Oil Detection and Alarm Control, GUI, and Logic Systems</t>
  </si>
  <si>
    <t>28 34 23</t>
  </si>
  <si>
    <t>Fuel-Oil Detection and Alarm Integrated Audio Evacuation Systems</t>
  </si>
  <si>
    <t>28 34 33</t>
  </si>
  <si>
    <t>Fuel-Oil Detection Sensors</t>
  </si>
  <si>
    <t>28 35 00</t>
  </si>
  <si>
    <t>Refrigerant Detection and Alarm</t>
  </si>
  <si>
    <t>28 35 13</t>
  </si>
  <si>
    <t>Refrigerant Detection and Alarm Control, GUI, and Logic Systems</t>
  </si>
  <si>
    <t>28 35 23</t>
  </si>
  <si>
    <t>Refrigerant Detection and Alarm Integrated Audio Evacuation Systems</t>
  </si>
  <si>
    <t>28 35 33</t>
  </si>
  <si>
    <t>Refrigerant Detection Sensors</t>
  </si>
  <si>
    <t>28 36 00</t>
  </si>
  <si>
    <t>Water Detection and Alarm</t>
  </si>
  <si>
    <t>28 36 13</t>
  </si>
  <si>
    <t>Water Detection and Alarm Control, GUI, and Logic Systems</t>
  </si>
  <si>
    <t>28 36 33</t>
  </si>
  <si>
    <t>Water Detection Sensors</t>
  </si>
  <si>
    <t>28 39 00</t>
  </si>
  <si>
    <t>Mass Notification Systems</t>
  </si>
  <si>
    <t>28 40 00</t>
  </si>
  <si>
    <t>Electronic Monitoring and Control</t>
  </si>
  <si>
    <t>28 46 00</t>
  </si>
  <si>
    <t>Electronic Detention Monitoring and Control Systems</t>
  </si>
  <si>
    <t>28 46 13</t>
  </si>
  <si>
    <t>Hard-Wired Detention Monitoring and Control Systems</t>
  </si>
  <si>
    <t>28 46 16</t>
  </si>
  <si>
    <t>Relay-Logic Detention Monitoring and Control Systems</t>
  </si>
  <si>
    <t>28 46 19</t>
  </si>
  <si>
    <t>PLC Electronic Detention Monitoring and Control Systems</t>
  </si>
  <si>
    <t>28 46 23</t>
  </si>
  <si>
    <t>Computer-Based Detention Monitoring and Control Systems</t>
  </si>
  <si>
    <t>28 46 26</t>
  </si>
  <si>
    <t>Discreet-Logic Detention Monitoring and Control Systems</t>
  </si>
  <si>
    <t>28 46 29</t>
  </si>
  <si>
    <t>Discreet-Distributed Intelligence Detention Monitoring and Control Systems</t>
  </si>
  <si>
    <t>31 00 00</t>
  </si>
  <si>
    <t>Earthwork</t>
  </si>
  <si>
    <t>31 01 00</t>
  </si>
  <si>
    <t>Maintenance of Earthwork</t>
  </si>
  <si>
    <t>31 01 10</t>
  </si>
  <si>
    <t>Maintenance of Clearing</t>
  </si>
  <si>
    <t>31 01 20</t>
  </si>
  <si>
    <t>Maintenance of Earth Moving</t>
  </si>
  <si>
    <t>31 01 40</t>
  </si>
  <si>
    <t>Maintenance of Shoring and Underpinning</t>
  </si>
  <si>
    <t>31 01 50</t>
  </si>
  <si>
    <t>Maintenance of Excavation Support and Protection</t>
  </si>
  <si>
    <t>31 01 60</t>
  </si>
  <si>
    <t>Maintenance of Special Foundations and Load Bearing Elements</t>
  </si>
  <si>
    <t>31 01 62</t>
  </si>
  <si>
    <t>Maintenance of Driven Piles</t>
  </si>
  <si>
    <t>31 01 62.61</t>
  </si>
  <si>
    <t>Driven Pile Repairs</t>
  </si>
  <si>
    <t>31 01 63</t>
  </si>
  <si>
    <t>Maintenance of Bored and Augered Piles</t>
  </si>
  <si>
    <t>31 01 63.61</t>
  </si>
  <si>
    <t>Bored and Augered Pile Repairs</t>
  </si>
  <si>
    <t>31 01 70</t>
  </si>
  <si>
    <t>Maintenance of Tunneling and Mining</t>
  </si>
  <si>
    <t>31 01 70.61</t>
  </si>
  <si>
    <t>Tunnel Leak Repairs</t>
  </si>
  <si>
    <t>31 05 00</t>
  </si>
  <si>
    <t>Common Work Results for Earthwork</t>
  </si>
  <si>
    <t>31 05 13</t>
  </si>
  <si>
    <t>Soils for Earthwork</t>
  </si>
  <si>
    <t>31 05 16</t>
  </si>
  <si>
    <t>Aggregates for Earthwork</t>
  </si>
  <si>
    <t>31 05 19</t>
  </si>
  <si>
    <t>Geosynthetics for Earthwork</t>
  </si>
  <si>
    <t>31 05 19.13</t>
  </si>
  <si>
    <t>Geotextiles for Earthwork</t>
  </si>
  <si>
    <t>31 05 19.16</t>
  </si>
  <si>
    <t>Geomembranes for Earthwork</t>
  </si>
  <si>
    <t>31 05 19.19</t>
  </si>
  <si>
    <t>Geogrids for Earthwork</t>
  </si>
  <si>
    <t>31 05 23</t>
  </si>
  <si>
    <t>Cement and Concrete for Earthwork</t>
  </si>
  <si>
    <t>31 06 00</t>
  </si>
  <si>
    <t>Schedules for Earthwork</t>
  </si>
  <si>
    <t>31 06 10</t>
  </si>
  <si>
    <t>Schedules for Clearing</t>
  </si>
  <si>
    <t>31 06 20</t>
  </si>
  <si>
    <t>Schedules for Earth Moving</t>
  </si>
  <si>
    <t>31 06 20.13</t>
  </si>
  <si>
    <t>Trench Dimension Schedule</t>
  </si>
  <si>
    <t>31 06 20.16</t>
  </si>
  <si>
    <t>Backfill Material Schedule</t>
  </si>
  <si>
    <t>31 06 40</t>
  </si>
  <si>
    <t>Schedules for Shoring and Underpinning</t>
  </si>
  <si>
    <t>31 06 50</t>
  </si>
  <si>
    <t>Schedules for Excavation Support and Protection</t>
  </si>
  <si>
    <t>31 06 60</t>
  </si>
  <si>
    <t>Schedules for Special Foundations and Load Bearing Elements</t>
  </si>
  <si>
    <t>31 06 60.13</t>
  </si>
  <si>
    <t>Driven Pile Schedule</t>
  </si>
  <si>
    <t>31 06 60.16</t>
  </si>
  <si>
    <t>Caisson Schedule</t>
  </si>
  <si>
    <t>31 06 70</t>
  </si>
  <si>
    <t>Schedules for Tunneling and Mining</t>
  </si>
  <si>
    <t>31 08 00</t>
  </si>
  <si>
    <t>Commissioning of Earthwork</t>
  </si>
  <si>
    <t>31 08 13</t>
  </si>
  <si>
    <t>Pile Load Testing</t>
  </si>
  <si>
    <t>31 08 13.13</t>
  </si>
  <si>
    <t>Dynamic Pile Load Testing</t>
  </si>
  <si>
    <t>31 08 13.16</t>
  </si>
  <si>
    <t>Static Pile Load Testing</t>
  </si>
  <si>
    <t>31 09 00</t>
  </si>
  <si>
    <t>Geotechnical Instrumentation and Monitoring of Earthwork</t>
  </si>
  <si>
    <t>31 09 13</t>
  </si>
  <si>
    <t>Geotechnical Instrumentation and Monitoring</t>
  </si>
  <si>
    <t>31 09 13.13</t>
  </si>
  <si>
    <t>Groundwater Monitoring During Construction</t>
  </si>
  <si>
    <t>31 09 16</t>
  </si>
  <si>
    <t>Foundation Performance Instrumentation</t>
  </si>
  <si>
    <t>31 09 16.26</t>
  </si>
  <si>
    <t>Bored and Augered Pile Load Tests</t>
  </si>
  <si>
    <t>31 10 00</t>
  </si>
  <si>
    <t>Site Clearing</t>
  </si>
  <si>
    <t>31 11 00</t>
  </si>
  <si>
    <t>Clearing and Grubbing</t>
  </si>
  <si>
    <t>31 12 00</t>
  </si>
  <si>
    <t>Selective Clearing</t>
  </si>
  <si>
    <t>31 13 00</t>
  </si>
  <si>
    <t>Selective Tree and Shrub Removal and Trimming</t>
  </si>
  <si>
    <t>31 13 13</t>
  </si>
  <si>
    <t>Selective Tree and Shrub Removal</t>
  </si>
  <si>
    <t>31 13 16</t>
  </si>
  <si>
    <t>Selective Tree and Shrub Trimming</t>
  </si>
  <si>
    <t>31 14 00</t>
  </si>
  <si>
    <t>Earth Stripping and Stockpiling</t>
  </si>
  <si>
    <t>31 14 13</t>
  </si>
  <si>
    <t>Soil Stripping and Stockpiling</t>
  </si>
  <si>
    <t>31 14 13.13</t>
  </si>
  <si>
    <t>Soil Stripping</t>
  </si>
  <si>
    <t>31 14 13.16</t>
  </si>
  <si>
    <t>Soil Stockpiling</t>
  </si>
  <si>
    <t>31 14 13.23</t>
  </si>
  <si>
    <t>Topsoil Stripping and Stockpiling</t>
  </si>
  <si>
    <t>31 14 16</t>
  </si>
  <si>
    <t>Sod Stripping and Stockpiling</t>
  </si>
  <si>
    <t>31 14 16.13</t>
  </si>
  <si>
    <t>Sod Stripping</t>
  </si>
  <si>
    <t>31 14 16.16</t>
  </si>
  <si>
    <t>Sod Stockpiling</t>
  </si>
  <si>
    <t>31 20 00</t>
  </si>
  <si>
    <t>Earth Moving</t>
  </si>
  <si>
    <t>31 21 00</t>
  </si>
  <si>
    <t>Off-Gassing Mitigation</t>
  </si>
  <si>
    <t>31 21 13</t>
  </si>
  <si>
    <t>Radon Mitigation</t>
  </si>
  <si>
    <t>31 21 13.13</t>
  </si>
  <si>
    <t>Radon Venting</t>
  </si>
  <si>
    <t>31 21 16</t>
  </si>
  <si>
    <t>Methane Mitigation</t>
  </si>
  <si>
    <t>31 21 16.13</t>
  </si>
  <si>
    <t>Methane Venting</t>
  </si>
  <si>
    <t>31 22 00</t>
  </si>
  <si>
    <t>Grading</t>
  </si>
  <si>
    <t>31 22 13</t>
  </si>
  <si>
    <t>Rough Grading</t>
  </si>
  <si>
    <t>31 22 16</t>
  </si>
  <si>
    <t>Fine Grading</t>
  </si>
  <si>
    <t>31 22 16.13</t>
  </si>
  <si>
    <t>Roadway Subgrade Reshaping</t>
  </si>
  <si>
    <t>31 22 19</t>
  </si>
  <si>
    <t>Finish Grading</t>
  </si>
  <si>
    <t>31 22 19.13</t>
  </si>
  <si>
    <t>Spreading and Grading Topsoil</t>
  </si>
  <si>
    <t>31 23 00</t>
  </si>
  <si>
    <t>Excavation and Fill</t>
  </si>
  <si>
    <t>31 23 13</t>
  </si>
  <si>
    <t>Subgrade Preparation</t>
  </si>
  <si>
    <t>31 23 16</t>
  </si>
  <si>
    <t>Excavation</t>
  </si>
  <si>
    <t>31 23 16.13</t>
  </si>
  <si>
    <t>Trenching</t>
  </si>
  <si>
    <t>31 23 16.16</t>
  </si>
  <si>
    <t>Structural Excavation for Minor Structures</t>
  </si>
  <si>
    <t>31 23 16.26</t>
  </si>
  <si>
    <t>Rock Removal</t>
  </si>
  <si>
    <t>31 23 19</t>
  </si>
  <si>
    <t>Dewatering</t>
  </si>
  <si>
    <t>31 23 23</t>
  </si>
  <si>
    <t>Fill</t>
  </si>
  <si>
    <t>31 23 23.13</t>
  </si>
  <si>
    <t>Backfill</t>
  </si>
  <si>
    <t>31 23 23.23</t>
  </si>
  <si>
    <t>Compaction</t>
  </si>
  <si>
    <t>31 23 23.33</t>
  </si>
  <si>
    <t>Flowable Fill</t>
  </si>
  <si>
    <t>31 23 23.43</t>
  </si>
  <si>
    <t>Geofoam</t>
  </si>
  <si>
    <t>31 23 33</t>
  </si>
  <si>
    <t>Trenching and Backfilling</t>
  </si>
  <si>
    <t>31 24 00</t>
  </si>
  <si>
    <t>Embankments</t>
  </si>
  <si>
    <t>31 24 13</t>
  </si>
  <si>
    <t>Roadway Embankments</t>
  </si>
  <si>
    <t>31 24 16</t>
  </si>
  <si>
    <t>Railway Embankments</t>
  </si>
  <si>
    <t>31 25 00</t>
  </si>
  <si>
    <t>Erosion and Sedimentation Controls</t>
  </si>
  <si>
    <t>31 25 14</t>
  </si>
  <si>
    <t>Stabilization Measures for Erosion and Sedimentation Control</t>
  </si>
  <si>
    <t>31 25 14.13</t>
  </si>
  <si>
    <t>Hydraulically-Applied Erosion Control</t>
  </si>
  <si>
    <t>31 25 14.16</t>
  </si>
  <si>
    <t>Rolled Erosion Control Mats and Blankets</t>
  </si>
  <si>
    <t>31 25 24</t>
  </si>
  <si>
    <t>Structural Measures for Erosion and Sedimentation Control</t>
  </si>
  <si>
    <t>31 25 24.13</t>
  </si>
  <si>
    <t>Rock Barriers</t>
  </si>
  <si>
    <t>31 25 34</t>
  </si>
  <si>
    <t>Retention Measures for Erosion and Sedimentation Controls</t>
  </si>
  <si>
    <t>31 25 34.13</t>
  </si>
  <si>
    <t>Rock Basins</t>
  </si>
  <si>
    <t>31 30 00</t>
  </si>
  <si>
    <t>Earthwork Methods</t>
  </si>
  <si>
    <t>31 31 00</t>
  </si>
  <si>
    <t>Soil Treatment</t>
  </si>
  <si>
    <t>31 31 13</t>
  </si>
  <si>
    <t>Rodent Control</t>
  </si>
  <si>
    <t>31 31 13.16</t>
  </si>
  <si>
    <t>Rodent Control Bait Systems</t>
  </si>
  <si>
    <t>31 31 13.19</t>
  </si>
  <si>
    <t>Rodent Control Traps</t>
  </si>
  <si>
    <t>31 31 13.23</t>
  </si>
  <si>
    <t>Rodent Control Electronic Systems</t>
  </si>
  <si>
    <t>31 31 13.26</t>
  </si>
  <si>
    <t>Rodent Control Repellants</t>
  </si>
  <si>
    <t>31 31 16</t>
  </si>
  <si>
    <t>Termite Control</t>
  </si>
  <si>
    <t>31 31 16.13</t>
  </si>
  <si>
    <t>Chemical Termite Control</t>
  </si>
  <si>
    <t>31 31 16.16</t>
  </si>
  <si>
    <t>Termite Control Bait Systems</t>
  </si>
  <si>
    <t>31 31 16.19</t>
  </si>
  <si>
    <t>Termite Control Barriers</t>
  </si>
  <si>
    <t>31 31 19</t>
  </si>
  <si>
    <t>Vegetation Control</t>
  </si>
  <si>
    <t>31 31 19.13</t>
  </si>
  <si>
    <t>Chemical Vegetation Control</t>
  </si>
  <si>
    <t>31 32 00</t>
  </si>
  <si>
    <t>Soil Stabilization</t>
  </si>
  <si>
    <t>31 32 13</t>
  </si>
  <si>
    <t>Soil Mixing Stabilization</t>
  </si>
  <si>
    <t>31 32 13.13</t>
  </si>
  <si>
    <t>Asphalt Soil Stabilization</t>
  </si>
  <si>
    <t>31 32 13.16</t>
  </si>
  <si>
    <t>Cement Soil Stabilization</t>
  </si>
  <si>
    <t>31 32 13.19</t>
  </si>
  <si>
    <t>Lime Soil Stabilization</t>
  </si>
  <si>
    <t>31 32 13.23</t>
  </si>
  <si>
    <t>Fly-Ash Soil Stabilization</t>
  </si>
  <si>
    <t>31 32 13.26</t>
  </si>
  <si>
    <t>Lime-Fly-Ash Soil Stabilization</t>
  </si>
  <si>
    <t>31 32 16</t>
  </si>
  <si>
    <t>Chemical Treatment Soil Stabilization</t>
  </si>
  <si>
    <t>31 32 16.13</t>
  </si>
  <si>
    <t>Polymer Emulsion Soil Stabilization</t>
  </si>
  <si>
    <t>31 32 17</t>
  </si>
  <si>
    <t>Water Injection Soil Stabilization</t>
  </si>
  <si>
    <t>31 32 19</t>
  </si>
  <si>
    <t>Geosynthetic Soil Stabilization and Layer Separation</t>
  </si>
  <si>
    <t>31 32 19.13</t>
  </si>
  <si>
    <t>Geogrid Soil Stabilization</t>
  </si>
  <si>
    <t>31 32 19.16</t>
  </si>
  <si>
    <t>Geotextile Soil Stabilization</t>
  </si>
  <si>
    <t>31 32 19.19</t>
  </si>
  <si>
    <t>Geogrid Layer Separation</t>
  </si>
  <si>
    <t>31 32 19.23</t>
  </si>
  <si>
    <t>Geotextile Layer Separation</t>
  </si>
  <si>
    <t>31 32 23</t>
  </si>
  <si>
    <t>Pressure Grouting Soil Stabilization</t>
  </si>
  <si>
    <t>31 32 23.13</t>
  </si>
  <si>
    <t>Cementitious Pressure Grouting Soil Stabilization</t>
  </si>
  <si>
    <t>31 32 23.16</t>
  </si>
  <si>
    <t>Chemical Pressure Grouting Soil Stabilization</t>
  </si>
  <si>
    <t>31 32 33</t>
  </si>
  <si>
    <t>Shotcrete Soil Slope Stabilization</t>
  </si>
  <si>
    <t>31 32 36</t>
  </si>
  <si>
    <t>Soil Nailing</t>
  </si>
  <si>
    <t>31 32 36.13</t>
  </si>
  <si>
    <t>Driven Soil Nailing</t>
  </si>
  <si>
    <t>31 32 36.16</t>
  </si>
  <si>
    <t>Grouted Soil Nailing</t>
  </si>
  <si>
    <t>31 32 36.19</t>
  </si>
  <si>
    <t>Corrosion-Protected Soil Nailing</t>
  </si>
  <si>
    <t>31 32 36.23</t>
  </si>
  <si>
    <t>Jet-Grouted Soil Nailing</t>
  </si>
  <si>
    <t>31 32 36.26</t>
  </si>
  <si>
    <t>Launched Soil Nailing</t>
  </si>
  <si>
    <t>31 33 00</t>
  </si>
  <si>
    <t>Rock Stabilization</t>
  </si>
  <si>
    <t>31 33 13</t>
  </si>
  <si>
    <t>Rock Bolting and Grouting</t>
  </si>
  <si>
    <t>31 33 23</t>
  </si>
  <si>
    <t>Rock Slope Netting</t>
  </si>
  <si>
    <t>31 33 26</t>
  </si>
  <si>
    <t>Rock Slope Wire Mesh</t>
  </si>
  <si>
    <t>31 33 33</t>
  </si>
  <si>
    <t>Shotcrete Rock Slope Stabilization</t>
  </si>
  <si>
    <t>31 33 43</t>
  </si>
  <si>
    <t>Vegetated Rock Slope Stabilization</t>
  </si>
  <si>
    <t>31 34 00</t>
  </si>
  <si>
    <t>Soil Reinforcement</t>
  </si>
  <si>
    <t>31 34 19</t>
  </si>
  <si>
    <t>Geosynthetic Soil Reinforcement</t>
  </si>
  <si>
    <t>31 34 19.13</t>
  </si>
  <si>
    <t>Geogrid Soil Reinforcement</t>
  </si>
  <si>
    <t>31 34 19.16</t>
  </si>
  <si>
    <t>Geotextile Soil Reinforcement</t>
  </si>
  <si>
    <t>31 34 23</t>
  </si>
  <si>
    <t>Fiber Soil Reinforcement</t>
  </si>
  <si>
    <t>31 34 23.13</t>
  </si>
  <si>
    <t>Geosynthetic Fiber Soil Reinforcement</t>
  </si>
  <si>
    <t>31 35 00</t>
  </si>
  <si>
    <t>Slope Protection</t>
  </si>
  <si>
    <t>31 35 19</t>
  </si>
  <si>
    <t>Geosynthetic Slope Protection</t>
  </si>
  <si>
    <t>31 35 19.13</t>
  </si>
  <si>
    <t>Geogrid Slope Protection</t>
  </si>
  <si>
    <t>31 35 19.16</t>
  </si>
  <si>
    <t>Geotextile Slope Protection</t>
  </si>
  <si>
    <t>31 35 19.19</t>
  </si>
  <si>
    <t>Slope Protection with Mulch Control Netting</t>
  </si>
  <si>
    <t>31 35 23</t>
  </si>
  <si>
    <t>Slope Protection with Slope Paving</t>
  </si>
  <si>
    <t>31 35 23.13</t>
  </si>
  <si>
    <t>Cast-In-Place Concrete Slope Paving</t>
  </si>
  <si>
    <t>31 35 23.16</t>
  </si>
  <si>
    <t>Precast Concrete Slope Paving</t>
  </si>
  <si>
    <t>31 35 23.19</t>
  </si>
  <si>
    <t>Concrete Unit Masonry Slope Paving</t>
  </si>
  <si>
    <t>31 35 26</t>
  </si>
  <si>
    <t>Containment Barriers</t>
  </si>
  <si>
    <t>31 35 26.13</t>
  </si>
  <si>
    <t>Clay Containment Barriers</t>
  </si>
  <si>
    <t>31 35 26.16</t>
  </si>
  <si>
    <t>Geomembrane Containment Barriers</t>
  </si>
  <si>
    <t>31 35 26.23</t>
  </si>
  <si>
    <t>Bentonite Slurry Trench</t>
  </si>
  <si>
    <t>31 36 00</t>
  </si>
  <si>
    <t>Gabions</t>
  </si>
  <si>
    <t>31 36 13</t>
  </si>
  <si>
    <t>Gabion Boxes</t>
  </si>
  <si>
    <t>31 36 19</t>
  </si>
  <si>
    <t>Gabion Mattresses</t>
  </si>
  <si>
    <t>31 36 19.13</t>
  </si>
  <si>
    <t>Vegetated Gabion Mattresses</t>
  </si>
  <si>
    <t>31 37 00</t>
  </si>
  <si>
    <t>Riprap</t>
  </si>
  <si>
    <t>31 37 13</t>
  </si>
  <si>
    <t>Machined Riprap</t>
  </si>
  <si>
    <t>31 37 16</t>
  </si>
  <si>
    <t>Non-Machined Riprap</t>
  </si>
  <si>
    <t>31 37 16.13</t>
  </si>
  <si>
    <t>Rubble-Stone Riprap</t>
  </si>
  <si>
    <t>31 37 16.16</t>
  </si>
  <si>
    <t>Concrete Unit Masonry Riprap</t>
  </si>
  <si>
    <t>31 37 16.19</t>
  </si>
  <si>
    <t>Sacked Sand-Cement Riprap</t>
  </si>
  <si>
    <t>31 40 00</t>
  </si>
  <si>
    <t>Shoring and Underpinning</t>
  </si>
  <si>
    <t>31 41 00</t>
  </si>
  <si>
    <t>Shoring</t>
  </si>
  <si>
    <t>31 41 13</t>
  </si>
  <si>
    <t>Timber Shoring</t>
  </si>
  <si>
    <t>31 41 16</t>
  </si>
  <si>
    <t>Sheet Piling</t>
  </si>
  <si>
    <t>31 41 16.13</t>
  </si>
  <si>
    <t>Steel Sheet Piling</t>
  </si>
  <si>
    <t>31 41 16.16</t>
  </si>
  <si>
    <t>Plastic Sheet Piling</t>
  </si>
  <si>
    <t>31 41 19</t>
  </si>
  <si>
    <t>Metal Hydraulic Shoring</t>
  </si>
  <si>
    <t>31 41 19.13</t>
  </si>
  <si>
    <t>Aluminum Hydraulic Shoring</t>
  </si>
  <si>
    <t>31 41 23</t>
  </si>
  <si>
    <t>Pneumatic Shoring</t>
  </si>
  <si>
    <t>31 41 33</t>
  </si>
  <si>
    <t>Trench Shielding</t>
  </si>
  <si>
    <t>31 43 00</t>
  </si>
  <si>
    <t>Concrete Raising</t>
  </si>
  <si>
    <t>31 43 13</t>
  </si>
  <si>
    <t>Pressure Grouting</t>
  </si>
  <si>
    <t>31 43 13.13</t>
  </si>
  <si>
    <t>Concrete Pressure Grouting</t>
  </si>
  <si>
    <t>31 43 13.16</t>
  </si>
  <si>
    <t>Polyurethane Pressure Grouting</t>
  </si>
  <si>
    <t>31 43 16</t>
  </si>
  <si>
    <t>Compaction Grouting</t>
  </si>
  <si>
    <t>31 43 19</t>
  </si>
  <si>
    <t>Mechanical Jacking</t>
  </si>
  <si>
    <t>31 45 00</t>
  </si>
  <si>
    <t>Vibroflotation and Densification</t>
  </si>
  <si>
    <t>31 45 13</t>
  </si>
  <si>
    <t>Vibroflotation</t>
  </si>
  <si>
    <t>31 45 16</t>
  </si>
  <si>
    <t>Densification</t>
  </si>
  <si>
    <t>31 46 00</t>
  </si>
  <si>
    <t>Needle Beams</t>
  </si>
  <si>
    <t>31 46 13</t>
  </si>
  <si>
    <t>Cantilever Needle Beams</t>
  </si>
  <si>
    <t>31 48 00</t>
  </si>
  <si>
    <t>Underpinning</t>
  </si>
  <si>
    <t>31 48 13</t>
  </si>
  <si>
    <t>Underpinning Piers</t>
  </si>
  <si>
    <t>31 48 19</t>
  </si>
  <si>
    <t>Bracket Piers</t>
  </si>
  <si>
    <t>31 48 23</t>
  </si>
  <si>
    <t>Jacked Piers</t>
  </si>
  <si>
    <t>31 48 33</t>
  </si>
  <si>
    <t>Micropile Underpinning</t>
  </si>
  <si>
    <t>31 50 00</t>
  </si>
  <si>
    <t>Excavation Support and Protection</t>
  </si>
  <si>
    <t>31 51 00</t>
  </si>
  <si>
    <t>Anchor Tiebacks</t>
  </si>
  <si>
    <t>31 51 13</t>
  </si>
  <si>
    <t>Excavation Soil Anchors</t>
  </si>
  <si>
    <t>31 51 16</t>
  </si>
  <si>
    <t>Excavation Rock Anchors</t>
  </si>
  <si>
    <t>31 52 00</t>
  </si>
  <si>
    <t>Cofferdams</t>
  </si>
  <si>
    <t>31 52 13</t>
  </si>
  <si>
    <t>Sheet Piling Cofferdams</t>
  </si>
  <si>
    <t>31 52 16</t>
  </si>
  <si>
    <t>Timber Cofferdams</t>
  </si>
  <si>
    <t>31 52 19</t>
  </si>
  <si>
    <t>Precast Concrete Cofferdams</t>
  </si>
  <si>
    <t>31 53 00</t>
  </si>
  <si>
    <t>Cribbing and Walers</t>
  </si>
  <si>
    <t>31 53 13</t>
  </si>
  <si>
    <t>Timber Cribwork</t>
  </si>
  <si>
    <t>31 54 00</t>
  </si>
  <si>
    <t>Ground Freezing</t>
  </si>
  <si>
    <t>31 56 00</t>
  </si>
  <si>
    <t>Slurry Walls</t>
  </si>
  <si>
    <t>31 56 13</t>
  </si>
  <si>
    <t>Bentonite Slurry Walls</t>
  </si>
  <si>
    <t>31 56 13.13</t>
  </si>
  <si>
    <t>Soil-Bentonite Slurry Walls</t>
  </si>
  <si>
    <t>31 56 13.16</t>
  </si>
  <si>
    <t>Cement-Bentonite Slurry Walls</t>
  </si>
  <si>
    <t>31 56 13.19</t>
  </si>
  <si>
    <t>Slag-Cement-Bentonite Slurry Walls</t>
  </si>
  <si>
    <t>31 56 13.23</t>
  </si>
  <si>
    <t>Soil-Cement-Bentonite Slurry Walls</t>
  </si>
  <si>
    <t>31 56 13.26</t>
  </si>
  <si>
    <t>Pozzolan-Bentonite Slurry Walls</t>
  </si>
  <si>
    <t>31 56 13.29</t>
  </si>
  <si>
    <t>Organically-Modified Bentonite Slurry Walls</t>
  </si>
  <si>
    <t>31 56 16</t>
  </si>
  <si>
    <t>Attipulgite Slurry Walls</t>
  </si>
  <si>
    <t>31 56 16.13</t>
  </si>
  <si>
    <t>Soil-Attipulgite Slurry Walls</t>
  </si>
  <si>
    <t>31 56 19</t>
  </si>
  <si>
    <t>Slurry-Geomembrane Composite Slurry Walls</t>
  </si>
  <si>
    <t>31 56 23</t>
  </si>
  <si>
    <t>Lean Concrete Slurry Walls</t>
  </si>
  <si>
    <t>31 56 26</t>
  </si>
  <si>
    <t>Bio-Polymer Trench Drain</t>
  </si>
  <si>
    <t>31 60 00</t>
  </si>
  <si>
    <t>Special Foundations and Load-Bearing Elements</t>
  </si>
  <si>
    <t>31 62 00</t>
  </si>
  <si>
    <t>Driven Piles</t>
  </si>
  <si>
    <t>31 62 13</t>
  </si>
  <si>
    <t>Concrete Piles</t>
  </si>
  <si>
    <t>31 62 13.13</t>
  </si>
  <si>
    <t>Cast-in-Place Concrete Piles</t>
  </si>
  <si>
    <t>31 62 13.16</t>
  </si>
  <si>
    <t>Concrete Displacement Piles</t>
  </si>
  <si>
    <t>31 62 13.19</t>
  </si>
  <si>
    <t>Precast Concrete Piles</t>
  </si>
  <si>
    <t>31 62 13.23</t>
  </si>
  <si>
    <t>Prestressed Concrete Piles</t>
  </si>
  <si>
    <t>31 62 13.26</t>
  </si>
  <si>
    <t>Pressure-Injected Footings</t>
  </si>
  <si>
    <t>31 62 16</t>
  </si>
  <si>
    <t>Steel Piles</t>
  </si>
  <si>
    <t>31 62 16.13</t>
  </si>
  <si>
    <t>Sheet Steel Piles</t>
  </si>
  <si>
    <t>31 62 16.16</t>
  </si>
  <si>
    <t>Steel H Piles</t>
  </si>
  <si>
    <t>31 62 16.19</t>
  </si>
  <si>
    <t>Unfilled Tubular Steel Piles</t>
  </si>
  <si>
    <t>31 62 19</t>
  </si>
  <si>
    <t>Timber Piles</t>
  </si>
  <si>
    <t>31 62 23</t>
  </si>
  <si>
    <t>Composite Piles</t>
  </si>
  <si>
    <t>31 62 23.13</t>
  </si>
  <si>
    <t>Concrete-Filled Steel Piles</t>
  </si>
  <si>
    <t>31 62 23.16</t>
  </si>
  <si>
    <t>Wood and Cast-In-Place Concrete Piles</t>
  </si>
  <si>
    <t>31 63 00</t>
  </si>
  <si>
    <t>Bored Piles</t>
  </si>
  <si>
    <t>31 63 13</t>
  </si>
  <si>
    <t>Bored and Augered Test Piles</t>
  </si>
  <si>
    <t>31 63 16</t>
  </si>
  <si>
    <t>Auger Cast Grout Piles</t>
  </si>
  <si>
    <t>31 63 19</t>
  </si>
  <si>
    <t>Bored and Socketed Piles</t>
  </si>
  <si>
    <t>31 63 19.13</t>
  </si>
  <si>
    <t>Rock Sockets for Piles</t>
  </si>
  <si>
    <t>31 63 23</t>
  </si>
  <si>
    <t>Bored Concrete Piles</t>
  </si>
  <si>
    <t>31 63 23.13</t>
  </si>
  <si>
    <t>Bored and Belled Concrete Piles</t>
  </si>
  <si>
    <t>31 63 23.16</t>
  </si>
  <si>
    <t>Bored Friction Concrete Piles</t>
  </si>
  <si>
    <t>31 63 26</t>
  </si>
  <si>
    <t>Drilled Caissons</t>
  </si>
  <si>
    <t>31 63 26.13</t>
  </si>
  <si>
    <t>Fixed End Caisson Piles</t>
  </si>
  <si>
    <t>31 63 26.16</t>
  </si>
  <si>
    <t>Concrete Caissons for Marine Construction</t>
  </si>
  <si>
    <t>31 63 29</t>
  </si>
  <si>
    <t>Drilled Concrete Piers and Shafts</t>
  </si>
  <si>
    <t>31 63 29.13</t>
  </si>
  <si>
    <t>Uncased Drilled Concrete Piers</t>
  </si>
  <si>
    <t>31 63 29.16</t>
  </si>
  <si>
    <t>Cased Drilled Concrete Piers</t>
  </si>
  <si>
    <t>31 63 33</t>
  </si>
  <si>
    <t>Drilled Micropiles</t>
  </si>
  <si>
    <t>31 64 00</t>
  </si>
  <si>
    <t>Caissons</t>
  </si>
  <si>
    <t>31 64 13</t>
  </si>
  <si>
    <t>Box Caissons</t>
  </si>
  <si>
    <t>31 64 16</t>
  </si>
  <si>
    <t>Excavated Caissons</t>
  </si>
  <si>
    <t>31 64 19</t>
  </si>
  <si>
    <t>Floating Caissons</t>
  </si>
  <si>
    <t>31 64 23</t>
  </si>
  <si>
    <t>Open Caissons</t>
  </si>
  <si>
    <t>31 64 26</t>
  </si>
  <si>
    <t>Pneumatic Caissons</t>
  </si>
  <si>
    <t>31 64 29</t>
  </si>
  <si>
    <t>Sheeted Caissons</t>
  </si>
  <si>
    <t>31 66 00</t>
  </si>
  <si>
    <t>Special Foundations</t>
  </si>
  <si>
    <t>31 66 13</t>
  </si>
  <si>
    <t>Special Piles</t>
  </si>
  <si>
    <t>31 66 13.13</t>
  </si>
  <si>
    <t>Rammed Aggregate Piles</t>
  </si>
  <si>
    <t>31 66 15</t>
  </si>
  <si>
    <t>Helical Foundation Piles</t>
  </si>
  <si>
    <t>31 66 16</t>
  </si>
  <si>
    <t>Special Foundation Walls</t>
  </si>
  <si>
    <t>31 66 16.13</t>
  </si>
  <si>
    <t>Anchored Foundation Walls</t>
  </si>
  <si>
    <t>31 66 16.23</t>
  </si>
  <si>
    <t>Concrete Cribbing Foundation Walls</t>
  </si>
  <si>
    <t>31 66 16.26</t>
  </si>
  <si>
    <t>Metal Cribbing Foundation Walls</t>
  </si>
  <si>
    <t>31 66 16.33</t>
  </si>
  <si>
    <t>Manufactured Modular Foundation Walls</t>
  </si>
  <si>
    <t>31 66 16.43</t>
  </si>
  <si>
    <t>Mechanically Stabilized Earth Foundation Walls</t>
  </si>
  <si>
    <t>31 66 16.46</t>
  </si>
  <si>
    <t>Slurry Diaphragm Foundation Walls</t>
  </si>
  <si>
    <t>31 66 16.53</t>
  </si>
  <si>
    <t>Soldier-Beam Foundation Walls</t>
  </si>
  <si>
    <t>31 66 16.56</t>
  </si>
  <si>
    <t>Permanently-Anchored Soldier-Beam Foundation Walls</t>
  </si>
  <si>
    <t>31 66 19</t>
  </si>
  <si>
    <t>Refrigerated Foundations</t>
  </si>
  <si>
    <t>31 68 00</t>
  </si>
  <si>
    <t>Foundation Anchors</t>
  </si>
  <si>
    <t>31 68 13</t>
  </si>
  <si>
    <t>Rock Foundation Anchors</t>
  </si>
  <si>
    <t>31 68 16</t>
  </si>
  <si>
    <t>Helical Foundation Anchors</t>
  </si>
  <si>
    <t>31 70 00</t>
  </si>
  <si>
    <t>Tunneling and Mining</t>
  </si>
  <si>
    <t>31 71 00</t>
  </si>
  <si>
    <t>Tunnel Excavation</t>
  </si>
  <si>
    <t>31 71 13</t>
  </si>
  <si>
    <t>Shield Driving Tunnel Excavation</t>
  </si>
  <si>
    <t>31 71 16</t>
  </si>
  <si>
    <t>Tunnel Excavation by Drilling and Blasting</t>
  </si>
  <si>
    <t>31 71 19</t>
  </si>
  <si>
    <t>Tunnel Excavation by Tunnel Boring Machine</t>
  </si>
  <si>
    <t>31 71 23</t>
  </si>
  <si>
    <t>Tunneling by Cut and Cover</t>
  </si>
  <si>
    <t>31 72 00</t>
  </si>
  <si>
    <t>Tunnel Support Systems</t>
  </si>
  <si>
    <t>31 72 13</t>
  </si>
  <si>
    <t>Rock Reinforcement and Initial Support</t>
  </si>
  <si>
    <t>31 72 16</t>
  </si>
  <si>
    <t>Steel Ribs and Lagging</t>
  </si>
  <si>
    <t>31 73 00</t>
  </si>
  <si>
    <t>Tunnel Grouting</t>
  </si>
  <si>
    <t>31 73 13</t>
  </si>
  <si>
    <t>Cement Tunnel Grouting</t>
  </si>
  <si>
    <t>31 73 16</t>
  </si>
  <si>
    <t>Chemical Tunnel Grouting</t>
  </si>
  <si>
    <t>31 74 00</t>
  </si>
  <si>
    <t>Tunnel Construction</t>
  </si>
  <si>
    <t>31 74 13</t>
  </si>
  <si>
    <t>Cast-in-Place Concrete Tunnel Lining</t>
  </si>
  <si>
    <t>31 74 16</t>
  </si>
  <si>
    <t>Precast Concrete Tunnel Lining</t>
  </si>
  <si>
    <t>31 74 19</t>
  </si>
  <si>
    <t>Shotcrete Tunnel Lining</t>
  </si>
  <si>
    <t>31 75 00</t>
  </si>
  <si>
    <t>Shaft Construction</t>
  </si>
  <si>
    <t>31 75 13</t>
  </si>
  <si>
    <t>Cast-in-Place Concrete Shaft Lining</t>
  </si>
  <si>
    <t>31 75 16</t>
  </si>
  <si>
    <t>Precast Concrete Shaft Lining</t>
  </si>
  <si>
    <t>31 77 00</t>
  </si>
  <si>
    <t>Submersible Tube Tunnels</t>
  </si>
  <si>
    <t>31 77 13</t>
  </si>
  <si>
    <t>Trench Excavation for Submerged Tunnels</t>
  </si>
  <si>
    <t>31 77 16</t>
  </si>
  <si>
    <t>Tube Construction (Outfitting Tunnel Tubes)</t>
  </si>
  <si>
    <t>31 77 19</t>
  </si>
  <si>
    <t>Floating and Laying Submerged Tunnels</t>
  </si>
  <si>
    <t>32 00 00</t>
  </si>
  <si>
    <t>Exterior Improvements</t>
  </si>
  <si>
    <t>32 01 00</t>
  </si>
  <si>
    <t>Operation and Maintenance of Exterior Improvements</t>
  </si>
  <si>
    <t>32 01 11</t>
  </si>
  <si>
    <t>Paving Cleaning</t>
  </si>
  <si>
    <t>32 01 11.51</t>
  </si>
  <si>
    <t>Rubber and Paint Removal from Paving</t>
  </si>
  <si>
    <t>32 01 11.52</t>
  </si>
  <si>
    <t>Rubber Removal from Paving</t>
  </si>
  <si>
    <t>32 01 11.53</t>
  </si>
  <si>
    <t>Paint Removal from Paving</t>
  </si>
  <si>
    <t>32 01 13</t>
  </si>
  <si>
    <t>Flexible Paving Surface Treatment</t>
  </si>
  <si>
    <t>32 01 13.61</t>
  </si>
  <si>
    <t>Slurry Seal (Latex Modified)</t>
  </si>
  <si>
    <t>32 01 13.62</t>
  </si>
  <si>
    <t>Asphalt Surface Treatment</t>
  </si>
  <si>
    <t>32 01 16</t>
  </si>
  <si>
    <t>Flexible Paving Rehabilitation</t>
  </si>
  <si>
    <t>32 01 16.71</t>
  </si>
  <si>
    <t>Cold Milling Asphalt Paving</t>
  </si>
  <si>
    <t>32 01 16.72</t>
  </si>
  <si>
    <t>Asphalt Paving Reuse</t>
  </si>
  <si>
    <t>32 01 16.73</t>
  </si>
  <si>
    <t>In Place Cold Reused Asphalt Paving</t>
  </si>
  <si>
    <t>32 01 16.74</t>
  </si>
  <si>
    <t>In Place Hot Reused Asphalt Paving</t>
  </si>
  <si>
    <t>32 01 16.75</t>
  </si>
  <si>
    <t>Heater Scarifying of Asphalt Paving</t>
  </si>
  <si>
    <t>32 01 17</t>
  </si>
  <si>
    <t>Flexible Paving Repair</t>
  </si>
  <si>
    <t>32 01 17.61</t>
  </si>
  <si>
    <t>Sealing Cracks in Asphalt Paving</t>
  </si>
  <si>
    <t>32 01 17.62</t>
  </si>
  <si>
    <t>Stress-Absorbing Membrane Interlayer</t>
  </si>
  <si>
    <t>32 01 19</t>
  </si>
  <si>
    <t>Rigid Paving Surface Treatment</t>
  </si>
  <si>
    <t>32 01 19.61</t>
  </si>
  <si>
    <t>Sealing of Joints in Rigid Paving</t>
  </si>
  <si>
    <t>32 01 19.62</t>
  </si>
  <si>
    <t>Patching of Rigid Paving</t>
  </si>
  <si>
    <t>32 01 23</t>
  </si>
  <si>
    <t>Base Course Reconditioning</t>
  </si>
  <si>
    <t>32 01 26</t>
  </si>
  <si>
    <t>Rigid Paving Rehabilitation</t>
  </si>
  <si>
    <t>32 01 26.71</t>
  </si>
  <si>
    <t>Grooving of Concrete Paving</t>
  </si>
  <si>
    <t>32 01 26.72</t>
  </si>
  <si>
    <t>Grinding of Concrete Paving</t>
  </si>
  <si>
    <t>32 01 26.73</t>
  </si>
  <si>
    <t>Milling of Concrete Paving</t>
  </si>
  <si>
    <t>32 01 26.74</t>
  </si>
  <si>
    <t>Concrete Overlays</t>
  </si>
  <si>
    <t>32 01 26.75</t>
  </si>
  <si>
    <t>Concrete Paving Reuse</t>
  </si>
  <si>
    <t>32 01 29</t>
  </si>
  <si>
    <t>Rigid Paving Repair</t>
  </si>
  <si>
    <t>32 01 29.61</t>
  </si>
  <si>
    <t>Partial Depth Patching of Rigid Paving</t>
  </si>
  <si>
    <t>32 01 29.62</t>
  </si>
  <si>
    <t>Concrete Paving Raising</t>
  </si>
  <si>
    <t>32 01 29.63</t>
  </si>
  <si>
    <t>Subsealing and Stabilization</t>
  </si>
  <si>
    <t>32 01 30</t>
  </si>
  <si>
    <t>Operation and Maintenance of Site Improvements</t>
  </si>
  <si>
    <t>32 01 30.13</t>
  </si>
  <si>
    <t>Snow Removal</t>
  </si>
  <si>
    <t>32 01 80</t>
  </si>
  <si>
    <t>Operation and Maintenance of Irrigation</t>
  </si>
  <si>
    <t>32 01 90</t>
  </si>
  <si>
    <t>Operation and Maintenance of Planting</t>
  </si>
  <si>
    <t>32 01 90.13</t>
  </si>
  <si>
    <t>Fertilizing</t>
  </si>
  <si>
    <t>32 01 90.16</t>
  </si>
  <si>
    <t>Amending Soils</t>
  </si>
  <si>
    <t>32 01 90.19</t>
  </si>
  <si>
    <t>Mowing</t>
  </si>
  <si>
    <t>32 01 90.23</t>
  </si>
  <si>
    <t>Pruning</t>
  </si>
  <si>
    <t>32 01 90.26</t>
  </si>
  <si>
    <t>Watering</t>
  </si>
  <si>
    <t>32 01 90.29</t>
  </si>
  <si>
    <t>Topsoil Preservation</t>
  </si>
  <si>
    <t>32 01 90.33</t>
  </si>
  <si>
    <t>Tree and Shrub Preservation</t>
  </si>
  <si>
    <t>32 05 00</t>
  </si>
  <si>
    <t>Common Work Results for Exterior Improvements</t>
  </si>
  <si>
    <t>32 05 13</t>
  </si>
  <si>
    <t>Soils for Exterior Improvements</t>
  </si>
  <si>
    <t>32 05 16</t>
  </si>
  <si>
    <t>Aggregates for Exterior Improvements</t>
  </si>
  <si>
    <t>32 05 19</t>
  </si>
  <si>
    <t>Geosynthetics for Exterior Improvements</t>
  </si>
  <si>
    <t>32 05 19.13</t>
  </si>
  <si>
    <t>Geotextiles for Exterior Improvements</t>
  </si>
  <si>
    <t>32 05 19.16</t>
  </si>
  <si>
    <t>Geomembranes for Exterior Improvements</t>
  </si>
  <si>
    <t>32 05 19.19</t>
  </si>
  <si>
    <t>Geogrids for Exterior Improvements</t>
  </si>
  <si>
    <t>32 05 23</t>
  </si>
  <si>
    <t>Cement and Concrete for Exterior Improvements</t>
  </si>
  <si>
    <t>32 05 33</t>
  </si>
  <si>
    <t>Common Work Results for Planting</t>
  </si>
  <si>
    <t>32 06 00</t>
  </si>
  <si>
    <t>Schedules for Exterior Improvements</t>
  </si>
  <si>
    <t>32 06 10</t>
  </si>
  <si>
    <t>Schedules for Bases, Ballasts, and Paving</t>
  </si>
  <si>
    <t>32 06 10.13</t>
  </si>
  <si>
    <t>Pedestrian Walkway Schedule</t>
  </si>
  <si>
    <t>32 06 30</t>
  </si>
  <si>
    <t>Schedules for Site Improvements</t>
  </si>
  <si>
    <t>32 06 30.13</t>
  </si>
  <si>
    <t>Retaining Wall Schedule</t>
  </si>
  <si>
    <t>32 06 80</t>
  </si>
  <si>
    <t>Schedules for Irrigation</t>
  </si>
  <si>
    <t>32 06 80.13</t>
  </si>
  <si>
    <t>Irrigation Piping Schedule</t>
  </si>
  <si>
    <t>32 06 90</t>
  </si>
  <si>
    <t>Schedules for Planting</t>
  </si>
  <si>
    <t>32 06 90.13</t>
  </si>
  <si>
    <t>Planting Schedule</t>
  </si>
  <si>
    <t>32 08 00</t>
  </si>
  <si>
    <t>Commissioning of Exterior Improvements</t>
  </si>
  <si>
    <t>32 10 00</t>
  </si>
  <si>
    <t>Bases, Ballasts, and Paving</t>
  </si>
  <si>
    <t>32 11 00</t>
  </si>
  <si>
    <t>Base Courses</t>
  </si>
  <si>
    <t>32 11 13</t>
  </si>
  <si>
    <t>Subgrade Modifications</t>
  </si>
  <si>
    <t>32 11 13.13</t>
  </si>
  <si>
    <t>Lime-Treated Subgrades</t>
  </si>
  <si>
    <t>32 11 13.16</t>
  </si>
  <si>
    <t>Bituminous-Treated Subgrades</t>
  </si>
  <si>
    <t>32 11 16</t>
  </si>
  <si>
    <t>Subbase Courses</t>
  </si>
  <si>
    <t>32 11 16.13</t>
  </si>
  <si>
    <t>Sand-Clay Subbase Courses</t>
  </si>
  <si>
    <t>32 11 16.16</t>
  </si>
  <si>
    <t>Aggregate Subbase Courses</t>
  </si>
  <si>
    <t>32 11 23</t>
  </si>
  <si>
    <t>Aggregate Base Courses</t>
  </si>
  <si>
    <t>32 11 23.13</t>
  </si>
  <si>
    <t>Sand-Clay Base Courses</t>
  </si>
  <si>
    <t>32 11 23.23</t>
  </si>
  <si>
    <t>Base Course Drainage Layers</t>
  </si>
  <si>
    <t>32 11 26</t>
  </si>
  <si>
    <t>Asphaltic Base Courses</t>
  </si>
  <si>
    <t>32 11 26.13</t>
  </si>
  <si>
    <t>Plant Mix Asphaltic Base Courses</t>
  </si>
  <si>
    <t>32 11 26.16</t>
  </si>
  <si>
    <t>Road Mix Asphaltic Base Courses</t>
  </si>
  <si>
    <t>32 11 26.19</t>
  </si>
  <si>
    <t>Bituminous-Stabilized Base Courses</t>
  </si>
  <si>
    <t>32 11 29</t>
  </si>
  <si>
    <t>Lime Treated Base Courses</t>
  </si>
  <si>
    <t>32 11 29.13</t>
  </si>
  <si>
    <t>Lime-Fly Ash-Treated Base Courses</t>
  </si>
  <si>
    <t>32 11 33</t>
  </si>
  <si>
    <t>Cement-Treated Base Courses</t>
  </si>
  <si>
    <t>32 11 33.13</t>
  </si>
  <si>
    <t>Portland Cement-Stabilized Base Courses</t>
  </si>
  <si>
    <t>32 11 36</t>
  </si>
  <si>
    <t>Concrete Base Courses</t>
  </si>
  <si>
    <t>32 11 36.13</t>
  </si>
  <si>
    <t>Lean Concrete Base Courses</t>
  </si>
  <si>
    <t>32 11 36.16</t>
  </si>
  <si>
    <t>Plain Cement Concrete Base Courses</t>
  </si>
  <si>
    <t>32 11 36.19</t>
  </si>
  <si>
    <t>Hydraulic Cement Concrete Base Courses</t>
  </si>
  <si>
    <t>32 12 00</t>
  </si>
  <si>
    <t>Flexible Paving</t>
  </si>
  <si>
    <t>32 12 13</t>
  </si>
  <si>
    <t>Preparatory Coats</t>
  </si>
  <si>
    <t>32 12 13.13</t>
  </si>
  <si>
    <t>Tack Coats</t>
  </si>
  <si>
    <t>32 12 13.16</t>
  </si>
  <si>
    <t>Asphaltic Tack Coats</t>
  </si>
  <si>
    <t>32 12 13.19</t>
  </si>
  <si>
    <t>Prime Coats</t>
  </si>
  <si>
    <t>32 12 13.23</t>
  </si>
  <si>
    <t>Asphaltic Prime Coats</t>
  </si>
  <si>
    <t>32 12 16</t>
  </si>
  <si>
    <t>Asphalt Paving</t>
  </si>
  <si>
    <t>32 12 16.13</t>
  </si>
  <si>
    <t>Plant-Mix Asphalt Paving</t>
  </si>
  <si>
    <t>32 12 16.16</t>
  </si>
  <si>
    <t>Road-Mix Asphalt Paving</t>
  </si>
  <si>
    <t>32 12 16.19</t>
  </si>
  <si>
    <t>Cold-Mix Asphalt Paving</t>
  </si>
  <si>
    <t>32 12 16.23</t>
  </si>
  <si>
    <t>Reinforced Asphalt Paving</t>
  </si>
  <si>
    <t>32 12 16.26</t>
  </si>
  <si>
    <t>Fiber-Modified Asphalt Paving</t>
  </si>
  <si>
    <t>32 12 16.29</t>
  </si>
  <si>
    <t>Polymer-Modified Asphalt Paving</t>
  </si>
  <si>
    <t>32 12 16.33</t>
  </si>
  <si>
    <t>Granulated Rubber-Modified Asphalt Paving</t>
  </si>
  <si>
    <t>32 12 16.36</t>
  </si>
  <si>
    <t>Athletic Asphalt Paving</t>
  </si>
  <si>
    <t>32 12 19</t>
  </si>
  <si>
    <t>Asphalt Paving Wearing Courses</t>
  </si>
  <si>
    <t>32 12 19.13</t>
  </si>
  <si>
    <t>Road-Mix Asphalt Paving Wearing Courses</t>
  </si>
  <si>
    <t>32 12 19.16</t>
  </si>
  <si>
    <t>Resin-Modified Asphalt Paving Wearing Courses</t>
  </si>
  <si>
    <t>32 12 19.19</t>
  </si>
  <si>
    <t>Porous Friction Asphalt Paving Wearing Courses</t>
  </si>
  <si>
    <t>32 12 33</t>
  </si>
  <si>
    <t>Flexible Paving Surface Treatments</t>
  </si>
  <si>
    <t>32 12 36</t>
  </si>
  <si>
    <t>Seal Coats</t>
  </si>
  <si>
    <t>32 12 36.13</t>
  </si>
  <si>
    <t>Asphaltic Seal and Fog Coats</t>
  </si>
  <si>
    <t>32 12 36.16</t>
  </si>
  <si>
    <t>Coal Tar Seal Coats</t>
  </si>
  <si>
    <t>32 12 36.19</t>
  </si>
  <si>
    <t>Coal Tar Seal Coats with Unvulcanized Rubber</t>
  </si>
  <si>
    <t>32 12 36.23</t>
  </si>
  <si>
    <t>Fuel-Resistant Sealers</t>
  </si>
  <si>
    <t>32 12 43</t>
  </si>
  <si>
    <t>Porous Flexible Paving</t>
  </si>
  <si>
    <t>32 12 73</t>
  </si>
  <si>
    <t>Asphalt Paving Joint Sealants</t>
  </si>
  <si>
    <t>32 13 00</t>
  </si>
  <si>
    <t>Rigid Paving</t>
  </si>
  <si>
    <t>32 13 13</t>
  </si>
  <si>
    <t>Concrete Paving</t>
  </si>
  <si>
    <t>32 13 13.13</t>
  </si>
  <si>
    <t>Exposed Aggregate Concrete Paving</t>
  </si>
  <si>
    <t>32 13 13.16</t>
  </si>
  <si>
    <t>Power-Compacted Concrete Paving</t>
  </si>
  <si>
    <t>32 13 13.19</t>
  </si>
  <si>
    <t>Prestressed Concrete Paving</t>
  </si>
  <si>
    <t>32 13 13.23</t>
  </si>
  <si>
    <t>Concrete Paving Surface Treatment</t>
  </si>
  <si>
    <t>32 13 13.33</t>
  </si>
  <si>
    <t>Plain Concrete Paving</t>
  </si>
  <si>
    <t>32 13 16</t>
  </si>
  <si>
    <t>Decorative Concrete Paving</t>
  </si>
  <si>
    <t>32 13 16.13</t>
  </si>
  <si>
    <t>Patterned Concrete Paving</t>
  </si>
  <si>
    <t>32 13 16.16</t>
  </si>
  <si>
    <t>Roller-Compacted Concrete Paving</t>
  </si>
  <si>
    <t>32 13 16.19</t>
  </si>
  <si>
    <t>Imprinted Concrete Paving</t>
  </si>
  <si>
    <t>32 13 16.23</t>
  </si>
  <si>
    <t>Stamped Concrete Paving</t>
  </si>
  <si>
    <t>32 13 43</t>
  </si>
  <si>
    <t>Pervious Concrete Paving</t>
  </si>
  <si>
    <t>32 13 73</t>
  </si>
  <si>
    <t>Concrete Paving Joint Sealants</t>
  </si>
  <si>
    <t>32 13 73.13</t>
  </si>
  <si>
    <t>Fuel-Resistant Concrete Paving Joint Sealants</t>
  </si>
  <si>
    <t>32 13 73.16</t>
  </si>
  <si>
    <t>Field-Molded Concrete Paving Joint Sealants</t>
  </si>
  <si>
    <t>32 13 73.19</t>
  </si>
  <si>
    <t>Compression Concrete Paving Joint Sealants</t>
  </si>
  <si>
    <t>32 14 00</t>
  </si>
  <si>
    <t>Unit Paving</t>
  </si>
  <si>
    <t>32 14 13</t>
  </si>
  <si>
    <t>Precast Concrete Unit Paving</t>
  </si>
  <si>
    <t>32 14 13.13</t>
  </si>
  <si>
    <t>Interlocking Precast Concrete Unit Paving</t>
  </si>
  <si>
    <t>32 14 13.16</t>
  </si>
  <si>
    <t>Precast Concrete Unit Paving Slabs</t>
  </si>
  <si>
    <t>32 14 13.19</t>
  </si>
  <si>
    <t>Porous Precast Concrete Unit Paving</t>
  </si>
  <si>
    <t>32 14 16</t>
  </si>
  <si>
    <t>Brick Unit Paving</t>
  </si>
  <si>
    <t>32 14 23</t>
  </si>
  <si>
    <t>Asphalt Unit Paving</t>
  </si>
  <si>
    <t>32 14 26</t>
  </si>
  <si>
    <t>Wood Paving</t>
  </si>
  <si>
    <t>32 14 29</t>
  </si>
  <si>
    <t>Recycled-Rubber Paving</t>
  </si>
  <si>
    <t>32 14 40</t>
  </si>
  <si>
    <t>Stone Paving</t>
  </si>
  <si>
    <t>32 14 43</t>
  </si>
  <si>
    <t>Porous Unit Paving</t>
  </si>
  <si>
    <t>32 15 00</t>
  </si>
  <si>
    <t>Aggregate Surfacing</t>
  </si>
  <si>
    <t>32 15 13</t>
  </si>
  <si>
    <t>Cinder Surfacing</t>
  </si>
  <si>
    <t>32 15 40</t>
  </si>
  <si>
    <t>Crushed Stone Surfacing</t>
  </si>
  <si>
    <t>32 16 00</t>
  </si>
  <si>
    <t>Curbs, Gutters, Sidewalks, and Driveways</t>
  </si>
  <si>
    <t>32 16 13</t>
  </si>
  <si>
    <t>Curbs and Gutters</t>
  </si>
  <si>
    <t>32 16 13.13</t>
  </si>
  <si>
    <t>Cast-In-Place Concrete Curbs and Gutters</t>
  </si>
  <si>
    <t>32 16 13.16</t>
  </si>
  <si>
    <t>Steel Faced Curbs</t>
  </si>
  <si>
    <t>32 16 13.23</t>
  </si>
  <si>
    <t>Precast Concrete Curbs and Gutters</t>
  </si>
  <si>
    <t>32 16 13.33</t>
  </si>
  <si>
    <t>Asphalt Curbs</t>
  </si>
  <si>
    <t>32 16 13.43</t>
  </si>
  <si>
    <t>Stone Curbs</t>
  </si>
  <si>
    <t>32 16 23</t>
  </si>
  <si>
    <t>Sidewalks</t>
  </si>
  <si>
    <t>32 16 33</t>
  </si>
  <si>
    <t>Driveways</t>
  </si>
  <si>
    <t>32 17 00</t>
  </si>
  <si>
    <t>Paving Specialties</t>
  </si>
  <si>
    <t>32 17 13</t>
  </si>
  <si>
    <t>Parking Bumpers</t>
  </si>
  <si>
    <t>32 17 13.13</t>
  </si>
  <si>
    <t>Metal Parking Bumpers</t>
  </si>
  <si>
    <t>32 17 13.16</t>
  </si>
  <si>
    <t>Plastic Parking Bumpers</t>
  </si>
  <si>
    <t>32 17 13.19</t>
  </si>
  <si>
    <t>Precast Concrete Parking Bumpers</t>
  </si>
  <si>
    <t>32 17 13.23</t>
  </si>
  <si>
    <t>Rubber Parking Bumpers</t>
  </si>
  <si>
    <t>32 17 13.26</t>
  </si>
  <si>
    <t>Wood Parking Bumpers</t>
  </si>
  <si>
    <t>32 17 16</t>
  </si>
  <si>
    <t>Speed Bumps</t>
  </si>
  <si>
    <t>32 17 23</t>
  </si>
  <si>
    <t>Pavement Markings</t>
  </si>
  <si>
    <t>32 17 23.13</t>
  </si>
  <si>
    <t>Painted Pavement Markings</t>
  </si>
  <si>
    <t>32 17 23.23</t>
  </si>
  <si>
    <t>Raised Pavement Markings</t>
  </si>
  <si>
    <t>32 17 23.33</t>
  </si>
  <si>
    <t>Plastic Pavement Markings</t>
  </si>
  <si>
    <t>32 17 26</t>
  </si>
  <si>
    <t>Tactile Warning Surfacing</t>
  </si>
  <si>
    <t>32 17 43</t>
  </si>
  <si>
    <t>Pavement Snow Melting Systems</t>
  </si>
  <si>
    <t>32 18 00</t>
  </si>
  <si>
    <t>Athletic and Recreational Surfacing</t>
  </si>
  <si>
    <t>32 18 13</t>
  </si>
  <si>
    <t>Synthetic Grass Surfacing</t>
  </si>
  <si>
    <t>32 18 16</t>
  </si>
  <si>
    <t>Synthetic Resilient Surfacing</t>
  </si>
  <si>
    <t>32 18 16.13</t>
  </si>
  <si>
    <t>Playground Protective Surfacing</t>
  </si>
  <si>
    <t>32 18 23</t>
  </si>
  <si>
    <t>Athletic Surfacing</t>
  </si>
  <si>
    <t>32 18 23.13</t>
  </si>
  <si>
    <t>Baseball Field Surfacing</t>
  </si>
  <si>
    <t>32 18 23.16</t>
  </si>
  <si>
    <t>Natural Baseball Field Surfacing</t>
  </si>
  <si>
    <t>32 18 23.19</t>
  </si>
  <si>
    <t>Synthetic Baseball Field Surfacing</t>
  </si>
  <si>
    <t>32 18 23.23</t>
  </si>
  <si>
    <t>Field Sport Surfacing</t>
  </si>
  <si>
    <t>32 18 23.26</t>
  </si>
  <si>
    <t>Natural Field Sport Surfacing</t>
  </si>
  <si>
    <t>32 18 23.29</t>
  </si>
  <si>
    <t>Synthetic Field Sport Surfacing</t>
  </si>
  <si>
    <t>32 18 23.33</t>
  </si>
  <si>
    <t>Running Track Surfacing</t>
  </si>
  <si>
    <t>32 18 23.36</t>
  </si>
  <si>
    <t>Natural Running Track Surfacing</t>
  </si>
  <si>
    <t>32 18 23.39</t>
  </si>
  <si>
    <t>Synthetic Running Track Surfacing</t>
  </si>
  <si>
    <t>32 18 23.43</t>
  </si>
  <si>
    <t>Recreational Court Surfacing</t>
  </si>
  <si>
    <t>32 18 23.53</t>
  </si>
  <si>
    <t>Tennis Court Surfacing</t>
  </si>
  <si>
    <t>32 18 23.56</t>
  </si>
  <si>
    <t>Natural Tennis Court Surfacing</t>
  </si>
  <si>
    <t>32 18 23.59</t>
  </si>
  <si>
    <t>Synthetic Tennis Court Surfacing</t>
  </si>
  <si>
    <t>32 30 00</t>
  </si>
  <si>
    <t>Site Improvements</t>
  </si>
  <si>
    <t>32 31 00</t>
  </si>
  <si>
    <t>Fences and Gates</t>
  </si>
  <si>
    <t>32 31 11</t>
  </si>
  <si>
    <t>Gate Operators</t>
  </si>
  <si>
    <t>32 31 13</t>
  </si>
  <si>
    <t>Chain Link Fences and Gates</t>
  </si>
  <si>
    <t>32 31 13.23</t>
  </si>
  <si>
    <t>Recreational Court Fences and Gates</t>
  </si>
  <si>
    <t>32 31 13.26</t>
  </si>
  <si>
    <t>Tennis Court Fences and Gates</t>
  </si>
  <si>
    <t>32 31 13.29</t>
  </si>
  <si>
    <t>Tennis Court Wind Breaker</t>
  </si>
  <si>
    <t>32 31 13.33</t>
  </si>
  <si>
    <t>Chain Link Backstops</t>
  </si>
  <si>
    <t>32 31 13.53</t>
  </si>
  <si>
    <t>High-Security Chain Link Fences and Gates</t>
  </si>
  <si>
    <t>32 31 16</t>
  </si>
  <si>
    <t>Welded Wire Fences and Gates</t>
  </si>
  <si>
    <t>32 31 17</t>
  </si>
  <si>
    <t>Expanded Metal Fences and Gates</t>
  </si>
  <si>
    <t>32 31 19</t>
  </si>
  <si>
    <t>Decorative Metal Fences and Gates</t>
  </si>
  <si>
    <t>32 31 23</t>
  </si>
  <si>
    <t>Plastic Fences and Gates</t>
  </si>
  <si>
    <t>32 31 26</t>
  </si>
  <si>
    <t>Wire Fences and Gates</t>
  </si>
  <si>
    <t>32 31 29</t>
  </si>
  <si>
    <t>Wood Fences and Gates</t>
  </si>
  <si>
    <t>32 31 32</t>
  </si>
  <si>
    <t>Composite Fences and Gates</t>
  </si>
  <si>
    <t>32 31 53</t>
  </si>
  <si>
    <t>Cattle Guards</t>
  </si>
  <si>
    <t>32 32 00</t>
  </si>
  <si>
    <t>Retaining Walls</t>
  </si>
  <si>
    <t>32 32 13</t>
  </si>
  <si>
    <t>Cast-in-Place Concrete Retaining Walls</t>
  </si>
  <si>
    <t>32 32 16</t>
  </si>
  <si>
    <t>Precast Concrete Retaining Walls</t>
  </si>
  <si>
    <t>32 32 19</t>
  </si>
  <si>
    <t>Unit Masonry Retaining Walls</t>
  </si>
  <si>
    <t>32 32 23</t>
  </si>
  <si>
    <t>Segmental Retaining Walls</t>
  </si>
  <si>
    <t>32 32 23.13</t>
  </si>
  <si>
    <t>Segmental Concrete Unit Masonry Retaining Walls</t>
  </si>
  <si>
    <t>32 32 23.16</t>
  </si>
  <si>
    <t>Manufactured Modular Walls</t>
  </si>
  <si>
    <t>32 32 26</t>
  </si>
  <si>
    <t>Metal Crib Retaining Walls</t>
  </si>
  <si>
    <t>32 32 29</t>
  </si>
  <si>
    <t>Timber Retaining Walls</t>
  </si>
  <si>
    <t>32 32 34</t>
  </si>
  <si>
    <t>Reinforced Soil Retaining Walls</t>
  </si>
  <si>
    <t>32 32 36</t>
  </si>
  <si>
    <t>Gabion Retaining Walls</t>
  </si>
  <si>
    <t>32 32 43</t>
  </si>
  <si>
    <t>Soldier-Beam Retaining Walls</t>
  </si>
  <si>
    <t>32 32 53</t>
  </si>
  <si>
    <t>Stone Retaining Walls</t>
  </si>
  <si>
    <t>32 34 00</t>
  </si>
  <si>
    <t>Fabricated Bridges</t>
  </si>
  <si>
    <t>32 34 13</t>
  </si>
  <si>
    <t>Fabricated Pedestrian Bridges</t>
  </si>
  <si>
    <t>32 34 23</t>
  </si>
  <si>
    <t>Fabricated Roadway Bridges</t>
  </si>
  <si>
    <t>32 34 33</t>
  </si>
  <si>
    <t>Fabricated Railway Bridges</t>
  </si>
  <si>
    <t>32 35 00</t>
  </si>
  <si>
    <t>Screening Devices</t>
  </si>
  <si>
    <t>32 35 13</t>
  </si>
  <si>
    <t>Screens and Louvers</t>
  </si>
  <si>
    <t>32 35 16</t>
  </si>
  <si>
    <t>Sound Barriers</t>
  </si>
  <si>
    <t>32 39 00</t>
  </si>
  <si>
    <t>Manufactured Site Specialties</t>
  </si>
  <si>
    <t>32 39 13</t>
  </si>
  <si>
    <t>Manufactured Metal Bollards</t>
  </si>
  <si>
    <t>32 70 00</t>
  </si>
  <si>
    <t>Wetlands</t>
  </si>
  <si>
    <t>32 71 00</t>
  </si>
  <si>
    <t>Constructed Wetlands</t>
  </si>
  <si>
    <t>32 72 00</t>
  </si>
  <si>
    <t>Wetlands Restoration</t>
  </si>
  <si>
    <t>32 80 00</t>
  </si>
  <si>
    <t>Irrigation</t>
  </si>
  <si>
    <t>32 82 00</t>
  </si>
  <si>
    <t>Irrigation Pumps</t>
  </si>
  <si>
    <t>32 84 00</t>
  </si>
  <si>
    <t>Planting Irrigation</t>
  </si>
  <si>
    <t>32 84 13</t>
  </si>
  <si>
    <t>Drip Irrigation</t>
  </si>
  <si>
    <t>32 84 23</t>
  </si>
  <si>
    <t>Underground Sprinklers</t>
  </si>
  <si>
    <t>32 86 00</t>
  </si>
  <si>
    <t>Agricultural Irrigation</t>
  </si>
  <si>
    <t>32 90 00</t>
  </si>
  <si>
    <t>Planting</t>
  </si>
  <si>
    <t>32 91 00</t>
  </si>
  <si>
    <t>Planting Preparation</t>
  </si>
  <si>
    <t>32 91 13</t>
  </si>
  <si>
    <t>Soil Preparation</t>
  </si>
  <si>
    <t>32 91 13.13</t>
  </si>
  <si>
    <t>Hydro-Punching</t>
  </si>
  <si>
    <t>32 91 13.16</t>
  </si>
  <si>
    <t>Mulching</t>
  </si>
  <si>
    <t>32 91 13.19</t>
  </si>
  <si>
    <t>Planting Soil Mixing</t>
  </si>
  <si>
    <t>32 91 13.23</t>
  </si>
  <si>
    <t>Structural Soil Mixing</t>
  </si>
  <si>
    <t>32 91 13.26</t>
  </si>
  <si>
    <t>Planting Beds</t>
  </si>
  <si>
    <t>32 91 16</t>
  </si>
  <si>
    <t>Planting Soil Stabilization</t>
  </si>
  <si>
    <t>32 91 16.13</t>
  </si>
  <si>
    <t>Blanket Planting Soil Stabilization</t>
  </si>
  <si>
    <t>32 91 16.16</t>
  </si>
  <si>
    <t>Mat Planting Soil Stabilization</t>
  </si>
  <si>
    <t>32 91 16.19</t>
  </si>
  <si>
    <t>Netting Planting Soil Stabilization</t>
  </si>
  <si>
    <t>32 91 19</t>
  </si>
  <si>
    <t>Landscape Grading</t>
  </si>
  <si>
    <t>32 91 19.13</t>
  </si>
  <si>
    <t>Topsoil Placement and Grading</t>
  </si>
  <si>
    <t>32 92 00</t>
  </si>
  <si>
    <t>Turf and Grasses</t>
  </si>
  <si>
    <t>32 92 13</t>
  </si>
  <si>
    <t>Hydro-Mulching</t>
  </si>
  <si>
    <t>32 92 16</t>
  </si>
  <si>
    <t>Plugging</t>
  </si>
  <si>
    <t>32 92 19</t>
  </si>
  <si>
    <t>Seeding</t>
  </si>
  <si>
    <t>32 92 19.13</t>
  </si>
  <si>
    <t>Mechanical Seeding</t>
  </si>
  <si>
    <t>32 92 19.16</t>
  </si>
  <si>
    <t>Hydraulic Seeding</t>
  </si>
  <si>
    <t>32 92 23</t>
  </si>
  <si>
    <t>Sodding</t>
  </si>
  <si>
    <t>32 92 26</t>
  </si>
  <si>
    <t>Sprigging</t>
  </si>
  <si>
    <t>32 92 26.13</t>
  </si>
  <si>
    <t>Stolonizing</t>
  </si>
  <si>
    <t>32 93 00</t>
  </si>
  <si>
    <t>Plants</t>
  </si>
  <si>
    <t>32 93 13</t>
  </si>
  <si>
    <t>Ground Covers</t>
  </si>
  <si>
    <t>32 93 23</t>
  </si>
  <si>
    <t>Plants and Bulbs</t>
  </si>
  <si>
    <t>32 93 33</t>
  </si>
  <si>
    <t>Shrubs</t>
  </si>
  <si>
    <t>32 93 43</t>
  </si>
  <si>
    <t>Trees</t>
  </si>
  <si>
    <t>32 94 00</t>
  </si>
  <si>
    <t>Planting Accessories</t>
  </si>
  <si>
    <t>32 94 13</t>
  </si>
  <si>
    <t>Landscape Edging</t>
  </si>
  <si>
    <t>32 94 16</t>
  </si>
  <si>
    <t>Landscape Timbers</t>
  </si>
  <si>
    <t>32 94 19</t>
  </si>
  <si>
    <t>Landscape Surfacing</t>
  </si>
  <si>
    <t>32 94 33</t>
  </si>
  <si>
    <t>Planters</t>
  </si>
  <si>
    <t>32 94 43</t>
  </si>
  <si>
    <t>Tree Grates</t>
  </si>
  <si>
    <t>32 94 46</t>
  </si>
  <si>
    <t>Tree Grids</t>
  </si>
  <si>
    <t>32 96 00</t>
  </si>
  <si>
    <t>Transplanting</t>
  </si>
  <si>
    <t>32 96 13</t>
  </si>
  <si>
    <t>Ground Cover Transplanting</t>
  </si>
  <si>
    <t>32 96 23</t>
  </si>
  <si>
    <t>Plant and Bulb Transplanting</t>
  </si>
  <si>
    <t>32 96 33</t>
  </si>
  <si>
    <t>Shrub Transplanting</t>
  </si>
  <si>
    <t>32 96 43</t>
  </si>
  <si>
    <t>Tree Transplanting</t>
  </si>
  <si>
    <t>33 00 00</t>
  </si>
  <si>
    <t>Utilities</t>
  </si>
  <si>
    <t>33 01 00</t>
  </si>
  <si>
    <t>Operation and Maintenance of Utilities</t>
  </si>
  <si>
    <t>33 01 10</t>
  </si>
  <si>
    <t>Operation and Maintenance of Water Utilities</t>
  </si>
  <si>
    <t>33 01 20</t>
  </si>
  <si>
    <t>Operation and Maintenance of Wells</t>
  </si>
  <si>
    <t>33 01 30</t>
  </si>
  <si>
    <t>Operation and Maintenance of Sewer Utilities</t>
  </si>
  <si>
    <t>33 01 30.13</t>
  </si>
  <si>
    <t>Sewer and Manhole Testing</t>
  </si>
  <si>
    <t>33 01 30.16</t>
  </si>
  <si>
    <t>TV Inspection of Sewer Pipelines</t>
  </si>
  <si>
    <t>33 01 30.51</t>
  </si>
  <si>
    <t>Maintenance of Sewer Utilities</t>
  </si>
  <si>
    <t>33 01 30.52</t>
  </si>
  <si>
    <t>Pond and Reservoir Maintenance</t>
  </si>
  <si>
    <t>33 01 30.61</t>
  </si>
  <si>
    <t>Sewer and Pipe Joint Sealing</t>
  </si>
  <si>
    <t>33 01 30.62</t>
  </si>
  <si>
    <t>Manhole Grout Sealing</t>
  </si>
  <si>
    <t>33 01 30.71</t>
  </si>
  <si>
    <t>Rehabilitation of Sewer Utilities</t>
  </si>
  <si>
    <t>33 01 30.72</t>
  </si>
  <si>
    <t>Relining Sewers</t>
  </si>
  <si>
    <t>33 01 50</t>
  </si>
  <si>
    <t>Operation and Maintenance of Fuel Distribution Lines</t>
  </si>
  <si>
    <t>33 01 50.51</t>
  </si>
  <si>
    <t>Cleaning Fuel-Storage Tanks</t>
  </si>
  <si>
    <t>33 01 50.71</t>
  </si>
  <si>
    <t>Lining of Steel Fuel-Storage Tanks</t>
  </si>
  <si>
    <t>33 01 60</t>
  </si>
  <si>
    <t>Operation and Maintenance of Hydronic and Steam Energy Utilities</t>
  </si>
  <si>
    <t>33 01 70</t>
  </si>
  <si>
    <t>Operation and Maintenance of Electrical Utilities</t>
  </si>
  <si>
    <t>33 01 80</t>
  </si>
  <si>
    <t>Operation and Maintenance of Communications Utilities</t>
  </si>
  <si>
    <t>33 05 00</t>
  </si>
  <si>
    <t>Common Work Results for Utilities</t>
  </si>
  <si>
    <t>33 05 13</t>
  </si>
  <si>
    <t>Manholes and Structures</t>
  </si>
  <si>
    <t>33 05 13.13</t>
  </si>
  <si>
    <t>Manhole Grade Adjustment</t>
  </si>
  <si>
    <t>33 05 16</t>
  </si>
  <si>
    <t>Utility Structures</t>
  </si>
  <si>
    <t>33 05 16.13</t>
  </si>
  <si>
    <t>Precast Concrete Utility Structures</t>
  </si>
  <si>
    <t>33 05 16.53</t>
  </si>
  <si>
    <t>Rebuilding Utility Structures</t>
  </si>
  <si>
    <t>33 05 19</t>
  </si>
  <si>
    <t>Pressure Piping Tied Joint Restraint System</t>
  </si>
  <si>
    <t>33 05 23</t>
  </si>
  <si>
    <t>Trenchless Utility Installation</t>
  </si>
  <si>
    <t>33 05 23.13</t>
  </si>
  <si>
    <t>Utility Horizontal Directional Drilling</t>
  </si>
  <si>
    <t>33 05 23.16</t>
  </si>
  <si>
    <t>Utility Pipe Jacking</t>
  </si>
  <si>
    <t>33 05 23.19</t>
  </si>
  <si>
    <t>Microtunneling</t>
  </si>
  <si>
    <t>33 05 23.23</t>
  </si>
  <si>
    <t>Utility Pipe Ramming</t>
  </si>
  <si>
    <t>33 05 23.26</t>
  </si>
  <si>
    <t>Utility Impact Moling</t>
  </si>
  <si>
    <t>33 05 23.29</t>
  </si>
  <si>
    <t>Cable Trenching and Plowing</t>
  </si>
  <si>
    <t>33 05 26</t>
  </si>
  <si>
    <t>Utility Identification</t>
  </si>
  <si>
    <t>33 05 26.13</t>
  </si>
  <si>
    <t>Utility Identification Signs</t>
  </si>
  <si>
    <t>33 05 26.16</t>
  </si>
  <si>
    <t>Utility Identification Markers</t>
  </si>
  <si>
    <t>33 05 26.19</t>
  </si>
  <si>
    <t>Utility Identification Flags</t>
  </si>
  <si>
    <t>33 05 26.23</t>
  </si>
  <si>
    <t>Utility Identification Trace Wires</t>
  </si>
  <si>
    <t>33 06 00</t>
  </si>
  <si>
    <t>Schedules for Utilities</t>
  </si>
  <si>
    <t>33 06 10</t>
  </si>
  <si>
    <t>Schedules for Water Utilities</t>
  </si>
  <si>
    <t>33 06 20</t>
  </si>
  <si>
    <t>Schedules for Wells</t>
  </si>
  <si>
    <t>33 06 30</t>
  </si>
  <si>
    <t>Schedules for Sanitary Sewerage Utilities</t>
  </si>
  <si>
    <t>33 06 40</t>
  </si>
  <si>
    <t>Schedules for Storm Drainage Utilities</t>
  </si>
  <si>
    <t>33 06 40.13</t>
  </si>
  <si>
    <t>Storm Drainage Schedule</t>
  </si>
  <si>
    <t>33 06 50</t>
  </si>
  <si>
    <t>Schedules for Fuel Distribution Utilities</t>
  </si>
  <si>
    <t>33 06 60</t>
  </si>
  <si>
    <t>Schedules for Hydronic and Steam Energy Utilities</t>
  </si>
  <si>
    <t>33 06 70</t>
  </si>
  <si>
    <t>Schedules for Electrical Utilities</t>
  </si>
  <si>
    <t>33 06 80</t>
  </si>
  <si>
    <t>Schedules for Communications Utilities</t>
  </si>
  <si>
    <t>33 08 00</t>
  </si>
  <si>
    <t>Commissioning of Utilities</t>
  </si>
  <si>
    <t>33 08 10</t>
  </si>
  <si>
    <t>Commissioning of Water Utilities</t>
  </si>
  <si>
    <t>33 08 20</t>
  </si>
  <si>
    <t>Commissioning of Wells</t>
  </si>
  <si>
    <t>33 08 30</t>
  </si>
  <si>
    <t>Commissioning of Sanitary Sewerage Utilities</t>
  </si>
  <si>
    <t>33 08 40</t>
  </si>
  <si>
    <t>Commissioning of Storm Drainage Utilities</t>
  </si>
  <si>
    <t>33 08 50</t>
  </si>
  <si>
    <t>Commissioning of Fuel Distribution Utilities</t>
  </si>
  <si>
    <t>33 08 60</t>
  </si>
  <si>
    <t>Commissioning of Hydronic and Steam Energy Utilities</t>
  </si>
  <si>
    <t>33 08 70</t>
  </si>
  <si>
    <t>Commissioning of Electrical Utilities</t>
  </si>
  <si>
    <t>33 08 80</t>
  </si>
  <si>
    <t>Commissioning of Communications Utilities</t>
  </si>
  <si>
    <t>33 09 00</t>
  </si>
  <si>
    <t>Instrumentation and Control for Utilities</t>
  </si>
  <si>
    <t>33 09 10</t>
  </si>
  <si>
    <t>Instrumentation and Control for Water Utilities</t>
  </si>
  <si>
    <t>33 09 20</t>
  </si>
  <si>
    <t>Instrumentation and Control for Wells</t>
  </si>
  <si>
    <t>33 09 30</t>
  </si>
  <si>
    <t>Instrumentation and Control for Sanitary Sewerage Utilities</t>
  </si>
  <si>
    <t>33 09 40</t>
  </si>
  <si>
    <t>Instrumentation and Control for Storm Drainage Utilities</t>
  </si>
  <si>
    <t>33 09 50</t>
  </si>
  <si>
    <t>Instrumentation and Control for Fuel Distribution Utilities</t>
  </si>
  <si>
    <t>33 09 60</t>
  </si>
  <si>
    <t>Instrumentation and Control for Hydronic and Steam Energy Utilities</t>
  </si>
  <si>
    <t>33 09 70</t>
  </si>
  <si>
    <t>Instrumentation and Control for Electrical Utilities</t>
  </si>
  <si>
    <t>33 09 80</t>
  </si>
  <si>
    <t>Instrumentation and Control for Communications Utilities</t>
  </si>
  <si>
    <t>33 10 00</t>
  </si>
  <si>
    <t>Water Utilities</t>
  </si>
  <si>
    <t>33 11 00</t>
  </si>
  <si>
    <t>Water Utility Distribution Piping</t>
  </si>
  <si>
    <t>33 11 13</t>
  </si>
  <si>
    <t>Public Water Utility Distribution Piping</t>
  </si>
  <si>
    <t>33 11 13.13</t>
  </si>
  <si>
    <t>Ductile Iron Public Water Utility Distribution Piping</t>
  </si>
  <si>
    <t>33 11 13.16</t>
  </si>
  <si>
    <t>Cast Iron Public Water Utility Distribution Piping</t>
  </si>
  <si>
    <t>33 11 13.23</t>
  </si>
  <si>
    <t>Plastic Public Water Utility Distribution Piping</t>
  </si>
  <si>
    <t>33 11 13.26</t>
  </si>
  <si>
    <t>Galvanized Steel Public Water Utility Distribution Piping</t>
  </si>
  <si>
    <t>33 11 13.33</t>
  </si>
  <si>
    <t>Concrete Public Water Utility Distribution Piping</t>
  </si>
  <si>
    <t>33 11 16</t>
  </si>
  <si>
    <t>Site Water Utility Distribution Piping</t>
  </si>
  <si>
    <t>33 11 19</t>
  </si>
  <si>
    <t>Fire Suppression Utility Water Distribution Piping</t>
  </si>
  <si>
    <t>33 12 00</t>
  </si>
  <si>
    <t>Water Utility Distribution Equipment</t>
  </si>
  <si>
    <t>33 12 13</t>
  </si>
  <si>
    <t>Water Service Connections</t>
  </si>
  <si>
    <t>33 12 13.13</t>
  </si>
  <si>
    <t>Water Supply Backflow Preventer Assemblies</t>
  </si>
  <si>
    <t>33 12 16</t>
  </si>
  <si>
    <t>Water Utility Distribution Valves</t>
  </si>
  <si>
    <t>33 12 19</t>
  </si>
  <si>
    <t>Water Utility Distribution Fire Hydrants</t>
  </si>
  <si>
    <t>33 12 23</t>
  </si>
  <si>
    <t>Water Utility Pumping Stations</t>
  </si>
  <si>
    <t>33 12 33</t>
  </si>
  <si>
    <t>Water Utility Metering</t>
  </si>
  <si>
    <t>33 13 00</t>
  </si>
  <si>
    <t>Disinfecting of Water Utility Distribution</t>
  </si>
  <si>
    <t>33 16 00</t>
  </si>
  <si>
    <t>Water Utility Storage Tanks</t>
  </si>
  <si>
    <t>33 16 13</t>
  </si>
  <si>
    <t>Aboveground Water Utility Storage Tanks</t>
  </si>
  <si>
    <t>33 16 13.13</t>
  </si>
  <si>
    <t>Steel Aboveground Water Utility Storage Tanks</t>
  </si>
  <si>
    <t>33 16 13.16</t>
  </si>
  <si>
    <t>Prestressed Concrete Aboveground Water Utility Storage Tanks</t>
  </si>
  <si>
    <t>33 16 13.19</t>
  </si>
  <si>
    <t>Plastic Aboveground Water Utility Storage Tanks</t>
  </si>
  <si>
    <t>33 16 16</t>
  </si>
  <si>
    <t>Underground Water Utility Storage Tanks</t>
  </si>
  <si>
    <t>33 16 19</t>
  </si>
  <si>
    <t>Elevated Water Utility Storage Tanks</t>
  </si>
  <si>
    <t>33 20 00</t>
  </si>
  <si>
    <t>Wells</t>
  </si>
  <si>
    <t>33 21 00</t>
  </si>
  <si>
    <t>Water Supply Wells</t>
  </si>
  <si>
    <t>33 21 13</t>
  </si>
  <si>
    <t>Public Water Supply Wells</t>
  </si>
  <si>
    <t>33 21 16</t>
  </si>
  <si>
    <t>Irrigation Water Wells</t>
  </si>
  <si>
    <t>33 22 00</t>
  </si>
  <si>
    <t>Test Wells</t>
  </si>
  <si>
    <t>33 23 00</t>
  </si>
  <si>
    <t>Extraction Wells</t>
  </si>
  <si>
    <t>33 24 00</t>
  </si>
  <si>
    <t>Monitoring Wells</t>
  </si>
  <si>
    <t>33 24 13</t>
  </si>
  <si>
    <t>Groundwater Monitoring Wells</t>
  </si>
  <si>
    <t>33 25 00</t>
  </si>
  <si>
    <t>Recharge Wells</t>
  </si>
  <si>
    <t>33 26 00</t>
  </si>
  <si>
    <t>Relief Wells</t>
  </si>
  <si>
    <t>33 29 00</t>
  </si>
  <si>
    <t>Well Abandonment</t>
  </si>
  <si>
    <t>33 30 00</t>
  </si>
  <si>
    <t>Sanitary Sewerage Utilities</t>
  </si>
  <si>
    <t>33 31 00</t>
  </si>
  <si>
    <t>Sanitary Utility Sewerage Piping</t>
  </si>
  <si>
    <t>33 31 13</t>
  </si>
  <si>
    <t>Public Sanitary Utility Sewerage Piping</t>
  </si>
  <si>
    <t>33 31 16</t>
  </si>
  <si>
    <t>Industrial Waste Utility Sewerage Piping</t>
  </si>
  <si>
    <t>33 32 00</t>
  </si>
  <si>
    <t>Wastewater Utility Pumping Stations</t>
  </si>
  <si>
    <t>33 32 13</t>
  </si>
  <si>
    <t>Packaged Utility Lift Stations</t>
  </si>
  <si>
    <t>33 32 13.13</t>
  </si>
  <si>
    <t>Packaged Sewage Lift Stations, Wet Well Type</t>
  </si>
  <si>
    <t>33 32 16</t>
  </si>
  <si>
    <t>Packaged Utility Wastewater Pumping Stations</t>
  </si>
  <si>
    <t>33 32 16.13</t>
  </si>
  <si>
    <t>Packaged Sewage Grinder Pumping Units</t>
  </si>
  <si>
    <t>33 32 19</t>
  </si>
  <si>
    <t>Public Utility Wastewater Pumping Stations</t>
  </si>
  <si>
    <t>33 33 00</t>
  </si>
  <si>
    <t>Low Pressure Utility Sewerage</t>
  </si>
  <si>
    <t>33 33 13</t>
  </si>
  <si>
    <t>Sanitary Utility Sewerage</t>
  </si>
  <si>
    <t>33 33 16</t>
  </si>
  <si>
    <t>Combined Utility Sewerage</t>
  </si>
  <si>
    <t>33 34 00</t>
  </si>
  <si>
    <t>Sanitary Utility Sewerage Force Mains</t>
  </si>
  <si>
    <t>33 34 13</t>
  </si>
  <si>
    <t>Sanitary Utility Sewerage Inverted Siphons</t>
  </si>
  <si>
    <t>33 36 00</t>
  </si>
  <si>
    <t>Utility Septic Tanks</t>
  </si>
  <si>
    <t>33 36 13</t>
  </si>
  <si>
    <t>Utility Septic Tank and Effluent Wet Wells</t>
  </si>
  <si>
    <t>33 36 16</t>
  </si>
  <si>
    <t>Utility Septic Tank Effluent Pumps</t>
  </si>
  <si>
    <t>33 36 33</t>
  </si>
  <si>
    <t>Utility Drainage Field</t>
  </si>
  <si>
    <t>33 39 00</t>
  </si>
  <si>
    <t>Sanitary Utility Sewerage Structures</t>
  </si>
  <si>
    <t>33 39 13</t>
  </si>
  <si>
    <t>Sanitary Utility Sewerage Manholes, Frames, and Covers</t>
  </si>
  <si>
    <t>33 39 23</t>
  </si>
  <si>
    <t>Sanitary Utility Sewerage Cleanouts</t>
  </si>
  <si>
    <t>33 40 00</t>
  </si>
  <si>
    <t>Storm Drainage Utilities</t>
  </si>
  <si>
    <t>33 41 00</t>
  </si>
  <si>
    <t>Storm Utility Drainage Piping</t>
  </si>
  <si>
    <t>33 41 13</t>
  </si>
  <si>
    <t>Public Storm Utility Drainage Piping</t>
  </si>
  <si>
    <t>33 42 00</t>
  </si>
  <si>
    <t>Culverts</t>
  </si>
  <si>
    <t>33 42 13</t>
  </si>
  <si>
    <t>Pipe Culverts</t>
  </si>
  <si>
    <t>33 42 13.13</t>
  </si>
  <si>
    <t>Public Pipe Culverts</t>
  </si>
  <si>
    <t>33 42 16</t>
  </si>
  <si>
    <t>Concrete Culverts</t>
  </si>
  <si>
    <t>33 42 16.13</t>
  </si>
  <si>
    <t>Precast Concrete Culverts</t>
  </si>
  <si>
    <t>33 42 16.16</t>
  </si>
  <si>
    <t>Cast-in-Place Concrete Culverts</t>
  </si>
  <si>
    <t>33 44 00</t>
  </si>
  <si>
    <t>Storm Utility Water Drains</t>
  </si>
  <si>
    <t>33 44 13</t>
  </si>
  <si>
    <t>Utility Area Drains</t>
  </si>
  <si>
    <t>33 44 13.13</t>
  </si>
  <si>
    <t>Catchbasins</t>
  </si>
  <si>
    <t>33 44 16</t>
  </si>
  <si>
    <t>Utility Trench Drains</t>
  </si>
  <si>
    <t>33 44 19</t>
  </si>
  <si>
    <t>Utility Storm Water Treatment</t>
  </si>
  <si>
    <t>33 44 19.13</t>
  </si>
  <si>
    <t>In-Line Utility Storm Water Filters</t>
  </si>
  <si>
    <t>33 44 19.16</t>
  </si>
  <si>
    <t>Catch Basin Insert Utility Storm Water Filters</t>
  </si>
  <si>
    <t>33 44 19.19</t>
  </si>
  <si>
    <t>Utility Oil and Gas Separators</t>
  </si>
  <si>
    <t>33 45 00</t>
  </si>
  <si>
    <t>Storm Utility Drainage Pumps</t>
  </si>
  <si>
    <t>33 46 00</t>
  </si>
  <si>
    <t>Subdrainage</t>
  </si>
  <si>
    <t>33 46 13</t>
  </si>
  <si>
    <t>Foundation Drainage</t>
  </si>
  <si>
    <t>33 46 13.13</t>
  </si>
  <si>
    <t>Foundation Drainage Piping</t>
  </si>
  <si>
    <t>33 46 13.16</t>
  </si>
  <si>
    <t>Geocomposite Foundation Drainage</t>
  </si>
  <si>
    <t>33 46 16</t>
  </si>
  <si>
    <t>Subdrainage Piping</t>
  </si>
  <si>
    <t>33 46 16.13</t>
  </si>
  <si>
    <t>33 46 16.16</t>
  </si>
  <si>
    <t>Geocomposite Subdrainage</t>
  </si>
  <si>
    <t>33 46 16.19</t>
  </si>
  <si>
    <t>Pipe Underdrains</t>
  </si>
  <si>
    <t>33 46 19</t>
  </si>
  <si>
    <t>Underslab Drainage</t>
  </si>
  <si>
    <t>33 46 19.13</t>
  </si>
  <si>
    <t>Underslab Drainage Piping</t>
  </si>
  <si>
    <t>33 46 19.16</t>
  </si>
  <si>
    <t>Geocomposite Underslab Drainage</t>
  </si>
  <si>
    <t>33 46 23</t>
  </si>
  <si>
    <t>Drainage Layers</t>
  </si>
  <si>
    <t>33 46 23.16</t>
  </si>
  <si>
    <t>Gravel Drainage Layers</t>
  </si>
  <si>
    <t>33 46 23.19</t>
  </si>
  <si>
    <t>Geosynthetic Drainage Layers</t>
  </si>
  <si>
    <t>33 46 26</t>
  </si>
  <si>
    <t>Geotextile Subsurface Drainage Filtration</t>
  </si>
  <si>
    <t>33 46 33</t>
  </si>
  <si>
    <t>Retaining Wall Drainage</t>
  </si>
  <si>
    <t>33 47 00</t>
  </si>
  <si>
    <t>Ponds and Reservoirs</t>
  </si>
  <si>
    <t>33 47 13</t>
  </si>
  <si>
    <t>Pond and Reservoir Liners</t>
  </si>
  <si>
    <t>33 47 13.13</t>
  </si>
  <si>
    <t>Pond Liners</t>
  </si>
  <si>
    <t>33 47 13.53</t>
  </si>
  <si>
    <t>Reservoir Liners</t>
  </si>
  <si>
    <t>33 47 16</t>
  </si>
  <si>
    <t>Pond and Reservoir Covers</t>
  </si>
  <si>
    <t>33 47 16.13</t>
  </si>
  <si>
    <t>Pond Covers</t>
  </si>
  <si>
    <t>33 47 16.53</t>
  </si>
  <si>
    <t>Reservoir Covers</t>
  </si>
  <si>
    <t>33 47 19</t>
  </si>
  <si>
    <t>Water Ponds and Reservoirs</t>
  </si>
  <si>
    <t>33 47 19.13</t>
  </si>
  <si>
    <t>Water Distribution Ponds</t>
  </si>
  <si>
    <t>33 47 19.16</t>
  </si>
  <si>
    <t>Water Retainage Reservoirs</t>
  </si>
  <si>
    <t>33 47 19.23</t>
  </si>
  <si>
    <t>Cooling Water Ponds</t>
  </si>
  <si>
    <t>33 47 19.33</t>
  </si>
  <si>
    <t>Fire-Protection Water Ponds</t>
  </si>
  <si>
    <t>33 47 23</t>
  </si>
  <si>
    <t>Sanitary Sewerage Lagoons</t>
  </si>
  <si>
    <t>33 47 26</t>
  </si>
  <si>
    <t>Storm Drainage Ponds and Reservoirs</t>
  </si>
  <si>
    <t>33 47 26.13</t>
  </si>
  <si>
    <t>Stabilization Ponds</t>
  </si>
  <si>
    <t>33 47 26.16</t>
  </si>
  <si>
    <t>Retention Basins</t>
  </si>
  <si>
    <t>33 47 26.19</t>
  </si>
  <si>
    <t>Leaching Pits</t>
  </si>
  <si>
    <t>33 49 00</t>
  </si>
  <si>
    <t>Storm Drainage Structures</t>
  </si>
  <si>
    <t>33 49 13</t>
  </si>
  <si>
    <t>Storm Drainage Manholes, Frames, and Covers</t>
  </si>
  <si>
    <t>33 49 23</t>
  </si>
  <si>
    <t>Storm Drainage Water Retention Structures</t>
  </si>
  <si>
    <t>33 50 00</t>
  </si>
  <si>
    <t>Fuel Distribution Utilities</t>
  </si>
  <si>
    <t>33 51 00</t>
  </si>
  <si>
    <t>Natural-Gas Distribution</t>
  </si>
  <si>
    <t>33 51 13</t>
  </si>
  <si>
    <t>Natural-Gas Piping</t>
  </si>
  <si>
    <t>33 51 33</t>
  </si>
  <si>
    <t>Natural-Gas Metering</t>
  </si>
  <si>
    <t>33 52 00</t>
  </si>
  <si>
    <t>Liquid Fuel Distribution</t>
  </si>
  <si>
    <t>33 52 13</t>
  </si>
  <si>
    <t>Fuel-Oil Distribution</t>
  </si>
  <si>
    <t>33 52 13.13</t>
  </si>
  <si>
    <t>Fuel-Oil Piping</t>
  </si>
  <si>
    <t>33 52 13.23</t>
  </si>
  <si>
    <t>Fuel-Oil Pumps</t>
  </si>
  <si>
    <t>33 52 16</t>
  </si>
  <si>
    <t>Gasoline Distribution</t>
  </si>
  <si>
    <t>33 52 16.13</t>
  </si>
  <si>
    <t>Gasoline Piping</t>
  </si>
  <si>
    <t>33 52 16.23</t>
  </si>
  <si>
    <t>Gasoline Pumps</t>
  </si>
  <si>
    <t>33 52 19</t>
  </si>
  <si>
    <t>Diesel Fuel Distribution</t>
  </si>
  <si>
    <t>33 52 19.13</t>
  </si>
  <si>
    <t>Diesel Fuel Piping</t>
  </si>
  <si>
    <t>33 52 19.23</t>
  </si>
  <si>
    <t>Diesel Fuel Pumps</t>
  </si>
  <si>
    <t>33 52 43</t>
  </si>
  <si>
    <t>Aviation Fuel Distribution</t>
  </si>
  <si>
    <t>33 52 43.13</t>
  </si>
  <si>
    <t>Aviation Fuel Piping</t>
  </si>
  <si>
    <t>33 52 43.16</t>
  </si>
  <si>
    <t>Aviation Fuel Connections</t>
  </si>
  <si>
    <t>33 52 43.19</t>
  </si>
  <si>
    <t>Aviation Fuel Grounding</t>
  </si>
  <si>
    <t>33 52 43.23</t>
  </si>
  <si>
    <t>Aviation Fuel Pumps</t>
  </si>
  <si>
    <t>33 56 00</t>
  </si>
  <si>
    <t>Fuel-Storage Tanks</t>
  </si>
  <si>
    <t>33 56 13</t>
  </si>
  <si>
    <t>Aboveground Fuel-Storage Tanks</t>
  </si>
  <si>
    <t>33 56 16</t>
  </si>
  <si>
    <t>Underground Fuel-Storage Tanks</t>
  </si>
  <si>
    <t>33 56 43</t>
  </si>
  <si>
    <t>Aviation Fuel-Storage Tanks</t>
  </si>
  <si>
    <t>33 56 43.13</t>
  </si>
  <si>
    <t>Aboveground Aviation Fuel-Storage Tanks</t>
  </si>
  <si>
    <t>33 56 43.16</t>
  </si>
  <si>
    <t>Underground Aviation Fuel-Storage Tanks</t>
  </si>
  <si>
    <t>33 56 53</t>
  </si>
  <si>
    <t>Compressed Gases Storage Tanks</t>
  </si>
  <si>
    <t>33 60 00</t>
  </si>
  <si>
    <t>Hydronic and Steam Energy Utilities</t>
  </si>
  <si>
    <t>33 61 00</t>
  </si>
  <si>
    <t>Hydronic Energy Distribution</t>
  </si>
  <si>
    <t>33 61 13</t>
  </si>
  <si>
    <t>Underground Hydronic Energy Distribution</t>
  </si>
  <si>
    <t>33 61 23</t>
  </si>
  <si>
    <t>Aboveground Hydronic Energy Distribution</t>
  </si>
  <si>
    <t>33 61 33</t>
  </si>
  <si>
    <t>Hydronic Energy Distribution Metering</t>
  </si>
  <si>
    <t>33 63 00</t>
  </si>
  <si>
    <t>Steam Energy Distribution</t>
  </si>
  <si>
    <t>33 63 13</t>
  </si>
  <si>
    <t>Underground Steam and Condensate Distribution Piping</t>
  </si>
  <si>
    <t>33 63 23</t>
  </si>
  <si>
    <t>Aboveground Steam and Condensate Distribution Piping</t>
  </si>
  <si>
    <t>33 63 33</t>
  </si>
  <si>
    <t>Steam Energy Distribution Metering</t>
  </si>
  <si>
    <t>33 70 00</t>
  </si>
  <si>
    <t>Electrical Utilities</t>
  </si>
  <si>
    <t>33 71 00</t>
  </si>
  <si>
    <t>Electrical Utility Transmission and Distribution</t>
  </si>
  <si>
    <t>33 71 13</t>
  </si>
  <si>
    <t>Electrical Utility Towers</t>
  </si>
  <si>
    <t>33 71 13.13</t>
  </si>
  <si>
    <t>Precast Concrete Electrical Utility Towers</t>
  </si>
  <si>
    <t>33 71 13.23</t>
  </si>
  <si>
    <t>Steel Electrical Utility Towers</t>
  </si>
  <si>
    <t>33 71 13.33</t>
  </si>
  <si>
    <t>Wood Electrical Utility Towers</t>
  </si>
  <si>
    <t>33 71 16</t>
  </si>
  <si>
    <t>Electrical Utility Poles</t>
  </si>
  <si>
    <t>33 71 16.13</t>
  </si>
  <si>
    <t>Precast Concrete Electrical Utility Poles</t>
  </si>
  <si>
    <t>33 71 16.23</t>
  </si>
  <si>
    <t>Steel Electrical Utility Poles</t>
  </si>
  <si>
    <t>33 71 16.33</t>
  </si>
  <si>
    <t>Wood Electrical Utility Poles</t>
  </si>
  <si>
    <t>33 71 19</t>
  </si>
  <si>
    <t>Electrical Underground Ducts and Manholes</t>
  </si>
  <si>
    <t>33 71 19.13</t>
  </si>
  <si>
    <t>Electrical Manholes and Handholes</t>
  </si>
  <si>
    <t>33 71 23</t>
  </si>
  <si>
    <t>Insulators and Fittings</t>
  </si>
  <si>
    <t>33 71 23.13</t>
  </si>
  <si>
    <t>Suspension Insulators</t>
  </si>
  <si>
    <t>33 71 23.16</t>
  </si>
  <si>
    <t>Post Insulators</t>
  </si>
  <si>
    <t>33 71 23.23</t>
  </si>
  <si>
    <t>Potheads</t>
  </si>
  <si>
    <t>33 71 26</t>
  </si>
  <si>
    <t>Transmission and Distribution Equipment</t>
  </si>
  <si>
    <t>33 71 26.13</t>
  </si>
  <si>
    <t>Capacitor Banks</t>
  </si>
  <si>
    <t>33 71 26.16</t>
  </si>
  <si>
    <t>Coupling Capacitors</t>
  </si>
  <si>
    <t>33 71 26.23</t>
  </si>
  <si>
    <t>Current Transformers</t>
  </si>
  <si>
    <t>33 71 26.26</t>
  </si>
  <si>
    <t>Potential Transformers</t>
  </si>
  <si>
    <t>33 71 36</t>
  </si>
  <si>
    <t>Extra-High-Voltage Wiring</t>
  </si>
  <si>
    <t>33 71 36.13</t>
  </si>
  <si>
    <t>Overhead Extra-High-Voltage Wiring</t>
  </si>
  <si>
    <t>33 71 39</t>
  </si>
  <si>
    <t>High-Voltage Wiring</t>
  </si>
  <si>
    <t>33 71 39.13</t>
  </si>
  <si>
    <t>Overhead High-Voltage Wiring</t>
  </si>
  <si>
    <t>33 71 39.23</t>
  </si>
  <si>
    <t>Underground High-Voltage Wiring</t>
  </si>
  <si>
    <t>33 71 39.33</t>
  </si>
  <si>
    <t>Underwater High-Voltage Wiring</t>
  </si>
  <si>
    <t>33 71 49</t>
  </si>
  <si>
    <t>Medium-Voltage Wiring</t>
  </si>
  <si>
    <t>33 71 49.13</t>
  </si>
  <si>
    <t>Overhead Medium-Voltage Wiring</t>
  </si>
  <si>
    <t>33 71 49.23</t>
  </si>
  <si>
    <t>Underground Medium-Voltage Wiring</t>
  </si>
  <si>
    <t>33 71 49.33</t>
  </si>
  <si>
    <t>Underwater Medium-Voltage Wiring</t>
  </si>
  <si>
    <t>33 71 53</t>
  </si>
  <si>
    <t>Direct-Current Transmission</t>
  </si>
  <si>
    <t>33 71 73</t>
  </si>
  <si>
    <t>Electrical Utility Services</t>
  </si>
  <si>
    <t>33 71 73.33</t>
  </si>
  <si>
    <t>Electric Meters</t>
  </si>
  <si>
    <t>33 71 83</t>
  </si>
  <si>
    <t>Transmission and Distribution Specialties</t>
  </si>
  <si>
    <t>33 72 00</t>
  </si>
  <si>
    <t>Utility Substations</t>
  </si>
  <si>
    <t>33 72 13</t>
  </si>
  <si>
    <t>Deadend Structures</t>
  </si>
  <si>
    <t>33 72 23</t>
  </si>
  <si>
    <t>Structural Bus Supports</t>
  </si>
  <si>
    <t>33 72 23.13</t>
  </si>
  <si>
    <t>Bus Support Insulators</t>
  </si>
  <si>
    <t>33 72 26</t>
  </si>
  <si>
    <t>Substation Bus Assemblies</t>
  </si>
  <si>
    <t>33 72 26.13</t>
  </si>
  <si>
    <t>Aluminum Substation Bus Assemblies</t>
  </si>
  <si>
    <t>33 72 26.16</t>
  </si>
  <si>
    <t>Copper Substation Bus Assemblies</t>
  </si>
  <si>
    <t>33 72 33</t>
  </si>
  <si>
    <t>Control House Equipment</t>
  </si>
  <si>
    <t>33 72 33.13</t>
  </si>
  <si>
    <t>Relays</t>
  </si>
  <si>
    <t>33 72 33.16</t>
  </si>
  <si>
    <t>Substation Control Panels</t>
  </si>
  <si>
    <t>33 72 33.23</t>
  </si>
  <si>
    <t>Power-Line Carriers</t>
  </si>
  <si>
    <t>33 72 33.26</t>
  </si>
  <si>
    <t>Substation Metering</t>
  </si>
  <si>
    <t>33 72 33.33</t>
  </si>
  <si>
    <t>Raceway and Boxes for Utility Substations</t>
  </si>
  <si>
    <t>33 72 33.36</t>
  </si>
  <si>
    <t>Cable Trays for Utility Substations</t>
  </si>
  <si>
    <t>33 72 33.43</t>
  </si>
  <si>
    <t>Substation Backup Batteries</t>
  </si>
  <si>
    <t>33 72 33.46</t>
  </si>
  <si>
    <t>Substation Converter Stations</t>
  </si>
  <si>
    <t>33 72 43</t>
  </si>
  <si>
    <t>Substation Control Wiring</t>
  </si>
  <si>
    <t>33 73 00</t>
  </si>
  <si>
    <t>Utility Transformers</t>
  </si>
  <si>
    <t>33 73 13</t>
  </si>
  <si>
    <t>Liquid-Filled Utility Transformers</t>
  </si>
  <si>
    <t>33 73 23</t>
  </si>
  <si>
    <t>Dry-Type Utility Transformers</t>
  </si>
  <si>
    <t>33 75 00</t>
  </si>
  <si>
    <t>High-Voltage Switchgear and Protection Devices</t>
  </si>
  <si>
    <t>33 75 13</t>
  </si>
  <si>
    <t>Air High-Voltage Circuit Breaker</t>
  </si>
  <si>
    <t>33 75 16</t>
  </si>
  <si>
    <t>Oil High-Voltage Circuit Breaker</t>
  </si>
  <si>
    <t>33 75 19</t>
  </si>
  <si>
    <t>Gas High-Voltage Circuit Breaker</t>
  </si>
  <si>
    <t>33 75 23</t>
  </si>
  <si>
    <t>Vacuum High-Voltage Circuit Breaker</t>
  </si>
  <si>
    <t>33 75 36</t>
  </si>
  <si>
    <t>High-Voltage Utility Fuses</t>
  </si>
  <si>
    <t>33 75 39</t>
  </si>
  <si>
    <t>High-Voltage Surge Arresters</t>
  </si>
  <si>
    <t>33 75 43</t>
  </si>
  <si>
    <t>Shunt Reactors</t>
  </si>
  <si>
    <t>33 77 00</t>
  </si>
  <si>
    <t>Medium-Voltage Utility Switchgear and Protection Devices</t>
  </si>
  <si>
    <t>33 77 13</t>
  </si>
  <si>
    <t>Air Medium-Voltage Circuit Breaker</t>
  </si>
  <si>
    <t>33 77 16</t>
  </si>
  <si>
    <t>Oil Medium-Voltage Circuit Breaker</t>
  </si>
  <si>
    <t>33 77 19</t>
  </si>
  <si>
    <t>Gas Medium-Voltage Circuit Breaker</t>
  </si>
  <si>
    <t>33 77 23</t>
  </si>
  <si>
    <t>Vacuum Medium-Voltage Circuit Breaker</t>
  </si>
  <si>
    <t>33 77 26</t>
  </si>
  <si>
    <t>Medium-Voltage Utility Fusible Interrupter Switchgear</t>
  </si>
  <si>
    <t>33 77 33</t>
  </si>
  <si>
    <t>Medium-Voltage Utility Cutouts</t>
  </si>
  <si>
    <t>33 77 36</t>
  </si>
  <si>
    <t>Medium-Voltage Utility Fuses</t>
  </si>
  <si>
    <t>33 77 39</t>
  </si>
  <si>
    <t>Medium-Voltage Utility Surge Arresters</t>
  </si>
  <si>
    <t>33 77 53</t>
  </si>
  <si>
    <t>Medium-Voltage Utility Reclosers</t>
  </si>
  <si>
    <t>33 79 00</t>
  </si>
  <si>
    <t>Site Grounding</t>
  </si>
  <si>
    <t>33 79 13</t>
  </si>
  <si>
    <t>Site Improvements Grounding</t>
  </si>
  <si>
    <t>33 79 13.13</t>
  </si>
  <si>
    <t>Electric Fence Grounding</t>
  </si>
  <si>
    <t>33 79 16</t>
  </si>
  <si>
    <t>Tower Grounding</t>
  </si>
  <si>
    <t>33 79 16.13</t>
  </si>
  <si>
    <t>Communications Tower Grounding</t>
  </si>
  <si>
    <t>33 79 16.16</t>
  </si>
  <si>
    <t>Antenna Tower Grounding</t>
  </si>
  <si>
    <t>33 79 19</t>
  </si>
  <si>
    <t>Utilities Grounding</t>
  </si>
  <si>
    <t>33 79 19.13</t>
  </si>
  <si>
    <t>Electrical Utilities Grounding</t>
  </si>
  <si>
    <t>33 79 19.16</t>
  </si>
  <si>
    <t>Communications Utilities Grounding</t>
  </si>
  <si>
    <t>33 79 23</t>
  </si>
  <si>
    <t>Utility Substation Grounding</t>
  </si>
  <si>
    <t>33 79 83</t>
  </si>
  <si>
    <t>Site Grounding Conductors</t>
  </si>
  <si>
    <t>33 79 83.13</t>
  </si>
  <si>
    <t>Grounding Wire, Bar, and Rod</t>
  </si>
  <si>
    <t>33 79 83.16</t>
  </si>
  <si>
    <t>Chemical Rod</t>
  </si>
  <si>
    <t>33 79 83.23</t>
  </si>
  <si>
    <t>Conductive Concrete</t>
  </si>
  <si>
    <t>33 79 83.33</t>
  </si>
  <si>
    <t>Earth Grounding Enhancement</t>
  </si>
  <si>
    <t>33 79 83.43</t>
  </si>
  <si>
    <t>Deep Earth Grounding</t>
  </si>
  <si>
    <t>33 79 93</t>
  </si>
  <si>
    <t>Site Lightning Protection</t>
  </si>
  <si>
    <t>33 79 93.13</t>
  </si>
  <si>
    <t>Lightning Strike Counters</t>
  </si>
  <si>
    <t>33 79 93.16</t>
  </si>
  <si>
    <t>Lightning Strike Warning Devices</t>
  </si>
  <si>
    <t>33 80 00</t>
  </si>
  <si>
    <t>Communications Utilities</t>
  </si>
  <si>
    <t>33 81 00</t>
  </si>
  <si>
    <t>Communications Structures</t>
  </si>
  <si>
    <t>33 81 13</t>
  </si>
  <si>
    <t>Communications Transmission Towers</t>
  </si>
  <si>
    <t>33 81 16</t>
  </si>
  <si>
    <t>Antenna Towers</t>
  </si>
  <si>
    <t>33 81 19</t>
  </si>
  <si>
    <t>Communications Utility Poles</t>
  </si>
  <si>
    <t>33 81 23</t>
  </si>
  <si>
    <t>Aerial Cable Installation Hardware</t>
  </si>
  <si>
    <t>33 81 26</t>
  </si>
  <si>
    <t>Communications Underground Ducts, Manholes, and Handholes</t>
  </si>
  <si>
    <t>33 81 29</t>
  </si>
  <si>
    <t>Communications Vaults, Pedestals, and Enclosures</t>
  </si>
  <si>
    <t>33 81 33</t>
  </si>
  <si>
    <t>Communications Blowers, Fans, and Ventilation</t>
  </si>
  <si>
    <t>33 82 00</t>
  </si>
  <si>
    <t>Communications Distribution</t>
  </si>
  <si>
    <t>33 82 13</t>
  </si>
  <si>
    <t>Copper Communications Distribution Cabling</t>
  </si>
  <si>
    <t>33 82 13.13</t>
  </si>
  <si>
    <t>Copper Splicing and Terminations</t>
  </si>
  <si>
    <t>33 82 23</t>
  </si>
  <si>
    <t>Optical Fiber Communications Distribution Cabling</t>
  </si>
  <si>
    <t>33 82 23.13</t>
  </si>
  <si>
    <t>Optical Fiber Splicing and Terminations</t>
  </si>
  <si>
    <t>33 82 33</t>
  </si>
  <si>
    <t>Coaxial Communications Distribution Cabling</t>
  </si>
  <si>
    <t>33 82 33.13</t>
  </si>
  <si>
    <t>Coaxial Splicing and Terminations</t>
  </si>
  <si>
    <t>33 82 43</t>
  </si>
  <si>
    <t>Grounding and Bonding for Communications Distribution</t>
  </si>
  <si>
    <t>33 82 46</t>
  </si>
  <si>
    <t>Cable Pressurization Equipment</t>
  </si>
  <si>
    <t>33 82 53</t>
  </si>
  <si>
    <t>Cleaning, Lubrication, and Restoration Chemicals</t>
  </si>
  <si>
    <t>33 83 00</t>
  </si>
  <si>
    <t>Wireless Communications Distribution</t>
  </si>
  <si>
    <t>33 83 13</t>
  </si>
  <si>
    <t>Laser Transmitters and Receivers</t>
  </si>
  <si>
    <t>33 83 16</t>
  </si>
  <si>
    <t>Microwave Transmitters and Receivers</t>
  </si>
  <si>
    <t>33 83 19</t>
  </si>
  <si>
    <t>Infrared Transmitters and Receivers</t>
  </si>
  <si>
    <t>33 83 23</t>
  </si>
  <si>
    <t>UHF/VHF Transmitters and Antennas</t>
  </si>
  <si>
    <t>34 00 00</t>
  </si>
  <si>
    <t>Transportation</t>
  </si>
  <si>
    <t>34 01 00</t>
  </si>
  <si>
    <t>Operation and Maintenance of Transportation</t>
  </si>
  <si>
    <t>34 01 13</t>
  </si>
  <si>
    <t>Operation and Maintenance of Roadways</t>
  </si>
  <si>
    <t>34 01 23</t>
  </si>
  <si>
    <t>Operation and Maintenance of Railways</t>
  </si>
  <si>
    <t>34 01 23.13</t>
  </si>
  <si>
    <t>Track Removal and Salvage</t>
  </si>
  <si>
    <t>34 01 23.81</t>
  </si>
  <si>
    <t>Track Crosstie Replacement</t>
  </si>
  <si>
    <t>34 01 33</t>
  </si>
  <si>
    <t>Operation and Maintenance of Airfields</t>
  </si>
  <si>
    <t>34 01 43</t>
  </si>
  <si>
    <t>Operation and Maintenance of Bridges</t>
  </si>
  <si>
    <t>34 05 00</t>
  </si>
  <si>
    <t>Common Work Results for Transportation</t>
  </si>
  <si>
    <t>34 05 13</t>
  </si>
  <si>
    <t>Common Work Results for Roadways</t>
  </si>
  <si>
    <t>34 05 23</t>
  </si>
  <si>
    <t>Common Work Results for Railways</t>
  </si>
  <si>
    <t>34 05 33</t>
  </si>
  <si>
    <t>Common Work Results for Airports</t>
  </si>
  <si>
    <t>34 05 43</t>
  </si>
  <si>
    <t>Common Work Results for Bridges</t>
  </si>
  <si>
    <t>34 06 00</t>
  </si>
  <si>
    <t>Schedules for Transportation</t>
  </si>
  <si>
    <t>34 06 13</t>
  </si>
  <si>
    <t>Schedules for Roadways</t>
  </si>
  <si>
    <t>34 06 23</t>
  </si>
  <si>
    <t>Schedules for Railways</t>
  </si>
  <si>
    <t>34 06 33</t>
  </si>
  <si>
    <t>Schedules for Airfields</t>
  </si>
  <si>
    <t>34 06 43</t>
  </si>
  <si>
    <t>Schedules for Bridges</t>
  </si>
  <si>
    <t>34 08 00</t>
  </si>
  <si>
    <t>Commissioning of Transportation</t>
  </si>
  <si>
    <t>34 08 13</t>
  </si>
  <si>
    <t>Commissioning of Roadways</t>
  </si>
  <si>
    <t>34 08 23</t>
  </si>
  <si>
    <t>Commissioning of Railways</t>
  </si>
  <si>
    <t>34 08 33</t>
  </si>
  <si>
    <t>Commissioning of Airfields</t>
  </si>
  <si>
    <t>34 08 43</t>
  </si>
  <si>
    <t>Commissioning of Bridges</t>
  </si>
  <si>
    <t>34 10 00</t>
  </si>
  <si>
    <t>Guideways/Railways</t>
  </si>
  <si>
    <t>34 11 00</t>
  </si>
  <si>
    <t>Rail Tracks</t>
  </si>
  <si>
    <t>34 11 13</t>
  </si>
  <si>
    <t>Track Rails</t>
  </si>
  <si>
    <t>34 11 13.13</t>
  </si>
  <si>
    <t>Light Rail Track</t>
  </si>
  <si>
    <t>34 11 13.23</t>
  </si>
  <si>
    <t>Heavy Rail Track</t>
  </si>
  <si>
    <t>34 11 16</t>
  </si>
  <si>
    <t>Welded Track Rails</t>
  </si>
  <si>
    <t>34 11 16.13</t>
  </si>
  <si>
    <t>In-Track Butt-Welded Track Rail</t>
  </si>
  <si>
    <t>34 11 16.16</t>
  </si>
  <si>
    <t>Pressure-Welded Track Rail</t>
  </si>
  <si>
    <t>34 11 16.19</t>
  </si>
  <si>
    <t>Thermite-Welded Track Rail</t>
  </si>
  <si>
    <t>34 11 19</t>
  </si>
  <si>
    <t>Track Rail Joints</t>
  </si>
  <si>
    <t>34 11 23</t>
  </si>
  <si>
    <t>Special Trackwork</t>
  </si>
  <si>
    <t>34 11 23.13</t>
  </si>
  <si>
    <t>Ballasted Special Track Rail</t>
  </si>
  <si>
    <t>34 11 23.16</t>
  </si>
  <si>
    <t>Direct-Fixation Track</t>
  </si>
  <si>
    <t>34 11 23.23</t>
  </si>
  <si>
    <t>Running Rail</t>
  </si>
  <si>
    <t>34 11 23.26</t>
  </si>
  <si>
    <t>Precurved Running Rail</t>
  </si>
  <si>
    <t>34 11 26</t>
  </si>
  <si>
    <t>Ballasted Track Rail</t>
  </si>
  <si>
    <t>34 11 26.13</t>
  </si>
  <si>
    <t>Track Rail Ballast</t>
  </si>
  <si>
    <t>34 11 26.16</t>
  </si>
  <si>
    <t>Track Rail Subballast</t>
  </si>
  <si>
    <t>34 11 29</t>
  </si>
  <si>
    <t>Embedded Track Rail</t>
  </si>
  <si>
    <t>34 11 33</t>
  </si>
  <si>
    <t>Track Cross Ties</t>
  </si>
  <si>
    <t>34 11 33.13</t>
  </si>
  <si>
    <t>Concrete Track Cross Ties</t>
  </si>
  <si>
    <t>34 11 33.16</t>
  </si>
  <si>
    <t>Timber Track Cross Ties</t>
  </si>
  <si>
    <t>34 11 33.19</t>
  </si>
  <si>
    <t>Resilient Track Cross Ties</t>
  </si>
  <si>
    <t>34 11 36</t>
  </si>
  <si>
    <t>Track Rail Fasteners</t>
  </si>
  <si>
    <t>34 11 36.13</t>
  </si>
  <si>
    <t>Direct-Fixation Fasteners</t>
  </si>
  <si>
    <t>34 11 39</t>
  </si>
  <si>
    <t>Track Collector Pans</t>
  </si>
  <si>
    <t>34 11 39.13</t>
  </si>
  <si>
    <t>Fiberglass Track Collector Pans</t>
  </si>
  <si>
    <t>34 11 93</t>
  </si>
  <si>
    <t>Track Appurtenances and Accessories</t>
  </si>
  <si>
    <t>34 12 00</t>
  </si>
  <si>
    <t>Monorails</t>
  </si>
  <si>
    <t>34 12 13</t>
  </si>
  <si>
    <t>Elevated Monorails</t>
  </si>
  <si>
    <t>34 12 16</t>
  </si>
  <si>
    <t>On-Grade Monorails</t>
  </si>
  <si>
    <t>34 12 19</t>
  </si>
  <si>
    <t>Below-Grade Monorails</t>
  </si>
  <si>
    <t>34 12 23</t>
  </si>
  <si>
    <t>Maglev Monorail</t>
  </si>
  <si>
    <t>34 12 63</t>
  </si>
  <si>
    <t>Monorail Track</t>
  </si>
  <si>
    <t>34 13 00</t>
  </si>
  <si>
    <t>Funiculars</t>
  </si>
  <si>
    <t>34 13 13</t>
  </si>
  <si>
    <t>Inclined Railway</t>
  </si>
  <si>
    <t>34 14 00</t>
  </si>
  <si>
    <t>Cable Transportation</t>
  </si>
  <si>
    <t>34 14 13</t>
  </si>
  <si>
    <t>Aerial Tramways</t>
  </si>
  <si>
    <t>34 14 19</t>
  </si>
  <si>
    <t>Gondolas</t>
  </si>
  <si>
    <t>34 14 26</t>
  </si>
  <si>
    <t>Funitels</t>
  </si>
  <si>
    <t>34 14 33</t>
  </si>
  <si>
    <t>Chairlifts</t>
  </si>
  <si>
    <t>34 14 39</t>
  </si>
  <si>
    <t>Surface Lifts</t>
  </si>
  <si>
    <t>34 14 46</t>
  </si>
  <si>
    <t>Ropeway Tows</t>
  </si>
  <si>
    <t>34 14 53</t>
  </si>
  <si>
    <t>Cable Car Systems</t>
  </si>
  <si>
    <t>34 20 00</t>
  </si>
  <si>
    <t>Traction Power</t>
  </si>
  <si>
    <t>34 21 00</t>
  </si>
  <si>
    <t>Traction Power Distribution</t>
  </si>
  <si>
    <t>34 21 13</t>
  </si>
  <si>
    <t>High Power Static Frequency Converters</t>
  </si>
  <si>
    <t>34 21 16</t>
  </si>
  <si>
    <t>Traction Power Substations</t>
  </si>
  <si>
    <t>34 21 16.13</t>
  </si>
  <si>
    <t>AC Traction Power Substations</t>
  </si>
  <si>
    <t>34 21 16.16</t>
  </si>
  <si>
    <t>DC Traction Power Substations</t>
  </si>
  <si>
    <t>34 21 19</t>
  </si>
  <si>
    <t>Traction Power Switchgear</t>
  </si>
  <si>
    <t>34 21 19.13</t>
  </si>
  <si>
    <t>AC Traction Power Switchgear</t>
  </si>
  <si>
    <t>34 21 19.16</t>
  </si>
  <si>
    <t>DC Traction Power Switchgear</t>
  </si>
  <si>
    <t>34 21 19.23</t>
  </si>
  <si>
    <t>Frequency Changer</t>
  </si>
  <si>
    <t>34 21 23</t>
  </si>
  <si>
    <t>Traction Power Transformer-Rectifier Units</t>
  </si>
  <si>
    <t>34 23 00</t>
  </si>
  <si>
    <t>Overhead Traction Power</t>
  </si>
  <si>
    <t>34 23 13</t>
  </si>
  <si>
    <t>Traction Power Poles</t>
  </si>
  <si>
    <t>34 23 16</t>
  </si>
  <si>
    <t>Overhead Cable Suspension</t>
  </si>
  <si>
    <t>34 23 23</t>
  </si>
  <si>
    <t>Overhead Traction Power Cables</t>
  </si>
  <si>
    <t>34 24 00</t>
  </si>
  <si>
    <t>Third Rail Traction Power</t>
  </si>
  <si>
    <t>34 24 13</t>
  </si>
  <si>
    <t>Bottom-Contact Third Rail</t>
  </si>
  <si>
    <t>34 24 16</t>
  </si>
  <si>
    <t>Side-Contact Third Rail</t>
  </si>
  <si>
    <t>34 24 19</t>
  </si>
  <si>
    <t>Top-Contact Third Rail</t>
  </si>
  <si>
    <t>34 40 00</t>
  </si>
  <si>
    <t>Transportation Signaling and Control Equipment</t>
  </si>
  <si>
    <t>34 41 00</t>
  </si>
  <si>
    <t>Roadway Signaling and Control Equipment</t>
  </si>
  <si>
    <t>34 41 13</t>
  </si>
  <si>
    <t>Traffic Signals</t>
  </si>
  <si>
    <t>34 41 16</t>
  </si>
  <si>
    <t>Traffic Control Equipment</t>
  </si>
  <si>
    <t>34 41 23</t>
  </si>
  <si>
    <t>Roadway Monitoring Equipment</t>
  </si>
  <si>
    <t>34 42 00</t>
  </si>
  <si>
    <t>Railway Signaling and Control Equipment</t>
  </si>
  <si>
    <t>34 42 13</t>
  </si>
  <si>
    <t>Railway Signals</t>
  </si>
  <si>
    <t>34 42 13.13</t>
  </si>
  <si>
    <t>General Railway Signal Requirements</t>
  </si>
  <si>
    <t>34 42 13.16</t>
  </si>
  <si>
    <t>Signal Solid State Coded Track Circuits</t>
  </si>
  <si>
    <t>34 42 16</t>
  </si>
  <si>
    <t>Train Control Wires and Cables</t>
  </si>
  <si>
    <t>34 42 19</t>
  </si>
  <si>
    <t>Vital Interlocking Logic Controllers</t>
  </si>
  <si>
    <t>34 42 23</t>
  </si>
  <si>
    <t>Railway Control Equipment</t>
  </si>
  <si>
    <t>34 42 23.13</t>
  </si>
  <si>
    <t>Mainline Train Control Room Equipment</t>
  </si>
  <si>
    <t>34 42 23.16</t>
  </si>
  <si>
    <t>Yard Train Control Room Equipment</t>
  </si>
  <si>
    <t>34 42 23.19</t>
  </si>
  <si>
    <t>Integrated Control Equipment</t>
  </si>
  <si>
    <t>34 42 23.23</t>
  </si>
  <si>
    <t>Interlocking Railway Control Equipment</t>
  </si>
  <si>
    <t>34 42 26</t>
  </si>
  <si>
    <t>Rail Network Equipment</t>
  </si>
  <si>
    <t>34 42 29</t>
  </si>
  <si>
    <t>Station Agent Equipment</t>
  </si>
  <si>
    <t>34 42 33</t>
  </si>
  <si>
    <t>Yard Management Equipment</t>
  </si>
  <si>
    <t>34 42 36</t>
  </si>
  <si>
    <t>Supervisory Control and Data Acquisition</t>
  </si>
  <si>
    <t>34 43 00</t>
  </si>
  <si>
    <t>Airfield Signaling and Control Equipment</t>
  </si>
  <si>
    <t>34 43 13</t>
  </si>
  <si>
    <t>Airfield Signals</t>
  </si>
  <si>
    <t>34 43 13.13</t>
  </si>
  <si>
    <t>Airfield Runway Identification Lights</t>
  </si>
  <si>
    <t>34 43 13.16</t>
  </si>
  <si>
    <t>Airfield Runway and Taxiway Inset Lighting</t>
  </si>
  <si>
    <t>34 43 16</t>
  </si>
  <si>
    <t>Airfield Landing Equipment</t>
  </si>
  <si>
    <t>34 43 16.13</t>
  </si>
  <si>
    <t>Microwave Airfield Landing Equipment</t>
  </si>
  <si>
    <t>34 43 16.16</t>
  </si>
  <si>
    <t>Instrument Airfield Landing Equipment</t>
  </si>
  <si>
    <t>34 43 16.19</t>
  </si>
  <si>
    <t>Airfield Visual-Approach Slope Indicator Equipment</t>
  </si>
  <si>
    <t>34 43 16.23</t>
  </si>
  <si>
    <t>Airfield Short-Approach Lighting Equipment</t>
  </si>
  <si>
    <t>34 43 16.26</t>
  </si>
  <si>
    <t>Airfield Omni-Directional-Approach Lighting Equipment</t>
  </si>
  <si>
    <t>34 43 16.29</t>
  </si>
  <si>
    <t>Airfield Low-Intensity-Approach Lighting Equipment</t>
  </si>
  <si>
    <t>34 43 16.33</t>
  </si>
  <si>
    <t>Airfield High-Intensity-Approach Lighting Equipment</t>
  </si>
  <si>
    <t>34 43 16.36</t>
  </si>
  <si>
    <t>Airfield Precision-Approach Path Indicator Equipment</t>
  </si>
  <si>
    <t>34 43 19</t>
  </si>
  <si>
    <t>Airfield Traffic Control Tower Equipment</t>
  </si>
  <si>
    <t>34 43 23</t>
  </si>
  <si>
    <t>Weather Observation Equipment</t>
  </si>
  <si>
    <t>34 43 23.13</t>
  </si>
  <si>
    <t>Automatic Weather Observation Equipment</t>
  </si>
  <si>
    <t>34 43 23.16</t>
  </si>
  <si>
    <t>Airfield Wind Cones</t>
  </si>
  <si>
    <t>34 43 26</t>
  </si>
  <si>
    <t>Airfield Control Equipment</t>
  </si>
  <si>
    <t>34 43 26.13</t>
  </si>
  <si>
    <t>Airfield Lighting Control Equipment</t>
  </si>
  <si>
    <t>34 43 26.16</t>
  </si>
  <si>
    <t>Airfield Lighting PLC Control Equipment</t>
  </si>
  <si>
    <t>34 43 26.19</t>
  </si>
  <si>
    <t>Airfield Lighting Regulator Assembly</t>
  </si>
  <si>
    <t>34 48 00</t>
  </si>
  <si>
    <t>Bridge Signaling and Control Equipment</t>
  </si>
  <si>
    <t>34 48 13</t>
  </si>
  <si>
    <t>Operating Bridge Signals</t>
  </si>
  <si>
    <t>34 48 16</t>
  </si>
  <si>
    <t>Operating Bridge Control Equipment</t>
  </si>
  <si>
    <t>34 50 00</t>
  </si>
  <si>
    <t>Transportation Fare Collection Equipment</t>
  </si>
  <si>
    <t>34 52 00</t>
  </si>
  <si>
    <t>Vehicle Fare Collection</t>
  </si>
  <si>
    <t>34 52 16</t>
  </si>
  <si>
    <t>Vehicle Ticketing Equipment</t>
  </si>
  <si>
    <t>34 52 16.13</t>
  </si>
  <si>
    <t>Vehicle Ticket Vending Machines</t>
  </si>
  <si>
    <t>34 52 26</t>
  </si>
  <si>
    <t>Vehicle Fare Collection Equipment</t>
  </si>
  <si>
    <t>34 52 26.13</t>
  </si>
  <si>
    <t>Vehicle Coin Fare Collection Equipment</t>
  </si>
  <si>
    <t>34 52 26.16</t>
  </si>
  <si>
    <t>Vehicle Electronic Fare Collection Equipment</t>
  </si>
  <si>
    <t>34 52 33</t>
  </si>
  <si>
    <t>Vehicle Fare Gates</t>
  </si>
  <si>
    <t>34 54 00</t>
  </si>
  <si>
    <t>Passenger Fare Collection</t>
  </si>
  <si>
    <t>34 54 16</t>
  </si>
  <si>
    <t>Passenger Ticketing Equipment</t>
  </si>
  <si>
    <t>34 54 16.13</t>
  </si>
  <si>
    <t>Passenger Ticket Vending Machines</t>
  </si>
  <si>
    <t>34 54 16.16</t>
  </si>
  <si>
    <t>Passenger Addfare Machines</t>
  </si>
  <si>
    <t>34 54 16.23</t>
  </si>
  <si>
    <t>Passenger Intermodal Transfer Machines</t>
  </si>
  <si>
    <t>34 54 26</t>
  </si>
  <si>
    <t>Passenger Fare Collection Equipment</t>
  </si>
  <si>
    <t>34 54 26.13</t>
  </si>
  <si>
    <t>Passenger Coin Fare Collection Equipment</t>
  </si>
  <si>
    <t>34 54 26.16</t>
  </si>
  <si>
    <t>Passenger Electronic Fare Collection Equipment</t>
  </si>
  <si>
    <t>34 54 33</t>
  </si>
  <si>
    <t>Passenger Fare Gates</t>
  </si>
  <si>
    <t>34 70 00</t>
  </si>
  <si>
    <t>Transportation Construction and Equipment</t>
  </si>
  <si>
    <t>34 71 00</t>
  </si>
  <si>
    <t>Roadway Construction</t>
  </si>
  <si>
    <t>34 71 13</t>
  </si>
  <si>
    <t>Vehicle Barriers</t>
  </si>
  <si>
    <t>34 71 13.13</t>
  </si>
  <si>
    <t>Vehicle Median Barriers</t>
  </si>
  <si>
    <t>34 71 13.16</t>
  </si>
  <si>
    <t>Vehicle Crash Barriers</t>
  </si>
  <si>
    <t>34 71 13.19</t>
  </si>
  <si>
    <t>Vehicle Traffic Barriers</t>
  </si>
  <si>
    <t>34 71 13.26</t>
  </si>
  <si>
    <t>Vehicle Guide Rails</t>
  </si>
  <si>
    <t>34 71 13.29</t>
  </si>
  <si>
    <t>Vehicle Barrier Fenders</t>
  </si>
  <si>
    <t>34 71 16</t>
  </si>
  <si>
    <t>Impact Attenuating Devices</t>
  </si>
  <si>
    <t>34 71 19</t>
  </si>
  <si>
    <t>Vehicle Delineators</t>
  </si>
  <si>
    <t>34 71 19.13</t>
  </si>
  <si>
    <t>Fixed Vehicle Delineators</t>
  </si>
  <si>
    <t>34 71 19.16</t>
  </si>
  <si>
    <t>Flexible Vehicle Delineators</t>
  </si>
  <si>
    <t>34 72 00</t>
  </si>
  <si>
    <t>Railway Construction</t>
  </si>
  <si>
    <t>34 72 13</t>
  </si>
  <si>
    <t>Railway Line</t>
  </si>
  <si>
    <t>34 72 16</t>
  </si>
  <si>
    <t>Railway Siding</t>
  </si>
  <si>
    <t>34 73 00</t>
  </si>
  <si>
    <t>Airfield Construction</t>
  </si>
  <si>
    <t>34 73 13</t>
  </si>
  <si>
    <t>Aircraft Tiedowns</t>
  </si>
  <si>
    <t>34 73 16</t>
  </si>
  <si>
    <t>Airfield Grounding</t>
  </si>
  <si>
    <t>34 73 16.13</t>
  </si>
  <si>
    <t>Aircraft Static Grounding</t>
  </si>
  <si>
    <t>34 73 19</t>
  </si>
  <si>
    <t>Jet Blast Barriers</t>
  </si>
  <si>
    <t>34 73 23</t>
  </si>
  <si>
    <t>Manufactured Airfield Control Towers</t>
  </si>
  <si>
    <t>34 73 26</t>
  </si>
  <si>
    <t>Manufactured Helipads</t>
  </si>
  <si>
    <t>34 75 00</t>
  </si>
  <si>
    <t>Roadway Equipment</t>
  </si>
  <si>
    <t>34 75 13</t>
  </si>
  <si>
    <t>Operable Roadway Equipment</t>
  </si>
  <si>
    <t>34 75 13.13</t>
  </si>
  <si>
    <t>Active Vehicle Barriers</t>
  </si>
  <si>
    <t>34 76 00</t>
  </si>
  <si>
    <t>Railway Equipment</t>
  </si>
  <si>
    <t>34 76 13</t>
  </si>
  <si>
    <t>Roadway Crossing Control Equipment</t>
  </si>
  <si>
    <t>34 77 00</t>
  </si>
  <si>
    <t>Transportation Equipment</t>
  </si>
  <si>
    <t>34 77 13</t>
  </si>
  <si>
    <t>Passenger Loading Bridges</t>
  </si>
  <si>
    <t>34 77 13.13</t>
  </si>
  <si>
    <t>Fixed Aircraft Passenger Loading Bridges</t>
  </si>
  <si>
    <t>34 77 13.16</t>
  </si>
  <si>
    <t>Movable Aircraft Passenger Loading Bridges</t>
  </si>
  <si>
    <t>34 77 13.23</t>
  </si>
  <si>
    <t>Ship Passenger Loading Bridges</t>
  </si>
  <si>
    <t>34 77 16</t>
  </si>
  <si>
    <t>Baggage Handling Equipment</t>
  </si>
  <si>
    <t>34 77 16.13</t>
  </si>
  <si>
    <t>Baggage Scanning Equipment</t>
  </si>
  <si>
    <t>34 77 16.16</t>
  </si>
  <si>
    <t>Baggage Scales</t>
  </si>
  <si>
    <t>34 77 16.19</t>
  </si>
  <si>
    <t>Baggage Conveying Equipment</t>
  </si>
  <si>
    <t>34 80 00</t>
  </si>
  <si>
    <t>Bridges</t>
  </si>
  <si>
    <t>34 81 00</t>
  </si>
  <si>
    <t>Bridge Machinery</t>
  </si>
  <si>
    <t>34 81 13</t>
  </si>
  <si>
    <t>Single-Swing Bridge Machinery</t>
  </si>
  <si>
    <t>34 81 16</t>
  </si>
  <si>
    <t>Double-Swing Bridge Machinery</t>
  </si>
  <si>
    <t>34 81 19</t>
  </si>
  <si>
    <t>Cantilever Bridge Machinery</t>
  </si>
  <si>
    <t>34 81 23</t>
  </si>
  <si>
    <t>Lift Bridge Machinery</t>
  </si>
  <si>
    <t>34 81 26</t>
  </si>
  <si>
    <t>Sliding Bridge Machinery</t>
  </si>
  <si>
    <t>34 81 29</t>
  </si>
  <si>
    <t>Pontoon Bridge Machinery</t>
  </si>
  <si>
    <t>34 81 32</t>
  </si>
  <si>
    <t>Bascule Bridge Machinery</t>
  </si>
  <si>
    <t>34 82 00</t>
  </si>
  <si>
    <t>Bridge Specialties</t>
  </si>
  <si>
    <t>34 82 13</t>
  </si>
  <si>
    <t>Bridge Vibration Dampers</t>
  </si>
  <si>
    <t>34 82 13.13</t>
  </si>
  <si>
    <t>Visco Elastic Bridge Vibration Dampers</t>
  </si>
  <si>
    <t>34 82 13.16</t>
  </si>
  <si>
    <t>Tuned-Mass Bridge Vibration Dampers</t>
  </si>
  <si>
    <t>34 82 19</t>
  </si>
  <si>
    <t>Bridge Pier Protection</t>
  </si>
  <si>
    <t>34 82 19.13</t>
  </si>
  <si>
    <t>Bridge Pier Ice Shields</t>
  </si>
  <si>
    <t>35 00 00</t>
  </si>
  <si>
    <t>Waterway and Marine Construction</t>
  </si>
  <si>
    <t>35 01 00</t>
  </si>
  <si>
    <t>Operation and Maintenance of Waterway and Marine Construction</t>
  </si>
  <si>
    <t>35 01 30</t>
  </si>
  <si>
    <t>Operation and Maintenance of Coastal Construction</t>
  </si>
  <si>
    <t>35 01 40</t>
  </si>
  <si>
    <t>Operation and Maintenance of Waterway Construction</t>
  </si>
  <si>
    <t>35 01 40.51</t>
  </si>
  <si>
    <t>Waterway Dredging</t>
  </si>
  <si>
    <t>35 01 40.92</t>
  </si>
  <si>
    <t>Preservation of Water Courses</t>
  </si>
  <si>
    <t>35 01 50</t>
  </si>
  <si>
    <t>Operation and Maintenance of Marine Construction</t>
  </si>
  <si>
    <t>35 01 50.51</t>
  </si>
  <si>
    <t>Marine Dredging</t>
  </si>
  <si>
    <t>35 01 50.71</t>
  </si>
  <si>
    <t>Channel Excavation, Cleaning and Deepening</t>
  </si>
  <si>
    <t>35 01 70</t>
  </si>
  <si>
    <t>Operation and Maintenance of Dams</t>
  </si>
  <si>
    <t>35 05 00</t>
  </si>
  <si>
    <t>Common Work Results for Waterway and Marine Construction</t>
  </si>
  <si>
    <t>35 05 30</t>
  </si>
  <si>
    <t>Common Work Results for Coastal Construction</t>
  </si>
  <si>
    <t>35 05 40</t>
  </si>
  <si>
    <t>Common Work Results for Waterway Construction</t>
  </si>
  <si>
    <t>35 05 50</t>
  </si>
  <si>
    <t>Common Work Results for Marine Construction</t>
  </si>
  <si>
    <t>35 05 70</t>
  </si>
  <si>
    <t>Common Work Results for Dams</t>
  </si>
  <si>
    <t>35 06 00</t>
  </si>
  <si>
    <t>Schedules for Waterway and Marine Construction</t>
  </si>
  <si>
    <t>35 06 30</t>
  </si>
  <si>
    <t>Schedules for Coastal Construction</t>
  </si>
  <si>
    <t>35 06 40</t>
  </si>
  <si>
    <t>Schedules for Waterway Construction</t>
  </si>
  <si>
    <t>35 06 50</t>
  </si>
  <si>
    <t>Schedules for Marine Construction</t>
  </si>
  <si>
    <t>35 06 70</t>
  </si>
  <si>
    <t>Schedules for Dams</t>
  </si>
  <si>
    <t>35 08 00</t>
  </si>
  <si>
    <t>Commissioning of Waterway and Marine Construction</t>
  </si>
  <si>
    <t>35 08 30</t>
  </si>
  <si>
    <t>Commissioning of Coastal Construction</t>
  </si>
  <si>
    <t>35 08 40</t>
  </si>
  <si>
    <t>Commissioning of Waterway Construction</t>
  </si>
  <si>
    <t>35 08 50</t>
  </si>
  <si>
    <t>Commissioning of Marine Construction</t>
  </si>
  <si>
    <t>35 08 70</t>
  </si>
  <si>
    <t>Commissioning of Dams</t>
  </si>
  <si>
    <t>35 10 00</t>
  </si>
  <si>
    <t>Waterway and Marine Signaling and Control Equipment</t>
  </si>
  <si>
    <t>35 11 00</t>
  </si>
  <si>
    <t>Signaling and Control Equipment for Waterways</t>
  </si>
  <si>
    <t>35 11 13</t>
  </si>
  <si>
    <t>Signaling Equipment for Waterways</t>
  </si>
  <si>
    <t>35 11 53</t>
  </si>
  <si>
    <t>Control Equipment for Waterways</t>
  </si>
  <si>
    <t>35 12 00</t>
  </si>
  <si>
    <t>Marine Signaling and Control Equipment</t>
  </si>
  <si>
    <t>35 12 13</t>
  </si>
  <si>
    <t>Marine Signaling Equipment</t>
  </si>
  <si>
    <t>35 12 13.13</t>
  </si>
  <si>
    <t>Lighthouse Equipment</t>
  </si>
  <si>
    <t>35 12 33</t>
  </si>
  <si>
    <t>Marine Navigation Equipment</t>
  </si>
  <si>
    <t>35 12 53</t>
  </si>
  <si>
    <t>Marine Control Equipment</t>
  </si>
  <si>
    <t>35 13 00</t>
  </si>
  <si>
    <t>Signaling and Control Equipment for Dams</t>
  </si>
  <si>
    <t>35 13 13</t>
  </si>
  <si>
    <t>Signaling Equipment for Dams</t>
  </si>
  <si>
    <t>35 13 53</t>
  </si>
  <si>
    <t>Control Equipment for Dams</t>
  </si>
  <si>
    <t>35 20 00</t>
  </si>
  <si>
    <t>Waterway and Marine Construction and Equipment</t>
  </si>
  <si>
    <t>35 20 13</t>
  </si>
  <si>
    <t>Hydraulic Fabrications</t>
  </si>
  <si>
    <t>35 20 13.13</t>
  </si>
  <si>
    <t>Hydraulic Bifurcation Panels</t>
  </si>
  <si>
    <t>35 20 13.16</t>
  </si>
  <si>
    <t>Hydraulic Bulkheads</t>
  </si>
  <si>
    <t>35 20 13.19</t>
  </si>
  <si>
    <t>Hydraulic Manifolds</t>
  </si>
  <si>
    <t>35 20 13.23</t>
  </si>
  <si>
    <t>Hydraulic Penstocks</t>
  </si>
  <si>
    <t>35 20 13.26</t>
  </si>
  <si>
    <t>Hydraulic Trashracks</t>
  </si>
  <si>
    <t>35 20 16</t>
  </si>
  <si>
    <t>Hydraulic Gates</t>
  </si>
  <si>
    <t>35 20 16.13</t>
  </si>
  <si>
    <t>Hydraulic Spillway Crest Gates</t>
  </si>
  <si>
    <t>35 20 16.19</t>
  </si>
  <si>
    <t>Hydraulic Head Gates</t>
  </si>
  <si>
    <t>35 20 16.26</t>
  </si>
  <si>
    <t>Hydraulic Sluice Gates</t>
  </si>
  <si>
    <t>35 20 16.33</t>
  </si>
  <si>
    <t>Hydraulic Miter Gates</t>
  </si>
  <si>
    <t>35 20 16.39</t>
  </si>
  <si>
    <t>Hydraulic Sector Gates</t>
  </si>
  <si>
    <t>35 20 16.46</t>
  </si>
  <si>
    <t>Hydraulic Tainter Gates and Anchorages</t>
  </si>
  <si>
    <t>35 20 16.53</t>
  </si>
  <si>
    <t>Hydraulic Vertical Lift Gates</t>
  </si>
  <si>
    <t>35 20 16.59</t>
  </si>
  <si>
    <t>Hydraulic Closure Gates</t>
  </si>
  <si>
    <t>35 20 19</t>
  </si>
  <si>
    <t>Hydraulic Valves</t>
  </si>
  <si>
    <t>35 20 19.13</t>
  </si>
  <si>
    <t>Hydraulic Butterfly Valves</t>
  </si>
  <si>
    <t>35 20 19.23</t>
  </si>
  <si>
    <t>Hydraulic Regulating Valves</t>
  </si>
  <si>
    <t>35 20 23</t>
  </si>
  <si>
    <t>Dredging</t>
  </si>
  <si>
    <t>35 20 23.13</t>
  </si>
  <si>
    <t>Mechanical Dredging</t>
  </si>
  <si>
    <t>35 20 23.23</t>
  </si>
  <si>
    <t>Hydraulic Dredging</t>
  </si>
  <si>
    <t>35 20 23.33</t>
  </si>
  <si>
    <t>Integrated Dredging and Dewatering</t>
  </si>
  <si>
    <t>35 30 00</t>
  </si>
  <si>
    <t>Coastal Construction</t>
  </si>
  <si>
    <t>35 31 00</t>
  </si>
  <si>
    <t>Shoreline Protection</t>
  </si>
  <si>
    <t>35 31 16</t>
  </si>
  <si>
    <t>Seawalls</t>
  </si>
  <si>
    <t>35 31 16.13</t>
  </si>
  <si>
    <t>Concrete Seawalls</t>
  </si>
  <si>
    <t>35 31 16.16</t>
  </si>
  <si>
    <t>Segmental Seawalls</t>
  </si>
  <si>
    <t>35 31 16.19</t>
  </si>
  <si>
    <t>Steel Sheet Piling Seawalls</t>
  </si>
  <si>
    <t>35 31 16.23</t>
  </si>
  <si>
    <t>Timber Seawalls</t>
  </si>
  <si>
    <t>35 31 16.40</t>
  </si>
  <si>
    <t>Stone Seawalls</t>
  </si>
  <si>
    <t>35 31 19</t>
  </si>
  <si>
    <t>Revetments</t>
  </si>
  <si>
    <t>35 31 19.13</t>
  </si>
  <si>
    <t>Sacked Cement-Sand Revetments</t>
  </si>
  <si>
    <t>35 31 19.16</t>
  </si>
  <si>
    <t>Concrete Unit Masonry Revetments</t>
  </si>
  <si>
    <t>35 31 19.36</t>
  </si>
  <si>
    <t>Gabion Revetments</t>
  </si>
  <si>
    <t>35 31 19.40</t>
  </si>
  <si>
    <t>Stone Revetments</t>
  </si>
  <si>
    <t>35 31 23</t>
  </si>
  <si>
    <t>Breakwaters</t>
  </si>
  <si>
    <t>35 31 23.13</t>
  </si>
  <si>
    <t>Rubble Mound Breakwaters</t>
  </si>
  <si>
    <t>35 31 23.16</t>
  </si>
  <si>
    <t>Precast Breakwater Modules</t>
  </si>
  <si>
    <t>35 31 26</t>
  </si>
  <si>
    <t>Jetties</t>
  </si>
  <si>
    <t>35 31 26.13</t>
  </si>
  <si>
    <t>Concrete Jetties</t>
  </si>
  <si>
    <t>35 31 26.16</t>
  </si>
  <si>
    <t>Concrete Unit Masonry Jetties</t>
  </si>
  <si>
    <t>35 31 26.36</t>
  </si>
  <si>
    <t>Gabion Jetties</t>
  </si>
  <si>
    <t>35 31 26.40</t>
  </si>
  <si>
    <t>Stone Jetties</t>
  </si>
  <si>
    <t>35 31 29</t>
  </si>
  <si>
    <t>Groins</t>
  </si>
  <si>
    <t>35 31 29.13</t>
  </si>
  <si>
    <t>Concrete Groins</t>
  </si>
  <si>
    <t>35 31 29.16</t>
  </si>
  <si>
    <t>Concrete Unit Masonry Groins</t>
  </si>
  <si>
    <t>35 31 29.26</t>
  </si>
  <si>
    <t>Steel Groins</t>
  </si>
  <si>
    <t>35 31 29.36</t>
  </si>
  <si>
    <t>Gabion Groins</t>
  </si>
  <si>
    <t>35 31 29.40</t>
  </si>
  <si>
    <t>Stone Groins</t>
  </si>
  <si>
    <t>35 32 00</t>
  </si>
  <si>
    <t>Artificial Reefs</t>
  </si>
  <si>
    <t>35 32 13</t>
  </si>
  <si>
    <t>Scrap Material Artificial Reefs</t>
  </si>
  <si>
    <t>35 32 13.13</t>
  </si>
  <si>
    <t>Scrap Concrete Artificial Reefs</t>
  </si>
  <si>
    <t>35 32 13.19</t>
  </si>
  <si>
    <t>Scrap Steel Artificial Reefs</t>
  </si>
  <si>
    <t>35 32 13.33</t>
  </si>
  <si>
    <t>Sunken Ship Artificial Reefs</t>
  </si>
  <si>
    <t>35 32 16</t>
  </si>
  <si>
    <t>Constructed Artificial Reefs</t>
  </si>
  <si>
    <t>35 32 16.13</t>
  </si>
  <si>
    <t>Constructed Concrete Artificial Reefs</t>
  </si>
  <si>
    <t>35 32 16.19</t>
  </si>
  <si>
    <t>Constructed Steel Artificial Reefs</t>
  </si>
  <si>
    <t>35 40 00</t>
  </si>
  <si>
    <t>Waterway Construction and Equipment</t>
  </si>
  <si>
    <t>35 41 00</t>
  </si>
  <si>
    <t>Levees</t>
  </si>
  <si>
    <t>35 41 13</t>
  </si>
  <si>
    <t>Landside Levee Berms</t>
  </si>
  <si>
    <t>35 41 13.13</t>
  </si>
  <si>
    <t>Stability Landside Levee Berms</t>
  </si>
  <si>
    <t>35 41 13.16</t>
  </si>
  <si>
    <t>Seepage Landside Levee Berms</t>
  </si>
  <si>
    <t>35 41 16</t>
  </si>
  <si>
    <t>Levee Cutoff Trenches</t>
  </si>
  <si>
    <t>35 41 19</t>
  </si>
  <si>
    <t>Levee Relief Wells</t>
  </si>
  <si>
    <t>35 42 00</t>
  </si>
  <si>
    <t>Waterway Bank Protection</t>
  </si>
  <si>
    <t>35 42 13</t>
  </si>
  <si>
    <t>Piling Bank Protection</t>
  </si>
  <si>
    <t>35 42 13.19</t>
  </si>
  <si>
    <t>Steel Sheet Piling Bank Protection</t>
  </si>
  <si>
    <t>35 42 13.23</t>
  </si>
  <si>
    <t>Timber Piling Bank Protection</t>
  </si>
  <si>
    <t>35 42 13.26</t>
  </si>
  <si>
    <t>Plastic Piling Bank Protection</t>
  </si>
  <si>
    <t>35 42 29</t>
  </si>
  <si>
    <t>Grout-Bag Bank Protection</t>
  </si>
  <si>
    <t>35 42 34</t>
  </si>
  <si>
    <t>Soil Reinforcement Bank Protection</t>
  </si>
  <si>
    <t>35 42 35</t>
  </si>
  <si>
    <t>Slope Protection Bank Protection</t>
  </si>
  <si>
    <t>35 42 36</t>
  </si>
  <si>
    <t>Gabion Bank Protection</t>
  </si>
  <si>
    <t>35 42 37</t>
  </si>
  <si>
    <t>Riprap Bank Protection</t>
  </si>
  <si>
    <t>35 42 53</t>
  </si>
  <si>
    <t>Wall Bank Protection</t>
  </si>
  <si>
    <t>35 42 53.16</t>
  </si>
  <si>
    <t>Concrete Unit Masonry Wall Bank Protection</t>
  </si>
  <si>
    <t>35 42 53.19</t>
  </si>
  <si>
    <t>Segmental Wall Bank Protection</t>
  </si>
  <si>
    <t>35 42 53.40</t>
  </si>
  <si>
    <t>Stone Wall Bank Protection</t>
  </si>
  <si>
    <t>35 43 00</t>
  </si>
  <si>
    <t>Waterway Scour Protection</t>
  </si>
  <si>
    <t>35 43 29</t>
  </si>
  <si>
    <t>Grout-Bag Scour Protection</t>
  </si>
  <si>
    <t>35 43 34</t>
  </si>
  <si>
    <t>Soil Reinforcement Scour Protection</t>
  </si>
  <si>
    <t>35 43 35</t>
  </si>
  <si>
    <t>Slope Protection Scour Protection</t>
  </si>
  <si>
    <t>35 43 36</t>
  </si>
  <si>
    <t>Gabion Scour Protection</t>
  </si>
  <si>
    <t>35 43 37</t>
  </si>
  <si>
    <t>Riprap Scour Protection</t>
  </si>
  <si>
    <t>35 43 53</t>
  </si>
  <si>
    <t>Wall Scour Protection</t>
  </si>
  <si>
    <t>35 43 53.13</t>
  </si>
  <si>
    <t>Concrete Unit Masonry Wall Scour Protection</t>
  </si>
  <si>
    <t>35 43 53.16</t>
  </si>
  <si>
    <t>Segmental Wall Scour Protection</t>
  </si>
  <si>
    <t>35 43 53.40</t>
  </si>
  <si>
    <t>Stone Wall Scour Protection</t>
  </si>
  <si>
    <t>35 49 00</t>
  </si>
  <si>
    <t>Waterway Structures</t>
  </si>
  <si>
    <t>35 49 13</t>
  </si>
  <si>
    <t>Floodwalls</t>
  </si>
  <si>
    <t>35 49 13.13</t>
  </si>
  <si>
    <t>Concrete Floodwalls</t>
  </si>
  <si>
    <t>35 49 13.16</t>
  </si>
  <si>
    <t>Masonry Floodwalls</t>
  </si>
  <si>
    <t>35 49 23</t>
  </si>
  <si>
    <t>Waterway Locks</t>
  </si>
  <si>
    <t>35 49 23.13</t>
  </si>
  <si>
    <t>Concrete Waterway Locks</t>
  </si>
  <si>
    <t>35 49 23.23</t>
  </si>
  <si>
    <t>Piling Waterway Locks</t>
  </si>
  <si>
    <t>35 49 26</t>
  </si>
  <si>
    <t>Floodgate Machinery</t>
  </si>
  <si>
    <t>35 50 00</t>
  </si>
  <si>
    <t>Marine Construction and Equipment</t>
  </si>
  <si>
    <t>35 51 00</t>
  </si>
  <si>
    <t>Floating Construction</t>
  </si>
  <si>
    <t>35 51 13</t>
  </si>
  <si>
    <t>Floating Piers</t>
  </si>
  <si>
    <t>35 51 13.23</t>
  </si>
  <si>
    <t>Floating Wood Piers</t>
  </si>
  <si>
    <t>35 51 13.26</t>
  </si>
  <si>
    <t>Floating Plastic Piers</t>
  </si>
  <si>
    <t>35 51 23</t>
  </si>
  <si>
    <t>Pontoons</t>
  </si>
  <si>
    <t>35 52 00</t>
  </si>
  <si>
    <t>Offshore Platform Construction</t>
  </si>
  <si>
    <t>35 52 13</t>
  </si>
  <si>
    <t>Fixed Offshore Platform Construction</t>
  </si>
  <si>
    <t>35 52 23</t>
  </si>
  <si>
    <t>Semi-Submersible Offshore Platform Construction</t>
  </si>
  <si>
    <t>35 52 33</t>
  </si>
  <si>
    <t>Floating Offshore Platform Construction</t>
  </si>
  <si>
    <t>35 53 00</t>
  </si>
  <si>
    <t>Underwater Construction</t>
  </si>
  <si>
    <t>35 53 23</t>
  </si>
  <si>
    <t>Underwater Harbor Deepening</t>
  </si>
  <si>
    <t>35 53 33</t>
  </si>
  <si>
    <t>Underwater Pipeline Construction</t>
  </si>
  <si>
    <t>35 53 43</t>
  </si>
  <si>
    <t>Underwater Foundation Construction</t>
  </si>
  <si>
    <t>35 53 53</t>
  </si>
  <si>
    <t>Underwater Structures Construction</t>
  </si>
  <si>
    <t>35 53 63</t>
  </si>
  <si>
    <t>Underwater Waterproofing</t>
  </si>
  <si>
    <t>35 59 00</t>
  </si>
  <si>
    <t>Marine Specialties</t>
  </si>
  <si>
    <t>35 59 13</t>
  </si>
  <si>
    <t>Marine Fenders</t>
  </si>
  <si>
    <t>35 59 13.13</t>
  </si>
  <si>
    <t>Prestressed Concrete Marine Fender Piling</t>
  </si>
  <si>
    <t>35 59 13.16</t>
  </si>
  <si>
    <t>Resilient Foam-Filled Marine Fenders</t>
  </si>
  <si>
    <t>35 59 13.19</t>
  </si>
  <si>
    <t>Rubber Marine Fenders</t>
  </si>
  <si>
    <t>35 59 23</t>
  </si>
  <si>
    <t>Buoys</t>
  </si>
  <si>
    <t>35 59 23.13</t>
  </si>
  <si>
    <t>Mooring Buoys</t>
  </si>
  <si>
    <t>35 59 23.16</t>
  </si>
  <si>
    <t>Anchor Pendant Buoys</t>
  </si>
  <si>
    <t>35 59 23.19</t>
  </si>
  <si>
    <t>Navigation Buoys</t>
  </si>
  <si>
    <t>35 59 29</t>
  </si>
  <si>
    <t>Mooring Devices</t>
  </si>
  <si>
    <t>35 59 29.13</t>
  </si>
  <si>
    <t>Quick-Release Mooring Hooks</t>
  </si>
  <si>
    <t>35 59 29.16</t>
  </si>
  <si>
    <t>Laser Docking Systems</t>
  </si>
  <si>
    <t>35 59 29.19</t>
  </si>
  <si>
    <t>Capstans</t>
  </si>
  <si>
    <t>35 59 33</t>
  </si>
  <si>
    <t>Marine Bollards and Cleats</t>
  </si>
  <si>
    <t>35 59 33.13</t>
  </si>
  <si>
    <t>Cast-Steel Marine Bollards and Cleats</t>
  </si>
  <si>
    <t>35 59 33.16</t>
  </si>
  <si>
    <t>Cast-Iron Marine Bollards and Cleats</t>
  </si>
  <si>
    <t>35 59 33.19</t>
  </si>
  <si>
    <t>Stainless-Steel Marine Bollards and Cleats</t>
  </si>
  <si>
    <t>35 59 33.23</t>
  </si>
  <si>
    <t>Plastic Marine Bollards and Cleats</t>
  </si>
  <si>
    <t>35 59 93</t>
  </si>
  <si>
    <t>Marine Chain and Accessories</t>
  </si>
  <si>
    <t>35 59 93.13</t>
  </si>
  <si>
    <t>Marine Chain</t>
  </si>
  <si>
    <t>35 59 93.16</t>
  </si>
  <si>
    <t>Marine Shackles</t>
  </si>
  <si>
    <t>35 59 93.19</t>
  </si>
  <si>
    <t>Marine Chain Tensioners</t>
  </si>
  <si>
    <t>35 70 00</t>
  </si>
  <si>
    <t>Dam Construction and Equipment</t>
  </si>
  <si>
    <t>35 71 00</t>
  </si>
  <si>
    <t>Gravity Dams</t>
  </si>
  <si>
    <t>35 71 13</t>
  </si>
  <si>
    <t>Concrete Gravity Dams</t>
  </si>
  <si>
    <t>35 71 16</t>
  </si>
  <si>
    <t>Masonry Gravity Dams</t>
  </si>
  <si>
    <t>35 71 19</t>
  </si>
  <si>
    <t>Rockfill Gravity Dams</t>
  </si>
  <si>
    <t>35 72 00</t>
  </si>
  <si>
    <t>Arch Dams</t>
  </si>
  <si>
    <t>35 72 13</t>
  </si>
  <si>
    <t>Concrete Arch Dams</t>
  </si>
  <si>
    <t>35 73 00</t>
  </si>
  <si>
    <t>Embankment Dams</t>
  </si>
  <si>
    <t>35 73 13</t>
  </si>
  <si>
    <t>Earth Embankment Dam</t>
  </si>
  <si>
    <t>35 73 16</t>
  </si>
  <si>
    <t>Rock Embankment Dams</t>
  </si>
  <si>
    <t>35 74 00</t>
  </si>
  <si>
    <t>Buttress Dams</t>
  </si>
  <si>
    <t>35 74 13</t>
  </si>
  <si>
    <t>Concrete Buttress Dams</t>
  </si>
  <si>
    <t>35 79 00</t>
  </si>
  <si>
    <t>Auxiliary Dam Structures</t>
  </si>
  <si>
    <t>35 79 13</t>
  </si>
  <si>
    <t>Fish Ladders</t>
  </si>
  <si>
    <t>35 79 13.13</t>
  </si>
  <si>
    <t>Concrete Fish Ladders</t>
  </si>
  <si>
    <t>40 00 00</t>
  </si>
  <si>
    <t>Process Integration</t>
  </si>
  <si>
    <t>40 01 00</t>
  </si>
  <si>
    <t>Operation and Maintenance of Process Integration</t>
  </si>
  <si>
    <t>40 01 10</t>
  </si>
  <si>
    <t>Operation and Maintenance of Gas and Vapor Process Piping</t>
  </si>
  <si>
    <t>40 01 20</t>
  </si>
  <si>
    <t>Operation and Maintenance of Liquids Process Piping</t>
  </si>
  <si>
    <t>40 01 30</t>
  </si>
  <si>
    <t>Operation and Maintenance of Solid and Mixed Materials Piping and Chutes</t>
  </si>
  <si>
    <t>40 01 40</t>
  </si>
  <si>
    <t>Operation and Maintenance of Process Piping and Equipment Protection</t>
  </si>
  <si>
    <t>40 05 00</t>
  </si>
  <si>
    <t>Common Work Results for Process Integration</t>
  </si>
  <si>
    <t>40 05 13</t>
  </si>
  <si>
    <t>Common Work Results for Process Piping</t>
  </si>
  <si>
    <t>40 05 13.13</t>
  </si>
  <si>
    <t>Steel Process Piping</t>
  </si>
  <si>
    <t>40 05 13.16</t>
  </si>
  <si>
    <t>Lined or Internally-Coated Steel Process Piping</t>
  </si>
  <si>
    <t>40 05 13.19</t>
  </si>
  <si>
    <t>Stainless-Steel Process Piping</t>
  </si>
  <si>
    <t>40 05 13.23</t>
  </si>
  <si>
    <t>Aluminum Alloys Process Piping</t>
  </si>
  <si>
    <t>40 05 13.33</t>
  </si>
  <si>
    <t>Brass, Bronze, Copper, and Copper Alloys Process Piping</t>
  </si>
  <si>
    <t>40 05 13.43</t>
  </si>
  <si>
    <t>Nickel and Nickel Alloys Process Piping</t>
  </si>
  <si>
    <t>40 05 13.53</t>
  </si>
  <si>
    <t>Ductile, Malleable, and Cast Iron Alloys Process Piping</t>
  </si>
  <si>
    <t>40 05 13.63</t>
  </si>
  <si>
    <t>Titanium and Titanium Alloys Process Piping</t>
  </si>
  <si>
    <t>40 05 13.73</t>
  </si>
  <si>
    <t>Plastic Process Piping</t>
  </si>
  <si>
    <t>40 05 13.76</t>
  </si>
  <si>
    <t>Fiberglass-Reinforced Plastic and Resins Process Piping</t>
  </si>
  <si>
    <t>40 05 13.93</t>
  </si>
  <si>
    <t>Other Metals Process Piping</t>
  </si>
  <si>
    <t>40 05 23</t>
  </si>
  <si>
    <t>Common Work Results for Process Valves</t>
  </si>
  <si>
    <t>40 05 23.13</t>
  </si>
  <si>
    <t>Carbon Steel Process Valves</t>
  </si>
  <si>
    <t>40 05 23.16</t>
  </si>
  <si>
    <t>Low and Intermediate Alloy Steel Process Valves</t>
  </si>
  <si>
    <t>40 05 23.19</t>
  </si>
  <si>
    <t>Stainless-Steel Process Valves</t>
  </si>
  <si>
    <t>40 05 23.33</t>
  </si>
  <si>
    <t>Brass and Iron Process Valves</t>
  </si>
  <si>
    <t>40 05 23.43</t>
  </si>
  <si>
    <t>Nickel and Nickel Alloys Steel Process Valves</t>
  </si>
  <si>
    <t>40 05 23.73</t>
  </si>
  <si>
    <t>Plastic and Plastic Lined Process Valves</t>
  </si>
  <si>
    <t>40 05 23.93</t>
  </si>
  <si>
    <t>Other Metals Process Valves</t>
  </si>
  <si>
    <t>40 06 00</t>
  </si>
  <si>
    <t>Schedules for Process Integration</t>
  </si>
  <si>
    <t>40 06 10</t>
  </si>
  <si>
    <t>Schedules for Gas and Vapor Process Piping</t>
  </si>
  <si>
    <t>40 06 20</t>
  </si>
  <si>
    <t>Schedules for Liquids Process Piping</t>
  </si>
  <si>
    <t>40 06 30</t>
  </si>
  <si>
    <t>Schedules for Solid and Mixed Materials Piping and Chutes</t>
  </si>
  <si>
    <t>40 06 40</t>
  </si>
  <si>
    <t>Schedules for Process Piping and Equipment Protection</t>
  </si>
  <si>
    <t>40 10 00</t>
  </si>
  <si>
    <t>Gas and Vapor Process Piping</t>
  </si>
  <si>
    <t>40 11 00</t>
  </si>
  <si>
    <t>Steam Process Piping</t>
  </si>
  <si>
    <t>40 11 13</t>
  </si>
  <si>
    <t>Low-Pressure Steam Process Piping</t>
  </si>
  <si>
    <t>40 11 16</t>
  </si>
  <si>
    <t>Intermediate-Pressure Steam Process Piping</t>
  </si>
  <si>
    <t>40 11 19</t>
  </si>
  <si>
    <t>High-Pressure Steam Process Piping</t>
  </si>
  <si>
    <t>40 11 23</t>
  </si>
  <si>
    <t>Condensate Process Piping</t>
  </si>
  <si>
    <t>40 12 00</t>
  </si>
  <si>
    <t>Compressed Air Process Piping</t>
  </si>
  <si>
    <t>40 12 13</t>
  </si>
  <si>
    <t>Breathing Compressed Air Process Piping</t>
  </si>
  <si>
    <t>40 12 16</t>
  </si>
  <si>
    <t>Non-Breathing Compressed Air Process Piping</t>
  </si>
  <si>
    <t>40 13 00</t>
  </si>
  <si>
    <t>Inert Gases Process Piping</t>
  </si>
  <si>
    <t>40 13 13</t>
  </si>
  <si>
    <t>Argon Process Piping</t>
  </si>
  <si>
    <t>40 13 16</t>
  </si>
  <si>
    <t>Carbon-Dioxide Process Piping</t>
  </si>
  <si>
    <t>40 13 19</t>
  </si>
  <si>
    <t>Helium Process Piping</t>
  </si>
  <si>
    <t>40 13 23</t>
  </si>
  <si>
    <t>Krypton Process Piping</t>
  </si>
  <si>
    <t>40 13 26</t>
  </si>
  <si>
    <t>Neon Process Piping</t>
  </si>
  <si>
    <t>40 13 29</t>
  </si>
  <si>
    <t>Nitrogen Process Piping</t>
  </si>
  <si>
    <t>40 13 33</t>
  </si>
  <si>
    <t>Xenon Process Piping</t>
  </si>
  <si>
    <t>40 13 93</t>
  </si>
  <si>
    <t>Mixed Inert Gases Process Piping</t>
  </si>
  <si>
    <t>40 14 00</t>
  </si>
  <si>
    <t>Fuel Gases Process Piping</t>
  </si>
  <si>
    <t>40 14 13</t>
  </si>
  <si>
    <t>Blast Furnace Piping</t>
  </si>
  <si>
    <t>40 14 16</t>
  </si>
  <si>
    <t>Blue (Water) Fuel Gas Piping</t>
  </si>
  <si>
    <t>40 14 19</t>
  </si>
  <si>
    <t>Butane Piping</t>
  </si>
  <si>
    <t>40 14 23</t>
  </si>
  <si>
    <t>Carbon-Monoxide Piping</t>
  </si>
  <si>
    <t>40 14 26</t>
  </si>
  <si>
    <t>Chlorine Fuel Gas Piping</t>
  </si>
  <si>
    <t>40 14 29</t>
  </si>
  <si>
    <t>Coke Oven Gas Piping</t>
  </si>
  <si>
    <t>40 14 33</t>
  </si>
  <si>
    <t>Ethane-Gas Piping</t>
  </si>
  <si>
    <t>40 14 36</t>
  </si>
  <si>
    <t>Hydrogen Fuel Gas Piping</t>
  </si>
  <si>
    <t>40 14 39</t>
  </si>
  <si>
    <t>Liquid Natural-Gas Process Piping</t>
  </si>
  <si>
    <t>40 14 43</t>
  </si>
  <si>
    <t>Methylacetylene-Propadiene Fuel Gas Piping</t>
  </si>
  <si>
    <t>40 14 49</t>
  </si>
  <si>
    <t>Natural-Gas Process Piping</t>
  </si>
  <si>
    <t>40 14 49.13</t>
  </si>
  <si>
    <t>Synthetic Natural-Gas Piping</t>
  </si>
  <si>
    <t>40 14 49.23</t>
  </si>
  <si>
    <t>Propane-Air Mixes Fuel Gas Piping</t>
  </si>
  <si>
    <t>40 14 53</t>
  </si>
  <si>
    <t>Octane Fuel Gas Piping</t>
  </si>
  <si>
    <t>40 14 59</t>
  </si>
  <si>
    <t>Propane Fuel Gas Process Piping</t>
  </si>
  <si>
    <t>40 14 63</t>
  </si>
  <si>
    <t>Sewage Fuel Gas Piping</t>
  </si>
  <si>
    <t>40 14 93</t>
  </si>
  <si>
    <t>Mixed Fuel Gases Piping</t>
  </si>
  <si>
    <t>40 15 00</t>
  </si>
  <si>
    <t>Combustion System Gas Piping</t>
  </si>
  <si>
    <t>40 15 13</t>
  </si>
  <si>
    <t>Combustion Air Piping</t>
  </si>
  <si>
    <t>40 15 16</t>
  </si>
  <si>
    <t>Oxygen Combustion System Gas Piping</t>
  </si>
  <si>
    <t>40 15 19</t>
  </si>
  <si>
    <t>Flue-Gas Combustion System Piping</t>
  </si>
  <si>
    <t>40 15 23</t>
  </si>
  <si>
    <t>Exothermic-Gas Combustion System Piping</t>
  </si>
  <si>
    <t>40 15 26</t>
  </si>
  <si>
    <t>Endothermic-Gas Combustion System Piping</t>
  </si>
  <si>
    <t>40 15 29</t>
  </si>
  <si>
    <t>Disassociated-Ammonia-Gas Combustion System Piping</t>
  </si>
  <si>
    <t>40 16 00</t>
  </si>
  <si>
    <t>Specialty and High-Purity Gases Piping</t>
  </si>
  <si>
    <t>40 16 13</t>
  </si>
  <si>
    <t>Ammonia Gas Piping</t>
  </si>
  <si>
    <t>40 16 16</t>
  </si>
  <si>
    <t>Boron Gas Piping</t>
  </si>
  <si>
    <t>40 16 26</t>
  </si>
  <si>
    <t>Diborane Gas Piping</t>
  </si>
  <si>
    <t>40 16 29</t>
  </si>
  <si>
    <t>Flourine Gas Piping</t>
  </si>
  <si>
    <t>40 16 33</t>
  </si>
  <si>
    <t>Hydrogen Sulfide Gas Piping</t>
  </si>
  <si>
    <t>40 16 36</t>
  </si>
  <si>
    <t>Nitrous-Oxide Gas Process Piping</t>
  </si>
  <si>
    <t>40 16 39</t>
  </si>
  <si>
    <t>Ozone Gas Piping</t>
  </si>
  <si>
    <t>40 16 43</t>
  </si>
  <si>
    <t>Phosphine Gas Piping</t>
  </si>
  <si>
    <t>40 16 46</t>
  </si>
  <si>
    <t>Silane Gas Piping</t>
  </si>
  <si>
    <t>40 16 49</t>
  </si>
  <si>
    <t>Sulphur-Dioxide Gas Piping</t>
  </si>
  <si>
    <t>40 16 53</t>
  </si>
  <si>
    <t>Specialty Gas Mixtures Piping</t>
  </si>
  <si>
    <t>40 16 56</t>
  </si>
  <si>
    <t>High-Purity Gas Piping Components</t>
  </si>
  <si>
    <t>40 17 00</t>
  </si>
  <si>
    <t>Welding and Cutting Gases Piping</t>
  </si>
  <si>
    <t>40 17 13</t>
  </si>
  <si>
    <t>Acetylene Welding and Cutting Piping</t>
  </si>
  <si>
    <t>40 17 16</t>
  </si>
  <si>
    <t>Acetylene-Hydrogen Mix Welding and Cutting Piping</t>
  </si>
  <si>
    <t>40 17 19</t>
  </si>
  <si>
    <t>Methylacetylene-Propadiene Welding and Cutting Piping</t>
  </si>
  <si>
    <t>40 17 23</t>
  </si>
  <si>
    <t>Oxygen Welding and Cutting Piping</t>
  </si>
  <si>
    <t>40 17 26</t>
  </si>
  <si>
    <t>Inert Gas Welding and Cutting Piping</t>
  </si>
  <si>
    <t>40 18 00</t>
  </si>
  <si>
    <t>Vacuum Systems Process Piping</t>
  </si>
  <si>
    <t>40 18 13</t>
  </si>
  <si>
    <t>Low-Vacuum Systems Process Piping</t>
  </si>
  <si>
    <t>40 18 16</t>
  </si>
  <si>
    <t>High-Vacuum Systems Process Piping</t>
  </si>
  <si>
    <t>40 20 00</t>
  </si>
  <si>
    <t>Liquids Process Piping</t>
  </si>
  <si>
    <t>40 21 00</t>
  </si>
  <si>
    <t>Liquid Fuel Process Piping</t>
  </si>
  <si>
    <t>40 21 13</t>
  </si>
  <si>
    <t>Bio Fuels Process Piping</t>
  </si>
  <si>
    <t>40 21 16</t>
  </si>
  <si>
    <t>Gasoline Process Piping</t>
  </si>
  <si>
    <t>40 21 19</t>
  </si>
  <si>
    <t>Diesel Process Piping</t>
  </si>
  <si>
    <t>40 21 23</t>
  </si>
  <si>
    <t>Fuel-Oils Process Piping</t>
  </si>
  <si>
    <t>40 21 23.13</t>
  </si>
  <si>
    <t>No. 2 Fuel-Oil Process Piping</t>
  </si>
  <si>
    <t>40 21 23.16</t>
  </si>
  <si>
    <t>No. 4 Fuel-Oil Process Piping</t>
  </si>
  <si>
    <t>40 21 23.19</t>
  </si>
  <si>
    <t>No. 5 Fuel-Oil Process Piping</t>
  </si>
  <si>
    <t>40 21 23.23</t>
  </si>
  <si>
    <t>No. 6 Fuel-Oil Process Piping</t>
  </si>
  <si>
    <t>40 21 23.26</t>
  </si>
  <si>
    <t>Kerosene Process Piping</t>
  </si>
  <si>
    <t>40 21 23.29</t>
  </si>
  <si>
    <t>Tar Process Piping</t>
  </si>
  <si>
    <t>40 22 00</t>
  </si>
  <si>
    <t>Petroleum Products Piping</t>
  </si>
  <si>
    <t>40 22 13</t>
  </si>
  <si>
    <t>Heavy-Fractions Petroleum Products Piping</t>
  </si>
  <si>
    <t>40 22 16</t>
  </si>
  <si>
    <t>Light-Fractions Petroleum Products Piping</t>
  </si>
  <si>
    <t>40 23 00</t>
  </si>
  <si>
    <t>Water Process Piping</t>
  </si>
  <si>
    <t>40 23 13</t>
  </si>
  <si>
    <t>Deionized Water Process Piping</t>
  </si>
  <si>
    <t>40 23 16</t>
  </si>
  <si>
    <t>Distilled-Water Process Piping</t>
  </si>
  <si>
    <t>40 23 19</t>
  </si>
  <si>
    <t>Process Plant Water Piping</t>
  </si>
  <si>
    <t>40 23 23</t>
  </si>
  <si>
    <t>Potable Water Process Piping</t>
  </si>
  <si>
    <t>40 23 29</t>
  </si>
  <si>
    <t>Recirculated Water Process Piping</t>
  </si>
  <si>
    <t>40 23 33</t>
  </si>
  <si>
    <t>Reverse-Osmosis Water Process Piping</t>
  </si>
  <si>
    <t>40 23 36</t>
  </si>
  <si>
    <t>Sanitary Water Process Piping</t>
  </si>
  <si>
    <t>40 24 00</t>
  </si>
  <si>
    <t>Specialty Liquid Chemicals Piping</t>
  </si>
  <si>
    <t>40 24 13</t>
  </si>
  <si>
    <t>Alcohol Piping</t>
  </si>
  <si>
    <t>40 24 16</t>
  </si>
  <si>
    <t>Gel Piping</t>
  </si>
  <si>
    <t>40 24 19</t>
  </si>
  <si>
    <t>Slurries Process Piping</t>
  </si>
  <si>
    <t>40 24 23</t>
  </si>
  <si>
    <t>Thixotropic Liquid Piping</t>
  </si>
  <si>
    <t>40 25 00</t>
  </si>
  <si>
    <t>Liquid Acids and Bases Piping</t>
  </si>
  <si>
    <t>40 25 13</t>
  </si>
  <si>
    <t>Liquid Acids Piping</t>
  </si>
  <si>
    <t>40 25 16</t>
  </si>
  <si>
    <t>Liquid Bases Piping</t>
  </si>
  <si>
    <t>40 26 00</t>
  </si>
  <si>
    <t>Liquid Polymer Piping</t>
  </si>
  <si>
    <t>40 30 00</t>
  </si>
  <si>
    <t>Solid and Mixed Materials Piping and Chutes</t>
  </si>
  <si>
    <t>40 32 00</t>
  </si>
  <si>
    <t>Bulk Materials Piping and Chutes</t>
  </si>
  <si>
    <t>40 32 13</t>
  </si>
  <si>
    <t>Abrasive Materials Piping and Chutes</t>
  </si>
  <si>
    <t>40 32 16</t>
  </si>
  <si>
    <t>Nonabrasive Materials Piping and Chutes</t>
  </si>
  <si>
    <t>40 33 00</t>
  </si>
  <si>
    <t>Bulk Materials Valves</t>
  </si>
  <si>
    <t>40 33 13</t>
  </si>
  <si>
    <t>Airlock Bulk Materials Valves</t>
  </si>
  <si>
    <t>40 33 16</t>
  </si>
  <si>
    <t>Blind Bulk Materials Valves</t>
  </si>
  <si>
    <t>40 33 19</t>
  </si>
  <si>
    <t>Butterfly Bulk Materials Valves</t>
  </si>
  <si>
    <t>40 33 23</t>
  </si>
  <si>
    <t>Cone Bulk Materials Valves</t>
  </si>
  <si>
    <t>40 33 26</t>
  </si>
  <si>
    <t>Diverter Bulk Materials Valves</t>
  </si>
  <si>
    <t>40 33 29</t>
  </si>
  <si>
    <t>Double or Single Dump Bulk Materials Valves</t>
  </si>
  <si>
    <t>40 33 33</t>
  </si>
  <si>
    <t>Knife and Slide Gate Bulk Materials Valves</t>
  </si>
  <si>
    <t>40 33 36</t>
  </si>
  <si>
    <t>Pinch Bulk Materials Valves</t>
  </si>
  <si>
    <t>40 33 39</t>
  </si>
  <si>
    <t>Swing Bulk Materials Valves</t>
  </si>
  <si>
    <t>40 33 43</t>
  </si>
  <si>
    <t>Specialty Bulk Materials Valves</t>
  </si>
  <si>
    <t>40 34 00</t>
  </si>
  <si>
    <t>Pneumatic Conveying Lines</t>
  </si>
  <si>
    <t>40 34 13</t>
  </si>
  <si>
    <t>Dense Phase Pneumatic Conveying Lines</t>
  </si>
  <si>
    <t>40 34 16</t>
  </si>
  <si>
    <t>Dilute Phase Pneumatic Conveying Lines</t>
  </si>
  <si>
    <t>40 40 00</t>
  </si>
  <si>
    <t>Process Piping and Equipment Protection</t>
  </si>
  <si>
    <t>40 41 00</t>
  </si>
  <si>
    <t>Process Piping and Equipment Heat Tracing</t>
  </si>
  <si>
    <t>40 41 13</t>
  </si>
  <si>
    <t>Process Piping Heat Tracing</t>
  </si>
  <si>
    <t>40 41 13.13</t>
  </si>
  <si>
    <t>Process Piping Electrical Resistance Heat Tracing</t>
  </si>
  <si>
    <t>40 41 13.16</t>
  </si>
  <si>
    <t>Process Piping Electrical Conductance Heat Tracing</t>
  </si>
  <si>
    <t>40 41 13.19</t>
  </si>
  <si>
    <t>Process Piping Gas Heat Tracing</t>
  </si>
  <si>
    <t>40 41 13.23</t>
  </si>
  <si>
    <t>Process Piping Steam Heat Tracing</t>
  </si>
  <si>
    <t>40 41 13.26</t>
  </si>
  <si>
    <t>Process Piping Thermal Fluids Heat Tracing</t>
  </si>
  <si>
    <t>40 41 23</t>
  </si>
  <si>
    <t>Process Equipment Heat Tracing</t>
  </si>
  <si>
    <t>40 41 23.13</t>
  </si>
  <si>
    <t>Process Equipment Electrical Resistance Heat Tracing</t>
  </si>
  <si>
    <t>40 41 23.16</t>
  </si>
  <si>
    <t>Process Equipment Electrical Conductance Heat Tracing</t>
  </si>
  <si>
    <t>40 41 23.19</t>
  </si>
  <si>
    <t>Process Equipment Gas Heat Tracing</t>
  </si>
  <si>
    <t>40 41 23.23</t>
  </si>
  <si>
    <t>Process Equipment Steam Heat Tracing</t>
  </si>
  <si>
    <t>40 41 23.26</t>
  </si>
  <si>
    <t>Process Equipment Thermal Fluids Heat Tracing</t>
  </si>
  <si>
    <t>40 42 00</t>
  </si>
  <si>
    <t>Process Piping and Equipment Insulation</t>
  </si>
  <si>
    <t>40 42 13</t>
  </si>
  <si>
    <t>Process Piping Insulation</t>
  </si>
  <si>
    <t>40 42 13.13</t>
  </si>
  <si>
    <t>Cryogenic Temperature Process Piping Insulation</t>
  </si>
  <si>
    <t>40 42 13.16</t>
  </si>
  <si>
    <t>Low Temperature Process Piping Insulation</t>
  </si>
  <si>
    <t>40 42 13.19</t>
  </si>
  <si>
    <t>Intermediate Temperature Process Piping Insulation</t>
  </si>
  <si>
    <t>40 42 13.23</t>
  </si>
  <si>
    <t>High Temperature Process Piping Insulation</t>
  </si>
  <si>
    <t>40 42 13.26</t>
  </si>
  <si>
    <t>Process Piping Insulation for Specialty Applications</t>
  </si>
  <si>
    <t>40 42 23</t>
  </si>
  <si>
    <t>Process Equipment Insulation</t>
  </si>
  <si>
    <t>40 42 23.13</t>
  </si>
  <si>
    <t>Cryogenic Temperature Process Equipment Insulation</t>
  </si>
  <si>
    <t>40 42 23.16</t>
  </si>
  <si>
    <t>Low Temperature Process Equipment Insulation</t>
  </si>
  <si>
    <t>40 42 23.19</t>
  </si>
  <si>
    <t>Intermediate Temperature Process Equipment Insulation</t>
  </si>
  <si>
    <t>40 42 23.23</t>
  </si>
  <si>
    <t>High Temperature Process Equipment Insulation</t>
  </si>
  <si>
    <t>40 42 23.26</t>
  </si>
  <si>
    <t>Process Equipment Insulation for Specialty Applications</t>
  </si>
  <si>
    <t>40 46 00</t>
  </si>
  <si>
    <t>Process Corrosion Protection</t>
  </si>
  <si>
    <t>40 46 16</t>
  </si>
  <si>
    <t>Coatings and Wrappings for Process Corrosion Protection</t>
  </si>
  <si>
    <t>40 46 42</t>
  </si>
  <si>
    <t>Cathodic Process Corrosion Protection</t>
  </si>
  <si>
    <t>40 47 00</t>
  </si>
  <si>
    <t>Refractories</t>
  </si>
  <si>
    <t>40 47 13</t>
  </si>
  <si>
    <t>Silica Refractories</t>
  </si>
  <si>
    <t>40 47 16</t>
  </si>
  <si>
    <t>Alumina Refractories</t>
  </si>
  <si>
    <t>40 47 19</t>
  </si>
  <si>
    <t>Carbon and Graphite Refractories</t>
  </si>
  <si>
    <t>40 47 23</t>
  </si>
  <si>
    <t>Castable Refractories</t>
  </si>
  <si>
    <t>40 47 26</t>
  </si>
  <si>
    <t>Rammed Refractories</t>
  </si>
  <si>
    <t>40 47 29</t>
  </si>
  <si>
    <t>Refractory Concrete</t>
  </si>
  <si>
    <t>40 80 00</t>
  </si>
  <si>
    <t>Commissioning of Process Systems</t>
  </si>
  <si>
    <t>40 90 00</t>
  </si>
  <si>
    <t>Instrumentation and Control for Process Systems</t>
  </si>
  <si>
    <t>40 91 00</t>
  </si>
  <si>
    <t>Primary Process Measurement Devices</t>
  </si>
  <si>
    <t>40 91 13</t>
  </si>
  <si>
    <t>Chemical Properties Process Measurement Devices</t>
  </si>
  <si>
    <t>40 91 13.13</t>
  </si>
  <si>
    <t>Ammonia Process Measurement Devices</t>
  </si>
  <si>
    <t>40 91 13.16</t>
  </si>
  <si>
    <t>Chlorine Process Measurement Devices</t>
  </si>
  <si>
    <t>40 91 13.19</t>
  </si>
  <si>
    <t>Fluoride Process Measurement Devices</t>
  </si>
  <si>
    <t>40 91 13.23</t>
  </si>
  <si>
    <t>Gas Analysis Process Measurement Devices</t>
  </si>
  <si>
    <t>40 91 13.26</t>
  </si>
  <si>
    <t>Gas Chromatograph Process Measurement Devices</t>
  </si>
  <si>
    <t>40 91 13.29</t>
  </si>
  <si>
    <t>pH Level Process Measurement Devices</t>
  </si>
  <si>
    <t>40 91 16</t>
  </si>
  <si>
    <t>Electromagnetic Process Measurement Devices</t>
  </si>
  <si>
    <t>40 91 16.13</t>
  </si>
  <si>
    <t>Amperes Process Measurement Devices</t>
  </si>
  <si>
    <t>40 91 16.16</t>
  </si>
  <si>
    <t>Capacitance Process Measurement Devices</t>
  </si>
  <si>
    <t>40 91 16.19</t>
  </si>
  <si>
    <t>Conductivity Process Measurement Devices</t>
  </si>
  <si>
    <t>40 91 16.23</t>
  </si>
  <si>
    <t>Inductance Process Measurement Devices</t>
  </si>
  <si>
    <t>40 91 16.26</t>
  </si>
  <si>
    <t>Lumens Process Measurement Devices</t>
  </si>
  <si>
    <t>40 91 16.29</t>
  </si>
  <si>
    <t>Magnetic Field Process Measurement Devices</t>
  </si>
  <si>
    <t>40 91 16.33</t>
  </si>
  <si>
    <t>Electrical Power Process Measurement Devices</t>
  </si>
  <si>
    <t>40 91 16.36</t>
  </si>
  <si>
    <t>Radiation Process Measurement Devices</t>
  </si>
  <si>
    <t>40 91 16.39</t>
  </si>
  <si>
    <t>Electrical Resistance Process Measurement Devices</t>
  </si>
  <si>
    <t>40 91 16.43</t>
  </si>
  <si>
    <t>Ultraviolet Sensors</t>
  </si>
  <si>
    <t>40 91 16.46</t>
  </si>
  <si>
    <t>Voltage Process Measurement Devices</t>
  </si>
  <si>
    <t>40 91 19</t>
  </si>
  <si>
    <t>Physical Properties Process Measurement Devices</t>
  </si>
  <si>
    <t>40 91 19.13</t>
  </si>
  <si>
    <t>Density Process Measurement Devices</t>
  </si>
  <si>
    <t>40 91 19.16</t>
  </si>
  <si>
    <t>Humidity Process Measurement Devices</t>
  </si>
  <si>
    <t>40 91 19.19</t>
  </si>
  <si>
    <t>Mass Process Measurement Devices</t>
  </si>
  <si>
    <t>40 91 19.23</t>
  </si>
  <si>
    <t>Particle Counters Process Measurement Devices</t>
  </si>
  <si>
    <t>40 91 19.26</t>
  </si>
  <si>
    <t>Gas Pressure Process Measurement Devices</t>
  </si>
  <si>
    <t>40 91 19.29</t>
  </si>
  <si>
    <t>Liquid Pressure Process Measurement Devices</t>
  </si>
  <si>
    <t>40 91 19.33</t>
  </si>
  <si>
    <t>Stress/Strain Process Measurement Devices</t>
  </si>
  <si>
    <t>40 91 19.36</t>
  </si>
  <si>
    <t>Temperature Process Measurement Devices</t>
  </si>
  <si>
    <t>40 91 19.39</t>
  </si>
  <si>
    <t>Vapor Pressure Process Measurement Devices</t>
  </si>
  <si>
    <t>40 91 19.43</t>
  </si>
  <si>
    <t>Weight Process Measurement Devices</t>
  </si>
  <si>
    <t>40 91 23</t>
  </si>
  <si>
    <t>Miscellaneous Properties Measurement Devices</t>
  </si>
  <si>
    <t>40 91 23.13</t>
  </si>
  <si>
    <t>Acceleration Process Measurement Devices</t>
  </si>
  <si>
    <t>40 91 23.16</t>
  </si>
  <si>
    <t>Angle Process Measurement Devices</t>
  </si>
  <si>
    <t>40 91 23.19</t>
  </si>
  <si>
    <t>Color Process Measurement Devices</t>
  </si>
  <si>
    <t>40 91 23.23</t>
  </si>
  <si>
    <t>Count Process Measurement Devices</t>
  </si>
  <si>
    <t>40 91 23.26</t>
  </si>
  <si>
    <t>Distance Process Measurement Devices</t>
  </si>
  <si>
    <t>40 91 23.29</t>
  </si>
  <si>
    <t>Energy Process Measurement Devices</t>
  </si>
  <si>
    <t>40 91 23.33</t>
  </si>
  <si>
    <t>Flow Process Measurement Devices</t>
  </si>
  <si>
    <t>40 91 23.36</t>
  </si>
  <si>
    <t>Level Process Measurement Devices</t>
  </si>
  <si>
    <t>40 91 23.39</t>
  </si>
  <si>
    <t>Physical Resistance Process Measurement Devices</t>
  </si>
  <si>
    <t>40 91 23.43</t>
  </si>
  <si>
    <t>RPM Process Measurement Devices</t>
  </si>
  <si>
    <t>40 91 23.46</t>
  </si>
  <si>
    <t>Time Process Measurement Devices</t>
  </si>
  <si>
    <t>40 91 23.49</t>
  </si>
  <si>
    <t>Turbidity Process Measurement Devices</t>
  </si>
  <si>
    <t>40 91 23.53</t>
  </si>
  <si>
    <t>Velocity Process Measurement Devices</t>
  </si>
  <si>
    <t>40 92 00</t>
  </si>
  <si>
    <t>Primary Control Devices</t>
  </si>
  <si>
    <t>40 92 13</t>
  </si>
  <si>
    <t>Primary Control Valves</t>
  </si>
  <si>
    <t>40 92 13.13</t>
  </si>
  <si>
    <t>Electrically-Operated Primary Control Valves</t>
  </si>
  <si>
    <t>40 92 13.16</t>
  </si>
  <si>
    <t>Hydraulically-Operated Primary Control Valves</t>
  </si>
  <si>
    <t>40 92 13.19</t>
  </si>
  <si>
    <t>Pneumatically-Operated Primary Control Valves</t>
  </si>
  <si>
    <t>40 92 13.23</t>
  </si>
  <si>
    <t>Pressure-Relief Primary Control Valves</t>
  </si>
  <si>
    <t>40 92 13.26</t>
  </si>
  <si>
    <t>Solenoid Primary Control Valves</t>
  </si>
  <si>
    <t>40 92 13.29</t>
  </si>
  <si>
    <t>Specialty Primary Control Valves</t>
  </si>
  <si>
    <t>40 92 29</t>
  </si>
  <si>
    <t>Current-To-Pressure Converters</t>
  </si>
  <si>
    <t>40 92 33</t>
  </si>
  <si>
    <t>Self-Contained Flow Controllers</t>
  </si>
  <si>
    <t>40 92 36</t>
  </si>
  <si>
    <t>Linear Actuators and Positioners</t>
  </si>
  <si>
    <t>40 92 39</t>
  </si>
  <si>
    <t>Self-Contained Pressure Regulators</t>
  </si>
  <si>
    <t>40 92 43</t>
  </si>
  <si>
    <t>Rotary Actuators</t>
  </si>
  <si>
    <t>40 92 46</t>
  </si>
  <si>
    <t>Saturable Core Reactors</t>
  </si>
  <si>
    <t>40 92 49</t>
  </si>
  <si>
    <t>Variable Frequency Drives</t>
  </si>
  <si>
    <t>40 92 53</t>
  </si>
  <si>
    <t>Voltage-To-Pressure Converters</t>
  </si>
  <si>
    <t>40 93 00</t>
  </si>
  <si>
    <t>Analog Controllers/Recorders</t>
  </si>
  <si>
    <t>40 93 13</t>
  </si>
  <si>
    <t>Analog Controllers</t>
  </si>
  <si>
    <t>40 93 13.13</t>
  </si>
  <si>
    <t>Electronic Analog Controllers</t>
  </si>
  <si>
    <t>40 93 13.16</t>
  </si>
  <si>
    <t>Electro-Hydraulic Analog Controllers</t>
  </si>
  <si>
    <t>40 93 13.19</t>
  </si>
  <si>
    <t>Electro-Pneumatic Analog Controllers</t>
  </si>
  <si>
    <t>40 93 13.23</t>
  </si>
  <si>
    <t>Hydraulic Analog Controllers</t>
  </si>
  <si>
    <t>40 93 13.26</t>
  </si>
  <si>
    <t>Pneumatic Analog Controllers</t>
  </si>
  <si>
    <t>40 93 23</t>
  </si>
  <si>
    <t>Chart Recorders</t>
  </si>
  <si>
    <t>40 94 00</t>
  </si>
  <si>
    <t>Digital Process Controllers</t>
  </si>
  <si>
    <t>40 94 13</t>
  </si>
  <si>
    <t>Digital Process Control Computers</t>
  </si>
  <si>
    <t>40 94 13.13</t>
  </si>
  <si>
    <t>Host Digital Process Control Computers</t>
  </si>
  <si>
    <t>40 94 13.16</t>
  </si>
  <si>
    <t>Personal Digital Process Control Computers</t>
  </si>
  <si>
    <t>40 94 13.19</t>
  </si>
  <si>
    <t>Personal Digital Assistant Digital Process Control Computers</t>
  </si>
  <si>
    <t>40 94 23</t>
  </si>
  <si>
    <t>Distributed Process Control Systems</t>
  </si>
  <si>
    <t>40 94 33</t>
  </si>
  <si>
    <t>Human - Machine Interfaces</t>
  </si>
  <si>
    <t>40 94 43</t>
  </si>
  <si>
    <t>Programmable Logic Process Controllers</t>
  </si>
  <si>
    <t>40 95 00</t>
  </si>
  <si>
    <t>Process Control Hardware</t>
  </si>
  <si>
    <t>40 95 13</t>
  </si>
  <si>
    <t>Process Control Panels and Hardware</t>
  </si>
  <si>
    <t>40 95 13.13</t>
  </si>
  <si>
    <t>Local Process Control Panels and Hardware</t>
  </si>
  <si>
    <t>40 95 13.23</t>
  </si>
  <si>
    <t>Main Process Control Panels and Hardware</t>
  </si>
  <si>
    <t>40 95 20</t>
  </si>
  <si>
    <t>Process Control Display Devices</t>
  </si>
  <si>
    <t>40 95 23</t>
  </si>
  <si>
    <t>Process Control Input/Output Modules</t>
  </si>
  <si>
    <t>40 95 26</t>
  </si>
  <si>
    <t>Process Control Instrument Air Piping and Devices</t>
  </si>
  <si>
    <t>40 95 33</t>
  </si>
  <si>
    <t>Process Control Networks</t>
  </si>
  <si>
    <t>40 95 33.13</t>
  </si>
  <si>
    <t>Cabled Process Control Networks</t>
  </si>
  <si>
    <t>40 95 33.23</t>
  </si>
  <si>
    <t>Fiber Optic Process Control Networks</t>
  </si>
  <si>
    <t>40 95 33.33</t>
  </si>
  <si>
    <t>Wireless Process Control Networks</t>
  </si>
  <si>
    <t>40 95 43</t>
  </si>
  <si>
    <t>Process Control Hardware Interfaces</t>
  </si>
  <si>
    <t>40 95 46</t>
  </si>
  <si>
    <t>Process Control Mounting Racks and Supports</t>
  </si>
  <si>
    <t>40 95 49</t>
  </si>
  <si>
    <t>Process Control Routers</t>
  </si>
  <si>
    <t>40 95 53</t>
  </si>
  <si>
    <t>Process Control Switches</t>
  </si>
  <si>
    <t>40 95 56</t>
  </si>
  <si>
    <t>Process Control Transformers</t>
  </si>
  <si>
    <t>40 95 63</t>
  </si>
  <si>
    <t>Process Control Wireless Equipment</t>
  </si>
  <si>
    <t>40 95 63.13</t>
  </si>
  <si>
    <t>Process Control Wireless Transmitters</t>
  </si>
  <si>
    <t>40 95 63.16</t>
  </si>
  <si>
    <t>Process Control Wireless Receivers</t>
  </si>
  <si>
    <t>40 95 63.19</t>
  </si>
  <si>
    <t>Process Control Wireless Repeaters</t>
  </si>
  <si>
    <t>40 95 73</t>
  </si>
  <si>
    <t>Process Control Wiring</t>
  </si>
  <si>
    <t>40 95 73.23</t>
  </si>
  <si>
    <t>Process Control Cable</t>
  </si>
  <si>
    <t>40 95 73.33</t>
  </si>
  <si>
    <t>Process Control Conduit, Raceway and Supports</t>
  </si>
  <si>
    <t>40 95 73.43</t>
  </si>
  <si>
    <t>Process Control Junction Boxes</t>
  </si>
  <si>
    <t>40 96 00</t>
  </si>
  <si>
    <t>Process Control Software</t>
  </si>
  <si>
    <t>40 96 10</t>
  </si>
  <si>
    <t>Process Control Software Architecture</t>
  </si>
  <si>
    <t>40 96 15</t>
  </si>
  <si>
    <t>Process Control Software Input/Output Lists</t>
  </si>
  <si>
    <t>40 96 20</t>
  </si>
  <si>
    <t>Process Control Software Instrument Lists</t>
  </si>
  <si>
    <t>40 96 25</t>
  </si>
  <si>
    <t>Process Control Software Logic Diagrams</t>
  </si>
  <si>
    <t>40 96 30</t>
  </si>
  <si>
    <t>Process Control Software Loop Diagrams</t>
  </si>
  <si>
    <t>40 96 35</t>
  </si>
  <si>
    <t>Process Control Software Programming</t>
  </si>
  <si>
    <t>40 96 40</t>
  </si>
  <si>
    <t>Process Control Software Reports</t>
  </si>
  <si>
    <t>40 97 00</t>
  </si>
  <si>
    <t>Process Control Auxiliary Devices</t>
  </si>
  <si>
    <t>40 97 10</t>
  </si>
  <si>
    <t>Process Control Annunciators</t>
  </si>
  <si>
    <t>40 97 15</t>
  </si>
  <si>
    <t>Process Control Gages</t>
  </si>
  <si>
    <t>40 97 20</t>
  </si>
  <si>
    <t>Process Control Rotameters</t>
  </si>
  <si>
    <t>40 97 25</t>
  </si>
  <si>
    <t>Process Control Potentiometers</t>
  </si>
  <si>
    <t>40 97 30</t>
  </si>
  <si>
    <t>Process Control Test Equipment</t>
  </si>
  <si>
    <t>41 00 00</t>
  </si>
  <si>
    <t>Material Processing and Handling Equipment</t>
  </si>
  <si>
    <t>41 01 00</t>
  </si>
  <si>
    <t>Operation and Maintenance of Material Processing and Handling Equipment</t>
  </si>
  <si>
    <t>41 01 10</t>
  </si>
  <si>
    <t>Operation and Maintenance of Bulk Material Processing Equipment</t>
  </si>
  <si>
    <t>41 01 20</t>
  </si>
  <si>
    <t>Operation and Maintenance of Piece Material Handling Equipment</t>
  </si>
  <si>
    <t>41 01 30</t>
  </si>
  <si>
    <t>Operation and Maintenance of Manufacturing Equipment</t>
  </si>
  <si>
    <t>41 01 40</t>
  </si>
  <si>
    <t>Operation and Maintenance of Container Processing and Packaging</t>
  </si>
  <si>
    <t>41 01 50</t>
  </si>
  <si>
    <t>Operation and Maintenance of Material Storage</t>
  </si>
  <si>
    <t>41 01 60</t>
  </si>
  <si>
    <t>Operation and Maintenance of Mobile Plant Equipment</t>
  </si>
  <si>
    <t>41 06 00</t>
  </si>
  <si>
    <t>Schedules for Material Processing and Handling Equipment</t>
  </si>
  <si>
    <t>41 06 10</t>
  </si>
  <si>
    <t>Schedules for Bulk Material Processing Equipment</t>
  </si>
  <si>
    <t>41 06 20</t>
  </si>
  <si>
    <t>Schedules for Piece Material Handling Equipment</t>
  </si>
  <si>
    <t>41 06 30</t>
  </si>
  <si>
    <t>Schedules for Manufacturing Equipment</t>
  </si>
  <si>
    <t>41 06 40</t>
  </si>
  <si>
    <t>Schedules for Container Processing and Packaging</t>
  </si>
  <si>
    <t>41 06 50</t>
  </si>
  <si>
    <t>Schedules for Material Storage</t>
  </si>
  <si>
    <t>41 06 60</t>
  </si>
  <si>
    <t>Schedules for Mobile Plant Equipment</t>
  </si>
  <si>
    <t>41 08 00</t>
  </si>
  <si>
    <t>Commissioning of Material Processing and Handling Equipment</t>
  </si>
  <si>
    <t>41 08 10</t>
  </si>
  <si>
    <t>Commissioning of Bulk Material Processing Equipment</t>
  </si>
  <si>
    <t>41 08 20</t>
  </si>
  <si>
    <t>Commissioning of Piece Material Handling Equipment</t>
  </si>
  <si>
    <t>41 08 30</t>
  </si>
  <si>
    <t>Commissioning of Manufacturing Equipment</t>
  </si>
  <si>
    <t>41 08 40</t>
  </si>
  <si>
    <t>Commissioning of Container Processing and Packaging</t>
  </si>
  <si>
    <t>41 08 50</t>
  </si>
  <si>
    <t>Commissioning of Material Storage</t>
  </si>
  <si>
    <t>41 08 60</t>
  </si>
  <si>
    <t>Commissioning of Mobile Plant Equipment</t>
  </si>
  <si>
    <t>41 10 00</t>
  </si>
  <si>
    <t>Bulk Material Processing Equipment</t>
  </si>
  <si>
    <t>41 11 00</t>
  </si>
  <si>
    <t>Bulk Material Sizing Equipment</t>
  </si>
  <si>
    <t>41 11 13</t>
  </si>
  <si>
    <t>Bulk Material Agglomerators</t>
  </si>
  <si>
    <t>41 11 16</t>
  </si>
  <si>
    <t>Bulk Material Air Mill Classifiers</t>
  </si>
  <si>
    <t>41 11 19</t>
  </si>
  <si>
    <t>Bulk Material Centrifuges</t>
  </si>
  <si>
    <t>41 11 23</t>
  </si>
  <si>
    <t>Bulk Material Crushers</t>
  </si>
  <si>
    <t>41 11 26</t>
  </si>
  <si>
    <t>Bulk Material Cyclones</t>
  </si>
  <si>
    <t>41 11 29</t>
  </si>
  <si>
    <t>Bulk Material Fluid Bed Separators</t>
  </si>
  <si>
    <t>41 11 33</t>
  </si>
  <si>
    <t>Bulk Material Grinders</t>
  </si>
  <si>
    <t>41 11 36</t>
  </si>
  <si>
    <t>Bulk Material Homogenizers</t>
  </si>
  <si>
    <t>41 11 39</t>
  </si>
  <si>
    <t>Bulk Material Lump Breakers</t>
  </si>
  <si>
    <t>41 11 43</t>
  </si>
  <si>
    <t>Bulk Material Mills</t>
  </si>
  <si>
    <t>41 11 46</t>
  </si>
  <si>
    <t>Bulk Material Pulverizers</t>
  </si>
  <si>
    <t>41 11 49</t>
  </si>
  <si>
    <t>Bulk Material Screens</t>
  </si>
  <si>
    <t>41 11 53</t>
  </si>
  <si>
    <t>Bulk Material Shredders</t>
  </si>
  <si>
    <t>41 11 56</t>
  </si>
  <si>
    <t>Bulk Material Sieves</t>
  </si>
  <si>
    <t>41 12 00</t>
  </si>
  <si>
    <t>Bulk Material Conveying Equipment</t>
  </si>
  <si>
    <t>41 12 13</t>
  </si>
  <si>
    <t>Bulk Material Conveyors</t>
  </si>
  <si>
    <t>41 12 13.13</t>
  </si>
  <si>
    <t>Airslide Bulk Material Conveyors</t>
  </si>
  <si>
    <t>41 12 13.16</t>
  </si>
  <si>
    <t>Auger Bulk Material Conveyors</t>
  </si>
  <si>
    <t>41 12 13.19</t>
  </si>
  <si>
    <t>Belt Bulk Material Conveyors</t>
  </si>
  <si>
    <t>41 12 13.23</t>
  </si>
  <si>
    <t>Container Bulk Material Conveyors</t>
  </si>
  <si>
    <t>41 12 13.26</t>
  </si>
  <si>
    <t>Drag Chain Bulk Material Conveyors</t>
  </si>
  <si>
    <t>41 12 13.29</t>
  </si>
  <si>
    <t>Hopper Bulk Material Conveyors</t>
  </si>
  <si>
    <t>41 12 13.33</t>
  </si>
  <si>
    <t>Reciprocating Bulk Material Conveyors</t>
  </si>
  <si>
    <t>41 12 13.36</t>
  </si>
  <si>
    <t>Screw Bulk Material Conveyors</t>
  </si>
  <si>
    <t>41 12 13.39</t>
  </si>
  <si>
    <t>Stacking and Reclaim Bulk Material Conveyors</t>
  </si>
  <si>
    <t>41 12 13.43</t>
  </si>
  <si>
    <t>Trough Bulk Material Conveyors</t>
  </si>
  <si>
    <t>41 12 13.46</t>
  </si>
  <si>
    <t>Tube Bulk Material Conveyors</t>
  </si>
  <si>
    <t>41 12 13.49</t>
  </si>
  <si>
    <t>Vibratory Bulk Material Conveyors</t>
  </si>
  <si>
    <t>41 12 13.53</t>
  </si>
  <si>
    <t>Weigh-Belt Bulk Material Conveyors</t>
  </si>
  <si>
    <t>41 12 16</t>
  </si>
  <si>
    <t>Bucket Elevators</t>
  </si>
  <si>
    <t>41 12 19</t>
  </si>
  <si>
    <t>Pneumatic Conveyors</t>
  </si>
  <si>
    <t>41 12 19.13</t>
  </si>
  <si>
    <t>Dense Phase Pneumatic Conveyors</t>
  </si>
  <si>
    <t>41 12 19.16</t>
  </si>
  <si>
    <t>Dilute Phase Pneumatic Conveyors</t>
  </si>
  <si>
    <t>41 13 00</t>
  </si>
  <si>
    <t>Bulk Material Feeders</t>
  </si>
  <si>
    <t>41 13 13</t>
  </si>
  <si>
    <t>Bin Activators/Live Bin Bottoms</t>
  </si>
  <si>
    <t>41 13 23</t>
  </si>
  <si>
    <t>Feeders</t>
  </si>
  <si>
    <t>41 13 23.13</t>
  </si>
  <si>
    <t>Airlock Bulk Material Feeders</t>
  </si>
  <si>
    <t>41 13 23.16</t>
  </si>
  <si>
    <t>Apron Bulk Material Feeders</t>
  </si>
  <si>
    <t>41 13 23.19</t>
  </si>
  <si>
    <t>Rotary-Valve Bulk Material Feeders</t>
  </si>
  <si>
    <t>41 13 23.23</t>
  </si>
  <si>
    <t>Screw Bulk Material Feeders</t>
  </si>
  <si>
    <t>41 13 23.26</t>
  </si>
  <si>
    <t>Vibratory Bulk Material Feeders</t>
  </si>
  <si>
    <t>41 13 23.29</t>
  </si>
  <si>
    <t>Volumetric Bulk Material Feeders</t>
  </si>
  <si>
    <t>41 13 23.33</t>
  </si>
  <si>
    <t>Weigh Bulk Material Feeders</t>
  </si>
  <si>
    <t>41 14 00</t>
  </si>
  <si>
    <t>Batching Equipment</t>
  </si>
  <si>
    <t>41 14 13</t>
  </si>
  <si>
    <t>Bag-Handling Batching Equipment</t>
  </si>
  <si>
    <t>41 14 16</t>
  </si>
  <si>
    <t>Batch Cars/Transports</t>
  </si>
  <si>
    <t>41 14 19</t>
  </si>
  <si>
    <t>Batch Hoppers</t>
  </si>
  <si>
    <t>41 14 23</t>
  </si>
  <si>
    <t>Bulk Bag-Handling Batching Equipment</t>
  </si>
  <si>
    <t>41 14 26</t>
  </si>
  <si>
    <t>Blenders</t>
  </si>
  <si>
    <t>41 14 29</t>
  </si>
  <si>
    <t>Drum-Handling Batching Equipment</t>
  </si>
  <si>
    <t>41 14 33</t>
  </si>
  <si>
    <t>Mixers</t>
  </si>
  <si>
    <t>41 14 36</t>
  </si>
  <si>
    <t>Weigh Scales</t>
  </si>
  <si>
    <t>41 20 00</t>
  </si>
  <si>
    <t>Piece Material Handling Equipment</t>
  </si>
  <si>
    <t>41 21 00</t>
  </si>
  <si>
    <t>Conveyors</t>
  </si>
  <si>
    <t>41 21 13</t>
  </si>
  <si>
    <t>Automatic Guided Vehicle Systems</t>
  </si>
  <si>
    <t>41 21 23</t>
  </si>
  <si>
    <t>Piece Material Conveyors</t>
  </si>
  <si>
    <t>41 21 23.13</t>
  </si>
  <si>
    <t>Belt Piece Material Conveyors</t>
  </si>
  <si>
    <t>41 21 23.16</t>
  </si>
  <si>
    <t>Container Piece Material Conveyors</t>
  </si>
  <si>
    <t>41 21 23.19</t>
  </si>
  <si>
    <t>Drag-Chain Piece Material Conveyors</t>
  </si>
  <si>
    <t>41 21 23.23</t>
  </si>
  <si>
    <t>Hopper Piece Material Conveyors</t>
  </si>
  <si>
    <t>41 21 23.26</t>
  </si>
  <si>
    <t>Monorail Piece Material Conveyors</t>
  </si>
  <si>
    <t>41 21 23.29</t>
  </si>
  <si>
    <t>Power and Free Piece Material Conveyors</t>
  </si>
  <si>
    <t>41 21 23.33</t>
  </si>
  <si>
    <t>Reciprocating Piece Material Conveyors</t>
  </si>
  <si>
    <t>41 21 23.36</t>
  </si>
  <si>
    <t>Roller Piece Material Conveyors</t>
  </si>
  <si>
    <t>41 21 23.39</t>
  </si>
  <si>
    <t>Vibratory Piece Material Conveyors</t>
  </si>
  <si>
    <t>41 21 23.43</t>
  </si>
  <si>
    <t>Walking-Beam Piece Material Conveyors</t>
  </si>
  <si>
    <t>41 21 23.46</t>
  </si>
  <si>
    <t>Weigh-Belt Piece Material Conveyors</t>
  </si>
  <si>
    <t>41 21 23.53</t>
  </si>
  <si>
    <t>Postal Conveyors</t>
  </si>
  <si>
    <t>41 21 26</t>
  </si>
  <si>
    <t>Piece Material Diverter Gates</t>
  </si>
  <si>
    <t>41 21 29</t>
  </si>
  <si>
    <t>Piece Material Gravity Slides</t>
  </si>
  <si>
    <t>41 21 33</t>
  </si>
  <si>
    <t>Piece Material Transfer Cars</t>
  </si>
  <si>
    <t>41 21 36</t>
  </si>
  <si>
    <t>Piece Material Turntables</t>
  </si>
  <si>
    <t>41 21 39</t>
  </si>
  <si>
    <t>Piece Material Feeders</t>
  </si>
  <si>
    <t>41 21 39.13</t>
  </si>
  <si>
    <t>Piece Material Vibratory Feeders</t>
  </si>
  <si>
    <t>41 22 00</t>
  </si>
  <si>
    <t>Cranes and Hoists</t>
  </si>
  <si>
    <t>41 22 13</t>
  </si>
  <si>
    <t>Cranes</t>
  </si>
  <si>
    <t>41 22 13.13</t>
  </si>
  <si>
    <t>Bridge Cranes</t>
  </si>
  <si>
    <t>41 22 13.16</t>
  </si>
  <si>
    <t>Gantry Cranes</t>
  </si>
  <si>
    <t>41 22 13.19</t>
  </si>
  <si>
    <t>Jib Cranes</t>
  </si>
  <si>
    <t>41 22 13.23</t>
  </si>
  <si>
    <t>Mobile Cranes</t>
  </si>
  <si>
    <t>41 22 13.26</t>
  </si>
  <si>
    <t>Tower Cranes</t>
  </si>
  <si>
    <t>41 22 13.29</t>
  </si>
  <si>
    <t>Specialty Cranes</t>
  </si>
  <si>
    <t>41 22 23</t>
  </si>
  <si>
    <t>Hoists</t>
  </si>
  <si>
    <t>41 22 23.13</t>
  </si>
  <si>
    <t>Fixed Hoists</t>
  </si>
  <si>
    <t>41 22 23.16</t>
  </si>
  <si>
    <t>Portable Hoists</t>
  </si>
  <si>
    <t>41 22 23.19</t>
  </si>
  <si>
    <t>Monorail Hoists</t>
  </si>
  <si>
    <t>41 22 23.23</t>
  </si>
  <si>
    <t>Specialty Hoists</t>
  </si>
  <si>
    <t>41 22 33</t>
  </si>
  <si>
    <t>Derricks</t>
  </si>
  <si>
    <t>41 23 00</t>
  </si>
  <si>
    <t>Lifting Devices</t>
  </si>
  <si>
    <t>41 23 13</t>
  </si>
  <si>
    <t>Clamps</t>
  </si>
  <si>
    <t>41 23 16</t>
  </si>
  <si>
    <t>Grabs</t>
  </si>
  <si>
    <t>41 23 19</t>
  </si>
  <si>
    <t>Hooks</t>
  </si>
  <si>
    <t>41 23 23</t>
  </si>
  <si>
    <t>41 23 26</t>
  </si>
  <si>
    <t>Slings</t>
  </si>
  <si>
    <t>41 23 29</t>
  </si>
  <si>
    <t>Spreader Bars/Beams</t>
  </si>
  <si>
    <t>41 23 33</t>
  </si>
  <si>
    <t>Tongs</t>
  </si>
  <si>
    <t>41 24 00</t>
  </si>
  <si>
    <t>Specialty Material Handling Equipment</t>
  </si>
  <si>
    <t>41 24 13</t>
  </si>
  <si>
    <t>Aeration Devices</t>
  </si>
  <si>
    <t>41 24 16</t>
  </si>
  <si>
    <t>Bin Vibrators</t>
  </si>
  <si>
    <t>41 24 19</t>
  </si>
  <si>
    <t>Dehydrators</t>
  </si>
  <si>
    <t>41 24 23</t>
  </si>
  <si>
    <t>Hydrators</t>
  </si>
  <si>
    <t>41 24 26</t>
  </si>
  <si>
    <t>Hydraulic Power Systems</t>
  </si>
  <si>
    <t>41 24 29</t>
  </si>
  <si>
    <t>Lubrication Systems</t>
  </si>
  <si>
    <t>41 24 33</t>
  </si>
  <si>
    <t>Magnetic Separators</t>
  </si>
  <si>
    <t>41 24 36</t>
  </si>
  <si>
    <t>Metal Detectors</t>
  </si>
  <si>
    <t>41 24 39</t>
  </si>
  <si>
    <t>Railcar Movers</t>
  </si>
  <si>
    <t>41 24 43</t>
  </si>
  <si>
    <t>Turnheads/Distributors</t>
  </si>
  <si>
    <t>41 24 46</t>
  </si>
  <si>
    <t>Sorting Machines</t>
  </si>
  <si>
    <t>41 24 46.13</t>
  </si>
  <si>
    <t>Postal Sorting Machines</t>
  </si>
  <si>
    <t>41 30 00</t>
  </si>
  <si>
    <t>Manufacturing Equipment</t>
  </si>
  <si>
    <t>41 31 00</t>
  </si>
  <si>
    <t>Manufacturing Lines and Equipment</t>
  </si>
  <si>
    <t>41 31 13</t>
  </si>
  <si>
    <t>Manufacturing Lines</t>
  </si>
  <si>
    <t>41 31 13.13</t>
  </si>
  <si>
    <t>Assembly Lines</t>
  </si>
  <si>
    <t>41 31 13.16</t>
  </si>
  <si>
    <t>Casting Lines</t>
  </si>
  <si>
    <t>41 31 13.19</t>
  </si>
  <si>
    <t>Coating Lines</t>
  </si>
  <si>
    <t>41 31 13.23</t>
  </si>
  <si>
    <t>Converting Lines</t>
  </si>
  <si>
    <t>41 31 13.26</t>
  </si>
  <si>
    <t>Disassembly Lines</t>
  </si>
  <si>
    <t>41 31 13.29</t>
  </si>
  <si>
    <t>Extrusion Lines</t>
  </si>
  <si>
    <t>41 31 13.33</t>
  </si>
  <si>
    <t>Machining Lines</t>
  </si>
  <si>
    <t>41 31 13.36</t>
  </si>
  <si>
    <t>Molding Lines</t>
  </si>
  <si>
    <t>41 31 13.39</t>
  </si>
  <si>
    <t>Finishing/Painting Lines</t>
  </si>
  <si>
    <t>41 31 13.43</t>
  </si>
  <si>
    <t>Painting Lines</t>
  </si>
  <si>
    <t>41 31 13.46</t>
  </si>
  <si>
    <t>Pickling Lines</t>
  </si>
  <si>
    <t>41 31 13.49</t>
  </si>
  <si>
    <t>Plating Lines</t>
  </si>
  <si>
    <t>41 31 13.53</t>
  </si>
  <si>
    <t>Polishing Lines</t>
  </si>
  <si>
    <t>41 31 13.56</t>
  </si>
  <si>
    <t>Press Lines</t>
  </si>
  <si>
    <t>41 31 13.59</t>
  </si>
  <si>
    <t>Rolling/Calendaring Lines</t>
  </si>
  <si>
    <t>41 31 13.63</t>
  </si>
  <si>
    <t>Web Processing Lines</t>
  </si>
  <si>
    <t>41 31 16</t>
  </si>
  <si>
    <t>Pick and Place Systems</t>
  </si>
  <si>
    <t>41 31 19</t>
  </si>
  <si>
    <t>Manufacturing-Line Robots</t>
  </si>
  <si>
    <t>41 31 23</t>
  </si>
  <si>
    <t>Specialty Assembly Machines</t>
  </si>
  <si>
    <t>41 32 00</t>
  </si>
  <si>
    <t>Forming Equipment</t>
  </si>
  <si>
    <t>41 32 13</t>
  </si>
  <si>
    <t>Bending Equipment</t>
  </si>
  <si>
    <t>41 32 16</t>
  </si>
  <si>
    <t>Blow-Molding Equipment</t>
  </si>
  <si>
    <t>41 32 19</t>
  </si>
  <si>
    <t>Brake-Forming Equipment</t>
  </si>
  <si>
    <t>41 32 23</t>
  </si>
  <si>
    <t>Cold-Forming Equipment</t>
  </si>
  <si>
    <t>41 32 26</t>
  </si>
  <si>
    <t>Die-Casting Equipment</t>
  </si>
  <si>
    <t>41 32 29</t>
  </si>
  <si>
    <t>Drawing Equipment</t>
  </si>
  <si>
    <t>41 32 33</t>
  </si>
  <si>
    <t>Electroforming Equipment</t>
  </si>
  <si>
    <t>41 32 36</t>
  </si>
  <si>
    <t>Forging Equipment</t>
  </si>
  <si>
    <t>41 32 39</t>
  </si>
  <si>
    <t>Extruding Equipment</t>
  </si>
  <si>
    <t>41 32 43</t>
  </si>
  <si>
    <t>Metal-Spinning Equipment</t>
  </si>
  <si>
    <t>41 32 46</t>
  </si>
  <si>
    <t>Piercing Equipment</t>
  </si>
  <si>
    <t>41 32 49</t>
  </si>
  <si>
    <t>Powder Metal-Forming Equipment</t>
  </si>
  <si>
    <t>41 32 53</t>
  </si>
  <si>
    <t>Pressing Equipment</t>
  </si>
  <si>
    <t>41 32 56</t>
  </si>
  <si>
    <t>Roll-Forming Equipment</t>
  </si>
  <si>
    <t>41 32 59</t>
  </si>
  <si>
    <t>Shearing Equipment</t>
  </si>
  <si>
    <t>41 32 63</t>
  </si>
  <si>
    <t>Spinning Equipment</t>
  </si>
  <si>
    <t>41 32 66</t>
  </si>
  <si>
    <t>Stretching/Leveling Equipment</t>
  </si>
  <si>
    <t>41 32 69</t>
  </si>
  <si>
    <t>Swaging Equipment</t>
  </si>
  <si>
    <t>41 33 00</t>
  </si>
  <si>
    <t>Machining Equipment</t>
  </si>
  <si>
    <t>41 33 13</t>
  </si>
  <si>
    <t>Automatic Screw Machining Equipment</t>
  </si>
  <si>
    <t>41 33 16</t>
  </si>
  <si>
    <t>Boring Equipment</t>
  </si>
  <si>
    <t>41 33 19</t>
  </si>
  <si>
    <t>Broaching Equipment</t>
  </si>
  <si>
    <t>41 33 23</t>
  </si>
  <si>
    <t>Drilling Equipment</t>
  </si>
  <si>
    <t>41 33 26</t>
  </si>
  <si>
    <t>Electro-Discharge Machining Equipment</t>
  </si>
  <si>
    <t>41 33 29</t>
  </si>
  <si>
    <t>Grinding Equipment</t>
  </si>
  <si>
    <t>41 33 33</t>
  </si>
  <si>
    <t>Hobbing Equipment</t>
  </si>
  <si>
    <t>41 33 36</t>
  </si>
  <si>
    <t>Lapping Equipment</t>
  </si>
  <si>
    <t>41 33 39</t>
  </si>
  <si>
    <t>Lathe Equipment</t>
  </si>
  <si>
    <t>41 33 43</t>
  </si>
  <si>
    <t>Leveling Equipment</t>
  </si>
  <si>
    <t>41 33 46</t>
  </si>
  <si>
    <t>Machining Center Equipment</t>
  </si>
  <si>
    <t>41 33 53</t>
  </si>
  <si>
    <t>Milling Equipment</t>
  </si>
  <si>
    <t>41 33 53.13</t>
  </si>
  <si>
    <t>Horizontal Milling Equipment</t>
  </si>
  <si>
    <t>41 33 53.16</t>
  </si>
  <si>
    <t>Vertical Milling Equipment</t>
  </si>
  <si>
    <t>41 33 60</t>
  </si>
  <si>
    <t>Multi-Axis Machine Equipment</t>
  </si>
  <si>
    <t>41 33 63</t>
  </si>
  <si>
    <t>Planing Equipment</t>
  </si>
  <si>
    <t>41 33 66</t>
  </si>
  <si>
    <t>Reaming Equipment</t>
  </si>
  <si>
    <t>41 33 69</t>
  </si>
  <si>
    <t>Routing Equipment</t>
  </si>
  <si>
    <t>41 33 73</t>
  </si>
  <si>
    <t>Sawing Equipment</t>
  </si>
  <si>
    <t>41 33 76</t>
  </si>
  <si>
    <t>Shaping Equipment</t>
  </si>
  <si>
    <t>41 33 79</t>
  </si>
  <si>
    <t>Threading Equipment</t>
  </si>
  <si>
    <t>41 34 00</t>
  </si>
  <si>
    <t>41 34 13</t>
  </si>
  <si>
    <t>Anodizing Equipment</t>
  </si>
  <si>
    <t>41 34 16</t>
  </si>
  <si>
    <t>Barrel Tumbling Equipment</t>
  </si>
  <si>
    <t>41 34 23</t>
  </si>
  <si>
    <t>Coating Equipment</t>
  </si>
  <si>
    <t>41 34 23.13</t>
  </si>
  <si>
    <t>Diffusion Coating Equipment</t>
  </si>
  <si>
    <t>41 34 23.16</t>
  </si>
  <si>
    <t>Dipping Coating Equipment</t>
  </si>
  <si>
    <t>41 34 23.19</t>
  </si>
  <si>
    <t>Film Coating Equipment</t>
  </si>
  <si>
    <t>41 34 23.23</t>
  </si>
  <si>
    <t>Phosphatizing Coating Equipment</t>
  </si>
  <si>
    <t>41 34 23.26</t>
  </si>
  <si>
    <t>Plasma Coating Equipment</t>
  </si>
  <si>
    <t>41 34 23.29</t>
  </si>
  <si>
    <t>Hardface Welding Coating Equipment</t>
  </si>
  <si>
    <t>41 34 23.33</t>
  </si>
  <si>
    <t>Spray Painting Booth</t>
  </si>
  <si>
    <t>41 34 26</t>
  </si>
  <si>
    <t>Deburring Equipment</t>
  </si>
  <si>
    <t>41 34 36</t>
  </si>
  <si>
    <t>Electroplating Equipment</t>
  </si>
  <si>
    <t>41 34 46</t>
  </si>
  <si>
    <t>41 34 49</t>
  </si>
  <si>
    <t>Honing Equipment</t>
  </si>
  <si>
    <t>41 34 53</t>
  </si>
  <si>
    <t>41 34 56</t>
  </si>
  <si>
    <t>Shot Peening Equipment</t>
  </si>
  <si>
    <t>41 34 59</t>
  </si>
  <si>
    <t>Superfinishing/Polishing Equipment</t>
  </si>
  <si>
    <t>41 35 00</t>
  </si>
  <si>
    <t>Dies and Molds</t>
  </si>
  <si>
    <t>41 35 13</t>
  </si>
  <si>
    <t>Dies</t>
  </si>
  <si>
    <t>41 35 13.13</t>
  </si>
  <si>
    <t>Drawing Dies</t>
  </si>
  <si>
    <t>41 35 13.16</t>
  </si>
  <si>
    <t>Extrusion Dies</t>
  </si>
  <si>
    <t>41 35 13.19</t>
  </si>
  <si>
    <t>Press Dies</t>
  </si>
  <si>
    <t>41 35 13.23</t>
  </si>
  <si>
    <t>Rotary Dies</t>
  </si>
  <si>
    <t>41 35 13.26</t>
  </si>
  <si>
    <t>Rule Dies</t>
  </si>
  <si>
    <t>41 35 33</t>
  </si>
  <si>
    <t>Molds</t>
  </si>
  <si>
    <t>41 36 00</t>
  </si>
  <si>
    <t>Assembly and Testing Equipment</t>
  </si>
  <si>
    <t>41 36 13</t>
  </si>
  <si>
    <t>Applicators</t>
  </si>
  <si>
    <t>41 36 13.13</t>
  </si>
  <si>
    <t>Adhesive Applicators</t>
  </si>
  <si>
    <t>41 36 13.16</t>
  </si>
  <si>
    <t>Lubricant Applicators</t>
  </si>
  <si>
    <t>41 36 13.19</t>
  </si>
  <si>
    <t>Sealer Applicators</t>
  </si>
  <si>
    <t>41 36 16</t>
  </si>
  <si>
    <t>Fixtures and Jigs</t>
  </si>
  <si>
    <t>41 36 19</t>
  </si>
  <si>
    <t>Joining Equipment</t>
  </si>
  <si>
    <t>41 36 19.13</t>
  </si>
  <si>
    <t>Adhesive Joining Equipment</t>
  </si>
  <si>
    <t>41 36 19.16</t>
  </si>
  <si>
    <t>Arc-Welding Equipment</t>
  </si>
  <si>
    <t>41 36 19.19</t>
  </si>
  <si>
    <t>Brazing Equipment</t>
  </si>
  <si>
    <t>41 36 19.23</t>
  </si>
  <si>
    <t>Resistance-Welding Equipment</t>
  </si>
  <si>
    <t>41 36 19.26</t>
  </si>
  <si>
    <t>Riveting Equipment</t>
  </si>
  <si>
    <t>41 36 19.29</t>
  </si>
  <si>
    <t>Sintering Equipment</t>
  </si>
  <si>
    <t>41 36 19.33</t>
  </si>
  <si>
    <t>Soldering Equipment</t>
  </si>
  <si>
    <t>41 36 23</t>
  </si>
  <si>
    <t>Cutting Equipment</t>
  </si>
  <si>
    <t>41 36 23.13</t>
  </si>
  <si>
    <t>Cutting Torches</t>
  </si>
  <si>
    <t>41 36 23.16</t>
  </si>
  <si>
    <t>High-Pressure Water Cutting Equipment</t>
  </si>
  <si>
    <t>41 36 23.19</t>
  </si>
  <si>
    <t>Laser Cutting Equipment</t>
  </si>
  <si>
    <t>41 36 23.23</t>
  </si>
  <si>
    <t>Plasma Cutting Equipment</t>
  </si>
  <si>
    <t>41 36 26</t>
  </si>
  <si>
    <t>Process Tools</t>
  </si>
  <si>
    <t>41 36 26.13</t>
  </si>
  <si>
    <t>Air Process Tools</t>
  </si>
  <si>
    <t>41 36 26.16</t>
  </si>
  <si>
    <t>Electric Process Tools</t>
  </si>
  <si>
    <t>41 36 26.19</t>
  </si>
  <si>
    <t>Hydraulic Process Tools</t>
  </si>
  <si>
    <t>41 36 26.23</t>
  </si>
  <si>
    <t>Manual Process Tools</t>
  </si>
  <si>
    <t>41 36 29</t>
  </si>
  <si>
    <t>Manufacturing Measurement and Testing Equipment</t>
  </si>
  <si>
    <t>41 36 29.13</t>
  </si>
  <si>
    <t>Gages, Rules, and Blocks</t>
  </si>
  <si>
    <t>41 36 29.16</t>
  </si>
  <si>
    <t>Penetrant Measurement and Testing Equipment</t>
  </si>
  <si>
    <t>41 36 29.19</t>
  </si>
  <si>
    <t>Laser Measurement and Testing Equipment</t>
  </si>
  <si>
    <t>41 36 29.23</t>
  </si>
  <si>
    <t>Magnaflux Measurement and Testing Equipment</t>
  </si>
  <si>
    <t>41 36 29.26</t>
  </si>
  <si>
    <t>Optical Comparators</t>
  </si>
  <si>
    <t>41 36 29.29</t>
  </si>
  <si>
    <t>Profilometers</t>
  </si>
  <si>
    <t>41 36 29.33</t>
  </si>
  <si>
    <t>Radiograph Measurement and Testing Equipment</t>
  </si>
  <si>
    <t>41 36 29.36</t>
  </si>
  <si>
    <t>Surface Tables</t>
  </si>
  <si>
    <t>41 36 29.39</t>
  </si>
  <si>
    <t>Ultrasonic Measurement and Testing Equipment</t>
  </si>
  <si>
    <t>41 36 29.43</t>
  </si>
  <si>
    <t>Test Weigh Scales</t>
  </si>
  <si>
    <t>41 40 00</t>
  </si>
  <si>
    <t>Container Processing and Packaging</t>
  </si>
  <si>
    <t>41 41 00</t>
  </si>
  <si>
    <t>Container Filling and Sealing</t>
  </si>
  <si>
    <t>41 41 13</t>
  </si>
  <si>
    <t>Bulk Container Fillers/Packers</t>
  </si>
  <si>
    <t>41 41 16</t>
  </si>
  <si>
    <t>Container Cappers</t>
  </si>
  <si>
    <t>41 41 19</t>
  </si>
  <si>
    <t>Container Fillers</t>
  </si>
  <si>
    <t>41 41 19.13</t>
  </si>
  <si>
    <t>Bag Fillers</t>
  </si>
  <si>
    <t>41 41 19.16</t>
  </si>
  <si>
    <t>Box Fillers</t>
  </si>
  <si>
    <t>41 41 19.19</t>
  </si>
  <si>
    <t>Bottle Fillers</t>
  </si>
  <si>
    <t>41 41 23</t>
  </si>
  <si>
    <t>Container Sealers</t>
  </si>
  <si>
    <t>41 42 00</t>
  </si>
  <si>
    <t>Container Packing Equipment</t>
  </si>
  <si>
    <t>41 42 13</t>
  </si>
  <si>
    <t>Box Packing Equipment</t>
  </si>
  <si>
    <t>41 42 13.13</t>
  </si>
  <si>
    <t>Box Makers</t>
  </si>
  <si>
    <t>41 42 13.16</t>
  </si>
  <si>
    <t>Box Packers</t>
  </si>
  <si>
    <t>41 42 16</t>
  </si>
  <si>
    <t>Bulk Material Loaders</t>
  </si>
  <si>
    <t>41 42 16.13</t>
  </si>
  <si>
    <t>Container Bulk Material Loaders</t>
  </si>
  <si>
    <t>41 42 16.23</t>
  </si>
  <si>
    <t>Truck Bulk Material Loaders</t>
  </si>
  <si>
    <t>41 42 16.26</t>
  </si>
  <si>
    <t>Railcar Bulk Material Loaders</t>
  </si>
  <si>
    <t>41 42 16.29</t>
  </si>
  <si>
    <t>Ship Bulk Material Loaders</t>
  </si>
  <si>
    <t>41 42 16.33</t>
  </si>
  <si>
    <t>Barge Bulk Material Loaders</t>
  </si>
  <si>
    <t>41 42 19</t>
  </si>
  <si>
    <t>Carton Packers</t>
  </si>
  <si>
    <t>41 42 23</t>
  </si>
  <si>
    <t>Carton Sealers</t>
  </si>
  <si>
    <t>41 42 26</t>
  </si>
  <si>
    <t>Carton Shrink Wrappers</t>
  </si>
  <si>
    <t>41 42 29</t>
  </si>
  <si>
    <t>Carton Stackers</t>
  </si>
  <si>
    <t>41 43 00</t>
  </si>
  <si>
    <t>Shipping Packaging</t>
  </si>
  <si>
    <t>41 43 13</t>
  </si>
  <si>
    <t>Banding/Strapping Equipment</t>
  </si>
  <si>
    <t>41 43 16</t>
  </si>
  <si>
    <t>Barcode Equipment</t>
  </si>
  <si>
    <t>41 43 16.13</t>
  </si>
  <si>
    <t>Barcode Readers</t>
  </si>
  <si>
    <t>41 43 16.16</t>
  </si>
  <si>
    <t>Barcode Printers</t>
  </si>
  <si>
    <t>41 43 19</t>
  </si>
  <si>
    <t>Labeling Equipment</t>
  </si>
  <si>
    <t>41 43 23</t>
  </si>
  <si>
    <t>Pallet Stacking/Wrapping Equipment</t>
  </si>
  <si>
    <t>41 50 00</t>
  </si>
  <si>
    <t>Material Storage</t>
  </si>
  <si>
    <t>41 51 00</t>
  </si>
  <si>
    <t>Automatic Material Storage</t>
  </si>
  <si>
    <t>41 51 13</t>
  </si>
  <si>
    <t>Automatic Storage/Automatic Retrieval Systems</t>
  </si>
  <si>
    <t>41 52 00</t>
  </si>
  <si>
    <t>Bulk Material Storage</t>
  </si>
  <si>
    <t>41 52 13</t>
  </si>
  <si>
    <t>Bins and Hoppers</t>
  </si>
  <si>
    <t>41 52 13.13</t>
  </si>
  <si>
    <t>Fixed Bins and Hoppers</t>
  </si>
  <si>
    <t>41 52 13.23</t>
  </si>
  <si>
    <t>Portable Bins and Hoppers</t>
  </si>
  <si>
    <t>41 52 13.33</t>
  </si>
  <si>
    <t>Bulk Material Containers</t>
  </si>
  <si>
    <t>41 52 13.43</t>
  </si>
  <si>
    <t>Returnable Bins and Hoppers</t>
  </si>
  <si>
    <t>41 52 13.53</t>
  </si>
  <si>
    <t>Throwaway Bins and Hoppers</t>
  </si>
  <si>
    <t>41 52 16</t>
  </si>
  <si>
    <t>Silos</t>
  </si>
  <si>
    <t>41 52 16.13</t>
  </si>
  <si>
    <t>Concrete Silos</t>
  </si>
  <si>
    <t>41 52 16.16</t>
  </si>
  <si>
    <t>Concrete Masonry Unit Silos</t>
  </si>
  <si>
    <t>41 52 16.19</t>
  </si>
  <si>
    <t>Steel Silos</t>
  </si>
  <si>
    <t>41 52 19</t>
  </si>
  <si>
    <t>Material Storage Tanks</t>
  </si>
  <si>
    <t>41 52 19.13</t>
  </si>
  <si>
    <t>Horizontal Material Storage Tanks</t>
  </si>
  <si>
    <t>41 52 19.23</t>
  </si>
  <si>
    <t>Vertical Material Storage Tanks</t>
  </si>
  <si>
    <t>41 52 19.33</t>
  </si>
  <si>
    <t>Portable Material Storage Tanks</t>
  </si>
  <si>
    <t>41 53 00</t>
  </si>
  <si>
    <t>Storage Equipment and Systems</t>
  </si>
  <si>
    <t>41 53 13</t>
  </si>
  <si>
    <t>Storage Cabinets</t>
  </si>
  <si>
    <t>41 53 16</t>
  </si>
  <si>
    <t>Container Storage Systems</t>
  </si>
  <si>
    <t>41 53 19</t>
  </si>
  <si>
    <t>Flat Files</t>
  </si>
  <si>
    <t>41 53 23</t>
  </si>
  <si>
    <t>41 53 23.13</t>
  </si>
  <si>
    <t>Mobile Storage Racks</t>
  </si>
  <si>
    <t>41 53 26</t>
  </si>
  <si>
    <t>Mezzanine Storage Systems</t>
  </si>
  <si>
    <t>41 60 00</t>
  </si>
  <si>
    <t>Mobile Plant Equipment</t>
  </si>
  <si>
    <t>41 61 00</t>
  </si>
  <si>
    <t>Mobile Earth Moving Equipment</t>
  </si>
  <si>
    <t>41 61 13</t>
  </si>
  <si>
    <t>Backhoes</t>
  </si>
  <si>
    <t>41 61 16</t>
  </si>
  <si>
    <t>Bulldozers</t>
  </si>
  <si>
    <t>41 61 19</t>
  </si>
  <si>
    <t>Compactors</t>
  </si>
  <si>
    <t>41 61 23</t>
  </si>
  <si>
    <t>Excavators</t>
  </si>
  <si>
    <t>41 61 26</t>
  </si>
  <si>
    <t>Graders</t>
  </si>
  <si>
    <t>41 61 29</t>
  </si>
  <si>
    <t>Payloaders</t>
  </si>
  <si>
    <t>41 61 33</t>
  </si>
  <si>
    <t>Trenchers</t>
  </si>
  <si>
    <t>41 62 00</t>
  </si>
  <si>
    <t>Trucks</t>
  </si>
  <si>
    <t>41 62 13</t>
  </si>
  <si>
    <t>Cement Mixer Trucks</t>
  </si>
  <si>
    <t>41 62 16</t>
  </si>
  <si>
    <t>Dump Trucks</t>
  </si>
  <si>
    <t>41 62 19</t>
  </si>
  <si>
    <t>Flatbed Trucks</t>
  </si>
  <si>
    <t>41 62 23</t>
  </si>
  <si>
    <t>Forklift Trucks</t>
  </si>
  <si>
    <t>41 62 26</t>
  </si>
  <si>
    <t>Pickup Trucks</t>
  </si>
  <si>
    <t>41 62 29</t>
  </si>
  <si>
    <t>Tank Trucks</t>
  </si>
  <si>
    <t>41 63 00</t>
  </si>
  <si>
    <t>General Vehicles</t>
  </si>
  <si>
    <t>41 63 13</t>
  </si>
  <si>
    <t>Bicycles</t>
  </si>
  <si>
    <t>41 63 16</t>
  </si>
  <si>
    <t>Carts</t>
  </si>
  <si>
    <t>41 63 19</t>
  </si>
  <si>
    <t>Maintenance Vehicles</t>
  </si>
  <si>
    <t>41 63 23</t>
  </si>
  <si>
    <t>Utility Vehicles</t>
  </si>
  <si>
    <t>41 63 26</t>
  </si>
  <si>
    <t>Vans</t>
  </si>
  <si>
    <t>41 63 29</t>
  </si>
  <si>
    <t>Wagons</t>
  </si>
  <si>
    <t>41 64 00</t>
  </si>
  <si>
    <t>Rail Vehicles</t>
  </si>
  <si>
    <t>41 64 13</t>
  </si>
  <si>
    <t>Locomotives</t>
  </si>
  <si>
    <t>41 64 13.13</t>
  </si>
  <si>
    <t>Diesel Locomotives</t>
  </si>
  <si>
    <t>41 64 13.23</t>
  </si>
  <si>
    <t>Electric Locomotives</t>
  </si>
  <si>
    <t>41 64 16</t>
  </si>
  <si>
    <t>Mobile Railcar Movers</t>
  </si>
  <si>
    <t>41 65 00</t>
  </si>
  <si>
    <t>Mobile Support Equipment</t>
  </si>
  <si>
    <t>41 65 13</t>
  </si>
  <si>
    <t>Mobile Air Compressors</t>
  </si>
  <si>
    <t>41 65 16</t>
  </si>
  <si>
    <t>Mobile Generators</t>
  </si>
  <si>
    <t>41 65 19</t>
  </si>
  <si>
    <t>Mobile Welders</t>
  </si>
  <si>
    <t>41 66 00</t>
  </si>
  <si>
    <t>Miscellaneous Mobile Equipment</t>
  </si>
  <si>
    <t>41 66 13</t>
  </si>
  <si>
    <t>Mobile Boring and Drilling Rigs</t>
  </si>
  <si>
    <t>41 66 16</t>
  </si>
  <si>
    <t>Mobile Lifts and Cherrypickers</t>
  </si>
  <si>
    <t>41 66 19</t>
  </si>
  <si>
    <t>Mobile Paving Equipment</t>
  </si>
  <si>
    <t>41 66 23</t>
  </si>
  <si>
    <t>Mobile Sweepers/Vacuums</t>
  </si>
  <si>
    <t>41 67 00</t>
  </si>
  <si>
    <t>Plant Maintenance Equipment</t>
  </si>
  <si>
    <t>41 67 13</t>
  </si>
  <si>
    <t>Plant Lube Oil System</t>
  </si>
  <si>
    <t>41 67 16</t>
  </si>
  <si>
    <t>Plant Fall Protection Equipment</t>
  </si>
  <si>
    <t>41 67 19</t>
  </si>
  <si>
    <t>Plant Safety Equipment</t>
  </si>
  <si>
    <t>41 67 23</t>
  </si>
  <si>
    <t>Plant Maintenance Tools</t>
  </si>
  <si>
    <t>41 67 26</t>
  </si>
  <si>
    <t>Plant Maintenance Washing Equipment</t>
  </si>
  <si>
    <t>42 00 00</t>
  </si>
  <si>
    <t>Process Heating, Cooling, and Drying Equipment</t>
  </si>
  <si>
    <t>42 01 00</t>
  </si>
  <si>
    <t>Operation and Maintenance of Process Heating, Cooling, and Drying Equipment</t>
  </si>
  <si>
    <t>42 01 10</t>
  </si>
  <si>
    <t>Operation and Maintenance of Process Heating Equipment</t>
  </si>
  <si>
    <t>42 01 20</t>
  </si>
  <si>
    <t>Operation and Maintenance of Process Cooling Equipment</t>
  </si>
  <si>
    <t>42 01 30</t>
  </si>
  <si>
    <t>Operation and Maintenance of Process Drying Equipment</t>
  </si>
  <si>
    <t>42 06 00</t>
  </si>
  <si>
    <t>Schedules for Process Heating, Cooling, and Drying Equipment</t>
  </si>
  <si>
    <t>42 06 10</t>
  </si>
  <si>
    <t>Schedules for Process Heating Equipment</t>
  </si>
  <si>
    <t>42 06 20</t>
  </si>
  <si>
    <t>Schedules for Process Cooling Equipment</t>
  </si>
  <si>
    <t>42 06 30</t>
  </si>
  <si>
    <t>Schedules for Process Drying Equipment</t>
  </si>
  <si>
    <t>42 08 00</t>
  </si>
  <si>
    <t>Commissioning of Process Heating, Cooling, and Drying Equipment</t>
  </si>
  <si>
    <t>42 08 10</t>
  </si>
  <si>
    <t>Commissioning of Heating Equipment</t>
  </si>
  <si>
    <t>42 08 20</t>
  </si>
  <si>
    <t>Commissioning of Cooling Equipment</t>
  </si>
  <si>
    <t>42 08 30</t>
  </si>
  <si>
    <t>Commissioning of Drying Equipment</t>
  </si>
  <si>
    <t>42 10 00</t>
  </si>
  <si>
    <t>Process Heating Equipment</t>
  </si>
  <si>
    <t>42 11 00</t>
  </si>
  <si>
    <t>Process Boilers</t>
  </si>
  <si>
    <t>42 11 13</t>
  </si>
  <si>
    <t>Low-Pressure Process Boilers</t>
  </si>
  <si>
    <t>42 11 16</t>
  </si>
  <si>
    <t>Intermediate-Pressure Process Boilers</t>
  </si>
  <si>
    <t>42 11 19</t>
  </si>
  <si>
    <t>High-Pressure Process Boilers</t>
  </si>
  <si>
    <t>42 11 23</t>
  </si>
  <si>
    <t>Specialty Process Boilers</t>
  </si>
  <si>
    <t>42 12 00</t>
  </si>
  <si>
    <t>Process Heaters</t>
  </si>
  <si>
    <t>42 12 13</t>
  </si>
  <si>
    <t>Electric Process Heaters</t>
  </si>
  <si>
    <t>42 12 16</t>
  </si>
  <si>
    <t>Fuel-Fired Process Heaters</t>
  </si>
  <si>
    <t>42 12 19</t>
  </si>
  <si>
    <t>Thermoelectric Process Heaters</t>
  </si>
  <si>
    <t>42 12 23</t>
  </si>
  <si>
    <t>Solar Process Heaters</t>
  </si>
  <si>
    <t>42 12 26</t>
  </si>
  <si>
    <t>Specialty Process Heaters</t>
  </si>
  <si>
    <t>42 13 00</t>
  </si>
  <si>
    <t>Industrial Heat Exchangers and Recuperators</t>
  </si>
  <si>
    <t>42 13 13</t>
  </si>
  <si>
    <t>Industrial Gas-to-Gas Heat Exchangers</t>
  </si>
  <si>
    <t>42 13 16</t>
  </si>
  <si>
    <t>Industrial Liquid-to-Gas/Gas-to-Liquid Heat Exchangers</t>
  </si>
  <si>
    <t>42 13 19</t>
  </si>
  <si>
    <t>Industrial Liquid-to-Liquid Heat Exchangers</t>
  </si>
  <si>
    <t>42 13 23</t>
  </si>
  <si>
    <t>Industrial Gas Radiation Heat Exchangers</t>
  </si>
  <si>
    <t>42 13 26</t>
  </si>
  <si>
    <t>Industrial Solar Radiation Heat Exchangers</t>
  </si>
  <si>
    <t>42 14 00</t>
  </si>
  <si>
    <t>Industrial Furnaces</t>
  </si>
  <si>
    <t>42 14 13</t>
  </si>
  <si>
    <t>Annealing Furnaces</t>
  </si>
  <si>
    <t>42 14 16</t>
  </si>
  <si>
    <t>Atmosphere Generators</t>
  </si>
  <si>
    <t>42 14 19</t>
  </si>
  <si>
    <t>Industrial Baking Furnaces</t>
  </si>
  <si>
    <t>42 14 23</t>
  </si>
  <si>
    <t>Industrial Brazing Furnaces</t>
  </si>
  <si>
    <t>42 14 26</t>
  </si>
  <si>
    <t>Industrial Calcining Furnaces</t>
  </si>
  <si>
    <t>42 14 29</t>
  </si>
  <si>
    <t>Industrial Heat-Treating Furnaces</t>
  </si>
  <si>
    <t>42 14 33</t>
  </si>
  <si>
    <t>Industrial Melting Furnaces</t>
  </si>
  <si>
    <t>42 14 33.13</t>
  </si>
  <si>
    <t>Ceramics and Glass Melting Furnaces</t>
  </si>
  <si>
    <t>42 14 33.16</t>
  </si>
  <si>
    <t>Ferrous Melting Furnaces</t>
  </si>
  <si>
    <t>42 14 33.19</t>
  </si>
  <si>
    <t>Non-Ferrous Melting Furnaces</t>
  </si>
  <si>
    <t>42 14 36</t>
  </si>
  <si>
    <t>Primary Refining Furnaces</t>
  </si>
  <si>
    <t>42 14 43</t>
  </si>
  <si>
    <t>Reactor Furnaces</t>
  </si>
  <si>
    <t>42 14 46</t>
  </si>
  <si>
    <t>Industrial Reheat Furnaces</t>
  </si>
  <si>
    <t>42 14 53</t>
  </si>
  <si>
    <t>Industrial Sintering Furnaces</t>
  </si>
  <si>
    <t>42 14 56</t>
  </si>
  <si>
    <t>Industrial Vacuum Furnaces</t>
  </si>
  <si>
    <t>42 15 00</t>
  </si>
  <si>
    <t>Industrial Ovens</t>
  </si>
  <si>
    <t>42 15 13</t>
  </si>
  <si>
    <t>Industrial Drying Ovens</t>
  </si>
  <si>
    <t>42 15 16</t>
  </si>
  <si>
    <t>Industrial Curing Ovens</t>
  </si>
  <si>
    <t>42 15 19</t>
  </si>
  <si>
    <t>Industrial Specialty Ovens</t>
  </si>
  <si>
    <t>42 20 00</t>
  </si>
  <si>
    <t>Process Cooling Equipment</t>
  </si>
  <si>
    <t>42 21 00</t>
  </si>
  <si>
    <t>Process Cooling Towers</t>
  </si>
  <si>
    <t>42 21 13</t>
  </si>
  <si>
    <t>Open-Circuit Process Cooling Towers</t>
  </si>
  <si>
    <t>42 21 16</t>
  </si>
  <si>
    <t>Closed-Circuit Process Cooling Towers</t>
  </si>
  <si>
    <t>42 22 00</t>
  </si>
  <si>
    <t>Process Chillers and Coolers</t>
  </si>
  <si>
    <t>42 22 13</t>
  </si>
  <si>
    <t>Centrifugal Process Chillers and Coolers</t>
  </si>
  <si>
    <t>42 22 16</t>
  </si>
  <si>
    <t>Reciprocating Process Chillers and Coolers</t>
  </si>
  <si>
    <t>42 22 19</t>
  </si>
  <si>
    <t>Refrigerant Process Chillers and Coolers</t>
  </si>
  <si>
    <t>42 22 23</t>
  </si>
  <si>
    <t>Rotary Process Chillers and Coolers</t>
  </si>
  <si>
    <t>42 22 26</t>
  </si>
  <si>
    <t>Thermoelectric Process Chillers and Coolers</t>
  </si>
  <si>
    <t>42 23 00</t>
  </si>
  <si>
    <t>Process Condensers and Evaporators</t>
  </si>
  <si>
    <t>42 23 13</t>
  </si>
  <si>
    <t>Process Condensers</t>
  </si>
  <si>
    <t>42 23 16</t>
  </si>
  <si>
    <t>Process Cooling Evaporators</t>
  </si>
  <si>
    <t>42 23 19</t>
  </si>
  <si>
    <t>Process Humidifiers</t>
  </si>
  <si>
    <t>42 30 00</t>
  </si>
  <si>
    <t>Process Drying Equipment</t>
  </si>
  <si>
    <t>42 31 00</t>
  </si>
  <si>
    <t>Gas Dryers and Dehumidifiers</t>
  </si>
  <si>
    <t>42 31 13</t>
  </si>
  <si>
    <t>Drying Evaporators</t>
  </si>
  <si>
    <t>42 31 16</t>
  </si>
  <si>
    <t>Desiccant Equipment</t>
  </si>
  <si>
    <t>42 31 19</t>
  </si>
  <si>
    <t>Regenerative Dryers</t>
  </si>
  <si>
    <t>42 31 23</t>
  </si>
  <si>
    <t>Refrigerant Dryers</t>
  </si>
  <si>
    <t>42 32 00</t>
  </si>
  <si>
    <t>Material Dryers</t>
  </si>
  <si>
    <t>42 32 13</t>
  </si>
  <si>
    <t>Centrifugal Material Dryers</t>
  </si>
  <si>
    <t>42 32 16</t>
  </si>
  <si>
    <t>Conveyor Material Dryers</t>
  </si>
  <si>
    <t>42 32 19</t>
  </si>
  <si>
    <t>Flash Material Dryers</t>
  </si>
  <si>
    <t>42 32 23</t>
  </si>
  <si>
    <t>Fluid-Bed Material Dryers</t>
  </si>
  <si>
    <t>42 32 26</t>
  </si>
  <si>
    <t>Material Roasters</t>
  </si>
  <si>
    <t>42 32 29</t>
  </si>
  <si>
    <t>Rotary-Kiln Material Dryers</t>
  </si>
  <si>
    <t>42 32 33</t>
  </si>
  <si>
    <t>Spray Material Dryers</t>
  </si>
  <si>
    <t>42 32 36</t>
  </si>
  <si>
    <t>Tower Material Dryers</t>
  </si>
  <si>
    <t>42 32 39</t>
  </si>
  <si>
    <t>Vacuum Material Dryers</t>
  </si>
  <si>
    <t>42 32 43</t>
  </si>
  <si>
    <t>Specialty Material Dryers</t>
  </si>
  <si>
    <t>43 00 00</t>
  </si>
  <si>
    <t>Process Gas and Liquid Handling, Purification, and Storage Equipment</t>
  </si>
  <si>
    <t>43 01 00</t>
  </si>
  <si>
    <t>Operation and Maintenance of Process Gas and Liquid Handling, Purification, and Storage Equipment</t>
  </si>
  <si>
    <t>43 01 10</t>
  </si>
  <si>
    <t>Operation and Maintenance of Gas Handling Equipment</t>
  </si>
  <si>
    <t>43 01 10.13</t>
  </si>
  <si>
    <t>Gas Blowers Maintenance and Rehabilitation</t>
  </si>
  <si>
    <t>43 01 10.16</t>
  </si>
  <si>
    <t>Gas Compressors Maintenance and Rehabilitation</t>
  </si>
  <si>
    <t>43 01 20</t>
  </si>
  <si>
    <t>Operation and Maintenance of Liquid Handling Equipment</t>
  </si>
  <si>
    <t>43 01 20.13</t>
  </si>
  <si>
    <t>Liquid Pumps Maintenance and Rehabilitation</t>
  </si>
  <si>
    <t>43 01 20.16</t>
  </si>
  <si>
    <t>Liquid Process Equipment Maintenance and Rehabilitation</t>
  </si>
  <si>
    <t>43 01 30</t>
  </si>
  <si>
    <t>Operation and Maintenance of Gas and Liquid Hi-Purification Equipment</t>
  </si>
  <si>
    <t>43 01 40</t>
  </si>
  <si>
    <t>Operation and Maintenance of Gas and Liquid Storage</t>
  </si>
  <si>
    <t>43 01 40.13</t>
  </si>
  <si>
    <t>Non-pressurized Tanks Cleaning, Maintenance, and Rehabilitation</t>
  </si>
  <si>
    <t>43 01 40.16</t>
  </si>
  <si>
    <t>Pressurized Tanks Cleaning, Maintenance, and Rehabilitation</t>
  </si>
  <si>
    <t>43 05 00</t>
  </si>
  <si>
    <t>Common Work Results for Process Gas and Liquid Handling, Purification, and Storage Equipment</t>
  </si>
  <si>
    <t>43 05 10</t>
  </si>
  <si>
    <t>Common Work Results for Gas Handling Equipment</t>
  </si>
  <si>
    <t>43 05 20</t>
  </si>
  <si>
    <t>Common Work Results for Liquid Handling Equipment</t>
  </si>
  <si>
    <t>43 05 30</t>
  </si>
  <si>
    <t>Common Work Results for Gas and Liquid Hi-Purification Equipment</t>
  </si>
  <si>
    <t>43 05 40</t>
  </si>
  <si>
    <t>Common Work Results for Gas and Liquid Storage</t>
  </si>
  <si>
    <t>43 06 00</t>
  </si>
  <si>
    <t>Schedules for Process Gas and Liquid Handling, Purification, and Storage Equipment</t>
  </si>
  <si>
    <t>43 06 10</t>
  </si>
  <si>
    <t>Schedules for Gas Handling Equipment</t>
  </si>
  <si>
    <t>43 06 20</t>
  </si>
  <si>
    <t>Schedules for Liquid Handling Equipment</t>
  </si>
  <si>
    <t>43 06 30</t>
  </si>
  <si>
    <t>Schedules for Gas and Liquid Hi-Purification Equipment</t>
  </si>
  <si>
    <t>43 06 40</t>
  </si>
  <si>
    <t>Schedules for Gas and Liquid Storage</t>
  </si>
  <si>
    <t>43 08 00</t>
  </si>
  <si>
    <t>Commissioning of Process Gas and Liquid Handling, Purification, and Storage Equipment</t>
  </si>
  <si>
    <t>43 08 10</t>
  </si>
  <si>
    <t>Commissioning of Gas Handling Equipment</t>
  </si>
  <si>
    <t>43 08 20</t>
  </si>
  <si>
    <t>Commissioning of Liquid Handling Equipment</t>
  </si>
  <si>
    <t>43 08 30</t>
  </si>
  <si>
    <t>Commissioning of Gas and Liquid Purification Equipment</t>
  </si>
  <si>
    <t>43 08 40</t>
  </si>
  <si>
    <t>Commissioning of Gas and Liquid Storage</t>
  </si>
  <si>
    <t>43 10 00</t>
  </si>
  <si>
    <t>Gas Handling Equipment</t>
  </si>
  <si>
    <t>43 11 00</t>
  </si>
  <si>
    <t>Gas Fans, Blowers, Pumps and Boosters</t>
  </si>
  <si>
    <t>43 11 11</t>
  </si>
  <si>
    <t>Direct Drive Single Stage Centrifugal Blowers</t>
  </si>
  <si>
    <t>43 11 12</t>
  </si>
  <si>
    <t>Integrally Geared Single Stage Centrifugal Blowers</t>
  </si>
  <si>
    <t>43 11 13</t>
  </si>
  <si>
    <t>Separately Geared Single Stage Centrifugal Blowers</t>
  </si>
  <si>
    <t>43 11 14</t>
  </si>
  <si>
    <t>Direct Drive Integral Shaft Single Stage Centrifugal Blowers</t>
  </si>
  <si>
    <t>43 11 17</t>
  </si>
  <si>
    <t>Horizontally Split Multistage Centrifugal Blowers</t>
  </si>
  <si>
    <t>43 11 18</t>
  </si>
  <si>
    <t>Vertically Split Multistage Centrifugal Blowers</t>
  </si>
  <si>
    <t>43 11 19</t>
  </si>
  <si>
    <t>Centrifugal Fans</t>
  </si>
  <si>
    <t>43 11 23</t>
  </si>
  <si>
    <t>Axial Blowers</t>
  </si>
  <si>
    <t>43 11 26</t>
  </si>
  <si>
    <t>Axial Fans</t>
  </si>
  <si>
    <t>43 11 31</t>
  </si>
  <si>
    <t>Rotary Helical Screw Blowers</t>
  </si>
  <si>
    <t>43 11 33</t>
  </si>
  <si>
    <t>Rotary Lobe Blowers</t>
  </si>
  <si>
    <t>43 11 34</t>
  </si>
  <si>
    <t>Regenerative Rotary Blowers</t>
  </si>
  <si>
    <t>43 11 36</t>
  </si>
  <si>
    <t>Rotary Vane Blowers</t>
  </si>
  <si>
    <t>43 11 41</t>
  </si>
  <si>
    <t>Gas-handling Venturi Jet Pumps</t>
  </si>
  <si>
    <t>43 11 43</t>
  </si>
  <si>
    <t>Gas-handling Vacuum Pumps</t>
  </si>
  <si>
    <t>43 11 46</t>
  </si>
  <si>
    <t>Gas Boosters</t>
  </si>
  <si>
    <t>43 12 00</t>
  </si>
  <si>
    <t>Gas Compressors</t>
  </si>
  <si>
    <t>43 12 11</t>
  </si>
  <si>
    <t>Centrifugal Compressors</t>
  </si>
  <si>
    <t>43 12 13</t>
  </si>
  <si>
    <t>Diagonal or Mixed-flow Compressors</t>
  </si>
  <si>
    <t>43 12 16</t>
  </si>
  <si>
    <t>Axial-flow Compressors</t>
  </si>
  <si>
    <t>43 12 33</t>
  </si>
  <si>
    <t>Single-acting Reciprocating Compressors</t>
  </si>
  <si>
    <t>43 12 34</t>
  </si>
  <si>
    <t>Double-acting Reciprocating Compressors</t>
  </si>
  <si>
    <t>43 12 37</t>
  </si>
  <si>
    <t>Diaphragm Reciprocating Compressors</t>
  </si>
  <si>
    <t>43 12 51</t>
  </si>
  <si>
    <t>Rotary Screw Compressors</t>
  </si>
  <si>
    <t>43 12 53</t>
  </si>
  <si>
    <t>Rotary Vane Compressors</t>
  </si>
  <si>
    <t>43 12 56</t>
  </si>
  <si>
    <t>Rotary Liquid-ring Compressors</t>
  </si>
  <si>
    <t>43 12 57</t>
  </si>
  <si>
    <t>Rotary Scroll Compressors</t>
  </si>
  <si>
    <t>43 13 00</t>
  </si>
  <si>
    <t>Gas Process Equipment</t>
  </si>
  <si>
    <t>43 13 13</t>
  </si>
  <si>
    <t>Gas Blenders</t>
  </si>
  <si>
    <t>43 13 19</t>
  </si>
  <si>
    <t>Gas Mixers</t>
  </si>
  <si>
    <t>43 13 23</t>
  </si>
  <si>
    <t>Gas Pressure Regulators</t>
  </si>
  <si>
    <t>43 13 31</t>
  </si>
  <si>
    <t>Gas Separation Equipment</t>
  </si>
  <si>
    <t>43 13 33</t>
  </si>
  <si>
    <t>Gas Dehydration Equipment</t>
  </si>
  <si>
    <t>43 13 36</t>
  </si>
  <si>
    <t>Combined Gas Separation and Dehydration Equipment</t>
  </si>
  <si>
    <t>43 13 39</t>
  </si>
  <si>
    <t>Gas Recovery and Condensing Equipment</t>
  </si>
  <si>
    <t>43 13 43</t>
  </si>
  <si>
    <t>Waste Gas Burner System</t>
  </si>
  <si>
    <t>43 13 46</t>
  </si>
  <si>
    <t>Gas Control and Safety Equipment</t>
  </si>
  <si>
    <t>43 15 00</t>
  </si>
  <si>
    <t>Process Air and Gas Filters</t>
  </si>
  <si>
    <t>43 15 13</t>
  </si>
  <si>
    <t>Blower Intake and Turbine Air Filters</t>
  </si>
  <si>
    <t>43 15 13.13</t>
  </si>
  <si>
    <t>Static Prefilters</t>
  </si>
  <si>
    <t>43 15 13.16</t>
  </si>
  <si>
    <t>Static Final Filters</t>
  </si>
  <si>
    <t>43 15 13.19</t>
  </si>
  <si>
    <t>Static HEPA Filters</t>
  </si>
  <si>
    <t>43 15 13.23</t>
  </si>
  <si>
    <t>Pulse Filters</t>
  </si>
  <si>
    <t>43 15 33</t>
  </si>
  <si>
    <t>Grease Filters</t>
  </si>
  <si>
    <t>43 15 43</t>
  </si>
  <si>
    <t>Mist Eliminators</t>
  </si>
  <si>
    <t>43 15 63</t>
  </si>
  <si>
    <t>High-temperature Air Filters</t>
  </si>
  <si>
    <t>43 15 73</t>
  </si>
  <si>
    <t>Multiple-application Air Filters</t>
  </si>
  <si>
    <t>43 15 73.11</t>
  </si>
  <si>
    <t>Air Filter Media</t>
  </si>
  <si>
    <t>43 15 73.12</t>
  </si>
  <si>
    <t>Permanent Washable Filters</t>
  </si>
  <si>
    <t>43 15 73.13</t>
  </si>
  <si>
    <t>Poly-ring Air Filters</t>
  </si>
  <si>
    <t>43 15 73.15</t>
  </si>
  <si>
    <t>Rigid Cell Filters</t>
  </si>
  <si>
    <t>43 15 73.17</t>
  </si>
  <si>
    <t>Automatic Roll-type Air Filters</t>
  </si>
  <si>
    <t>43 15 76</t>
  </si>
  <si>
    <t>Chemical Media for Air and Gas Filters</t>
  </si>
  <si>
    <t>43 20 00</t>
  </si>
  <si>
    <t>Liquid Handling Equipment</t>
  </si>
  <si>
    <t>43 21 00</t>
  </si>
  <si>
    <t>Liquid Pumps</t>
  </si>
  <si>
    <t>43 21 13</t>
  </si>
  <si>
    <t>Centrifugal Liquid Pumps</t>
  </si>
  <si>
    <t>43 21 16</t>
  </si>
  <si>
    <t>Diaphragm Liquid Pumps</t>
  </si>
  <si>
    <t>43 21 19</t>
  </si>
  <si>
    <t>Dispensing Liquid Pumps</t>
  </si>
  <si>
    <t>43 21 23</t>
  </si>
  <si>
    <t>Drum Liquid Pumps</t>
  </si>
  <si>
    <t>43 21 26</t>
  </si>
  <si>
    <t>Gear Liquid Pumps</t>
  </si>
  <si>
    <t>43 21 29</t>
  </si>
  <si>
    <t>Metering Liquid Pumps</t>
  </si>
  <si>
    <t>43 21 33</t>
  </si>
  <si>
    <t>Piston/Plunger Liquid Pumps</t>
  </si>
  <si>
    <t>43 21 36</t>
  </si>
  <si>
    <t>Positive Displacement Liquid Pumps</t>
  </si>
  <si>
    <t>43 21 39</t>
  </si>
  <si>
    <t>Submersible Liquid Pumps</t>
  </si>
  <si>
    <t>43 21 43</t>
  </si>
  <si>
    <t>Sump Liquid Pumps</t>
  </si>
  <si>
    <t>43 21 46</t>
  </si>
  <si>
    <t>Vane Liquid Pumps</t>
  </si>
  <si>
    <t>43 22 00</t>
  </si>
  <si>
    <t>Liquid Process Equipment</t>
  </si>
  <si>
    <t>43 22 13</t>
  </si>
  <si>
    <t>Liquid Aeration Devices</t>
  </si>
  <si>
    <t>43 22 16</t>
  </si>
  <si>
    <t>Liquid Agitators</t>
  </si>
  <si>
    <t>43 22 19</t>
  </si>
  <si>
    <t>Liquid Blenders</t>
  </si>
  <si>
    <t>43 22 23</t>
  </si>
  <si>
    <t>Liquid Centrifuges</t>
  </si>
  <si>
    <t>43 22 26</t>
  </si>
  <si>
    <t>Liquid Deaerators</t>
  </si>
  <si>
    <t>43 22 29</t>
  </si>
  <si>
    <t>Drum Handling Liquid Process Equipment</t>
  </si>
  <si>
    <t>43 22 33</t>
  </si>
  <si>
    <t>Liquid Emulsifiers</t>
  </si>
  <si>
    <t>43 22 36</t>
  </si>
  <si>
    <t>Liquid Evaporators</t>
  </si>
  <si>
    <t>43 22 39</t>
  </si>
  <si>
    <t>Liquid Feeders</t>
  </si>
  <si>
    <t>43 22 56</t>
  </si>
  <si>
    <t>Liquid Process Mixers</t>
  </si>
  <si>
    <t>43 22 59</t>
  </si>
  <si>
    <t>Liquid Process Pressure Regulators</t>
  </si>
  <si>
    <t>43 22 63</t>
  </si>
  <si>
    <t>Liquid Separation Towers</t>
  </si>
  <si>
    <t>43 22 66</t>
  </si>
  <si>
    <t>Liquid Weigh Systems</t>
  </si>
  <si>
    <t>43 22 69</t>
  </si>
  <si>
    <t>Liquid Grease Receiving and Dewatering Systems</t>
  </si>
  <si>
    <t>43 22 73</t>
  </si>
  <si>
    <t>Liquid Fillers</t>
  </si>
  <si>
    <t>43 22 76</t>
  </si>
  <si>
    <t>Liquid Screeners</t>
  </si>
  <si>
    <t>43 22 79</t>
  </si>
  <si>
    <t>Liquid Clarifiers</t>
  </si>
  <si>
    <t>43 22 83</t>
  </si>
  <si>
    <t>Liquid Classifiers</t>
  </si>
  <si>
    <t>43 22 86</t>
  </si>
  <si>
    <t>Liquid Homogenizers</t>
  </si>
  <si>
    <t>43 22 89</t>
  </si>
  <si>
    <t>Liquid Presses</t>
  </si>
  <si>
    <t>43 22 96</t>
  </si>
  <si>
    <t>Liquid Versators</t>
  </si>
  <si>
    <t>43 22 99</t>
  </si>
  <si>
    <t>Liquid Votators</t>
  </si>
  <si>
    <t>43 27 00</t>
  </si>
  <si>
    <t>Process Liquid Filters</t>
  </si>
  <si>
    <t>43 27 13</t>
  </si>
  <si>
    <t>Cyclonic Liquid Filters</t>
  </si>
  <si>
    <t>43 27 16</t>
  </si>
  <si>
    <t>Centrifugal Horizontal Pressure Leaf Liquid Filters</t>
  </si>
  <si>
    <t>43 27 19</t>
  </si>
  <si>
    <t>Press Liquid Filters</t>
  </si>
  <si>
    <t>43 27 23</t>
  </si>
  <si>
    <t>Liquid Bag Filters</t>
  </si>
  <si>
    <t>43 27 33</t>
  </si>
  <si>
    <t>Mechanically Cleaned Liquid Filters</t>
  </si>
  <si>
    <t>43 27 43</t>
  </si>
  <si>
    <t>Tubular Backwashing Liquid Filters</t>
  </si>
  <si>
    <t>43 27 53</t>
  </si>
  <si>
    <t>Vacuum Belt Liquid Filters</t>
  </si>
  <si>
    <t>43 27 63</t>
  </si>
  <si>
    <t>Woven Media Liquid Filters</t>
  </si>
  <si>
    <t>43 27 63.13</t>
  </si>
  <si>
    <t>Disc Liquid Filters</t>
  </si>
  <si>
    <t>43 27 63.23</t>
  </si>
  <si>
    <t>Rotating Drum Liquid Filters</t>
  </si>
  <si>
    <t>43 27 63.33</t>
  </si>
  <si>
    <t>Layer Liquid Filters</t>
  </si>
  <si>
    <t>43 27 63.43</t>
  </si>
  <si>
    <t>Candle Liquid Filters</t>
  </si>
  <si>
    <t>43 27 63.53</t>
  </si>
  <si>
    <t>Vertical Leaf Liquid Filters</t>
  </si>
  <si>
    <t>43 27 73</t>
  </si>
  <si>
    <t>Nonwoven Media Liquid Filters</t>
  </si>
  <si>
    <t>43 27 73.13</t>
  </si>
  <si>
    <t>Surface Liquid Filters</t>
  </si>
  <si>
    <t>43 27 73.23</t>
  </si>
  <si>
    <t>Depth Liquid Filters</t>
  </si>
  <si>
    <t>43 30 00</t>
  </si>
  <si>
    <t>Gas and Liquid Purification Equipment</t>
  </si>
  <si>
    <t>43 31 00</t>
  </si>
  <si>
    <t>Gas and Liquid Purification Filtration Equipment</t>
  </si>
  <si>
    <t>43 31 13</t>
  </si>
  <si>
    <t>Gas and Liquid Purification Filters</t>
  </si>
  <si>
    <t>43 31 13.13</t>
  </si>
  <si>
    <t>Activated Carbon-Gas and Liquid Purification Filters</t>
  </si>
  <si>
    <t>43 31 13.16</t>
  </si>
  <si>
    <t>Gas and Liquid Purification Filter Presses</t>
  </si>
  <si>
    <t>43 31 13.19</t>
  </si>
  <si>
    <t>High-Purity Cartridge Gas and Liquid Purification Filters</t>
  </si>
  <si>
    <t>43 31 13.23</t>
  </si>
  <si>
    <t>Membrane Diaphragm Gas and Liquid Purification Filters</t>
  </si>
  <si>
    <t>43 31 13.26</t>
  </si>
  <si>
    <t>Multimedia Gas and Liquid Purification Filters</t>
  </si>
  <si>
    <t>43 31 13.29</t>
  </si>
  <si>
    <t>Pretreatment Cartridge Gas and Liquid Purification Filters</t>
  </si>
  <si>
    <t>43 31 13.33</t>
  </si>
  <si>
    <t>Ultrafilter Units</t>
  </si>
  <si>
    <t>43 32 00</t>
  </si>
  <si>
    <t>Gas and Liquid Purification Process Equipment</t>
  </si>
  <si>
    <t>43 32 13</t>
  </si>
  <si>
    <t>Gas and Liquid Purification Process Beds</t>
  </si>
  <si>
    <t>43 32 13.13</t>
  </si>
  <si>
    <t>Anion-Gas and Liquid Purification Process Beds</t>
  </si>
  <si>
    <t>43 32 13.16</t>
  </si>
  <si>
    <t>Cation-Gas and Liquid Purification Process Beds</t>
  </si>
  <si>
    <t>43 32 23</t>
  </si>
  <si>
    <t>Gas and Liquid Purification Process Clarifier Systems</t>
  </si>
  <si>
    <t>43 32 26</t>
  </si>
  <si>
    <t>Gas and Liquid Purification Decarbonators</t>
  </si>
  <si>
    <t>43 32 29</t>
  </si>
  <si>
    <t>Electronic Deionization Purification Units</t>
  </si>
  <si>
    <t>43 32 33</t>
  </si>
  <si>
    <t>External Regeneration Systems</t>
  </si>
  <si>
    <t>43 32 36</t>
  </si>
  <si>
    <t>Mixed-Bed Ion-Exchange Vessels</t>
  </si>
  <si>
    <t>43 32 39</t>
  </si>
  <si>
    <t>Gas and Liquid Purification Mixed Beds</t>
  </si>
  <si>
    <t>43 32 39.13</t>
  </si>
  <si>
    <t>Externally Regenerable Gas and Liquid Purification Mixed Beds</t>
  </si>
  <si>
    <t>43 32 39.16</t>
  </si>
  <si>
    <t>In-Situ Regenerable Gas and Liquid Purification Mixed Beds</t>
  </si>
  <si>
    <t>43 32 53</t>
  </si>
  <si>
    <t>Packed-Bed Ion-Exchange Vessels</t>
  </si>
  <si>
    <t>43 32 56</t>
  </si>
  <si>
    <t>Reverse-Osmosis Purification Units</t>
  </si>
  <si>
    <t>43 32 59</t>
  </si>
  <si>
    <t>Gas and Liquid Purification Scrubbers</t>
  </si>
  <si>
    <t>43 32 63</t>
  </si>
  <si>
    <t>Ultraviolet Sterilizers</t>
  </si>
  <si>
    <t>43 32 66</t>
  </si>
  <si>
    <t>Vacuum Degasifiers</t>
  </si>
  <si>
    <t>43 32 69</t>
  </si>
  <si>
    <t>Chemical Feed Systems</t>
  </si>
  <si>
    <t>43 32 73</t>
  </si>
  <si>
    <t>Ozonation Equipment</t>
  </si>
  <si>
    <t>43 32 76</t>
  </si>
  <si>
    <t>Chlorination Equipment</t>
  </si>
  <si>
    <t>43 40 00</t>
  </si>
  <si>
    <t>Gas and Liquid Storage</t>
  </si>
  <si>
    <t>43 41 00</t>
  </si>
  <si>
    <t>Non-pressurized Tanks and Vessels</t>
  </si>
  <si>
    <t>43 41 11</t>
  </si>
  <si>
    <t>Bolted Steel Tanks</t>
  </si>
  <si>
    <t>43 41 13</t>
  </si>
  <si>
    <t>Welded Steel Tanks</t>
  </si>
  <si>
    <t>43 41 13.13</t>
  </si>
  <si>
    <t>Glass-lined Welded Steel Tanks</t>
  </si>
  <si>
    <t>43 41 13.23</t>
  </si>
  <si>
    <t>Rubber-lined Welded Steel Tanks</t>
  </si>
  <si>
    <t>43 41 13.33</t>
  </si>
  <si>
    <t>Epoxy-lined Welded Steel Tanks</t>
  </si>
  <si>
    <t>43 41 13.43</t>
  </si>
  <si>
    <t>Ceramic-lined Welded Steel Tanks</t>
  </si>
  <si>
    <t>43 41 23</t>
  </si>
  <si>
    <t>Stainless Steel Tanks</t>
  </si>
  <si>
    <t>43 41 26</t>
  </si>
  <si>
    <t>Aluminum Tanks</t>
  </si>
  <si>
    <t>43 41 31</t>
  </si>
  <si>
    <t>Metallic Specialty Tanks</t>
  </si>
  <si>
    <t>43 41 41</t>
  </si>
  <si>
    <t>Polyvinyl Chloride Tanks</t>
  </si>
  <si>
    <t>43 41 43</t>
  </si>
  <si>
    <t>Polyethylene Tanks</t>
  </si>
  <si>
    <t>43 41 45</t>
  </si>
  <si>
    <t>Fiberglass Reinforced Plastic Tanks</t>
  </si>
  <si>
    <t>43 41 53</t>
  </si>
  <si>
    <t>Wood Stave Tanks</t>
  </si>
  <si>
    <t>43 41 63</t>
  </si>
  <si>
    <t>Precast Concrete Tanks</t>
  </si>
  <si>
    <t>43 41 73</t>
  </si>
  <si>
    <t>Ceramic Tanks</t>
  </si>
  <si>
    <t>43 41 83</t>
  </si>
  <si>
    <t>Non-metallic Specialty Tanks</t>
  </si>
  <si>
    <t>43 42 00</t>
  </si>
  <si>
    <t>Pressurized Tanks and Vessels</t>
  </si>
  <si>
    <t>43 42 11</t>
  </si>
  <si>
    <t>Cast Iron Pressure Tanks</t>
  </si>
  <si>
    <t>43 42 13</t>
  </si>
  <si>
    <t>Ductile Iron Pressure Tanks</t>
  </si>
  <si>
    <t>43 42 21</t>
  </si>
  <si>
    <t>Welded Steel Pressure Tanks</t>
  </si>
  <si>
    <t>43 42 23</t>
  </si>
  <si>
    <t>Glass-lined Steel Pressure Tanks</t>
  </si>
  <si>
    <t>43 42 26</t>
  </si>
  <si>
    <t>Welded Steel Gas Storage Sphere</t>
  </si>
  <si>
    <t>43 42 33</t>
  </si>
  <si>
    <t>Stainless Steel Pressure Tanks</t>
  </si>
  <si>
    <t>43 42 36</t>
  </si>
  <si>
    <t>Aluminum Pressure Tanks</t>
  </si>
  <si>
    <t>43 42 41</t>
  </si>
  <si>
    <t>Metallic Specialty Pressure Tanks</t>
  </si>
  <si>
    <t>43 42 53</t>
  </si>
  <si>
    <t>Fiberglass Reinforced Plastic Pressure Tanks</t>
  </si>
  <si>
    <t>43 42 83</t>
  </si>
  <si>
    <t>Non-metallic Specialty Pressure Tanks</t>
  </si>
  <si>
    <t>44 00 00</t>
  </si>
  <si>
    <t>Pollution and Waste Control Equipment</t>
  </si>
  <si>
    <t>44 01 00</t>
  </si>
  <si>
    <t>Operation and Maintenance of Pollution and Waste Control Equipment</t>
  </si>
  <si>
    <t>44 01 10</t>
  </si>
  <si>
    <t>Operation and Maintenance of Air Pollution Control</t>
  </si>
  <si>
    <t>44 01 20</t>
  </si>
  <si>
    <t>Operation and Maintenance of Noise Pollution Control</t>
  </si>
  <si>
    <t>44 01 30</t>
  </si>
  <si>
    <t>Operation and Maintenance of Odor Control Equipment</t>
  </si>
  <si>
    <t>44 01 40</t>
  </si>
  <si>
    <t>Operation and Maintenance of Water Pollution Control Equipment</t>
  </si>
  <si>
    <t>44 01 50</t>
  </si>
  <si>
    <t>Operation and Maintenance of Solid Waste Control and Reuse</t>
  </si>
  <si>
    <t>44 01 60</t>
  </si>
  <si>
    <t>Operation and Maintenance of Waste Thermal Processing Equipment</t>
  </si>
  <si>
    <t>44 05 00</t>
  </si>
  <si>
    <t>Common Work Results for Pollution and Waste Control Equipment</t>
  </si>
  <si>
    <t>44 06 00</t>
  </si>
  <si>
    <t>Schedules for Pollution and Waste Control Equipment</t>
  </si>
  <si>
    <t>44 06 10</t>
  </si>
  <si>
    <t>Schedules for Air Pollution Control</t>
  </si>
  <si>
    <t>44 06 20</t>
  </si>
  <si>
    <t>Schedules for Noise Pollution Control</t>
  </si>
  <si>
    <t>44 06 30</t>
  </si>
  <si>
    <t>Schedules for Odor Control Equipment</t>
  </si>
  <si>
    <t>44 06 40</t>
  </si>
  <si>
    <t>Schedules for Water Pollution Control Equipment</t>
  </si>
  <si>
    <t>44 06 50</t>
  </si>
  <si>
    <t>Schedules for Solid Waste Control and Reuse</t>
  </si>
  <si>
    <t>44 06 60</t>
  </si>
  <si>
    <t>Schedules for Waste Thermal Processing Equipment</t>
  </si>
  <si>
    <t>44 08 00</t>
  </si>
  <si>
    <t>Commissioning of Pollution and Waste Control Equipment</t>
  </si>
  <si>
    <t>44 08 10</t>
  </si>
  <si>
    <t>Commissioning of Air Pollution Control</t>
  </si>
  <si>
    <t>44 08 20</t>
  </si>
  <si>
    <t>Commissioning of Noise Pollution Control</t>
  </si>
  <si>
    <t>44 08 30</t>
  </si>
  <si>
    <t>Commissioning of Odor Control Equipment</t>
  </si>
  <si>
    <t>44 08 40</t>
  </si>
  <si>
    <t>Commissioning Water Pollution Control Equipment</t>
  </si>
  <si>
    <t>44 08 50</t>
  </si>
  <si>
    <t>Commissioning Solid Waste Control and Reuse</t>
  </si>
  <si>
    <t>44 08 60</t>
  </si>
  <si>
    <t>Commissioning of Waste Thermal Processing Equipment</t>
  </si>
  <si>
    <t>44 10 00</t>
  </si>
  <si>
    <t>Air Pollution Control</t>
  </si>
  <si>
    <t>44 11 00</t>
  </si>
  <si>
    <t>Particulate Control Equipment</t>
  </si>
  <si>
    <t>44 11 13</t>
  </si>
  <si>
    <t>Fugitive Dust Control</t>
  </si>
  <si>
    <t>44 11 16</t>
  </si>
  <si>
    <t>Fugitive Dust Barrier Systems</t>
  </si>
  <si>
    <t>44 11 19</t>
  </si>
  <si>
    <t>Atmospheric Air Quality Monitoring Equipment</t>
  </si>
  <si>
    <t>44 11 20</t>
  </si>
  <si>
    <t>Gravitational Separators</t>
  </si>
  <si>
    <t>44 11 31</t>
  </si>
  <si>
    <t>Venturi Scrubbing Equipment</t>
  </si>
  <si>
    <t>44 11 33</t>
  </si>
  <si>
    <t>Spray Tower/Chamber Scrubbing Equipment</t>
  </si>
  <si>
    <t>44 11 36</t>
  </si>
  <si>
    <t>Cyclone Scrubbing Equipment</t>
  </si>
  <si>
    <t>44 11 51</t>
  </si>
  <si>
    <t>Pulse Jet Fabric Filtration Equipment</t>
  </si>
  <si>
    <t>44 11 53</t>
  </si>
  <si>
    <t>Reverse Flow Fabric Filtration Equipment</t>
  </si>
  <si>
    <t>44 11 54</t>
  </si>
  <si>
    <t>Shake/Deflate Fabric Filtration Equipment</t>
  </si>
  <si>
    <t>44 11 56</t>
  </si>
  <si>
    <t>Cartridge Filtration Equipment</t>
  </si>
  <si>
    <t>44 11 59</t>
  </si>
  <si>
    <t>Disposable Dry Filtration Equipment</t>
  </si>
  <si>
    <t>44 11 71</t>
  </si>
  <si>
    <t>Cyclone Dust Collection Equipment</t>
  </si>
  <si>
    <t>44 11 73</t>
  </si>
  <si>
    <t>Multicylone Dust Collection Equipment</t>
  </si>
  <si>
    <t>44 11 76</t>
  </si>
  <si>
    <t>Mist Elimination Equipment</t>
  </si>
  <si>
    <t>44 11 93</t>
  </si>
  <si>
    <t>Wet Electrostatic Precipitator Equipment</t>
  </si>
  <si>
    <t>44 11 96</t>
  </si>
  <si>
    <t>Dry Plate Electrostatic Precipitator Equipment</t>
  </si>
  <si>
    <t>44 13 00</t>
  </si>
  <si>
    <t>Gaseous Air Pollution Control Equipment</t>
  </si>
  <si>
    <t>44 13 11</t>
  </si>
  <si>
    <t>Spray Tower/Chamber Absorption Equipment</t>
  </si>
  <si>
    <t>44 13 13</t>
  </si>
  <si>
    <t>Packed Tower/Chamber Absorption Equipment</t>
  </si>
  <si>
    <t>44 13 14</t>
  </si>
  <si>
    <t>Tray Tower Absorption Equipment</t>
  </si>
  <si>
    <t>44 13 16</t>
  </si>
  <si>
    <t>Jet Bubbling Reactor Equipment</t>
  </si>
  <si>
    <t>44 13 17</t>
  </si>
  <si>
    <t>Venturi Absorption Equipment</t>
  </si>
  <si>
    <t>44 13 20</t>
  </si>
  <si>
    <t>Vacuum Extraction Systems</t>
  </si>
  <si>
    <t>44 13 31</t>
  </si>
  <si>
    <t>Powdered Injection Adsorption Equipment</t>
  </si>
  <si>
    <t>44 13 33</t>
  </si>
  <si>
    <t>Fluidized Bed Adsorption Equipment</t>
  </si>
  <si>
    <t>44 13 34</t>
  </si>
  <si>
    <t>Fixed Bed Adsorption Equipment</t>
  </si>
  <si>
    <t>44 13 36</t>
  </si>
  <si>
    <t>Rotary Bed Adsorption Equipment</t>
  </si>
  <si>
    <t>44 13 39</t>
  </si>
  <si>
    <t>Radial Bed Adsorption Equipment</t>
  </si>
  <si>
    <t>44 13 51</t>
  </si>
  <si>
    <t>Thermal Oxidation Equipment</t>
  </si>
  <si>
    <t>44 13 53</t>
  </si>
  <si>
    <t>Catalytic Oxidation Equipment</t>
  </si>
  <si>
    <t>44 13 56</t>
  </si>
  <si>
    <t>Flare Oxidation Equipment</t>
  </si>
  <si>
    <t>44 13 59</t>
  </si>
  <si>
    <t>Claus Sulfur Recovery Equipment</t>
  </si>
  <si>
    <t>44 13 71</t>
  </si>
  <si>
    <t>Thermal Reduction Equipment</t>
  </si>
  <si>
    <t>44 13 73</t>
  </si>
  <si>
    <t>Catalytic Reduction Equipment</t>
  </si>
  <si>
    <t>44 13 76</t>
  </si>
  <si>
    <t>Non-catalytic Reduction Equipment</t>
  </si>
  <si>
    <t>44 13 77</t>
  </si>
  <si>
    <t>Selective Non-catalytic Reduction Equipment</t>
  </si>
  <si>
    <t>44 13 81</t>
  </si>
  <si>
    <t>Condensation Systems</t>
  </si>
  <si>
    <t>44 13 83</t>
  </si>
  <si>
    <t>Contact Condensing Equipment</t>
  </si>
  <si>
    <t>44 13 86</t>
  </si>
  <si>
    <t>Solvent Recovery Equipment</t>
  </si>
  <si>
    <t>44 13 91</t>
  </si>
  <si>
    <t>Biofilter Media</t>
  </si>
  <si>
    <t>44 13 93</t>
  </si>
  <si>
    <t>Fixed Bed Biofilter Equipment</t>
  </si>
  <si>
    <t>44 13 96</t>
  </si>
  <si>
    <t>Fixed Bed Biotrickling Filter Equipment</t>
  </si>
  <si>
    <t>44 13 97</t>
  </si>
  <si>
    <t>Fixed Bed Bioscrubbing Equipment</t>
  </si>
  <si>
    <t>44 20 00</t>
  </si>
  <si>
    <t>Noise Pollution Control</t>
  </si>
  <si>
    <t>44 21 00</t>
  </si>
  <si>
    <t>Noise Pollution Control Equipment</t>
  </si>
  <si>
    <t>44 21 13</t>
  </si>
  <si>
    <t>Fixed Noise Abatement Barriers</t>
  </si>
  <si>
    <t>44 21 16</t>
  </si>
  <si>
    <t>Flexible Noise Abatement Barriers</t>
  </si>
  <si>
    <t>44 21 19</t>
  </si>
  <si>
    <t>Portable Noise Abatement Barriers</t>
  </si>
  <si>
    <t>44 21 23</t>
  </si>
  <si>
    <t>Noise Pollution Silencers</t>
  </si>
  <si>
    <t>44 21 26</t>
  </si>
  <si>
    <t>Frequency Cancellers</t>
  </si>
  <si>
    <t>44 30 00</t>
  </si>
  <si>
    <t>Odor Control</t>
  </si>
  <si>
    <t>44 31 00</t>
  </si>
  <si>
    <t>Odor Treatment Equipment</t>
  </si>
  <si>
    <t>44 31 11</t>
  </si>
  <si>
    <t>Wet Chemical Packed Tower Odor Control Equipment</t>
  </si>
  <si>
    <t>44 31 13</t>
  </si>
  <si>
    <t>Chemical Mist System Odor Control Equipment</t>
  </si>
  <si>
    <t>44 31 16</t>
  </si>
  <si>
    <t>Activated Carbon Adsorption Odor Control Equipment</t>
  </si>
  <si>
    <t>44 31 19</t>
  </si>
  <si>
    <t>Packaged Odor Control Systems</t>
  </si>
  <si>
    <t>44 31 21</t>
  </si>
  <si>
    <t>Odor Control Biofilters</t>
  </si>
  <si>
    <t>44 31 28</t>
  </si>
  <si>
    <t>Odor Control Biofilter Aeration Floor</t>
  </si>
  <si>
    <t>44 31 29</t>
  </si>
  <si>
    <t>Odor Control Biofilter Media</t>
  </si>
  <si>
    <t>44 31 31</t>
  </si>
  <si>
    <t>Odor Control Biotrickling Filter Equipment</t>
  </si>
  <si>
    <t>44 31 33</t>
  </si>
  <si>
    <t>Odor Control Bioscrubbing Equipment</t>
  </si>
  <si>
    <t>44 31 41</t>
  </si>
  <si>
    <t>Odor Control Vapor Combustion Equipment</t>
  </si>
  <si>
    <t>44 31 83</t>
  </si>
  <si>
    <t>Adjusting and Balancing Odor Control Systems</t>
  </si>
  <si>
    <t>44 32 00</t>
  </si>
  <si>
    <t>Odor Dispersing and Masking/Counteracting Equipment</t>
  </si>
  <si>
    <t>44 32 13</t>
  </si>
  <si>
    <t>Odor Dispersing Exhaust Stacks</t>
  </si>
  <si>
    <t>44 32 13.13</t>
  </si>
  <si>
    <t>Fan-equipped Odor Dispersing Exhaust Stacks</t>
  </si>
  <si>
    <t>44 32 23</t>
  </si>
  <si>
    <t>Odor Masking/Counteracting Equipment</t>
  </si>
  <si>
    <t>44 40 00</t>
  </si>
  <si>
    <t>Water Pollution Control Equipment</t>
  </si>
  <si>
    <t>44 41 00</t>
  </si>
  <si>
    <t>Water Pollution Containment and Cleanup Equipment</t>
  </si>
  <si>
    <t>44 41 13</t>
  </si>
  <si>
    <t>Spill Cleanup</t>
  </si>
  <si>
    <t>44 41 21</t>
  </si>
  <si>
    <t>Containment Booms</t>
  </si>
  <si>
    <t>44 41 23</t>
  </si>
  <si>
    <t>Marine Spill Accessories</t>
  </si>
  <si>
    <t>44 41 31</t>
  </si>
  <si>
    <t>Spill Decks</t>
  </si>
  <si>
    <t>44 41 32</t>
  </si>
  <si>
    <t>Drum Containment Units</t>
  </si>
  <si>
    <t>44 41 33</t>
  </si>
  <si>
    <t>Containment Pallets</t>
  </si>
  <si>
    <t>44 41 34</t>
  </si>
  <si>
    <t>Prefabricated Spill Containment Curbing</t>
  </si>
  <si>
    <t>44 41 36</t>
  </si>
  <si>
    <t>Prefabricated Spill Containment Berms</t>
  </si>
  <si>
    <t>44 41 37</t>
  </si>
  <si>
    <t>Prefabricated Berms for Tank Containment</t>
  </si>
  <si>
    <t>44 41 41</t>
  </si>
  <si>
    <t>Collapsible Storage Tanks</t>
  </si>
  <si>
    <t>44 50 00</t>
  </si>
  <si>
    <t>Solid Waste Control and Reuse</t>
  </si>
  <si>
    <t>44 51 00</t>
  </si>
  <si>
    <t>Solid Waste Collection, Transfer, and Hauling Equipment</t>
  </si>
  <si>
    <t>44 51 13</t>
  </si>
  <si>
    <t>Solid Waste Portable Containers</t>
  </si>
  <si>
    <t>44 51 16</t>
  </si>
  <si>
    <t>Solid Waste Stationary Containers</t>
  </si>
  <si>
    <t>44 51 23</t>
  </si>
  <si>
    <t>Solid Waste Transfer Trailers</t>
  </si>
  <si>
    <t>44 53 00</t>
  </si>
  <si>
    <t>Solid Waste Processing Equipment</t>
  </si>
  <si>
    <t>44 53 11</t>
  </si>
  <si>
    <t>Live-floor Storage Bins</t>
  </si>
  <si>
    <t>44 53 13</t>
  </si>
  <si>
    <t>Refuse Cranes and Accessories</t>
  </si>
  <si>
    <t>44 53 16</t>
  </si>
  <si>
    <t>Solid Waste Screens</t>
  </si>
  <si>
    <t>44 53 21</t>
  </si>
  <si>
    <t>Car Crushers</t>
  </si>
  <si>
    <t>44 53 23</t>
  </si>
  <si>
    <t>Shears and Guillotines</t>
  </si>
  <si>
    <t>44 53 26</t>
  </si>
  <si>
    <t>Shredders and Grinders</t>
  </si>
  <si>
    <t>44 53 27</t>
  </si>
  <si>
    <t>Perforators</t>
  </si>
  <si>
    <t>44 53 31</t>
  </si>
  <si>
    <t>Bag Breakers</t>
  </si>
  <si>
    <t>44 53 33</t>
  </si>
  <si>
    <t>Granulators</t>
  </si>
  <si>
    <t>44 53 36</t>
  </si>
  <si>
    <t>Crumb Rubber Systems</t>
  </si>
  <si>
    <t>44 53 39</t>
  </si>
  <si>
    <t>Briquetters</t>
  </si>
  <si>
    <t>44 53 41</t>
  </si>
  <si>
    <t>Vibratory Table Separation Equipment</t>
  </si>
  <si>
    <t>44 53 43</t>
  </si>
  <si>
    <t>Ferrous Metals Separation Equipment</t>
  </si>
  <si>
    <t>44 53 44</t>
  </si>
  <si>
    <t>Eddy Current Separators</t>
  </si>
  <si>
    <t>44 53 46</t>
  </si>
  <si>
    <t>Single-stream Materials Separation Equipment</t>
  </si>
  <si>
    <t>44 53 49</t>
  </si>
  <si>
    <t>Ballistic Separators</t>
  </si>
  <si>
    <t>44 53 51</t>
  </si>
  <si>
    <t>Air Classifying Equipment</t>
  </si>
  <si>
    <t>44 53 52</t>
  </si>
  <si>
    <t>Air Knives</t>
  </si>
  <si>
    <t>44 53 53</t>
  </si>
  <si>
    <t>Optical Sorting Equipment</t>
  </si>
  <si>
    <t>44 53 56</t>
  </si>
  <si>
    <t>Packaged Sorting Stations</t>
  </si>
  <si>
    <t>44 53 59</t>
  </si>
  <si>
    <t>Packaged Reclaimer Stations</t>
  </si>
  <si>
    <t>44 53 61</t>
  </si>
  <si>
    <t>Solid Waste Compactors</t>
  </si>
  <si>
    <t>44 53 63</t>
  </si>
  <si>
    <t>Solid Waste Baling Equipment</t>
  </si>
  <si>
    <t>44 53 64</t>
  </si>
  <si>
    <t>Bagging Equipment</t>
  </si>
  <si>
    <t>44 53 66</t>
  </si>
  <si>
    <t>Wrappers</t>
  </si>
  <si>
    <t>44 53 73</t>
  </si>
  <si>
    <t>Solid Waste Liquid Extraction Equipment</t>
  </si>
  <si>
    <t>44 55 00</t>
  </si>
  <si>
    <t>44 55 11</t>
  </si>
  <si>
    <t>Electromechanical Composters</t>
  </si>
  <si>
    <t>44 55 13</t>
  </si>
  <si>
    <t>Compost Screening Equipment</t>
  </si>
  <si>
    <t>44 55 16</t>
  </si>
  <si>
    <t>Compost Shredding Equipment</t>
  </si>
  <si>
    <t>44 55 23</t>
  </si>
  <si>
    <t>Compost Pile Turning Equipment</t>
  </si>
  <si>
    <t>44 55 26</t>
  </si>
  <si>
    <t>Compost Mixing and Blending Equipment</t>
  </si>
  <si>
    <t>44 55 33</t>
  </si>
  <si>
    <t>In-vessel Composing Equipment</t>
  </si>
  <si>
    <t>44 55 43</t>
  </si>
  <si>
    <t>Compost Pad System</t>
  </si>
  <si>
    <t>44 55 73</t>
  </si>
  <si>
    <t>Compost Liquid Extraction Equipment</t>
  </si>
  <si>
    <t>44 60 00</t>
  </si>
  <si>
    <t>Waste Thermal Processing Equipment</t>
  </si>
  <si>
    <t>44 61 00</t>
  </si>
  <si>
    <t>Waste-to-Energy Plants</t>
  </si>
  <si>
    <t>44 61 13</t>
  </si>
  <si>
    <t>Waste Receiving, Management, and Feed Equipment</t>
  </si>
  <si>
    <t>44 61 16</t>
  </si>
  <si>
    <t>Mass Burn Combustion Equipment</t>
  </si>
  <si>
    <t>44 61 23</t>
  </si>
  <si>
    <t>Refuse-derived Fuel Feed Equipment</t>
  </si>
  <si>
    <t>44 61 26</t>
  </si>
  <si>
    <t>Refuse-derived Fuel Combustion Equipment</t>
  </si>
  <si>
    <t>44 61 29</t>
  </si>
  <si>
    <t>Modular Combustion System Equipment</t>
  </si>
  <si>
    <t>44 61 31</t>
  </si>
  <si>
    <t>Ash Handling Equipment</t>
  </si>
  <si>
    <t>44 61 33</t>
  </si>
  <si>
    <t>Post-combustion Ferrous Metals Recovery Equipment</t>
  </si>
  <si>
    <t>44 61 36</t>
  </si>
  <si>
    <t>Post-combustion Non-ferrous Metals Recovery Equipment</t>
  </si>
  <si>
    <t>44 62 00</t>
  </si>
  <si>
    <t>Fluidized Bed Combustion Equipment</t>
  </si>
  <si>
    <t>44 63 00</t>
  </si>
  <si>
    <t>Rotary Kiln Incinerators</t>
  </si>
  <si>
    <t>44 64 00</t>
  </si>
  <si>
    <t>Gasification Equipment</t>
  </si>
  <si>
    <t>44 64 13</t>
  </si>
  <si>
    <t>Counter-current Fixed Bed Gasification Equipment</t>
  </si>
  <si>
    <t>44 64 23</t>
  </si>
  <si>
    <t>Co-current Fixed Bed Gasification Equipment</t>
  </si>
  <si>
    <t>44 64 33</t>
  </si>
  <si>
    <t>Fluidized Bed Gasification Equipment</t>
  </si>
  <si>
    <t>44 64 43</t>
  </si>
  <si>
    <t>Entrained Flow Gasification Equipment</t>
  </si>
  <si>
    <t>44 64 53</t>
  </si>
  <si>
    <t>Plasma Arc Gasification Equipment</t>
  </si>
  <si>
    <t>44 65 00</t>
  </si>
  <si>
    <t>Pyrolysis Equipment</t>
  </si>
  <si>
    <t>44 66 00</t>
  </si>
  <si>
    <t>Hazardous Waste and Medical Waste Incinerators</t>
  </si>
  <si>
    <t>44 67 00</t>
  </si>
  <si>
    <t>Heat Recovery Equipment for Waste Thermal Processing</t>
  </si>
  <si>
    <t>44 68 00</t>
  </si>
  <si>
    <t>Synthesis Gas Cleanup and Handling Equipment</t>
  </si>
  <si>
    <t>45 00 00</t>
  </si>
  <si>
    <t>Industry-Specific Manufacturing Equipment</t>
  </si>
  <si>
    <t>45 08 00</t>
  </si>
  <si>
    <t>Commissioning of Industry-Specific Manufacturing Equipment</t>
  </si>
  <si>
    <t>45 11 00</t>
  </si>
  <si>
    <t>Oil and Gas Extraction Equipment</t>
  </si>
  <si>
    <t>45 11 01</t>
  </si>
  <si>
    <t>Operation and Maintenance of Oil and Gas Extraction Equipment</t>
  </si>
  <si>
    <t>45 11 06</t>
  </si>
  <si>
    <t>Schedules for Oil and Gas Extraction Equipment</t>
  </si>
  <si>
    <t>45 11 10</t>
  </si>
  <si>
    <t>thru</t>
  </si>
  <si>
    <t>45 12 99</t>
  </si>
  <si>
    <t>User-Defined Oil and Gas Extraction Equipment</t>
  </si>
  <si>
    <t>45 13 00</t>
  </si>
  <si>
    <t>Mining Machinery and Equipment</t>
  </si>
  <si>
    <t>45 13 01</t>
  </si>
  <si>
    <t>Operation and Maintenance of Mining Machinery and Equipment</t>
  </si>
  <si>
    <t>45 13 06</t>
  </si>
  <si>
    <t>Schedules for Mining Machinery and Equipment</t>
  </si>
  <si>
    <t>45 13 10</t>
  </si>
  <si>
    <t>45 14 99</t>
  </si>
  <si>
    <t>User-Defined Mining Machinery and Equipment</t>
  </si>
  <si>
    <t>45 15 00</t>
  </si>
  <si>
    <t>Food Manufacturing Equipment</t>
  </si>
  <si>
    <t>45 15 01</t>
  </si>
  <si>
    <t>Operation and Maintenance of Food Manufacturing Equipment</t>
  </si>
  <si>
    <t>45 15 06</t>
  </si>
  <si>
    <t>Schedules for Food Manufacturing Equipment</t>
  </si>
  <si>
    <t>45 15 10</t>
  </si>
  <si>
    <t>45 16 99</t>
  </si>
  <si>
    <t>User-Defined Food Manufacturing Equipment</t>
  </si>
  <si>
    <t>45 17 00</t>
  </si>
  <si>
    <t>Beverage and Tobacco Manufacturing Equipment</t>
  </si>
  <si>
    <t>45 17 01</t>
  </si>
  <si>
    <t>Operation and Maintenance of Beverage and Tobacco Manufacturing Equipment</t>
  </si>
  <si>
    <t>45 17 06</t>
  </si>
  <si>
    <t>Schedules for Beverage and Tobacco Manufacturing Equipment</t>
  </si>
  <si>
    <t>45 17 10</t>
  </si>
  <si>
    <t>45 18 99</t>
  </si>
  <si>
    <t>User-Defined Beverage and Tobacco Manufacturing Equipment</t>
  </si>
  <si>
    <t>45 19 00</t>
  </si>
  <si>
    <t>Textiles and Apparel Manufacturing Equipment</t>
  </si>
  <si>
    <t>45 19 01</t>
  </si>
  <si>
    <t>Operation and Maintenance of Textiles and Apparel Manufacturing Equipment</t>
  </si>
  <si>
    <t>45 19 06</t>
  </si>
  <si>
    <t>Schedules for Textiles and Apparel Manufacturing Equipment</t>
  </si>
  <si>
    <t>45 20 99</t>
  </si>
  <si>
    <t>User-Defined Textiles and Apparel Manufacturing Equipment</t>
  </si>
  <si>
    <t>45 21 00</t>
  </si>
  <si>
    <t>Leather and Allied Product Manufacturing Equipment</t>
  </si>
  <si>
    <t>45 21 01</t>
  </si>
  <si>
    <t>Operation and Maintenance of Leather and Allied Product Manufacturing Equipment</t>
  </si>
  <si>
    <t>45 21 06</t>
  </si>
  <si>
    <t>Schedules for Leather and Allied Product Manufacturing Equipment</t>
  </si>
  <si>
    <t>45 22 99</t>
  </si>
  <si>
    <t>User-Defined Leather and Allied Product Manufacturing Equipment</t>
  </si>
  <si>
    <t>45 23 00</t>
  </si>
  <si>
    <t>Wood Product Manufacturing Equipment</t>
  </si>
  <si>
    <t>45 23 01</t>
  </si>
  <si>
    <t>Operation and Maintenance of Wood Product Manufacturing Equipment</t>
  </si>
  <si>
    <t>45 23 06</t>
  </si>
  <si>
    <t>Schedules for Wood Product Manufacturing Equipment</t>
  </si>
  <si>
    <t>45 24 99</t>
  </si>
  <si>
    <t>User-Defined Wood Product Manufacturing Equipment</t>
  </si>
  <si>
    <t>45 25 00</t>
  </si>
  <si>
    <t>Paper Manufacturing Equipment</t>
  </si>
  <si>
    <t>45 25 01</t>
  </si>
  <si>
    <t>Operation and Maintenance of Paper Manufacturing Equipment</t>
  </si>
  <si>
    <t>45 25 06</t>
  </si>
  <si>
    <t>Schedules for Paper Manufacturing Equipment</t>
  </si>
  <si>
    <t>45 26 99</t>
  </si>
  <si>
    <t>User-Defined Paper Manufacturing Equipment</t>
  </si>
  <si>
    <t>45 27 00</t>
  </si>
  <si>
    <t>Printing and Related Manufacturing Equipment</t>
  </si>
  <si>
    <t>45 27 01</t>
  </si>
  <si>
    <t>Operation and Maintenance of Printing and Related Manufacturing Equipment</t>
  </si>
  <si>
    <t>45 27 06</t>
  </si>
  <si>
    <t>Schedules for Printing and Related Manufacturing Equipment</t>
  </si>
  <si>
    <t>45 28 99</t>
  </si>
  <si>
    <t>User-Defined Printing and Related Manufacturing Equipment</t>
  </si>
  <si>
    <t>45 29 00</t>
  </si>
  <si>
    <t>Petroleum and Coal Products Manufacturing Equipment</t>
  </si>
  <si>
    <t>45 29 01</t>
  </si>
  <si>
    <t>Operation and Maintenance of Petroleum and Coal Products Manufacturing Equipment</t>
  </si>
  <si>
    <t>45 29 06</t>
  </si>
  <si>
    <t>Schedules for Petroleum and Coal Products Manufacturing Equipment</t>
  </si>
  <si>
    <t>45 30 99</t>
  </si>
  <si>
    <t>User-Defined Petroleum and Coal Products Manufacturing Equipment</t>
  </si>
  <si>
    <t>45 31 00</t>
  </si>
  <si>
    <t>Chemical Manufacturing Equipment</t>
  </si>
  <si>
    <t>45 31 01</t>
  </si>
  <si>
    <t>Operation and Maintenance of Chemical Manufacturing Equipment</t>
  </si>
  <si>
    <t>45 31 06</t>
  </si>
  <si>
    <t>Schedules for Chemical Manufacturing Equipment</t>
  </si>
  <si>
    <t>45 32 99</t>
  </si>
  <si>
    <t>User-Defined Chemical Manufacturing Equipment</t>
  </si>
  <si>
    <t>45 33 00</t>
  </si>
  <si>
    <t>Plastics and Rubber Manufacturing Equipment</t>
  </si>
  <si>
    <t>45 33 01</t>
  </si>
  <si>
    <t>Operation and Maintenance of Plastics and Rubber Manufacturing Equipment</t>
  </si>
  <si>
    <t>45 33 06</t>
  </si>
  <si>
    <t>Schedules for Plastics and Rubber Manufacturing Equipment</t>
  </si>
  <si>
    <t>45 34 99</t>
  </si>
  <si>
    <t>User-Defined Plastics and Rubber Manufacturing Equipment</t>
  </si>
  <si>
    <t>45 35 00</t>
  </si>
  <si>
    <t>Nonmetallic Mineral Product Manufacturing Equipment</t>
  </si>
  <si>
    <t>45 35 01</t>
  </si>
  <si>
    <t>Operation and Maintenance of Nonmetallic Mineral Product Manufacturing Equipment</t>
  </si>
  <si>
    <t>45 35 06</t>
  </si>
  <si>
    <t>Schedules for Nonmetallic Mineral Product Manufacturing Equipment</t>
  </si>
  <si>
    <t>45 36 99</t>
  </si>
  <si>
    <t>User-Defined Nonmetallic Mineral Product Manufacturing Equipment</t>
  </si>
  <si>
    <t>45 37 00</t>
  </si>
  <si>
    <t>Primary Metal Manufacturing Equipment</t>
  </si>
  <si>
    <t>45 37 01</t>
  </si>
  <si>
    <t>Operation and Maintenance of Primary Metal Manufacturing Equipment</t>
  </si>
  <si>
    <t>45 37 06</t>
  </si>
  <si>
    <t>Schedules for Primary Metal Manufacturing Equipment</t>
  </si>
  <si>
    <t>45 38 99</t>
  </si>
  <si>
    <t>User-Defined Primary Metal Manufacturing Equipment</t>
  </si>
  <si>
    <t>45 39 00</t>
  </si>
  <si>
    <t>Fabricated Metal Product Manufacturing Equipment</t>
  </si>
  <si>
    <t>45 39 01</t>
  </si>
  <si>
    <t>Operation and Maintenance of Fabricated Metal Product Manufacturing Equipment</t>
  </si>
  <si>
    <t>45 39 06</t>
  </si>
  <si>
    <t>Schedules for Fabricated Metal Product Manufacturing Equipment</t>
  </si>
  <si>
    <t>45 40 99</t>
  </si>
  <si>
    <t>User-Defined Fabricated Metal Product Manufacturing Equipment</t>
  </si>
  <si>
    <t>45 41 00</t>
  </si>
  <si>
    <t>Machinery Manufacturing Equipment</t>
  </si>
  <si>
    <t>45 41 01</t>
  </si>
  <si>
    <t>Operation and Maintenance of Machinery Manufacturing Equipment</t>
  </si>
  <si>
    <t>45 41 06</t>
  </si>
  <si>
    <t>Schedules for Machinery Manufacturing Equipment</t>
  </si>
  <si>
    <t>45 42 99</t>
  </si>
  <si>
    <t>User-Defined Machinery Manufacturing Equipment</t>
  </si>
  <si>
    <t>45 43 00</t>
  </si>
  <si>
    <t>Computer and Electronic Product Manufacturing Equipment</t>
  </si>
  <si>
    <t>45 43 01</t>
  </si>
  <si>
    <t>Operation and Maintenance of Computer and Electronic Product Manufacturing Equipment</t>
  </si>
  <si>
    <t>45 43 06</t>
  </si>
  <si>
    <t>Schedules for Computer and Electronic Product Manufacturing Equipment</t>
  </si>
  <si>
    <t>45 44 99</t>
  </si>
  <si>
    <t>User-Defined Computer and Electronic Product Manufacturing Equipment</t>
  </si>
  <si>
    <t>45 45 00</t>
  </si>
  <si>
    <t>Electrical Equipment, Appliance, and Component Manufacturing Equipment</t>
  </si>
  <si>
    <t>45 45 01</t>
  </si>
  <si>
    <t>Operation and Maintenance of Electrical Equipment, Appliance, and Component Manufacturing Equipment</t>
  </si>
  <si>
    <t>45 45 06</t>
  </si>
  <si>
    <t>Schedules for Electrical Equipment, Appliance, and Component Manufacturing Equipment</t>
  </si>
  <si>
    <t>45 46 99</t>
  </si>
  <si>
    <t>User-Defined Electrical Equipment, Appliance, and Component Manufacturing Equipment</t>
  </si>
  <si>
    <t>45 47 00</t>
  </si>
  <si>
    <t>Transportation Manufacturing Equipment</t>
  </si>
  <si>
    <t>45 47 01</t>
  </si>
  <si>
    <t>Operation and Maintenance of Transportation Manufacturing Equipment</t>
  </si>
  <si>
    <t>45 47 06</t>
  </si>
  <si>
    <t>Schedules for Transportation Manufacturing Equipment</t>
  </si>
  <si>
    <t>45 48 99</t>
  </si>
  <si>
    <t>User-Defined Transportation Manufacturing Equipment</t>
  </si>
  <si>
    <t>45 49 00</t>
  </si>
  <si>
    <t>Furniture and Related Product Manufacturing Equipment</t>
  </si>
  <si>
    <t>45 49 01</t>
  </si>
  <si>
    <t>Operation and Maintenance of Furniture and Related Product Manufacturing Equipment</t>
  </si>
  <si>
    <t>45 49 06</t>
  </si>
  <si>
    <t>Schedules for Furniture and Related Product Manufacturing Equipment</t>
  </si>
  <si>
    <t>45 50 99</t>
  </si>
  <si>
    <t>User-Defined Furniture and Related Product Manufacturing Equipment</t>
  </si>
  <si>
    <t>45 51 00</t>
  </si>
  <si>
    <t>Other Manufacturing Equipment</t>
  </si>
  <si>
    <t>45 51 01</t>
  </si>
  <si>
    <t>Operation and Maintenance of Other Manufacturing Equipment</t>
  </si>
  <si>
    <t>45 51 06</t>
  </si>
  <si>
    <t>Schedules for Other Manufacturing Equipment</t>
  </si>
  <si>
    <t>45 52 99</t>
  </si>
  <si>
    <t>User-Defined Other Manufacturing Equipment</t>
  </si>
  <si>
    <t>46 00 00</t>
  </si>
  <si>
    <t>Water and Wastewater Equipment</t>
  </si>
  <si>
    <t>46 01 00</t>
  </si>
  <si>
    <t>Operation and Maintenance of Water and Wastewater Equipment</t>
  </si>
  <si>
    <t>46 01 07</t>
  </si>
  <si>
    <t>Operation and Maintenance of Packaged Treatment Equipment</t>
  </si>
  <si>
    <t>46 01 20</t>
  </si>
  <si>
    <t>Operation and Maintenance of Preliminary Treatment Equipment</t>
  </si>
  <si>
    <t>46 01 30</t>
  </si>
  <si>
    <t>Operation and Maintenance of Chemical Feed Equipment</t>
  </si>
  <si>
    <t>46 01 40</t>
  </si>
  <si>
    <t>Operation and Maintenance of Clarification and Mixing Equipment</t>
  </si>
  <si>
    <t>46 01 50</t>
  </si>
  <si>
    <t>Operation and Maintenance of Secondary Treatment Equipment</t>
  </si>
  <si>
    <t>46 01 60</t>
  </si>
  <si>
    <t>Operation and Maintenance of Advanced Treatment Equipment</t>
  </si>
  <si>
    <t>46 01 70</t>
  </si>
  <si>
    <t>Operation and Maintenance of Residuals Handling and Treatment</t>
  </si>
  <si>
    <t>46 05 00</t>
  </si>
  <si>
    <t>Common Work Results for Water and Wastewater Equipment</t>
  </si>
  <si>
    <t>46 06 00</t>
  </si>
  <si>
    <t>Schedules for Water and Wastewater Equipment</t>
  </si>
  <si>
    <t>46 06 07</t>
  </si>
  <si>
    <t>Schedules for Packaged Treatment Equipment</t>
  </si>
  <si>
    <t>46 06 20</t>
  </si>
  <si>
    <t>Schedules for Preliminary Treatment Equipment</t>
  </si>
  <si>
    <t>46 06 30</t>
  </si>
  <si>
    <t>Schedules for Chemical Feed Equipment</t>
  </si>
  <si>
    <t>46 06 40</t>
  </si>
  <si>
    <t>Schedules for Clarification and Mixing Equipment</t>
  </si>
  <si>
    <t>46 06 50</t>
  </si>
  <si>
    <t>Schedules for Secondary Treatment Equipment</t>
  </si>
  <si>
    <t>46 06 60</t>
  </si>
  <si>
    <t>Schedules for Advanced Treatment Equipment</t>
  </si>
  <si>
    <t>46 06 70</t>
  </si>
  <si>
    <t>Schedules for Residuals Handling and Treatment</t>
  </si>
  <si>
    <t>46 07 00</t>
  </si>
  <si>
    <t>Packaged Water and Wastewater Treatment Equipment</t>
  </si>
  <si>
    <t>46 07 13</t>
  </si>
  <si>
    <t>Packaged Water Treatment Equipment</t>
  </si>
  <si>
    <t>46 07 53</t>
  </si>
  <si>
    <t>Packaged Wastewater Treatment Equipment</t>
  </si>
  <si>
    <t>46 08 00</t>
  </si>
  <si>
    <t>Commissioning of Water and Wastewater Equipment</t>
  </si>
  <si>
    <t>46 08 07</t>
  </si>
  <si>
    <t>Commissioning of Packaged Treatment Equipment</t>
  </si>
  <si>
    <t>46 08 20</t>
  </si>
  <si>
    <t>Commissioning of Preliminary Treatment Equipment</t>
  </si>
  <si>
    <t>46 08 30</t>
  </si>
  <si>
    <t>Commissioning of Chemical Feed Equipment</t>
  </si>
  <si>
    <t>46 08 40</t>
  </si>
  <si>
    <t>Commissioning of Clarification and Mixing Equipment</t>
  </si>
  <si>
    <t>46 08 50</t>
  </si>
  <si>
    <t>Commissioning of Secondary Treatment Equipment</t>
  </si>
  <si>
    <t>46 08 60</t>
  </si>
  <si>
    <t>Commissioning of Advanced Treatment Equipment</t>
  </si>
  <si>
    <t>46 08 70</t>
  </si>
  <si>
    <t>Commissioning of Residuals Handling and Treatment</t>
  </si>
  <si>
    <t>46 20 00</t>
  </si>
  <si>
    <t>Water and Wastewater Preliminary Treatment Equipment</t>
  </si>
  <si>
    <t>46 21 00</t>
  </si>
  <si>
    <t>Screening Equipment</t>
  </si>
  <si>
    <t>46 21 11</t>
  </si>
  <si>
    <t>Climber-type Bar Screens</t>
  </si>
  <si>
    <t>46 21 13</t>
  </si>
  <si>
    <t>Chain-and-Rake Bar Screens</t>
  </si>
  <si>
    <t>46 21 16</t>
  </si>
  <si>
    <t>Flexible Rake Bar Screens</t>
  </si>
  <si>
    <t>46 21 17</t>
  </si>
  <si>
    <t>Catenary Bar Screens</t>
  </si>
  <si>
    <t>46 21 19</t>
  </si>
  <si>
    <t>Continuous Belt Screens</t>
  </si>
  <si>
    <t>46 21 23</t>
  </si>
  <si>
    <t>Cylindrical Bar Screens</t>
  </si>
  <si>
    <t>46 21 26</t>
  </si>
  <si>
    <t>Step Screens</t>
  </si>
  <si>
    <t>46 21 33</t>
  </si>
  <si>
    <t>Rotary Drum Screens</t>
  </si>
  <si>
    <t>46 21 39</t>
  </si>
  <si>
    <t>Spiral Screens</t>
  </si>
  <si>
    <t>46 21 43</t>
  </si>
  <si>
    <t>Band Screens</t>
  </si>
  <si>
    <t>46 21 46</t>
  </si>
  <si>
    <t>Disc Screens</t>
  </si>
  <si>
    <t>46 21 51</t>
  </si>
  <si>
    <t>Traveling Water Screens</t>
  </si>
  <si>
    <t>46 21 53</t>
  </si>
  <si>
    <t>Perforated Plate Screens</t>
  </si>
  <si>
    <t>46 21 56</t>
  </si>
  <si>
    <t>Wedge Wire Screens</t>
  </si>
  <si>
    <t>46 21 57</t>
  </si>
  <si>
    <t>Element Screens</t>
  </si>
  <si>
    <t>46 21 71</t>
  </si>
  <si>
    <t>Trash Raking Equipment</t>
  </si>
  <si>
    <t>46 21 73</t>
  </si>
  <si>
    <t>Screenings Washing and Compacting Equipment</t>
  </si>
  <si>
    <t>46 21 76</t>
  </si>
  <si>
    <t>Vacuum Screenings Conveying Equipment</t>
  </si>
  <si>
    <t>46 21 79</t>
  </si>
  <si>
    <t>Screenings Storage Containers</t>
  </si>
  <si>
    <t>46 21 83</t>
  </si>
  <si>
    <t>Septage Receiving Equipment</t>
  </si>
  <si>
    <t>46 23 00</t>
  </si>
  <si>
    <t>Grit Removal and Handling Equipment</t>
  </si>
  <si>
    <t>46 23 13</t>
  </si>
  <si>
    <t>Chain-and-Bucket Grit Removal Equipment</t>
  </si>
  <si>
    <t>46 23 16</t>
  </si>
  <si>
    <t>Chain-and-Flight Grit Removal Equipment</t>
  </si>
  <si>
    <t>46 23 23</t>
  </si>
  <si>
    <t>Vortex Grit Removal Equipment</t>
  </si>
  <si>
    <t>46 23 27</t>
  </si>
  <si>
    <t>Cyclone Degritters</t>
  </si>
  <si>
    <t>46 23 33</t>
  </si>
  <si>
    <t>Aerated Grit Removal Equipment</t>
  </si>
  <si>
    <t>46 23 43</t>
  </si>
  <si>
    <t>Inline Baffled Grit Removal Equipment</t>
  </si>
  <si>
    <t>46 23 53</t>
  </si>
  <si>
    <t>Traveling Bridge Grit Removal Equipment</t>
  </si>
  <si>
    <t>46 23 63</t>
  </si>
  <si>
    <t>Grit Classifying and Washing Equipment</t>
  </si>
  <si>
    <t>46 23 66</t>
  </si>
  <si>
    <t>Grit Storage Containers</t>
  </si>
  <si>
    <t>46 24 00</t>
  </si>
  <si>
    <t>Grinding and Shredding Equipment</t>
  </si>
  <si>
    <t>46 24 13</t>
  </si>
  <si>
    <t>Macerators</t>
  </si>
  <si>
    <t>46 24 16</t>
  </si>
  <si>
    <t>Comminutors</t>
  </si>
  <si>
    <t>46 24 23</t>
  </si>
  <si>
    <t>Inline Grinders</t>
  </si>
  <si>
    <t>46 24 33</t>
  </si>
  <si>
    <t>Open-channel Grinders</t>
  </si>
  <si>
    <t>46 24 36</t>
  </si>
  <si>
    <t>Modular Grinding-Screening-Compacting Equipment</t>
  </si>
  <si>
    <t>46 25 00</t>
  </si>
  <si>
    <t>Oil and Grease Separation and Removal Equipment</t>
  </si>
  <si>
    <t>46 25 13</t>
  </si>
  <si>
    <t>Coalescing Oil-Water Separators</t>
  </si>
  <si>
    <t>46 25 16</t>
  </si>
  <si>
    <t>API Oil-Water Separators</t>
  </si>
  <si>
    <t>46 25 23</t>
  </si>
  <si>
    <t>Grease Traps</t>
  </si>
  <si>
    <t>46 25 33</t>
  </si>
  <si>
    <t>Dissolved Air Flotation Grease and Oil Separation Equipment</t>
  </si>
  <si>
    <t>46 25 41</t>
  </si>
  <si>
    <t>Helical Scum Skimming and Removal Equipment</t>
  </si>
  <si>
    <t>46 25 43</t>
  </si>
  <si>
    <t>Tipping Trough Scum Skimming and Removal Equipment</t>
  </si>
  <si>
    <t>46 25 46</t>
  </si>
  <si>
    <t>Chain and Flight Scum Collection and Removal Equipment</t>
  </si>
  <si>
    <t>46 25 47</t>
  </si>
  <si>
    <t>Floating Scum Skimming and Removal Equipment</t>
  </si>
  <si>
    <t>46 30 00</t>
  </si>
  <si>
    <t>Water and Wastewater Chemical Feed Equipment</t>
  </si>
  <si>
    <t>46 31 00</t>
  </si>
  <si>
    <t>Gas Chemical Feed Equipment</t>
  </si>
  <si>
    <t>46 31 11</t>
  </si>
  <si>
    <t>Chlorine Gas Feed Equipment</t>
  </si>
  <si>
    <t>46 31 13</t>
  </si>
  <si>
    <t>Sulfur Dioxide Gas Feed Equipment</t>
  </si>
  <si>
    <t>46 31 16</t>
  </si>
  <si>
    <t>Ammonia Gas Feed Equipment</t>
  </si>
  <si>
    <t>46 31 23</t>
  </si>
  <si>
    <t>Gas Storage, Weighing, and Leak Detection Equipment</t>
  </si>
  <si>
    <t>46 31 26</t>
  </si>
  <si>
    <t>Emergency Gas Treatment Systems</t>
  </si>
  <si>
    <t>46 31 33</t>
  </si>
  <si>
    <t>Chlorine Dioxide Reactors</t>
  </si>
  <si>
    <t>46 31 43</t>
  </si>
  <si>
    <t>Carbon Dioxide Gas Feed Equipment</t>
  </si>
  <si>
    <t>46 31 53</t>
  </si>
  <si>
    <t>Ozone Generating and Feed Equipment</t>
  </si>
  <si>
    <t>46 31 56</t>
  </si>
  <si>
    <t>Liquid Oxygen Storage and Feed Equipment</t>
  </si>
  <si>
    <t>46 31 59</t>
  </si>
  <si>
    <t>Cleaning Requirements for Oxygen Service</t>
  </si>
  <si>
    <t>46 31 83</t>
  </si>
  <si>
    <t>Gas Chemical Feed Accessories and Safety Equipment</t>
  </si>
  <si>
    <t>46 33 00</t>
  </si>
  <si>
    <t>Liquid Chemical Feed Equipment</t>
  </si>
  <si>
    <t>46 33 13</t>
  </si>
  <si>
    <t>Sodium Hypochlorite Generating Equipment</t>
  </si>
  <si>
    <t>46 33 23</t>
  </si>
  <si>
    <t>Liquid Chemical Weighing Equipment</t>
  </si>
  <si>
    <t>46 33 33</t>
  </si>
  <si>
    <t>Polymer Blending and Feed Equipment</t>
  </si>
  <si>
    <t>46 33 41</t>
  </si>
  <si>
    <t>Liquid Chemical Feed System Coordination and Integration</t>
  </si>
  <si>
    <t>46 33 42</t>
  </si>
  <si>
    <t>Diaphragm-type Metering Pumps</t>
  </si>
  <si>
    <t>46 33 44</t>
  </si>
  <si>
    <t>Peristaltic Metering Pumps</t>
  </si>
  <si>
    <t>46 33 46</t>
  </si>
  <si>
    <t>Progressing Cavity Metering Pumps</t>
  </si>
  <si>
    <t>46 33 48</t>
  </si>
  <si>
    <t>Lobe Metering Pumps</t>
  </si>
  <si>
    <t>46 33 53</t>
  </si>
  <si>
    <t>Drum Pumps</t>
  </si>
  <si>
    <t>46 33 66</t>
  </si>
  <si>
    <t>Liquid Chemical Transfer Pumps</t>
  </si>
  <si>
    <t>46 33 73</t>
  </si>
  <si>
    <t>Liquid Chemical Diffusers</t>
  </si>
  <si>
    <t>46 33 83</t>
  </si>
  <si>
    <t>Liquid Chemical Feed Accessories and Safety Equipment</t>
  </si>
  <si>
    <t>46 36 00</t>
  </si>
  <si>
    <t>Dry Chemical Feed Equipment</t>
  </si>
  <si>
    <t>46 36 11</t>
  </si>
  <si>
    <t>Dry Chemical Feed System Coordination and Integration</t>
  </si>
  <si>
    <t>46 36 13</t>
  </si>
  <si>
    <t>Storage Silos</t>
  </si>
  <si>
    <t>46 36 23</t>
  </si>
  <si>
    <t>Dry Chemical Weighing Equipment</t>
  </si>
  <si>
    <t>46 36 33</t>
  </si>
  <si>
    <t>Volumetric Feed Equipment</t>
  </si>
  <si>
    <t>46 36 36</t>
  </si>
  <si>
    <t>Gravimetric Feed Equipment</t>
  </si>
  <si>
    <t>46 36 43</t>
  </si>
  <si>
    <t>Lime Slaking Equipment</t>
  </si>
  <si>
    <t>46 36 53</t>
  </si>
  <si>
    <t>Chemical Tablet Feeding Equipment</t>
  </si>
  <si>
    <t>46 36 83</t>
  </si>
  <si>
    <t>Dry Chemical Feed Accessories and Safety Equipment</t>
  </si>
  <si>
    <t>46 40 00</t>
  </si>
  <si>
    <t>Water and Wastewater Clarification and Mixing Equipment</t>
  </si>
  <si>
    <t>46 41 00</t>
  </si>
  <si>
    <t>Mixing Equipment</t>
  </si>
  <si>
    <t>46 41 11</t>
  </si>
  <si>
    <t>Rapid Mixers</t>
  </si>
  <si>
    <t>46 41 13</t>
  </si>
  <si>
    <t>Inline Blender-type Rapid Mixers</t>
  </si>
  <si>
    <t>46 41 16</t>
  </si>
  <si>
    <t>Induction-type Rapid Mixing Equipment</t>
  </si>
  <si>
    <t>46 41 17</t>
  </si>
  <si>
    <t>Inline Static Mixers</t>
  </si>
  <si>
    <t>46 41 21</t>
  </si>
  <si>
    <t>Jet Mixing Equipment</t>
  </si>
  <si>
    <t>46 41 23</t>
  </si>
  <si>
    <t>Submersible Mixers</t>
  </si>
  <si>
    <t>46 41 26</t>
  </si>
  <si>
    <t>Floating Mechanical Mixers</t>
  </si>
  <si>
    <t>46 41 27</t>
  </si>
  <si>
    <t>Paddle Mixers</t>
  </si>
  <si>
    <t>46 41 29</t>
  </si>
  <si>
    <t>Pin Mixers</t>
  </si>
  <si>
    <t>46 41 31</t>
  </si>
  <si>
    <t>Vertical Reel Flocculation Equipment</t>
  </si>
  <si>
    <t>46 41 33</t>
  </si>
  <si>
    <t>Horizontal Reel Flocculation Equipment</t>
  </si>
  <si>
    <t>46 41 34</t>
  </si>
  <si>
    <t>Vertical Turbine Flocculation Equipment</t>
  </si>
  <si>
    <t>46 41 36</t>
  </si>
  <si>
    <t>Walking-beam Flocculation Equipment</t>
  </si>
  <si>
    <t>46 41 38</t>
  </si>
  <si>
    <t>Horizontal Oscillating Flocculation Equipment</t>
  </si>
  <si>
    <t>46 41 41</t>
  </si>
  <si>
    <t>Top-entering Tank Mixers</t>
  </si>
  <si>
    <t>46 41 43</t>
  </si>
  <si>
    <t>Side-entry Tank Mixers</t>
  </si>
  <si>
    <t>46 41 46</t>
  </si>
  <si>
    <t>Portable Tank Mixers</t>
  </si>
  <si>
    <t>46 43 00</t>
  </si>
  <si>
    <t>Clarifier Equipment</t>
  </si>
  <si>
    <t>46 43 11</t>
  </si>
  <si>
    <t>Chain-and-Flight Clarifier Equipment</t>
  </si>
  <si>
    <t>46 43 14</t>
  </si>
  <si>
    <t>Traveling Bridge Clarifier Equipment</t>
  </si>
  <si>
    <t>46 43 16</t>
  </si>
  <si>
    <t>Differential Head Clarifier Equipment</t>
  </si>
  <si>
    <t>46 43 18</t>
  </si>
  <si>
    <t>Oscillating Scraper-type Clarifier Equipment</t>
  </si>
  <si>
    <t>46 43 21</t>
  </si>
  <si>
    <t>Circular Clarifier Equipment</t>
  </si>
  <si>
    <t>46 43 53</t>
  </si>
  <si>
    <t>Solids Contact Clarifier Equipment</t>
  </si>
  <si>
    <t>46 43 61</t>
  </si>
  <si>
    <t>Flocculating Clarifier, Pulsating Sludge Blanket Type</t>
  </si>
  <si>
    <t>46 43 63</t>
  </si>
  <si>
    <t>Dissolved Air Flotation Equipment for Water Treatment</t>
  </si>
  <si>
    <t>46 43 66</t>
  </si>
  <si>
    <t>Ballasted High-rate Clarifier Equipment</t>
  </si>
  <si>
    <t>46 43 67</t>
  </si>
  <si>
    <t>High rate Clarification/Thickening Equipment</t>
  </si>
  <si>
    <t>46 43 73</t>
  </si>
  <si>
    <t>Tube Settlers</t>
  </si>
  <si>
    <t>46 43 76</t>
  </si>
  <si>
    <t>Inclined Plate Settlers</t>
  </si>
  <si>
    <t>46 46 00</t>
  </si>
  <si>
    <t>Sediment Removal Equipment</t>
  </si>
  <si>
    <t>46 46 13</t>
  </si>
  <si>
    <t>Tipping Sediment Flushing Tanks</t>
  </si>
  <si>
    <t>46 46 16</t>
  </si>
  <si>
    <t>Flushing Gates</t>
  </si>
  <si>
    <t>46 46 23</t>
  </si>
  <si>
    <t>Water Cannon</t>
  </si>
  <si>
    <t>46 46 26</t>
  </si>
  <si>
    <t>Nozzle Systems</t>
  </si>
  <si>
    <t>46 50 00</t>
  </si>
  <si>
    <t>Water and Wastewater Secondary Treatment Equipment</t>
  </si>
  <si>
    <t>46 51 00</t>
  </si>
  <si>
    <t>Air and Gas Diffusion Equipment</t>
  </si>
  <si>
    <t>46 51 11</t>
  </si>
  <si>
    <t>Fixed Mechanical Aerators</t>
  </si>
  <si>
    <t>46 51 13</t>
  </si>
  <si>
    <t>Floating Mechanical Aerators</t>
  </si>
  <si>
    <t>46 51 16</t>
  </si>
  <si>
    <t>Submersible Aspirating Aerator Equipment</t>
  </si>
  <si>
    <t>46 51 17</t>
  </si>
  <si>
    <t>Jet Aeration Equipment</t>
  </si>
  <si>
    <t>46 51 21</t>
  </si>
  <si>
    <t>Coarse Bubble Diffusers</t>
  </si>
  <si>
    <t>46 51 23</t>
  </si>
  <si>
    <t>Swing-type Channel Aeration Equipment</t>
  </si>
  <si>
    <t>46 51 26</t>
  </si>
  <si>
    <t>Shear Box Diffusers</t>
  </si>
  <si>
    <t>46 51 31</t>
  </si>
  <si>
    <t>Flexible Membrane Tube Diffusers</t>
  </si>
  <si>
    <t>46 51 33</t>
  </si>
  <si>
    <t>Flexible Membrane Disc Diffusers</t>
  </si>
  <si>
    <t>46 51 36</t>
  </si>
  <si>
    <t>Ceramic Disc Fine Bubble Diffusers</t>
  </si>
  <si>
    <t>46 51 43</t>
  </si>
  <si>
    <t>Floating Membrane Diffusers</t>
  </si>
  <si>
    <t>46 51 46</t>
  </si>
  <si>
    <t>Membrane Diffusers</t>
  </si>
  <si>
    <t>46 51 53</t>
  </si>
  <si>
    <t>Cascading Aerators</t>
  </si>
  <si>
    <t>46 51 63</t>
  </si>
  <si>
    <t>Pure-oxygen Generating Equipment</t>
  </si>
  <si>
    <t>46 53 00</t>
  </si>
  <si>
    <t>Biological Treatment Systems</t>
  </si>
  <si>
    <t>46 53 13</t>
  </si>
  <si>
    <t>Rotating Biological Contactors</t>
  </si>
  <si>
    <t>46 53 23</t>
  </si>
  <si>
    <t>Trickling Filter Rotary Distributor Equipment</t>
  </si>
  <si>
    <t>46 53 24</t>
  </si>
  <si>
    <t>Trickling Filter Media</t>
  </si>
  <si>
    <t>46 53 26</t>
  </si>
  <si>
    <t>Bio-towers</t>
  </si>
  <si>
    <t>46 53 33</t>
  </si>
  <si>
    <t>Moving-bed Biological Reactors</t>
  </si>
  <si>
    <t>46 53 36</t>
  </si>
  <si>
    <t>Integrated Fixed-film Activated Sludge Equipment</t>
  </si>
  <si>
    <t>46 53 41</t>
  </si>
  <si>
    <t>Intermittent Sand Filters for Wastewater Treatment</t>
  </si>
  <si>
    <t>46 53 43</t>
  </si>
  <si>
    <t>Deep-bed Denitrification Filters</t>
  </si>
  <si>
    <t>46 53 46</t>
  </si>
  <si>
    <t>Biologically Activated Filters</t>
  </si>
  <si>
    <t>46 53 49</t>
  </si>
  <si>
    <t>Membrane Biological Reactors</t>
  </si>
  <si>
    <t>46 53 53</t>
  </si>
  <si>
    <t>Sequencing Batch Reactors</t>
  </si>
  <si>
    <t>46 53 61</t>
  </si>
  <si>
    <t>Oxidation Ditch Equipment</t>
  </si>
  <si>
    <t>46 53 63</t>
  </si>
  <si>
    <t>Vertical Loop Reactors</t>
  </si>
  <si>
    <t>46 60 00</t>
  </si>
  <si>
    <t>Water and Wastewater Advanced Treatment Equipment</t>
  </si>
  <si>
    <t>46 61 00</t>
  </si>
  <si>
    <t>Filtration Equipment</t>
  </si>
  <si>
    <t>46 61 13</t>
  </si>
  <si>
    <t>Filter Media</t>
  </si>
  <si>
    <t>46 61 16</t>
  </si>
  <si>
    <t>Filter Surface Wash Agitators</t>
  </si>
  <si>
    <t>46 61 17</t>
  </si>
  <si>
    <t>Filter Air Scour Equipment</t>
  </si>
  <si>
    <t>46 61 19</t>
  </si>
  <si>
    <t>Wash Water Troughs</t>
  </si>
  <si>
    <t>46 61 21</t>
  </si>
  <si>
    <t>Pressure Filters</t>
  </si>
  <si>
    <t>46 61 23</t>
  </si>
  <si>
    <t>Gravity Filters</t>
  </si>
  <si>
    <t>46 61 26</t>
  </si>
  <si>
    <t>High-rate Sand Filters</t>
  </si>
  <si>
    <t>46 61 29</t>
  </si>
  <si>
    <t>Traveling Bridge Filters</t>
  </si>
  <si>
    <t>46 61 33</t>
  </si>
  <si>
    <t>Microfiltration and Ultrafiltration Membrane Equipment</t>
  </si>
  <si>
    <t>46 61 41</t>
  </si>
  <si>
    <t>Disc Cloth Filters</t>
  </si>
  <si>
    <t>46 61 43</t>
  </si>
  <si>
    <t>Rotary Drum Cloth Filters</t>
  </si>
  <si>
    <t>46 61 46</t>
  </si>
  <si>
    <t>Automatic Backwash Cloth Filter Equipment</t>
  </si>
  <si>
    <t>46 61 53</t>
  </si>
  <si>
    <t>Cartridge Filters</t>
  </si>
  <si>
    <t>46 61 63</t>
  </si>
  <si>
    <t>Bag Filters</t>
  </si>
  <si>
    <t>46 61 73</t>
  </si>
  <si>
    <t>Automatic Straining Equipment</t>
  </si>
  <si>
    <t>46 63 00</t>
  </si>
  <si>
    <t>Demineralization Equipment</t>
  </si>
  <si>
    <t>46 63 11</t>
  </si>
  <si>
    <t>Ion-exchange Vessel Media</t>
  </si>
  <si>
    <t>46 63 13</t>
  </si>
  <si>
    <t>Mixed Bed Ion-exchange Vessel Systems</t>
  </si>
  <si>
    <t>46 63 16</t>
  </si>
  <si>
    <t>Packed Bed Ion-exchange Vessel Systems</t>
  </si>
  <si>
    <t>46 63 17</t>
  </si>
  <si>
    <t>Electrodialysis Reversal Equipment</t>
  </si>
  <si>
    <t>46 63 23</t>
  </si>
  <si>
    <t>Reverse Osmosis and Nanofiltration Membrane Equipment</t>
  </si>
  <si>
    <t>46 63 31</t>
  </si>
  <si>
    <t>Multiple-effect Distillation Equipment</t>
  </si>
  <si>
    <t>46 63 33</t>
  </si>
  <si>
    <t>Desalination Mechanical Vapor Compression Equipment</t>
  </si>
  <si>
    <t>46 63 34</t>
  </si>
  <si>
    <t>Desalination Thermal Vapor Compression Equipment</t>
  </si>
  <si>
    <t>46 63 36</t>
  </si>
  <si>
    <t>Desalination Multi-stage Flash Equipment</t>
  </si>
  <si>
    <t>46 63 41</t>
  </si>
  <si>
    <t>Desalination Falling Film Evaporators</t>
  </si>
  <si>
    <t>46 63 43</t>
  </si>
  <si>
    <t>Desalination Rising Film Evaporators</t>
  </si>
  <si>
    <t>46 63 53</t>
  </si>
  <si>
    <t>Desalination Forced-circulation Crystallizing Equipment</t>
  </si>
  <si>
    <t>46 63 63</t>
  </si>
  <si>
    <t>Desalination Spray Dry Evaporation Equipment</t>
  </si>
  <si>
    <t>46 63 73</t>
  </si>
  <si>
    <t>Demineralization Energy Recovery Equipment</t>
  </si>
  <si>
    <t>46 66 00</t>
  </si>
  <si>
    <t>Ultraviolet Equipment</t>
  </si>
  <si>
    <t>46 66 13</t>
  </si>
  <si>
    <t>Closed-vessel Low-pressure/Low-intensity Ultraviolet Treatment Equipment</t>
  </si>
  <si>
    <t>46 66 16</t>
  </si>
  <si>
    <t>Closed-vessel Low-pressure/High-intensity Ultraviolet Treatment Equipment</t>
  </si>
  <si>
    <t>46 66 23</t>
  </si>
  <si>
    <t>Closed-vessel Medium-pressure Ultraviolet Treatment Equipment</t>
  </si>
  <si>
    <t>46 66 53</t>
  </si>
  <si>
    <t>Open-channel Low-pressure/Low-intensity Ultraviolet Treatment Equipment</t>
  </si>
  <si>
    <t>46 66 56</t>
  </si>
  <si>
    <t>Open-channel Low-pressure/High-intensity Ultraviolet Treatment Equipment</t>
  </si>
  <si>
    <t>46 66 63</t>
  </si>
  <si>
    <t>Open-channel Medium-pressure Ultraviolet Treatment Equipment</t>
  </si>
  <si>
    <t>46 70 00</t>
  </si>
  <si>
    <t>Water and Wastewater Residuals Handling and Treatment</t>
  </si>
  <si>
    <t>46 71 00</t>
  </si>
  <si>
    <t>Residuals Thickening Equipment</t>
  </si>
  <si>
    <t>46 71 13</t>
  </si>
  <si>
    <t>Circular Gravity Thickeners</t>
  </si>
  <si>
    <t>46 71 16</t>
  </si>
  <si>
    <t>Gravity Belt Thickeners</t>
  </si>
  <si>
    <t>46 71 23</t>
  </si>
  <si>
    <t>Dissolved Air Flotation Thickening Equipment</t>
  </si>
  <si>
    <t>46 71 33</t>
  </si>
  <si>
    <t>Rotary Drum Thickening Equipment</t>
  </si>
  <si>
    <t>46 71 36</t>
  </si>
  <si>
    <t>Centrifuge Thickening Equipment</t>
  </si>
  <si>
    <t>46 71 43</t>
  </si>
  <si>
    <t>Disc Thickeners</t>
  </si>
  <si>
    <t>46 71 46</t>
  </si>
  <si>
    <t>Thickening Screw Press</t>
  </si>
  <si>
    <t>46 71 53</t>
  </si>
  <si>
    <t>Scum Concentrator Equipment</t>
  </si>
  <si>
    <t>46 73 00</t>
  </si>
  <si>
    <t>Residuals Stabilization</t>
  </si>
  <si>
    <t>46 73 11</t>
  </si>
  <si>
    <t>Radial Beam Fixed Digester Covers</t>
  </si>
  <si>
    <t>46 73 12</t>
  </si>
  <si>
    <t>Dual Deck Truss-type Fixed Digester Covers</t>
  </si>
  <si>
    <t>46 73 14</t>
  </si>
  <si>
    <t>Radial Beam Floating Digester Covers</t>
  </si>
  <si>
    <t>46 73 16</t>
  </si>
  <si>
    <t>Dual Deck Truss-type Floating Digester Covers</t>
  </si>
  <si>
    <t>46 73 17</t>
  </si>
  <si>
    <t>Radial Beam Floating Gas-holding Digester Covers</t>
  </si>
  <si>
    <t>46 73 18</t>
  </si>
  <si>
    <t>Dual Deck Truss-type Floating Gas-holding Digester Covers</t>
  </si>
  <si>
    <t>46 73 19</t>
  </si>
  <si>
    <t>Digester Appurtenances</t>
  </si>
  <si>
    <t>46 73 21</t>
  </si>
  <si>
    <t>Aerobic Digester Aeration Equipment</t>
  </si>
  <si>
    <t>46 73 24</t>
  </si>
  <si>
    <t>Autothermal Thermophilic Aerobic Digestion Equipment</t>
  </si>
  <si>
    <t>46 73 26</t>
  </si>
  <si>
    <t>Egg-shaped Digesters</t>
  </si>
  <si>
    <t>46 73 31</t>
  </si>
  <si>
    <t>External Draft Tube Digester Mixing System</t>
  </si>
  <si>
    <t>46 73 32</t>
  </si>
  <si>
    <t>Internal Draft Tube Digester Mixing System</t>
  </si>
  <si>
    <t>46 73 33</t>
  </si>
  <si>
    <t>Confined Gas Mixing System</t>
  </si>
  <si>
    <t>46 73 34</t>
  </si>
  <si>
    <t>Unconfined Gas Mixing System</t>
  </si>
  <si>
    <t>46 73 41</t>
  </si>
  <si>
    <t>Digester Heating Equipment</t>
  </si>
  <si>
    <t>46 73 63</t>
  </si>
  <si>
    <t>Residuals Pasteurization Equipment</t>
  </si>
  <si>
    <t>46 76 00</t>
  </si>
  <si>
    <t>Residuals Dewatering Equipment</t>
  </si>
  <si>
    <t>46 76 13</t>
  </si>
  <si>
    <t>Vacuum Filters</t>
  </si>
  <si>
    <t>46 76 21</t>
  </si>
  <si>
    <t>Belt Filter Presses</t>
  </si>
  <si>
    <t>46 76 23</t>
  </si>
  <si>
    <t>Plate-and-Frame Filter Presses</t>
  </si>
  <si>
    <t>46 76 26</t>
  </si>
  <si>
    <t>Rotary Presses</t>
  </si>
  <si>
    <t>46 76 27</t>
  </si>
  <si>
    <t>Screw Presses</t>
  </si>
  <si>
    <t>46 76 33</t>
  </si>
  <si>
    <t>Dewatering Centrifuges</t>
  </si>
  <si>
    <t>46 76 53</t>
  </si>
  <si>
    <t>Belt Dryers</t>
  </si>
  <si>
    <t>46 76 60</t>
  </si>
  <si>
    <t>Direct-heat Residuals Drying Equipment</t>
  </si>
  <si>
    <t>46 76 70</t>
  </si>
  <si>
    <t>Indirect-heat Residuals Drying Equipment</t>
  </si>
  <si>
    <t>46 78 00</t>
  </si>
  <si>
    <t>Thermal Treatment of Residuals</t>
  </si>
  <si>
    <t>46 78 13</t>
  </si>
  <si>
    <t>Multiple-hearth Sludge Incinerators</t>
  </si>
  <si>
    <t>46 78 23</t>
  </si>
  <si>
    <t>Fluidized-bed Sludge Incinerators</t>
  </si>
  <si>
    <t>46 78 33</t>
  </si>
  <si>
    <t>46 78 41</t>
  </si>
  <si>
    <t>Recuperative Air Preheating Equipment</t>
  </si>
  <si>
    <t>46 78 46</t>
  </si>
  <si>
    <t>Regenerative Thermal Oxidizers</t>
  </si>
  <si>
    <t>46 78 47</t>
  </si>
  <si>
    <t>Waste Heat Recovery Boilers</t>
  </si>
  <si>
    <t>46 78 49</t>
  </si>
  <si>
    <t>Waste Heat Recovery Heat Exchangers</t>
  </si>
  <si>
    <t>46 78 73</t>
  </si>
  <si>
    <t>48 00 00</t>
  </si>
  <si>
    <t>Electrical Power Generation</t>
  </si>
  <si>
    <t>48 01 00</t>
  </si>
  <si>
    <t>Operation and Maintenance for Electrical Power Generation</t>
  </si>
  <si>
    <t>48 01 10</t>
  </si>
  <si>
    <t>Operation and Maintenance of Electrical Power Generation Equipment</t>
  </si>
  <si>
    <t>48 01 70</t>
  </si>
  <si>
    <t>Operation and Maintenance of Electrical Power Generation Testing</t>
  </si>
  <si>
    <t>48 05 00</t>
  </si>
  <si>
    <t>Common Work Results for Electrical Power Generation</t>
  </si>
  <si>
    <t>48 06 00</t>
  </si>
  <si>
    <t>Schedules for Electrical Power Generation</t>
  </si>
  <si>
    <t>48 06 10</t>
  </si>
  <si>
    <t>Schedules for Electrical Power Generation Equipment</t>
  </si>
  <si>
    <t>48 06 70</t>
  </si>
  <si>
    <t>Schedules for Electrical Power Generation Testing</t>
  </si>
  <si>
    <t>48 08 00</t>
  </si>
  <si>
    <t>Commissioning of Electrical Power Generation</t>
  </si>
  <si>
    <t>48 09 00</t>
  </si>
  <si>
    <t>Instrumentation and Control for Electrical Power Generation</t>
  </si>
  <si>
    <t>48 10 00</t>
  </si>
  <si>
    <t>Electrical Power Generation Equipment</t>
  </si>
  <si>
    <t>48 11 00</t>
  </si>
  <si>
    <t>Fossil Fuel Plant Electrical Power Generation Equipment</t>
  </si>
  <si>
    <t>48 11 13</t>
  </si>
  <si>
    <t>Fossil Fuel Electrical Power Plant Boilers</t>
  </si>
  <si>
    <t>48 11 16</t>
  </si>
  <si>
    <t>Fossil Fuel Electrical Power Plant Condensers</t>
  </si>
  <si>
    <t>48 11 19</t>
  </si>
  <si>
    <t>Fossil Fuel Electrical Power Plant Steam Turbines</t>
  </si>
  <si>
    <t>48 11 23</t>
  </si>
  <si>
    <t>Fossil Fuel Electrical Power Plant Gas Turbines</t>
  </si>
  <si>
    <t>48 11 26</t>
  </si>
  <si>
    <t>Fossil Fuel Electrical Power Plant Generators</t>
  </si>
  <si>
    <t>48 12 00</t>
  </si>
  <si>
    <t>Nuclear Fuel Plant Electrical Power Generation Equipment</t>
  </si>
  <si>
    <t>48 12 13</t>
  </si>
  <si>
    <t>Nuclear Fuel Reactors</t>
  </si>
  <si>
    <t>48 12 23</t>
  </si>
  <si>
    <t>Nuclear Fuel Electrical Power Plant Steam Generators</t>
  </si>
  <si>
    <t>48 12 26</t>
  </si>
  <si>
    <t>Nuclear Fuel Electrical Power Plant Condensers</t>
  </si>
  <si>
    <t>48 12 29</t>
  </si>
  <si>
    <t>Nuclear Fuel Electrical Power Plant Turbines</t>
  </si>
  <si>
    <t>48 12 33</t>
  </si>
  <si>
    <t>Nuclear Fuel Electrical Power Generators</t>
  </si>
  <si>
    <t>48 13 00</t>
  </si>
  <si>
    <t>Hydroelectric Plant Electrical Power Generation Equipment</t>
  </si>
  <si>
    <t>48 13 13</t>
  </si>
  <si>
    <t>Hydroelectric Power Plant Water Turbines</t>
  </si>
  <si>
    <t>48 13 16</t>
  </si>
  <si>
    <t>Hydroelectric Power Plant Electrical Power Generators</t>
  </si>
  <si>
    <t>48 14 00</t>
  </si>
  <si>
    <t>Solar Energy Electrical Power Generation Equipment</t>
  </si>
  <si>
    <t>48 14 13</t>
  </si>
  <si>
    <t>Solar Energy Collectors</t>
  </si>
  <si>
    <t>48 15 00</t>
  </si>
  <si>
    <t>Wind Energy Electrical Power Generation Equipment</t>
  </si>
  <si>
    <t>48 15 13</t>
  </si>
  <si>
    <t>Windmills</t>
  </si>
  <si>
    <t>48 15 16</t>
  </si>
  <si>
    <t>Wind Energy Electrical Power Generators</t>
  </si>
  <si>
    <t>48 16 00</t>
  </si>
  <si>
    <t>Geothermal Energy Electrical Power Generation Equipment</t>
  </si>
  <si>
    <t>48 16 13</t>
  </si>
  <si>
    <t>Geothermal Energy Heat Pumps</t>
  </si>
  <si>
    <t>48 16 16</t>
  </si>
  <si>
    <t>Geothermal Energy Condensers</t>
  </si>
  <si>
    <t>48 16 19</t>
  </si>
  <si>
    <t>Geothermal Energy Steam Turbines</t>
  </si>
  <si>
    <t>48 16 23</t>
  </si>
  <si>
    <t>Geothermal Energy Electrical Power Generators</t>
  </si>
  <si>
    <t>48 17 00</t>
  </si>
  <si>
    <t>Electrochemical Energy Electrical Power Generation Equipment</t>
  </si>
  <si>
    <t>48 17 13</t>
  </si>
  <si>
    <t>Electrical Power Generation Batteries</t>
  </si>
  <si>
    <t>48 18 00</t>
  </si>
  <si>
    <t>Fuel Cell Electrical Power Generation Equipment</t>
  </si>
  <si>
    <t>48 18 13</t>
  </si>
  <si>
    <t>Electrical Power Generation Fuel Cells</t>
  </si>
  <si>
    <t>48 18 16</t>
  </si>
  <si>
    <t>Hydrogen Control Equipment</t>
  </si>
  <si>
    <t>48 19 00</t>
  </si>
  <si>
    <t>Electrical Power Control Equipment</t>
  </si>
  <si>
    <t>48 19 13</t>
  </si>
  <si>
    <t>Electrical Power Generation Battery Charging Equipment</t>
  </si>
  <si>
    <t>48 19 16</t>
  </si>
  <si>
    <t>Electrical Power Generation Inverters</t>
  </si>
  <si>
    <t>48 19 19</t>
  </si>
  <si>
    <t>Electrical Power Generation Solar Tracking Equipment</t>
  </si>
  <si>
    <t>48 19 23</t>
  </si>
  <si>
    <t>Electrical Power Generation Transformers</t>
  </si>
  <si>
    <t>48 19 26</t>
  </si>
  <si>
    <t>Electrical Power Generation Voltage Regulators</t>
  </si>
  <si>
    <t>48 70 00</t>
  </si>
  <si>
    <t>Electrical Power Generation Testing</t>
  </si>
  <si>
    <t>48 71 00</t>
  </si>
  <si>
    <t>Electrical Power Generation Test Equipment</t>
  </si>
  <si>
    <t>48 71 13</t>
  </si>
  <si>
    <t>Electrical Power Generation Corona Test Equipment</t>
  </si>
  <si>
    <t>48 71 16</t>
  </si>
  <si>
    <t>Electrical Power Generation Current Test Equipment</t>
  </si>
  <si>
    <t>48 71 19</t>
  </si>
  <si>
    <t>Electrical Power Generation Power Test Equipment</t>
  </si>
  <si>
    <t>48 71 23</t>
  </si>
  <si>
    <t>Electrical Power Generation Resistance Test Equipment</t>
  </si>
  <si>
    <t>48 71 26</t>
  </si>
  <si>
    <t>Electrical Power Generation Voltage Test Equipment</t>
  </si>
  <si>
    <t>48 12 13.13</t>
  </si>
  <si>
    <t>Nuclear Fuel Fission Reactors</t>
  </si>
  <si>
    <t>48 12 13.16</t>
  </si>
  <si>
    <t>Nuclear Fuel Fusion Reactors</t>
  </si>
  <si>
    <t>48 14 13.13</t>
  </si>
  <si>
    <t>Amorphous Solar Energy Collectors</t>
  </si>
  <si>
    <t>48 14 13.16</t>
  </si>
  <si>
    <t>Plate Cell Solar Energy Collectors</t>
  </si>
  <si>
    <t>48 14 13.19</t>
  </si>
  <si>
    <t>Vacuum Tube Solar Energy Collectors</t>
  </si>
  <si>
    <t>01 31 19 13</t>
  </si>
  <si>
    <t>01 31 19 16</t>
  </si>
  <si>
    <t>01 31 19 23</t>
  </si>
  <si>
    <t>01 31 19 33</t>
  </si>
  <si>
    <t>01 32 16 13</t>
  </si>
  <si>
    <t>01 45 16 13</t>
  </si>
  <si>
    <t>02 26 33 13</t>
  </si>
  <si>
    <t>02 32 23 13</t>
  </si>
  <si>
    <t>02 43 13 13</t>
  </si>
  <si>
    <t>02 83 19 13</t>
  </si>
  <si>
    <t>04 06 20 13</t>
  </si>
  <si>
    <t>08 13 13 13</t>
  </si>
  <si>
    <t>08 13 13 53</t>
  </si>
  <si>
    <t>11 12 26 13</t>
  </si>
  <si>
    <t>23 83 13 16</t>
  </si>
  <si>
    <t>Preconstruction Meetings</t>
  </si>
  <si>
    <t>Site Mobilization Meetings</t>
  </si>
  <si>
    <t>Progress Meetings</t>
  </si>
  <si>
    <t>Preinstallation Meetings</t>
  </si>
  <si>
    <t>Network Analysis Schedules</t>
  </si>
  <si>
    <t>Contractor Quality Control</t>
  </si>
  <si>
    <t>Mold Assessment</t>
  </si>
  <si>
    <t>Groundwater Monitoring Before Construction</t>
  </si>
  <si>
    <t>Building Relocation</t>
  </si>
  <si>
    <t>Lead-Based Paint Abatement</t>
  </si>
  <si>
    <t>Masonry Unit Schedule</t>
  </si>
  <si>
    <t>Standard Hollow Metal Doors</t>
  </si>
  <si>
    <t>Custom Hollow Metal Doors</t>
  </si>
  <si>
    <t>Parking Fee Coin Collection Equipment</t>
  </si>
  <si>
    <t>Radiant-Heating Electric Mats</t>
  </si>
  <si>
    <t>Option 4</t>
  </si>
  <si>
    <t>Do not include Labor</t>
  </si>
  <si>
    <t xml:space="preserve">Property Acquisition Costs </t>
  </si>
  <si>
    <t xml:space="preserve">Soft Cost % </t>
  </si>
  <si>
    <t>Soft Cost</t>
  </si>
  <si>
    <t>Contingency Reserve %</t>
  </si>
  <si>
    <t xml:space="preserve">Contingency Reserve </t>
  </si>
  <si>
    <t xml:space="preserve">Management Reserve % </t>
  </si>
  <si>
    <t xml:space="preserve">Management Reserve </t>
  </si>
  <si>
    <t xml:space="preserve">Project Reserves </t>
  </si>
  <si>
    <t xml:space="preserve">Total Cost </t>
  </si>
  <si>
    <t>See Section 4.1</t>
  </si>
  <si>
    <t>See Section 4.2</t>
  </si>
  <si>
    <t>Current Year</t>
  </si>
  <si>
    <t>Inflation Assumption</t>
  </si>
  <si>
    <t>Total Cost Projection</t>
  </si>
  <si>
    <t>NA</t>
  </si>
  <si>
    <t>Life to Date Actuals</t>
  </si>
  <si>
    <t>Estimated Cost</t>
  </si>
  <si>
    <t>Assumptions for all options and each major item are documented in the Basis of Estimate document</t>
  </si>
  <si>
    <t>from Total Cost on previous tab</t>
  </si>
  <si>
    <t>Go</t>
  </si>
  <si>
    <t>Construction Contract Amount Worksheet</t>
  </si>
  <si>
    <t>APWA Bid Item List</t>
  </si>
  <si>
    <t>CSI Bid Item List</t>
  </si>
  <si>
    <t>&lt;&lt;Enter project phase&gt;&gt;</t>
  </si>
  <si>
    <t>&lt;&lt;Enter Project Phase&gt;&gt;</t>
  </si>
  <si>
    <t>Main Menu</t>
  </si>
  <si>
    <t>Miscellaneous Hard Costs</t>
  </si>
  <si>
    <t>Allowance for Indeterminates</t>
  </si>
  <si>
    <t>Crew Construction Costs</t>
  </si>
  <si>
    <t>Construction Cost Total</t>
  </si>
  <si>
    <t>Base Cost Total</t>
  </si>
  <si>
    <t>Cost Projection</t>
  </si>
  <si>
    <t>Total Cost - Option 1</t>
  </si>
  <si>
    <t>Total Cost - Option 2</t>
  </si>
  <si>
    <t>Total Cost - Option 3</t>
  </si>
  <si>
    <t>Total Cost - Option 4</t>
  </si>
  <si>
    <t>% costs to be spent by year</t>
  </si>
  <si>
    <t>Calculated using Cash Flow Tab</t>
  </si>
  <si>
    <t>Browse related CEG sections</t>
  </si>
  <si>
    <t>TRAFFIC CONTROL PEACE OFFICERS</t>
  </si>
  <si>
    <t>REMOVE PAVEMENT MARKING</t>
  </si>
  <si>
    <t>REMOVE PAVEMENT MARKING, THERMOPLASTIC</t>
  </si>
  <si>
    <t>BENCH</t>
  </si>
  <si>
    <t>See Appendix B</t>
  </si>
  <si>
    <t>See Appendix A</t>
  </si>
  <si>
    <t xml:space="preserve">Total Cost Estimates - Projects in Initiation or Options Analysis </t>
  </si>
  <si>
    <t>These worksheets are for developing the Construction Contract Amount estimates for projects at or after Stage Gate 2 approval</t>
  </si>
  <si>
    <t>Construction Contract Amount  Estimates - Projects in Options Analysis, Design, or Construction</t>
  </si>
  <si>
    <t>Estimate Reviewer(s)</t>
  </si>
  <si>
    <t>&lt;&lt;Enter names of cost estimator reviewers&gt;&gt;</t>
  </si>
  <si>
    <t>Summary Cost Item Description</t>
  </si>
  <si>
    <t>Enter Summary Item Description</t>
  </si>
  <si>
    <t>Est. Reviewer(s)</t>
  </si>
  <si>
    <t xml:space="preserve">Construction Contract  Amount Spreadsheet </t>
  </si>
  <si>
    <t>These worksheets are used to develop very early cost estimates for one or multiple options.</t>
  </si>
  <si>
    <t>COMPOST</t>
  </si>
  <si>
    <t>Inflated Cash Flow Distribution Tool</t>
  </si>
  <si>
    <t>Total Cost Projection worksheet</t>
  </si>
  <si>
    <t xml:space="preserve">Total Cost Projection Estimates - Projects in Initiation or Options Analysis </t>
  </si>
  <si>
    <t>Bid item</t>
  </si>
  <si>
    <t>Item/Description</t>
  </si>
  <si>
    <t>Take-Off QTY</t>
  </si>
  <si>
    <t>OH&amp; Profit %</t>
  </si>
  <si>
    <t>Estimate Total</t>
  </si>
  <si>
    <t>Sect 1-07</t>
  </si>
  <si>
    <t>Legal Relations &amp; Responsibilities</t>
  </si>
  <si>
    <t>Sect 1-09</t>
  </si>
  <si>
    <t>Measurement &amp; Payment</t>
  </si>
  <si>
    <t>Sect 1-10</t>
  </si>
  <si>
    <t>Temporary Traffic Control</t>
  </si>
  <si>
    <t>Sec 2-01</t>
  </si>
  <si>
    <t>Clearing, Grubbing, and Roadside Cleanup</t>
  </si>
  <si>
    <t>Sec 2-02</t>
  </si>
  <si>
    <t>Remove, Abandon, Or Relocate Structures and Obstructions</t>
  </si>
  <si>
    <t>REMOVE ROCK FACING {QTY &gt;10 SF}</t>
  </si>
  <si>
    <t>REMOVE ASPHALT OVERLAY</t>
  </si>
  <si>
    <t>REMOVE CEMT. CONCR. SIDEWALK {QTY &lt;=50}</t>
  </si>
  <si>
    <t>REMOVE PAVEMENT {QTY &lt;=100}</t>
  </si>
  <si>
    <t>REMOVE PAVEMENT {QTY 100-400}</t>
  </si>
  <si>
    <t>REMOVE PAVEMENT {QTY&gt;400}</t>
  </si>
  <si>
    <t>REMOVE PAVEMENT, OVER 14" IN DEPTH {QTY&lt;=50 SY}</t>
  </si>
  <si>
    <t>REMOVE PAVEMENT, OVER 14" IN DEPTH {QTY&gt;50 SY}</t>
  </si>
  <si>
    <t>REMOVE BEAM GUARD RAIL (WITH END SECTION) {QTY&lt;=20 LF}</t>
  </si>
  <si>
    <t>REMOVE BEAM GUARD RAIL (WITH END SECTION) {QTY&gt;20 LF}</t>
  </si>
  <si>
    <t>REMOVE CONCRETE TRAFFIC BARRIER</t>
  </si>
  <si>
    <t>REMOVE Down Guy Assembly</t>
  </si>
  <si>
    <t>REMOVE Electrical Vault (4'-6"x3'-2"x2')</t>
  </si>
  <si>
    <t>REMOVE Electrical Vault (1'x2'x1'-9")</t>
  </si>
  <si>
    <t>REMOVE Electrical Vault (4'x4'x4')</t>
  </si>
  <si>
    <t>REMOVE Electrical Vault (4'x4'x6')</t>
  </si>
  <si>
    <t>REMOVE Foundation, Pedestal</t>
  </si>
  <si>
    <t>REMOVE Foundation, Pedestrian Push Button Post</t>
  </si>
  <si>
    <t>REMOVE Foundation, Metal Pole</t>
  </si>
  <si>
    <t>REMOVE Handhole</t>
  </si>
  <si>
    <t>REMOVE Hydrant</t>
  </si>
  <si>
    <t>REMOVE Inlet {QTY &gt;5}</t>
  </si>
  <si>
    <t>REMOVE Inlet {QTY &lt;=5}</t>
  </si>
  <si>
    <t>REMOVE Luminaire {QTY&gt; 10}</t>
  </si>
  <si>
    <t>REMOVE Luminaire and Bracket Arm</t>
  </si>
  <si>
    <t>REMOVE Pavement Marking Legend/Symbol</t>
  </si>
  <si>
    <t>REMOVE Pedestal {QTY&gt;5}</t>
  </si>
  <si>
    <t>REMOVE Pedestal {QTY&lt;=5}</t>
  </si>
  <si>
    <t>REMOVE Pole, Concrete or Fiberglass</t>
  </si>
  <si>
    <t>REMOVE Pole, Street Light {QTY&lt;=20}</t>
  </si>
  <si>
    <t>REMOVE Pole, Street Light {QTY &gt;20}</t>
  </si>
  <si>
    <t>REMOVE Pole, Wood {QTY&lt; =20}</t>
  </si>
  <si>
    <t>REMOVE Pole, Wood {QTY &gt;20}</t>
  </si>
  <si>
    <t>REMOVE Post, Bus Zone</t>
  </si>
  <si>
    <t>REMOVE Post, Parking Meter</t>
  </si>
  <si>
    <t>REMOVE Post, Pedestrian Pushbutton {QTY &lt;=5}</t>
  </si>
  <si>
    <t>REMOVE Post, Pedestrian Pushbutton {QTY &gt;5}</t>
  </si>
  <si>
    <t>REMOVE Post, Street Name {QTY &lt;=10}</t>
  </si>
  <si>
    <t>REMOVE Post, Street Name {QTY &gt;10}</t>
  </si>
  <si>
    <t>REMOVE Post, Traffic Sign {QTY &lt;=20}</t>
  </si>
  <si>
    <t>REMOVE Post, Traffic Sign {QTY &gt;20}</t>
  </si>
  <si>
    <t>REMOVE Sign {QTY&lt;=10}</t>
  </si>
  <si>
    <t>REMOVE Sign {QTY 10-20}</t>
  </si>
  <si>
    <t>REMOVE Pavement Marking Legend/Symbol, Thermopls.</t>
  </si>
  <si>
    <t>REMOVE Traffic Button</t>
  </si>
  <si>
    <t>REMOVE Pedestrian Signal Head {QTY&lt;=10}</t>
  </si>
  <si>
    <t>REMOVE Pedestrian Signal Head {QTY &gt;10}</t>
  </si>
  <si>
    <t>REMOVE Pedestrian Push Button Assembly {QTY&lt;=20}</t>
  </si>
  <si>
    <t>SAWCUT Rigid Pavement, Full Depth {QTY&lt;=100 LF}</t>
  </si>
  <si>
    <t>SAWCUT Rigid Pavement, Full Depth {QTY 100-500 LF}</t>
  </si>
  <si>
    <t>SAWCUT Rigid Pavement, Full Depth {QTY &gt;500 LF}</t>
  </si>
  <si>
    <t>ABANDON Electrical Vault {QTY&lt;=5}</t>
  </si>
  <si>
    <t>ABANDON Electrical Vault {QTY &gt; 5}</t>
  </si>
  <si>
    <t>ABANDON Existing Water Service</t>
  </si>
  <si>
    <t>ABANDON Maintenance Hole {QTY &lt;=5}</t>
  </si>
  <si>
    <t>ABANDON Maintenance Hole {QTY &gt;5}</t>
  </si>
  <si>
    <t>ABANDON Valve Chamber {QTY &lt;=5}</t>
  </si>
  <si>
    <t>ABANDON Valve Chamber {QTY &gt;5}</t>
  </si>
  <si>
    <t>ABANDON AND FILL PIPE {QTY&lt;=100}</t>
  </si>
  <si>
    <t>ABANDON AND FILL PIPE {QTY &gt;100}</t>
  </si>
  <si>
    <t>Sec 2-03</t>
  </si>
  <si>
    <t>Structural Demolition</t>
  </si>
  <si>
    <t>Sec 2-04</t>
  </si>
  <si>
    <t>Excavations</t>
  </si>
  <si>
    <t>COMMON Excavation {QTY 50- 200}</t>
  </si>
  <si>
    <t>COMMON Excavation {QTY 200-500}</t>
  </si>
  <si>
    <t>COMMON Excavation {QTY &gt;500}</t>
  </si>
  <si>
    <t>SOLID Rock Excavation {QTY&gt; 50}</t>
  </si>
  <si>
    <t>STEPPED Slope construction</t>
  </si>
  <si>
    <t>Sec 2-05</t>
  </si>
  <si>
    <t>Ditch and Channel Construction</t>
  </si>
  <si>
    <t>Sec 2-07</t>
  </si>
  <si>
    <t>Protective System</t>
  </si>
  <si>
    <t>SAFETY SYSTEM IN TRENCH EXCAVATION {10-15 Feet Deep}</t>
  </si>
  <si>
    <t>SAFETY SYSTEM IN TRENCH EXCAVATION {16-22 Feet Deep}</t>
  </si>
  <si>
    <t>Sec 2-08</t>
  </si>
  <si>
    <t>Sec 2-10</t>
  </si>
  <si>
    <t>Backfilling</t>
  </si>
  <si>
    <t>SELECT MATERIALS {QTY &gt; 100 CY}</t>
  </si>
  <si>
    <t>Sec 2-13</t>
  </si>
  <si>
    <t>Rock Facing</t>
  </si>
  <si>
    <t>ROCK FACING (Large Rock size 42"x48")</t>
  </si>
  <si>
    <t>213010A</t>
  </si>
  <si>
    <t>Sec 2-15</t>
  </si>
  <si>
    <t>Construction Geotextile</t>
  </si>
  <si>
    <t>Sec 2-16</t>
  </si>
  <si>
    <t>Directional Drilling</t>
  </si>
  <si>
    <t>Sec 4-01</t>
  </si>
  <si>
    <t>Mineral Aggregates</t>
  </si>
  <si>
    <t xml:space="preserve">MINERAL AGGREGATE TYPE 26 </t>
  </si>
  <si>
    <t>MINERAL AGGREGATE TYPE 1</t>
  </si>
  <si>
    <t>MINERAL AGGREGATE TYPE 2</t>
  </si>
  <si>
    <t>MINERAL AGGREGATE TYPE 6</t>
  </si>
  <si>
    <t>MINERAL AGGREGATE TYPE 7</t>
  </si>
  <si>
    <t>MINERAL AGGREGATE TYPE 9</t>
  </si>
  <si>
    <t>MINERAL AGGREGATE TYPE 10</t>
  </si>
  <si>
    <t>MINERAL AGGREGATE TYPE 13</t>
  </si>
  <si>
    <t>MINERAL AGGREGATE TYPE 14</t>
  </si>
  <si>
    <t>MINERAL AGGREGATE TYPE 17 {QTY&gt;500CY}</t>
  </si>
  <si>
    <t xml:space="preserve">MINERAL AGGREGATE TYPE 21 </t>
  </si>
  <si>
    <t>Sec 5-04</t>
  </si>
  <si>
    <t>SURFACE PREPARATION PRELEVEL {QTY &gt; 50T}</t>
  </si>
  <si>
    <t>SURFACE PREPARATION PRELEVEL PLANE BITUMINOUS PAVEMENT {QTY&gt;200SY}</t>
  </si>
  <si>
    <t>PAVEMENT, HMA (CL 3/8 IN) {QTY&lt;=50 TN}</t>
  </si>
  <si>
    <t>PAVEMENT, HMA (CL 3/8 IN) {QTY&gt;50 TN}</t>
  </si>
  <si>
    <t>PAVEMENT, HMA (CL 1/2 IN) {QTY&lt;=50 TN}</t>
  </si>
  <si>
    <t>PAVEMENT, HMA (CL 1/2 IN) {QTY&gt;50 TN}</t>
  </si>
  <si>
    <t>PAVEMENT, HMA (CL 3/4 IN) {QTY&lt;=50 TN}</t>
  </si>
  <si>
    <t>PAVEMENT, HMA (CL 3/4 IN) {QTY&gt;50 TN}</t>
  </si>
  <si>
    <t>PAVEMENT, HMA (CL 1 IN) {QTY&lt;=50 TN}</t>
  </si>
  <si>
    <t>PAVEMENT, HMA (CL 1 IN) {QTY&gt;50 TN}</t>
  </si>
  <si>
    <t>PAVEMENT, WMA (CL 3/8 IN) {QTY&lt;=50 TN}</t>
  </si>
  <si>
    <t>PAVEMENT, WMA (CL 3/8 IN) {QTY&gt;50 TN}</t>
  </si>
  <si>
    <t>PAVEMENT, WMA (CL 1/2 IN) {QTY&lt;=50 TN}</t>
  </si>
  <si>
    <t>PAVEMENT, WMA (CL 1/2 IN) {QTY&gt;50 TN}</t>
  </si>
  <si>
    <t>PAVEMENT, WMA (CL 3/4IN) {QTY&lt;=50 TN}</t>
  </si>
  <si>
    <t>PAVEMENT, WMA (CL 3/4 IN) {QTY&gt;50 TN}</t>
  </si>
  <si>
    <t>PAVEMENT, WMA (CL 1IN) {QTY&lt;=50 TN}</t>
  </si>
  <si>
    <t>PAVEMENT, WMA (CL 1 IN) {QTY&gt;50 TN}</t>
  </si>
  <si>
    <t>PAVEMENT PATCH, TEMPORARY {QTY&lt;=50TN}</t>
  </si>
  <si>
    <t>PAVEMENT PATCH, TEMPORARY {QTY&gt;50TN}</t>
  </si>
  <si>
    <t>Sec 5-05</t>
  </si>
  <si>
    <t>Cement Concrete for Roadway and Related Work</t>
  </si>
  <si>
    <t>ROADWAY CEM. CONCRETE, 6 IN {QTY&lt;=200SY}</t>
  </si>
  <si>
    <t>ROADWAY CEM. CONCRETE, 6 IN {QTY&gt;200SY}</t>
  </si>
  <si>
    <t>ROADWAY CEM. CONCRETE, 8 IN {QTY&lt;=200SY}</t>
  </si>
  <si>
    <t>ROADWAY CEM. CONCRETE, 8 IN {QTY&gt;200SY}</t>
  </si>
  <si>
    <t>ROADWAY CEM. CONCRETE, 9 IN {QTY&lt;=200SY}</t>
  </si>
  <si>
    <t>ROADWAY CEM. CONCRETE, 9 IN {QTY&gt;200SY}</t>
  </si>
  <si>
    <t>ROADWAY CEM. CONCRETE, 10IN {QTY&lt;=200SY}</t>
  </si>
  <si>
    <t>ROADWAY CEM. CONCRETE, 10 IN {QTY&gt;200SY}</t>
  </si>
  <si>
    <t>ROADWAY CEM. CONCRETE, 11IN {QTY&lt;=200SY}</t>
  </si>
  <si>
    <t>ROADWAY CEM. CONCRETE, 11 IN {QTY&gt;200SY}</t>
  </si>
  <si>
    <t>ROADWAY CEM. CONCRETE, 12IN {QTY&lt;=200SY}</t>
  </si>
  <si>
    <t>ROADWAY CEM. CONCRETE, 12 IN {QTY&gt;200SY}</t>
  </si>
  <si>
    <t>PATTERNED Cem Conc Treatment, Roadway Running Bond Used Brick {QTY &lt;=500SY}</t>
  </si>
  <si>
    <t>PATTERNED Cem Conc Treatment, Roadway Running Bond Used Brick {QTY &gt;500SY}</t>
  </si>
  <si>
    <t>Sec 5-06</t>
  </si>
  <si>
    <t>PERVIOUS Concrete Sidewalk {QTY&lt;=250 SY}</t>
  </si>
  <si>
    <t>PERVIOUS Concrete Sidewalk {QTY &gt;250 SY}</t>
  </si>
  <si>
    <t>Sec 6-02</t>
  </si>
  <si>
    <t>CONCRETE CL 4000 {QTY&lt;=5CY}</t>
  </si>
  <si>
    <t>COMMERCIAL Concrete {QTY&lt;=5CY}</t>
  </si>
  <si>
    <t>COMMERCIAL Concrete {QTY 5-10CY}</t>
  </si>
  <si>
    <t>COMMERCIAL Concrete {QTY &gt;10CY}</t>
  </si>
  <si>
    <t>STEEL Reinforcing Bar {QTY &gt; 2000lbs}</t>
  </si>
  <si>
    <t>Sec 6-05</t>
  </si>
  <si>
    <t>Piles</t>
  </si>
  <si>
    <t>Furnishing Steel Pile</t>
  </si>
  <si>
    <t>PRECAST Concrete Pile Buildup {QTY &lt;=10EA}</t>
  </si>
  <si>
    <t>PRECAST Concrete Pile Buildup {QTY &gt;10EA}</t>
  </si>
  <si>
    <t>Sec 6-11</t>
  </si>
  <si>
    <t>Reinforced Concrete Walls</t>
  </si>
  <si>
    <t>Sec 7-01</t>
  </si>
  <si>
    <t>Drains</t>
  </si>
  <si>
    <t>Sec 7-05</t>
  </si>
  <si>
    <t>Maintenance Hole, Catch Basins and Inlets</t>
  </si>
  <si>
    <t>EXTRA Depth, Type 204A Maintenance Hole</t>
  </si>
  <si>
    <t>EXTRA Depth, Type 204.5A Maintenance Hole</t>
  </si>
  <si>
    <t>EXTRA Depth, Type 205A Maintenance Hole</t>
  </si>
  <si>
    <t>EXTRA Depth, Type 206A Maintenance Hole</t>
  </si>
  <si>
    <t>EXTRA Depth, Type 207A Maintenance Hole</t>
  </si>
  <si>
    <t>EXTRA Depth, Type 208A Maintenance Hole</t>
  </si>
  <si>
    <t>EXTRA Depth, Type 209A Maintenance Hole</t>
  </si>
  <si>
    <t>EXTRA Depth, Type 210A Maintenance Hole</t>
  </si>
  <si>
    <t>EXTRA Depth, Type 211A Maintenance Hole</t>
  </si>
  <si>
    <t>EXTRA Depth, Type 212A Maintenance Hole</t>
  </si>
  <si>
    <t>EXTRA Depth, Type 204B Maintenance Hole</t>
  </si>
  <si>
    <t>EXTRA Depth, Type 204.5B Maintenance Hole</t>
  </si>
  <si>
    <t>EXTRA Depth, Type 205B Maintenance Hole</t>
  </si>
  <si>
    <t>EXTRA Depth, Type 206B Maintenance Hole</t>
  </si>
  <si>
    <t>EXTRA Depth, Type 207B Maintenance Hole</t>
  </si>
  <si>
    <t>EXTRA Depth, Type 208B Maintenance Hole</t>
  </si>
  <si>
    <t>EXTRA Depth, Type 209B Maintenance Hole</t>
  </si>
  <si>
    <t>EXTRA Depth, Type 210B Maintenance Hole</t>
  </si>
  <si>
    <t>EXTRA Depth, Type 211B Maintenance Hole</t>
  </si>
  <si>
    <t>EXTRA Depth, Type 212B Maintenance Hole</t>
  </si>
  <si>
    <t>REBUILD Brick Maintenance HOLE {DEPTH &lt;=6 FT}</t>
  </si>
  <si>
    <t>REBUILD Brick Maintenance HOLE {DEPTH 6-9 FT}</t>
  </si>
  <si>
    <t>REBUILD Brick Maintenance HOLE {DEPTH 9 -15FT}</t>
  </si>
  <si>
    <t>CATCH Basin, Type 240A {QTY &lt;=3 EA}</t>
  </si>
  <si>
    <t>CATCH Basin, Type 240A {QTY &gt;3 EA}</t>
  </si>
  <si>
    <t>CATCH Basin, Type 240B {QTY &lt;=3 EA}</t>
  </si>
  <si>
    <t>CATCH Basin, Type 240B {QTY &gt;3 EA}</t>
  </si>
  <si>
    <t>CATCH Basin, Type 241 {QTY &lt;=3 EA}</t>
  </si>
  <si>
    <t>CATCH Basin, Type 241 {QTY &gt;3 EA}</t>
  </si>
  <si>
    <t>CATCH Basin, Type 242A {QTY &lt;=3 EA}</t>
  </si>
  <si>
    <t>CATCH Basin, Type 242A {QTY &gt;3 EA}</t>
  </si>
  <si>
    <t>CATCH Basin, Type 242B {QTY &lt;=3 EA}</t>
  </si>
  <si>
    <t>CATCH Basin, Type 242B {QTY &gt;3 EA}</t>
  </si>
  <si>
    <t>CATCH Basin, Type 240C {QTY &lt;=3 EA}</t>
  </si>
  <si>
    <t>CATCH Basin, Type 240C {QTY &gt;3 EA}</t>
  </si>
  <si>
    <t>CATCH Basin, Type 240D {QTY &lt;=3 EA}</t>
  </si>
  <si>
    <t>CATCH Basin, Type 240D {QTY &gt;3 EA}</t>
  </si>
  <si>
    <t>REBUILD Catch Basin {QTY &gt; 5EA}</t>
  </si>
  <si>
    <t>JUNCTION Box {QTY &gt; 5EA}</t>
  </si>
  <si>
    <t>Sec 7-08</t>
  </si>
  <si>
    <t>Miscellaneous Pipe Connections</t>
  </si>
  <si>
    <t>PIPE, Inlet Conn, Conc C14, CL3, 6IN</t>
  </si>
  <si>
    <t>PIPE, Inlet Conn, Conc C14, CL3, 8IN</t>
  </si>
  <si>
    <t>PIPE, Inlet Conn, DI., CL50, 6IN</t>
  </si>
  <si>
    <t>DROP Connection, Inside, 6 IN</t>
  </si>
  <si>
    <t>DROP Connection, Inside, 8 IN</t>
  </si>
  <si>
    <t>DROP Connection, Inside, 12 IN</t>
  </si>
  <si>
    <t>Sec 7-11</t>
  </si>
  <si>
    <t>Pipe Installation For Water Mains</t>
  </si>
  <si>
    <t>FURNISH SERVICE CONNECT PIPE &amp; FITTINGS, 4 IN D.I. CL 52</t>
  </si>
  <si>
    <t>BLOCKING Ecology Block {Width =6FT}</t>
  </si>
  <si>
    <t>BLOCKING Ecology Block {Width =3FT}</t>
  </si>
  <si>
    <t>Sec 7-12</t>
  </si>
  <si>
    <t>Valves For Water Mains</t>
  </si>
  <si>
    <t>VALVE BOX, Cast Iron {QTY &lt;=3 EA}</t>
  </si>
  <si>
    <t>VALVE BOX, Cast Iron {QTY &gt; 3 EA}</t>
  </si>
  <si>
    <t>Sec 7-14</t>
  </si>
  <si>
    <t>Hydrants</t>
  </si>
  <si>
    <t>Sec 7-16</t>
  </si>
  <si>
    <t>Flow Control Systems</t>
  </si>
  <si>
    <t>Sec 7-17</t>
  </si>
  <si>
    <t>PIPE PSD, DI CL 50, 12 IN {QTY &lt;=50 FT}</t>
  </si>
  <si>
    <t>PIPE PSD, DI CL 50, 14 IN {QTY &lt;=50 FT}</t>
  </si>
  <si>
    <t>PIPE PSD, DI CL 50, 20 IN {QTY &lt;=50 FT}</t>
  </si>
  <si>
    <t>PIPE PSD, DI CL 50, 24 IN {QTY &lt;=50 FT}</t>
  </si>
  <si>
    <t>PIPE PSD, DI CL 50, 30 IN {QTY &lt;=50 FT}</t>
  </si>
  <si>
    <t>PIPE PSD, DI CL 50, 36 IN {QTY &lt;=50 FT}</t>
  </si>
  <si>
    <t>PIPE PSD, DI CL 50, 42 IN {QTY &lt;=50 FT}</t>
  </si>
  <si>
    <t>PIPE PSD, DI CL 50, 48 IN {QTY &lt;=50 FT}</t>
  </si>
  <si>
    <t>PIPE PSD, DI CL 50, 60 IN {QTY &lt;=50 FT}</t>
  </si>
  <si>
    <t>Sec 7-18</t>
  </si>
  <si>
    <t>Side Sewers</t>
  </si>
  <si>
    <t>PIPE, SD, D.I., CL 50 6 IN {QTY&lt;=20 LF}</t>
  </si>
  <si>
    <t>PIPE, SD, D.I., CL 50 6 IN {QTY&gt;20 LF}</t>
  </si>
  <si>
    <t>PIPE, SD, D.I., CL 50 8 IN {QTY&lt;=20 LF}</t>
  </si>
  <si>
    <t>PIPE, SD, D.I., CL 50 8 IN {QTY&gt;20 LF}</t>
  </si>
  <si>
    <t>PIPE, SD, D.I., CL 50 10 IN {QTY&lt;=20 LF}</t>
  </si>
  <si>
    <t>PIPE, SD, D.I., CL 50 10 IN {QTY&gt;20 LF}</t>
  </si>
  <si>
    <t>PIPE, SD, D.I., CL 50 12 IN {QTY&lt;=20 LF}</t>
  </si>
  <si>
    <t>PIPE, SD, D.I., CL 50 12 IN {QTY&gt;20 LF}</t>
  </si>
  <si>
    <t>TEE Test, Conc, 6 IN {QTY &lt;=2}</t>
  </si>
  <si>
    <t>TEE Test, Conc, 6 IN {QTY 3-5 Tests}</t>
  </si>
  <si>
    <t>TEE, Test, D.I, 6 IN {QTY &lt;=5 EA}</t>
  </si>
  <si>
    <t>TEE, Test, D.I, 6 IN {QTY &gt;5 EA}</t>
  </si>
  <si>
    <t>TEE, Test, PVC, 6 IN {QTY &lt;=5 EA}</t>
  </si>
  <si>
    <t>TEE, Test, PVC, 6 IN {QTY &gt;5 EA}</t>
  </si>
  <si>
    <t>TEE, Test, PVC, 8 IN {QTY &lt;=5 EA}</t>
  </si>
  <si>
    <t>TEE, Test, PVC, 8 IN {QTY &gt;5 EA}</t>
  </si>
  <si>
    <t>Sec 7-19</t>
  </si>
  <si>
    <t>Sewer Clean Out</t>
  </si>
  <si>
    <t>Sec 7-20</t>
  </si>
  <si>
    <t>Adjustment of New and Existing Utility Structures to Finish Grade</t>
  </si>
  <si>
    <t>UTILITY CASTING Furnished</t>
  </si>
  <si>
    <t>Sec 7-21</t>
  </si>
  <si>
    <t>Bioretention</t>
  </si>
  <si>
    <t>Sec 8-01</t>
  </si>
  <si>
    <t>Sec 8-02</t>
  </si>
  <si>
    <t>Landscape Construction</t>
  </si>
  <si>
    <t>TREE, Broadleaf Evergreen, 5 FT to 6 FT</t>
  </si>
  <si>
    <t>TREE, Broadleaf Evergreen, 6 FT to 8 FT</t>
  </si>
  <si>
    <t>TREE, Coniferous Evergreen, 5 Ft to 6 FT</t>
  </si>
  <si>
    <t>TREE, Coniferous Evergreen, 6 Ft to 8 FT</t>
  </si>
  <si>
    <t>TREE, Coniferous Evergreen, 8 Ft to 10 FT</t>
  </si>
  <si>
    <t>TREE, Deciduous, 4 Ft to 5 FT</t>
  </si>
  <si>
    <t>TREE, Deciduous, 5 Ft to 6 FT</t>
  </si>
  <si>
    <t>TREE, Deciduous, 6 Ft to 8 FT</t>
  </si>
  <si>
    <t>SHRUB, Broadleaf Evergreen, 1 Gal {QTY &lt;=5 EA}</t>
  </si>
  <si>
    <t>SHRUB, Broadleaf Evergreen, 1 Gal {QTY &gt;5 EA}</t>
  </si>
  <si>
    <t>SHRUB, Broadleaf Evergreen, 2 Gal {QTY &lt;=5 EA}</t>
  </si>
  <si>
    <t>SHRUB, Broadleaf Evergreen, 2 Gal {QTY &gt;5 EA}</t>
  </si>
  <si>
    <t>SHRUB, Broadleaf Evergreen, 3 Gal {QTY &lt;=5 EA}</t>
  </si>
  <si>
    <t>SHRUB, Broadleaf Evergreen, 3 Gal {QTY &gt;5 EA}</t>
  </si>
  <si>
    <t>SHRUB, Broadleaf Evergreen, 5 Gal {QTY &lt;=5 EA}</t>
  </si>
  <si>
    <t>SHRUB, Broadleaf Evergreen, 5 Gal {QTY &gt;5 EA}</t>
  </si>
  <si>
    <t>SHRUB, Coniferous Evergreen, 1 Gal {QTY &lt;=5 EA}</t>
  </si>
  <si>
    <t>SHRUB, Coniferous Evergreen, 1 Gal {QTY &gt;5 EA}</t>
  </si>
  <si>
    <t>SHRUB, Coniferous Evergreen, 2 Gal {QTY &lt;=5 EA}</t>
  </si>
  <si>
    <t>SHRUB, Coniferous Evergreen, 2 Gal {QTY &gt;5 EA}</t>
  </si>
  <si>
    <t>SHRUB, Coniferous Evergreen, 5 Gal {QTY &lt;=5 EA}</t>
  </si>
  <si>
    <t>SHRUB, Coniferous Evergreen, 5 Gal {QTY &gt;5 EA}</t>
  </si>
  <si>
    <t>SHRUB, Deciduous, 1 Gal {QTY &lt;=5 EA}</t>
  </si>
  <si>
    <t>SHRUB, Deciduous, 1 Gal {QTY &gt;5 EA}</t>
  </si>
  <si>
    <t>SHRUB, Deciduous, 2 Gal {QTY &lt;=5 EA}</t>
  </si>
  <si>
    <t>SHRUB, Deciduous, 2 Gal {QTY &gt;5 EA}</t>
  </si>
  <si>
    <t>SHRUB, Deciduous, 3 Gal {QTY &lt;=5 EA}</t>
  </si>
  <si>
    <t>SHRUB, Deciduous, 3 Gal {QTY &gt;5 EA}</t>
  </si>
  <si>
    <t>SHRUB, Deciduous, 5 Gal {QTY &lt;=5 EA}</t>
  </si>
  <si>
    <t>SHRUB, Deciduous, 5 Gal {QTY &gt;5 EA}</t>
  </si>
  <si>
    <t>TOPSOIL, Type A</t>
  </si>
  <si>
    <t>TOPSOIL, Type B</t>
  </si>
  <si>
    <t>GROUND Cover, 1 Gal</t>
  </si>
  <si>
    <t>GROUND Cover, 2 Gal</t>
  </si>
  <si>
    <t>MULCH Bark</t>
  </si>
  <si>
    <t>GRID Block</t>
  </si>
  <si>
    <t>TREE Grate</t>
  </si>
  <si>
    <t>ROCK Mulch</t>
  </si>
  <si>
    <t>RELOCATE Mailbox</t>
  </si>
  <si>
    <t>RELOCATE Shrub</t>
  </si>
  <si>
    <t>RELOCATE Ground Cover {Qty &lt;=10EA}</t>
  </si>
  <si>
    <t>RELOCATE Ground Cover {Qty &gt;10EA}</t>
  </si>
  <si>
    <t>SODDING</t>
  </si>
  <si>
    <t>Sec 8-03</t>
  </si>
  <si>
    <t>Irrigation System</t>
  </si>
  <si>
    <t>IRRIGATION System Manual {QTY 1,000-5,000 SF}</t>
  </si>
  <si>
    <t>IRRIGATION System Manual {QTY &gt;5,000 SF}</t>
  </si>
  <si>
    <t>VALVE Box, Plastic</t>
  </si>
  <si>
    <t>VALVE Box, Cast Iron</t>
  </si>
  <si>
    <t>Sec 8-04</t>
  </si>
  <si>
    <t>Cement Concrete Curb, Curb and Gutter</t>
  </si>
  <si>
    <t>Sec 8-06</t>
  </si>
  <si>
    <t>Extruded Curb</t>
  </si>
  <si>
    <t>Sec 8-07</t>
  </si>
  <si>
    <t>Precast Traffic Curb and Block Traffic Curb</t>
  </si>
  <si>
    <t>Sec 8-08</t>
  </si>
  <si>
    <t>Plastic Lane Markers and Traffic Buttons</t>
  </si>
  <si>
    <t>LANE Marker Type 1 {QTY &lt;=20 EA}</t>
  </si>
  <si>
    <t>LANE Marker Type 1 {QTY &gt;20 EA}</t>
  </si>
  <si>
    <t>LANE Marker Type 2 {QTY &lt;=20 EA}</t>
  </si>
  <si>
    <t>PLASTIC Traffic Button {QTY &lt;=10 EA}</t>
  </si>
  <si>
    <t>PLASTIC Traffic Button {QTY &gt;10EA}</t>
  </si>
  <si>
    <t>Sec 8-11</t>
  </si>
  <si>
    <t>Guard Rail</t>
  </si>
  <si>
    <t>REMOVING and Resetting Beam Guardrail</t>
  </si>
  <si>
    <t>RAISING Existing Beam Guardrail</t>
  </si>
  <si>
    <t>Sec 8-12</t>
  </si>
  <si>
    <t>Chain Link Fence and Wire Fence</t>
  </si>
  <si>
    <t>Sec 8-13</t>
  </si>
  <si>
    <t>Monument Cases</t>
  </si>
  <si>
    <t>RELOCATE or Reset Monument and Monument Frame and Cover</t>
  </si>
  <si>
    <t>RESET Monument Frame and Cover</t>
  </si>
  <si>
    <t>Sec 8-14</t>
  </si>
  <si>
    <t>DETECTABLE Warning Plate Retrofit</t>
  </si>
  <si>
    <t>Sec 8-15</t>
  </si>
  <si>
    <t>RIPRAP</t>
  </si>
  <si>
    <t>Sec 8-16</t>
  </si>
  <si>
    <t>Concrete Slope Protection</t>
  </si>
  <si>
    <t>Sec 8-17</t>
  </si>
  <si>
    <t>Curb Wall and Support Wall</t>
  </si>
  <si>
    <t>Sec 8-18</t>
  </si>
  <si>
    <t>Cement Concrete Stairways, Landings and Steps</t>
  </si>
  <si>
    <t>Sec 8-19</t>
  </si>
  <si>
    <t>Cement Concrete Driveway</t>
  </si>
  <si>
    <t>Sec 8-21</t>
  </si>
  <si>
    <t>Permanent Signing and Posts</t>
  </si>
  <si>
    <t>Sec 8-22</t>
  </si>
  <si>
    <t>Pavement Marking</t>
  </si>
  <si>
    <t>Sec 8-27</t>
  </si>
  <si>
    <t>Project Identification Sign</t>
  </si>
  <si>
    <t>SIGN, PROJECT Identification, Owner Furnished</t>
  </si>
  <si>
    <t>POSTS, Project Sign</t>
  </si>
  <si>
    <t>RELOCATE Project Sign</t>
  </si>
  <si>
    <t>Sec 8-30</t>
  </si>
  <si>
    <t>Illumination and Electrical Systems</t>
  </si>
  <si>
    <t>LUMINAIRE, LIGHT EMITTING DIODE (LED) {1-3EA}</t>
  </si>
  <si>
    <t>LUMINAIRE, LIGHT EMITTING DIODE (LED) {3-5EA}</t>
  </si>
  <si>
    <t>LUMINAIRE, LIGHT EMITTING DIODE (LED) {&gt; 10EA}</t>
  </si>
  <si>
    <t>Sec 8-31</t>
  </si>
  <si>
    <t>Traffic Signal System</t>
  </si>
  <si>
    <t>Sec 8-32</t>
  </si>
  <si>
    <t>Poles, Pedestals and Foundations</t>
  </si>
  <si>
    <t>POLE, WOOD Over 35 FT (35-55 FT)</t>
  </si>
  <si>
    <t>BRACKET ARM, 6 FT with Baseplate and Endplate {Qty 1-3 EA}</t>
  </si>
  <si>
    <t>BRACKET ARM, 6 FT with Baseplate and Endplate {Qty &gt; 3 EA}</t>
  </si>
  <si>
    <t>BRACKET ARM, 7 FT with Baseplate and Endplate {Qty 1-3 EA}</t>
  </si>
  <si>
    <t>BRACKET ARM, 7 FT with Baseplate and Endplate {Qty &gt; 3 EA}</t>
  </si>
  <si>
    <t>BRACKET ARM, 8 FT with Baseplate and Endplate {Qty 1-3 EA}</t>
  </si>
  <si>
    <t>BRACKET ARM, 8 FT with Baseplate and Endplate {Qty &gt; 3 EA}</t>
  </si>
  <si>
    <t>BRACKET ARM, 9 FT with Baseplate and Endplate {Qty 1-3 EA}</t>
  </si>
  <si>
    <t>BRACKET ARM, 9 FT with Baseplate and Endplate {Qty &gt; 3 EA}</t>
  </si>
  <si>
    <t>BRACKET ARM, 10 FT with Baseplate and Endplate {Qty 1-3 EA}</t>
  </si>
  <si>
    <t>BRACKET ARM, 10 FT with Baseplate and Endplate {Qty &gt; 3 EA}</t>
  </si>
  <si>
    <t>BRACKET ARM, 11 FT with Baseplate and Endplate {Qty 1-3 EA}</t>
  </si>
  <si>
    <t>BRACKET ARM, 11 FT with Baseplate and Endplate {Qty &gt; 3 EA}</t>
  </si>
  <si>
    <t>Sec 8-33</t>
  </si>
  <si>
    <t>Conduit and Trenching</t>
  </si>
  <si>
    <t>Inflation Cost Projection</t>
  </si>
  <si>
    <t>Cost of Inflation</t>
  </si>
  <si>
    <t>Safety and Health Program</t>
  </si>
  <si>
    <t>MO</t>
  </si>
  <si>
    <t>Maintenance &amp; Protection of Traffic Control Including Flagging</t>
  </si>
  <si>
    <t>Day</t>
  </si>
  <si>
    <t>Traffic Control Peace Officers</t>
  </si>
  <si>
    <t>Sec 2-00</t>
  </si>
  <si>
    <t>Construction Survey/Layout</t>
  </si>
  <si>
    <t>DAY</t>
  </si>
  <si>
    <t>Sec 2-30</t>
  </si>
  <si>
    <t>Boring &amp; Directional Drilling</t>
  </si>
  <si>
    <t>Remove Handhole and Meter Pits</t>
  </si>
  <si>
    <t>VLF</t>
  </si>
  <si>
    <t>Remove Cast-in Place MH 4'-8' deep</t>
  </si>
  <si>
    <t>Remove Cast-in Place MH over 8' deep</t>
  </si>
  <si>
    <t>Remove DIP pipe 4" diameter with Fittings</t>
  </si>
  <si>
    <t>Remove Plastic pipe 3/4"-4" diameter with Fitting</t>
  </si>
  <si>
    <t>Remove Plastic pipe 6"-8" diameter with Fitting</t>
  </si>
  <si>
    <t>Remove Plastic pipe 10"-18" diameter with Fitting</t>
  </si>
  <si>
    <t>Remove Plastic pipe 20"-36" diameter with Fitting</t>
  </si>
  <si>
    <t>Remove Plastic pipe 42"-48" diameter with Fitting</t>
  </si>
  <si>
    <t>Remove Plastic pipe 54"-60" diameter with Fitting</t>
  </si>
  <si>
    <t>Dewatering-Cofferdam-Soldiers Beam with wood Sheeting</t>
  </si>
  <si>
    <t>Dewatering-Cofferdam-Soldiers Beam with Temp Sheeting</t>
  </si>
  <si>
    <t>Dewatering-Cofferdam-Soldiers Beam open Sheeting</t>
  </si>
  <si>
    <t>Sec 03-00</t>
  </si>
  <si>
    <t>CONCRETE</t>
  </si>
  <si>
    <t>03-111365</t>
  </si>
  <si>
    <t>SFCA</t>
  </si>
  <si>
    <t>03-111366</t>
  </si>
  <si>
    <t>03-111370</t>
  </si>
  <si>
    <t>03-111371</t>
  </si>
  <si>
    <t>03-111385</t>
  </si>
  <si>
    <t>03-111386</t>
  </si>
  <si>
    <t>03-111388</t>
  </si>
  <si>
    <t>03-111390</t>
  </si>
  <si>
    <t>03-111332</t>
  </si>
  <si>
    <t>03-111333</t>
  </si>
  <si>
    <t>03-111334</t>
  </si>
  <si>
    <t>03-111335</t>
  </si>
  <si>
    <t>03-151350</t>
  </si>
  <si>
    <t>Waterstop, PVC, ribbed type, split, 3/8" thick x6" wide</t>
  </si>
  <si>
    <t>03-151355</t>
  </si>
  <si>
    <t>Waterstop, fittings, rubber, flat, dumbbelt or center bulb, field Union, 3/8" thick x9" wide</t>
  </si>
  <si>
    <t>03-051550</t>
  </si>
  <si>
    <t>Waterstop, rubber field union, 3/8" x 6" wide, Walls</t>
  </si>
  <si>
    <t>03-150512</t>
  </si>
  <si>
    <t>03-150570</t>
  </si>
  <si>
    <t>Shores, vertical members, to 16' High, erect and strip by hand</t>
  </si>
  <si>
    <t>03-150572</t>
  </si>
  <si>
    <t>Shores, reshores at Elevated Slab vertical members, to 16' High, erect and strip by hand</t>
  </si>
  <si>
    <t>03-150595</t>
  </si>
  <si>
    <t>Form oil, up to 800 S.F, per Gallon, coverage</t>
  </si>
  <si>
    <t>GAL</t>
  </si>
  <si>
    <t>03-211060</t>
  </si>
  <si>
    <t>TON</t>
  </si>
  <si>
    <t>03-211062</t>
  </si>
  <si>
    <t>Reinforcing in Place, A615 Gr 60, SOG, #3 to #7</t>
  </si>
  <si>
    <t>LBS</t>
  </si>
  <si>
    <t>03-211065</t>
  </si>
  <si>
    <t>Reinforcing in Place, Unloading &amp; Sorting, for Rebar</t>
  </si>
  <si>
    <t>03-211067</t>
  </si>
  <si>
    <t>Reinforcing in Place, Crane Cost for Moving &amp; Handling Rebar</t>
  </si>
  <si>
    <t>03-310534</t>
  </si>
  <si>
    <t>Concrete Ready Mix, regular weight, slabs/mats 3000 PSI</t>
  </si>
  <si>
    <t>03-310535</t>
  </si>
  <si>
    <t>Concrete Ready Mix, regular weight, slabs/mats 3500 PSI</t>
  </si>
  <si>
    <t>03-310536</t>
  </si>
  <si>
    <t>03-310537</t>
  </si>
  <si>
    <t>03-310570</t>
  </si>
  <si>
    <t>Structural Concrete Placing SOG, Pumped over 6" thick, incl. vibrating</t>
  </si>
  <si>
    <t>03-310575</t>
  </si>
  <si>
    <t>Structural Concrete Placing Elevated Slab, Pumped 6" thick, incl. vibrating</t>
  </si>
  <si>
    <t>03-252930</t>
  </si>
  <si>
    <t>03-252935</t>
  </si>
  <si>
    <t>03-352960</t>
  </si>
  <si>
    <t>03-352965</t>
  </si>
  <si>
    <t>Finishing Wall: Sandblast, light penetration</t>
  </si>
  <si>
    <t>03-391350</t>
  </si>
  <si>
    <t>SUB SEC</t>
  </si>
  <si>
    <t>PRE-CAST CONCRETE ELEMENTS</t>
  </si>
  <si>
    <t>03-400001</t>
  </si>
  <si>
    <t>03-400520</t>
  </si>
  <si>
    <t>4' x 4' x 6' Precast Concrete Underground Utility Vault with 6" thick walls and 8" thick top.</t>
  </si>
  <si>
    <t>03-400522</t>
  </si>
  <si>
    <t>4' x 4' x 7' Precast Concrete Underground Utility Vault with 6" thick walls and 8" thick top.</t>
  </si>
  <si>
    <t>03-400523</t>
  </si>
  <si>
    <t>4' x 4' x 8' Precast Concrete Underground Utility Vault with 6" thick walls and 8" thick top.</t>
  </si>
  <si>
    <t>03-400524</t>
  </si>
  <si>
    <t>5' x 10' x 6' Precast Concrete Underground Utility Vault with 6" thick walls and 8" thick top.</t>
  </si>
  <si>
    <t>03-400525</t>
  </si>
  <si>
    <t>5' x 12' x 6' Precast Concrete Underground Utility Vault with 6" thick walls and 8" thick top.</t>
  </si>
  <si>
    <t>03-400530</t>
  </si>
  <si>
    <t>03-400531</t>
  </si>
  <si>
    <t>03-400532</t>
  </si>
  <si>
    <t>03-400533</t>
  </si>
  <si>
    <t>03-400535</t>
  </si>
  <si>
    <t>03-400536</t>
  </si>
  <si>
    <t>03-451020</t>
  </si>
  <si>
    <t>Pre-Cast Oil/Water Separator VAULT 5102-2-CPS-592SQFT/140 Flow Rate/754 Max Process Flow</t>
  </si>
  <si>
    <t>03-451024</t>
  </si>
  <si>
    <t>Pre-Cast Oil/Water Separator VAULT612-2-CPS-1776SQFT/420 Flow Rate/1130 Max Process Flow</t>
  </si>
  <si>
    <t>03-451028</t>
  </si>
  <si>
    <t>Pre-Cast Oil/Water Separator VAULT 816-1-CPS-1184SQFT/280 Flow Rate/1508 Max Process Flow</t>
  </si>
  <si>
    <t>03-451030</t>
  </si>
  <si>
    <t>Pre-Cast Oil/Water Separator VAULT 816-2-CPS-2368SQFT/560 Flow Rate/1508 Max Process Flow</t>
  </si>
  <si>
    <t>03-451032</t>
  </si>
  <si>
    <t>Pre-Cast Oil/Water Separator VAULT 816-3-CPS-3552SQFT/840 Flow Rate/1508 Max Process Flow</t>
  </si>
  <si>
    <t>03-400620</t>
  </si>
  <si>
    <t>03-400622</t>
  </si>
  <si>
    <t>SITE CONCRETE</t>
  </si>
  <si>
    <t>03-500510</t>
  </si>
  <si>
    <t>03-500520</t>
  </si>
  <si>
    <t>03-500530</t>
  </si>
  <si>
    <t>Sec 04-00</t>
  </si>
  <si>
    <t>MASONRY</t>
  </si>
  <si>
    <t>04-051630</t>
  </si>
  <si>
    <t>GROUT, DOOR FRAMES, 3' x7' Opening, 2.5 C.F per Opening</t>
  </si>
  <si>
    <t>OPNG</t>
  </si>
  <si>
    <t>04-051631</t>
  </si>
  <si>
    <t>GROUT, DOOR FRAMES, 6' x7' Opening, 3.5 C.F per Opening</t>
  </si>
  <si>
    <t>CF</t>
  </si>
  <si>
    <t>04-051905</t>
  </si>
  <si>
    <t>ANCHOR Bolt Hooked Type, 5/8" DIA x8" Long with Template in CMU Wall</t>
  </si>
  <si>
    <t>04-051925</t>
  </si>
  <si>
    <t>04-051926</t>
  </si>
  <si>
    <t>MASONRY Reinforcing Bar, #3 and #4 Placed Vertically, ASTM615</t>
  </si>
  <si>
    <t>04-051927</t>
  </si>
  <si>
    <t>MASONRY Shoring &amp; Bracing</t>
  </si>
  <si>
    <t>04-051928</t>
  </si>
  <si>
    <t>CMU-Concrete Block, Hollow, 3500 PSI 8"x8" x16"</t>
  </si>
  <si>
    <t>05-122340</t>
  </si>
  <si>
    <t>06-111024</t>
  </si>
  <si>
    <t>07-191910</t>
  </si>
  <si>
    <t>07-712610</t>
  </si>
  <si>
    <t>07-712611</t>
  </si>
  <si>
    <t>REGLET, Counter Flashing for Zink and Cooper, Alloy, 20 ounce, 12" Wide</t>
  </si>
  <si>
    <t>Sec 05-00</t>
  </si>
  <si>
    <t>METALS</t>
  </si>
  <si>
    <t>05-051010</t>
  </si>
  <si>
    <t>05-051011</t>
  </si>
  <si>
    <t>05-051012</t>
  </si>
  <si>
    <t>05-052010</t>
  </si>
  <si>
    <t>DEMOLITION of W6 x 9 A36 Structural Beam Or Girder</t>
  </si>
  <si>
    <t>05-052011</t>
  </si>
  <si>
    <t>DEMOLITION of W8 x 10 A36 Structural Beam Or Girder</t>
  </si>
  <si>
    <t>05-052012</t>
  </si>
  <si>
    <t>DEMOLITION of W8 x 18 A36 Structural Beam Or Girder</t>
  </si>
  <si>
    <t>05-052013</t>
  </si>
  <si>
    <t>DEMOLITION of W8 x 21 A36 Structural Beam Or Girder</t>
  </si>
  <si>
    <t>05-052014</t>
  </si>
  <si>
    <t>05-052015</t>
  </si>
  <si>
    <t>05-052016</t>
  </si>
  <si>
    <t>05-052017</t>
  </si>
  <si>
    <t>05-052018</t>
  </si>
  <si>
    <t>05-052019</t>
  </si>
  <si>
    <t>05-053010</t>
  </si>
  <si>
    <t>DEMOLITION of 8" - 18 Gauge Steel Joists</t>
  </si>
  <si>
    <t>DEMOLITION of 8" - 20 Gauge Steel Joists</t>
  </si>
  <si>
    <t>05-053510</t>
  </si>
  <si>
    <t>DEMOLITION of Steel Checkered Plate Cover For 10-1/4" x 17-1/4" Utility Box</t>
  </si>
  <si>
    <t>05-053512</t>
  </si>
  <si>
    <t>DEMOLITION of Steel Checkered Plate Cover For 13-1/4" x 24" Utility Box</t>
  </si>
  <si>
    <t>DEMOLITION of Steel Checkered Plate Cover For 17-1/4" x 30" Utility Box</t>
  </si>
  <si>
    <t>05-054010</t>
  </si>
  <si>
    <t>DEMOLITION of Steel Grating Landing With Framing And 2 Pipe Handrail</t>
  </si>
  <si>
    <t>05-054012</t>
  </si>
  <si>
    <t>DEMOLITION of 3'-6" Wide Open Steel Grating Tread Metal Stair</t>
  </si>
  <si>
    <t>RSR</t>
  </si>
  <si>
    <t>05-054015</t>
  </si>
  <si>
    <t>DEMOLITION of 4'-0" Wide Open Steel Grating Tread Metal Stair</t>
  </si>
  <si>
    <t>05-054017</t>
  </si>
  <si>
    <t>DEMOLITION of 5'-0" Wide Open Steel Grating Tread Metal Stair</t>
  </si>
  <si>
    <t>05-054020</t>
  </si>
  <si>
    <t>DEMOLITION of 1" x 1/8" &amp;3/4" x 1/8" Steel, Welded Grating</t>
  </si>
  <si>
    <t>05-054022</t>
  </si>
  <si>
    <t>DEMOLITION of 2" x 3/16" Steel, Swaged Grating</t>
  </si>
  <si>
    <t>05-102050</t>
  </si>
  <si>
    <t>05-102051</t>
  </si>
  <si>
    <t>05-102052</t>
  </si>
  <si>
    <t>05-102053</t>
  </si>
  <si>
    <t>05-102252</t>
  </si>
  <si>
    <t>05-102253</t>
  </si>
  <si>
    <t>05-102054</t>
  </si>
  <si>
    <t>05-102550</t>
  </si>
  <si>
    <t>05-102551</t>
  </si>
  <si>
    <t>05-102552</t>
  </si>
  <si>
    <t>05-102553</t>
  </si>
  <si>
    <t>05-122370</t>
  </si>
  <si>
    <t>05-122371</t>
  </si>
  <si>
    <t>05-122372</t>
  </si>
  <si>
    <t>05-122373</t>
  </si>
  <si>
    <t>05-122374</t>
  </si>
  <si>
    <t>05-122375</t>
  </si>
  <si>
    <t>05-122376</t>
  </si>
  <si>
    <t>05-122377</t>
  </si>
  <si>
    <t>05-122378</t>
  </si>
  <si>
    <t>05-142320</t>
  </si>
  <si>
    <t>8" - 18 Gauge Steel Joists</t>
  </si>
  <si>
    <t>05-142321</t>
  </si>
  <si>
    <t>8" - 20 Gauge Steel Joists</t>
  </si>
  <si>
    <t>05-152320</t>
  </si>
  <si>
    <t>STEEL CHECKERED PLATE Cover For 10-1/4" x 17-1/4" Utility Box</t>
  </si>
  <si>
    <t>05-152322</t>
  </si>
  <si>
    <t>STEEL CHECKERED PLATE Cover For 13-1/4" x 24" Utility Box</t>
  </si>
  <si>
    <t>05-152324</t>
  </si>
  <si>
    <t>STEEL CHECKERED PLATE Cover For 17-1/4" x 30" Utility Box</t>
  </si>
  <si>
    <t>05-352310</t>
  </si>
  <si>
    <t>05-352311</t>
  </si>
  <si>
    <t>05-352312</t>
  </si>
  <si>
    <t>05-352320</t>
  </si>
  <si>
    <t>05-352321</t>
  </si>
  <si>
    <t>05-352322</t>
  </si>
  <si>
    <t>05-352331</t>
  </si>
  <si>
    <t>05-352332</t>
  </si>
  <si>
    <t>05-352340</t>
  </si>
  <si>
    <t>05-352342</t>
  </si>
  <si>
    <t>05-352343</t>
  </si>
  <si>
    <t>05-352344</t>
  </si>
  <si>
    <t>05-352345</t>
  </si>
  <si>
    <t>05-2440100</t>
  </si>
  <si>
    <t>Access Hatch-Galvanized Steel (2'-6"x3'-0")</t>
  </si>
  <si>
    <t>05-244011</t>
  </si>
  <si>
    <t>Access Hatch-Galvanized Steel (2'-6"x4'-6")</t>
  </si>
  <si>
    <t>05-244012</t>
  </si>
  <si>
    <t>Access Hatch-Galvanized Steel (2'-6"x8'-0")-Bilco L-20</t>
  </si>
  <si>
    <t>Access Hatch-Galvanized Steel (3'-0"x 3'-0")-Bilco E-20</t>
  </si>
  <si>
    <t>05-244014</t>
  </si>
  <si>
    <t>Access Hatch-Galvanized Steel (3'-0"x 8'-0")</t>
  </si>
  <si>
    <t>05-244015</t>
  </si>
  <si>
    <t>Access Hatch-Galvanized Steel (4'-0"x 4'-0")</t>
  </si>
  <si>
    <t>05-244016</t>
  </si>
  <si>
    <t>Access Hatch-Fiberglass (14" x14")</t>
  </si>
  <si>
    <t>Access Hatch-Vinyl Covered (14" x14")</t>
  </si>
  <si>
    <t>05-244017</t>
  </si>
  <si>
    <t>Access Hatch-26 Gauge Steel (14" x14")</t>
  </si>
  <si>
    <t>05-451025</t>
  </si>
  <si>
    <t>LADDER STEEL, 20" Wide Bolted to Concrete with Cage</t>
  </si>
  <si>
    <t>05-451027</t>
  </si>
  <si>
    <t>05-451029</t>
  </si>
  <si>
    <t>05-521350</t>
  </si>
  <si>
    <t>05-521355</t>
  </si>
  <si>
    <t>05-523316</t>
  </si>
  <si>
    <t>STAIR, Industrial Ship Ladder, Aluminum Grating Treads, 24" wide, incl 2 line pipe rail per riser</t>
  </si>
  <si>
    <t>05-602010</t>
  </si>
  <si>
    <t>STEEL GRATING Landing With Framing And 2 Pipe Handrail</t>
  </si>
  <si>
    <t>05-603010</t>
  </si>
  <si>
    <t>05-603012</t>
  </si>
  <si>
    <t>05-603014</t>
  </si>
  <si>
    <t>05-603016</t>
  </si>
  <si>
    <t>05-603018</t>
  </si>
  <si>
    <t>05-603020</t>
  </si>
  <si>
    <t>05-702030</t>
  </si>
  <si>
    <t>05-702031</t>
  </si>
  <si>
    <t>05-702032</t>
  </si>
  <si>
    <t>05-702033</t>
  </si>
  <si>
    <t>05-702034</t>
  </si>
  <si>
    <t>05-712031</t>
  </si>
  <si>
    <t>05-712032</t>
  </si>
  <si>
    <t>05-712033</t>
  </si>
  <si>
    <t>05-752310</t>
  </si>
  <si>
    <t>05-752375</t>
  </si>
  <si>
    <t>WF (or HP/S) Floor/Roof Beams, A36, Avg Cost/Ton Moment/Non-Moment</t>
  </si>
  <si>
    <t>Ton</t>
  </si>
  <si>
    <t>05-752392</t>
  </si>
  <si>
    <t>05-122385</t>
  </si>
  <si>
    <t>Shop or Field Priming, Structural Steel, Red Oxide, 2 Coats</t>
  </si>
  <si>
    <t>Sec 06-00</t>
  </si>
  <si>
    <t>WOOD, PLASTIC and COMPOSITE</t>
  </si>
  <si>
    <t>06-051020</t>
  </si>
  <si>
    <t>06-052025</t>
  </si>
  <si>
    <t>DEMOLITION of 2" x 6" Wood Blocking To Concrete</t>
  </si>
  <si>
    <t>06-052030</t>
  </si>
  <si>
    <t>06-203010</t>
  </si>
  <si>
    <t>06-203020</t>
  </si>
  <si>
    <t>2" x 6" Wood Blocking To Concrete</t>
  </si>
  <si>
    <t>06-203025</t>
  </si>
  <si>
    <t>2" x 8" Wood Blocking To Steel</t>
  </si>
  <si>
    <t>2" x 8" Wood Blocking To Concrete</t>
  </si>
  <si>
    <t>06-203510</t>
  </si>
  <si>
    <t>2" x 6" Pressure Treated Wood Blocking To Concrete</t>
  </si>
  <si>
    <t>06-203525</t>
  </si>
  <si>
    <t>2" x 8" Pressure Treated Wood Blocking To Concrete</t>
  </si>
  <si>
    <t>Sec 07-00</t>
  </si>
  <si>
    <t>THERMAL &amp; MOISTURE PROTECTION</t>
  </si>
  <si>
    <t>07-211620</t>
  </si>
  <si>
    <t>Blanket Insulation for Walls or Ceiling, Kraft Faced, fiberglass 9" Thick, R30, 23" wide</t>
  </si>
  <si>
    <t>07-211625</t>
  </si>
  <si>
    <t>07-211627</t>
  </si>
  <si>
    <t>07-211629</t>
  </si>
  <si>
    <t>07-261010</t>
  </si>
  <si>
    <t>BUILDING Paper Vapor Barrier, Asphalt felt Sheathing paper, 15#</t>
  </si>
  <si>
    <t>07-411320</t>
  </si>
  <si>
    <t>07-711930</t>
  </si>
  <si>
    <t>07-712330</t>
  </si>
  <si>
    <t>Aluminum Gutters, stock units, enameled, 5" box, 0.32" Thick</t>
  </si>
  <si>
    <t>07-212910</t>
  </si>
  <si>
    <t>07-752050</t>
  </si>
  <si>
    <t>07-782420</t>
  </si>
  <si>
    <t>Grid Skylight, With 4' x 10' Module, Aluminum Frame</t>
  </si>
  <si>
    <t>Sec 08-00</t>
  </si>
  <si>
    <t>OPENING</t>
  </si>
  <si>
    <t>08-011010</t>
  </si>
  <si>
    <t>DEMOLITION of 2'-6" x 6'-9" x 1-3/4" 18 Gauge Steel Door (Unrated) With Semicircular Head</t>
  </si>
  <si>
    <t>08-011020</t>
  </si>
  <si>
    <t>DEMOLITION of 2'-2" Or 2'-4" x 6'-9" x 1-3/4" 18 Gauge Steel Door (Unrated) With Semicircular Head</t>
  </si>
  <si>
    <t>08-011030</t>
  </si>
  <si>
    <t>DEMOLITION of 2'-8" x 7' x 1-3/4" 18 Gauge Metal Door (Unrated)</t>
  </si>
  <si>
    <t>08-011040</t>
  </si>
  <si>
    <t>DEMOLITION of 3'-6" x 6'-8" x 1-3/4" 18 Gauge Metal Door (Unrated)</t>
  </si>
  <si>
    <t>08-011050</t>
  </si>
  <si>
    <t>DEMOLITION of 2'-10" x 6'-8" x 1-3/4" 18 Gauge Metal Door (Unrated)</t>
  </si>
  <si>
    <t>08-011060</t>
  </si>
  <si>
    <t>DEMOLITION of 4' x 6'-8" x 1-3/4" 18 Gauge Metal Door (Unrated)</t>
  </si>
  <si>
    <t>08-011110</t>
  </si>
  <si>
    <t>DEMOLITION of Pair 2'-8" x 8' x 1-3/4" 18 &amp; 2'-8" x 7'-2" x 1-3/4" Gauge Metal Door (Unrated)</t>
  </si>
  <si>
    <t>PR</t>
  </si>
  <si>
    <t>08-011120</t>
  </si>
  <si>
    <t>DEMOLITION of Pair 3'-6" x 6'-8" x 1-3/4" 18 Gauge Metal Door (Unrated)</t>
  </si>
  <si>
    <t>08-011130</t>
  </si>
  <si>
    <t>DEMOLITION of Pair 2'-10" x 6'-8" x 1-3/4" 18 Gauge Metal Door (Unrated)</t>
  </si>
  <si>
    <t>08-011140</t>
  </si>
  <si>
    <t>08-131313</t>
  </si>
  <si>
    <t>08-131320</t>
  </si>
  <si>
    <t>DOORS, Garage Overhead, Sectional, Metal, Deluxe, 9'-0"x7'-0" Incl Hardware, excl Frame</t>
  </si>
  <si>
    <t>08-131321</t>
  </si>
  <si>
    <t>9'-2"x7'-1-3/4" x4-3/4" Deep Metal Garage Door Frame 7 Gauge Frame for 9'x7' Garage Door</t>
  </si>
  <si>
    <t>08-131330</t>
  </si>
  <si>
    <t>08-131335</t>
  </si>
  <si>
    <t>08-131337</t>
  </si>
  <si>
    <t>08-131339</t>
  </si>
  <si>
    <t>08-131342</t>
  </si>
  <si>
    <t>08-131345</t>
  </si>
  <si>
    <t>08-131347</t>
  </si>
  <si>
    <t>08-131350</t>
  </si>
  <si>
    <t>08-131352</t>
  </si>
  <si>
    <t>08-131355</t>
  </si>
  <si>
    <t>08-131357</t>
  </si>
  <si>
    <t>08-131362</t>
  </si>
  <si>
    <t>08-131364</t>
  </si>
  <si>
    <t>08-201010</t>
  </si>
  <si>
    <t>08-201012</t>
  </si>
  <si>
    <t>08-201014</t>
  </si>
  <si>
    <t>08-201016</t>
  </si>
  <si>
    <t>08-201018</t>
  </si>
  <si>
    <t>08-201020</t>
  </si>
  <si>
    <t>08-201022</t>
  </si>
  <si>
    <t>08-201024</t>
  </si>
  <si>
    <t>08-201026</t>
  </si>
  <si>
    <t>08-311330</t>
  </si>
  <si>
    <t>DOORS, Specialty Access, floor Commercial, Aluminum tile, Steel Frame, Double Leaf, 4'-0" x4'-0" Opening</t>
  </si>
  <si>
    <t>OP</t>
  </si>
  <si>
    <t>Sec 09-00</t>
  </si>
  <si>
    <t>FINISHES</t>
  </si>
  <si>
    <t>09-221613</t>
  </si>
  <si>
    <t>Horiz/Diagonal Bracing Metal Strap, 18 Ga x2" Wide, Studs 24" O.C</t>
  </si>
  <si>
    <t>CLF</t>
  </si>
  <si>
    <t>09-221620</t>
  </si>
  <si>
    <t>09-221625</t>
  </si>
  <si>
    <t>1/2" Gypsum Board, Walls &gt; 10' High</t>
  </si>
  <si>
    <t>09-221627</t>
  </si>
  <si>
    <t>09-221632</t>
  </si>
  <si>
    <t>1/2" Gypsum Board, Two Layers, Horizontal Installation Up To 10' High</t>
  </si>
  <si>
    <t>09-221720</t>
  </si>
  <si>
    <t>09-221722</t>
  </si>
  <si>
    <t>09-221724</t>
  </si>
  <si>
    <t>09-291510</t>
  </si>
  <si>
    <t>ACCESSORIES, Gypsum Board, Furring Channel, Galvanized Steel, resilient, 5/8" wide</t>
  </si>
  <si>
    <t>09-291030</t>
  </si>
  <si>
    <t>MH</t>
  </si>
  <si>
    <t>09-102005</t>
  </si>
  <si>
    <t>09-102010</t>
  </si>
  <si>
    <t>09-102012</t>
  </si>
  <si>
    <t>09-102014</t>
  </si>
  <si>
    <t>09-102016</t>
  </si>
  <si>
    <t>09-103010</t>
  </si>
  <si>
    <t>09-203010</t>
  </si>
  <si>
    <t>09-204010</t>
  </si>
  <si>
    <t>Patch Floors, White Aluminum Oxide Grit (Non-Slip Aggregate)</t>
  </si>
  <si>
    <t>09-353010</t>
  </si>
  <si>
    <t>09-353012</t>
  </si>
  <si>
    <t>09-353014</t>
  </si>
  <si>
    <t>09-554012</t>
  </si>
  <si>
    <t>09-554013</t>
  </si>
  <si>
    <t>09-554014</t>
  </si>
  <si>
    <t>09-554015</t>
  </si>
  <si>
    <t>09-555510</t>
  </si>
  <si>
    <t>09-555512</t>
  </si>
  <si>
    <t>09-555513</t>
  </si>
  <si>
    <t>Sec 11-00</t>
  </si>
  <si>
    <t>EQUIPMENT</t>
  </si>
  <si>
    <t>11-051005</t>
  </si>
  <si>
    <t xml:space="preserve">Demolition of 20HP Vortex Type Sludge Pump, 8" Intake And 6" Discharge Flange Connections, Wemco Model E </t>
  </si>
  <si>
    <t>11-051010</t>
  </si>
  <si>
    <t xml:space="preserve">Demolition of 1 HP Submersible Sewage Pump, 115V Or 230V 1 Phase, 2" To 3" Flanged Discharge, Epoxy-Coated Cast Steel Housing And Impeller </t>
  </si>
  <si>
    <t>11-051015</t>
  </si>
  <si>
    <t>Demolition of 3 HP Submersible Well Pump, 4" Diameter Stainless Steel</t>
  </si>
  <si>
    <t>11-000100</t>
  </si>
  <si>
    <t>Tipping Buckets</t>
  </si>
  <si>
    <t>11-000115</t>
  </si>
  <si>
    <t>PUMP, SUBMERSIBLE, 20 HP Complete with Rail and Base ell</t>
  </si>
  <si>
    <t>11-001025</t>
  </si>
  <si>
    <t>11-001035</t>
  </si>
  <si>
    <t>11-341950</t>
  </si>
  <si>
    <t xml:space="preserve">1 HP Submersible Sewage Pump, 115V Or 230V 1 Phase, 2" To 3" Flanged Discharge, Epoxy-Coated Cast Steel Housing And Impeller </t>
  </si>
  <si>
    <t>11-341965</t>
  </si>
  <si>
    <t>ODOR Control Tower, complete w/media</t>
  </si>
  <si>
    <t>Sec 13-00</t>
  </si>
  <si>
    <t>SPECIAL CONSTRUCTION</t>
  </si>
  <si>
    <t>13-055010</t>
  </si>
  <si>
    <t>DEMOLITION of Pre-Engineered 4' x4' Steel Building Accessory Items Entrance Canopy</t>
  </si>
  <si>
    <t>DEMOLITION of Pre-Engineered 4' x8' Steel Building Accessory Items Entrance Canopy</t>
  </si>
  <si>
    <t>13-341950</t>
  </si>
  <si>
    <t>PRE-ENGINEERED Steel Building Accessory Item, Entrance canopy, 4' x4', Including Frame</t>
  </si>
  <si>
    <t>13-341955</t>
  </si>
  <si>
    <t>PRE-ENGINEERED Steel Building Accessory Item, Entrance canopy, 4' x8', Including Frame</t>
  </si>
  <si>
    <t>PRE-ENGINEERED Steel Building, Clear Span Rigid Frame, 30 PSF Roff &amp; 20 PSF Wind Load, with Accessories</t>
  </si>
  <si>
    <t>Sec 21-00</t>
  </si>
  <si>
    <t>FIRE SUPPRESSION</t>
  </si>
  <si>
    <t>CCF</t>
  </si>
  <si>
    <t>DEMO -3" HDPE Fire Suppression Pipe</t>
  </si>
  <si>
    <t>DEMO -4" HDPE Fire Suppression Pipe</t>
  </si>
  <si>
    <t>DEMO -6" HDPE Fire Suppression Pipe</t>
  </si>
  <si>
    <t>DEMO -8" HDPE Fire Suppression Pipe</t>
  </si>
  <si>
    <t>DEMO -2" SWAY Bracing</t>
  </si>
  <si>
    <t>DEMO -3" SWAY Bracing</t>
  </si>
  <si>
    <t>DEMO -4" SWAY Bracing</t>
  </si>
  <si>
    <t>DEMO -6" SWAY Bracing</t>
  </si>
  <si>
    <t>DEMO -8" SWAY Bracing</t>
  </si>
  <si>
    <t>DEMO -10" SWAY Bracing</t>
  </si>
  <si>
    <t>2" SWAY Bracing</t>
  </si>
  <si>
    <t>3" SWAY Bracing</t>
  </si>
  <si>
    <t>4" SWAY Bracing</t>
  </si>
  <si>
    <t>6" SWAY Bracing</t>
  </si>
  <si>
    <t>8" SWAY Bracing</t>
  </si>
  <si>
    <t>10" SWAY Bracing</t>
  </si>
  <si>
    <t>DEMO 3/4" SCH 40 CPVC Fire Sprinkler Pipe</t>
  </si>
  <si>
    <t>DEMO 1" SCH 40 CPVC Fire Sprinkler Pipe</t>
  </si>
  <si>
    <t>DEMO 2" SCH 40 CPVC Fire Sprinkler Pipe</t>
  </si>
  <si>
    <t>DEMO 3" Cast Iron (Black Steel) Sprinkler Pipe</t>
  </si>
  <si>
    <t>DEMO 3" SS SCH 10 Type 304 Sprinkler Pipe</t>
  </si>
  <si>
    <t>DEMO 3" Hanger Assembly- Sprinkler Pipe</t>
  </si>
  <si>
    <t>3" Hanger Assembly-Fire Sprinkler Pipe</t>
  </si>
  <si>
    <t>DEMO- Pipe Size 2" MAX PSI 150, Double Seat Float Valve</t>
  </si>
  <si>
    <t>DEMO- Pipe Size 3" MAX PSI 150, Double Seat Float Valve</t>
  </si>
  <si>
    <t>DEMO- 4" or 6" Pop-Up Height, Spray Sprinkler Head With Check Valve</t>
  </si>
  <si>
    <t>DEMO 3/4" Ball Valve, Brass Body, Threaded or Sweated, 125#, Regular Port</t>
  </si>
  <si>
    <t>DEMO 1" Ball Valve, Brass Body, Threaded or Sweated, 125#, Regular Port</t>
  </si>
  <si>
    <t>DEMO 2-1/2" Ball Valve, Brass Body, Threaded or Sweated, 125#, Regular Port</t>
  </si>
  <si>
    <t>1" Ball Valve, Brass Body, Threaded or Sweated, 125#, Regular Port</t>
  </si>
  <si>
    <t>2-1/2" Ball Valve, Brass Body, Threaded or Sweated, 125#, Regular Port</t>
  </si>
  <si>
    <t>3/4" Manual Sprinkler Control Valves, with Union</t>
  </si>
  <si>
    <t>1" Manual Sprinkler Control Valves, with Union</t>
  </si>
  <si>
    <t>2" Manual Sprinkler Control Valves, with Union</t>
  </si>
  <si>
    <t>1-1/4" Manual Sprinkler Control Valves, with Union</t>
  </si>
  <si>
    <t>1-1/2" Manual Sprinkler Control Valves, with Union</t>
  </si>
  <si>
    <t>Double Seat Float valve-Pipe size 1", MAX PSI 150</t>
  </si>
  <si>
    <t>Double Seat Float valve-Pipe size 2", MAX PSI 150</t>
  </si>
  <si>
    <t>Double Seat Float valve-Pipe size 3", MAX PSI 150</t>
  </si>
  <si>
    <t>4" Pop-Up Height, Spray Sprinkler Head With Check Valve, Rotary Nozzle.</t>
  </si>
  <si>
    <t>6" Pop-Up Height, Spray Sprinkler Head With Check Valve, Rotary Nozzle.</t>
  </si>
  <si>
    <t>Sec 22-00</t>
  </si>
  <si>
    <t>PLUMBING</t>
  </si>
  <si>
    <t>22-000110</t>
  </si>
  <si>
    <t>22-000220</t>
  </si>
  <si>
    <t>22-000230</t>
  </si>
  <si>
    <t>22-000235</t>
  </si>
  <si>
    <t>22-000310</t>
  </si>
  <si>
    <t>22-000320</t>
  </si>
  <si>
    <t>DEMOLITION of 6" Main Line Flow Meter, 22" Long, 150#, Flanged</t>
  </si>
  <si>
    <t>22-000330</t>
  </si>
  <si>
    <t>DEMOLITION of 8" Main Line Flow Meter, 24" Long, 150#, Flanged</t>
  </si>
  <si>
    <t>22-000410</t>
  </si>
  <si>
    <t>22-000420</t>
  </si>
  <si>
    <t>22-00510</t>
  </si>
  <si>
    <t>22-00514</t>
  </si>
  <si>
    <t>22-00526</t>
  </si>
  <si>
    <t>22-00534</t>
  </si>
  <si>
    <t>DEMOLITION of 4" Gate Valve, Bronze, Threaded, 125#, Brazed Or Soldered</t>
  </si>
  <si>
    <t>22-00536</t>
  </si>
  <si>
    <t>22-201510</t>
  </si>
  <si>
    <t>3/4" Pipe Clip/Strap, Plain Type 26, Work In Restricted Working Space</t>
  </si>
  <si>
    <t>22-201515</t>
  </si>
  <si>
    <t>1-1/4" Pipe Clip/Strap, Plain Type 26, Work In Restricted Working Space</t>
  </si>
  <si>
    <t>22-202510</t>
  </si>
  <si>
    <t>4" Stainless Steel Schedule 40 Type 304 For Butt Weld Fitting with Fitting</t>
  </si>
  <si>
    <t>22-202515</t>
  </si>
  <si>
    <t>22-202516</t>
  </si>
  <si>
    <t>22-202517</t>
  </si>
  <si>
    <t>22-202518</t>
  </si>
  <si>
    <t>22-452010</t>
  </si>
  <si>
    <t>22-452020</t>
  </si>
  <si>
    <t>22-452030</t>
  </si>
  <si>
    <t>22-452050</t>
  </si>
  <si>
    <t>22-453510</t>
  </si>
  <si>
    <t>22-453516</t>
  </si>
  <si>
    <t>22-454812</t>
  </si>
  <si>
    <t>22-454814</t>
  </si>
  <si>
    <t>22-454816</t>
  </si>
  <si>
    <t>22-455424</t>
  </si>
  <si>
    <t>22-455426</t>
  </si>
  <si>
    <t>Sec 23-00</t>
  </si>
  <si>
    <t>HEATING, VENTILATING, and AIR CONDITIONING (HVAC)</t>
  </si>
  <si>
    <t>23-100510</t>
  </si>
  <si>
    <t>23-100515</t>
  </si>
  <si>
    <t>DEMOLITION of 2100 CFM Belt Drive Fans Supply</t>
  </si>
  <si>
    <t>23-100520</t>
  </si>
  <si>
    <t>23-100540</t>
  </si>
  <si>
    <t>23-311319</t>
  </si>
  <si>
    <t>DUCT Accessories, Multi Blade Dampers, Parallel Blade</t>
  </si>
  <si>
    <t>23-240010</t>
  </si>
  <si>
    <t>FANS, Supply, 2100 CFM</t>
  </si>
  <si>
    <t>23-314310</t>
  </si>
  <si>
    <t>HEAT Pump, Air to Air single package, 1 ton cooling, supplementary heat.</t>
  </si>
  <si>
    <t>23-311316</t>
  </si>
  <si>
    <t>23-311317</t>
  </si>
  <si>
    <t>23-311318</t>
  </si>
  <si>
    <t>23-311320</t>
  </si>
  <si>
    <t>23-311321</t>
  </si>
  <si>
    <t>Sec 26-00</t>
  </si>
  <si>
    <t>ELECTRICAL</t>
  </si>
  <si>
    <t>Demo Electrical Items</t>
  </si>
  <si>
    <t>26-005010</t>
  </si>
  <si>
    <t>ELECTRICAL TESTING {Value $0.15M-$0.25M}</t>
  </si>
  <si>
    <t>26-005015</t>
  </si>
  <si>
    <t>ELECTRICAL TESTING {Value $0.30M-$0.45M}</t>
  </si>
  <si>
    <t>ELECTRICAL TESTING {Value $0.5M-$0.65M}</t>
  </si>
  <si>
    <t>26-001001</t>
  </si>
  <si>
    <t>Demo Existing Wall Mount Electrical Conduit &amp; Wiring</t>
  </si>
  <si>
    <t>26-001005</t>
  </si>
  <si>
    <t>Demo Existing Wall Mount Electrical Panels/Enclosures</t>
  </si>
  <si>
    <t>26-001010</t>
  </si>
  <si>
    <t>Demo Existing Free Standing Electrical Cabinets/Panels</t>
  </si>
  <si>
    <t>26-001015</t>
  </si>
  <si>
    <t>26-002520</t>
  </si>
  <si>
    <t>Demo Existing Backup Power Generator 35 KW-Diesel Set, 3 Phase</t>
  </si>
  <si>
    <t>26-002522</t>
  </si>
  <si>
    <t>Demo Existing Backup Power Generator 40 KW-Diesel Set, 3 Phase</t>
  </si>
  <si>
    <t>26-005020</t>
  </si>
  <si>
    <t>DEMOLITION of System Console-Controls NOVA Matrix Systems, AurorA 2000 / AurorACorD multiplexers and recorders and time-lapse VCRs. Vicon model V1400X-DVC-3.</t>
  </si>
  <si>
    <t>26--005025</t>
  </si>
  <si>
    <t>26--005005</t>
  </si>
  <si>
    <t>DEMOLITION of Compact Fluorescent Track Lighting Fixture</t>
  </si>
  <si>
    <t>26--005015</t>
  </si>
  <si>
    <t>26--005020</t>
  </si>
  <si>
    <t>26-002524</t>
  </si>
  <si>
    <t>Demo Existing Backup Power Generator 50 KW-Diesel Set, 3 Phase</t>
  </si>
  <si>
    <t>26-002526</t>
  </si>
  <si>
    <t>Demo Existing Backup Power Generator 80 KW-Diesel set, 3 Phase</t>
  </si>
  <si>
    <t>26-002528</t>
  </si>
  <si>
    <t>Demo Existing Backup Power Generator 100 KW-Diesel set, 3 Phase</t>
  </si>
  <si>
    <t>26-002530</t>
  </si>
  <si>
    <t>Demo Existing Backup Power Generator 250 KW-Diesel set, 3 Phase</t>
  </si>
  <si>
    <t>26-002532</t>
  </si>
  <si>
    <t>Demo Existing Backup Power Generator 350 KW-Diesel set, 3 Phase</t>
  </si>
  <si>
    <t>26-002534</t>
  </si>
  <si>
    <t>Demo Existing Backup Power Generator 500 KW-Diesel set, 3 Phase</t>
  </si>
  <si>
    <t>Demo Existing Backup Power Generator 1000 KW-Diesel set, 3 Phase</t>
  </si>
  <si>
    <t>26-003002</t>
  </si>
  <si>
    <t>26-004210</t>
  </si>
  <si>
    <t>26-004220</t>
  </si>
  <si>
    <t>26-004510</t>
  </si>
  <si>
    <t>26-004515</t>
  </si>
  <si>
    <t>26-004520</t>
  </si>
  <si>
    <t>26-004525</t>
  </si>
  <si>
    <t>26-004530</t>
  </si>
  <si>
    <t>26-004535</t>
  </si>
  <si>
    <t xml:space="preserve"> Electrical Cable &amp; Accessories</t>
  </si>
  <si>
    <t>26-052680</t>
  </si>
  <si>
    <t>Grounding Wire Splice, Copper To Aluminum, #8 - 1 AWG</t>
  </si>
  <si>
    <t>26-052685</t>
  </si>
  <si>
    <t>OPEN</t>
  </si>
  <si>
    <t>26-052687</t>
  </si>
  <si>
    <t>Grounding Wire Splice, Copper To Aluminum, 350 MCM And Up</t>
  </si>
  <si>
    <t>26-102530</t>
  </si>
  <si>
    <t>SYSTEM Console -Controls NOVA Matrix Systems, AurorA 2000 / AurorACorD multiplexers and recorders and time-lapse VCRs. Vicon model V1400X-DVC-3.</t>
  </si>
  <si>
    <t>26-104510</t>
  </si>
  <si>
    <t>26-104512</t>
  </si>
  <si>
    <t>26-104513</t>
  </si>
  <si>
    <t>26-104514</t>
  </si>
  <si>
    <t>26-051010</t>
  </si>
  <si>
    <t>26-051020</t>
  </si>
  <si>
    <t>26-051030</t>
  </si>
  <si>
    <t>26-051040</t>
  </si>
  <si>
    <t>26-073810</t>
  </si>
  <si>
    <t>26-073812</t>
  </si>
  <si>
    <t>26-073814</t>
  </si>
  <si>
    <t>26-073910</t>
  </si>
  <si>
    <t>26-073912</t>
  </si>
  <si>
    <t>26-073914</t>
  </si>
  <si>
    <t>26-093110</t>
  </si>
  <si>
    <t>26-093112</t>
  </si>
  <si>
    <t>26-093114</t>
  </si>
  <si>
    <t>26-093116</t>
  </si>
  <si>
    <t>26-093118</t>
  </si>
  <si>
    <t>26-093312</t>
  </si>
  <si>
    <t>26-093314</t>
  </si>
  <si>
    <t>26-172510</t>
  </si>
  <si>
    <t>26-073010</t>
  </si>
  <si>
    <t>26-073012</t>
  </si>
  <si>
    <t>26-073014</t>
  </si>
  <si>
    <t>26-073310</t>
  </si>
  <si>
    <t>26-073312</t>
  </si>
  <si>
    <t>26-073314</t>
  </si>
  <si>
    <t>26-073510</t>
  </si>
  <si>
    <t>26-073512</t>
  </si>
  <si>
    <t>26-073514</t>
  </si>
  <si>
    <t>26-073710</t>
  </si>
  <si>
    <t>26-073712</t>
  </si>
  <si>
    <t>26-073714</t>
  </si>
  <si>
    <t>26-093316</t>
  </si>
  <si>
    <t>26-093318</t>
  </si>
  <si>
    <t>26-093512</t>
  </si>
  <si>
    <t>26-093514</t>
  </si>
  <si>
    <t>26-093516</t>
  </si>
  <si>
    <t>26-093518</t>
  </si>
  <si>
    <t>26-093712</t>
  </si>
  <si>
    <t>26-093714</t>
  </si>
  <si>
    <t>26-093716</t>
  </si>
  <si>
    <t>26-093718</t>
  </si>
  <si>
    <t>26-093812</t>
  </si>
  <si>
    <t>26-093814</t>
  </si>
  <si>
    <t>26-093816</t>
  </si>
  <si>
    <t>26-093818</t>
  </si>
  <si>
    <t>26-093912</t>
  </si>
  <si>
    <t>26-093914</t>
  </si>
  <si>
    <t>26-093916</t>
  </si>
  <si>
    <t>26-093918</t>
  </si>
  <si>
    <t>26-083012</t>
  </si>
  <si>
    <t>26-083014</t>
  </si>
  <si>
    <t>26-083016</t>
  </si>
  <si>
    <t>26-083212</t>
  </si>
  <si>
    <t>26-083214</t>
  </si>
  <si>
    <t>26-083216</t>
  </si>
  <si>
    <t>26-083414</t>
  </si>
  <si>
    <t>26-083416</t>
  </si>
  <si>
    <t>26-083612</t>
  </si>
  <si>
    <t>26-083614</t>
  </si>
  <si>
    <t>26-083616</t>
  </si>
  <si>
    <t>26-083412</t>
  </si>
  <si>
    <t>26-222010</t>
  </si>
  <si>
    <t>Electrical UNSTRUT B-Line B22SH-120 GLV Slot, 12 GA STL HALFSLOT GALV Channel 1-5/8"x1-5/8"</t>
  </si>
  <si>
    <t>26-222020</t>
  </si>
  <si>
    <t>Electrical UNSTRUT B-Line B54SH-120 HDC Slot, 14 GA STL HALFSLOT GALV Channel 1-5/8"x1-3/16"</t>
  </si>
  <si>
    <t>26-242010</t>
  </si>
  <si>
    <t>26-242012</t>
  </si>
  <si>
    <t>26-242014</t>
  </si>
  <si>
    <t>26-242424</t>
  </si>
  <si>
    <t>26-321040</t>
  </si>
  <si>
    <t>26-321042</t>
  </si>
  <si>
    <t>26-311240</t>
  </si>
  <si>
    <t>26-311242</t>
  </si>
  <si>
    <t>26-311440</t>
  </si>
  <si>
    <t>26-311442</t>
  </si>
  <si>
    <t>26-311443</t>
  </si>
  <si>
    <t>26-311444</t>
  </si>
  <si>
    <t>26-311445</t>
  </si>
  <si>
    <t>26-311446</t>
  </si>
  <si>
    <t>26-311447</t>
  </si>
  <si>
    <t>26-311448</t>
  </si>
  <si>
    <t>26-311449</t>
  </si>
  <si>
    <t>26-152010</t>
  </si>
  <si>
    <t>26-152012</t>
  </si>
  <si>
    <t>26-152014</t>
  </si>
  <si>
    <t>26-254010</t>
  </si>
  <si>
    <t>Enclosure for Lighting Panels- SIEM B38 20W Type 1, Box W/O Ground BUS, 38H x 20W</t>
  </si>
  <si>
    <t>26-254110</t>
  </si>
  <si>
    <t>26-254011</t>
  </si>
  <si>
    <t>Enclosure for Lighting Panels- SIEM B38 FAS-LATCH TRIP ASSY 38H, Surface Mount</t>
  </si>
  <si>
    <t>26-254111</t>
  </si>
  <si>
    <t>Enclosure for Lighting Panels- SIEM S44B FAS-LATCH Trim ASSY 44H, Surface Mount</t>
  </si>
  <si>
    <t>26-254012</t>
  </si>
  <si>
    <t>Enclosure for Lighting Panels- SIEM MLKA3A KIT 250A Main LUG KIT 3 PH</t>
  </si>
  <si>
    <t>26-254210</t>
  </si>
  <si>
    <t>Enclosure for Lighting Panels- SIEM P1X42MC25 0AT P1 REV. UPB 250A 208/120V 42CIR AL</t>
  </si>
  <si>
    <t>26-321321</t>
  </si>
  <si>
    <t>50KW Diesel Generator Set, 3 Phase with Aluminum Enclosure, level 2 sound, 24HR Fuel Tank, ATS by Cummins with Concrete Pad</t>
  </si>
  <si>
    <t>26-321322</t>
  </si>
  <si>
    <t>80KW Diesel Generator Set, 3 Phase with Aluminum Enclosure, level 2 sound, 24HR Fuel Tank, ATS by Cummins with Concrete Pad</t>
  </si>
  <si>
    <t>26-321323</t>
  </si>
  <si>
    <t>100KW Diesel Generator Set, 3 Phase with Aluminum Enclosure, level 2 sound, 24HR Fuel Tank, ATS by Cummins with Concrete Pad</t>
  </si>
  <si>
    <t>26-321328</t>
  </si>
  <si>
    <t>250KW Diesel Generator Set, 3 Phase with Aluminum Enclosure, level 2 sound, 24HR Fuel Tank, ATS by Cummins with Concrete Pad</t>
  </si>
  <si>
    <t>26-321332</t>
  </si>
  <si>
    <t>350KW Diesel Generator Set, 3 Phase with Aluminum Enclosure, level 2 sound, 24HR Fuel Tank, ATS by Cummins with Concrete Pad</t>
  </si>
  <si>
    <t>26-321334</t>
  </si>
  <si>
    <t>500KW Diesel Generator Set, 3 Phase with Aluminum Enclosure, level 2 sound, 24HR Fuel Tank, ATS by Cummins with Concrete Pad</t>
  </si>
  <si>
    <t>26-321338</t>
  </si>
  <si>
    <t>1000KW Diesel Generator Set, 3 Phase with Aluminum Enclosure, level 2 sound, 24HR Fuel Tank, ATS by Cummins with Concrete Pad</t>
  </si>
  <si>
    <t>26-416010</t>
  </si>
  <si>
    <t>Electrical Panel Automatic Starters A-B 512-AACD-24R NEMA Combination S</t>
  </si>
  <si>
    <t>26-416012</t>
  </si>
  <si>
    <t>Electrical Panel Automatic Starters A-B 512-BACD-24R NEMA Combination S</t>
  </si>
  <si>
    <t>26-416014</t>
  </si>
  <si>
    <t>Electrical Panel Automatic Starters A-B 512-CACD-24R NEMA Combination S</t>
  </si>
  <si>
    <t>26-416016</t>
  </si>
  <si>
    <t>26-503510</t>
  </si>
  <si>
    <t>26-503512</t>
  </si>
  <si>
    <t>26-552210</t>
  </si>
  <si>
    <t>26-602410</t>
  </si>
  <si>
    <t>26-602420</t>
  </si>
  <si>
    <t>26-651510</t>
  </si>
  <si>
    <t>26-651515</t>
  </si>
  <si>
    <t>26-651520</t>
  </si>
  <si>
    <t>26-702510</t>
  </si>
  <si>
    <t>Electrical Panel Enclosure A72H6012SSLpQt SS TWO Door by HOFFMAN</t>
  </si>
  <si>
    <t>26-208010</t>
  </si>
  <si>
    <t>26-208015</t>
  </si>
  <si>
    <t>26-208020</t>
  </si>
  <si>
    <t>12 Watt, 20 Volt, Heavyweight Polycarbonate Housing, Halogen Light Fixture, Emergency Light Remote Head (Lithonia ELA IND H2012</t>
  </si>
  <si>
    <t>26-208025</t>
  </si>
  <si>
    <t>26-208030</t>
  </si>
  <si>
    <t>26-208510</t>
  </si>
  <si>
    <t>26-208515</t>
  </si>
  <si>
    <t>26-208535</t>
  </si>
  <si>
    <t>26-058525</t>
  </si>
  <si>
    <t>26-228513</t>
  </si>
  <si>
    <t>26-248530</t>
  </si>
  <si>
    <t>26-248520</t>
  </si>
  <si>
    <t>MOTOR CONTROL Center, Model 6 LVMCC, 480Y/277V 3 PH 4W 60 Hz;Control Power-120Vac; Main-65KA Interrupting Rating;Manin Breaker Top Entry 200A Dimentions-80.00"WX20"Dx94.5"H; Weight 3125.00 lbs/1417.50kgs</t>
  </si>
  <si>
    <t>26-248540</t>
  </si>
  <si>
    <t>26-255510</t>
  </si>
  <si>
    <t>ELECTRIC UNIT HEATER by KING KBP1230, 120 V, 3 position switch, 950 Watts, 270 CFM, 35F Temp Rise</t>
  </si>
  <si>
    <t>26-255512</t>
  </si>
  <si>
    <t>26-255514</t>
  </si>
  <si>
    <t>26-268010</t>
  </si>
  <si>
    <t xml:space="preserve">ELECTRIC Ultima® X XP Series Gas Monitors with X3® Technology </t>
  </si>
  <si>
    <t>26-269010</t>
  </si>
  <si>
    <t>ELECTRIC BROAN EXHAUST FAN L500</t>
  </si>
  <si>
    <t>26-269020</t>
  </si>
  <si>
    <t>ELECTRIC BROAN EXHAUST FAN L900</t>
  </si>
  <si>
    <t>26-278510</t>
  </si>
  <si>
    <t>26-278520</t>
  </si>
  <si>
    <t>26-288520</t>
  </si>
  <si>
    <t>SAFETY SWITCHES, 3 Pole, nonfusable, 600 Volt, 30 AMP, NEMA 4</t>
  </si>
  <si>
    <t>26-268510</t>
  </si>
  <si>
    <t>AUTOMATIC Transfer Switches, Enclosed, 3 Pole, 480 Volt, 800 AMP</t>
  </si>
  <si>
    <t>26-2740-02</t>
  </si>
  <si>
    <t>26-2740-04</t>
  </si>
  <si>
    <t>26-2740-06</t>
  </si>
  <si>
    <t>26-2740-08</t>
  </si>
  <si>
    <t>26-2740-10</t>
  </si>
  <si>
    <t>26-2740-12</t>
  </si>
  <si>
    <t>26-2740-14</t>
  </si>
  <si>
    <t>26-2740-16</t>
  </si>
  <si>
    <t>26-2740-18</t>
  </si>
  <si>
    <t>26-2988-10</t>
  </si>
  <si>
    <t>26-2988-12</t>
  </si>
  <si>
    <t>26-2988-14</t>
  </si>
  <si>
    <t>26-2988-16</t>
  </si>
  <si>
    <t>26-2988-18</t>
  </si>
  <si>
    <t>26-2988-20</t>
  </si>
  <si>
    <t>26-2988-22</t>
  </si>
  <si>
    <t>26-2988-24</t>
  </si>
  <si>
    <t>26-2988-26</t>
  </si>
  <si>
    <t>26-2988-28</t>
  </si>
  <si>
    <t>26-2988-30</t>
  </si>
  <si>
    <t>26-2988-32</t>
  </si>
  <si>
    <t>26-2988-34</t>
  </si>
  <si>
    <t>26-2988-36</t>
  </si>
  <si>
    <t>26-2988-38</t>
  </si>
  <si>
    <t>26-2988-40</t>
  </si>
  <si>
    <t>26-2988-42</t>
  </si>
  <si>
    <t>26-2990-10</t>
  </si>
  <si>
    <t>Electrical Light Fixture EVLEDC 201 Product 782, UPS- 66227627327</t>
  </si>
  <si>
    <t>26-2990-11</t>
  </si>
  <si>
    <t>Electrical Light Fixture EVLEDA 2C201 Product 782, UPS- 66227627355</t>
  </si>
  <si>
    <t>26-2990-12</t>
  </si>
  <si>
    <t>Electrical Light Fixture EVLEDA 3C201 Product 782, UPS- 66227627296</t>
  </si>
  <si>
    <t>26-2990-13</t>
  </si>
  <si>
    <t>Electrical Light Fixture EVLEDCX 2C201 Product 782, UPS- 66227626277</t>
  </si>
  <si>
    <t>26-2990-14</t>
  </si>
  <si>
    <t>Electrical Light Fixture EVLEDCX 3C201 Product 782, UPS- 66227628306</t>
  </si>
  <si>
    <t>26-2990-15</t>
  </si>
  <si>
    <t>Electrical Light Fixture EVLEDBX 2C201 Product 782, UPS- 66227627356</t>
  </si>
  <si>
    <t>26-2990-16</t>
  </si>
  <si>
    <t>Electrical Light Fixture EVLEDBX 3C201 Product 782, UPS- 66227628145</t>
  </si>
  <si>
    <t>26-2990-17</t>
  </si>
  <si>
    <t>Electrical Light Fixture EVLEDBH 2C201 Product 782, UPS- 66227627524</t>
  </si>
  <si>
    <t>26-2990-18</t>
  </si>
  <si>
    <t>Electrical Light Fixture EVLEDC701 Product 782, UPS- 66227627556</t>
  </si>
  <si>
    <t>26-2990-19</t>
  </si>
  <si>
    <t>26-2990-20</t>
  </si>
  <si>
    <t>Electrical Light Fixture EVLEDA3C701 Product 782, UPS- 66227630098</t>
  </si>
  <si>
    <t>26-2992-10</t>
  </si>
  <si>
    <t>Electrical Light Fixture EVLEDCX2C701 Product 782, UPS- 66227628045</t>
  </si>
  <si>
    <t>26-2992-12</t>
  </si>
  <si>
    <t>Electrical Light Fixture EVLEDCX3C701 Product 782, UPS- 6622765532</t>
  </si>
  <si>
    <t>26-2992-14</t>
  </si>
  <si>
    <t>Electrical Light Fixture EVLEDBX2C701 Product 782, UPS- 6622768936</t>
  </si>
  <si>
    <t>26-2992-16</t>
  </si>
  <si>
    <t>Electrical Light Fixture EVLEDBH2C701 Product 782, UPS- 66227636204</t>
  </si>
  <si>
    <t>26-2994-02</t>
  </si>
  <si>
    <t>Electrical Light Fixture EV22, Product Group 704, EV Incandescent, EVI, UPS-78227458614</t>
  </si>
  <si>
    <t>26-2994-03</t>
  </si>
  <si>
    <t>Electrical Light Fixture EV33, Product Group 704, EV Incandescent, EVI, UPS-78227458597</t>
  </si>
  <si>
    <t>26-2994-04</t>
  </si>
  <si>
    <t>Electrical Light Fixture EVMP2, Product Group 704, EV Incandescent, EVI, UPS-78227412207</t>
  </si>
  <si>
    <t>26-2994-05</t>
  </si>
  <si>
    <t>Electrical Light Fixture EVMP3, Product Group 704, EV Incandescent, EVI, UPS-78227450770</t>
  </si>
  <si>
    <t>26-2994-06</t>
  </si>
  <si>
    <t>26-2994-07</t>
  </si>
  <si>
    <t>Electrical Light Fixture EV87, Product Group 704, EV Incandescent, EVI, UPS-78227479030</t>
  </si>
  <si>
    <t>26-2994-08</t>
  </si>
  <si>
    <t>26-2995-02</t>
  </si>
  <si>
    <t>Electrical Light Fixture EVIJ2, Product Group 704, EV Incandescent, EVI, UPS-78227424501</t>
  </si>
  <si>
    <t>Sec 27-00</t>
  </si>
  <si>
    <t>COMMUNICATION</t>
  </si>
  <si>
    <t>27-005010</t>
  </si>
  <si>
    <t>27-005020</t>
  </si>
  <si>
    <t>27-010020</t>
  </si>
  <si>
    <t>DEMOLITION of Emergency Voice Alarm Communication System, 3.5 Amp Power Supply And Battery Charger, 50W Amplifier, Battery Cables, Main Control Board With One Speaker Circuit</t>
  </si>
  <si>
    <t>27-203010</t>
  </si>
  <si>
    <t>27-204010</t>
  </si>
  <si>
    <t>27-205520</t>
  </si>
  <si>
    <t>27-208025</t>
  </si>
  <si>
    <t>27-208035</t>
  </si>
  <si>
    <t>27-208045</t>
  </si>
  <si>
    <t>27-208055</t>
  </si>
  <si>
    <t>Sec 33-00</t>
  </si>
  <si>
    <t>UTILITIES</t>
  </si>
  <si>
    <t xml:space="preserve">SUB-Sec </t>
  </si>
  <si>
    <t>33-013071</t>
  </si>
  <si>
    <t>PIPEBURSTING-Rehabilitation-Sewer Utility, (Replace with HDPE Pipe-4" DIA)</t>
  </si>
  <si>
    <t>33-013072</t>
  </si>
  <si>
    <t>PIPEBURSTING-Rehabilitation-Sewer Utility, (Replace with HDPE Pipe-6" DIA)</t>
  </si>
  <si>
    <t>33-013073</t>
  </si>
  <si>
    <t>PIPEBURSTING-Rehabilitation-Sewer Utility, (Replace with HDPE Pipe-8" DIA)</t>
  </si>
  <si>
    <t>33-013074</t>
  </si>
  <si>
    <t>PIPEBURSTING-Rehabilitation-Sewer Utility, (Replace with HDPE Pipe-10" DIA)</t>
  </si>
  <si>
    <t>33-72301</t>
  </si>
  <si>
    <t>33-72302</t>
  </si>
  <si>
    <t>33-723030</t>
  </si>
  <si>
    <t>33-723040</t>
  </si>
  <si>
    <t>33-723050</t>
  </si>
  <si>
    <t>33-723060</t>
  </si>
  <si>
    <t>33-723065</t>
  </si>
  <si>
    <t>33-723070</t>
  </si>
  <si>
    <t>33-723075</t>
  </si>
  <si>
    <t>33-723180</t>
  </si>
  <si>
    <t>33-723185</t>
  </si>
  <si>
    <t>33-723190</t>
  </si>
  <si>
    <t>33-723195</t>
  </si>
  <si>
    <t>33-723197</t>
  </si>
  <si>
    <t>33-723198</t>
  </si>
  <si>
    <t>33-723199</t>
  </si>
  <si>
    <t>33-724030</t>
  </si>
  <si>
    <t>33-724032</t>
  </si>
  <si>
    <t>33-724110</t>
  </si>
  <si>
    <t>SERVICE CONNECTION TRANSFER</t>
  </si>
  <si>
    <t>33-724120</t>
  </si>
  <si>
    <t>33-724130</t>
  </si>
  <si>
    <t>FURNISH SERVICE CONNECT PIPE &amp; FITTINGS, 6 IN D.I. CL 52</t>
  </si>
  <si>
    <t>33-724140</t>
  </si>
  <si>
    <t>FURNISH SERVICE CONNECT PIPE &amp; FITTINGS, 8 IN D.I. CL 52</t>
  </si>
  <si>
    <t>33-724155</t>
  </si>
  <si>
    <t>FURNISH SERVICE CONNECT PIPE &amp; FITTINGS, 10 IN D.I. CL 52</t>
  </si>
  <si>
    <t>33-724160</t>
  </si>
  <si>
    <t>FURNISH SERVICE CONNECT PIPE &amp; FITTINGS, 12 IN D.I. CL 52</t>
  </si>
  <si>
    <t>33-724020</t>
  </si>
  <si>
    <t>33-724025</t>
  </si>
  <si>
    <t>33-724035</t>
  </si>
  <si>
    <t>SUB-Sec</t>
  </si>
  <si>
    <t>Sec 46-00</t>
  </si>
  <si>
    <t>Water &amp; Waste Water Equipment and Accessories</t>
  </si>
  <si>
    <t>Check Valves</t>
  </si>
  <si>
    <t>46-523210</t>
  </si>
  <si>
    <t>Silent Check Valve, Class 125# Series 1400A-4"</t>
  </si>
  <si>
    <t>46-523211</t>
  </si>
  <si>
    <t>Silent Check Valve, Class 125# Series 1800A-6"</t>
  </si>
  <si>
    <t>46-523212</t>
  </si>
  <si>
    <t>Silent Check Valve, Class 125# Series 1400A-8"</t>
  </si>
  <si>
    <t>46-523410</t>
  </si>
  <si>
    <t>46-523412</t>
  </si>
  <si>
    <t>46-523414</t>
  </si>
  <si>
    <t>46-523510</t>
  </si>
  <si>
    <t>Swing-Flex Check Valve, Class150# Series 500ABFMI-4"</t>
  </si>
  <si>
    <t>46-523511</t>
  </si>
  <si>
    <t>Swing-Flex Check Valve, Class150# Series 500ABFMI-6"</t>
  </si>
  <si>
    <t>46-523512</t>
  </si>
  <si>
    <t>Swing-Flex Check Valve, Class150# Series 500ABFMI-8"</t>
  </si>
  <si>
    <t>46-523514</t>
  </si>
  <si>
    <t>Swing-Flex Check Valve, Class150# Series 500ABFMI-10"</t>
  </si>
  <si>
    <t>46-523515</t>
  </si>
  <si>
    <t>Swing-Flex Check Valve, Class150# Series 500ABFMI-12"</t>
  </si>
  <si>
    <t>46-523516</t>
  </si>
  <si>
    <t>Swing-Flex Check Valve, Class150# Series 500ABFMI-14"</t>
  </si>
  <si>
    <t>46-523517</t>
  </si>
  <si>
    <t>Swing-Flex Check Valve, Class150# Series 500ABFMI-16"</t>
  </si>
  <si>
    <t>46-523518</t>
  </si>
  <si>
    <t>Swing-Flex Check Valve, Class150# Series 500ABFMI-18"</t>
  </si>
  <si>
    <t>46-523810</t>
  </si>
  <si>
    <t>46-523812</t>
  </si>
  <si>
    <t>46-523814</t>
  </si>
  <si>
    <t>46-523816</t>
  </si>
  <si>
    <t>46-523818</t>
  </si>
  <si>
    <t>46-523819</t>
  </si>
  <si>
    <t>46-523820</t>
  </si>
  <si>
    <t>46-524010</t>
  </si>
  <si>
    <t>46-524011</t>
  </si>
  <si>
    <t>46-524012</t>
  </si>
  <si>
    <t>46-524014</t>
  </si>
  <si>
    <t>46-524015</t>
  </si>
  <si>
    <t>46-524017</t>
  </si>
  <si>
    <t>46-524018</t>
  </si>
  <si>
    <t>46-524019</t>
  </si>
  <si>
    <t>46-524020</t>
  </si>
  <si>
    <t>46-524021</t>
  </si>
  <si>
    <t>46-524022</t>
  </si>
  <si>
    <t>46-524023</t>
  </si>
  <si>
    <t>46-524024</t>
  </si>
  <si>
    <t xml:space="preserve">Slide Gate </t>
  </si>
  <si>
    <t>46-602010</t>
  </si>
  <si>
    <t>46-602020</t>
  </si>
  <si>
    <t>46-602012</t>
  </si>
  <si>
    <t>46-602021</t>
  </si>
  <si>
    <t>46-602014</t>
  </si>
  <si>
    <t>46-602022</t>
  </si>
  <si>
    <t>46-602015</t>
  </si>
  <si>
    <t>46-602023</t>
  </si>
  <si>
    <t>46-602016</t>
  </si>
  <si>
    <t>46-602024</t>
  </si>
  <si>
    <t>46-602017</t>
  </si>
  <si>
    <t>46-602025</t>
  </si>
  <si>
    <t>46-602018</t>
  </si>
  <si>
    <t>46-602026</t>
  </si>
  <si>
    <t>Magnetic Flow Meter</t>
  </si>
  <si>
    <t>46-854014</t>
  </si>
  <si>
    <t>46-854024</t>
  </si>
  <si>
    <t>46-854016</t>
  </si>
  <si>
    <t>46-854026</t>
  </si>
  <si>
    <t>46-854018</t>
  </si>
  <si>
    <t>46-854028</t>
  </si>
  <si>
    <t>46-854010</t>
  </si>
  <si>
    <t>46-854020</t>
  </si>
  <si>
    <t>46-854012</t>
  </si>
  <si>
    <t>Gate Valve</t>
  </si>
  <si>
    <t>46-542003</t>
  </si>
  <si>
    <t>Valve, Gate, DD, CL125, FLG, 3 IN, W 2 IN OP, NUT, Clow Brand By Mueller</t>
  </si>
  <si>
    <t>46-542012</t>
  </si>
  <si>
    <t>Valve, Gate, Iron Body, 2 IN FIPT Screw, DD</t>
  </si>
  <si>
    <t>46-542004</t>
  </si>
  <si>
    <t>46-542014</t>
  </si>
  <si>
    <t>46-542024</t>
  </si>
  <si>
    <t>46-542034</t>
  </si>
  <si>
    <t>Valve, Gate, Tapping, DD, MJ 4 IN, With 2 IN Square Oper Nut, W/2 Anti-Rotation Bolts, No follower and gasket, On Flange Side Brand by Clow</t>
  </si>
  <si>
    <t>46-854022</t>
  </si>
  <si>
    <t>46-542006</t>
  </si>
  <si>
    <t>46-542016</t>
  </si>
  <si>
    <t>46-542026</t>
  </si>
  <si>
    <t>46-542036</t>
  </si>
  <si>
    <t>46-542008</t>
  </si>
  <si>
    <t>46-542018</t>
  </si>
  <si>
    <t>46-542028</t>
  </si>
  <si>
    <t>46-542038</t>
  </si>
  <si>
    <t>46-542010</t>
  </si>
  <si>
    <t>46-542110</t>
  </si>
  <si>
    <t>46-542112</t>
  </si>
  <si>
    <t>46-542122</t>
  </si>
  <si>
    <t>46-542132</t>
  </si>
  <si>
    <t>46-542142</t>
  </si>
  <si>
    <t>Flanged Pipe &amp; Fitting</t>
  </si>
  <si>
    <t>46-321004</t>
  </si>
  <si>
    <t>Flange, Blind, DI, CL125, 8-Hole, 9 IN Over Diam, for 4 IN Pipe By Star Pipe Brand</t>
  </si>
  <si>
    <t>46-321006</t>
  </si>
  <si>
    <t>Flange, Blind, DI, CL125, 8-Hole, 11 IN Over Diam, for 6 IN Pipe By Star Pipe Brand</t>
  </si>
  <si>
    <t>46-321008</t>
  </si>
  <si>
    <t>46-321010</t>
  </si>
  <si>
    <t>46-321012</t>
  </si>
  <si>
    <t>46-322004</t>
  </si>
  <si>
    <t>46-322014</t>
  </si>
  <si>
    <t>46-322024</t>
  </si>
  <si>
    <t>46-322034</t>
  </si>
  <si>
    <t>46-322044</t>
  </si>
  <si>
    <t>46-322544</t>
  </si>
  <si>
    <t>Flange, DI, CL 125, TEE 4"x4"x2" Pipe-4"</t>
  </si>
  <si>
    <t>46-322514</t>
  </si>
  <si>
    <t>46-322524</t>
  </si>
  <si>
    <t>Flange, DI, CL 125, Lateral Wye Pipe-4"</t>
  </si>
  <si>
    <t>46-322534</t>
  </si>
  <si>
    <t>Flange, DI, CL 125, Cross Pipe-4"</t>
  </si>
  <si>
    <t>46-322204</t>
  </si>
  <si>
    <t>46-323004</t>
  </si>
  <si>
    <t>Flange, DI, CL 125, 4"x3" Reducer Pipe-4"</t>
  </si>
  <si>
    <t>46-322006</t>
  </si>
  <si>
    <t>46-322016</t>
  </si>
  <si>
    <t>46-322026</t>
  </si>
  <si>
    <t>46-322036</t>
  </si>
  <si>
    <t>46-322046</t>
  </si>
  <si>
    <t>46-322546</t>
  </si>
  <si>
    <t>Flange, DI, CL 125, TEE 6"x6"x3" Pipe-6"</t>
  </si>
  <si>
    <t>46-322516</t>
  </si>
  <si>
    <t>46-322526</t>
  </si>
  <si>
    <t>Flange, DI, CL 125, Lateral Wye Pipe-6"</t>
  </si>
  <si>
    <t>46-322536</t>
  </si>
  <si>
    <t>Flange, DI, CL 125, Cross Pipe-6"</t>
  </si>
  <si>
    <t>46-322206</t>
  </si>
  <si>
    <t>46-323006</t>
  </si>
  <si>
    <t>Flange, DI, CL 125, 6"x4" Reducer Pipe-6"</t>
  </si>
  <si>
    <t>46-323016</t>
  </si>
  <si>
    <t>Flange, DI, CL 125, 6"x3" Reducer Pipe-6"</t>
  </si>
  <si>
    <t>46-322008</t>
  </si>
  <si>
    <t>46-322018</t>
  </si>
  <si>
    <t>46-322028</t>
  </si>
  <si>
    <t>46-322038</t>
  </si>
  <si>
    <t>46-322048</t>
  </si>
  <si>
    <t>46-322549</t>
  </si>
  <si>
    <t>Flange, DI, CL 125, TEE 8"x8"x4" Pipe-8"</t>
  </si>
  <si>
    <t>46-322518</t>
  </si>
  <si>
    <t>46-322528</t>
  </si>
  <si>
    <t>Flange, DI, CL 125, Lateral Wye Pipe-8"</t>
  </si>
  <si>
    <t>46-322538</t>
  </si>
  <si>
    <t>Flange, DI, CL 125, Cross Pipe-8"</t>
  </si>
  <si>
    <t>46-322208</t>
  </si>
  <si>
    <t>46-323008</t>
  </si>
  <si>
    <t>Flange, DI, CL 125, 8"x6" Reducer Pipe-8"</t>
  </si>
  <si>
    <t>46-323018</t>
  </si>
  <si>
    <t>Flange, DI, CL 125, 8"x4" Reducer Pipe-8"</t>
  </si>
  <si>
    <t>46-322010</t>
  </si>
  <si>
    <t>46-322020</t>
  </si>
  <si>
    <t>46-322030</t>
  </si>
  <si>
    <t>46-322040</t>
  </si>
  <si>
    <t>46-322050</t>
  </si>
  <si>
    <t>46-322551</t>
  </si>
  <si>
    <t>Flange, DI, CL 125, TEE 10"x10"x6" Pipe-10"</t>
  </si>
  <si>
    <t>46-322520</t>
  </si>
  <si>
    <t>46-322530</t>
  </si>
  <si>
    <t>Flange, DI, CL 125, Lateral Wye Pipe-10"</t>
  </si>
  <si>
    <t>46-322540</t>
  </si>
  <si>
    <t>Flange, DI, CL 125, Cross Pipe-10"</t>
  </si>
  <si>
    <t>46-322210</t>
  </si>
  <si>
    <t>46-323010</t>
  </si>
  <si>
    <t>Flange, DI, CL 125, 10"x8" Reducer Pipe-10"</t>
  </si>
  <si>
    <t>46-322012</t>
  </si>
  <si>
    <t>46-322022</t>
  </si>
  <si>
    <t>46-322032</t>
  </si>
  <si>
    <t>46-322042</t>
  </si>
  <si>
    <t>46-322052</t>
  </si>
  <si>
    <t>46-322553</t>
  </si>
  <si>
    <t>Flange, DI, CL 125, TEE 12"x12"x6" Pipe-12"</t>
  </si>
  <si>
    <t>46-322522</t>
  </si>
  <si>
    <t>46-322532</t>
  </si>
  <si>
    <t>Flange, DI, CL 125, Lateral Wye Pipe-12"</t>
  </si>
  <si>
    <t>46-322542</t>
  </si>
  <si>
    <t>Flange, DI, CL 125, Cross Pipe-12"</t>
  </si>
  <si>
    <t>46-322212</t>
  </si>
  <si>
    <t>46-323012</t>
  </si>
  <si>
    <t>Flange, DI, CL 125, 12"x10" Reducer Pipe-12"</t>
  </si>
  <si>
    <t>Wall Casting DIP Pipe</t>
  </si>
  <si>
    <t>46-402004</t>
  </si>
  <si>
    <t>46-402504</t>
  </si>
  <si>
    <t>46-402506</t>
  </si>
  <si>
    <t>46-402508</t>
  </si>
  <si>
    <t>46-402510</t>
  </si>
  <si>
    <t>46-402512</t>
  </si>
  <si>
    <t>46-402514</t>
  </si>
  <si>
    <t>46-402516</t>
  </si>
  <si>
    <t>46-402518</t>
  </si>
  <si>
    <t>46-402520</t>
  </si>
  <si>
    <t>46-402522</t>
  </si>
  <si>
    <t>46-403004</t>
  </si>
  <si>
    <t>46-403006</t>
  </si>
  <si>
    <t>46-403008</t>
  </si>
  <si>
    <t>46-403010</t>
  </si>
  <si>
    <t>Wall Casting, MJ X MJ, C153 Adapter for 10 IN Pipe</t>
  </si>
  <si>
    <t>46-403504</t>
  </si>
  <si>
    <t>46-403506</t>
  </si>
  <si>
    <t>46-403508</t>
  </si>
  <si>
    <t>46-402714</t>
  </si>
  <si>
    <t>46-402718</t>
  </si>
  <si>
    <t>46-402720</t>
  </si>
  <si>
    <t>46-402722</t>
  </si>
  <si>
    <t>46-403214</t>
  </si>
  <si>
    <t>46-403216</t>
  </si>
  <si>
    <t>46-403218</t>
  </si>
  <si>
    <t>46-403220</t>
  </si>
  <si>
    <t>46-403222</t>
  </si>
  <si>
    <t>46-422004</t>
  </si>
  <si>
    <t>46-422006</t>
  </si>
  <si>
    <t>46-422008</t>
  </si>
  <si>
    <t>46-422204</t>
  </si>
  <si>
    <t>46-422206</t>
  </si>
  <si>
    <t>46-422208</t>
  </si>
  <si>
    <t>46-422210</t>
  </si>
  <si>
    <t>46-422212</t>
  </si>
  <si>
    <t>46-422404</t>
  </si>
  <si>
    <t>46-422406</t>
  </si>
  <si>
    <t>46-422408</t>
  </si>
  <si>
    <t>46-422410</t>
  </si>
  <si>
    <t>46-422412</t>
  </si>
  <si>
    <t>46-422804</t>
  </si>
  <si>
    <t>46-422806</t>
  </si>
  <si>
    <t>46-422808</t>
  </si>
  <si>
    <t>46-422810</t>
  </si>
  <si>
    <t>46-422812</t>
  </si>
  <si>
    <t>46-432004</t>
  </si>
  <si>
    <t>46-432006</t>
  </si>
  <si>
    <t>46-432008</t>
  </si>
  <si>
    <t>46-432012</t>
  </si>
  <si>
    <t>46-432014</t>
  </si>
  <si>
    <t>46-432016</t>
  </si>
  <si>
    <t>46-432018</t>
  </si>
  <si>
    <t>46-432020</t>
  </si>
  <si>
    <t>46-432022</t>
  </si>
  <si>
    <t>46-423404</t>
  </si>
  <si>
    <t>46-423406</t>
  </si>
  <si>
    <t>46-423408</t>
  </si>
  <si>
    <t>46-423410</t>
  </si>
  <si>
    <t>46-423412</t>
  </si>
  <si>
    <t>46-443104</t>
  </si>
  <si>
    <t>46-443106</t>
  </si>
  <si>
    <t>46-443108</t>
  </si>
  <si>
    <t>46-443110</t>
  </si>
  <si>
    <t>46-443112</t>
  </si>
  <si>
    <t>46-443114</t>
  </si>
  <si>
    <t>46-443116</t>
  </si>
  <si>
    <t>46-443118</t>
  </si>
  <si>
    <t>46-443120</t>
  </si>
  <si>
    <t>46-443122</t>
  </si>
  <si>
    <t>46-443124</t>
  </si>
  <si>
    <t>46-443126</t>
  </si>
  <si>
    <t>46-443128</t>
  </si>
  <si>
    <t>46-443130</t>
  </si>
  <si>
    <t>46-443132</t>
  </si>
  <si>
    <t>TEE Test, Conc, 8 IN {QTY 3-5 Tests}</t>
  </si>
  <si>
    <t>TEE Test, Conc, 8 IN {QTY &lt;=2}</t>
  </si>
  <si>
    <t>PIPE PSD, DI CL 52, 12 IN {QTY &lt;=50 FT}</t>
  </si>
  <si>
    <t>PIPE PSD, DI CL 52, 8 IN {QTY &lt;=50 FT}</t>
  </si>
  <si>
    <t>PIPE PSD, DI CL 52, 6 IN {QTY &lt;=50 FT}</t>
  </si>
  <si>
    <t>PIPE PSD, DI CL 52, 4 IN {QTY &lt;=50 FT}</t>
  </si>
  <si>
    <t>PIPE PSD, DI CL 50, 18 IN {QTY &lt;=50 FT}</t>
  </si>
  <si>
    <t>PIPE PSD, DI CL 50, 16 IN {QTY &lt;=50 FT}</t>
  </si>
  <si>
    <t>PIPE PSD, DI CL 50, 10 IN {QTY &lt;=50 FT}</t>
  </si>
  <si>
    <t>PIPE PSD, DI CL 50, 8 IN {QTY &lt;=50 FT}</t>
  </si>
  <si>
    <t>MINERAL AGGREGATE TYPE 17 {QTY200-500 CY}</t>
  </si>
  <si>
    <t>WEEK</t>
  </si>
  <si>
    <t>Electrical PVC Conduit 90 DEG SCH-40-ELBOW-6 IN BELLED</t>
  </si>
  <si>
    <t>Electrical PVC Conduit 45 DEG SCH-40-ELBOW-6 IN BELLED</t>
  </si>
  <si>
    <t>Electrical PVC Conduit TERM ADPT-6 IN</t>
  </si>
  <si>
    <t>Electrical PVC Conduit Coupling-6 IN</t>
  </si>
  <si>
    <t>Electrical PVC Conduit 90 DEG SCH-40-ELBOW-5 IN BELLED</t>
  </si>
  <si>
    <t>Electrical PVC Conduit TERM ADPT-5 IN</t>
  </si>
  <si>
    <t>Electrical PVC Conduit Coupling-5 IN</t>
  </si>
  <si>
    <t>Electrical PVC Conduit 90 DEG SCH-40-ELBOW-4 IN BELLED</t>
  </si>
  <si>
    <t>Electrical PVC Conduit 45 DEG SCH-40-ELBOW-4 IN BELLED</t>
  </si>
  <si>
    <t>Electrical PVC Conduit FEMALE ADPT-4 IN</t>
  </si>
  <si>
    <t>Electrical PVC Conduit TERM ADPT-4 IN</t>
  </si>
  <si>
    <t>Electrical PVC Conduit Coupling-4 IN</t>
  </si>
  <si>
    <t>Electrical PVC Conduit 90 DEG SCH-40-ELBOW-3 IN BELLED</t>
  </si>
  <si>
    <t>Electrical PVC Conduit 45 DEG SCH-40-ELBOW-3 IN BELLED</t>
  </si>
  <si>
    <t>Electrical PVC Conduit TERM ADPT-3 IN</t>
  </si>
  <si>
    <t>Electrical PVC Conduit Coupling-3 IN</t>
  </si>
  <si>
    <t>Electrical PVC Conduit 45 DEG SCH-40-ELBOW-2 IN</t>
  </si>
  <si>
    <t>Electrical PVC Conduit TERM ADPT-2 IN</t>
  </si>
  <si>
    <t>Electrical PVC Conduit Coupling-2 IN</t>
  </si>
  <si>
    <t>Electrical PVC Conduit 90 DEG SCH-40-ELBOW-1 IN</t>
  </si>
  <si>
    <t>Electrical PVC Conduit 45 DEG SCH-40-ELBOW-1 IN</t>
  </si>
  <si>
    <t>Last Revised: 7/12/16</t>
  </si>
  <si>
    <t>Sumation of Total Cost, Inflation &amp; Escalation Adjustment = Total Cost Projection</t>
  </si>
  <si>
    <t>Escalation Adjustment Cost Projection</t>
  </si>
  <si>
    <t>Escalation Adjustment Assumption</t>
  </si>
  <si>
    <t>Cost of Escalation Adjustment</t>
  </si>
  <si>
    <t>Cost Projection with Inflation and Escalation Adjustment</t>
  </si>
  <si>
    <t>See Guidance on Inflation and Escalation Adjustment Rates</t>
  </si>
  <si>
    <t>Percent of Total Cost</t>
  </si>
  <si>
    <t>Totals</t>
  </si>
  <si>
    <t>from Construction Contract Amount on previous tab</t>
  </si>
  <si>
    <t>Last Revised: 9/19/16</t>
  </si>
  <si>
    <t>Actual Costs to Date</t>
  </si>
  <si>
    <t>Enter Actual Costs to Date</t>
  </si>
  <si>
    <t>Enter Current Year</t>
  </si>
  <si>
    <t>Complete this worksheet to generate Cost Projections that include inflation and escalation (fill out Yellow shaded areas only)</t>
  </si>
  <si>
    <t>See Section 4.1.1</t>
  </si>
  <si>
    <t>See Section 3.1.2.E</t>
  </si>
  <si>
    <t>Labor Amount 2016</t>
  </si>
  <si>
    <t>Labor Amount 2017</t>
  </si>
  <si>
    <t>% of Total 2016</t>
  </si>
  <si>
    <t>% of Total 2017</t>
  </si>
  <si>
    <t>Materials Amount 2016</t>
  </si>
  <si>
    <t>Materials Amount 2017</t>
  </si>
  <si>
    <t>Equipment Amount 2016</t>
  </si>
  <si>
    <t>Equipment Amount 2017</t>
  </si>
  <si>
    <t>Sub Amount 2016</t>
  </si>
  <si>
    <t>Sub Amount 2017</t>
  </si>
  <si>
    <t>Sub Total Unit Cost 2016</t>
  </si>
  <si>
    <t>Sub Total Unit Cost 2017</t>
  </si>
  <si>
    <t xml:space="preserve">OH&amp; Profit % </t>
  </si>
  <si>
    <t xml:space="preserve"> Total  Cost Unit 2016</t>
  </si>
  <si>
    <t xml:space="preserve"> Total  Cost Unit 2017</t>
  </si>
  <si>
    <t>REMOVE CEMT. CONCR. SIDEWALK {QTY &gt;50}</t>
  </si>
  <si>
    <t>REMOVE CURB {QTY&gt;50}</t>
  </si>
  <si>
    <t>REMOVE GRANITE CURB {QTY&lt;=10LF}</t>
  </si>
  <si>
    <t>REMOVE GRANITE CURB {QTY 15-30LF}</t>
  </si>
  <si>
    <t>REMOVE GRANITE CURB {QTY&gt;30LF}</t>
  </si>
  <si>
    <t>REMOVE SALVAGE &amp; RE-INSTALL GRANITE CURB {QTY&lt;=10FT}</t>
  </si>
  <si>
    <t>REMOVE SALVAGE &amp; RE-INSTALL GRANITE CURB {QTY 15-30FT}</t>
  </si>
  <si>
    <t>REMOVE SALVAGE &amp; RE-INSTALL GRANITE CURB {QTY&gt;30FT}</t>
  </si>
  <si>
    <t>REMOVE FENCE, CHAIN LINK {QTY&lt;=500 LF}</t>
  </si>
  <si>
    <t>REMOVE FENCE, CHAIN LINK {QTY&gt;500 LF}</t>
  </si>
  <si>
    <t>Concrete Crack repair, epoxy injection</t>
  </si>
  <si>
    <t>Sewer Grout (6"-15") Dia.</t>
  </si>
  <si>
    <t>REMOVE BRICK SIDEWALK, WITH SALVAGE</t>
  </si>
  <si>
    <t>Sewer Grout (18"-36") Dia.</t>
  </si>
  <si>
    <t>SUPPORT AND SAFETY SYSTEM</t>
  </si>
  <si>
    <t>Engineered Fill (Elastizell Aprrication) Mix # SPFLOPLP</t>
  </si>
  <si>
    <t>Engineered Fill (Elastizell Aprricatio) Mix # PFLOP5P</t>
  </si>
  <si>
    <t>Contaminated soils Disposal</t>
  </si>
  <si>
    <t>Hazardous materials abatement</t>
  </si>
  <si>
    <t>MINERAL AGGREGATE TYPE 1 {QTY&lt; =200 TN}</t>
  </si>
  <si>
    <t>MINERAL AGGREGATE TYPE 1 {QTY &gt;200 TN}</t>
  </si>
  <si>
    <t>MINERAL AGGREGATE TYPE 4 {QTY&lt; =200 TN}</t>
  </si>
  <si>
    <t>MINERAL AGGREGATE TYPE 4 {QTY&gt;200 TN}</t>
  </si>
  <si>
    <t>MINERAL AGGREGATE TYPE 10 {QTY&lt; =200 TN}</t>
  </si>
  <si>
    <t>MINERAL AGGREGATE TYPE 10 {QTY&gt;200 TN}</t>
  </si>
  <si>
    <t>MINERAL AGGREGATE TYPE 11 {QTY&lt; =200 TN}</t>
  </si>
  <si>
    <t>MINERAL AGGREGATE TYPE 11 {QTY&gt;200 TN}</t>
  </si>
  <si>
    <t>MINERAL AGGREGATE TYPE 13 {QTY&lt; =200 TN}</t>
  </si>
  <si>
    <t>MINERAL AGGREGATE TYPE 13 {QTY&gt;200 TN}</t>
  </si>
  <si>
    <t>MINERAL AGGREGATE TYPE 14 {QTY&lt; =200 TN}</t>
  </si>
  <si>
    <t>MINERAL AGGREGATE TYPE 14 {QTY&gt;200 TN}</t>
  </si>
  <si>
    <t>MINERAL AGGREGATE TYPE 17 {QTY &lt;=200 TN}</t>
  </si>
  <si>
    <t>MINERAL AGGREGATE TYPE 17 {QTY &gt;200 TN}</t>
  </si>
  <si>
    <t>MINERAL AGGREGATE TYPE 22 {QTY &lt;=200 TN}</t>
  </si>
  <si>
    <t>MINERAL AGGREGATE TYPE 22 {QTY &gt;200 TN}</t>
  </si>
  <si>
    <t>MINERAL AGGREGATE TYPE 17 {QTY &lt;200 CY}</t>
  </si>
  <si>
    <t>Pervious Cement Concrete Pavement</t>
  </si>
  <si>
    <t>PERVIOUS Concrete Pavement {QTY&lt;=250 SY}</t>
  </si>
  <si>
    <t>PERVIOUS Concrete Pavement {QTY &gt;250 SY}</t>
  </si>
  <si>
    <t>MAINTENANCE HOLE RISER RECONSTRUCTION TYPE D</t>
  </si>
  <si>
    <t>MAINTENANCE HOLE RISER RECONSTRUCTION TYPE E</t>
  </si>
  <si>
    <t>MAINTENANCE HOLE RISER RECONSTRUCTION TYPE H</t>
  </si>
  <si>
    <t>MAINTENANCE HOLE RISER RECONSTRUCTION TYPE J</t>
  </si>
  <si>
    <t>MAINTENANCE HOLE RISER RECONSTRUCTION TYPE L</t>
  </si>
  <si>
    <t>MAINTENANCE HOLE RISER RECONSTRUCTION TYPE M</t>
  </si>
  <si>
    <t>CORE TAP BRICK SEWER</t>
  </si>
  <si>
    <t>TRACK DRAIN CONNECTION</t>
  </si>
  <si>
    <t>SACRIFICIAL Anode Bonded to Pipe {QTY &lt;=20 EA}</t>
  </si>
  <si>
    <t>SACRIFICIAL Anode Bonded to Pipe {QTY &gt;20 EA}</t>
  </si>
  <si>
    <t>VALVE, GATE 20 IN {QTY &gt;3EA}</t>
  </si>
  <si>
    <t>HYDRANT, 6 IN CONN, TYPE 310</t>
  </si>
  <si>
    <t>HYDRANT, 6 IN CONN, TYPE 311</t>
  </si>
  <si>
    <t>FLEXIBLE POROUS SURFACE TREATMENT - 1.5" Thick (Black Material)</t>
  </si>
  <si>
    <t>FLEXIBLE POROUS SURFACE TREATMENT - 1.5" Thick (Colored Material)</t>
  </si>
  <si>
    <t>CURB, CEM CONC, With 25% POZZOLANS {QTY &lt;=200 LF}</t>
  </si>
  <si>
    <t>CURB, CEM CONC, With 25% POZZOLANS {QTY 200-500 LF}</t>
  </si>
  <si>
    <t>CURB, CEM CONC, With 25% POZZOLANS {QTY &gt;500 LF}</t>
  </si>
  <si>
    <t>SIDEWALK, CEM CONC, W/25% POZZOLANS {QTY &lt;=50 SY}</t>
  </si>
  <si>
    <t>SIDEWALK, CEM CONC, W/25% POZZOLANS {QTY 50-100 SY}</t>
  </si>
  <si>
    <t>SIDEWALK, CEM CONC, W/25% POZZOLANS {QTY &gt;100 SY}</t>
  </si>
  <si>
    <t>CURB RAMP W/25% POZZOLANS {QTY &lt;=5 SY}</t>
  </si>
  <si>
    <t>CURB RAMP W/25% POZZOLANS {QTY &gt;5 SY}</t>
  </si>
  <si>
    <t>BIKE RUNNEL, CEM CONC</t>
  </si>
  <si>
    <t>DRIVEWAY, CEM CONC, 6 IN W/25% POZZOLANS {QTY &lt;=30 SY}</t>
  </si>
  <si>
    <t>DRIVEWAY, CEM CONC, 6 IN W/25% POZZOLANS {QTY 30-50 SY}</t>
  </si>
  <si>
    <t>DRIVEWAY, CEM CONC, 6 IN W/25% POZZOLANS {QTY &gt;50 SY}</t>
  </si>
  <si>
    <t>DRIVEWAY, CEM CONC, 8 IN W/25% POZZOLANS {QTY &lt;=30 SY}</t>
  </si>
  <si>
    <t>DRIVEWAY, CEM CONC, 8 IN W/25% POZZOLANS {QTY 30-50 SY}</t>
  </si>
  <si>
    <t>DRIVEWAY, CEM CONC, 8 IN W/25% POZZOLANS {QTY &gt;50 SY}</t>
  </si>
  <si>
    <t>Pre-cast Concrete Parking Bump (6"x10"x6')</t>
  </si>
  <si>
    <t>PAVEMENT MARKING, MMA, 4 IN Stripe {QTY &lt;=200 LF}</t>
  </si>
  <si>
    <t>PAVEMENT MARKING, MMA, 4 IN Stripe {QTY &gt;200 LF}</t>
  </si>
  <si>
    <t>PAVEMENT MARKING, MMA, Legend/Symbol {QTY &lt;=5 EA}</t>
  </si>
  <si>
    <t>PAVEMENT MARKING, MMA, Legend/Symbol {QTY &gt;5 EA}</t>
  </si>
  <si>
    <t>Trenching, ELECTRICAL SERVICE, CONDUIT</t>
  </si>
  <si>
    <t>Handhole, ELECTRICAL SERVICE, Type 6 {QTY &gt; 5 EA}</t>
  </si>
  <si>
    <t>APWA 2017</t>
  </si>
  <si>
    <t>Cleaning Pipe 4"-12" DIA</t>
  </si>
  <si>
    <t>Cleaning Pipe 14"-24" DIA</t>
  </si>
  <si>
    <t>Cleaning Pipe 30" DIA</t>
  </si>
  <si>
    <t>Cleaning Pipe 36" DIA</t>
  </si>
  <si>
    <t>Cleaning Pipe 48" DIA</t>
  </si>
  <si>
    <t>Cleaning Pipe 60" DIA</t>
  </si>
  <si>
    <t>Cleaning Pipe 72" DIA</t>
  </si>
  <si>
    <t>Scaffolding w/Bracing (to remove Pipe)</t>
  </si>
  <si>
    <t>Remove DI PIPE, w/Fitting, 6"-12" DIA {QTY &lt;=50 FT}</t>
  </si>
  <si>
    <t>Remove DI PIPE, w/Fitting, 6"-12" DIA {QTY &gt;50 FT}</t>
  </si>
  <si>
    <t>REMOVE PARKING BOX &amp; SIGN {QTY &lt;=5 EA}</t>
  </si>
  <si>
    <t>REMOVE PARKING BOX &amp; SIGN {QTY &gt;5 EA}</t>
  </si>
  <si>
    <t>REMOVE CCTV CAMERA {QTY &lt;=3 EA}</t>
  </si>
  <si>
    <t>REMOVE CCTV CAMERA {QTY &gt;5 EA}</t>
  </si>
  <si>
    <t>Sec 2-40</t>
  </si>
  <si>
    <t>Remove DIP pipe 30"-36" with Fitting</t>
  </si>
  <si>
    <t>Remove DIP pipe 36"-42" with Fitting</t>
  </si>
  <si>
    <t>Remove DIP pipe 50"-66" with Fitting</t>
  </si>
  <si>
    <t>DEMO WATER TANK FOUNDATION (with haul and disposal)</t>
  </si>
  <si>
    <t>DEMO STEEL WATER TANK, 2M Capacity</t>
  </si>
  <si>
    <t>SHEET PILE SHORING FOR STRUCTURE {&lt;=15 Foot Deep}</t>
  </si>
  <si>
    <t>SHEET PILE SHORING FOR STRUCTURE {16-25 Foot Deep}</t>
  </si>
  <si>
    <t>SHEET PILE SHORING FOR STRUCTURE {&gt;25 Foot Deep}</t>
  </si>
  <si>
    <t>Sec 7-23</t>
  </si>
  <si>
    <t>POTHOLING</t>
  </si>
  <si>
    <t>Potholing Up to 7 FT Deep {QTY&lt;=3 EA}</t>
  </si>
  <si>
    <t>Potholing Up to 7 FT Deep {QTY 4-10 EA}</t>
  </si>
  <si>
    <t>Potholing or Exploratory Excavations {QTY 50-100 EA}</t>
  </si>
  <si>
    <t>Potholing for Exploratory or for Utility Conflict {QTY 50-100 EA}</t>
  </si>
  <si>
    <t>Potholing for Exploratory or for Utility Conflict {QTY &gt;150 EA}</t>
  </si>
  <si>
    <t>UTILITY POTHOLING {QTY &gt;10 EA}</t>
  </si>
  <si>
    <t>MINERAL AGGREGATE TYPE 2 {QTY 500-1000 TN}</t>
  </si>
  <si>
    <t>MINERAL AGGREGATE TYPE 2 {QTY 1000-2000 TN}</t>
  </si>
  <si>
    <t>MINERAL AGGREGATE TYPE 2 {QTY &gt;2000 TN}</t>
  </si>
  <si>
    <t>MINERAL AGGREGATE TYPE 17 {QTY &gt;1000 TN}</t>
  </si>
  <si>
    <t>Hot Mix Asphalt (HMA) and Warm Mix Asphalt (WMA) Pavement</t>
  </si>
  <si>
    <t>SURFACE PREP. PLANE BITUMINOUS PAVEMENT {QTY 250-500 SY}</t>
  </si>
  <si>
    <t>SURFACE PREP. PLANE BITUMINOUS PAVEMENT {QTY &gt;500 SY}</t>
  </si>
  <si>
    <t>PAVEMENT, HMA (CL 1/2 IN) {QTY 200-500 TN}</t>
  </si>
  <si>
    <t>PAVEMENT, HMA (CL 1/2 IN) {QTY &gt;500 TN}</t>
  </si>
  <si>
    <t>REMOVE, REJUVENATE, RESPREAD ASPHALT GRINDING {&lt;=4" DEEP}</t>
  </si>
  <si>
    <t>REMOVE, REJUVENATE, RESPREAD ASPHALT GRINDING {4"-6" DEEP}</t>
  </si>
  <si>
    <t>Cone and Seal hole in Conen Wall</t>
  </si>
  <si>
    <t>Maintenance Hole, Catch Basins, and Inlets</t>
  </si>
  <si>
    <t>CATCH Basin Type 240B {QTY 4-7 EA}</t>
  </si>
  <si>
    <t>CATCH Basin Type 240B {QTY &gt;8 EA}</t>
  </si>
  <si>
    <t>MH 204A Type A Riser (Replacement)</t>
  </si>
  <si>
    <t>MH 204.5A Type A Riser (Replacement)</t>
  </si>
  <si>
    <t>MH 205A Type A Riser (Replacement)</t>
  </si>
  <si>
    <t>MH 204b Type B Riser (Replacement)</t>
  </si>
  <si>
    <t>MH 204.5b Type B Riser (Replacement)</t>
  </si>
  <si>
    <t>MH 205b Type B Riser (Replacement)</t>
  </si>
  <si>
    <t>Connect Pipe to Exist MH</t>
  </si>
  <si>
    <t>Polyethylene Encasement, 7 MIL, 4" DIP</t>
  </si>
  <si>
    <t>Polyethylene Encasement, 7 MIL, 6" DIP</t>
  </si>
  <si>
    <t>Polyethylene Encasement, 7 MIL, 8" DIP</t>
  </si>
  <si>
    <t>Polyethylene Encasement, 7 MIL, 10" DIP</t>
  </si>
  <si>
    <t>Polyethylene Encasement, 7 MIL, 12" DIP</t>
  </si>
  <si>
    <t>Wye, DI CL 350, 4 IN {QTY &lt;=5 EA}</t>
  </si>
  <si>
    <t>Support Bracing 2"</t>
  </si>
  <si>
    <t>Valve Box (Type 241 CB)</t>
  </si>
  <si>
    <t>INSTALL Owner Furnished Pump</t>
  </si>
  <si>
    <t>Valve Check 4" {QTY &lt;=5 EA}</t>
  </si>
  <si>
    <t>Valve Box (Type 243 CB)</t>
  </si>
  <si>
    <t>Slope Protect Gabions, 6" Deep</t>
  </si>
  <si>
    <t>Slope Protect Gabions, 9" Deep</t>
  </si>
  <si>
    <t>Slope Protect Gabions, 12" Deep</t>
  </si>
  <si>
    <t>Slope Protect Gabions, 15" Deep</t>
  </si>
  <si>
    <t>Slope Protect Gabions, 18" Deep</t>
  </si>
  <si>
    <t>Slope Protect Gabions, 24" Deep</t>
  </si>
  <si>
    <t>Slope Protect Gabions, 36" Deep</t>
  </si>
  <si>
    <t>CARBON STEEL ASTM A-106 8" Pipe (STEAM)</t>
  </si>
  <si>
    <t>HDPE - 4" Direct Drill Force Main</t>
  </si>
  <si>
    <t>HDPE - 6" Direct Drill Force Main</t>
  </si>
  <si>
    <t>HDPE - 8" Direct Drill Force Main</t>
  </si>
  <si>
    <t>HDPE - 10" Direct Drill Force Main</t>
  </si>
  <si>
    <t>PIPE HDPE CORRUG, TYPE SDR 17, WT Gaskets, 42" DIA {QTY &gt;50 FT}</t>
  </si>
  <si>
    <t>PIPE HDPE CORRUG, TYPE SDR 17, WT Gaskets, 48" DIA {QTY &lt;=50 FT}</t>
  </si>
  <si>
    <t>PIPE HDPE CORRUG, TYPE SDR 17, WT Gaskets, 48" DIA {QTY &gt;50 FT}</t>
  </si>
  <si>
    <t>PIPE HDPE CORRUG, TYPE SDR 17, WT Gaskets, 50" DIA {QTY &lt;=50 FT}</t>
  </si>
  <si>
    <t>PIPE HDPE CORRUG, TYPE SDR 17, WT Gaskets, 50" DIA {QTY &gt;50 FT}</t>
  </si>
  <si>
    <t>PIPE HDPE CORRUG, TYPE SDR 17, WT Gaskets, 52" DIA {QTY &lt;=50 FT}</t>
  </si>
  <si>
    <t>PIPE HDPE CORRUG, TYPE SDR 17, WT Gaskets, 52" DIA {QTY &gt;50 FT}</t>
  </si>
  <si>
    <t>PIPE HDPE CORRUG, TYPE SDR 17, WT Gaskets, 54" DIA {QTY &lt;=50 FT}</t>
  </si>
  <si>
    <t>PIPE HDPE CORRUG, TYPE SDR 17, WT Gaskets, 54" DIA {QTY &gt;50 FT}</t>
  </si>
  <si>
    <t>PIPE HDPE CORRUG, TYPE SDR 17, WT Gaskets, 60" DIA {QTY &lt;=50 FT}</t>
  </si>
  <si>
    <t>PIPE HDPE CORRUG, TYPE SDR 17, WT Gaskets, 60" DIA {QTY &gt;50 FT}</t>
  </si>
  <si>
    <t>PIPE HDPE CORRUG, TYPE SDR 17, WT Gaskets, 63" DIA {QTY &lt;=50 FT}</t>
  </si>
  <si>
    <t>PIPE HDPE CORRUG, TYPE SDR 17, WT Gaskets, 63" DIA {QTY &gt;50 FT}</t>
  </si>
  <si>
    <t>Relining Sewer w/cement (6" to 10" DIA)</t>
  </si>
  <si>
    <t>Relining Sewer w/cement (10" to 12" DIA)</t>
  </si>
  <si>
    <t>Relining Sewer w/cement (12" to 16" DIA)</t>
  </si>
  <si>
    <t>Relining Sewer w/cement (16" to 20" DIA)</t>
  </si>
  <si>
    <t>Relining Sewer w/cement (24" to 36" DIA)</t>
  </si>
  <si>
    <t>Relining Sewer w/cement (42" to 48" DIA)</t>
  </si>
  <si>
    <t>Relining Sewer w/cement (54" to 72" DIA)</t>
  </si>
  <si>
    <t>Flexible Porous Surface Treatment - 1.5" Thick (Black Material) - Tree Surrounding Root Barrier</t>
  </si>
  <si>
    <t>Flexible Porous Surface Treatment - 1.5" Thick (Colored Material) - Tree Surrounding Root Barrier</t>
  </si>
  <si>
    <t>Flexible Porous Surface Treatment - 1.5" Thick (Black Material) - walking path</t>
  </si>
  <si>
    <t>Flexible Porous Surface Treatment - 1.5" Thick (Colored Material) - walking path</t>
  </si>
  <si>
    <t>Flexible Porous Surface Treatment - 1.5" Thick (Black Material) - bicycle path</t>
  </si>
  <si>
    <t>Flexible Porous Surface Treatment - 1.5" Thick (Colored Material) - bicycle path</t>
  </si>
  <si>
    <t>PEDESTRIAN CURB, CEMENT CONCR. w/25% POZZOLANS {QTY &lt;=50 LF}</t>
  </si>
  <si>
    <t>PEDESTRIAN CURB, CEMENT CONCR. w/25% POZZOLANS {QTY &gt;50 LF}</t>
  </si>
  <si>
    <t>EXTRUDED CURB, CEMENT CONCR. w/25% POZZOLANS {QTY &lt;=50 LF}</t>
  </si>
  <si>
    <t>EXTRUDED CURB, CEMENT CONCR. w/25% POZZOLANS {QTY &gt;50 LF}</t>
  </si>
  <si>
    <t>Pre-cast Concrete Parking Bump (8"x13"x6'-0")</t>
  </si>
  <si>
    <t>PEDESTRIAN PUSH BUTTON ASSEMBLY {QTY 1-2 EA}</t>
  </si>
  <si>
    <t>PEDESTRIAN PUSH BUTTON ASSEMBLY {QTY 3-5 EA}</t>
  </si>
  <si>
    <t>03-400610</t>
  </si>
  <si>
    <t>03-400630</t>
  </si>
  <si>
    <t>03-501010</t>
  </si>
  <si>
    <t>03-501020</t>
  </si>
  <si>
    <t>03-501030</t>
  </si>
  <si>
    <t>04-022005</t>
  </si>
  <si>
    <t>04-022010</t>
  </si>
  <si>
    <t>04-022015</t>
  </si>
  <si>
    <t>04-022025</t>
  </si>
  <si>
    <t>04-022030</t>
  </si>
  <si>
    <t>04-022035</t>
  </si>
  <si>
    <t>SILICONE Water Repelians, Sprayed on CMU, 2 Coat</t>
  </si>
  <si>
    <t>05-102062</t>
  </si>
  <si>
    <t>05-102064</t>
  </si>
  <si>
    <t>05-102066</t>
  </si>
  <si>
    <t>05-102070</t>
  </si>
  <si>
    <t>05-102068</t>
  </si>
  <si>
    <t>Beam Framing, Add for Shear Tabs, Plates, Stiffeners, etc</t>
  </si>
  <si>
    <t>Sf</t>
  </si>
  <si>
    <t>DEMOLITION of of 2" x 8" Wood Blocking To Steel</t>
  </si>
  <si>
    <t>09-103011</t>
  </si>
  <si>
    <t>09-103012</t>
  </si>
  <si>
    <t>Paint Walls (Exterior Up to 20 Feet Hight with full access for Man Lift), Two Coat Paint, Brush/Roller Work</t>
  </si>
  <si>
    <t>09-103013</t>
  </si>
  <si>
    <t>Paint Walls (Exterior Up to 20 Feet Hight with partially restricted access for Man Lift), Two Coat Paint, Brush/Roller Work</t>
  </si>
  <si>
    <t>Construction Equipment</t>
  </si>
  <si>
    <t>AERIAL - BOOM LIFTS</t>
  </si>
  <si>
    <t>11-020001</t>
  </si>
  <si>
    <t>11-020002</t>
  </si>
  <si>
    <t>11-020003</t>
  </si>
  <si>
    <t>11-020004</t>
  </si>
  <si>
    <t>11-020005</t>
  </si>
  <si>
    <t>11-020006</t>
  </si>
  <si>
    <t>11-020007</t>
  </si>
  <si>
    <t>11-020008</t>
  </si>
  <si>
    <t>11-020009</t>
  </si>
  <si>
    <t>11-020010</t>
  </si>
  <si>
    <t>11-020011</t>
  </si>
  <si>
    <t>11-020012</t>
  </si>
  <si>
    <t>11-020013</t>
  </si>
  <si>
    <t>11-020014</t>
  </si>
  <si>
    <t>11-020015</t>
  </si>
  <si>
    <t>11-020016</t>
  </si>
  <si>
    <t>11-020017</t>
  </si>
  <si>
    <t>11-020018</t>
  </si>
  <si>
    <t>11-020019</t>
  </si>
  <si>
    <t>11-020020</t>
  </si>
  <si>
    <t>11-020021</t>
  </si>
  <si>
    <t>11-020022</t>
  </si>
  <si>
    <t>11-020023</t>
  </si>
  <si>
    <t>11-020024</t>
  </si>
  <si>
    <t>11-020025</t>
  </si>
  <si>
    <t>11-020026</t>
  </si>
  <si>
    <t>11-020027</t>
  </si>
  <si>
    <t>11-020028</t>
  </si>
  <si>
    <t>11-020029</t>
  </si>
  <si>
    <t>11-020030</t>
  </si>
  <si>
    <t>11-020031</t>
  </si>
  <si>
    <t>11-020032</t>
  </si>
  <si>
    <t>11-020033</t>
  </si>
  <si>
    <t>11-020034</t>
  </si>
  <si>
    <t>11-020035</t>
  </si>
  <si>
    <t>11-020036</t>
  </si>
  <si>
    <t>11-020037</t>
  </si>
  <si>
    <t>11-020038</t>
  </si>
  <si>
    <t>11-020039</t>
  </si>
  <si>
    <t>11-020040</t>
  </si>
  <si>
    <t>11-020041</t>
  </si>
  <si>
    <t>11-020042</t>
  </si>
  <si>
    <t>11-020043</t>
  </si>
  <si>
    <t>11-020044</t>
  </si>
  <si>
    <t>11-020045</t>
  </si>
  <si>
    <t>11-020046</t>
  </si>
  <si>
    <t>11-020047</t>
  </si>
  <si>
    <t>11-020048</t>
  </si>
  <si>
    <t>11-020049</t>
  </si>
  <si>
    <t>11-020050</t>
  </si>
  <si>
    <t>11-020051</t>
  </si>
  <si>
    <t>11-020052</t>
  </si>
  <si>
    <t>11-020053</t>
  </si>
  <si>
    <t>11-020054</t>
  </si>
  <si>
    <t>11-020055</t>
  </si>
  <si>
    <t>11-020056</t>
  </si>
  <si>
    <t>11-020057</t>
  </si>
  <si>
    <t>11-020058</t>
  </si>
  <si>
    <t>11-020059</t>
  </si>
  <si>
    <t>11-020060</t>
  </si>
  <si>
    <t>11-020061</t>
  </si>
  <si>
    <t>11-020062</t>
  </si>
  <si>
    <t>11-020063</t>
  </si>
  <si>
    <t>11-020064</t>
  </si>
  <si>
    <t>11-020065</t>
  </si>
  <si>
    <t>11-020066</t>
  </si>
  <si>
    <t>11-020067</t>
  </si>
  <si>
    <t>11-020068</t>
  </si>
  <si>
    <t>11-020069</t>
  </si>
  <si>
    <t>11-020070</t>
  </si>
  <si>
    <t>11-020071</t>
  </si>
  <si>
    <t>11-020072</t>
  </si>
  <si>
    <t>11-020073</t>
  </si>
  <si>
    <t>11-020074</t>
  </si>
  <si>
    <t>11-020075</t>
  </si>
  <si>
    <t>11-020076</t>
  </si>
  <si>
    <t>11-020077</t>
  </si>
  <si>
    <t>11-020078</t>
  </si>
  <si>
    <t>11-020079</t>
  </si>
  <si>
    <t>11-020080</t>
  </si>
  <si>
    <t>11-020081</t>
  </si>
  <si>
    <t>11-020082</t>
  </si>
  <si>
    <t>11-020083</t>
  </si>
  <si>
    <t>11-020084</t>
  </si>
  <si>
    <t>11-020085</t>
  </si>
  <si>
    <t>11-020086</t>
  </si>
  <si>
    <t>11-020087</t>
  </si>
  <si>
    <t>11-020088</t>
  </si>
  <si>
    <t>11-020089</t>
  </si>
  <si>
    <t>11-020090</t>
  </si>
  <si>
    <t>11-020091</t>
  </si>
  <si>
    <t>11-020092</t>
  </si>
  <si>
    <t>11-020093</t>
  </si>
  <si>
    <t>11-020094</t>
  </si>
  <si>
    <t>11-020095</t>
  </si>
  <si>
    <t>11-020096</t>
  </si>
  <si>
    <t>11-020097</t>
  </si>
  <si>
    <t>11-020098</t>
  </si>
  <si>
    <t>11-020099</t>
  </si>
  <si>
    <t>11-020100</t>
  </si>
  <si>
    <t>11-020101</t>
  </si>
  <si>
    <t>11-020102</t>
  </si>
  <si>
    <t>11-020103</t>
  </si>
  <si>
    <t>11-020104</t>
  </si>
  <si>
    <t>11-020105</t>
  </si>
  <si>
    <t>11-020106</t>
  </si>
  <si>
    <t>11-020107</t>
  </si>
  <si>
    <t>AERIAL - PLATFORM LIFTS</t>
  </si>
  <si>
    <t>11-020108</t>
  </si>
  <si>
    <t>11-020109</t>
  </si>
  <si>
    <t>11-020110</t>
  </si>
  <si>
    <t>11-020111</t>
  </si>
  <si>
    <t>11-020112</t>
  </si>
  <si>
    <t>11-020113</t>
  </si>
  <si>
    <t>11-020114</t>
  </si>
  <si>
    <t>11-020115</t>
  </si>
  <si>
    <t>11-020116</t>
  </si>
  <si>
    <t>11-020117</t>
  </si>
  <si>
    <t>11-020118</t>
  </si>
  <si>
    <t>11-020119</t>
  </si>
  <si>
    <t>11-020120</t>
  </si>
  <si>
    <t>11-020121</t>
  </si>
  <si>
    <t>11-020122</t>
  </si>
  <si>
    <t>11-020123</t>
  </si>
  <si>
    <t>11-020124</t>
  </si>
  <si>
    <t>11-020125</t>
  </si>
  <si>
    <t>11-020126</t>
  </si>
  <si>
    <t>11-020127</t>
  </si>
  <si>
    <t>11-020128</t>
  </si>
  <si>
    <t>11-020129</t>
  </si>
  <si>
    <t>11-020130</t>
  </si>
  <si>
    <t>11-020131</t>
  </si>
  <si>
    <t>11-020132</t>
  </si>
  <si>
    <t>11-020133</t>
  </si>
  <si>
    <t>11-020134</t>
  </si>
  <si>
    <t>11-020135</t>
  </si>
  <si>
    <t>11-020136</t>
  </si>
  <si>
    <t>11-020137</t>
  </si>
  <si>
    <t>11-020138</t>
  </si>
  <si>
    <t>11-020139</t>
  </si>
  <si>
    <t>11-020140</t>
  </si>
  <si>
    <t>11-020141</t>
  </si>
  <si>
    <t>11-020142</t>
  </si>
  <si>
    <t>11-020143</t>
  </si>
  <si>
    <t>11-020144</t>
  </si>
  <si>
    <t>11-020145</t>
  </si>
  <si>
    <t>11-020146</t>
  </si>
  <si>
    <t>11-020147</t>
  </si>
  <si>
    <t>11-020148</t>
  </si>
  <si>
    <t>11-020149</t>
  </si>
  <si>
    <t>11-020150</t>
  </si>
  <si>
    <t>11-020151</t>
  </si>
  <si>
    <t>11-020152</t>
  </si>
  <si>
    <t>11-020153</t>
  </si>
  <si>
    <t>11-020154</t>
  </si>
  <si>
    <t>11-020155</t>
  </si>
  <si>
    <t>11-020156</t>
  </si>
  <si>
    <t>11-020157</t>
  </si>
  <si>
    <t>11-020158</t>
  </si>
  <si>
    <t>11-020159</t>
  </si>
  <si>
    <t>11-020160</t>
  </si>
  <si>
    <t>11-020161</t>
  </si>
  <si>
    <t>11-020162</t>
  </si>
  <si>
    <t>11-020163</t>
  </si>
  <si>
    <t>11-020164</t>
  </si>
  <si>
    <t>11-020165</t>
  </si>
  <si>
    <t>11-020166</t>
  </si>
  <si>
    <t>11-020167</t>
  </si>
  <si>
    <t>11-020168</t>
  </si>
  <si>
    <t>11-020169</t>
  </si>
  <si>
    <t>11-020170</t>
  </si>
  <si>
    <t>11-020171</t>
  </si>
  <si>
    <t>11-020172</t>
  </si>
  <si>
    <t>11-020173</t>
  </si>
  <si>
    <t>11-020174</t>
  </si>
  <si>
    <t>11-020175</t>
  </si>
  <si>
    <t>11-020176</t>
  </si>
  <si>
    <t>11-020177</t>
  </si>
  <si>
    <t>11-020178</t>
  </si>
  <si>
    <t>11-020179</t>
  </si>
  <si>
    <t>11-020180</t>
  </si>
  <si>
    <t>11-020181</t>
  </si>
  <si>
    <t>11-020182</t>
  </si>
  <si>
    <t>11-020183</t>
  </si>
  <si>
    <t>11-020184</t>
  </si>
  <si>
    <t>11-020185</t>
  </si>
  <si>
    <t>11-020186</t>
  </si>
  <si>
    <t>11-020187</t>
  </si>
  <si>
    <t>11-020188</t>
  </si>
  <si>
    <t>AERIAL - TOWABLE MANLIFTS</t>
  </si>
  <si>
    <t>11-020189</t>
  </si>
  <si>
    <t>11-020190</t>
  </si>
  <si>
    <t>11-020191</t>
  </si>
  <si>
    <t>11-020192</t>
  </si>
  <si>
    <t>11-020193</t>
  </si>
  <si>
    <t>AIR &amp; ELECTRIC COMPRESSORS</t>
  </si>
  <si>
    <t>11-020194</t>
  </si>
  <si>
    <t>11-020195</t>
  </si>
  <si>
    <t>11-020196</t>
  </si>
  <si>
    <t>11-020197</t>
  </si>
  <si>
    <t>11-020198</t>
  </si>
  <si>
    <t>11-020199</t>
  </si>
  <si>
    <t>11-020200</t>
  </si>
  <si>
    <t>11-020201</t>
  </si>
  <si>
    <t>11-020202</t>
  </si>
  <si>
    <t>11-020203</t>
  </si>
  <si>
    <t>11-020204</t>
  </si>
  <si>
    <t>11-020205</t>
  </si>
  <si>
    <t>11-020206</t>
  </si>
  <si>
    <t>11-020207</t>
  </si>
  <si>
    <t>11-020208</t>
  </si>
  <si>
    <t>11-020209</t>
  </si>
  <si>
    <t>11-020210</t>
  </si>
  <si>
    <t>11-020211</t>
  </si>
  <si>
    <t>11-020212</t>
  </si>
  <si>
    <t>11-020213</t>
  </si>
  <si>
    <t>11-020214</t>
  </si>
  <si>
    <t>11-020215</t>
  </si>
  <si>
    <t>11-020216</t>
  </si>
  <si>
    <t>11-020217</t>
  </si>
  <si>
    <t>11-020218</t>
  </si>
  <si>
    <t>11-020219</t>
  </si>
  <si>
    <t>11-020220</t>
  </si>
  <si>
    <t>11-020221</t>
  </si>
  <si>
    <t>11-020222</t>
  </si>
  <si>
    <t>11-020223</t>
  </si>
  <si>
    <t>11-020224</t>
  </si>
  <si>
    <t>11-020225</t>
  </si>
  <si>
    <t>11-020226</t>
  </si>
  <si>
    <t>11-020227</t>
  </si>
  <si>
    <t>11-020228</t>
  </si>
  <si>
    <t>11-020229</t>
  </si>
  <si>
    <t>11-020230</t>
  </si>
  <si>
    <t>11-020231</t>
  </si>
  <si>
    <t>11-020232</t>
  </si>
  <si>
    <t>11-020233</t>
  </si>
  <si>
    <t>11-020234</t>
  </si>
  <si>
    <t>11-020235</t>
  </si>
  <si>
    <t>11-020236</t>
  </si>
  <si>
    <t>11-020237</t>
  </si>
  <si>
    <t>11-020238</t>
  </si>
  <si>
    <t>11-020239</t>
  </si>
  <si>
    <t>11-020240</t>
  </si>
  <si>
    <t>11-020241</t>
  </si>
  <si>
    <t>11-020242</t>
  </si>
  <si>
    <t>11-020243</t>
  </si>
  <si>
    <t>11-020244</t>
  </si>
  <si>
    <t>11-020245</t>
  </si>
  <si>
    <t>11-020246</t>
  </si>
  <si>
    <t>11-020247</t>
  </si>
  <si>
    <t>11-020248</t>
  </si>
  <si>
    <t>AIR MOVING EQUIPMENT</t>
  </si>
  <si>
    <t>11-020249</t>
  </si>
  <si>
    <t>11-020250</t>
  </si>
  <si>
    <t>11-020251</t>
  </si>
  <si>
    <t>CARTS</t>
  </si>
  <si>
    <t>11-020252</t>
  </si>
  <si>
    <t>11-020253</t>
  </si>
  <si>
    <t>11-020254</t>
  </si>
  <si>
    <t>11-020255</t>
  </si>
  <si>
    <t>11-020256</t>
  </si>
  <si>
    <t>11-020257</t>
  </si>
  <si>
    <t>11-020258</t>
  </si>
  <si>
    <t>11-020259</t>
  </si>
  <si>
    <t>11-020260</t>
  </si>
  <si>
    <t>11-020261</t>
  </si>
  <si>
    <t>11-020262</t>
  </si>
  <si>
    <t>11-020263</t>
  </si>
  <si>
    <t>11-020264</t>
  </si>
  <si>
    <t>11-020265</t>
  </si>
  <si>
    <t>11-020266</t>
  </si>
  <si>
    <t>CHIPPER</t>
  </si>
  <si>
    <t>11-020267</t>
  </si>
  <si>
    <t>11-020268</t>
  </si>
  <si>
    <t>11-020269</t>
  </si>
  <si>
    <t>CLIMATE CONTROL - COOLING EQUIPMENT</t>
  </si>
  <si>
    <t>11-020270</t>
  </si>
  <si>
    <t>11-020271</t>
  </si>
  <si>
    <t>11-020272</t>
  </si>
  <si>
    <t>11-020273</t>
  </si>
  <si>
    <t>11-020274</t>
  </si>
  <si>
    <t>11-020275</t>
  </si>
  <si>
    <t>11-020276</t>
  </si>
  <si>
    <t>11-020277</t>
  </si>
  <si>
    <t>11-020278</t>
  </si>
  <si>
    <t>11-020279</t>
  </si>
  <si>
    <t>11-020280</t>
  </si>
  <si>
    <t>11-020281</t>
  </si>
  <si>
    <t>11-020282</t>
  </si>
  <si>
    <t>11-020283</t>
  </si>
  <si>
    <t>11-020284</t>
  </si>
  <si>
    <t>11-020285</t>
  </si>
  <si>
    <t>11-020286</t>
  </si>
  <si>
    <t>11-020287</t>
  </si>
  <si>
    <t>11-020288</t>
  </si>
  <si>
    <t>11-020289</t>
  </si>
  <si>
    <t>11-020290</t>
  </si>
  <si>
    <t>11-020291</t>
  </si>
  <si>
    <t>11-020292</t>
  </si>
  <si>
    <t>11-020293</t>
  </si>
  <si>
    <t>11-020294</t>
  </si>
  <si>
    <t>11-020295</t>
  </si>
  <si>
    <t>11-020296</t>
  </si>
  <si>
    <t>11-020297</t>
  </si>
  <si>
    <t>11-020298</t>
  </si>
  <si>
    <t>11-020299</t>
  </si>
  <si>
    <t>11-020300</t>
  </si>
  <si>
    <t>11-020301</t>
  </si>
  <si>
    <t>11-020302</t>
  </si>
  <si>
    <t>11-020303</t>
  </si>
  <si>
    <t>11-020304</t>
  </si>
  <si>
    <t>11-020305</t>
  </si>
  <si>
    <t>11-020306</t>
  </si>
  <si>
    <t>11-020307</t>
  </si>
  <si>
    <t>11-020308</t>
  </si>
  <si>
    <t>11-020309</t>
  </si>
  <si>
    <t>11-020310</t>
  </si>
  <si>
    <t>11-020311</t>
  </si>
  <si>
    <t>11-020312</t>
  </si>
  <si>
    <t>11-020313</t>
  </si>
  <si>
    <t>11-020314</t>
  </si>
  <si>
    <t>11-020315</t>
  </si>
  <si>
    <t>11-020316</t>
  </si>
  <si>
    <t>11-020317</t>
  </si>
  <si>
    <t>11-020318</t>
  </si>
  <si>
    <t>11-020319</t>
  </si>
  <si>
    <t>11-020320</t>
  </si>
  <si>
    <t>11-020321</t>
  </si>
  <si>
    <t>11-020322</t>
  </si>
  <si>
    <t>11-020323</t>
  </si>
  <si>
    <t>11-020324</t>
  </si>
  <si>
    <t>11-020325</t>
  </si>
  <si>
    <t>11-020326</t>
  </si>
  <si>
    <t>11-020327</t>
  </si>
  <si>
    <t>11-020328</t>
  </si>
  <si>
    <t>11-020329</t>
  </si>
  <si>
    <t>11-020330</t>
  </si>
  <si>
    <t>11-020331</t>
  </si>
  <si>
    <t>11-020332</t>
  </si>
  <si>
    <t>CLIMATE CONTROL - HEATING EQUIPMENT</t>
  </si>
  <si>
    <t>11-020333</t>
  </si>
  <si>
    <t>11-020334</t>
  </si>
  <si>
    <t>11-020335</t>
  </si>
  <si>
    <t>11-020336</t>
  </si>
  <si>
    <t>11-020337</t>
  </si>
  <si>
    <t>11-020338</t>
  </si>
  <si>
    <t>11-020339</t>
  </si>
  <si>
    <t>11-020340</t>
  </si>
  <si>
    <t>11-020341</t>
  </si>
  <si>
    <t>11-020342</t>
  </si>
  <si>
    <t>11-020343</t>
  </si>
  <si>
    <t>11-020344</t>
  </si>
  <si>
    <t>11-020345</t>
  </si>
  <si>
    <t>11-020346</t>
  </si>
  <si>
    <t>11-020347</t>
  </si>
  <si>
    <t>11-020348</t>
  </si>
  <si>
    <t>11-020349</t>
  </si>
  <si>
    <t>11-020350</t>
  </si>
  <si>
    <t>11-020351</t>
  </si>
  <si>
    <t>11-020352</t>
  </si>
  <si>
    <t>11-020353</t>
  </si>
  <si>
    <t>11-020354</t>
  </si>
  <si>
    <t>11-020355</t>
  </si>
  <si>
    <t>11-020356</t>
  </si>
  <si>
    <t>11-020357</t>
  </si>
  <si>
    <t>11-020358</t>
  </si>
  <si>
    <t>11-020359</t>
  </si>
  <si>
    <t>11-020360</t>
  </si>
  <si>
    <t>11-020361</t>
  </si>
  <si>
    <t>11-020362</t>
  </si>
  <si>
    <t>11-020363</t>
  </si>
  <si>
    <t>11-020364</t>
  </si>
  <si>
    <t>11-020365</t>
  </si>
  <si>
    <t>11-020366</t>
  </si>
  <si>
    <t>11-020367</t>
  </si>
  <si>
    <t>11-020368</t>
  </si>
  <si>
    <t>11-020369</t>
  </si>
  <si>
    <t>11-020370</t>
  </si>
  <si>
    <t>11-020371</t>
  </si>
  <si>
    <t>11-020372</t>
  </si>
  <si>
    <t>11-020373</t>
  </si>
  <si>
    <t>11-020374</t>
  </si>
  <si>
    <t>11-020375</t>
  </si>
  <si>
    <t>11-020376</t>
  </si>
  <si>
    <t>11-020377</t>
  </si>
  <si>
    <t>11-020378</t>
  </si>
  <si>
    <t>11-020379</t>
  </si>
  <si>
    <t>11-020380</t>
  </si>
  <si>
    <t>11-020381</t>
  </si>
  <si>
    <t>11-020382</t>
  </si>
  <si>
    <t>11-020383</t>
  </si>
  <si>
    <t>11-020384</t>
  </si>
  <si>
    <t>11-020385</t>
  </si>
  <si>
    <t>11-020386</t>
  </si>
  <si>
    <t>11-020387</t>
  </si>
  <si>
    <t>11-020388</t>
  </si>
  <si>
    <t>11-020389</t>
  </si>
  <si>
    <t>11-020390</t>
  </si>
  <si>
    <t>11-020391</t>
  </si>
  <si>
    <t>11-020392</t>
  </si>
  <si>
    <t>11-020393</t>
  </si>
  <si>
    <t>11-020394</t>
  </si>
  <si>
    <t>11-020395</t>
  </si>
  <si>
    <t>11-020396</t>
  </si>
  <si>
    <t>11-020397</t>
  </si>
  <si>
    <t>11-020398</t>
  </si>
  <si>
    <t>11-020399</t>
  </si>
  <si>
    <t>11-020400</t>
  </si>
  <si>
    <t>11-020401</t>
  </si>
  <si>
    <t>11-020402</t>
  </si>
  <si>
    <t>11-020403</t>
  </si>
  <si>
    <t>11-020404</t>
  </si>
  <si>
    <t>11-020405</t>
  </si>
  <si>
    <t>11-020406</t>
  </si>
  <si>
    <t>11-020407</t>
  </si>
  <si>
    <t>11-020408</t>
  </si>
  <si>
    <t>11-020409</t>
  </si>
  <si>
    <t>11-020410</t>
  </si>
  <si>
    <t>11-020411</t>
  </si>
  <si>
    <t>11-020412</t>
  </si>
  <si>
    <t>11-020413</t>
  </si>
  <si>
    <t>11-020414</t>
  </si>
  <si>
    <t>11-020415</t>
  </si>
  <si>
    <t>11-020416</t>
  </si>
  <si>
    <t>11-020417</t>
  </si>
  <si>
    <t>COMPACTION EQUIPMENT</t>
  </si>
  <si>
    <t>11-020418</t>
  </si>
  <si>
    <t>11-020419</t>
  </si>
  <si>
    <t>11-020420</t>
  </si>
  <si>
    <t>11-020421</t>
  </si>
  <si>
    <t>11-020422</t>
  </si>
  <si>
    <t>11-020423</t>
  </si>
  <si>
    <t>11-020424</t>
  </si>
  <si>
    <t>11-020425</t>
  </si>
  <si>
    <t>11-020426</t>
  </si>
  <si>
    <t>11-020427</t>
  </si>
  <si>
    <t>11-020428</t>
  </si>
  <si>
    <t>11-020429</t>
  </si>
  <si>
    <t>11-020430</t>
  </si>
  <si>
    <t>11-020431</t>
  </si>
  <si>
    <t>11-020432</t>
  </si>
  <si>
    <t>11-020433</t>
  </si>
  <si>
    <t>11-020434</t>
  </si>
  <si>
    <t>11-020435</t>
  </si>
  <si>
    <t>11-020436</t>
  </si>
  <si>
    <t>11-020437</t>
  </si>
  <si>
    <t>11-020438</t>
  </si>
  <si>
    <t>11-020439</t>
  </si>
  <si>
    <t>11-020440</t>
  </si>
  <si>
    <t>11-020441</t>
  </si>
  <si>
    <t>11-020442</t>
  </si>
  <si>
    <t>11-020443</t>
  </si>
  <si>
    <t>11-020444</t>
  </si>
  <si>
    <t>11-020445</t>
  </si>
  <si>
    <t>11-020446</t>
  </si>
  <si>
    <t>11-020447</t>
  </si>
  <si>
    <t>11-020448</t>
  </si>
  <si>
    <t>11-020449</t>
  </si>
  <si>
    <t>11-020450</t>
  </si>
  <si>
    <t>11-020451</t>
  </si>
  <si>
    <t>11-020452</t>
  </si>
  <si>
    <t>11-020453</t>
  </si>
  <si>
    <t>11-020454</t>
  </si>
  <si>
    <t>11-020455</t>
  </si>
  <si>
    <t>11-020456</t>
  </si>
  <si>
    <t>11-020457</t>
  </si>
  <si>
    <t>11-020458</t>
  </si>
  <si>
    <t>11-020459</t>
  </si>
  <si>
    <t>11-020460</t>
  </si>
  <si>
    <t>11-020461</t>
  </si>
  <si>
    <t>11-020462</t>
  </si>
  <si>
    <t>11-020463</t>
  </si>
  <si>
    <t>11-020464</t>
  </si>
  <si>
    <t>11-020465</t>
  </si>
  <si>
    <t>11-020466</t>
  </si>
  <si>
    <t>11-020467</t>
  </si>
  <si>
    <t>11-020468</t>
  </si>
  <si>
    <t>11-020469</t>
  </si>
  <si>
    <t>11-020470</t>
  </si>
  <si>
    <t>11-020471</t>
  </si>
  <si>
    <t>11-020472</t>
  </si>
  <si>
    <t>11-020473</t>
  </si>
  <si>
    <t>11-020474</t>
  </si>
  <si>
    <t>11-020475</t>
  </si>
  <si>
    <t>11-020476</t>
  </si>
  <si>
    <t>11-020477</t>
  </si>
  <si>
    <t>11-020478</t>
  </si>
  <si>
    <t>11-020479</t>
  </si>
  <si>
    <t>11-020480</t>
  </si>
  <si>
    <t>11-020481</t>
  </si>
  <si>
    <t>11-020482</t>
  </si>
  <si>
    <t>11-020483</t>
  </si>
  <si>
    <t>11-020484</t>
  </si>
  <si>
    <t>11-020485</t>
  </si>
  <si>
    <t>11-020486</t>
  </si>
  <si>
    <t>11-020487</t>
  </si>
  <si>
    <t>11-020488</t>
  </si>
  <si>
    <t>11-020489</t>
  </si>
  <si>
    <t>11-020490</t>
  </si>
  <si>
    <t>CONCRETE &amp; MASONRY EQUIPMENT</t>
  </si>
  <si>
    <t>11-020491</t>
  </si>
  <si>
    <t>11-020492</t>
  </si>
  <si>
    <t>11-020493</t>
  </si>
  <si>
    <t>11-020494</t>
  </si>
  <si>
    <t>11-020495</t>
  </si>
  <si>
    <t>11-020496</t>
  </si>
  <si>
    <t>11-020497</t>
  </si>
  <si>
    <t>11-020498</t>
  </si>
  <si>
    <t>11-020499</t>
  </si>
  <si>
    <t>11-020500</t>
  </si>
  <si>
    <t>11-020501</t>
  </si>
  <si>
    <t>11-020502</t>
  </si>
  <si>
    <t>11-020503</t>
  </si>
  <si>
    <t>11-020504</t>
  </si>
  <si>
    <t>11-020505</t>
  </si>
  <si>
    <t>11-020506</t>
  </si>
  <si>
    <t>11-020507</t>
  </si>
  <si>
    <t>11-020508</t>
  </si>
  <si>
    <t>11-020509</t>
  </si>
  <si>
    <t>11-020510</t>
  </si>
  <si>
    <t>11-020511</t>
  </si>
  <si>
    <t>11-020512</t>
  </si>
  <si>
    <t>11-020513</t>
  </si>
  <si>
    <t>11-020514</t>
  </si>
  <si>
    <t>11-020515</t>
  </si>
  <si>
    <t>11-020516</t>
  </si>
  <si>
    <t>11-020517</t>
  </si>
  <si>
    <t>11-020518</t>
  </si>
  <si>
    <t>11-020519</t>
  </si>
  <si>
    <t>11-020520</t>
  </si>
  <si>
    <t>11-020521</t>
  </si>
  <si>
    <t>11-020522</t>
  </si>
  <si>
    <t>11-020523</t>
  </si>
  <si>
    <t>11-020524</t>
  </si>
  <si>
    <t>11-020525</t>
  </si>
  <si>
    <t>11-020526</t>
  </si>
  <si>
    <t>11-020527</t>
  </si>
  <si>
    <t>11-020528</t>
  </si>
  <si>
    <t>11-020529</t>
  </si>
  <si>
    <t>CRANES</t>
  </si>
  <si>
    <t>11-020530</t>
  </si>
  <si>
    <t>11-020531</t>
  </si>
  <si>
    <t>11-020532</t>
  </si>
  <si>
    <t>11-020533</t>
  </si>
  <si>
    <t>11-020534</t>
  </si>
  <si>
    <t>11-020535</t>
  </si>
  <si>
    <t>11-020536</t>
  </si>
  <si>
    <t>DEHUMIDIFIER</t>
  </si>
  <si>
    <t>11-020537</t>
  </si>
  <si>
    <t>11-020538</t>
  </si>
  <si>
    <t>11-020539</t>
  </si>
  <si>
    <t>11-020540</t>
  </si>
  <si>
    <t>11-020541</t>
  </si>
  <si>
    <t>11-020542</t>
  </si>
  <si>
    <t>11-020543</t>
  </si>
  <si>
    <t>11-020544</t>
  </si>
  <si>
    <t>11-020545</t>
  </si>
  <si>
    <t>11-020546</t>
  </si>
  <si>
    <t>11-020547</t>
  </si>
  <si>
    <t>11-020548</t>
  </si>
  <si>
    <t>11-020549</t>
  </si>
  <si>
    <t>DEMOLITION EQUIPMENT</t>
  </si>
  <si>
    <t>11-020550</t>
  </si>
  <si>
    <t>11-020551</t>
  </si>
  <si>
    <t>11-020552</t>
  </si>
  <si>
    <t>11-020553</t>
  </si>
  <si>
    <t>11-020554</t>
  </si>
  <si>
    <t>11-020555</t>
  </si>
  <si>
    <t>11-020556</t>
  </si>
  <si>
    <t>11-020557</t>
  </si>
  <si>
    <t>11-020558</t>
  </si>
  <si>
    <t>11-020559</t>
  </si>
  <si>
    <t>11-020560</t>
  </si>
  <si>
    <t>11-020561</t>
  </si>
  <si>
    <t>11-020562</t>
  </si>
  <si>
    <t>11-020563</t>
  </si>
  <si>
    <t>11-020564</t>
  </si>
  <si>
    <t>11-020565</t>
  </si>
  <si>
    <t>11-020566</t>
  </si>
  <si>
    <t>11-020567</t>
  </si>
  <si>
    <t>11-020568</t>
  </si>
  <si>
    <t>11-020569</t>
  </si>
  <si>
    <t>11-020570</t>
  </si>
  <si>
    <t>11-020571</t>
  </si>
  <si>
    <t>11-020572</t>
  </si>
  <si>
    <t>11-020573</t>
  </si>
  <si>
    <t>11-020574</t>
  </si>
  <si>
    <t>11-020575</t>
  </si>
  <si>
    <t>11-020576</t>
  </si>
  <si>
    <t>11-020577</t>
  </si>
  <si>
    <t>11-020578</t>
  </si>
  <si>
    <t>11-020579</t>
  </si>
  <si>
    <t>11-020580</t>
  </si>
  <si>
    <t>11-020581</t>
  </si>
  <si>
    <t>11-020582</t>
  </si>
  <si>
    <t>11-020583</t>
  </si>
  <si>
    <t>11-020584</t>
  </si>
  <si>
    <t>11-020585</t>
  </si>
  <si>
    <t>11-020586</t>
  </si>
  <si>
    <t>11-020587</t>
  </si>
  <si>
    <t>11-020588</t>
  </si>
  <si>
    <t>11-020589</t>
  </si>
  <si>
    <t>11-020590</t>
  </si>
  <si>
    <t>11-020591</t>
  </si>
  <si>
    <t>11-020592</t>
  </si>
  <si>
    <t>11-020593</t>
  </si>
  <si>
    <t>11-020594</t>
  </si>
  <si>
    <t>11-020595</t>
  </si>
  <si>
    <t>11-020596</t>
  </si>
  <si>
    <t>11-020597</t>
  </si>
  <si>
    <t>11-020598</t>
  </si>
  <si>
    <t>EARTH MOVING - BACKHOES</t>
  </si>
  <si>
    <t>11-020599</t>
  </si>
  <si>
    <t>11-020600</t>
  </si>
  <si>
    <t>11-020601</t>
  </si>
  <si>
    <t>11-020602</t>
  </si>
  <si>
    <t>11-020603</t>
  </si>
  <si>
    <t>11-020604</t>
  </si>
  <si>
    <t>11-020605</t>
  </si>
  <si>
    <t>11-020606</t>
  </si>
  <si>
    <t>11-020607</t>
  </si>
  <si>
    <t>11-020608</t>
  </si>
  <si>
    <t>11-020609</t>
  </si>
  <si>
    <t>11-020610</t>
  </si>
  <si>
    <t>11-020611</t>
  </si>
  <si>
    <t>11-020612</t>
  </si>
  <si>
    <t>11-020613</t>
  </si>
  <si>
    <t>11-020614</t>
  </si>
  <si>
    <t>11-020615</t>
  </si>
  <si>
    <t>11-020616</t>
  </si>
  <si>
    <t>11-020617</t>
  </si>
  <si>
    <t>11-020618</t>
  </si>
  <si>
    <t>11-020619</t>
  </si>
  <si>
    <t>11-020620</t>
  </si>
  <si>
    <t>11-020621</t>
  </si>
  <si>
    <t>11-020622</t>
  </si>
  <si>
    <t>11-020623</t>
  </si>
  <si>
    <t>11-020624</t>
  </si>
  <si>
    <t>11-020625</t>
  </si>
  <si>
    <t>11-020626</t>
  </si>
  <si>
    <t>11-020627</t>
  </si>
  <si>
    <t>11-020628</t>
  </si>
  <si>
    <t>11-020629</t>
  </si>
  <si>
    <t>11-020630</t>
  </si>
  <si>
    <t>11-020631</t>
  </si>
  <si>
    <t>11-020632</t>
  </si>
  <si>
    <t>11-020633</t>
  </si>
  <si>
    <t>11-020634</t>
  </si>
  <si>
    <t>11-020635</t>
  </si>
  <si>
    <t>11-020636</t>
  </si>
  <si>
    <t>11-020637</t>
  </si>
  <si>
    <t>11-020638</t>
  </si>
  <si>
    <t>11-020639</t>
  </si>
  <si>
    <t>11-020640</t>
  </si>
  <si>
    <t>11-020641</t>
  </si>
  <si>
    <t>11-020642</t>
  </si>
  <si>
    <t>11-020643</t>
  </si>
  <si>
    <t>11-020644</t>
  </si>
  <si>
    <t>11-020645</t>
  </si>
  <si>
    <t>11-020646</t>
  </si>
  <si>
    <t>11-020647</t>
  </si>
  <si>
    <t>11-020648</t>
  </si>
  <si>
    <t>11-020649</t>
  </si>
  <si>
    <t>11-020650</t>
  </si>
  <si>
    <t>11-020651</t>
  </si>
  <si>
    <t>11-020652</t>
  </si>
  <si>
    <t>11-020653</t>
  </si>
  <si>
    <t>11-020654</t>
  </si>
  <si>
    <t>11-020655</t>
  </si>
  <si>
    <t>11-020656</t>
  </si>
  <si>
    <t>11-020657</t>
  </si>
  <si>
    <t>EARTH MOVING - CRAWLER LOADERS</t>
  </si>
  <si>
    <t>11-020658</t>
  </si>
  <si>
    <t>11-020659</t>
  </si>
  <si>
    <t>11-020660</t>
  </si>
  <si>
    <t>EARTH MOVING - DOZERS</t>
  </si>
  <si>
    <t>11-020661</t>
  </si>
  <si>
    <t>11-020662</t>
  </si>
  <si>
    <t>11-020663</t>
  </si>
  <si>
    <t>11-020664</t>
  </si>
  <si>
    <t>11-020665</t>
  </si>
  <si>
    <t>11-020666</t>
  </si>
  <si>
    <t>11-020667</t>
  </si>
  <si>
    <t>11-020668</t>
  </si>
  <si>
    <t>11-020669</t>
  </si>
  <si>
    <t>11-020670</t>
  </si>
  <si>
    <t>11-020671</t>
  </si>
  <si>
    <t>11-020672</t>
  </si>
  <si>
    <t>11-020673</t>
  </si>
  <si>
    <t>11-020674</t>
  </si>
  <si>
    <t>11-020675</t>
  </si>
  <si>
    <t>11-020676</t>
  </si>
  <si>
    <t>11-020677</t>
  </si>
  <si>
    <t>11-020678</t>
  </si>
  <si>
    <t>11-020679</t>
  </si>
  <si>
    <t>11-020680</t>
  </si>
  <si>
    <t>11-020681</t>
  </si>
  <si>
    <t>11-020682</t>
  </si>
  <si>
    <t>11-020683</t>
  </si>
  <si>
    <t>11-020684</t>
  </si>
  <si>
    <t>11-020685</t>
  </si>
  <si>
    <t>11-020686</t>
  </si>
  <si>
    <t>11-020687</t>
  </si>
  <si>
    <t>11-020688</t>
  </si>
  <si>
    <t>11-020689</t>
  </si>
  <si>
    <t>11-020690</t>
  </si>
  <si>
    <t>11-020691</t>
  </si>
  <si>
    <t>EARTH MOVING - EXCAVATORS</t>
  </si>
  <si>
    <t>11-020692</t>
  </si>
  <si>
    <t>11-020693</t>
  </si>
  <si>
    <t>11-020694</t>
  </si>
  <si>
    <t>11-020695</t>
  </si>
  <si>
    <t>11-020696</t>
  </si>
  <si>
    <t>11-020697</t>
  </si>
  <si>
    <t>11-020698</t>
  </si>
  <si>
    <t>11-020699</t>
  </si>
  <si>
    <t>11-020700</t>
  </si>
  <si>
    <t>11-020701</t>
  </si>
  <si>
    <t>11-020702</t>
  </si>
  <si>
    <t>11-020703</t>
  </si>
  <si>
    <t>11-020704</t>
  </si>
  <si>
    <t>11-020705</t>
  </si>
  <si>
    <t>11-020706</t>
  </si>
  <si>
    <t>11-020707</t>
  </si>
  <si>
    <t>11-020708</t>
  </si>
  <si>
    <t>11-020709</t>
  </si>
  <si>
    <t>11-020710</t>
  </si>
  <si>
    <t>11-020711</t>
  </si>
  <si>
    <t>11-020712</t>
  </si>
  <si>
    <t>11-020713</t>
  </si>
  <si>
    <t>11-020714</t>
  </si>
  <si>
    <t>11-020715</t>
  </si>
  <si>
    <t>11-020716</t>
  </si>
  <si>
    <t>11-020717</t>
  </si>
  <si>
    <t>11-020718</t>
  </si>
  <si>
    <t>11-020719</t>
  </si>
  <si>
    <t>11-020720</t>
  </si>
  <si>
    <t>11-020721</t>
  </si>
  <si>
    <t>11-020722</t>
  </si>
  <si>
    <t>11-020723</t>
  </si>
  <si>
    <t>11-020724</t>
  </si>
  <si>
    <t>11-020725</t>
  </si>
  <si>
    <t>11-020726</t>
  </si>
  <si>
    <t>11-020727</t>
  </si>
  <si>
    <t>11-020728</t>
  </si>
  <si>
    <t>11-020729</t>
  </si>
  <si>
    <t>11-020730</t>
  </si>
  <si>
    <t>11-020731</t>
  </si>
  <si>
    <t>11-020732</t>
  </si>
  <si>
    <t>11-020733</t>
  </si>
  <si>
    <t>11-020734</t>
  </si>
  <si>
    <t>11-020735</t>
  </si>
  <si>
    <t>11-020736</t>
  </si>
  <si>
    <t>11-020737</t>
  </si>
  <si>
    <t>11-020738</t>
  </si>
  <si>
    <t>11-020739</t>
  </si>
  <si>
    <t>11-020740</t>
  </si>
  <si>
    <t>11-020741</t>
  </si>
  <si>
    <t>11-020742</t>
  </si>
  <si>
    <t>11-020743</t>
  </si>
  <si>
    <t>11-020744</t>
  </si>
  <si>
    <t>11-020745</t>
  </si>
  <si>
    <t>11-020746</t>
  </si>
  <si>
    <t>11-020747</t>
  </si>
  <si>
    <t>11-020748</t>
  </si>
  <si>
    <t>11-020749</t>
  </si>
  <si>
    <t>11-020750</t>
  </si>
  <si>
    <t>11-020751</t>
  </si>
  <si>
    <t>11-020752</t>
  </si>
  <si>
    <t>11-020753</t>
  </si>
  <si>
    <t>11-020754</t>
  </si>
  <si>
    <t>11-020755</t>
  </si>
  <si>
    <t>11-020756</t>
  </si>
  <si>
    <t>11-020757</t>
  </si>
  <si>
    <t>11-020758</t>
  </si>
  <si>
    <t>11-020759</t>
  </si>
  <si>
    <t>11-020760</t>
  </si>
  <si>
    <t>11-020761</t>
  </si>
  <si>
    <t>11-020762</t>
  </si>
  <si>
    <t>11-020763</t>
  </si>
  <si>
    <t>11-020764</t>
  </si>
  <si>
    <t>11-020765</t>
  </si>
  <si>
    <t>11-020766</t>
  </si>
  <si>
    <t>11-020767</t>
  </si>
  <si>
    <t>11-020768</t>
  </si>
  <si>
    <t>11-020769</t>
  </si>
  <si>
    <t>11-020770</t>
  </si>
  <si>
    <t>11-020771</t>
  </si>
  <si>
    <t>11-020772</t>
  </si>
  <si>
    <t>11-020773</t>
  </si>
  <si>
    <t>11-020774</t>
  </si>
  <si>
    <t>11-020775</t>
  </si>
  <si>
    <t>11-020776</t>
  </si>
  <si>
    <t>11-020777</t>
  </si>
  <si>
    <t>11-020778</t>
  </si>
  <si>
    <t>11-020779</t>
  </si>
  <si>
    <t>11-020780</t>
  </si>
  <si>
    <t>11-020781</t>
  </si>
  <si>
    <t>11-020782</t>
  </si>
  <si>
    <t>11-020783</t>
  </si>
  <si>
    <t>11-020784</t>
  </si>
  <si>
    <t>11-020785</t>
  </si>
  <si>
    <t>11-020786</t>
  </si>
  <si>
    <t>11-020787</t>
  </si>
  <si>
    <t>11-020788</t>
  </si>
  <si>
    <t>11-020789</t>
  </si>
  <si>
    <t>11-020790</t>
  </si>
  <si>
    <t>11-020791</t>
  </si>
  <si>
    <t>11-020792</t>
  </si>
  <si>
    <t>11-020793</t>
  </si>
  <si>
    <t>11-020794</t>
  </si>
  <si>
    <t>11-020795</t>
  </si>
  <si>
    <t>11-020796</t>
  </si>
  <si>
    <t>11-020797</t>
  </si>
  <si>
    <t>11-020798</t>
  </si>
  <si>
    <t>11-020799</t>
  </si>
  <si>
    <t>11-020800</t>
  </si>
  <si>
    <t>11-020801</t>
  </si>
  <si>
    <t>11-020802</t>
  </si>
  <si>
    <t>11-020803</t>
  </si>
  <si>
    <t>11-020804</t>
  </si>
  <si>
    <t>11-020805</t>
  </si>
  <si>
    <t>11-020806</t>
  </si>
  <si>
    <t>11-020807</t>
  </si>
  <si>
    <t>11-020808</t>
  </si>
  <si>
    <t>11-020809</t>
  </si>
  <si>
    <t>11-020810</t>
  </si>
  <si>
    <t>11-020811</t>
  </si>
  <si>
    <t>11-020812</t>
  </si>
  <si>
    <t>11-020813</t>
  </si>
  <si>
    <t>11-020814</t>
  </si>
  <si>
    <t>11-020815</t>
  </si>
  <si>
    <t>11-020816</t>
  </si>
  <si>
    <t>11-020817</t>
  </si>
  <si>
    <t>11-020818</t>
  </si>
  <si>
    <t>11-020819</t>
  </si>
  <si>
    <t>11-020820</t>
  </si>
  <si>
    <t>11-020821</t>
  </si>
  <si>
    <t>11-020822</t>
  </si>
  <si>
    <t>11-020823</t>
  </si>
  <si>
    <t>11-020824</t>
  </si>
  <si>
    <t>11-020825</t>
  </si>
  <si>
    <t>11-020826</t>
  </si>
  <si>
    <t>11-020827</t>
  </si>
  <si>
    <t>11-020828</t>
  </si>
  <si>
    <t>11-020829</t>
  </si>
  <si>
    <t>11-020830</t>
  </si>
  <si>
    <t>11-020831</t>
  </si>
  <si>
    <t>11-020832</t>
  </si>
  <si>
    <t>11-020833</t>
  </si>
  <si>
    <t>11-020834</t>
  </si>
  <si>
    <t>11-020835</t>
  </si>
  <si>
    <t>11-020836</t>
  </si>
  <si>
    <t>11-020837</t>
  </si>
  <si>
    <t>11-020838</t>
  </si>
  <si>
    <t>11-020839</t>
  </si>
  <si>
    <t>11-020840</t>
  </si>
  <si>
    <t>EARTH MOVING - MISC EQUIPMENT</t>
  </si>
  <si>
    <t>11-020841</t>
  </si>
  <si>
    <t>11-020842</t>
  </si>
  <si>
    <t>11-020843</t>
  </si>
  <si>
    <t>11-020844</t>
  </si>
  <si>
    <t>11-020845</t>
  </si>
  <si>
    <t>11-020846</t>
  </si>
  <si>
    <t>11-020847</t>
  </si>
  <si>
    <t>11-020848</t>
  </si>
  <si>
    <t>11-020849</t>
  </si>
  <si>
    <t>11-020850</t>
  </si>
  <si>
    <t>11-020851</t>
  </si>
  <si>
    <t>11-020852</t>
  </si>
  <si>
    <t>11-020853</t>
  </si>
  <si>
    <t>11-020854</t>
  </si>
  <si>
    <t>11-020855</t>
  </si>
  <si>
    <t>11-020856</t>
  </si>
  <si>
    <t>11-020857</t>
  </si>
  <si>
    <t>11-020858</t>
  </si>
  <si>
    <t>11-020859</t>
  </si>
  <si>
    <t>11-020860</t>
  </si>
  <si>
    <t>11-020861</t>
  </si>
  <si>
    <t>11-020862</t>
  </si>
  <si>
    <t>11-020863</t>
  </si>
  <si>
    <t>11-020864</t>
  </si>
  <si>
    <t>11-020865</t>
  </si>
  <si>
    <t>11-020866</t>
  </si>
  <si>
    <t>11-020867</t>
  </si>
  <si>
    <t>11-020868</t>
  </si>
  <si>
    <t>11-020869</t>
  </si>
  <si>
    <t>11-020870</t>
  </si>
  <si>
    <t>11-020871</t>
  </si>
  <si>
    <t>11-020872</t>
  </si>
  <si>
    <t>11-020873</t>
  </si>
  <si>
    <t>11-020874</t>
  </si>
  <si>
    <t>11-020875</t>
  </si>
  <si>
    <t>11-020876</t>
  </si>
  <si>
    <t>11-020877</t>
  </si>
  <si>
    <t>11-020878</t>
  </si>
  <si>
    <t>11-020879</t>
  </si>
  <si>
    <t>11-020880</t>
  </si>
  <si>
    <t>11-020881</t>
  </si>
  <si>
    <t>11-020882</t>
  </si>
  <si>
    <t>11-020883</t>
  </si>
  <si>
    <t>11-020884</t>
  </si>
  <si>
    <t>11-020885</t>
  </si>
  <si>
    <t>11-020886</t>
  </si>
  <si>
    <t>11-020887</t>
  </si>
  <si>
    <t>EARTH MOVING - SKIDSTEERS</t>
  </si>
  <si>
    <t>11-020888</t>
  </si>
  <si>
    <t>11-020889</t>
  </si>
  <si>
    <t>11-020890</t>
  </si>
  <si>
    <t>11-020891</t>
  </si>
  <si>
    <t>11-020892</t>
  </si>
  <si>
    <t>11-020893</t>
  </si>
  <si>
    <t>11-020894</t>
  </si>
  <si>
    <t>11-020895</t>
  </si>
  <si>
    <t>11-020896</t>
  </si>
  <si>
    <t>11-020897</t>
  </si>
  <si>
    <t>11-020898</t>
  </si>
  <si>
    <t>11-020899</t>
  </si>
  <si>
    <t>11-020900</t>
  </si>
  <si>
    <t>11-020901</t>
  </si>
  <si>
    <t>11-020902</t>
  </si>
  <si>
    <t>11-020903</t>
  </si>
  <si>
    <t>11-020904</t>
  </si>
  <si>
    <t>11-020905</t>
  </si>
  <si>
    <t>11-020906</t>
  </si>
  <si>
    <t>11-020907</t>
  </si>
  <si>
    <t>11-020908</t>
  </si>
  <si>
    <t>11-020909</t>
  </si>
  <si>
    <t>11-020910</t>
  </si>
  <si>
    <t>11-020911</t>
  </si>
  <si>
    <t>11-020912</t>
  </si>
  <si>
    <t>11-020913</t>
  </si>
  <si>
    <t>11-020914</t>
  </si>
  <si>
    <t>11-020915</t>
  </si>
  <si>
    <t>11-020916</t>
  </si>
  <si>
    <t>11-020917</t>
  </si>
  <si>
    <t>11-020918</t>
  </si>
  <si>
    <t>11-020919</t>
  </si>
  <si>
    <t>11-020920</t>
  </si>
  <si>
    <t>11-020921</t>
  </si>
  <si>
    <t>11-020922</t>
  </si>
  <si>
    <t>11-020923</t>
  </si>
  <si>
    <t>11-020924</t>
  </si>
  <si>
    <t>11-020925</t>
  </si>
  <si>
    <t>11-020926</t>
  </si>
  <si>
    <t>11-020927</t>
  </si>
  <si>
    <t>11-020928</t>
  </si>
  <si>
    <t>11-020929</t>
  </si>
  <si>
    <t>11-020930</t>
  </si>
  <si>
    <t>11-020931</t>
  </si>
  <si>
    <t>11-020932</t>
  </si>
  <si>
    <t>11-020933</t>
  </si>
  <si>
    <t>11-020934</t>
  </si>
  <si>
    <t>11-020935</t>
  </si>
  <si>
    <t>11-020936</t>
  </si>
  <si>
    <t>11-020937</t>
  </si>
  <si>
    <t>11-020938</t>
  </si>
  <si>
    <t>11-020939</t>
  </si>
  <si>
    <t>11-020940</t>
  </si>
  <si>
    <t>11-020941</t>
  </si>
  <si>
    <t>11-020942</t>
  </si>
  <si>
    <t>11-020943</t>
  </si>
  <si>
    <t>11-020944</t>
  </si>
  <si>
    <t>11-020945</t>
  </si>
  <si>
    <t>11-020946</t>
  </si>
  <si>
    <t>11-020947</t>
  </si>
  <si>
    <t>11-020948</t>
  </si>
  <si>
    <t>11-020949</t>
  </si>
  <si>
    <t>11-020950</t>
  </si>
  <si>
    <t>11-020951</t>
  </si>
  <si>
    <t>11-020952</t>
  </si>
  <si>
    <t>11-020953</t>
  </si>
  <si>
    <t>11-020954</t>
  </si>
  <si>
    <t>11-020955</t>
  </si>
  <si>
    <t>11-020956</t>
  </si>
  <si>
    <t>11-020957</t>
  </si>
  <si>
    <t>11-020958</t>
  </si>
  <si>
    <t>11-020959</t>
  </si>
  <si>
    <t>11-020960</t>
  </si>
  <si>
    <t>11-020961</t>
  </si>
  <si>
    <t>11-020962</t>
  </si>
  <si>
    <t>11-020963</t>
  </si>
  <si>
    <t>11-020964</t>
  </si>
  <si>
    <t>11-020965</t>
  </si>
  <si>
    <t>11-020966</t>
  </si>
  <si>
    <t>11-020967</t>
  </si>
  <si>
    <t>11-020968</t>
  </si>
  <si>
    <t>11-020969</t>
  </si>
  <si>
    <t>11-020970</t>
  </si>
  <si>
    <t>11-020971</t>
  </si>
  <si>
    <t>11-020972</t>
  </si>
  <si>
    <t>11-020973</t>
  </si>
  <si>
    <t>11-020974</t>
  </si>
  <si>
    <t>11-020975</t>
  </si>
  <si>
    <t>11-020976</t>
  </si>
  <si>
    <t>11-020977</t>
  </si>
  <si>
    <t>11-020978</t>
  </si>
  <si>
    <t>11-020979</t>
  </si>
  <si>
    <t>11-020980</t>
  </si>
  <si>
    <t>11-020981</t>
  </si>
  <si>
    <t>11-020982</t>
  </si>
  <si>
    <t>11-020983</t>
  </si>
  <si>
    <t>11-020984</t>
  </si>
  <si>
    <t>11-020985</t>
  </si>
  <si>
    <t>11-020986</t>
  </si>
  <si>
    <t>11-020987</t>
  </si>
  <si>
    <t>11-020988</t>
  </si>
  <si>
    <t>11-020989</t>
  </si>
  <si>
    <t>11-020990</t>
  </si>
  <si>
    <t>11-020991</t>
  </si>
  <si>
    <t>11-020992</t>
  </si>
  <si>
    <t>11-020993</t>
  </si>
  <si>
    <t>11-020994</t>
  </si>
  <si>
    <t>11-020995</t>
  </si>
  <si>
    <t>11-020996</t>
  </si>
  <si>
    <t>11-020997</t>
  </si>
  <si>
    <t>11-020998</t>
  </si>
  <si>
    <t>11-020999</t>
  </si>
  <si>
    <t>11-021000</t>
  </si>
  <si>
    <t>11-021001</t>
  </si>
  <si>
    <t>11-021002</t>
  </si>
  <si>
    <t>11-021003</t>
  </si>
  <si>
    <t>11-021004</t>
  </si>
  <si>
    <t>11-021005</t>
  </si>
  <si>
    <t>11-021006</t>
  </si>
  <si>
    <t>11-021007</t>
  </si>
  <si>
    <t>11-021008</t>
  </si>
  <si>
    <t>11-021009</t>
  </si>
  <si>
    <t>11-021010</t>
  </si>
  <si>
    <t>11-021011</t>
  </si>
  <si>
    <t>11-021012</t>
  </si>
  <si>
    <t>11-021013</t>
  </si>
  <si>
    <t>11-021014</t>
  </si>
  <si>
    <t>11-021015</t>
  </si>
  <si>
    <t>11-021016</t>
  </si>
  <si>
    <t>11-021017</t>
  </si>
  <si>
    <t>11-021018</t>
  </si>
  <si>
    <t>11-021019</t>
  </si>
  <si>
    <t>11-021020</t>
  </si>
  <si>
    <t>11-021021</t>
  </si>
  <si>
    <t>11-021022</t>
  </si>
  <si>
    <t>11-021023</t>
  </si>
  <si>
    <t>11-021024</t>
  </si>
  <si>
    <t>11-021025</t>
  </si>
  <si>
    <t>11-021026</t>
  </si>
  <si>
    <t>11-021027</t>
  </si>
  <si>
    <t>11-021028</t>
  </si>
  <si>
    <t>11-021029</t>
  </si>
  <si>
    <t>11-021030</t>
  </si>
  <si>
    <t>11-021031</t>
  </si>
  <si>
    <t>11-021032</t>
  </si>
  <si>
    <t>11-021033</t>
  </si>
  <si>
    <t>11-021034</t>
  </si>
  <si>
    <t>FAN</t>
  </si>
  <si>
    <t>11-021035</t>
  </si>
  <si>
    <t>11-021036</t>
  </si>
  <si>
    <t>11-021037</t>
  </si>
  <si>
    <t>11-021038</t>
  </si>
  <si>
    <t>11-021039</t>
  </si>
  <si>
    <t>11-021040</t>
  </si>
  <si>
    <t>11-021041</t>
  </si>
  <si>
    <t>FLOOR AND VACUUM EQUIPMENT</t>
  </si>
  <si>
    <t>11-021042</t>
  </si>
  <si>
    <t>11-021043</t>
  </si>
  <si>
    <t>11-021044</t>
  </si>
  <si>
    <t>11-021045</t>
  </si>
  <si>
    <t>11-021046</t>
  </si>
  <si>
    <t>11-021047</t>
  </si>
  <si>
    <t>11-021048</t>
  </si>
  <si>
    <t>11-021049</t>
  </si>
  <si>
    <t>11-021050</t>
  </si>
  <si>
    <t>11-021051</t>
  </si>
  <si>
    <t>11-021052</t>
  </si>
  <si>
    <t>11-021053</t>
  </si>
  <si>
    <t>11-021054</t>
  </si>
  <si>
    <t>11-021055</t>
  </si>
  <si>
    <t>11-021056</t>
  </si>
  <si>
    <t>11-021057</t>
  </si>
  <si>
    <t>11-021058</t>
  </si>
  <si>
    <t>11-021059</t>
  </si>
  <si>
    <t>11-021060</t>
  </si>
  <si>
    <t>11-021061</t>
  </si>
  <si>
    <t>11-021062</t>
  </si>
  <si>
    <t>11-021063</t>
  </si>
  <si>
    <t>11-021064</t>
  </si>
  <si>
    <t>11-021065</t>
  </si>
  <si>
    <t>11-021066</t>
  </si>
  <si>
    <t>11-021067</t>
  </si>
  <si>
    <t>11-021068</t>
  </si>
  <si>
    <t>11-021069</t>
  </si>
  <si>
    <t>11-021070</t>
  </si>
  <si>
    <t>11-021071</t>
  </si>
  <si>
    <t>11-021072</t>
  </si>
  <si>
    <t>11-021073</t>
  </si>
  <si>
    <t>11-021074</t>
  </si>
  <si>
    <t>11-021075</t>
  </si>
  <si>
    <t>11-021076</t>
  </si>
  <si>
    <t>11-021077</t>
  </si>
  <si>
    <t>11-021078</t>
  </si>
  <si>
    <t>11-021079</t>
  </si>
  <si>
    <t>11-021080</t>
  </si>
  <si>
    <t>11-021081</t>
  </si>
  <si>
    <t>11-021082</t>
  </si>
  <si>
    <t>11-021083</t>
  </si>
  <si>
    <t>11-021084</t>
  </si>
  <si>
    <t>11-021085</t>
  </si>
  <si>
    <t>11-021086</t>
  </si>
  <si>
    <t>11-021087</t>
  </si>
  <si>
    <t>11-021088</t>
  </si>
  <si>
    <t>11-021089</t>
  </si>
  <si>
    <t>11-021090</t>
  </si>
  <si>
    <t>11-021091</t>
  </si>
  <si>
    <t>11-021092</t>
  </si>
  <si>
    <t>11-021093</t>
  </si>
  <si>
    <t>11-021094</t>
  </si>
  <si>
    <t>FORKLIFTS - CONSTRUCTION/HI-REACH</t>
  </si>
  <si>
    <t>11-021095</t>
  </si>
  <si>
    <t>11-021096</t>
  </si>
  <si>
    <t>11-021097</t>
  </si>
  <si>
    <t>11-021098</t>
  </si>
  <si>
    <t>11-021099</t>
  </si>
  <si>
    <t>11-021100</t>
  </si>
  <si>
    <t>11-021101</t>
  </si>
  <si>
    <t>11-021102</t>
  </si>
  <si>
    <t>11-021103</t>
  </si>
  <si>
    <t>11-021104</t>
  </si>
  <si>
    <t>11-021105</t>
  </si>
  <si>
    <t>11-021106</t>
  </si>
  <si>
    <t>11-021107</t>
  </si>
  <si>
    <t>11-021108</t>
  </si>
  <si>
    <t>11-021109</t>
  </si>
  <si>
    <t>11-021110</t>
  </si>
  <si>
    <t>11-021111</t>
  </si>
  <si>
    <t>11-021112</t>
  </si>
  <si>
    <t>11-021113</t>
  </si>
  <si>
    <t>11-021114</t>
  </si>
  <si>
    <t>11-021115</t>
  </si>
  <si>
    <t>11-021116</t>
  </si>
  <si>
    <t>11-021117</t>
  </si>
  <si>
    <t>11-021118</t>
  </si>
  <si>
    <t>11-021119</t>
  </si>
  <si>
    <t>11-021120</t>
  </si>
  <si>
    <t>11-021121</t>
  </si>
  <si>
    <t>11-021122</t>
  </si>
  <si>
    <t>11-021123</t>
  </si>
  <si>
    <t>11-021124</t>
  </si>
  <si>
    <t>11-021125</t>
  </si>
  <si>
    <t>11-021126</t>
  </si>
  <si>
    <t>11-021127</t>
  </si>
  <si>
    <t>11-021128</t>
  </si>
  <si>
    <t>11-021129</t>
  </si>
  <si>
    <t>11-021130</t>
  </si>
  <si>
    <t>11-021131</t>
  </si>
  <si>
    <t>11-021132</t>
  </si>
  <si>
    <t>11-021133</t>
  </si>
  <si>
    <t>FORKLIFTS - INDUSTRIAL/WAREHOUSE</t>
  </si>
  <si>
    <t>11-021134</t>
  </si>
  <si>
    <t>11-021135</t>
  </si>
  <si>
    <t>11-021136</t>
  </si>
  <si>
    <t>11-021137</t>
  </si>
  <si>
    <t>11-021138</t>
  </si>
  <si>
    <t>11-021139</t>
  </si>
  <si>
    <t>11-021140</t>
  </si>
  <si>
    <t>11-021141</t>
  </si>
  <si>
    <t>11-021142</t>
  </si>
  <si>
    <t>11-021143</t>
  </si>
  <si>
    <t>11-021144</t>
  </si>
  <si>
    <t>11-021145</t>
  </si>
  <si>
    <t>11-021146</t>
  </si>
  <si>
    <t>11-021147</t>
  </si>
  <si>
    <t>11-021148</t>
  </si>
  <si>
    <t>11-021149</t>
  </si>
  <si>
    <t>11-021150</t>
  </si>
  <si>
    <t>11-021151</t>
  </si>
  <si>
    <t>11-021152</t>
  </si>
  <si>
    <t>11-021153</t>
  </si>
  <si>
    <t>11-021154</t>
  </si>
  <si>
    <t>11-021155</t>
  </si>
  <si>
    <t>11-021156</t>
  </si>
  <si>
    <t>11-021157</t>
  </si>
  <si>
    <t>11-021158</t>
  </si>
  <si>
    <t>11-021159</t>
  </si>
  <si>
    <t>11-021160</t>
  </si>
  <si>
    <t>11-021161</t>
  </si>
  <si>
    <t>11-021162</t>
  </si>
  <si>
    <t>11-021163</t>
  </si>
  <si>
    <t>11-021164</t>
  </si>
  <si>
    <t>11-021165</t>
  </si>
  <si>
    <t>11-021166</t>
  </si>
  <si>
    <t>11-021167</t>
  </si>
  <si>
    <t>11-021168</t>
  </si>
  <si>
    <t>11-021169</t>
  </si>
  <si>
    <t>11-021170</t>
  </si>
  <si>
    <t>11-021171</t>
  </si>
  <si>
    <t>11-021172</t>
  </si>
  <si>
    <t>11-021173</t>
  </si>
  <si>
    <t>11-021174</t>
  </si>
  <si>
    <t>11-021175</t>
  </si>
  <si>
    <t>11-021176</t>
  </si>
  <si>
    <t>GENERATORS</t>
  </si>
  <si>
    <t>11-021177</t>
  </si>
  <si>
    <t>11-021178</t>
  </si>
  <si>
    <t>11-021179</t>
  </si>
  <si>
    <t>11-021180</t>
  </si>
  <si>
    <t>11-021181</t>
  </si>
  <si>
    <t>11-021182</t>
  </si>
  <si>
    <t>11-021183</t>
  </si>
  <si>
    <t>11-021184</t>
  </si>
  <si>
    <t>11-021185</t>
  </si>
  <si>
    <t>11-021186</t>
  </si>
  <si>
    <t>11-021187</t>
  </si>
  <si>
    <t>11-021188</t>
  </si>
  <si>
    <t>11-021189</t>
  </si>
  <si>
    <t>11-021190</t>
  </si>
  <si>
    <t>11-021191</t>
  </si>
  <si>
    <t>11-021192</t>
  </si>
  <si>
    <t>11-021193</t>
  </si>
  <si>
    <t>11-021194</t>
  </si>
  <si>
    <t>11-021195</t>
  </si>
  <si>
    <t>11-021196</t>
  </si>
  <si>
    <t>11-021197</t>
  </si>
  <si>
    <t>11-021198</t>
  </si>
  <si>
    <t>11-021199</t>
  </si>
  <si>
    <t>11-021200</t>
  </si>
  <si>
    <t>11-021201</t>
  </si>
  <si>
    <t>11-021202</t>
  </si>
  <si>
    <t>11-021203</t>
  </si>
  <si>
    <t>11-021204</t>
  </si>
  <si>
    <t>11-021205</t>
  </si>
  <si>
    <t>11-021206</t>
  </si>
  <si>
    <t>11-021207</t>
  </si>
  <si>
    <t>11-021208</t>
  </si>
  <si>
    <t>11-021209</t>
  </si>
  <si>
    <t>11-021210</t>
  </si>
  <si>
    <t>11-021211</t>
  </si>
  <si>
    <t>11-021212</t>
  </si>
  <si>
    <t>11-021213</t>
  </si>
  <si>
    <t>11-021214</t>
  </si>
  <si>
    <t>11-021215</t>
  </si>
  <si>
    <t>11-021216</t>
  </si>
  <si>
    <t>11-021217</t>
  </si>
  <si>
    <t>11-021218</t>
  </si>
  <si>
    <t>11-021219</t>
  </si>
  <si>
    <t>11-021220</t>
  </si>
  <si>
    <t>11-021221</t>
  </si>
  <si>
    <t>11-021222</t>
  </si>
  <si>
    <t>11-021223</t>
  </si>
  <si>
    <t>11-021224</t>
  </si>
  <si>
    <t>11-021225</t>
  </si>
  <si>
    <t>11-021226</t>
  </si>
  <si>
    <t>11-021227</t>
  </si>
  <si>
    <t>11-021228</t>
  </si>
  <si>
    <t>11-021229</t>
  </si>
  <si>
    <t>11-021230</t>
  </si>
  <si>
    <t>11-021231</t>
  </si>
  <si>
    <t>11-021232</t>
  </si>
  <si>
    <t>11-021233</t>
  </si>
  <si>
    <t>11-021234</t>
  </si>
  <si>
    <t>11-021235</t>
  </si>
  <si>
    <t>11-021236</t>
  </si>
  <si>
    <t>11-021237</t>
  </si>
  <si>
    <t>11-021238</t>
  </si>
  <si>
    <t>11-021239</t>
  </si>
  <si>
    <t>11-021240</t>
  </si>
  <si>
    <t>11-021241</t>
  </si>
  <si>
    <t>11-021242</t>
  </si>
  <si>
    <t>11-021243</t>
  </si>
  <si>
    <t>11-021244</t>
  </si>
  <si>
    <t>11-021245</t>
  </si>
  <si>
    <t>11-021246</t>
  </si>
  <si>
    <t>11-021247</t>
  </si>
  <si>
    <t>11-021248</t>
  </si>
  <si>
    <t>11-021249</t>
  </si>
  <si>
    <t>11-021250</t>
  </si>
  <si>
    <t>11-021251</t>
  </si>
  <si>
    <t>11-021252</t>
  </si>
  <si>
    <t>11-021253</t>
  </si>
  <si>
    <t>LANDSCAPING</t>
  </si>
  <si>
    <t>11-021254</t>
  </si>
  <si>
    <t>11-021255</t>
  </si>
  <si>
    <t>11-021256</t>
  </si>
  <si>
    <t>11-021257</t>
  </si>
  <si>
    <t>11-021258</t>
  </si>
  <si>
    <t>11-021259</t>
  </si>
  <si>
    <t>11-021260</t>
  </si>
  <si>
    <t>11-021261</t>
  </si>
  <si>
    <t>11-021262</t>
  </si>
  <si>
    <t>11-021263</t>
  </si>
  <si>
    <t>11-021264</t>
  </si>
  <si>
    <t>11-021265</t>
  </si>
  <si>
    <t>11-021266</t>
  </si>
  <si>
    <t>11-021267</t>
  </si>
  <si>
    <t>11-021268</t>
  </si>
  <si>
    <t>11-021269</t>
  </si>
  <si>
    <t>11-021270</t>
  </si>
  <si>
    <t>11-021271</t>
  </si>
  <si>
    <t>11-021272</t>
  </si>
  <si>
    <t>11-021273</t>
  </si>
  <si>
    <t>11-021274</t>
  </si>
  <si>
    <t>11-021275</t>
  </si>
  <si>
    <t>11-021276</t>
  </si>
  <si>
    <t>11-021277</t>
  </si>
  <si>
    <t>11-021278</t>
  </si>
  <si>
    <t>11-021279</t>
  </si>
  <si>
    <t>11-021280</t>
  </si>
  <si>
    <t>11-021281</t>
  </si>
  <si>
    <t>11-021282</t>
  </si>
  <si>
    <t>11-021283</t>
  </si>
  <si>
    <t>11-021284</t>
  </si>
  <si>
    <t>11-021285</t>
  </si>
  <si>
    <t>11-021286</t>
  </si>
  <si>
    <t>11-021287</t>
  </si>
  <si>
    <t>11-021288</t>
  </si>
  <si>
    <t>11-021289</t>
  </si>
  <si>
    <t>11-021290</t>
  </si>
  <si>
    <t>LIGHTING EQUIPMENT</t>
  </si>
  <si>
    <t>11-021291</t>
  </si>
  <si>
    <t>11-021292</t>
  </si>
  <si>
    <t>11-021293</t>
  </si>
  <si>
    <t>11-021294</t>
  </si>
  <si>
    <t>11-021295</t>
  </si>
  <si>
    <t>11-021296</t>
  </si>
  <si>
    <t>11-021297</t>
  </si>
  <si>
    <t>11-021298</t>
  </si>
  <si>
    <t>11-021299</t>
  </si>
  <si>
    <t>11-021300</t>
  </si>
  <si>
    <t>11-021301</t>
  </si>
  <si>
    <t>11-021302</t>
  </si>
  <si>
    <t>11-021303</t>
  </si>
  <si>
    <t>11-021304</t>
  </si>
  <si>
    <t>11-021305</t>
  </si>
  <si>
    <t>11-021306</t>
  </si>
  <si>
    <t>11-021307</t>
  </si>
  <si>
    <t>11-021308</t>
  </si>
  <si>
    <t>11-021309</t>
  </si>
  <si>
    <t>11-021310</t>
  </si>
  <si>
    <t>11-021311</t>
  </si>
  <si>
    <t>11-021312</t>
  </si>
  <si>
    <t>11-021313</t>
  </si>
  <si>
    <t>11-021314</t>
  </si>
  <si>
    <t>11-021315</t>
  </si>
  <si>
    <t>11-021316</t>
  </si>
  <si>
    <t>11-021317</t>
  </si>
  <si>
    <t>11-021318</t>
  </si>
  <si>
    <t>11-021319</t>
  </si>
  <si>
    <t>11-021320</t>
  </si>
  <si>
    <t>11-021321</t>
  </si>
  <si>
    <t>11-021322</t>
  </si>
  <si>
    <t>11-021323</t>
  </si>
  <si>
    <t>11-021324</t>
  </si>
  <si>
    <t>11-021325</t>
  </si>
  <si>
    <t>PUMPS &amp; ACCESSORIES</t>
  </si>
  <si>
    <t>11-021326</t>
  </si>
  <si>
    <t>11-021327</t>
  </si>
  <si>
    <t>11-021328</t>
  </si>
  <si>
    <t>11-021329</t>
  </si>
  <si>
    <t>11-021330</t>
  </si>
  <si>
    <t>11-021331</t>
  </si>
  <si>
    <t>11-021332</t>
  </si>
  <si>
    <t>11-021333</t>
  </si>
  <si>
    <t>11-021334</t>
  </si>
  <si>
    <t>11-021335</t>
  </si>
  <si>
    <t>11-021336</t>
  </si>
  <si>
    <t>11-021337</t>
  </si>
  <si>
    <t>11-021338</t>
  </si>
  <si>
    <t>11-021339</t>
  </si>
  <si>
    <t>11-021340</t>
  </si>
  <si>
    <t>11-021341</t>
  </si>
  <si>
    <t>11-021342</t>
  </si>
  <si>
    <t>11-021343</t>
  </si>
  <si>
    <t>11-021344</t>
  </si>
  <si>
    <t>11-021345</t>
  </si>
  <si>
    <t>11-021346</t>
  </si>
  <si>
    <t>11-021347</t>
  </si>
  <si>
    <t>11-021348</t>
  </si>
  <si>
    <t>11-021349</t>
  </si>
  <si>
    <t>11-021350</t>
  </si>
  <si>
    <t>11-021351</t>
  </si>
  <si>
    <t>11-021352</t>
  </si>
  <si>
    <t>11-021353</t>
  </si>
  <si>
    <t>11-021354</t>
  </si>
  <si>
    <t>11-021355</t>
  </si>
  <si>
    <t>11-021356</t>
  </si>
  <si>
    <t>11-021357</t>
  </si>
  <si>
    <t>11-021358</t>
  </si>
  <si>
    <t>11-021359</t>
  </si>
  <si>
    <t>11-021360</t>
  </si>
  <si>
    <t>11-021361</t>
  </si>
  <si>
    <t>11-021362</t>
  </si>
  <si>
    <t>11-021363</t>
  </si>
  <si>
    <t>11-021364</t>
  </si>
  <si>
    <t>11-021365</t>
  </si>
  <si>
    <t>11-021366</t>
  </si>
  <si>
    <t>11-021367</t>
  </si>
  <si>
    <t>11-021368</t>
  </si>
  <si>
    <t>11-021369</t>
  </si>
  <si>
    <t>11-021370</t>
  </si>
  <si>
    <t>11-021371</t>
  </si>
  <si>
    <t>11-021372</t>
  </si>
  <si>
    <t>11-021373</t>
  </si>
  <si>
    <t>11-021374</t>
  </si>
  <si>
    <t>11-021375</t>
  </si>
  <si>
    <t>11-021376</t>
  </si>
  <si>
    <t>11-021377</t>
  </si>
  <si>
    <t>11-021378</t>
  </si>
  <si>
    <t>11-021379</t>
  </si>
  <si>
    <t>11-021380</t>
  </si>
  <si>
    <t>11-021381</t>
  </si>
  <si>
    <t>11-021382</t>
  </si>
  <si>
    <t>11-021383</t>
  </si>
  <si>
    <t>11-021384</t>
  </si>
  <si>
    <t>11-021385</t>
  </si>
  <si>
    <t>11-021386</t>
  </si>
  <si>
    <t>11-021387</t>
  </si>
  <si>
    <t>11-021388</t>
  </si>
  <si>
    <t>11-021389</t>
  </si>
  <si>
    <t>11-021390</t>
  </si>
  <si>
    <t>11-021391</t>
  </si>
  <si>
    <t>11-021392</t>
  </si>
  <si>
    <t>11-021393</t>
  </si>
  <si>
    <t>11-021394</t>
  </si>
  <si>
    <t>11-021395</t>
  </si>
  <si>
    <t>11-021396</t>
  </si>
  <si>
    <t>11-021397</t>
  </si>
  <si>
    <t>11-021398</t>
  </si>
  <si>
    <t>11-021399</t>
  </si>
  <si>
    <t>11-021400</t>
  </si>
  <si>
    <t>11-021401</t>
  </si>
  <si>
    <t>11-021402</t>
  </si>
  <si>
    <t>11-021403</t>
  </si>
  <si>
    <t>11-021404</t>
  </si>
  <si>
    <t>11-021405</t>
  </si>
  <si>
    <t>11-021406</t>
  </si>
  <si>
    <t>11-021407</t>
  </si>
  <si>
    <t>11-021408</t>
  </si>
  <si>
    <t>11-021409</t>
  </si>
  <si>
    <t>11-021410</t>
  </si>
  <si>
    <t>11-021411</t>
  </si>
  <si>
    <t>11-021412</t>
  </si>
  <si>
    <t>11-021413</t>
  </si>
  <si>
    <t>11-021414</t>
  </si>
  <si>
    <t>11-021415</t>
  </si>
  <si>
    <t>11-021416</t>
  </si>
  <si>
    <t>11-021417</t>
  </si>
  <si>
    <t>11-021418</t>
  </si>
  <si>
    <t>11-021419</t>
  </si>
  <si>
    <t>11-021420</t>
  </si>
  <si>
    <t>11-021421</t>
  </si>
  <si>
    <t>11-021422</t>
  </si>
  <si>
    <t>11-021423</t>
  </si>
  <si>
    <t>11-021424</t>
  </si>
  <si>
    <t>11-021425</t>
  </si>
  <si>
    <t>11-021426</t>
  </si>
  <si>
    <t>11-021427</t>
  </si>
  <si>
    <t>11-021428</t>
  </si>
  <si>
    <t>11-021429</t>
  </si>
  <si>
    <t>11-021430</t>
  </si>
  <si>
    <t>11-021431</t>
  </si>
  <si>
    <t>11-021432</t>
  </si>
  <si>
    <t>11-021433</t>
  </si>
  <si>
    <t>11-021434</t>
  </si>
  <si>
    <t>11-021435</t>
  </si>
  <si>
    <t>11-021436</t>
  </si>
  <si>
    <t>11-021437</t>
  </si>
  <si>
    <t>11-021438</t>
  </si>
  <si>
    <t>11-021439</t>
  </si>
  <si>
    <t>11-021440</t>
  </si>
  <si>
    <t>11-021441</t>
  </si>
  <si>
    <t>11-021442</t>
  </si>
  <si>
    <t>11-021443</t>
  </si>
  <si>
    <t>11-021444</t>
  </si>
  <si>
    <t>11-021445</t>
  </si>
  <si>
    <t>11-021446</t>
  </si>
  <si>
    <t>11-021447</t>
  </si>
  <si>
    <t>11-021448</t>
  </si>
  <si>
    <t>11-021449</t>
  </si>
  <si>
    <t>11-021450</t>
  </si>
  <si>
    <t>11-021451</t>
  </si>
  <si>
    <t>11-021452</t>
  </si>
  <si>
    <t>11-021453</t>
  </si>
  <si>
    <t>11-021454</t>
  </si>
  <si>
    <t>11-021455</t>
  </si>
  <si>
    <t>11-021456</t>
  </si>
  <si>
    <t>11-021457</t>
  </si>
  <si>
    <t>11-021458</t>
  </si>
  <si>
    <t>11-021459</t>
  </si>
  <si>
    <t>11-021460</t>
  </si>
  <si>
    <t>11-021461</t>
  </si>
  <si>
    <t>11-021462</t>
  </si>
  <si>
    <t>11-021463</t>
  </si>
  <si>
    <t>11-021464</t>
  </si>
  <si>
    <t>11-021465</t>
  </si>
  <si>
    <t>11-021466</t>
  </si>
  <si>
    <t>11-021467</t>
  </si>
  <si>
    <t>11-021468</t>
  </si>
  <si>
    <t>11-021469</t>
  </si>
  <si>
    <t>11-021470</t>
  </si>
  <si>
    <t>11-021471</t>
  </si>
  <si>
    <t>11-021472</t>
  </si>
  <si>
    <t>11-021473</t>
  </si>
  <si>
    <t>11-021474</t>
  </si>
  <si>
    <t>11-021475</t>
  </si>
  <si>
    <t>11-021476</t>
  </si>
  <si>
    <t>11-021477</t>
  </si>
  <si>
    <t>11-021478</t>
  </si>
  <si>
    <t>11-021479</t>
  </si>
  <si>
    <t>11-021480</t>
  </si>
  <si>
    <t>11-021481</t>
  </si>
  <si>
    <t>11-021482</t>
  </si>
  <si>
    <t>11-021483</t>
  </si>
  <si>
    <t>11-021484</t>
  </si>
  <si>
    <t>11-021485</t>
  </si>
  <si>
    <t>11-021486</t>
  </si>
  <si>
    <t>11-021487</t>
  </si>
  <si>
    <t>11-021488</t>
  </si>
  <si>
    <t>11-021489</t>
  </si>
  <si>
    <t>11-021490</t>
  </si>
  <si>
    <t>11-021491</t>
  </si>
  <si>
    <t>11-021492</t>
  </si>
  <si>
    <t>11-021493</t>
  </si>
  <si>
    <t>11-021494</t>
  </si>
  <si>
    <t>11-021495</t>
  </si>
  <si>
    <t>11-021496</t>
  </si>
  <si>
    <t>11-021497</t>
  </si>
  <si>
    <t>11-021498</t>
  </si>
  <si>
    <t>11-021499</t>
  </si>
  <si>
    <t>11-021500</t>
  </si>
  <si>
    <t>11-021501</t>
  </si>
  <si>
    <t>11-021502</t>
  </si>
  <si>
    <t>11-021503</t>
  </si>
  <si>
    <t>11-021504</t>
  </si>
  <si>
    <t>11-021505</t>
  </si>
  <si>
    <t>11-021506</t>
  </si>
  <si>
    <t>11-021507</t>
  </si>
  <si>
    <t>11-021508</t>
  </si>
  <si>
    <t>11-021509</t>
  </si>
  <si>
    <t>11-021510</t>
  </si>
  <si>
    <t>11-021511</t>
  </si>
  <si>
    <t>11-021512</t>
  </si>
  <si>
    <t>11-021513</t>
  </si>
  <si>
    <t>11-021514</t>
  </si>
  <si>
    <t>11-021515</t>
  </si>
  <si>
    <t>11-021516</t>
  </si>
  <si>
    <t>11-021517</t>
  </si>
  <si>
    <t>11-021518</t>
  </si>
  <si>
    <t>11-021519</t>
  </si>
  <si>
    <t>11-021520</t>
  </si>
  <si>
    <t>11-021521</t>
  </si>
  <si>
    <t>11-021522</t>
  </si>
  <si>
    <t>11-021523</t>
  </si>
  <si>
    <t>11-021524</t>
  </si>
  <si>
    <t>11-021525</t>
  </si>
  <si>
    <t>11-021526</t>
  </si>
  <si>
    <t>11-021527</t>
  </si>
  <si>
    <t>11-021528</t>
  </si>
  <si>
    <t>11-021529</t>
  </si>
  <si>
    <t>11-021530</t>
  </si>
  <si>
    <t>11-021531</t>
  </si>
  <si>
    <t>11-021532</t>
  </si>
  <si>
    <t>11-021533</t>
  </si>
  <si>
    <t>11-021534</t>
  </si>
  <si>
    <t>11-021535</t>
  </si>
  <si>
    <t>11-021536</t>
  </si>
  <si>
    <t>11-021537</t>
  </si>
  <si>
    <t>11-021538</t>
  </si>
  <si>
    <t>11-021539</t>
  </si>
  <si>
    <t>11-021540</t>
  </si>
  <si>
    <t>11-021541</t>
  </si>
  <si>
    <t>11-021542</t>
  </si>
  <si>
    <t>11-021543</t>
  </si>
  <si>
    <t>11-021544</t>
  </si>
  <si>
    <t>11-021545</t>
  </si>
  <si>
    <t>11-021546</t>
  </si>
  <si>
    <t>11-021547</t>
  </si>
  <si>
    <t>11-021548</t>
  </si>
  <si>
    <t>11-021549</t>
  </si>
  <si>
    <t>11-021550</t>
  </si>
  <si>
    <t>11-021551</t>
  </si>
  <si>
    <t>11-021552</t>
  </si>
  <si>
    <t>11-021553</t>
  </si>
  <si>
    <t>11-021554</t>
  </si>
  <si>
    <t>11-021555</t>
  </si>
  <si>
    <t>11-021556</t>
  </si>
  <si>
    <t>11-021557</t>
  </si>
  <si>
    <t>11-021558</t>
  </si>
  <si>
    <t>11-021559</t>
  </si>
  <si>
    <t>11-021560</t>
  </si>
  <si>
    <t>11-021561</t>
  </si>
  <si>
    <t>11-021562</t>
  </si>
  <si>
    <t>11-021563</t>
  </si>
  <si>
    <t>11-021564</t>
  </si>
  <si>
    <t>11-021565</t>
  </si>
  <si>
    <t>11-021566</t>
  </si>
  <si>
    <t>11-021567</t>
  </si>
  <si>
    <t>11-021568</t>
  </si>
  <si>
    <t>11-021569</t>
  </si>
  <si>
    <t>11-021570</t>
  </si>
  <si>
    <t>11-021571</t>
  </si>
  <si>
    <t>11-021572</t>
  </si>
  <si>
    <t>11-021573</t>
  </si>
  <si>
    <t>11-021574</t>
  </si>
  <si>
    <t>11-021575</t>
  </si>
  <si>
    <t>11-021576</t>
  </si>
  <si>
    <t>11-021577</t>
  </si>
  <si>
    <t>11-021578</t>
  </si>
  <si>
    <t>11-021579</t>
  </si>
  <si>
    <t>11-021580</t>
  </si>
  <si>
    <t>11-021581</t>
  </si>
  <si>
    <t>11-021582</t>
  </si>
  <si>
    <t>11-021583</t>
  </si>
  <si>
    <t>11-021584</t>
  </si>
  <si>
    <t>11-021585</t>
  </si>
  <si>
    <t>11-021586</t>
  </si>
  <si>
    <t>11-021587</t>
  </si>
  <si>
    <t>11-021588</t>
  </si>
  <si>
    <t>11-021589</t>
  </si>
  <si>
    <t>11-021590</t>
  </si>
  <si>
    <t>11-021591</t>
  </si>
  <si>
    <t>11-021592</t>
  </si>
  <si>
    <t>11-021593</t>
  </si>
  <si>
    <t>11-021594</t>
  </si>
  <si>
    <t>11-021595</t>
  </si>
  <si>
    <t>11-021596</t>
  </si>
  <si>
    <t>11-021597</t>
  </si>
  <si>
    <t>11-021598</t>
  </si>
  <si>
    <t>11-021599</t>
  </si>
  <si>
    <t>11-021600</t>
  </si>
  <si>
    <t>11-021601</t>
  </si>
  <si>
    <t>11-021602</t>
  </si>
  <si>
    <t>11-021603</t>
  </si>
  <si>
    <t>11-021604</t>
  </si>
  <si>
    <t>11-021605</t>
  </si>
  <si>
    <t>11-021606</t>
  </si>
  <si>
    <t>11-021607</t>
  </si>
  <si>
    <t>11-021608</t>
  </si>
  <si>
    <t>11-021609</t>
  </si>
  <si>
    <t>11-021610</t>
  </si>
  <si>
    <t>11-021611</t>
  </si>
  <si>
    <t>11-021612</t>
  </si>
  <si>
    <t>11-021613</t>
  </si>
  <si>
    <t>11-021614</t>
  </si>
  <si>
    <t>11-021615</t>
  </si>
  <si>
    <t>11-021616</t>
  </si>
  <si>
    <t>11-021617</t>
  </si>
  <si>
    <t>11-021618</t>
  </si>
  <si>
    <t>11-021619</t>
  </si>
  <si>
    <t>11-021620</t>
  </si>
  <si>
    <t>11-021621</t>
  </si>
  <si>
    <t>11-021622</t>
  </si>
  <si>
    <t>11-021623</t>
  </si>
  <si>
    <t>11-021624</t>
  </si>
  <si>
    <t>11-021625</t>
  </si>
  <si>
    <t>11-021626</t>
  </si>
  <si>
    <t>11-021627</t>
  </si>
  <si>
    <t>11-021628</t>
  </si>
  <si>
    <t>11-021629</t>
  </si>
  <si>
    <t>11-021630</t>
  </si>
  <si>
    <t>11-021631</t>
  </si>
  <si>
    <t>11-021632</t>
  </si>
  <si>
    <t>11-021633</t>
  </si>
  <si>
    <t>11-021634</t>
  </si>
  <si>
    <t>11-021635</t>
  </si>
  <si>
    <t>11-021636</t>
  </si>
  <si>
    <t>11-021637</t>
  </si>
  <si>
    <t>11-021638</t>
  </si>
  <si>
    <t>11-021639</t>
  </si>
  <si>
    <t>11-021640</t>
  </si>
  <si>
    <t>11-021641</t>
  </si>
  <si>
    <t>11-021642</t>
  </si>
  <si>
    <t>11-021643</t>
  </si>
  <si>
    <t>11-021644</t>
  </si>
  <si>
    <t>11-021645</t>
  </si>
  <si>
    <t>11-021646</t>
  </si>
  <si>
    <t>11-021647</t>
  </si>
  <si>
    <t>11-021648</t>
  </si>
  <si>
    <t>11-021649</t>
  </si>
  <si>
    <t>11-021650</t>
  </si>
  <si>
    <t>11-021651</t>
  </si>
  <si>
    <t>11-021652</t>
  </si>
  <si>
    <t>11-021653</t>
  </si>
  <si>
    <t>11-021654</t>
  </si>
  <si>
    <t>11-021655</t>
  </si>
  <si>
    <t>11-021656</t>
  </si>
  <si>
    <t>11-021657</t>
  </si>
  <si>
    <t>11-021658</t>
  </si>
  <si>
    <t>11-021659</t>
  </si>
  <si>
    <t>11-021660</t>
  </si>
  <si>
    <t>11-021661</t>
  </si>
  <si>
    <t>11-021662</t>
  </si>
  <si>
    <t>11-021663</t>
  </si>
  <si>
    <t>11-021664</t>
  </si>
  <si>
    <t>11-021665</t>
  </si>
  <si>
    <t>11-021666</t>
  </si>
  <si>
    <t>11-021667</t>
  </si>
  <si>
    <t>11-021668</t>
  </si>
  <si>
    <t>11-021669</t>
  </si>
  <si>
    <t>11-021670</t>
  </si>
  <si>
    <t>11-021671</t>
  </si>
  <si>
    <t>11-021672</t>
  </si>
  <si>
    <t>11-021673</t>
  </si>
  <si>
    <t>11-021674</t>
  </si>
  <si>
    <t>11-021675</t>
  </si>
  <si>
    <t>11-021676</t>
  </si>
  <si>
    <t>11-021677</t>
  </si>
  <si>
    <t>11-021678</t>
  </si>
  <si>
    <t>11-021679</t>
  </si>
  <si>
    <t>11-021680</t>
  </si>
  <si>
    <t>11-021681</t>
  </si>
  <si>
    <t>11-021682</t>
  </si>
  <si>
    <t>11-021683</t>
  </si>
  <si>
    <t>11-021684</t>
  </si>
  <si>
    <t>ROAD GRADERS</t>
  </si>
  <si>
    <t>11-021685</t>
  </si>
  <si>
    <t>11-021686</t>
  </si>
  <si>
    <t>11-021687</t>
  </si>
  <si>
    <t>SAWS &amp; ACCESSORIES</t>
  </si>
  <si>
    <t>11-021688</t>
  </si>
  <si>
    <t>11-021689</t>
  </si>
  <si>
    <t>11-021690</t>
  </si>
  <si>
    <t>11-021691</t>
  </si>
  <si>
    <t>11-021692</t>
  </si>
  <si>
    <t>11-021693</t>
  </si>
  <si>
    <t>11-021694</t>
  </si>
  <si>
    <t>11-021695</t>
  </si>
  <si>
    <t>11-021696</t>
  </si>
  <si>
    <t>11-021697</t>
  </si>
  <si>
    <t>11-021698</t>
  </si>
  <si>
    <t>11-021699</t>
  </si>
  <si>
    <t>11-021700</t>
  </si>
  <si>
    <t>11-021701</t>
  </si>
  <si>
    <t>11-021702</t>
  </si>
  <si>
    <t>11-021703</t>
  </si>
  <si>
    <t>11-021704</t>
  </si>
  <si>
    <t>11-021705</t>
  </si>
  <si>
    <t>11-021706</t>
  </si>
  <si>
    <t>11-021707</t>
  </si>
  <si>
    <t>11-021708</t>
  </si>
  <si>
    <t>11-021709</t>
  </si>
  <si>
    <t>11-021710</t>
  </si>
  <si>
    <t>11-021711</t>
  </si>
  <si>
    <t>11-021712</t>
  </si>
  <si>
    <t>11-021713</t>
  </si>
  <si>
    <t>11-021714</t>
  </si>
  <si>
    <t>11-021715</t>
  </si>
  <si>
    <t>11-021716</t>
  </si>
  <si>
    <t>11-021717</t>
  </si>
  <si>
    <t>11-021718</t>
  </si>
  <si>
    <t>11-021719</t>
  </si>
  <si>
    <t>11-021720</t>
  </si>
  <si>
    <t>11-021721</t>
  </si>
  <si>
    <t>11-021722</t>
  </si>
  <si>
    <t>11-021723</t>
  </si>
  <si>
    <t>11-021724</t>
  </si>
  <si>
    <t>11-021725</t>
  </si>
  <si>
    <t>11-021726</t>
  </si>
  <si>
    <t>11-021727</t>
  </si>
  <si>
    <t>11-021728</t>
  </si>
  <si>
    <t>11-021729</t>
  </si>
  <si>
    <t>11-021730</t>
  </si>
  <si>
    <t>11-021731</t>
  </si>
  <si>
    <t>11-021732</t>
  </si>
  <si>
    <t>11-021733</t>
  </si>
  <si>
    <t>11-021734</t>
  </si>
  <si>
    <t>11-021735</t>
  </si>
  <si>
    <t>11-021736</t>
  </si>
  <si>
    <t>11-021737</t>
  </si>
  <si>
    <t>11-021738</t>
  </si>
  <si>
    <t>11-021739</t>
  </si>
  <si>
    <t>11-021740</t>
  </si>
  <si>
    <t>SMALL TOOLS - AIR &amp; ACCESSORIES</t>
  </si>
  <si>
    <t>11-021741</t>
  </si>
  <si>
    <t>11-021742</t>
  </si>
  <si>
    <t>11-021743</t>
  </si>
  <si>
    <t>11-021744</t>
  </si>
  <si>
    <t>11-021745</t>
  </si>
  <si>
    <t>11-021746</t>
  </si>
  <si>
    <t>11-021747</t>
  </si>
  <si>
    <t>11-021748</t>
  </si>
  <si>
    <t>11-021749</t>
  </si>
  <si>
    <t>11-021750</t>
  </si>
  <si>
    <t>11-021751</t>
  </si>
  <si>
    <t>11-021752</t>
  </si>
  <si>
    <t>11-021753</t>
  </si>
  <si>
    <t>11-021754</t>
  </si>
  <si>
    <t>11-021755</t>
  </si>
  <si>
    <t>11-021756</t>
  </si>
  <si>
    <t>11-021757</t>
  </si>
  <si>
    <t>11-021758</t>
  </si>
  <si>
    <t>11-021759</t>
  </si>
  <si>
    <t>11-021760</t>
  </si>
  <si>
    <t>11-021761</t>
  </si>
  <si>
    <t>11-021762</t>
  </si>
  <si>
    <t>11-021763</t>
  </si>
  <si>
    <t>11-021764</t>
  </si>
  <si>
    <t>11-021765</t>
  </si>
  <si>
    <t>11-021766</t>
  </si>
  <si>
    <t>11-021767</t>
  </si>
  <si>
    <t>11-021768</t>
  </si>
  <si>
    <t>11-021769</t>
  </si>
  <si>
    <t>SMALL TOOLS - AIR MOVING EQUIPMENT</t>
  </si>
  <si>
    <t>11-021770</t>
  </si>
  <si>
    <t>11-021771</t>
  </si>
  <si>
    <t>11-021772</t>
  </si>
  <si>
    <t>11-021773</t>
  </si>
  <si>
    <t>11-021774</t>
  </si>
  <si>
    <t>11-021775</t>
  </si>
  <si>
    <t>11-021776</t>
  </si>
  <si>
    <t>11-021777</t>
  </si>
  <si>
    <t>11-021778</t>
  </si>
  <si>
    <t>11-021779</t>
  </si>
  <si>
    <t>11-021780</t>
  </si>
  <si>
    <t>11-021781</t>
  </si>
  <si>
    <t>11-021782</t>
  </si>
  <si>
    <t>11-021783</t>
  </si>
  <si>
    <t>11-021784</t>
  </si>
  <si>
    <t>11-021785</t>
  </si>
  <si>
    <t>11-021786</t>
  </si>
  <si>
    <t>11-021787</t>
  </si>
  <si>
    <t>11-021788</t>
  </si>
  <si>
    <t>11-021789</t>
  </si>
  <si>
    <t>11-021790</t>
  </si>
  <si>
    <t>11-021791</t>
  </si>
  <si>
    <t>11-021792</t>
  </si>
  <si>
    <t>11-021793</t>
  </si>
  <si>
    <t>11-021794</t>
  </si>
  <si>
    <t>11-021795</t>
  </si>
  <si>
    <t>11-021796</t>
  </si>
  <si>
    <t>SMALL TOOLS - DRILL EQUIPMENT AND TOOLS</t>
  </si>
  <si>
    <t>11-021797</t>
  </si>
  <si>
    <t>11-021798</t>
  </si>
  <si>
    <t>11-021799</t>
  </si>
  <si>
    <t>SMALL TOOLS - ELECTRICAL EQUIPMENT</t>
  </si>
  <si>
    <t>11-021800</t>
  </si>
  <si>
    <t>11-021801</t>
  </si>
  <si>
    <t>11-021802</t>
  </si>
  <si>
    <t>11-021803</t>
  </si>
  <si>
    <t>11-021804</t>
  </si>
  <si>
    <t>11-021805</t>
  </si>
  <si>
    <t>11-021806</t>
  </si>
  <si>
    <t>11-021807</t>
  </si>
  <si>
    <t>11-021808</t>
  </si>
  <si>
    <t>11-021809</t>
  </si>
  <si>
    <t>11-021810</t>
  </si>
  <si>
    <t>11-021811</t>
  </si>
  <si>
    <t>11-021812</t>
  </si>
  <si>
    <t>11-021813</t>
  </si>
  <si>
    <t>11-021814</t>
  </si>
  <si>
    <t>11-021815</t>
  </si>
  <si>
    <t>11-021816</t>
  </si>
  <si>
    <t>11-021817</t>
  </si>
  <si>
    <t>11-021818</t>
  </si>
  <si>
    <t>11-021819</t>
  </si>
  <si>
    <t>11-021820</t>
  </si>
  <si>
    <t>11-021821</t>
  </si>
  <si>
    <t>11-021822</t>
  </si>
  <si>
    <t>11-021823</t>
  </si>
  <si>
    <t>11-021824</t>
  </si>
  <si>
    <t>11-021825</t>
  </si>
  <si>
    <t>11-021826</t>
  </si>
  <si>
    <t>11-021827</t>
  </si>
  <si>
    <t>11-021828</t>
  </si>
  <si>
    <t>11-021829</t>
  </si>
  <si>
    <t>11-021830</t>
  </si>
  <si>
    <t>11-021831</t>
  </si>
  <si>
    <t>11-021832</t>
  </si>
  <si>
    <t>11-021833</t>
  </si>
  <si>
    <t>11-021834</t>
  </si>
  <si>
    <t>11-021835</t>
  </si>
  <si>
    <t>11-021836</t>
  </si>
  <si>
    <t>11-021837</t>
  </si>
  <si>
    <t>11-021838</t>
  </si>
  <si>
    <t>11-021839</t>
  </si>
  <si>
    <t>11-021840</t>
  </si>
  <si>
    <t>11-021841</t>
  </si>
  <si>
    <t>11-021842</t>
  </si>
  <si>
    <t>11-021843</t>
  </si>
  <si>
    <t>11-021844</t>
  </si>
  <si>
    <t>11-021845</t>
  </si>
  <si>
    <t>11-021846</t>
  </si>
  <si>
    <t>11-021847</t>
  </si>
  <si>
    <t>11-021848</t>
  </si>
  <si>
    <t>11-021849</t>
  </si>
  <si>
    <t>11-021850</t>
  </si>
  <si>
    <t>11-021851</t>
  </si>
  <si>
    <t>11-021852</t>
  </si>
  <si>
    <t>11-021853</t>
  </si>
  <si>
    <t>11-021854</t>
  </si>
  <si>
    <t>11-021855</t>
  </si>
  <si>
    <t>11-021856</t>
  </si>
  <si>
    <t>11-021857</t>
  </si>
  <si>
    <t>11-021858</t>
  </si>
  <si>
    <t>11-021859</t>
  </si>
  <si>
    <t>11-021860</t>
  </si>
  <si>
    <t>11-021861</t>
  </si>
  <si>
    <t>11-021862</t>
  </si>
  <si>
    <t>11-021863</t>
  </si>
  <si>
    <t>11-021864</t>
  </si>
  <si>
    <t>11-021865</t>
  </si>
  <si>
    <t>11-021866</t>
  </si>
  <si>
    <t>11-021867</t>
  </si>
  <si>
    <t>11-021868</t>
  </si>
  <si>
    <t>11-021869</t>
  </si>
  <si>
    <t>11-021870</t>
  </si>
  <si>
    <t>11-021871</t>
  </si>
  <si>
    <t>11-021872</t>
  </si>
  <si>
    <t>11-021873</t>
  </si>
  <si>
    <t>11-021874</t>
  </si>
  <si>
    <t>11-021875</t>
  </si>
  <si>
    <t>11-021876</t>
  </si>
  <si>
    <t>11-021877</t>
  </si>
  <si>
    <t>11-021878</t>
  </si>
  <si>
    <t>11-021879</t>
  </si>
  <si>
    <t>11-021880</t>
  </si>
  <si>
    <t>11-021881</t>
  </si>
  <si>
    <t>11-021882</t>
  </si>
  <si>
    <t>11-021883</t>
  </si>
  <si>
    <t>11-021884</t>
  </si>
  <si>
    <t>11-021885</t>
  </si>
  <si>
    <t>11-021886</t>
  </si>
  <si>
    <t>11-021887</t>
  </si>
  <si>
    <t>11-021888</t>
  </si>
  <si>
    <t>11-021889</t>
  </si>
  <si>
    <t>11-021890</t>
  </si>
  <si>
    <t>11-021891</t>
  </si>
  <si>
    <t>11-021892</t>
  </si>
  <si>
    <t>11-021893</t>
  </si>
  <si>
    <t>11-021894</t>
  </si>
  <si>
    <t>11-021895</t>
  </si>
  <si>
    <t>11-021896</t>
  </si>
  <si>
    <t>11-021897</t>
  </si>
  <si>
    <t>11-021898</t>
  </si>
  <si>
    <t>11-021899</t>
  </si>
  <si>
    <t>11-021900</t>
  </si>
  <si>
    <t>11-021901</t>
  </si>
  <si>
    <t>11-021902</t>
  </si>
  <si>
    <t>11-021903</t>
  </si>
  <si>
    <t>11-021904</t>
  </si>
  <si>
    <t>11-021905</t>
  </si>
  <si>
    <t>11-021906</t>
  </si>
  <si>
    <t>11-021907</t>
  </si>
  <si>
    <t>11-021908</t>
  </si>
  <si>
    <t>11-021909</t>
  </si>
  <si>
    <t>11-021910</t>
  </si>
  <si>
    <t>11-021911</t>
  </si>
  <si>
    <t>11-021912</t>
  </si>
  <si>
    <t>11-021913</t>
  </si>
  <si>
    <t>11-021914</t>
  </si>
  <si>
    <t>11-021915</t>
  </si>
  <si>
    <t>11-021916</t>
  </si>
  <si>
    <t>SMALL TOOLS - HOIST &amp; LIFTING EQUIPMENT</t>
  </si>
  <si>
    <t>11-021917</t>
  </si>
  <si>
    <t>11-021918</t>
  </si>
  <si>
    <t>11-021919</t>
  </si>
  <si>
    <t>11-021920</t>
  </si>
  <si>
    <t>11-021921</t>
  </si>
  <si>
    <t>11-021922</t>
  </si>
  <si>
    <t>11-021923</t>
  </si>
  <si>
    <t>11-021924</t>
  </si>
  <si>
    <t>11-021925</t>
  </si>
  <si>
    <t>11-021926</t>
  </si>
  <si>
    <t>11-021927</t>
  </si>
  <si>
    <t>11-021928</t>
  </si>
  <si>
    <t>11-021929</t>
  </si>
  <si>
    <t>11-021930</t>
  </si>
  <si>
    <t>11-021931</t>
  </si>
  <si>
    <t>11-021932</t>
  </si>
  <si>
    <t>11-021933</t>
  </si>
  <si>
    <t>11-021934</t>
  </si>
  <si>
    <t>11-021935</t>
  </si>
  <si>
    <t>11-021936</t>
  </si>
  <si>
    <t>11-021937</t>
  </si>
  <si>
    <t>11-021938</t>
  </si>
  <si>
    <t>11-021939</t>
  </si>
  <si>
    <t>11-021940</t>
  </si>
  <si>
    <t>11-021941</t>
  </si>
  <si>
    <t>11-021942</t>
  </si>
  <si>
    <t>11-021943</t>
  </si>
  <si>
    <t>11-021944</t>
  </si>
  <si>
    <t>11-021945</t>
  </si>
  <si>
    <t>11-021946</t>
  </si>
  <si>
    <t>11-021947</t>
  </si>
  <si>
    <t>11-021948</t>
  </si>
  <si>
    <t>11-021949</t>
  </si>
  <si>
    <t>SMALL TOOLS - PIPING EQUIPMENT</t>
  </si>
  <si>
    <t>11-021950</t>
  </si>
  <si>
    <t>11-021951</t>
  </si>
  <si>
    <t>11-021952</t>
  </si>
  <si>
    <t>11-021953</t>
  </si>
  <si>
    <t>11-021954</t>
  </si>
  <si>
    <t>11-021955</t>
  </si>
  <si>
    <t>11-021956</t>
  </si>
  <si>
    <t>SMALL TOOLS - PUMPS</t>
  </si>
  <si>
    <t>11-021957</t>
  </si>
  <si>
    <t>11-021958</t>
  </si>
  <si>
    <t>11-021959</t>
  </si>
  <si>
    <t>11-021960</t>
  </si>
  <si>
    <t>11-021961</t>
  </si>
  <si>
    <t>11-021962</t>
  </si>
  <si>
    <t>11-021963</t>
  </si>
  <si>
    <t>11-021964</t>
  </si>
  <si>
    <t>11-021965</t>
  </si>
  <si>
    <t>11-021966</t>
  </si>
  <si>
    <t>11-021967</t>
  </si>
  <si>
    <t>11-021968</t>
  </si>
  <si>
    <t>11-021969</t>
  </si>
  <si>
    <t>11-021970</t>
  </si>
  <si>
    <t>11-021971</t>
  </si>
  <si>
    <t>11-021972</t>
  </si>
  <si>
    <t>11-021973</t>
  </si>
  <si>
    <t>11-021974</t>
  </si>
  <si>
    <t>11-021975</t>
  </si>
  <si>
    <t>11-021976</t>
  </si>
  <si>
    <t>11-021977</t>
  </si>
  <si>
    <t>11-021978</t>
  </si>
  <si>
    <t>11-021979</t>
  </si>
  <si>
    <t>11-021980</t>
  </si>
  <si>
    <t>11-021981</t>
  </si>
  <si>
    <t>11-021982</t>
  </si>
  <si>
    <t>11-021983</t>
  </si>
  <si>
    <t>11-021984</t>
  </si>
  <si>
    <t>11-021985</t>
  </si>
  <si>
    <t>SMALL TOOLS - WASHING EQUIPMENT</t>
  </si>
  <si>
    <t>11-021986</t>
  </si>
  <si>
    <t>11-021987</t>
  </si>
  <si>
    <t>11-021988</t>
  </si>
  <si>
    <t>11-021989</t>
  </si>
  <si>
    <t>11-021990</t>
  </si>
  <si>
    <t>11-021991</t>
  </si>
  <si>
    <t>11-021992</t>
  </si>
  <si>
    <t>11-021993</t>
  </si>
  <si>
    <t>11-021994</t>
  </si>
  <si>
    <t>11-021995</t>
  </si>
  <si>
    <t>11-021996</t>
  </si>
  <si>
    <t>11-021997</t>
  </si>
  <si>
    <t>11-021998</t>
  </si>
  <si>
    <t>11-021999</t>
  </si>
  <si>
    <t>11-022000</t>
  </si>
  <si>
    <t>11-022001</t>
  </si>
  <si>
    <t>11-022002</t>
  </si>
  <si>
    <t>11-022003</t>
  </si>
  <si>
    <t>11-022004</t>
  </si>
  <si>
    <t>11-022005</t>
  </si>
  <si>
    <t>11-022006</t>
  </si>
  <si>
    <t>11-022007</t>
  </si>
  <si>
    <t>11-022008</t>
  </si>
  <si>
    <t>11-022009</t>
  </si>
  <si>
    <t>11-022010</t>
  </si>
  <si>
    <t>11-022011</t>
  </si>
  <si>
    <t>11-022012</t>
  </si>
  <si>
    <t>11-022013</t>
  </si>
  <si>
    <t>11-022014</t>
  </si>
  <si>
    <t>11-022015</t>
  </si>
  <si>
    <t>11-022016</t>
  </si>
  <si>
    <t>11-022017</t>
  </si>
  <si>
    <t>11-022018</t>
  </si>
  <si>
    <t>11-022019</t>
  </si>
  <si>
    <t>11-022020</t>
  </si>
  <si>
    <t>11-022021</t>
  </si>
  <si>
    <t>11-022022</t>
  </si>
  <si>
    <t>11-022023</t>
  </si>
  <si>
    <t>11-022024</t>
  </si>
  <si>
    <t>11-022025</t>
  </si>
  <si>
    <t>11-022026</t>
  </si>
  <si>
    <t>11-022027</t>
  </si>
  <si>
    <t>11-022028</t>
  </si>
  <si>
    <t>11-022029</t>
  </si>
  <si>
    <t>11-022030</t>
  </si>
  <si>
    <t>11-022031</t>
  </si>
  <si>
    <t>11-022032</t>
  </si>
  <si>
    <t>11-022033</t>
  </si>
  <si>
    <t>11-022034</t>
  </si>
  <si>
    <t>11-022035</t>
  </si>
  <si>
    <t>11-022036</t>
  </si>
  <si>
    <t>11-022037</t>
  </si>
  <si>
    <t>11-022038</t>
  </si>
  <si>
    <t>11-022039</t>
  </si>
  <si>
    <t>11-022040</t>
  </si>
  <si>
    <t>11-022041</t>
  </si>
  <si>
    <t>11-022042</t>
  </si>
  <si>
    <t>11-022043</t>
  </si>
  <si>
    <t>11-022044</t>
  </si>
  <si>
    <t>11-022045</t>
  </si>
  <si>
    <t>11-022046</t>
  </si>
  <si>
    <t>11-022047</t>
  </si>
  <si>
    <t>11-022048</t>
  </si>
  <si>
    <t>11-022049</t>
  </si>
  <si>
    <t>11-022050</t>
  </si>
  <si>
    <t>11-022051</t>
  </si>
  <si>
    <t>11-022052</t>
  </si>
  <si>
    <t>11-022053</t>
  </si>
  <si>
    <t>11-022054</t>
  </si>
  <si>
    <t>11-022055</t>
  </si>
  <si>
    <t>11-022056</t>
  </si>
  <si>
    <t>11-022057</t>
  </si>
  <si>
    <t>11-022058</t>
  </si>
  <si>
    <t>11-022059</t>
  </si>
  <si>
    <t>11-022060</t>
  </si>
  <si>
    <t>11-022061</t>
  </si>
  <si>
    <t>11-022062</t>
  </si>
  <si>
    <t>11-022063</t>
  </si>
  <si>
    <t>11-022064</t>
  </si>
  <si>
    <t>11-022065</t>
  </si>
  <si>
    <t>11-022066</t>
  </si>
  <si>
    <t>11-022067</t>
  </si>
  <si>
    <t>11-022068</t>
  </si>
  <si>
    <t>11-022069</t>
  </si>
  <si>
    <t>11-022070</t>
  </si>
  <si>
    <t>11-022071</t>
  </si>
  <si>
    <t>11-022072</t>
  </si>
  <si>
    <t>11-022073</t>
  </si>
  <si>
    <t>11-022074</t>
  </si>
  <si>
    <t>11-022075</t>
  </si>
  <si>
    <t>11-022076</t>
  </si>
  <si>
    <t>11-022077</t>
  </si>
  <si>
    <t>11-022078</t>
  </si>
  <si>
    <t>11-022079</t>
  </si>
  <si>
    <t>11-022080</t>
  </si>
  <si>
    <t>11-022081</t>
  </si>
  <si>
    <t>11-022082</t>
  </si>
  <si>
    <t>11-022083</t>
  </si>
  <si>
    <t>11-022084</t>
  </si>
  <si>
    <t>11-022085</t>
  </si>
  <si>
    <t>11-022086</t>
  </si>
  <si>
    <t>11-022087</t>
  </si>
  <si>
    <t>11-022088</t>
  </si>
  <si>
    <t>11-022089</t>
  </si>
  <si>
    <t>11-022090</t>
  </si>
  <si>
    <t>11-022091</t>
  </si>
  <si>
    <t>11-022092</t>
  </si>
  <si>
    <t>11-022093</t>
  </si>
  <si>
    <t>11-022094</t>
  </si>
  <si>
    <t>11-022095</t>
  </si>
  <si>
    <t>11-022096</t>
  </si>
  <si>
    <t>11-022097</t>
  </si>
  <si>
    <t>11-022098</t>
  </si>
  <si>
    <t>11-022099</t>
  </si>
  <si>
    <t>11-022100</t>
  </si>
  <si>
    <t>11-022101</t>
  </si>
  <si>
    <t>11-022102</t>
  </si>
  <si>
    <t>11-022103</t>
  </si>
  <si>
    <t>11-022104</t>
  </si>
  <si>
    <t>11-022105</t>
  </si>
  <si>
    <t>11-022106</t>
  </si>
  <si>
    <t>11-022107</t>
  </si>
  <si>
    <t>11-022108</t>
  </si>
  <si>
    <t>11-022109</t>
  </si>
  <si>
    <t>11-022110</t>
  </si>
  <si>
    <t>11-022111</t>
  </si>
  <si>
    <t>11-022112</t>
  </si>
  <si>
    <t>11-022113</t>
  </si>
  <si>
    <t>11-022114</t>
  </si>
  <si>
    <t>11-022115</t>
  </si>
  <si>
    <t>11-022116</t>
  </si>
  <si>
    <t>11-022117</t>
  </si>
  <si>
    <t>11-022118</t>
  </si>
  <si>
    <t>11-022119</t>
  </si>
  <si>
    <t>11-022120</t>
  </si>
  <si>
    <t>11-022121</t>
  </si>
  <si>
    <t>11-022122</t>
  </si>
  <si>
    <t>11-022123</t>
  </si>
  <si>
    <t>11-022124</t>
  </si>
  <si>
    <t>11-022125</t>
  </si>
  <si>
    <t>11-022126</t>
  </si>
  <si>
    <t>11-022127</t>
  </si>
  <si>
    <t>11-022128</t>
  </si>
  <si>
    <t>11-022129</t>
  </si>
  <si>
    <t>11-022130</t>
  </si>
  <si>
    <t>11-022131</t>
  </si>
  <si>
    <t>11-022132</t>
  </si>
  <si>
    <t>11-022133</t>
  </si>
  <si>
    <t>11-022134</t>
  </si>
  <si>
    <t>11-022135</t>
  </si>
  <si>
    <t>11-022136</t>
  </si>
  <si>
    <t>11-022137</t>
  </si>
  <si>
    <t>11-022138</t>
  </si>
  <si>
    <t>11-022139</t>
  </si>
  <si>
    <t>11-022140</t>
  </si>
  <si>
    <t>11-022141</t>
  </si>
  <si>
    <t>11-022142</t>
  </si>
  <si>
    <t>11-022143</t>
  </si>
  <si>
    <t>11-022144</t>
  </si>
  <si>
    <t>11-022145</t>
  </si>
  <si>
    <t>11-022146</t>
  </si>
  <si>
    <t>11-022147</t>
  </si>
  <si>
    <t>11-022148</t>
  </si>
  <si>
    <t>11-022149</t>
  </si>
  <si>
    <t>11-022150</t>
  </si>
  <si>
    <t>11-022151</t>
  </si>
  <si>
    <t>11-022152</t>
  </si>
  <si>
    <t>VEHICLES - TRAILERS &amp; ACCESSORIES</t>
  </si>
  <si>
    <t>11-022153</t>
  </si>
  <si>
    <t>11-022154</t>
  </si>
  <si>
    <t>11-022155</t>
  </si>
  <si>
    <t>11-022156</t>
  </si>
  <si>
    <t>11-022157</t>
  </si>
  <si>
    <t>11-022158</t>
  </si>
  <si>
    <t>11-022159</t>
  </si>
  <si>
    <t>11-022160</t>
  </si>
  <si>
    <t>11-022161</t>
  </si>
  <si>
    <t>11-022162</t>
  </si>
  <si>
    <t>11-022163</t>
  </si>
  <si>
    <t>11-022164</t>
  </si>
  <si>
    <t>11-022165</t>
  </si>
  <si>
    <t>11-022166</t>
  </si>
  <si>
    <t>11-022167</t>
  </si>
  <si>
    <t>11-022168</t>
  </si>
  <si>
    <t>11-022169</t>
  </si>
  <si>
    <t>11-022170</t>
  </si>
  <si>
    <t>11-022171</t>
  </si>
  <si>
    <t>11-022172</t>
  </si>
  <si>
    <t>11-022173</t>
  </si>
  <si>
    <t>11-022174</t>
  </si>
  <si>
    <t>11-022175</t>
  </si>
  <si>
    <t>11-022176</t>
  </si>
  <si>
    <t>11-022177</t>
  </si>
  <si>
    <t>11-022178</t>
  </si>
  <si>
    <t>11-022179</t>
  </si>
  <si>
    <t>11-022180</t>
  </si>
  <si>
    <t>11-022181</t>
  </si>
  <si>
    <t>11-022182</t>
  </si>
  <si>
    <t>11-022183</t>
  </si>
  <si>
    <t>11-022184</t>
  </si>
  <si>
    <t>11-022185</t>
  </si>
  <si>
    <t>11-022186</t>
  </si>
  <si>
    <t>11-022187</t>
  </si>
  <si>
    <t>11-022188</t>
  </si>
  <si>
    <t>11-022189</t>
  </si>
  <si>
    <t>11-022190</t>
  </si>
  <si>
    <t>11-022191</t>
  </si>
  <si>
    <t>11-022192</t>
  </si>
  <si>
    <t>11-022193</t>
  </si>
  <si>
    <t>11-022194</t>
  </si>
  <si>
    <t>11-022195</t>
  </si>
  <si>
    <t>11-022196</t>
  </si>
  <si>
    <t>11-022197</t>
  </si>
  <si>
    <t>11-022198</t>
  </si>
  <si>
    <t>11-022199</t>
  </si>
  <si>
    <t>11-022200</t>
  </si>
  <si>
    <t>11-022201</t>
  </si>
  <si>
    <t>11-022202</t>
  </si>
  <si>
    <t>11-022203</t>
  </si>
  <si>
    <t>11-022204</t>
  </si>
  <si>
    <t>11-022205</t>
  </si>
  <si>
    <t>11-022206</t>
  </si>
  <si>
    <t>11-022207</t>
  </si>
  <si>
    <t>11-022208</t>
  </si>
  <si>
    <t>11-022209</t>
  </si>
  <si>
    <t>11-022210</t>
  </si>
  <si>
    <t>11-022211</t>
  </si>
  <si>
    <t>11-022212</t>
  </si>
  <si>
    <t>11-022213</t>
  </si>
  <si>
    <t>11-022214</t>
  </si>
  <si>
    <t>11-022215</t>
  </si>
  <si>
    <t>11-022216</t>
  </si>
  <si>
    <t>11-022217</t>
  </si>
  <si>
    <t>11-022218</t>
  </si>
  <si>
    <t>11-022219</t>
  </si>
  <si>
    <t>11-022220</t>
  </si>
  <si>
    <t>11-022221</t>
  </si>
  <si>
    <t>11-022222</t>
  </si>
  <si>
    <t>11-022223</t>
  </si>
  <si>
    <t>11-022224</t>
  </si>
  <si>
    <t>11-022225</t>
  </si>
  <si>
    <t>11-022226</t>
  </si>
  <si>
    <t>11-022227</t>
  </si>
  <si>
    <t>11-022228</t>
  </si>
  <si>
    <t>11-022229</t>
  </si>
  <si>
    <t>11-022230</t>
  </si>
  <si>
    <t>11-022231</t>
  </si>
  <si>
    <t>11-022232</t>
  </si>
  <si>
    <t>11-022233</t>
  </si>
  <si>
    <t>11-022234</t>
  </si>
  <si>
    <t>11-022235</t>
  </si>
  <si>
    <t>11-022236</t>
  </si>
  <si>
    <t>11-022237</t>
  </si>
  <si>
    <t>11-022238</t>
  </si>
  <si>
    <t>11-022239</t>
  </si>
  <si>
    <t>WELDING EQUIPMENT</t>
  </si>
  <si>
    <t>11-022240</t>
  </si>
  <si>
    <t>11-022241</t>
  </si>
  <si>
    <t>11-022242</t>
  </si>
  <si>
    <t>11-022243</t>
  </si>
  <si>
    <t>11-022244</t>
  </si>
  <si>
    <t>11-022245</t>
  </si>
  <si>
    <t>11-022246</t>
  </si>
  <si>
    <t>11-022247</t>
  </si>
  <si>
    <t>11-022248</t>
  </si>
  <si>
    <t>11-022249</t>
  </si>
  <si>
    <t>11-022250</t>
  </si>
  <si>
    <t>11-022251</t>
  </si>
  <si>
    <t>11-022252</t>
  </si>
  <si>
    <t>11-022253</t>
  </si>
  <si>
    <t>11-022254</t>
  </si>
  <si>
    <t>11-022255</t>
  </si>
  <si>
    <t>11-022256</t>
  </si>
  <si>
    <t>11-022257</t>
  </si>
  <si>
    <t>11-022258</t>
  </si>
  <si>
    <t>11-022259</t>
  </si>
  <si>
    <t>11-022260</t>
  </si>
  <si>
    <t>11-022261</t>
  </si>
  <si>
    <t>11-022262</t>
  </si>
  <si>
    <t>11-022263</t>
  </si>
  <si>
    <t>11-022264</t>
  </si>
  <si>
    <t>11-022265</t>
  </si>
  <si>
    <t>8x8 Trench Shield (Hourly Rate)</t>
  </si>
  <si>
    <t>11-022266</t>
  </si>
  <si>
    <t>8x8 Trench Shield (Monthly Rate)</t>
  </si>
  <si>
    <t>11-022267</t>
  </si>
  <si>
    <t>8x10 Trench Shield (Hourly Rate)</t>
  </si>
  <si>
    <t>11-022268</t>
  </si>
  <si>
    <t>8x10 Trench Shield (Monthly Rate)</t>
  </si>
  <si>
    <t>11-022269</t>
  </si>
  <si>
    <t>8X12 Trench Shield (Hourly Rate)</t>
  </si>
  <si>
    <t>11-022270</t>
  </si>
  <si>
    <t>8X12 Trench Shield (Monthly Rate)</t>
  </si>
  <si>
    <t>11-022271</t>
  </si>
  <si>
    <t>8x14 Trench Shield (Hourly Rate)</t>
  </si>
  <si>
    <t>11-022272</t>
  </si>
  <si>
    <t>8x14 Trench Shield (Monthly Rate)</t>
  </si>
  <si>
    <t>11-022273</t>
  </si>
  <si>
    <t>8x16 Trench Shield (Hourly Rate)</t>
  </si>
  <si>
    <t>11-022274</t>
  </si>
  <si>
    <t>8x16 Trench Shield (Monthly Rate)</t>
  </si>
  <si>
    <t>11-022275</t>
  </si>
  <si>
    <t>8x20 Trench Shield (Hourly Rate)</t>
  </si>
  <si>
    <t>11-022276</t>
  </si>
  <si>
    <t>8x20 Trench Shield (Monthly Rate)</t>
  </si>
  <si>
    <t>11-022277</t>
  </si>
  <si>
    <t>8x24 Trench Shield 4" Wall (Hourly Rate)</t>
  </si>
  <si>
    <t>11-022278</t>
  </si>
  <si>
    <t>8x24 Trench Shield 4" Wall (Monthly Rate)</t>
  </si>
  <si>
    <t>11-022279</t>
  </si>
  <si>
    <t>8x24 Trench Shield 6"wall (Hourly Rate)</t>
  </si>
  <si>
    <t>11-022280</t>
  </si>
  <si>
    <t>8x24 Trench Shield 6"wall (Monthly Rate)</t>
  </si>
  <si>
    <t>11-022281</t>
  </si>
  <si>
    <t>8x28 Trench Box (Hourly Rate)</t>
  </si>
  <si>
    <t>11-022282</t>
  </si>
  <si>
    <t>8x28 Trench Box (Monthly Rate)</t>
  </si>
  <si>
    <t>11-022283</t>
  </si>
  <si>
    <t>8x32 Trench Box (Hourly Rate)</t>
  </si>
  <si>
    <t>11-022284</t>
  </si>
  <si>
    <t>8x32 Trench Box (Monthly Rate)</t>
  </si>
  <si>
    <t>11-022285</t>
  </si>
  <si>
    <t>4x16 Trench Box (Hourly Rate)</t>
  </si>
  <si>
    <t>11-022286</t>
  </si>
  <si>
    <t>4x16 Trench Box (Monthly Rate)</t>
  </si>
  <si>
    <t>11-022287</t>
  </si>
  <si>
    <t>4x24 Trench Box (Hourly Rate)</t>
  </si>
  <si>
    <t>11-022288</t>
  </si>
  <si>
    <t>4x24 Trench Box (Monthly Rate)</t>
  </si>
  <si>
    <t>11-022289</t>
  </si>
  <si>
    <t>6x20 Trench Box (Hourly Rate)</t>
  </si>
  <si>
    <t>11-022290</t>
  </si>
  <si>
    <t>6x20 Trench Box (Monthly Rate)</t>
  </si>
  <si>
    <t>11-022291</t>
  </si>
  <si>
    <t>6x24 Trench Box (Hourly Rate)</t>
  </si>
  <si>
    <t>11-022292</t>
  </si>
  <si>
    <t>6x24 Trench Box (Monthly Rate)</t>
  </si>
  <si>
    <t>11-022293</t>
  </si>
  <si>
    <t>10x10 Trench Box (Hourly Rate)</t>
  </si>
  <si>
    <t>11-022294</t>
  </si>
  <si>
    <t>10x10 Trench Box (Monthly Rate)</t>
  </si>
  <si>
    <t>11-022295</t>
  </si>
  <si>
    <t>10x20 Trench Box (Hourly Rate)</t>
  </si>
  <si>
    <t>11-022296</t>
  </si>
  <si>
    <t>10x20 Trench Box (Monthly Rate)</t>
  </si>
  <si>
    <t>11-022297</t>
  </si>
  <si>
    <t>10x28 Trench Box (Hourly Rate)</t>
  </si>
  <si>
    <t>11-022298</t>
  </si>
  <si>
    <t>10x28 Trench Box (Monthly Rate)</t>
  </si>
  <si>
    <t>11-022299</t>
  </si>
  <si>
    <t>10x32 Trench Box (Hourly Rate)</t>
  </si>
  <si>
    <t>11-022300</t>
  </si>
  <si>
    <t>10x32 Trench Box (Monthly Rate)</t>
  </si>
  <si>
    <t>11-500000</t>
  </si>
  <si>
    <t>SMALL TOOLS &amp; CONSUMABLES</t>
  </si>
  <si>
    <t>11-502010</t>
  </si>
  <si>
    <t>11-502020</t>
  </si>
  <si>
    <t>CWHR</t>
  </si>
  <si>
    <t>11-503010</t>
  </si>
  <si>
    <t>Crew-LOCAL 302 -Operating Engineers (1 Group IAA-Backhoe, 1 Group IA-Loader/Bulldozer, 1 Group I-Compactor/Roller)</t>
  </si>
  <si>
    <t>11-503020</t>
  </si>
  <si>
    <t>11-504010</t>
  </si>
  <si>
    <t>11-504020</t>
  </si>
  <si>
    <t>11-504030</t>
  </si>
  <si>
    <t>11-504040</t>
  </si>
  <si>
    <t>11-504050</t>
  </si>
  <si>
    <t>11-504060</t>
  </si>
  <si>
    <t>11-504070</t>
  </si>
  <si>
    <t>11-504080</t>
  </si>
  <si>
    <t>11-504085</t>
  </si>
  <si>
    <t>11-301007</t>
  </si>
  <si>
    <t>2200 PSI PowerStroke Pressure Washer 20 GPM 150cc Gas (own)</t>
  </si>
  <si>
    <t>11-301008</t>
  </si>
  <si>
    <t>2500 PSI A-I Power Pressure Washer, 23 GPM, Gas (own)</t>
  </si>
  <si>
    <t>11-301010</t>
  </si>
  <si>
    <t>2000 PSI AR Blue Clean Electric Cold Water Pressure Washer (own)</t>
  </si>
  <si>
    <t>11-301012</t>
  </si>
  <si>
    <t>General 2800-PSI, 24 GPM Cold Water Gas Pressure Washer (own)</t>
  </si>
  <si>
    <t>11-301016</t>
  </si>
  <si>
    <t>3100 PSI 5 GAL - GPM Cold Water Gas Pressure Washer (own)</t>
  </si>
  <si>
    <t>11-301020</t>
  </si>
  <si>
    <t>3200 PSI 27 GAL - GPM Cold Water Gas Pressure Washer (own)</t>
  </si>
  <si>
    <t>11-301022</t>
  </si>
  <si>
    <t>SIMPSON 4200 PSI - 4 GPM Water Gas Pressure Washer (own)</t>
  </si>
  <si>
    <t>11-301026</t>
  </si>
  <si>
    <t>SIMPSON 5000 PSI, 4 GPM Water Gas Pressure Washer (own)</t>
  </si>
  <si>
    <t>11-351040</t>
  </si>
  <si>
    <t>Biotube EasyPak 50 GPM w/MVPS 1PT-RO Panel (BEP 50TDD) Effluent Pump</t>
  </si>
  <si>
    <t>11-451010</t>
  </si>
  <si>
    <t>1 CY SELF DUMPING HOPPER-TIPPER BIN (own)</t>
  </si>
  <si>
    <t>11-451020</t>
  </si>
  <si>
    <t>2 CY SELF DUMPING HOPPER-TIPPER BIN (own)</t>
  </si>
  <si>
    <t>11-451030</t>
  </si>
  <si>
    <t>3 CY SELF DUMPING HOPPER-TIPPER BIN (own)</t>
  </si>
  <si>
    <t>11-551010</t>
  </si>
  <si>
    <t>2-Wheel Skiff 10 CY Capacity, 4'x8' size - RENTAL</t>
  </si>
  <si>
    <t>11-551020</t>
  </si>
  <si>
    <t>11-551030</t>
  </si>
  <si>
    <t>11-551015</t>
  </si>
  <si>
    <t>2-Wheel Skiff, 12 CY Capacity, 16'x8x42" size - RENTAL</t>
  </si>
  <si>
    <t>11-551025</t>
  </si>
  <si>
    <t>11-551035</t>
  </si>
  <si>
    <t>11-601010</t>
  </si>
  <si>
    <t>STEEL 36"x0.75 ODx26 FT CASING DRILL CAN</t>
  </si>
  <si>
    <t>11-601020</t>
  </si>
  <si>
    <t>11-602010</t>
  </si>
  <si>
    <t>STEEL 48"x0.812 ODx13 FT CASING DRILL CAN</t>
  </si>
  <si>
    <t>11-602020</t>
  </si>
  <si>
    <t>Sec 12-00</t>
  </si>
  <si>
    <t>12-650010</t>
  </si>
  <si>
    <t>12-650020</t>
  </si>
  <si>
    <t>12-650030</t>
  </si>
  <si>
    <t>12-650110</t>
  </si>
  <si>
    <t>12-650120</t>
  </si>
  <si>
    <t>12-650130</t>
  </si>
  <si>
    <t>DEMOLITION of Multi-Blade Dampers, Parrallel Blade 8" x 8"</t>
  </si>
  <si>
    <t>DEMOLITION of 36"x18"-36"x36" Single/Double Deflection Return, Wall/Ceiling Grille</t>
  </si>
  <si>
    <t>23-2501-10</t>
  </si>
  <si>
    <t>De-Stratification Zoo Fans H30 115V 60Hz 46Wtt 15lbs</t>
  </si>
  <si>
    <t>23-2501-20</t>
  </si>
  <si>
    <t>De-Stratification High Efficiency Zoo Fans H30 115V 60Hz 46Wtt 15lbs</t>
  </si>
  <si>
    <t>23-2501-30</t>
  </si>
  <si>
    <t>De-Stratification High Efficiency Zoo Fans H60 115V 60Hz 46Wtt 23lbs</t>
  </si>
  <si>
    <t>23-352010</t>
  </si>
  <si>
    <t>36"x18" Single Deflection Return/Exhaust Register Aluminum Wall/Ceiling Grille</t>
  </si>
  <si>
    <t>23-352020</t>
  </si>
  <si>
    <t>36"x24" Double Deflection Return/Exhaust Register Aluminum Wall/Ceiling Grille</t>
  </si>
  <si>
    <t>23-352030</t>
  </si>
  <si>
    <t>36"x30" Double Deflection Return/Exhaust Register Aluminum Wall/Ceiling Grille</t>
  </si>
  <si>
    <t>23-352040</t>
  </si>
  <si>
    <t>36"x36" Double Deflection Return/Exhaust Register Aluminum Wall/Ceiling Grille</t>
  </si>
  <si>
    <t>23-401020</t>
  </si>
  <si>
    <t>265 Gallon Slim Line Tank by Bushman (BSLT-265E)</t>
  </si>
  <si>
    <t>23-401030</t>
  </si>
  <si>
    <t>420 Gallon Round Tall Tank by Bushman (BRTT-420)</t>
  </si>
  <si>
    <t>23-401040</t>
  </si>
  <si>
    <t>530 Gallon Slim Line Tank by Bushman (BSLT-530E)</t>
  </si>
  <si>
    <t>23-401050</t>
  </si>
  <si>
    <t>660 Gallon Low Profile Round Tank by Bushman (BLPT-660)</t>
  </si>
  <si>
    <t>23-401060</t>
  </si>
  <si>
    <t>865 Gallon Round Tall Tank by Bushman (BRTT-865)</t>
  </si>
  <si>
    <t>23-401070</t>
  </si>
  <si>
    <t>1110 Gallon Low Profile Round Tank by Bushman (BLPT-420)</t>
  </si>
  <si>
    <t>23-500810</t>
  </si>
  <si>
    <t>De-Humidifier TSV0060 W/ECM Motor, 460 Volts SK-3, High Efficiency</t>
  </si>
  <si>
    <t>23-500820</t>
  </si>
  <si>
    <t>De-Humidifier TSV0060 W/ECM Motor, 460 Volts SK-3, Regular Efficiency</t>
  </si>
  <si>
    <t>23-601015</t>
  </si>
  <si>
    <t>Demo Existing Free Standing Electrical Insrumentations/Devices</t>
  </si>
  <si>
    <t>Assembly-1</t>
  </si>
  <si>
    <t>TEMPORARY POWER</t>
  </si>
  <si>
    <t>26-011020</t>
  </si>
  <si>
    <t>MDP Housekeeping Pad-224"Lx 66"W x12"D</t>
  </si>
  <si>
    <t>26-012510</t>
  </si>
  <si>
    <t>26-024520</t>
  </si>
  <si>
    <t>Installation of Switchgear (Owner Furnished)</t>
  </si>
  <si>
    <t>26-051025</t>
  </si>
  <si>
    <t>26-051045</t>
  </si>
  <si>
    <t>26-055015</t>
  </si>
  <si>
    <t>SCL Rebuild OH Line</t>
  </si>
  <si>
    <t>26-061020</t>
  </si>
  <si>
    <t>(4) 5" FG Conduit with Fitting-Utility Service-Trenching with Thermal LSFTB Backfill</t>
  </si>
  <si>
    <t>26-061022</t>
  </si>
  <si>
    <t>26-061024</t>
  </si>
  <si>
    <t>26-102012</t>
  </si>
  <si>
    <t>26-103520</t>
  </si>
  <si>
    <t>26-103814</t>
  </si>
  <si>
    <t>26-151520</t>
  </si>
  <si>
    <t>26-152030</t>
  </si>
  <si>
    <t>26-154010</t>
  </si>
  <si>
    <t>Assembly-2</t>
  </si>
  <si>
    <t>CATHODIC PROTECTION</t>
  </si>
  <si>
    <t>812S01</t>
  </si>
  <si>
    <t>SECURITY FENCE</t>
  </si>
  <si>
    <t>26-205010</t>
  </si>
  <si>
    <t>DEEP ANODE-GROUND BED ANODE</t>
  </si>
  <si>
    <t>26-205015</t>
  </si>
  <si>
    <t>26-205020</t>
  </si>
  <si>
    <t>LOT</t>
  </si>
  <si>
    <t>26-205021</t>
  </si>
  <si>
    <t>26-205025</t>
  </si>
  <si>
    <t>SURFACE VENT PIPE</t>
  </si>
  <si>
    <t>26-205030</t>
  </si>
  <si>
    <t>DOWNHOLE VENT PIPE</t>
  </si>
  <si>
    <t>26-205035</t>
  </si>
  <si>
    <t>WELL CAP</t>
  </si>
  <si>
    <t>26-205040</t>
  </si>
  <si>
    <t>ANODE TERMINAL JUNCTION BOX</t>
  </si>
  <si>
    <t>26-205045</t>
  </si>
  <si>
    <t>708S01</t>
  </si>
  <si>
    <t>PIPE &amp; COATING REPAIR (Asume 15% Existing Pipe)</t>
  </si>
  <si>
    <t>26-205050</t>
  </si>
  <si>
    <t>WIRE CONNECTIONS</t>
  </si>
  <si>
    <t>26-205055</t>
  </si>
  <si>
    <t>26-205060</t>
  </si>
  <si>
    <t>GROUND ROD</t>
  </si>
  <si>
    <t>833S01</t>
  </si>
  <si>
    <t>GROUND ROD HANDHOLE</t>
  </si>
  <si>
    <t>26-205065</t>
  </si>
  <si>
    <t>GROUND WIRE AND CLAMPS</t>
  </si>
  <si>
    <t>26-205067</t>
  </si>
  <si>
    <t>CONDUIT, LOCKNUT, STRAPS</t>
  </si>
  <si>
    <t>03-310576</t>
  </si>
  <si>
    <t>FILLING CONCRETE-READY MIX 2500 PSI</t>
  </si>
  <si>
    <t>FIXED BOLLARD</t>
  </si>
  <si>
    <t>03-310580</t>
  </si>
  <si>
    <t>ELECTRIC WIRE</t>
  </si>
  <si>
    <t>CATHODIC PROTECTION RECTIFIER (Included SP case if required)</t>
  </si>
  <si>
    <t>26-205062</t>
  </si>
  <si>
    <t>MARKING TAPE</t>
  </si>
  <si>
    <t>THERMITE WELD MATERIALS</t>
  </si>
  <si>
    <t>26-205070</t>
  </si>
  <si>
    <t>CATHODIC PROTECTION DISTRIBUTED ANODE GROUND BED-ANODE</t>
  </si>
  <si>
    <t>26-205075</t>
  </si>
  <si>
    <t>ANODE WIRES-15 FEET DEEP WELL (With 1 Anode each hole)</t>
  </si>
  <si>
    <t>210S01</t>
  </si>
  <si>
    <t>26-205080</t>
  </si>
  <si>
    <t>HEADER CABLE</t>
  </si>
  <si>
    <t>26-205082</t>
  </si>
  <si>
    <t>ZINK REFERENCE ELECTRODE</t>
  </si>
  <si>
    <t>26-206025</t>
  </si>
  <si>
    <t>TEST STATION</t>
  </si>
  <si>
    <t>26-205085</t>
  </si>
  <si>
    <t>HEADER CABLE SPLICE KIT</t>
  </si>
  <si>
    <t>26-205090</t>
  </si>
  <si>
    <t>ANODE INSTALLATION METHOD (Per LOT, assuming 20 EA Anodes in Lot)</t>
  </si>
  <si>
    <t>Electrical PVC Conduit FEMALE ADPT-2 IN</t>
  </si>
  <si>
    <t>Electrical Groud Rod ERC 615800 5/8X10FT CU</t>
  </si>
  <si>
    <t>Electrical PVC Conduit FEMALE ADPT-3 IN</t>
  </si>
  <si>
    <t>Electrical PVC Conduit FEMALE ADPT-5 IN</t>
  </si>
  <si>
    <t>Electrical PVC Conduit FEMALE ADPT-6 IN</t>
  </si>
  <si>
    <t>Electrical Cabinets Enclosure, NEMA 1 Metalic B-Line 888SCNK SCR CVR</t>
  </si>
  <si>
    <t>Sec 31-00</t>
  </si>
  <si>
    <t>31-302010</t>
  </si>
  <si>
    <t>12" Rock Grout Slurry - Round 1-3/4" Clean Rock</t>
  </si>
  <si>
    <t>31-302012</t>
  </si>
  <si>
    <t>15" Rock Grout Slurry - Round 2" Clean Rock</t>
  </si>
  <si>
    <t>31-302014</t>
  </si>
  <si>
    <t>18" Rock Grout Slurry - 2" Clean Rock</t>
  </si>
  <si>
    <t>31-302016</t>
  </si>
  <si>
    <t>24" Rock Grout Slurry - 2-1/2" Clean Rock</t>
  </si>
  <si>
    <t>31-302018</t>
  </si>
  <si>
    <t>30" Rock Grout Slurry - 2-3/4" Clean Rock</t>
  </si>
  <si>
    <t>Surface Water Sources</t>
  </si>
  <si>
    <t>33-123110</t>
  </si>
  <si>
    <t>FLAT BLACK REINFORCED 45 MIL POLYPROPYLENE 12' X600" TOP Liner with LP16 16 OZ GEOTEXTILE 15'X150'</t>
  </si>
  <si>
    <t>33-123120</t>
  </si>
  <si>
    <t>STRUCTURE (FOOTING) COVERED- REINFORCED 45 MIL POLYPROPYLENE 12' X600" TOP Liner with LP16 16 OZ GEOTEXTILE 15'X150'</t>
  </si>
  <si>
    <t>33-401010</t>
  </si>
  <si>
    <t>StormTech SC-740 Chamber Size (85.4"x51.0"X30") with End Cap - Bioretention</t>
  </si>
  <si>
    <t>33-631216</t>
  </si>
  <si>
    <t>STEEL CASING-Pipe-16" STD A53B/AP15LB Black</t>
  </si>
  <si>
    <t>33-631218</t>
  </si>
  <si>
    <t>STEEL CASING-Pipe-18" STD A53B/AP15LB Black</t>
  </si>
  <si>
    <t>33-631220</t>
  </si>
  <si>
    <t>STEEL CASING-Pipe-20" STD A53B/AP15LB Black</t>
  </si>
  <si>
    <t>33-631224</t>
  </si>
  <si>
    <t>STEEL CASING-Pipe-24" STD A53B/AP15LB Black</t>
  </si>
  <si>
    <t>33-631230</t>
  </si>
  <si>
    <t>STEEL CASING-Pipe-30" STD A53B/AP15LB Black</t>
  </si>
  <si>
    <t>33-631236</t>
  </si>
  <si>
    <t>STEEL CASING-Pipe-36" STD A53B/AP15LB Black</t>
  </si>
  <si>
    <t>33-722901</t>
  </si>
  <si>
    <t>CIPP LINING-CB CONNECTIONS {QTY 50-100 LF}</t>
  </si>
  <si>
    <t>CIPP LINING-CB CONNECTIONS {QTY &gt;100 LF}</t>
  </si>
  <si>
    <t>33-723901</t>
  </si>
  <si>
    <t>CIPP LINING-PS, 22"X33" {QTY 250-500 LF}</t>
  </si>
  <si>
    <t>33-723902</t>
  </si>
  <si>
    <t>CIPP LINING-PS, 18" {QTY 250-500 LF}</t>
  </si>
  <si>
    <t>CIPP LINING-PS, 18" {QTY &gt;500 LF}</t>
  </si>
  <si>
    <t>46-521020</t>
  </si>
  <si>
    <t>Circulation Pump TS 060 460/60/3 Voltage 15.6 AMP/25HACR</t>
  </si>
  <si>
    <t>46-521030</t>
  </si>
  <si>
    <t>Circulation Pump TS 070 460/60/3 Voltage 15.7 AMP/25HACR</t>
  </si>
  <si>
    <t>Magnetic FlowMeter-Drinking Water-8750WDEW1A1FPSA040CA1M4DWG1R05-4"</t>
  </si>
  <si>
    <t>Magnetic FlowMeter-Waste Water-8750WDEW1A1FPSB040CA1Z5M4G5R05-4"</t>
  </si>
  <si>
    <t>Magnetic FlowMeter-Drinking Water-8750WDEW1A1FPSA060CA1M4DWG1R05-6"</t>
  </si>
  <si>
    <t>Magnetic FlowMeter-Waste Water-8750WDEW1A1FPSB060CA1Z5M4G5R05-6"</t>
  </si>
  <si>
    <t>Magnetic FlowMeter-Drinking Water-8750WDEW1A1FPSA080CA1M4DWG1R05-8"</t>
  </si>
  <si>
    <t>Magnetic FlowMeter-Waste Water-8750WDEW1A1FPSB080CA1Z5M4G5R05-8"</t>
  </si>
  <si>
    <t>Magnetic FlowMeter-Drinking Water-8750WDEW1A1FPSA100CA1M4DWG1R05-10"</t>
  </si>
  <si>
    <t>Magnetic FlowMeter-Waste Water-8750WDEW1A1FPSB100CA1Z5M4G5R05-10"</t>
  </si>
  <si>
    <t>Magnetic FlowMeter-Drinking Water-8750WDEW1A1FPSA120CA1M4DWG1R05-12"</t>
  </si>
  <si>
    <t>Magnetic FlowMeter-Waste Water-8750WDEW1A1FPSB120CA1Z5M4G5R05-12"</t>
  </si>
  <si>
    <t>46-542054</t>
  </si>
  <si>
    <t>54" Butterfly Cast Iron Valve 250 PSI Full Rated</t>
  </si>
  <si>
    <t>46-542060</t>
  </si>
  <si>
    <t>60" Butterfly Cast Iron Valve 250 PSI Full Rated</t>
  </si>
  <si>
    <t>46-542066</t>
  </si>
  <si>
    <t>66" Butterfly Cast Iron Valve 250 PSI Full Rated</t>
  </si>
  <si>
    <t>46-542072</t>
  </si>
  <si>
    <t>72" Butterfly Cast Iron Valve 250 PSI Full Rated</t>
  </si>
  <si>
    <t>46-542084</t>
  </si>
  <si>
    <t>84" Butterfly Cast Iron Valve 150 PSI Full Rated</t>
  </si>
  <si>
    <t>46-542090</t>
  </si>
  <si>
    <t>90" Butterfly Cast Iron Valve 150 PSI Full Rated</t>
  </si>
  <si>
    <t>46-542096</t>
  </si>
  <si>
    <t>96" Butterfly Cast Iron Valve 150 PSI Full Rated</t>
  </si>
  <si>
    <t>46-542154</t>
  </si>
  <si>
    <t>54" UF Flanged Spigot (ASME, Class D/E) Kubota Pipe</t>
  </si>
  <si>
    <t>46-542166</t>
  </si>
  <si>
    <t>66" UF Flanged Spigot (ASME, Class D/E) Kubota Pipe</t>
  </si>
  <si>
    <t>46-542188</t>
  </si>
  <si>
    <t>88" UF Flanged Spigot (ASME, Class D/E) Kubota Pipe</t>
  </si>
  <si>
    <t>46-542196</t>
  </si>
  <si>
    <t>96" UF Flanged Spigot (ASME, Class D/E) Kubota Pipe</t>
  </si>
  <si>
    <t>CSI 2017</t>
  </si>
  <si>
    <t>Total Cost Unit 2017 - not rounded</t>
  </si>
  <si>
    <t>Total Cost Unit 2017</t>
  </si>
  <si>
    <t>2017 Increases: Labor (2.35%), Material (1.75%), Equipment (2.45%), Sub (1.15%)</t>
  </si>
  <si>
    <t>Hot Mix Asphalt (HMA) &amp; Warm Mix Asphalt (WMA) Pavement</t>
  </si>
  <si>
    <t>Cement Concrete Structures and Cement Concrete for Miscellaneous Work</t>
  </si>
  <si>
    <t>PIPE, Inlet Conn, DI., CL50, 8IN</t>
  </si>
  <si>
    <t>Storm Drains and Sanitary Sewers</t>
  </si>
  <si>
    <t>PIPE PSD, DI CL 50, 6 IN {QTY &lt;=50 FT}</t>
  </si>
  <si>
    <t>Cement Concrete Sidewalk</t>
  </si>
  <si>
    <t>Pre-cast Concrete Parking Bump (8"x13"x6')</t>
  </si>
  <si>
    <t>Total Cost Unit 2016</t>
  </si>
  <si>
    <t>Total Cost Unit (Unrounded)</t>
  </si>
  <si>
    <t>Sec 01-00</t>
  </si>
  <si>
    <t>Sec 1-07</t>
  </si>
  <si>
    <t>UNIFORM POLICE OFFICER</t>
  </si>
  <si>
    <t>Sec 02-00</t>
  </si>
  <si>
    <t>GRUBBING {QTY 15,000 SF-35,000 SF}</t>
  </si>
  <si>
    <t>GRUBBING {QTY &gt;35,000 SF}</t>
  </si>
  <si>
    <t>REMOVE CEMT. CONC. SIDEWALK {QTY 50-100 SY}</t>
  </si>
  <si>
    <t>REMOVE CEMT. CONC. SIDEWALK {QTY 100-400 SY}</t>
  </si>
  <si>
    <t>SAWCUT Cement Concrete Sidewalk, Full Depth {QTY 10-50 LF}</t>
  </si>
  <si>
    <t>Sec 3-10</t>
  </si>
  <si>
    <t>Geotechnical Instrumentation &amp; Monitoring</t>
  </si>
  <si>
    <t>Sec 7-15</t>
  </si>
  <si>
    <t>SPU Water Connection Contractor Support</t>
  </si>
  <si>
    <t>RESET GRANITE CURB {QTY 15-30 LF}</t>
  </si>
  <si>
    <t>C.I.P. Concrete Forms, SOG, Curb, Wood 6" to 12" high, 2 uses, included erecting, bracing, striping and cleaning</t>
  </si>
  <si>
    <t>C.I.P. Concrete Forms, Beams, Botton Only, 2 uses, included erecting, bracing, striping and cleaning</t>
  </si>
  <si>
    <t>C.I.P. Concrete Forms, SOG, EdgeWood 7" to 12" high, 4 uses, included erecting, bracing, striping and cleaning</t>
  </si>
  <si>
    <t>C.I.P. Concrete Forms, Beams, Side Only, vertical plywood, 2 uses, included shoring, bracing, shipping and cleaning</t>
  </si>
  <si>
    <t>C.I.P. Concrete Forms, Wall Box out for opening, to 16' thick, over 10SF (perimeter), included erecting, bracing, shipping and cleaning</t>
  </si>
  <si>
    <t>C.I.P. Concrete Forms, Wall wood buklhead, with 2 piece keyway, 1 use, included erecting, bracing, stripping and cleaning</t>
  </si>
  <si>
    <t>C.I.P. Concrete Forms, Wall steel framed plywood, over 16' Height, with bracing lumber, included erecting, bracing, stripping and cleaning</t>
  </si>
  <si>
    <t>C.I.P. Concrete Forms, Buffel Wall steel framed plywood, over 16' Height, with bracing lumber, included erecting, bracing, stripping and cleaning</t>
  </si>
  <si>
    <t>C.I.P. Concrete Forms, Elevated Slabs, flat plate, plywood to 15 I high, 4 use included shoring, erecting, bracing, stripping and cleaning</t>
  </si>
  <si>
    <t>C.I.P. Concrete Forms, Elevated Slabs, Edge Forms to 6" high, 4 use included shoring, erecting, bracing, stripping and cleaning</t>
  </si>
  <si>
    <t>C.I.P. Concrete Forms, Elevated Slabs, perimeter deck and rail, straight included shoring, erecting, bracing, stripping and cleaning</t>
  </si>
  <si>
    <t>Chamfer Strip, polyvinyl chroride, 3/4" wide with Leg</t>
  </si>
  <si>
    <t>Concrete finishing, Floor, monolithic, Screed and bull float (darby) finish</t>
  </si>
  <si>
    <t>Concrete finishing, Floor, hardener, non-metallic, medium service, 0.75 psf</t>
  </si>
  <si>
    <t>Finishing: Break ties &amp; patch Voids (Walls, colums or Beams)</t>
  </si>
  <si>
    <t>Curing Sprayed membrane, curing compound</t>
  </si>
  <si>
    <t>05-352330</t>
  </si>
  <si>
    <t>05-712030</t>
  </si>
  <si>
    <t>Sec 11-02</t>
  </si>
  <si>
    <t>Sec 11-020000</t>
  </si>
  <si>
    <t>23-104010</t>
  </si>
  <si>
    <t>26-062200</t>
  </si>
  <si>
    <t>Preparation Required Before Directional Drilling-Mob/Demob (up to 25 ml)</t>
  </si>
  <si>
    <t>Last Revised: 8/7/2017</t>
  </si>
  <si>
    <t>REMOVE Sign {QTY&gt; 20}</t>
  </si>
  <si>
    <t>W6x9 A36 STRUCTURAL COLUMN, High Strength Low Alloy A572 Steel</t>
  </si>
  <si>
    <t>W6x9 A36 STRUCTURAL COLUMN, High Strength Low Alloy A588 Steel</t>
  </si>
  <si>
    <t>1" DEEP, STEEL DECK18 Gauge Open Ribbed Galvanized {QTY &lt;100}</t>
  </si>
  <si>
    <t>1" DEEP, STEEL DECK18 Gauge Open Ribbed Galvanized {QTY 100-500}</t>
  </si>
  <si>
    <t>1" DEEP, STEEL DECK18 Gauge Open Ribbed Galvanized {QTY 500-1500}</t>
  </si>
  <si>
    <t>1" STEEL DECK Deep, 18/18 Gauge Cellular Galvanized {QTY 100-500}</t>
  </si>
  <si>
    <t>1" STEEL DECK Deep, 18/18 Gauge Cellular Galvanized {QTY 500-1500}</t>
  </si>
  <si>
    <t>1" STEEL DECK Deep, 22/18 Gauge Cellular Galvanized {QTY 500-1500}</t>
  </si>
  <si>
    <t>3" STEEL DECK Deep, 16 Gauge Open Ribbed Galvanized {QTY 100-500}</t>
  </si>
  <si>
    <t>3" STEEL DECK Deep, 16 Gauge Open Ribbed Galvanized {QTY 500-1500}</t>
  </si>
  <si>
    <t>3" STEEL DECK Deep, 18/18 Gauge Cellular Galvanized {QTY 100-500}</t>
  </si>
  <si>
    <t>3" STEEL DECK Deep, 18/18 Gauge Cellular Galvanized {QTY 500-1500}</t>
  </si>
  <si>
    <t>GRATING 3/4" x 1/8" Steel, Welded</t>
  </si>
  <si>
    <t>FORK ATTACHMENT/LOADER TRACTOR/BACKHOE (Monthly Rate)</t>
  </si>
  <si>
    <t>BACKHOE 98-115HP 4WD ROPS EXTENDAHOE DSL (Monthly Rate)</t>
  </si>
  <si>
    <t>BACKHOE OVER 115HP 4WD ROPS EXTENHOE DSL (Monthly Rate)</t>
  </si>
  <si>
    <t>BACKHOE OVER 115HP 4WD ROPS EXTENHOE DSL (Hourly Rate)</t>
  </si>
  <si>
    <t>SKIDSTEER ATTACHMENT ROTARY BRUSH MOWER (Monthly Rate)</t>
  </si>
  <si>
    <t>FORKLIFT ACCESSORIES &amp; OTHER MATERIAL HANDLING EQUIPMENT</t>
  </si>
  <si>
    <t>COMPRESSOR ATTACH AFTER COOLER 1-500 CFM (Hourly Rate)</t>
  </si>
  <si>
    <t>COMPRESSOR ATTACH AFTER COOLER 1-500 CFM (Monthly Rate)</t>
  </si>
  <si>
    <t>COMPRESSOR ATTACH AF COOLER 1001-2000CFM (Hourly Rate)</t>
  </si>
  <si>
    <t>COMPRESSOR ATTACH AF COOLER 1001-2000CFM (Monthly Rate)</t>
  </si>
  <si>
    <t>COMPRESSOR ATTACH DRYER W/AFCOOL 500 CFM (Hourly Rate)</t>
  </si>
  <si>
    <t>COMPRESSOR ATTACH DRYER W/AFCOOL 500 CFM (Monthly Rate)</t>
  </si>
  <si>
    <t>COMPRESSOR ATTACH DRYER W/AFCOOL 1000CFM (Hourly Rate)</t>
  </si>
  <si>
    <t>COMPRESSOR ATTACH DRYER W/AFCOOL 1000CFM (Monthly Rate)</t>
  </si>
  <si>
    <t>COMPRESSOR ATTACH DRYER W/AFCOOL 1600CFM (Monthly Rate)</t>
  </si>
  <si>
    <t>8" Knife Gate Valve, Cast Iron Body With Stainless Steel Interior, Handwheel And Metal Seat</t>
  </si>
  <si>
    <t>2" Plug Valve, Stainless Steel Type 304, Work In Restricted Working Space</t>
  </si>
  <si>
    <t>6" Gate Valve, Iron Body, Flanged, 125# Bronze Trim, With Non-Rising Stem</t>
  </si>
  <si>
    <t>TREE, Deciduous, 1-1/2 IN to 1-3/4 IN CAL</t>
  </si>
  <si>
    <t>TREE, Deciduous, 1-3/4 IN to 2 IN CAL</t>
  </si>
  <si>
    <t>TREE, Deciduous, 2 IN to 2- 1/2 IN CAL</t>
  </si>
  <si>
    <t>TREE, Deciduous, 2- 1/2 In to 3 IN CAL</t>
  </si>
  <si>
    <t>REMOVE PAVEMENT {QTY &gt;1000 SY}</t>
  </si>
  <si>
    <t>REMOVE PAVEMENT {QTY &gt;5000 SY}</t>
  </si>
  <si>
    <t>REMOVE PAVEMENT {QTY &gt;10,000 SY}</t>
  </si>
  <si>
    <t>SAFETY AND HEALTH PROGRAM-CSI (REF)</t>
  </si>
  <si>
    <t>MOBILIZATION-CSI (REF)</t>
  </si>
  <si>
    <t>MAINTENANCE &amp; PROTECTION OF TRAFFIC CONTROL INCLUDING FLAGGING-CSI (REF)</t>
  </si>
  <si>
    <t>CLEARING &amp; GRUBBING {QTY&lt;=5,000}</t>
  </si>
  <si>
    <t>CLEARING &amp; GRUBBING {QTY 5,000-7,500}</t>
  </si>
  <si>
    <t>CLEARING &amp; GRUBBING {QTY 7,500-10,000}</t>
  </si>
  <si>
    <t>CLEARING &amp; GRUBBING {QTY10,000-20,000 SF}</t>
  </si>
  <si>
    <t>CLEARING &amp; GRUBBING {QTY 20,000-25,000 SF}</t>
  </si>
  <si>
    <t>CLEARING &amp; GRUBBING {QTY 25,000-50,000SF}</t>
  </si>
  <si>
    <t>CLEARING {QTY&lt;=3,000 SF}</t>
  </si>
  <si>
    <t>CLEARING {QTY 3,000-5,000 SF}</t>
  </si>
  <si>
    <t>CLEARING {QTY &gt;5,000 SF}</t>
  </si>
  <si>
    <t>GRUBBING {QTY&lt;=3,000 SF}</t>
  </si>
  <si>
    <t>GRUBBING {QTY&gt; 3,000 SF}</t>
  </si>
  <si>
    <t>REMOVE ROCK FACING {QTY &lt;=10 SF}</t>
  </si>
  <si>
    <t>REMOVE ASPHALT PAVEMENT {QTY &lt;=50 SY}</t>
  </si>
  <si>
    <t>REMOVE ASPHALT PAVEMENT {QTY &gt;50 SY}</t>
  </si>
  <si>
    <t>REMOVE PAVEMENT, 14" IN DEPTH (INCLUDING RAILS &amp;TIES) - {QTY&lt;=100 SY}</t>
  </si>
  <si>
    <t>REMOVE PAVEMENT, 14" IN DEPTH (INCLUDING RAILS &amp;TIES) - {QTY&gt;100 SY}</t>
  </si>
  <si>
    <t>REMOVE PAVEMENT, OVER 14" IN DEPTH (INCLUDING RAILS &amp;TIES) - {QTY&lt;=100 SY}</t>
  </si>
  <si>
    <t>REMOVE PAVEMENT, OVER 14" IN DEPTH (INCLUDING RAILS &amp;TIES) - {QTY&gt;100 SY}</t>
  </si>
  <si>
    <t>REMOVE LANDSCAPING 12" IN DEPTH (INCLUDING TO SOIL) - {QTY&lt;=100 SY}</t>
  </si>
  <si>
    <t>REMOVE LANDSCAPING 12" IN DEPTH (INCLUDING TO SOIL) - {QTY&gt;100 SY}</t>
  </si>
  <si>
    <t>REMOVE CONDUIT RISER - STEEL PIPE</t>
  </si>
  <si>
    <t>REMOVE CURB {QTY&lt; =50}</t>
  </si>
  <si>
    <t>REMOVE CURB &amp; GUTTER {QTY&lt; =100}</t>
  </si>
  <si>
    <t>REMOVE CURB &amp; GUTTER {QTY 100-200}</t>
  </si>
  <si>
    <t>REMOVE CURB &amp; GUTTER {QTY&gt;200}</t>
  </si>
  <si>
    <t>REMOVE PIPE (6"-12") In TRENCH-Depth 4-5 FEET</t>
  </si>
  <si>
    <t>REMOVE PIPE (15'-24") In TRENCH-Depth 6-8 FEET</t>
  </si>
  <si>
    <t>REMOVE PIPE (30"-42") In TRENCH-Depth 8-10 FEET</t>
  </si>
  <si>
    <t>REMOVE PIPE (45"-52") In TRENCH-Depth 10-15 FEET</t>
  </si>
  <si>
    <t>REMOVE PIPE (55"-72") In TRENCH-Depth 15-25 FEET</t>
  </si>
  <si>
    <t>REMOVE BRACKET ARM</t>
  </si>
  <si>
    <t>REMOVE CATCH BASIN OR SAND BOX {QTY&lt;=3 EA}</t>
  </si>
  <si>
    <t>REMOVE CATCH BASIN OR SAND BOX {QTY&gt;3 EA}</t>
  </si>
  <si>
    <t>REMOVE Conduit Riser - Steel Pipe</t>
  </si>
  <si>
    <t>REMOVE Foundation, Street Light Pole {QTY &lt;=10}</t>
  </si>
  <si>
    <t>REMOVE Foundation, Street Light Pole {QTY &gt;10}</t>
  </si>
  <si>
    <t>REMOVE Foundation, Traffic Signal Controller</t>
  </si>
  <si>
    <t>REMOVE Gate Valve {QTY &lt; =10}</t>
  </si>
  <si>
    <t>REMOVE Gate Valve {QTY &gt;10}</t>
  </si>
  <si>
    <t>REMOVE Luminaire {QTY&lt; =10}</t>
  </si>
  <si>
    <t>REMOVE Maintenance Hole {QTY &gt;3}</t>
  </si>
  <si>
    <t>REMOVE Maintenance Hole {QTY &lt;=3}</t>
  </si>
  <si>
    <t>REMOVE Wood Pile {12' Dia up to 40' Long}</t>
  </si>
  <si>
    <t>REMOVE Wood Pile {14" Dia up to 50' Long}</t>
  </si>
  <si>
    <t>REMOVE Pole, Metal {QTY &lt;=20}</t>
  </si>
  <si>
    <t>REMOVE Pole, Metal {QTY&gt;20}</t>
  </si>
  <si>
    <t>REMOVE Post, Traffic Sign {QTY&lt; 5} - (Special requirement-Historical)</t>
  </si>
  <si>
    <t>REMOVE Shrub {QTY&lt;=10}</t>
  </si>
  <si>
    <t>REMOVE Shrub {QTY&gt; 10}</t>
  </si>
  <si>
    <t>REMOVE Sign, Bus Zone</t>
  </si>
  <si>
    <t>REMOVE Sign, Overhead {QTY &lt; =5}</t>
  </si>
  <si>
    <t>REMOVE Sign, Overhead {QTY &gt; 10}</t>
  </si>
  <si>
    <t>REMOVE Sign, Traffic {QTY &lt;=5}</t>
  </si>
  <si>
    <t>REMOVE Sign, Traffic {QTY 6-10}</t>
  </si>
  <si>
    <t>REMOVE Sign, Traffic {QTY&gt; 10}</t>
  </si>
  <si>
    <t>REMOVE Traffic Signal Controller Cabinet {QTY&lt;=5}</t>
  </si>
  <si>
    <t>REMOVE Traffic Signal Controller Cabinet {QTY&gt;5}</t>
  </si>
  <si>
    <t>REMOVE Tree - Up to 6" diameter</t>
  </si>
  <si>
    <t>REMOVE Tree - 8" to 12" diameter</t>
  </si>
  <si>
    <t>REMOVE Tree - 14" to 24" diameter</t>
  </si>
  <si>
    <t>REMOVE Tree - 26" to 36" diameter</t>
  </si>
  <si>
    <t>REMOVE Valve Box {QTY&lt;=5}</t>
  </si>
  <si>
    <t>REMOVE Valve Box {QTY &gt;5}</t>
  </si>
  <si>
    <t>REMOVE Valve Chamber {QTY &lt;=3}</t>
  </si>
  <si>
    <t>REMOVE Valve Chamber {QTY from 4 to 6}</t>
  </si>
  <si>
    <t>REMOVE Valve Chamber {QTY &gt;6}</t>
  </si>
  <si>
    <t>REMOVE Vehicle Signal Head {QTY &lt;=50}</t>
  </si>
  <si>
    <t>REMOVE Vehicle Signal Head {QTY &gt;50}</t>
  </si>
  <si>
    <t>REMOVE Pedestrian Push Button Assembly {QTY&gt;20}</t>
  </si>
  <si>
    <t>REMOVE Wiring, Street Lighting {QTY&lt;=100 LF}</t>
  </si>
  <si>
    <t>REMOVE Wiring, Street Lighting {QTY 100-500 LF}</t>
  </si>
  <si>
    <t>REMOVE Wiring, Street Lighting {QTY&gt;500 LF}</t>
  </si>
  <si>
    <t>SAWCUT Asphalt Concrete, Full Depth {QTY&lt;=100LF}</t>
  </si>
  <si>
    <t>SAWCUT Asphalt Concrete, Full Depth {QTY&gt; 100LF}</t>
  </si>
  <si>
    <t>SAWCUT Cement Concrete Sidewalk, Full Depth {QTY&lt;=50LF}</t>
  </si>
  <si>
    <t>SAWCUT Cement Concrete Sidewalk, Full Depth {QTY&gt;50LF}</t>
  </si>
  <si>
    <t>ABANDON Catch Basin {Qty &lt;=5}</t>
  </si>
  <si>
    <t>ABANDON Catch Basin {Qty &gt;5}</t>
  </si>
  <si>
    <t>ABANDON Inlet {QTY &lt;=5}</t>
  </si>
  <si>
    <t>ABANDON Inlet {QTY&gt;5}</t>
  </si>
  <si>
    <t xml:space="preserve">DEMOLITION (STRUCTURE NAME)-CSI (REF) </t>
  </si>
  <si>
    <t>COMMON Excavation {QTY&lt;=50}</t>
  </si>
  <si>
    <t>SOLID Rock Excavation {QTY&lt;=50}</t>
  </si>
  <si>
    <t>STRUCTURE Excavation {QTY&lt;=100}</t>
  </si>
  <si>
    <t>STRUCTURE Excavation {QTY&gt;100}</t>
  </si>
  <si>
    <t>EXTRA Excavation {QTY &lt;=50 CY}</t>
  </si>
  <si>
    <t>EXTRA Excavation {QTY &gt; 50 CY}</t>
  </si>
  <si>
    <t>UNSUITABLE Foundation Excavation {QTY &lt;=10 CY}</t>
  </si>
  <si>
    <t>UNSUITABLE Foundation Excavation {QTY &gt; 10 CY}</t>
  </si>
  <si>
    <t>DITCH Excavation {QTY &lt;=50}</t>
  </si>
  <si>
    <t>DITCH Excavation {QTY 50-100}</t>
  </si>
  <si>
    <t>DITCH Excavation {QTY&gt; 100}</t>
  </si>
  <si>
    <t>CHANNEL Excavation {Deep 5-7 FT}</t>
  </si>
  <si>
    <t>CHANNEL Excavation {Deep 7-10 FT}</t>
  </si>
  <si>
    <t>CHANNEL Excavation {Deep 10-15FT}</t>
  </si>
  <si>
    <t>SAFETY SYSTEM IN TRENCH EXCAVATION {4-6 Feet Deep}</t>
  </si>
  <si>
    <t>SAFETY SYSTEM IN TRENCH EXCAVATION {7-10 Feet Deep}</t>
  </si>
  <si>
    <t>SAFETY SYSTEM IN STRUCTURAL EXACAVTION CSI (REF)</t>
  </si>
  <si>
    <t>COFFERDAM-CSI (REF)</t>
  </si>
  <si>
    <t>SELECT MATERIALS {QTY &lt;=50 CY}</t>
  </si>
  <si>
    <t>SELECT MATERIALS {QTY 50-100 CY}</t>
  </si>
  <si>
    <t>CONTROLLED DENSITYY FILL {QTY &lt;=50 CY}</t>
  </si>
  <si>
    <t>CONTROLLED DENSITY FILL {QTY &gt;50 CY}</t>
  </si>
  <si>
    <t>UNCLASSIFIELD BORROW {QTY&lt;=50TN}</t>
  </si>
  <si>
    <t>UNCLASSIFIELD BORROW {QTY &gt;50 TN}</t>
  </si>
  <si>
    <t>BORROW MINERAL AGGREGATE TYPE 2 {QTY&lt;=50TN}</t>
  </si>
  <si>
    <t>BORROW MINERAL AGGREGATE TYPE 2 {QTY&gt;50TN}</t>
  </si>
  <si>
    <t>BORROW MINERAL AGGREGATE TYPE 17 {QTY&lt;=50 TN}</t>
  </si>
  <si>
    <t>BORROW MINERAL AGGREGATE TYPE 17 {QTY &gt;50 TN}</t>
  </si>
  <si>
    <t>ROCK FACING (Mid-Large Rock size 30"x42")</t>
  </si>
  <si>
    <t>ROCK FACING (Small-Mid Rock size 18"x24")</t>
  </si>
  <si>
    <t>REBUILD ROCK FACING {QTY &lt;=50 SF}</t>
  </si>
  <si>
    <t>REBUILD ROCK FACING {QTY &gt; 50 SF}</t>
  </si>
  <si>
    <t>CONSTRUCTION GEOTEXTILE FOR SEPARATION {QTY&lt;=50SY}</t>
  </si>
  <si>
    <t>CONSTRUCTION GEOTEXTILE FOR SEPARATION {QTY &gt;50SY}</t>
  </si>
  <si>
    <t>CONSTRUCTION GEOTEXTILE FOR SOIL STABILIZATION {QTY &lt;=50SY}</t>
  </si>
  <si>
    <t>CONSTRUCTION GEOTEXTILE FOR SOIL STABILIZATION {QTY &gt;50SY}</t>
  </si>
  <si>
    <t>CONSTRUCTION GEOTEXTILE FOR PERMANENT EROSION CONTROL {QTY &lt;=250SY}</t>
  </si>
  <si>
    <t>CONSTRUCTION GEOTEXTILE FOR PERMANENT EROSION CONTROL {QTY &gt;250SY}</t>
  </si>
  <si>
    <t>CONSTRUCTION GEOTEXTILE FOR DITCH LINING</t>
  </si>
  <si>
    <t>PREPARATION REQUIRED BEFORE DIRECTIONAL DRILLING-CSI (REF)</t>
  </si>
  <si>
    <t>MINERAL AGGREGATE TYPE 2 {QTY&lt; =200 TN}</t>
  </si>
  <si>
    <t>MINERAL AGGREGATE TYPE 2 {QTY &gt;200 TN}</t>
  </si>
  <si>
    <t>SURFACE PREPARATION PRELEVEL {QTY &lt;=50T}</t>
  </si>
  <si>
    <t>SURFACE PREPARATION PLANE BITUMINOUS PAVEMENT {QTY&lt;=50SY}</t>
  </si>
  <si>
    <t>SURFACE PREPARATION PLANE BITUMINOUS PAVEMENT {QTY-50-200SY}</t>
  </si>
  <si>
    <t>ROADWAY CEM. CONC. VARIABLE MIXES, 6 IN {QTY&lt;=100SY}</t>
  </si>
  <si>
    <t>ROADWAY CEM. CONC. VARIABLE MIXES, 6 IN {QTY&gt;100SY}</t>
  </si>
  <si>
    <t>ROADWAY CEM. CONC. VARIABLE MIXES, 8 IN {QTY&lt;=100SY}</t>
  </si>
  <si>
    <t>ROADWAY CEM. CONC. VARIABLE MIXES, 8 IN {QTY&gt;100SY}</t>
  </si>
  <si>
    <t>ROADWAY CEM. CONC. VARIABLE MIXES, 9 IN {QTY&lt;=100SY}</t>
  </si>
  <si>
    <t>ROADWAY CEM. CONC. VARIABLE MIXES, 9 IN {QTY&gt;100SY}</t>
  </si>
  <si>
    <t>ROADWAY CEM. CONC. VARIABLE MIXES, 10 IN {QTY&lt;=100SY}</t>
  </si>
  <si>
    <t>ROADWAY CEM. CONC. VARIABLE MIXES, 10 IN {QTY&gt;100SY}</t>
  </si>
  <si>
    <t>ROADWAY CEM. CONC. VARIABLE MIXES, 11 IN {QTY&lt;=100SY}</t>
  </si>
  <si>
    <t>ROADWAY CEM. CONC. VARIABLE MIXES, 11 IN {QTY&gt;100SY}</t>
  </si>
  <si>
    <t>ROADWAY CEM. CONC. VARIABLE MIXES, 12 IN {QTY&lt;=100SY}</t>
  </si>
  <si>
    <t>ROADWAY CEM. CONC. VARIABLE MIXES, 12 IN {QTY&gt;100SY}</t>
  </si>
  <si>
    <t>ROADWAY CEM. CONCRETE, HES (24Hr), 6 IN {QTY&lt;=200SY}</t>
  </si>
  <si>
    <t>ROADWAY CEM. CONCRETE, HES (24Hr), 6 IN {QTY &gt;200SY}</t>
  </si>
  <si>
    <t>ROADWAY CEM. CONCRETE, HES (24Hr), 8 IN {QTY&lt;=200SY}</t>
  </si>
  <si>
    <t>ROADWAY CEM. CONCRETE, HES (24Hr), 8 IN {QTY &gt;200SY}</t>
  </si>
  <si>
    <t>ROADWAY CEM. CONCRETE, HES (24Hr), 9 IN {QTY&lt;=200SY}</t>
  </si>
  <si>
    <t>ROADWAY CEM. CONCRETE, HES (24Hr), 9 IN {QTY &gt;200SY}</t>
  </si>
  <si>
    <t>ROADWAY CEM. CONCRETE, HES (24Hr), 10 IN {QTY&lt;=200SY}</t>
  </si>
  <si>
    <t>ROADWAY CEM. CONCRETE, HES (24Hr), 10 IN {QTY &gt;200SY}</t>
  </si>
  <si>
    <t>ROADWAY CEM. CONCRETE, HES (24Hr), 11 IN {QTY&lt;=200SY}</t>
  </si>
  <si>
    <t>ROADWAY CEM. CONCRETE, HES (24Hr), 11 IN {QTY &gt;200SY}</t>
  </si>
  <si>
    <t>ROADWAY CEM. CONCRETE, HES (24Hr), 12 IN {QTY&lt;=200SY}</t>
  </si>
  <si>
    <t>ROADWAY CEM. CONCRETE, HES (24Hr), 12 IN {QTY &gt;200SY}</t>
  </si>
  <si>
    <t>ROADWAY Cem Conc., HES (72HR), 6IN {QTY&lt;=50SY}</t>
  </si>
  <si>
    <t>ROADWAY Cem Conc., HES (72HR), 6IN {QTY&gt;50SY}</t>
  </si>
  <si>
    <t>ROADWAYCem Conc., HES (72HR), 8IN {QTY&lt;=50SY}</t>
  </si>
  <si>
    <t>ROADWAY Cem Conc., HES (72HR), 8IN {QTY&gt;50SY}</t>
  </si>
  <si>
    <t>ROADWAY Cem Conc., HES (72HR), 9IN {QTY&lt;=50SY}</t>
  </si>
  <si>
    <t>ROADWAY Cem Conc., HES (72HR), 9IN {QTY&gt;50SY}</t>
  </si>
  <si>
    <t>ROADWAY Cem Conc., HES (72HR), 10IN {QTY&lt;=50SY}</t>
  </si>
  <si>
    <t>ROADWAY Cem Conc., HES (72HR), 10IN {QTY&gt;50SY}</t>
  </si>
  <si>
    <t>ROADWAY Cem Conc., HES (72HR), 11IN {QTY&lt;=50SY}</t>
  </si>
  <si>
    <t>ROADWAY Cem Conc., HES (72HR), 11IN {QTY&gt;50SY}</t>
  </si>
  <si>
    <t>ROADWAY Cem Conc., HES (72HR), 12IN {QTY&lt;=50SY}</t>
  </si>
  <si>
    <t>ROADWAY Cem Conc., HES (72HR), 12IN {QTY&gt;50SY}</t>
  </si>
  <si>
    <t>ROADWAY Cem Conc., With 25% POZZOLANS, 6 IN {QTY &lt;=50SY}</t>
  </si>
  <si>
    <t>ROADWAY Cem Conc., With 25% POZZOLANS, 6 IN {QTY &gt; 50SY}</t>
  </si>
  <si>
    <t>ROADWAY Cem Conc., With 25% POZZOLANS, 8 IN {QTY &lt;=50SY}</t>
  </si>
  <si>
    <t>ROADWAY Cem Conc., With 25% POZZOLANS, 8 IN {QTY &gt; 50SY}</t>
  </si>
  <si>
    <t>ROADWAY Cem Conc., With 25% POZZOLANS, 12 IN {QTY &lt;=50SY}</t>
  </si>
  <si>
    <t>ROADWAY Cem Conc., With 25% POZZOLANS, 12 IN {QTY &gt; 50SY}</t>
  </si>
  <si>
    <t>ROADWAY Cem Conc Base, 6 IN {QTY&lt;=100SY}</t>
  </si>
  <si>
    <t>ROADWAY Cem Conc Base, 6 IN {QTY&gt;100SY}</t>
  </si>
  <si>
    <t>ROADWAY Cem Conc Base, 8 IN {QTY&lt;=100SY}</t>
  </si>
  <si>
    <t>ROADWAY Cem Conc Base, 8 IN {QTY&gt;100SY}</t>
  </si>
  <si>
    <t>ROADWAY Cem Conc Base, 9 IN {QTY&lt;=100SY}</t>
  </si>
  <si>
    <t>ROADWAY Cem Conc Base, 9 IN {QTY&gt;100SY}</t>
  </si>
  <si>
    <t>ROADWAY Cem Conc Base, 10 IN {QTY&lt;=100SY}</t>
  </si>
  <si>
    <t>ROADWAY Cem Conc Base, 10 IN {QTY&gt;100SY}</t>
  </si>
  <si>
    <t>ROADWAY Cem Conc Base, 11 IN {QTY&lt;=100SY}</t>
  </si>
  <si>
    <t>ROADWAY Cem Conc Base, 11 IN {QTY&gt;100SY}</t>
  </si>
  <si>
    <t>ROADWAY Cem Conc Base, 12 IN {QTY&lt;=100SY}</t>
  </si>
  <si>
    <t>ROADWAY Cem Conc Base, 12 IN {QTY&gt;100SY}</t>
  </si>
  <si>
    <t>ROADWAY Cem Conc Base, HES (24HR), 6IN {QTY&lt;=100SY}</t>
  </si>
  <si>
    <t>ROADWAY Cem Conc Base, HES (24HR), 6IN {QTY&gt;100SY}</t>
  </si>
  <si>
    <t>ROADWAY Cem Conc Base, HES (24HR), 8IN {QTY&lt;=100SY}</t>
  </si>
  <si>
    <t>ROADWAY Cem Conc Base, HES (24HR), 8IN {QTY&gt;100SY}</t>
  </si>
  <si>
    <t>ROADWAY Cem Conc Base, HES (24HR), 9IN {QTY&lt;=100SY}</t>
  </si>
  <si>
    <t>ROADWAY Cem Conc Base, HES (24HR), 9IN {QTY&gt;100SY}</t>
  </si>
  <si>
    <t>ROADWAY Cem Conc Base, HES (24HR), 10IN {QTY&lt;=100SY}</t>
  </si>
  <si>
    <t>ROADWAY Cem Conc Base, HES (24HR), 10IN {QTY&gt;100SY}</t>
  </si>
  <si>
    <t>ROADWAY Cem Conc Base, HES (24HR), 11IN {QTY&lt;=100SY}</t>
  </si>
  <si>
    <t>ROADWAY Cem Conc Base, HES (24HR), 11IN {QTY&gt;100SY}</t>
  </si>
  <si>
    <t>ROADWAY Cem Conc Base, HES (24HR), 12IN {QTY&lt;=100SY}</t>
  </si>
  <si>
    <t>ROADWAY Cem Conc Base, HES (24HR), 12IN {QTY&gt;100SY}</t>
  </si>
  <si>
    <t>ROADWAY Cem Conc Base, HES (72HR), 6IN {QTY&lt;=50SY}</t>
  </si>
  <si>
    <t>ROADWAY Cem Conc Base, HES (72HR), 6IN {QTY &gt;50SY}</t>
  </si>
  <si>
    <t>ROADWAY Cem Conc Base, HES (72HR), 8IN {QTY&lt;=50SY}</t>
  </si>
  <si>
    <t>ROADWAY Cem Conc Base, HES (72HR), 8IN {QTY &gt;50SY}</t>
  </si>
  <si>
    <t>ROADWAY Cem Conc Base, HES (72HR), 9IN {QTY&lt;=50SY}</t>
  </si>
  <si>
    <t>ROADWAY Cem Conc Base, HES (72HR), 9IN {QTY &gt;50SY}</t>
  </si>
  <si>
    <t>ROADWAYCem Conc Base, HES (72HR), 10IN {QTY&lt;=50SY}</t>
  </si>
  <si>
    <t>ROADWAY Cem Conc Base, HES (72HR), 10IN {QTY &gt;50SY}</t>
  </si>
  <si>
    <t>ROADWAY Cem Conc Base, HES (72HR), 11IN {QTY&lt;=50SY}</t>
  </si>
  <si>
    <t>Roadway Cem Conc Base, HES (72HR), 11IN {QTY &gt;50SY}</t>
  </si>
  <si>
    <t>ROADWAY Cem Conc Base, HES (72HR), 12IN {QTY&lt;=50SY}</t>
  </si>
  <si>
    <t>ROADWAY Cem Conc Base, HES (72HR), 12IN {QTY &gt;50SY}</t>
  </si>
  <si>
    <t>DOWEL Bar {QTY &lt;=25EA}</t>
  </si>
  <si>
    <t>DOWEL Bar {QTY &gt; 25EA}</t>
  </si>
  <si>
    <t>TIE Bar With Drill Hole {QTY &lt;=25EA}</t>
  </si>
  <si>
    <t>TIE Bar With Drill Hole {QTY &gt;25EA}</t>
  </si>
  <si>
    <t>PATTERNED Cem Conc Treatment, Roadway Patterned {QTY &lt;=500SY}</t>
  </si>
  <si>
    <t>PATTERNED Cem Conc Treatment, Roadway Patterned {QTY &gt;500SY}</t>
  </si>
  <si>
    <t>CONCRETE CL 4000 {QTY 5-10CY}</t>
  </si>
  <si>
    <t>CONCRETE CL 4000 {QTY &gt; 10CY}</t>
  </si>
  <si>
    <t>LEAN Concrete {QTY 5-10CY}</t>
  </si>
  <si>
    <t>LEAN Concrete {QTY &gt; 10CY}</t>
  </si>
  <si>
    <t>STEEL Reinforcing Bar {QTY &lt;=2000lbs}</t>
  </si>
  <si>
    <t>EPOXY Coated Steel Reinforcing Bar {QTY &lt;=2000lbs}</t>
  </si>
  <si>
    <t>EPOXY Coated Steel Reinforcing Bar {QTY &gt; 2000lbs}</t>
  </si>
  <si>
    <t>DRIVING Steel Pile {Up to 20' Deep}</t>
  </si>
  <si>
    <t>DRIVING Steel Pile {Up to 40' Deep}</t>
  </si>
  <si>
    <t>DRIVING Steel Pile {Up to 60' Deep}</t>
  </si>
  <si>
    <t>CONCRETE CL 4000 For Retaining Wall (2-3% Reinforcing)</t>
  </si>
  <si>
    <t>CONCRETE CL 4000 For Retaining Wall (3-5% Reinforcing)</t>
  </si>
  <si>
    <t>PIPE, Subsurface Drain, PVC, 4 IN {QTY&lt;=100LF}</t>
  </si>
  <si>
    <t>PIPE, Subsurface Drain, PVC, 4IN {QTY&gt;100LF}</t>
  </si>
  <si>
    <t>PIPE, Subsurface Drain, PVC, 6 IN {QTY&lt;=100LF}</t>
  </si>
  <si>
    <t>PIPE, Subsurface Drain, PVC, 6 IN {QTY&gt;100LF}</t>
  </si>
  <si>
    <t>PIPE, Subsurface Drain, PVC, 8 IN {QTY&lt;=100LF}</t>
  </si>
  <si>
    <t>PIPE, Subsurface Drain, PVC, 8 IN {QTY&gt;100LF}</t>
  </si>
  <si>
    <t>PIPE, Subsurface Drain, PVC, 10 IN {QTY&lt;=100LF}</t>
  </si>
  <si>
    <t>PIPE, Subsurface Drain, PVC, 10 IN {QTY&gt;100LF}</t>
  </si>
  <si>
    <t>FILTER Material, Mineral Aggregate Type 26 {QTY&lt;=100CY}</t>
  </si>
  <si>
    <t>FILTER Material, Mineral Aggregate Type 26 {QTY&gt; 100CY}</t>
  </si>
  <si>
    <t>MAINTENANCE HOLE, TYPE 204A {QTY&lt;=5 EA}</t>
  </si>
  <si>
    <t>MAINTENANCE HOLE, TYPE 204A {QTY&gt;5 EA}</t>
  </si>
  <si>
    <t>MAINTENANCE HOLE, Type 204.5A {QTY&lt;=5 EA}</t>
  </si>
  <si>
    <t>MAINTENANCE HOLE, Type 204.5A {QTY&gt;5 EA}</t>
  </si>
  <si>
    <t>MAINTENANCE HOLE, Type 205A {QTY&lt;=5 EA}</t>
  </si>
  <si>
    <t>MAINTENANCE HOLE, Type 205A {QTY&gt;5 EA}</t>
  </si>
  <si>
    <t>MAINTENANCE HOLE, Type 206A {QTY&lt;=5 EA}</t>
  </si>
  <si>
    <t>MAINTENANCE HOLE, Type 206A {QTY&gt;5 EA}</t>
  </si>
  <si>
    <t>MAINTENANCE HOLE, Type 207A {QTY&lt;=5 EA}</t>
  </si>
  <si>
    <t>MAINTENANCE HOLE, Type 207A {QTY&gt;5 EA}</t>
  </si>
  <si>
    <t>MAINTENANCE HOLE, Type 208A {QTY&lt;=5 EA}</t>
  </si>
  <si>
    <t>MAINTENANCE HOLE, Type 208A {QTY&gt;5 EA}</t>
  </si>
  <si>
    <t>MAINTENANCE HOLE, Type 209A {QTY&lt;=5 EA}</t>
  </si>
  <si>
    <t>MAINTENANCE HOLE, Type 209A {QTY&gt;5 EA}</t>
  </si>
  <si>
    <t>MAINTENANCE HOLE, Type 210A {QTY&lt;=5 EA}</t>
  </si>
  <si>
    <t>MAINTENANCE HOLE, Type 210A {QTY&gt;5 EA}</t>
  </si>
  <si>
    <t>MAINTENANCE HOLE, Type 211A {QTY&lt;=5 EA}</t>
  </si>
  <si>
    <t>MAINTENANCE HOLE, Type 211A {QTY&gt;5 EA}</t>
  </si>
  <si>
    <t>MAINTENANCE HOLE, Type 212A {QTY&lt;=5 EA}</t>
  </si>
  <si>
    <t>MAINTENANCE HOLE, Type 212A {QTY&gt;5 EA}</t>
  </si>
  <si>
    <t>MAINTENANCE HOLE, Type 204B {QTY&lt;=5 EA}</t>
  </si>
  <si>
    <t>MAINTENANCE HOLE, Type 204B {QTY&gt;5 EA}</t>
  </si>
  <si>
    <t>MAINTENANCE HOLE, Type 204.5B {QTY&lt;=5 EA}</t>
  </si>
  <si>
    <t>MAINTENANCE HOLE, Type 204.5B {QTY&gt;5 EA}</t>
  </si>
  <si>
    <t>MAINTENANCE HOLE, Type 205B {QTY&lt;=5 EA}</t>
  </si>
  <si>
    <t>MAINTENANCE HOLE, Type 205B {QTY&gt;5 EA}</t>
  </si>
  <si>
    <t>MAINTENANCE HOLE, Type 206B {QTY&lt;=5 EA}</t>
  </si>
  <si>
    <t>MAINTENANCE HOLE, Type 206B {QTY&gt;5 EA}</t>
  </si>
  <si>
    <t>MAINTENANCE HOLE, Type 207B {QTY&lt;=5 EA}</t>
  </si>
  <si>
    <t>MAINTENANCE HOLE, Type 207B {QTY&gt;5 EA}</t>
  </si>
  <si>
    <t>MAINTENANCE HOLE, Type 208B {QTY&lt;=5 EA}</t>
  </si>
  <si>
    <t>MAINTENANCE HOLE, Type 208B {QTY&gt;5 EA}</t>
  </si>
  <si>
    <t>MAINTENANCE HOLE, Type 209B {QTY&lt;=5 EA}</t>
  </si>
  <si>
    <t>MAINTENANCE HOLE, Type 209B {QTY&gt;5 EA}</t>
  </si>
  <si>
    <t>MAINTENANCE HOLE, Type 210B {QTY&lt;=5 EA}</t>
  </si>
  <si>
    <t>MAINTENANCE HOLE, Type 210B {QTY&gt;5 EA}</t>
  </si>
  <si>
    <t>MAINTENANCE HOLE, Type 211B {QTY&lt;=5 EA}</t>
  </si>
  <si>
    <t>MAINTENANCE HOLE, Type 211B {QTY&gt;5 EA}</t>
  </si>
  <si>
    <t>MAINTENANCE HOLE, Type 212B {QTY&lt;=5 EA}</t>
  </si>
  <si>
    <t>MAINTENANCE HOLE, Type 212B {QTY&gt;5 EA}</t>
  </si>
  <si>
    <t>RE-CHANNEL Maintenance Hole</t>
  </si>
  <si>
    <t>INLET Type 250A {QTY&lt;=3 EA}</t>
  </si>
  <si>
    <t>INLET Type 250A {QTY 4-7 EA}</t>
  </si>
  <si>
    <t>INLET Type 250A {QTY&gt; 3 EA}</t>
  </si>
  <si>
    <t>INLET Type 250A {QTY&gt; 7 EA}</t>
  </si>
  <si>
    <t>INLET Type 250B {QTY&lt;=3 EA}</t>
  </si>
  <si>
    <t>INLET Type 250B {QTY&gt; 3 EA}</t>
  </si>
  <si>
    <t>INLET Type 252 {QTY&lt;=3 EA}</t>
  </si>
  <si>
    <t>INLET Type 252 {QTY&gt; 3 EA}</t>
  </si>
  <si>
    <t>REBUILD Catch Basin {QTY &lt;=5EA}</t>
  </si>
  <si>
    <t>JUNCTION Box {QTY &lt;=5EA}</t>
  </si>
  <si>
    <t>PIPE, CB Conn, Conc C14, CL 3, 6 IN {Depth &gt;10Feet}</t>
  </si>
  <si>
    <t>PIPE, CB Conn, Conc C14, CL 3, 6 IN {Depth &lt;=10Feet}</t>
  </si>
  <si>
    <t>PIPE, CB Conn, Conc C14, CL 3, 8 IN {Depth &gt;10Feet}</t>
  </si>
  <si>
    <t>PIPE, CB Conn, Conc C14, CL 3, 8 IN {Depth &lt;=10Feet}</t>
  </si>
  <si>
    <t>PIPE, CB Conn, DI, CL 50, 6 IN {Depth &gt;10Feet}</t>
  </si>
  <si>
    <t>PIPE, CB Conn, DI, CL 50, 6 IN {Depth &lt;=10Feet}</t>
  </si>
  <si>
    <t>PIPE, CB Conn, DI, CL 50, 8 IN {Depth &gt;10Feet}</t>
  </si>
  <si>
    <t>PIPE, CB Conn, DI, CL 50, 8 IN {Depth &lt;=10Feet}</t>
  </si>
  <si>
    <t>PIPE, CB Conn, DI, CL 50, 12IN {Depth &gt;10Feet}</t>
  </si>
  <si>
    <t>PIPE, CB Conn, DI, CL 50, 12 IN {Depth &lt;=10Feet}</t>
  </si>
  <si>
    <t>PIPE, CB Conn, PVC, 6IN {Depth &gt;10Feet}</t>
  </si>
  <si>
    <t>PIPE, CB Conn, PVC, 6 IN {Depth &lt;=10Feet}</t>
  </si>
  <si>
    <t>PIPE, CB Conn, PVC, 8IN {Depth &gt;10Feet}</t>
  </si>
  <si>
    <t>PIPE, CB Conn, PVC, 8IN {Depth &lt;=10Feet}</t>
  </si>
  <si>
    <t>PIPE Detention Pipe Outlet Connection, D.I., CL 50, 6IN</t>
  </si>
  <si>
    <t>PIPE Detention Pipe Outlet Connection, D.I., CL 50, 8IN</t>
  </si>
  <si>
    <t>PIPE, WM, D.I, CL 52, 4 IN, INCL Fitt {QTY&lt;=50 LF}</t>
  </si>
  <si>
    <t>PIPE, WM, D.I, CL 52, 4 IN, INCL Fitt {QTY&gt;50 LF}</t>
  </si>
  <si>
    <t>PIPE, WM, D.I, CL 52, 6 IN, INCL Fitt {QTY&lt;=50 LF}</t>
  </si>
  <si>
    <t>PIPE, WM, D.I, CL 52, 6 IN, INCL Fitt {QTY&gt;50 LF}</t>
  </si>
  <si>
    <t>PIPE, WM, D.I, CL 52, 8 IN, INCL Fitt {QTY&lt;=50 LF}</t>
  </si>
  <si>
    <t>PIPE, WM, D.I, CL 52, 8 IN, INCL Fitt {QTY&gt;50 LF}</t>
  </si>
  <si>
    <t>PIPE, WM, D.I, CL 52, 10 IN, INCL Fitt {QTY&lt;=50 LF}</t>
  </si>
  <si>
    <t>PIPE, WM, D.I, CL 52, 10 IN, INCL Fitt {QTY&gt;50 LF}</t>
  </si>
  <si>
    <t>PIPE, WM, D.I, CL 52, 12 IN, INCL Fitt {QTY&lt;=50 LF}</t>
  </si>
  <si>
    <t>PIPE, WM, D.I, CL 52, 12 IN, INCL Fitt {QTY&gt;50 LF}</t>
  </si>
  <si>
    <t>PIPE, WM, D.I, CL 52, 30 IN, INCL Fitt {QTY&lt;=50 LF}</t>
  </si>
  <si>
    <t>PIPE, WM, D.I, CL 52, 30 IN, INCL Fitt {QTY&gt;50 LF}</t>
  </si>
  <si>
    <t>PIPE, WM, D.I, CL 52, 6 IN, RJ, INCL Fitt {QTY&lt;=50 LF}</t>
  </si>
  <si>
    <t>PIPE, WM, D.I, CL 52, 6 IN, RJ, INCL Fitt {QTY&gt;50 LF}</t>
  </si>
  <si>
    <t>PIPE, WM, D.I, CL 52, 8 IN, RJ, INCL Fitt {QTY&lt;=50 LF}</t>
  </si>
  <si>
    <t>PIPE, WM, D.I, CL 52, 8 IN, RJ, INCL Fitt {QTY&gt;50 LF}</t>
  </si>
  <si>
    <t>PIPE, WM, D.I, CL 52, 12 IN, RJ, INCL Fitt {QTY&lt;=50 LF}</t>
  </si>
  <si>
    <t>PIPE, WM, D.I, CL 52, 12 IN, RJ, INCL Fitt {QTY&gt;50 LF}</t>
  </si>
  <si>
    <t>PIPE, WM, D.I, CL 52, 16 IN, RJ, INCL Fitt {QTY&lt;=50 LF}</t>
  </si>
  <si>
    <t>PIPE, WM, D.I, CL 52, 16 IN, RJ, INCL Fitt {QTY&gt;50 LF}</t>
  </si>
  <si>
    <t>PIPE, WM, D.I, CL 52, 20 IN, RJ, INCL Fitt {QTY &lt;=50 LF}</t>
  </si>
  <si>
    <t>PIPE, WM, D.I, CL 52, 20 IN, RJ, INCL Fitt {QTY &gt;50 LF}</t>
  </si>
  <si>
    <t>PIPE, WM, D.I, CL 52, 30 IN, RJ, INCL Fitt {QTY&lt;=50 LF}</t>
  </si>
  <si>
    <t>PIPE, WM, D.I, CL 52, 30 IN, RJ, INCL Fitt {QTY&gt;50 LF}</t>
  </si>
  <si>
    <t>BEDDING, Water Main, CL B, 6 IN Pipe</t>
  </si>
  <si>
    <t>BEDDING, Water Main, CL B, 8 IN Pipe</t>
  </si>
  <si>
    <t>BEDDING, Water Main, CL B, 10 IN Pipe</t>
  </si>
  <si>
    <t>BEDDING, Water Main, CL B, 12 IN Pipe</t>
  </si>
  <si>
    <t>BEDDING, Water Main, CL B, 14 IN Pipe</t>
  </si>
  <si>
    <t>BEDDING, Water Main, CL B, 16 IN Pipe</t>
  </si>
  <si>
    <t>BEDDING, Water Main, CL B, 20 IN Pipe</t>
  </si>
  <si>
    <t>BEDDING, Water Main, CL B, 24 IN Pipe</t>
  </si>
  <si>
    <t>BEDDING, Water Main, CL B, 30 IN Pipe</t>
  </si>
  <si>
    <t>BEDDING, Water Main, CL B, 36 IN Pipe</t>
  </si>
  <si>
    <t>BEDDING, Water Main, CL B, 40 IN Pipe</t>
  </si>
  <si>
    <t>BEDDING, Water Main, CL B, 42 IN Pipe</t>
  </si>
  <si>
    <t>BEDDING, Water Main, CL B, 50 IN Pipe</t>
  </si>
  <si>
    <t>BEDDING, Water Main, CL B, 52 IN Pipe</t>
  </si>
  <si>
    <t>BEDDING, Water Main, CL B, 54 IN Pipe</t>
  </si>
  <si>
    <t>BEDDING, Water Main, CL B, 60 IN Pipe</t>
  </si>
  <si>
    <t>BEDDING, Water Main, CL B, 63 IN Pipe</t>
  </si>
  <si>
    <t>BLOCKING Cement Concrete {QTY&lt;=25CY}</t>
  </si>
  <si>
    <t>BLOCKING Cement Concrete {QTY &gt;25CY}</t>
  </si>
  <si>
    <t>BLOWOFF Assembly, 2 IN {QTY &lt;=2 EA}</t>
  </si>
  <si>
    <t>BLOWOFF Assembly, 2 IN {QTY &gt;2 EA}</t>
  </si>
  <si>
    <t>STATION Electrolysis Test {QTY &lt;=2 EA}</t>
  </si>
  <si>
    <t>STATION Electrolysis Test {QTY &gt;2 EA}</t>
  </si>
  <si>
    <t>VALVE, GATE 4 IN {QTY &lt;=5EA}</t>
  </si>
  <si>
    <t>VALVE, GATE 4 IN {QTY &gt; 5EA}</t>
  </si>
  <si>
    <t>VALVE, GATE 6 IN {QTY &lt;=3EA}</t>
  </si>
  <si>
    <t>VALVE, GATE 6 IN {QTY &gt; 3EA}</t>
  </si>
  <si>
    <t>VALVE, GATE 8 IN {QTY &lt;=3EA}</t>
  </si>
  <si>
    <t>VALVE, GATE 8 IN {QTY &gt; 3EA}</t>
  </si>
  <si>
    <t>VALVE, GATE 10 IN {QTY &lt;=3EA}</t>
  </si>
  <si>
    <t>VALVE, GATE 10 IN {QTY &gt; 3EA}</t>
  </si>
  <si>
    <t>VALVE, GATE 12 IN {QTY &lt;=3EA}</t>
  </si>
  <si>
    <t>VALVE, GATE 12 IN {QTY &gt; 3EA}</t>
  </si>
  <si>
    <t>VALVE, GATE 14 IN {QTY &lt;=3EA}</t>
  </si>
  <si>
    <t>VALVE, GATE 14 IN {QTY &gt; 3EA}</t>
  </si>
  <si>
    <t>VALVE, GATE 16 IN {QTY &lt;=3EA}</t>
  </si>
  <si>
    <t>VALVE, GATE 16 IN {QTY &gt; 3EA}</t>
  </si>
  <si>
    <t>VALVE, GATE 20 IN {QTY &lt;=3EA}</t>
  </si>
  <si>
    <t>VALVE, BUTTERFLY, 6 IN {QTY&lt;=3 EA}</t>
  </si>
  <si>
    <t>VALVE, BUTTERFLY, 6 IN {QTY &gt;3 EA}</t>
  </si>
  <si>
    <t>VALVE, BUTTERFLY, 8 IN {QTY&lt;=3 EA}</t>
  </si>
  <si>
    <t>VALVE, BUTTERFLY, 8 IN {QTY &gt;3 EA}</t>
  </si>
  <si>
    <t>VALVE, BUTTERFLY, 10 IN {QTY&lt;=3 EA}</t>
  </si>
  <si>
    <t>VALVE, BUTTERFLY, 10 IN {QTY &gt;3 EA}</t>
  </si>
  <si>
    <t>VALVE, BUTTERFLY, 12 IN {QTY&lt;=3 EA}</t>
  </si>
  <si>
    <t>VALVE, BUTTERFLY, 12 IN {QTY &gt;3 EA}</t>
  </si>
  <si>
    <t>VALVE, BUTTERFLY, 16 IN {QTY&lt;=3 EA}</t>
  </si>
  <si>
    <t>VALVE, BUTTERFLY, 16 IN {QTY &gt;3 EA}</t>
  </si>
  <si>
    <t>VALVE, BUTTERFLY, 20 IN {QTY&lt;=3 EA}</t>
  </si>
  <si>
    <t>VALVE, BUTTERFLY, 20 IN {QTY &gt;3 EA}</t>
  </si>
  <si>
    <t>VALVE, BUTTERFLY, 24 IN {QTY&lt;=3 EA}</t>
  </si>
  <si>
    <t>VALVE, BUTTERFLY, 24 IN {QTY &gt;3 EA}</t>
  </si>
  <si>
    <t>VALVE, BUTTERFLY, 30 IN {QTY&lt;=3 EA}</t>
  </si>
  <si>
    <t>VALVE, BUTTERFLY, 30 IN {QTY &gt;3 EA}</t>
  </si>
  <si>
    <t>VALVE, BUTTERFLY, 36 IN {QTY&lt;=3 EA}</t>
  </si>
  <si>
    <t>VALVE, BUTTERFLY, 36 IN {QTY &gt;3 EA}</t>
  </si>
  <si>
    <t>FLOW CONTROL, DEVICE Assembly {QTY&lt;=2 EA}</t>
  </si>
  <si>
    <t>FLOW CONTROL, DEVICE Assembly {QTY &gt;2 EA}</t>
  </si>
  <si>
    <t>PIPE Detention, Conc, 24 IN {Depth &lt;=10 FT}</t>
  </si>
  <si>
    <t>PIPE Detention, Conc, 24 IN {Depth &gt; 10 FT}</t>
  </si>
  <si>
    <t>PIPE Detention, Conc, 30 IN {Depth &lt;=10 FT}</t>
  </si>
  <si>
    <t>PIPE Detention, Conc, 30 IN {Depth &gt; 10 FT}</t>
  </si>
  <si>
    <t>PIPE Detention, Conc, 36 IN {Depth &lt;=15 FT}</t>
  </si>
  <si>
    <t>PIPE Detention, Conc, 36 IN {Depth &gt; 15 FT}</t>
  </si>
  <si>
    <t>PIPE Detention, Conc, 54 IN {Depth &lt;=15 FT}</t>
  </si>
  <si>
    <t>PIPE Detention, Conc, 54 IN {Depth &gt; 15 FT}</t>
  </si>
  <si>
    <t>PIPE Detention, Conc, 60 IN {Depth &lt;=20 FT}</t>
  </si>
  <si>
    <t>PIPE Detention, Conc, 60 IN {Depth &gt; 20 FT}</t>
  </si>
  <si>
    <t>PIPE Detention, Conc, 72 IN {Depth &lt;=20 FT}</t>
  </si>
  <si>
    <t>PIPE Detention, Conc, 72 IN {Depth &gt; 20 FT}</t>
  </si>
  <si>
    <t>PIPE Detention, D.I, 24 IN {Depth &lt;=10FT}</t>
  </si>
  <si>
    <t>PIPE Detention, D.I, 24 IN {Depth &gt; 10FT}</t>
  </si>
  <si>
    <t>PIPE Detention, D.I, 30 IN {Depth &lt;=10FT}</t>
  </si>
  <si>
    <t>PIPE Detention, D.I, 30 IN {Depth &gt; 10FT}</t>
  </si>
  <si>
    <t>PIPE Detention, D.I, 36 IN {Depth &lt;=15FT}</t>
  </si>
  <si>
    <t>PIPE Detention, D.I, 36 IN {Depth &gt; 15FT}</t>
  </si>
  <si>
    <t>PIPE Detention, D.I, 54 IN {Depth &lt;=15FT}</t>
  </si>
  <si>
    <t>PIPE Detention, D.I, 54 IN {Depth &gt; 15FT}</t>
  </si>
  <si>
    <t>PIPE Detention, D.I, 60 IN {Depth &lt;=20FT}</t>
  </si>
  <si>
    <t>PIPE Detention, D.I, 60 IN {Depth &gt; 20FT}</t>
  </si>
  <si>
    <t>PIPE Detention, Polypropylene, 24 IN {Depth &lt;=10FT}</t>
  </si>
  <si>
    <t>PIPE Detention, Polypropylene, 24 IN {Depth &gt; 10FT}</t>
  </si>
  <si>
    <t>PIPE Detention, Polypropylene, 30 IN {Depth &lt;=10FT}</t>
  </si>
  <si>
    <t>PIPE Detention, Polypropylene, 30 IN {Depth &gt; 10FT}</t>
  </si>
  <si>
    <t>PIPE Detention, Polypropylene, 36 IN {Depth &lt;=10FT}</t>
  </si>
  <si>
    <t>PIPE Detention, Polypropylene, 36 IN {Depth &gt; 10FT}</t>
  </si>
  <si>
    <t>PIPE Detention, Polypropylene, 54 IN {Depth &lt;=15FT}</t>
  </si>
  <si>
    <t>PIPE Detention, Polypropylene, 54 IN {Depth &gt; 15FT}</t>
  </si>
  <si>
    <t>PIPE Detention, Polypropylene, 60 IN {Depth &lt;=20FT}</t>
  </si>
  <si>
    <t>PIPE Detention, Polypropylene, 60 IN {Depth &gt; 20FT}</t>
  </si>
  <si>
    <t>BEDDING, CL B, 6 IN Pipe {QTY &lt;=10LF}</t>
  </si>
  <si>
    <t>BEDDING, CL B, 6 IN Pipe {QTY 10-50LF}</t>
  </si>
  <si>
    <t>BEDDING, CL B, 6 IN Pipe {QTY &lt;=50LF}</t>
  </si>
  <si>
    <t>BEDDING, CL B, 6 IN Pipe {QTY &gt;50LF}</t>
  </si>
  <si>
    <t>BEDDING, CL B, 8 IN Pipe {QTY &lt;=50LF}</t>
  </si>
  <si>
    <t>BEDDING, CL B, 8 IN Pipe {QTY &gt;50LF}</t>
  </si>
  <si>
    <t>BEDDING, CL B, 10 IN Pipe {QTY &lt;=50LF}</t>
  </si>
  <si>
    <t>BEDDING, CL B, 10 IN Pipe {QTY &gt;50LF}</t>
  </si>
  <si>
    <t>BEDDING, CL B, 12 IN Pipe {QTY &lt;=50LF}</t>
  </si>
  <si>
    <t>BEDDING, CL B, 12 IN Pipe {QTY &gt;50LF}</t>
  </si>
  <si>
    <t>BEDDING, CL B, 15 IN Pipe {QTY &lt;=50LF}</t>
  </si>
  <si>
    <t>BEDDING, CL B, 15 IN Pipe {QTY &gt;50LF}</t>
  </si>
  <si>
    <t>BEDDING, CL B, 18 IN Pipe {QTY &lt;=50LF}</t>
  </si>
  <si>
    <t>BEDDING, CL B, 18 IN Pipe {QTY &gt;50LF}</t>
  </si>
  <si>
    <t>BEDDING, CL B, 24 IN Pipe {QTY &lt;=50LF}</t>
  </si>
  <si>
    <t>BEDDING, CL B, 24 IN Pipe {QTY &gt;50LF}</t>
  </si>
  <si>
    <t>BEDDING, CL B, 30 IN Pipe {QTY &lt;=50LF}</t>
  </si>
  <si>
    <t>BEDDING, CL B, 30 IN Pipe {QTY &gt;50LF}</t>
  </si>
  <si>
    <t>BEDDING, CL B, 36 IN Pipe {QTY &lt;=50LF}</t>
  </si>
  <si>
    <t>BEDDING, CL B, 36 IN Pipe {QTY &gt;50LF}</t>
  </si>
  <si>
    <t>BEDDING, CL B, 42 IN Pipe {QTY &lt;=50LF}</t>
  </si>
  <si>
    <t>BEDDING, CL B, 42 IN Pipe {QTY &gt;50LF}</t>
  </si>
  <si>
    <t>BEDDING, CL B, 48 IN Pipe {QTY &lt;=50LF}</t>
  </si>
  <si>
    <t>BEDDING, CL B, 48 IN Pipe {QTY &gt;50LF}</t>
  </si>
  <si>
    <t>BEDDING, CL B, 54 IN Pipe {QTY &lt;=50LF}</t>
  </si>
  <si>
    <t>BEDDING, CL B, 54 IN Pipe {QTY &gt;50LF}</t>
  </si>
  <si>
    <t>BEDDING, CL B, 60 IN Pipe {QTY &lt;=50LF}</t>
  </si>
  <si>
    <t>BEDDING, CL B, 60 IN Pipe {QTY &gt;50LF}</t>
  </si>
  <si>
    <t>BEDDING, CL B, 72 IN Pipe {QTY &lt;=50LF}</t>
  </si>
  <si>
    <t>BEDDING, CL B, 72 IN Pipe {QTY &gt;50LF}</t>
  </si>
  <si>
    <t>BEDDING, CL C, 6 IN Pipe {QTY &lt;=50LF}</t>
  </si>
  <si>
    <t>BEDDING, CL C, 6 IN Pipe {QTY &gt;50LF}</t>
  </si>
  <si>
    <t>BEDDING, CL C, 8 IN Pipe {QTY &lt;=50LF}</t>
  </si>
  <si>
    <t>BEDDING, CL C, 8 IN Pipe {QTY &gt;50LF}</t>
  </si>
  <si>
    <t>BEDDING, CL C, 10 IN Pipe {QTY &lt;=50LF}</t>
  </si>
  <si>
    <t>BEDDING, CL C, 10 IN Pipe {QTY &gt;50LF}</t>
  </si>
  <si>
    <t>BEDDING, CL C, 12 IN Pipe {QTY &lt;=50LF}</t>
  </si>
  <si>
    <t>BEDDING, CL C, 12 IN Pipe {QTY &gt;50LF}</t>
  </si>
  <si>
    <t>BEDDING, CL C, 15 IN Pipe {QTY &lt;=50LF}</t>
  </si>
  <si>
    <t>BEDDING, CL C, 15 IN Pipe {QTY &gt;50LF}</t>
  </si>
  <si>
    <t>BEDDING, CL C, 18 IN Pipe {QTY &lt;=50LF}</t>
  </si>
  <si>
    <t>BEDDING, CL C, 18 IN Pipe {QTY &gt;50LF}</t>
  </si>
  <si>
    <t>BEDDING, CL C, 24 IN Pipe {QTY &lt;=50LF}</t>
  </si>
  <si>
    <t>BEDDING, CL C, 24 IN Pipe {QTY &gt;50LF}</t>
  </si>
  <si>
    <t>BEDDING, CL C, 30 IN Pipe {QTY &lt;=50LF}</t>
  </si>
  <si>
    <t>BEDDING, CL C, 30 IN Pipe {QTY &gt;50LF}</t>
  </si>
  <si>
    <t>BEDDING, CL C, 36 IN Pipe {QTY &lt;=50LF}</t>
  </si>
  <si>
    <t>BEDDING, CL C, 36 IN Pipe {QTY &gt;50LF}</t>
  </si>
  <si>
    <t>BEDDING, CL C, 42 IN Pipe {QTY &lt;=50LF}</t>
  </si>
  <si>
    <t>BEDDING, CL C, 42 IN Pipe {QTY &gt;50LF}</t>
  </si>
  <si>
    <t>BEDDING, CL C, 48 IN Pipe {QTY &lt;=50LF}</t>
  </si>
  <si>
    <t>BEDDING, CL C, 48 IN Pipe {QTY &gt;50LF}</t>
  </si>
  <si>
    <t>BEDDING, CL C, 54 IN Pipe {QTY &lt;=50LF}</t>
  </si>
  <si>
    <t>BEDDING, CL C, 54 IN Pipe {QTY &gt;50LF}</t>
  </si>
  <si>
    <t>BEDDING, CL C, 60 IN Pipe {QTY &lt;=50LF}</t>
  </si>
  <si>
    <t>BEDDING, CL C, 60 IN Pipe {QTY &gt;50LF}</t>
  </si>
  <si>
    <t>BEDDING, CL C, 72 IN Pipe {QTY &lt;=50LF}</t>
  </si>
  <si>
    <t>BEDDING, CL C, 72 IN Pipe {QTY &gt;50LF}</t>
  </si>
  <si>
    <t>PIPE, PS, Conc C14 CL3, 8 IN {QTY&lt;=20FT}</t>
  </si>
  <si>
    <t>PIPE, PS, Conc C14 CL3, 8 IN {QTY&gt;20FT}</t>
  </si>
  <si>
    <t>PIPE, PS, Conc C14 CL3, 10 IN {QTY&lt;=20FT}</t>
  </si>
  <si>
    <t>PIPE, PS, Conc C14 CL3, 10 IN {QTY&gt;20FT}</t>
  </si>
  <si>
    <t>PIPE, PS, Conc C76 CLIV, 12 IN {QTY&lt;=20FT}</t>
  </si>
  <si>
    <t>PIPE, PS, Conc C76 CLIV, 12 IN {QTY&gt;20FT}</t>
  </si>
  <si>
    <t>PIPE, PS, Conc C76 CLIV, 15 IN {QTY&lt;=20FT}</t>
  </si>
  <si>
    <t>PIPE, PS, Conc C76 CLIV, 15 IN {QTY&gt;20FT}</t>
  </si>
  <si>
    <t>PIPE, PS, Conc C76 CLIII, 18 IN {QTY&lt;=20FT}</t>
  </si>
  <si>
    <t>PIPE, PS, Conc C76 CLIII, 18 IN {QTY&gt;20FT}</t>
  </si>
  <si>
    <t>PIPE, PS, Conc C76 CLIII, 21 IN {QTY&lt;=20FT}</t>
  </si>
  <si>
    <t>PIPE, PS, Conc C76 CLIII, 21 IN {QTY&gt;20FT}</t>
  </si>
  <si>
    <t>PIPE, PS, Conc C76 CLIII, 24 IN {QTY&lt;=20FT}</t>
  </si>
  <si>
    <t>PIPE, PS, Conc C76 CLIII, 24 IN {QTY&gt;20FT}</t>
  </si>
  <si>
    <t>PIPE, PS, Conc C76 CLIII, 30 IN {QTY&lt;=20FT}</t>
  </si>
  <si>
    <t>PIPE, PS, Conc C76 CLIII, 30 IN {QTY&gt;20FT}</t>
  </si>
  <si>
    <t>PIPE, PS, Conc C76 CLIII, 36 IN {QTY&lt;=20FT}</t>
  </si>
  <si>
    <t>PIPE, PS, Conc C76 CLIII, 36 IN {QTY&gt;20FT}</t>
  </si>
  <si>
    <t>PIPE, PS, Conc C76 CLIII, 54 IN {QTY&lt;=20FT}</t>
  </si>
  <si>
    <t>PIPE, PS, Conc C76 CLIII, 54 IN {QTY&gt;20FT}</t>
  </si>
  <si>
    <t>PIPE, PS, DI., CL50, 4 IN {QTY&lt;=50FT}</t>
  </si>
  <si>
    <t>PIPE, PS, DI., CL50, 4 IN {QTY&gt;50FT}</t>
  </si>
  <si>
    <t>PIPE, PS, DI., CL50, 6 IN {QTY&lt;=50FT}</t>
  </si>
  <si>
    <t>PIPE, PS, DI., CL50, 6 IN {QTY&gt;50FT}</t>
  </si>
  <si>
    <t>PIPE, PS, DI., CL50, 8 IN {QTY&lt;=50FT}</t>
  </si>
  <si>
    <t>PIPE, PS, DI., CL50, 8 IN {QTY&gt;50FT}</t>
  </si>
  <si>
    <t>PIPE, PS, DI., CL50, 10 IN {QTY&lt;=50FT}</t>
  </si>
  <si>
    <t>PIPE, PS, DI., CL50, 10 IN {QTY&gt;50FT}</t>
  </si>
  <si>
    <t>PIPE, PS, DI., CL50, 12 IN {QTY&lt;=50FT}</t>
  </si>
  <si>
    <t>PIPE, PS, DI., CL50, 12 IN {QTY&gt;50FT}</t>
  </si>
  <si>
    <t>PIPE, PS, DI., CL50, 14 IN {QTY&lt;=50FT}</t>
  </si>
  <si>
    <t>PIPE, PS, DI., CL50, 14 IN {QTY&gt;50FT}</t>
  </si>
  <si>
    <t>PIPE, PS, DI., CL50, 16 IN {QTY&lt;=50FT}</t>
  </si>
  <si>
    <t>PIPE, PS, DI., CL50, 16 IN {QTY&gt;50FT}</t>
  </si>
  <si>
    <t>PIPE, PS, DI., CL50, 18 IN {QTY&lt;=50FT}</t>
  </si>
  <si>
    <t>PIPE, PS, DI., CL50, 18 IN {QTY&gt;50FT}</t>
  </si>
  <si>
    <t>PIPE, PS, DI., CL50, 20 IN {QTY&lt;=50FT}</t>
  </si>
  <si>
    <t>PIPE, PS, DI., CL50, 20 IN {QTY&gt;50FT}</t>
  </si>
  <si>
    <t>PIPE, PS, DI., CL50, 24 IN {QTY&lt;=50FT}</t>
  </si>
  <si>
    <t>PIPE, PS, DI., CL50, 24 IN {QTY&gt;50FT}</t>
  </si>
  <si>
    <t>PIPE, PS, DI., CL52, 8 IN {QTY&lt;=50FT}</t>
  </si>
  <si>
    <t>PIPE, PS, DI., CL52, 8 IN {QTY&gt;50FT}</t>
  </si>
  <si>
    <t>PIPE, PS, DI., CL52, 10 IN {QTY&lt;=50FT}</t>
  </si>
  <si>
    <t>PIPE, PS, DI., CL52, 10 IN {QTY&gt;50FT}</t>
  </si>
  <si>
    <t>PIPE, PS, DI., CL52, 12 IN {QTY&lt;=50FT}</t>
  </si>
  <si>
    <t>PIPE, PS, DI., CL52, 12 IN {QTY&gt;50FT}</t>
  </si>
  <si>
    <t>PIPE, PS, DI., CL52, 14 IN {QTY&lt;=50FT}</t>
  </si>
  <si>
    <t>PIPE, PS, DI., CL52, 14 IN {QTY&gt;50FT}</t>
  </si>
  <si>
    <t>PIPE, PS, DI., CL52, 16 IN {QTY&lt;=50FT}</t>
  </si>
  <si>
    <t>PIPE, PS, DI., CL52, 16 IN {QTY&gt;50FT}</t>
  </si>
  <si>
    <t>PIPE, PS, DI., CL52, 18 IN {QTY&lt;=50 FT}</t>
  </si>
  <si>
    <t>PIPE, PS, DI., CL52, 18 IN {QTY&gt;50 FT}</t>
  </si>
  <si>
    <t>PIPE, PS, DI., CL52, 24 IN {QTY&lt;=50 FT}</t>
  </si>
  <si>
    <t>PIPE, PS, DI., CL52, 24 IN {QTY&gt;50 FT}</t>
  </si>
  <si>
    <t>PIPE, PS, VCP, Extra Strength 8 IN {QTY&lt;=50FT}</t>
  </si>
  <si>
    <t>PIPE, PS, VCP, Extra Strength 8 IN {QTY&gt;50FT}</t>
  </si>
  <si>
    <t>PIPE, PS, VCP, Extra Strength 10 IN {QTY&lt;=50FT}</t>
  </si>
  <si>
    <t>PIPE, PS, VCP, Extra Strength 10 IN {QTY&gt;50FT}</t>
  </si>
  <si>
    <t>PIPE, PS, VCP, Extra Strength 12 IN {QTY&lt;=50FT}</t>
  </si>
  <si>
    <t>PIPE, PS, VCP, Extra Strength 12 IN {QTY&gt;50FT}</t>
  </si>
  <si>
    <t>PIPE, PS, VCP, Extra Strength 14 IN {QTY&lt;=50FT}</t>
  </si>
  <si>
    <t>PIPE, PS, VCP, Extra Strength 14 IN {QTY&gt;50FT}</t>
  </si>
  <si>
    <t>PIPE, PS, VCP, Extra Strength 16 IN {QTY&lt;=50FT}</t>
  </si>
  <si>
    <t>PIPE, PS, VCP, Extra Strength 16 IN {QTY&gt;50FT}</t>
  </si>
  <si>
    <t>PIPE, PS, VCP, Extra Strength 18 IN {QTY&lt;=50FT}</t>
  </si>
  <si>
    <t>PIPE, PS, VCP, Extra Strength 18 IN {QTY&gt;50FT}</t>
  </si>
  <si>
    <t>PIPE, PS, DI CL 52, 30 IN {QTY&lt;=50FT}</t>
  </si>
  <si>
    <t>PIPE, PS, DI, CL 52, 30 IN {QTY&gt;50FT}</t>
  </si>
  <si>
    <t>PIPE, PS, VCP, Extra Strength 24 IN {QTY&lt;=50FT}</t>
  </si>
  <si>
    <t>PIPE, PS, VCP, Extra Strength 24 IN {QTY&gt;50FT}</t>
  </si>
  <si>
    <t>PIPE, PS, DI, CL 52, 36 IN {QTY&lt;=50FT}</t>
  </si>
  <si>
    <t>PIPE, PS, DI, CL 52, 36 IN {QTY&gt;50FT}</t>
  </si>
  <si>
    <t>PIPE, PS, DI, CL 52, 48 IN {QTY&lt;=50FT}</t>
  </si>
  <si>
    <t>PIPE, PS, DI, CL 52, 48 IN {QTY&gt;50FT}</t>
  </si>
  <si>
    <t>PIPE PSD, Conc Reinf C76 CL IV, 12IN {QTY&lt;=50 FT}</t>
  </si>
  <si>
    <t>PIPE PSD, Conc Reinf C76 CL IV, 12IN {QTY &gt;50 FT}</t>
  </si>
  <si>
    <t>PIPE PSD, Conc Reinf C76 CL IV, 15IN {QTY&lt;=50 FT}</t>
  </si>
  <si>
    <t>PIPE PSD, Conc Reinf C76 CL IV, 15IN {QTY &gt;50 FT}</t>
  </si>
  <si>
    <t>PIPE PSD, Conc Reinf C76 CL IV, 18IN {QTY&lt;=50 FT}</t>
  </si>
  <si>
    <t>PIPE PSD, Conc Reinf C76 CL IV, 18IN {QTY &gt;50 FT}</t>
  </si>
  <si>
    <t>PIPE PSD, Conc Reinf C76 CL IV, 21IN {QTY&lt;=50 FT}</t>
  </si>
  <si>
    <t>PIPE PSD, Conc Reinf C76 CL IV, 21IN {QTY &gt;50 FT}</t>
  </si>
  <si>
    <t>PIPE PSD, Conc Reinf C76 CL IV, 24IN {QTY&lt;=50 FT}</t>
  </si>
  <si>
    <t>PIPE PSD, Conc Reinf C76 CL IV, 24IN {QTY &gt;50 FT}</t>
  </si>
  <si>
    <t>PIPE PSD, Conc Reinf C76 CL IV, 30IN {QTY&lt;=50 FT}</t>
  </si>
  <si>
    <t>PIPE PSD, Conc Reinf C76 CL IV, 30IN {QTY &gt;50 FT}</t>
  </si>
  <si>
    <t>PIPE PSD, Conc Reinf C76 CL IV, 36IN {QTY&lt;=50 FT}</t>
  </si>
  <si>
    <t>PIPE PSD, Conc Reinf C76 CL IV, 36IN {QTY &gt;50 FT}</t>
  </si>
  <si>
    <t>PIPE PSD, Conc Reinf C76 CL IV, 42IN {QTY&lt;=50 FT}</t>
  </si>
  <si>
    <t>PIPE PSD, Conc Reinf C76 CL IV, 42IN {QTY &gt;50 FT}</t>
  </si>
  <si>
    <t>PIPE PSD, Conc Reinf C76 CL IV, 48IN {QTY&lt;=50 FT}</t>
  </si>
  <si>
    <t>PIPE PSD, Conc Reinf C76 CL IV, 48IN {QTY &gt;50 FT}</t>
  </si>
  <si>
    <t>PIPE PSD, Conc Reinf C76 CL IV, 60IN {QTY&lt;=50 FT}</t>
  </si>
  <si>
    <t>PIPE PSD, Conc Reinf C76 CL IV, 60IN {QTY &gt;50 FT}</t>
  </si>
  <si>
    <t>PIPE PSD, DI CL 50, 6 IN {QTY &gt;50 FT}</t>
  </si>
  <si>
    <t>PIPE PSD, DI CL 50, 8 IN {QTY &gt;50 FT}</t>
  </si>
  <si>
    <t>PIPE PSD, DI CL 50, 10 IN {QTY &gt;50 FT}</t>
  </si>
  <si>
    <t>PIPE PSD, DI CL 50, 12 IN {QTY &gt;50 FT}</t>
  </si>
  <si>
    <t>PIPE PSD, DI CL 50, 14 IN {QTY &gt;50 FT}</t>
  </si>
  <si>
    <t>PIPE PSD, DI CL 50, 16 IN {QTY &gt;50 FT}</t>
  </si>
  <si>
    <t>PIPE PSD, DI CL 50, 18 IN {QTY &gt;50 FT}</t>
  </si>
  <si>
    <t>PIPE PSD, DI CL 50, 20 IN {QTY &gt;50 FT}</t>
  </si>
  <si>
    <t>PIPE PSD, DI CL 50, 24 IN {QTY &gt;50 FT}</t>
  </si>
  <si>
    <t>PIPE PSD, DI CL 50, 30 IN {QTY &gt;50 FT}</t>
  </si>
  <si>
    <t>PIPE PSD, DI CL 50, 36 IN {QTY &gt;50 FT}</t>
  </si>
  <si>
    <t>PIPE PSD, DI CL 50, 42 IN {QTY &gt;50 FT}</t>
  </si>
  <si>
    <t>PIPE PSD, DI CL 50, 48 IN {QTY &gt;50 FT}</t>
  </si>
  <si>
    <t>PIPE PSD, DI CL 50, 60 IN {QTY &gt;50 FT}</t>
  </si>
  <si>
    <t>PIPE PSD, DI CL 52, 4 IN {QTY &gt;50 FT}</t>
  </si>
  <si>
    <t>PIPE PSD, DI CL 52, 6 IN {QTY &gt;50 FT}</t>
  </si>
  <si>
    <t>PIPE PSD, DI CL 52, 8 IN {QTY &gt;50 FT}</t>
  </si>
  <si>
    <t>PIPE PSD, DI CL 52, 12 IN {QTY &gt;50 FT}</t>
  </si>
  <si>
    <t>PIPE (STEAM) Carbon Steel ASTMA196, 8 IN {QTY &lt;=50 FT}</t>
  </si>
  <si>
    <t>PIPE (STEAM) Carbon Steel ASTMA196, 8 IN {QTY &gt;50 FT}</t>
  </si>
  <si>
    <t>PIPE (STEAM) Carbon Steel ASTMA196, 10 IN {QTY &lt;=50 FT}</t>
  </si>
  <si>
    <t>PIPE (STEAM) Carbon Steel ASTMA196, 10 IN {QTY &gt;50 FT}</t>
  </si>
  <si>
    <t>PIPE, PSS, Conc C14 CL3, 8 IN {QTY &lt;=50 FT}</t>
  </si>
  <si>
    <t>PIPE, PSS, Conc C14 CL3, 8 IN {QTY &gt; 50FT}</t>
  </si>
  <si>
    <t>PIPE, PSS, Conc C14 CL3, 10 IN {QTY &lt;=50 FT}</t>
  </si>
  <si>
    <t>PIPE, PSS, Conc C14 CL3, 10 IN {QTY &gt; 50FT}</t>
  </si>
  <si>
    <t>PIPE, PSS, Conc Reinf C76 CLIV, 12 IN {QTY &lt;=50 FT}</t>
  </si>
  <si>
    <t>PIPE, PSS, Conc Reinf C76 CLIV, 12 IN {QTY &gt; 50 FT}</t>
  </si>
  <si>
    <t>PIPE, PSS, Conc Reinf C76 CLIV, 15 IN {QTY &lt;=50 FT}</t>
  </si>
  <si>
    <t>PIPE, PSS, Conc Reinf C76 CLIV, 15 IN {QTY &gt; 50 FT}</t>
  </si>
  <si>
    <t>PIPE, PSS, Conc Reinf C76 CLIV, 18 IN {QTY &lt;=50 FT}</t>
  </si>
  <si>
    <t>PIPE, PSS, Conc Reinf C76 CLIV, 18 IN {QTY &gt; 50 FT}</t>
  </si>
  <si>
    <t>PIPE, PSS, Conc Reinf C76 CLIV, 21 IN {QTY &lt;=50 FT}</t>
  </si>
  <si>
    <t>PIPE, PSS, Conc Reinf C76 CLIV, 21 IN {QTY &gt; 50 FT}</t>
  </si>
  <si>
    <t>PIPE, PSS, Conc Reinf C76 CLIV, 24 IN {QTY &lt;=50 FT}</t>
  </si>
  <si>
    <t>PIPE, PSS, Conc Reinf C76 CLIV, 24 IN {QTY &gt; 50 FT}</t>
  </si>
  <si>
    <t>PIPE, PSS, VCP, Extra Strength, 8 IN {QTY &lt;=20 FT}</t>
  </si>
  <si>
    <t>PIPE, PSS, VCP, Extra Strength, 8 IN {QTY &gt; 20 FT}</t>
  </si>
  <si>
    <t>PIPE, PSS, VCP, Extra Strength, 10 IN {QTY &lt;=20 FT}</t>
  </si>
  <si>
    <t>PIPE, PSS, VCP, Extra Strength, 10 IN {QTY &gt; 20 FT}</t>
  </si>
  <si>
    <t>PIPE, PSS, VCP, Extra Strength, 12 IN {QTY &lt;=20 FT}</t>
  </si>
  <si>
    <t>PIPE, PSS, VCP, Extra Strength, 12 IN {QTY &gt; 20 FT}</t>
  </si>
  <si>
    <t>PIPE, PSS, VCP, Extra Strength, 15 IN {QTY &lt;=20 FT}</t>
  </si>
  <si>
    <t>PIPE, PSS, VCP, Extra Strength, 15 IN {QTY &gt; 20 FT}</t>
  </si>
  <si>
    <t>PIPE, PSS, VCP, Extra Strength, 18 IN {QTY &lt;=20 FT}</t>
  </si>
  <si>
    <t>PIPE, PSS, VCP, Extra Strength, 18 IN {QTY &gt; 20 FT}</t>
  </si>
  <si>
    <t>PIPE, PSS, VCP, Extra Strength, 24 IN {QTY &lt;=20 FT}</t>
  </si>
  <si>
    <t>PIPE, PSS, VCP, Extra Strength, 24 IN {QTY &gt; 20 FT}</t>
  </si>
  <si>
    <t>PIPE, PSS, DI, CL 50, 8 IN {QTY &lt;=50 FT}</t>
  </si>
  <si>
    <t>PIPE, PSS, DI, CL 50, 8 IN {QTY &gt; 50 FT}</t>
  </si>
  <si>
    <t>PIPE, PSS, DI, CL 50, 10 IN {QTY &gt; 50 FT}</t>
  </si>
  <si>
    <t>PIPE, PSS, DI, CL 50, 10 IN {QTY &lt;=50 FT}</t>
  </si>
  <si>
    <t>PIPE, PSS, DI, CL 50, 12 IN {QTY &gt; 50 FT}</t>
  </si>
  <si>
    <t>PIPE, PSS, DI, CL 50, 12 IN {QTY &lt;=50 FT}</t>
  </si>
  <si>
    <t>PIPE, PSS, DI, CL 50, 14 IN {QTY &lt;=100 FT}</t>
  </si>
  <si>
    <t>PIPE, PSS, DI, CL 50, 14 IN {QTY &gt; 100 FT}</t>
  </si>
  <si>
    <t>PIPE, PSS, DI, CL 50, 16 IN {QTY &lt;=100 FT}</t>
  </si>
  <si>
    <t>PIPE, PSS, DI, CL 50, 16 IN {QTY &gt;100 FT}</t>
  </si>
  <si>
    <t>PIPE, PSS, DI, CL 52, 8 IN {QTY &lt;=100 FT}</t>
  </si>
  <si>
    <t>PIPE, PSS, DI, CL 52, 8 IN {QTY &gt; 100 FT}</t>
  </si>
  <si>
    <t>PIPE, PSS, DI, CL 52, 10 IN {QTY &lt;=100 FT}</t>
  </si>
  <si>
    <t>PIPE, PSS, DI, CL 52, 10 IN {QTY &gt;100 FT}</t>
  </si>
  <si>
    <t>PIPE, PSS, DI, CL 52, 12 IN {QTY &lt;=100 FT}</t>
  </si>
  <si>
    <t>PIPE, PSS, DI, CL 52, 12 IN {QTY &gt;100 FT}</t>
  </si>
  <si>
    <t>PIPE, PSS, DI, CL 52, 14 IN {QTY &lt;=200 FT}</t>
  </si>
  <si>
    <t>PIPE, PSS, DI, CL 52, 14 IN {QTY &gt;200 FT}</t>
  </si>
  <si>
    <t>PIPE, PSS, DI, CL 52, 16 IN {QTY &lt;=200 FT}</t>
  </si>
  <si>
    <t>PIPE, PSS, DI, CL 52, 16 IN {QTY &gt;200 FT}</t>
  </si>
  <si>
    <t>PIPE, PSS, DI, CL 52, 18 IN {QTY &lt;=200 FT}</t>
  </si>
  <si>
    <t>PIPE, PSS, DI, CL 52, 18 IN {QTY &gt;200 FT}</t>
  </si>
  <si>
    <t>PIPE, PS or PSS, PVC, D3034 SDR 35, 8 IN {QTY &lt;=50 FT}</t>
  </si>
  <si>
    <t>PIPE, PS or PSS, PVC, D3034 SDR 35, 8 IN {QTY &gt;50 FT}</t>
  </si>
  <si>
    <t>PIPE, PS or PSS, PVC, D3034 SDR 35, 12 IN {QTY &lt;=50 FT}</t>
  </si>
  <si>
    <t>PIPE, PS or PSS, PVC, D3034 SDR 35, 12 IN {QTY &gt;50 FT}</t>
  </si>
  <si>
    <t>PIPE, PS or PSS, PVC, D3034 SDR 35, 15 IN {QTY &lt;=50 FT}</t>
  </si>
  <si>
    <t>PIPE, PS or PSS, PVC, D3034 SDR 35, 15 IN {QTY &gt;50 FT}</t>
  </si>
  <si>
    <t>PIPE, HDPE Corrugated, Type SDR 17 WT Gaskets, 6 IN {QTY &lt;=50 FT}</t>
  </si>
  <si>
    <t>PIPE, HDPE Corrugated, Type SDR 17 WT Gaskets, 6 IN {QTY  &gt;50 FT}</t>
  </si>
  <si>
    <t>PIPE, HDPE Corrugated, Type SDR 17 WT Gaskets, 8 IN {QTY &lt;=50 FT}</t>
  </si>
  <si>
    <t>PIPE, HDPE Corrugated, Type SDR 17 WT Gaskets, 8 IN {QTY  &gt;50 FT}</t>
  </si>
  <si>
    <t>PIPE, HDPE Corrugated, Type SDR 17 WT Gaskets, 10 IN {QTY &lt;=50 FT}</t>
  </si>
  <si>
    <t>PIPE, HDPE Corrugated, Type SDR 17 WT Gaskets, 10 IN {QTY &gt;50 FT}</t>
  </si>
  <si>
    <t>PIPE, HDPE Corrugated, Type SDR 17 WT Gaskets, 12 IN {QTY &lt;=50 FT}</t>
  </si>
  <si>
    <t>PIPE, HDPE Corrugated, Type SDR 17 WT Gaskets, 12 IN {QTY &gt;50 FT}</t>
  </si>
  <si>
    <t>PIPE, HDPE Corrugated, Type SDR 17 WT Gaskets, 15 IN {QTY &lt;=50 FT}</t>
  </si>
  <si>
    <t>PIPE, HDPE Corrugated, Type SDR 17 WT Gaskets, 15 IN {QTY &gt;50 FT}</t>
  </si>
  <si>
    <t>PIPE, HDPE Corrugated, Type SDR 17 WT Gaskets, 18 IN {QTY &lt;=50 FT}</t>
  </si>
  <si>
    <t>PIPE, HDPE Corrugated, Type SDR 17 WT Gaskets, 18 IN {QTY &gt;50 FT}</t>
  </si>
  <si>
    <t>TEE, VCP, 6 IN {QTY &lt;=3 EA}</t>
  </si>
  <si>
    <t>TEE, VCP, 6 IN {QTY &gt;3 EA}</t>
  </si>
  <si>
    <t>TEE, VCP, 8 IN {QTY &lt;=3 EA}</t>
  </si>
  <si>
    <t>TEE, VCP, 8 IN {QTY &gt;3 EA}</t>
  </si>
  <si>
    <t>TEE, VCP, 10 IN {QTY &lt;=3 EA}</t>
  </si>
  <si>
    <t>TEE, VCP, 10 IN {QTY &gt;3 EA}</t>
  </si>
  <si>
    <t>TEE, DI, 4 IN {QTY &lt;=3 EA}</t>
  </si>
  <si>
    <t>TEE, DI, 4 IN {QTY &gt;3 EA}</t>
  </si>
  <si>
    <t>TEE, DI, 6 IN {QTY &lt;=3 EA}</t>
  </si>
  <si>
    <t>TEE, DI, 6 IN {QTY &gt;3 EA}</t>
  </si>
  <si>
    <t>TEE, DI, 8 IN {QTY &lt;=3 EA}</t>
  </si>
  <si>
    <t>TEE, DI, 8 IN {QTY &gt;3 EA}</t>
  </si>
  <si>
    <t>TEE, DI, 10 IN {QTY &lt;=5 EA}</t>
  </si>
  <si>
    <t>TEE, DI, 10 IN {QTY &gt;5 EA}</t>
  </si>
  <si>
    <t>TEE, DI, 12 IN {QTY &lt;=5 EA}</t>
  </si>
  <si>
    <t>TEE, DI, 12 IN {QTY &gt;5 EA}</t>
  </si>
  <si>
    <t>TEE, DI, 30 IN {QTY &lt;=5 EA}</t>
  </si>
  <si>
    <t>TEE, DI, 30 IN {QTY &gt;5 EA}</t>
  </si>
  <si>
    <t>TEE, PVC, 6 IN {QTY &lt;=5 EA}</t>
  </si>
  <si>
    <t>TEE, PVC, 6 IN {QTY &gt;5 EA}</t>
  </si>
  <si>
    <t>TEE, PVC, 8 IN {QTY &lt;=5 EA}</t>
  </si>
  <si>
    <t>TEE, PVC, 8 IN {QTY &gt;5 EA}</t>
  </si>
  <si>
    <t>TEE, PVC, 10 IN {QTY &lt;=5 EA}</t>
  </si>
  <si>
    <t>TEE, PVC, 10 IN {QTY &gt;5 EA}</t>
  </si>
  <si>
    <t>TEE, 8 IN, Cut-In-Existing Conc Pipe {QTY &lt;=3 EA}</t>
  </si>
  <si>
    <t>TEE, 8 IN, Cut-In-Existing Conc Pipe {QTY &gt; 3 EA}</t>
  </si>
  <si>
    <t>TEE, 12 IN, Cut-In-Existing Conc Pipe {QTY &lt;=3EA}</t>
  </si>
  <si>
    <t>TEE, 12 IN, Cut-In-Existing Conc Pipe {QTY &gt;3EA}</t>
  </si>
  <si>
    <t>TEE, 16 IN, Cut-In-Existing Conc Pipe {QTY &lt;=3EA}</t>
  </si>
  <si>
    <t>TEE, 16 IN, Cut-In-Existing Conc Pipe {QTY &gt;3EA}</t>
  </si>
  <si>
    <t>TEE, 18 IN, Cut-In-Existing Conc Pipe {QTY &lt;=3EA}</t>
  </si>
  <si>
    <t>TEE, 18 IN, Cut-In-Existing Conc Pipe {QTY &gt;3EA}</t>
  </si>
  <si>
    <t>TEE, 24 IN, Cut-In-Existing Conc Pipe {QTY &lt;=3EA}</t>
  </si>
  <si>
    <t>TEE, 24 IN, Cut-In-Existing Conc Pipe {QTY &gt;3EA}</t>
  </si>
  <si>
    <t>TEE, 30 IN, Cut-In-Existing Conc Pipe {QTY &lt;=3EA}</t>
  </si>
  <si>
    <t>TEE, 30 IN, Cut-In-Existing Conc Pipe {QTY &gt;3EA}</t>
  </si>
  <si>
    <t>TEMPORARY SEWER BYPASS {Length-250-500 FT}</t>
  </si>
  <si>
    <t>TEMPORARY SEWER BYPASS {Length-500-1000 FT}</t>
  </si>
  <si>
    <t>TELEVISION INSPECTION {QTY &lt;=200FT 1 MOB}</t>
  </si>
  <si>
    <t>TELEVISION INSPECTION {QTY &gt;200FT 1 MOB}</t>
  </si>
  <si>
    <t>PIPE, SS or SSS, Conc C14, CL 3, 6 IN {QTY &lt;=50 LF}</t>
  </si>
  <si>
    <t>PIPE, SS or SSS, Conc C14, CL 3, 6 IN {QTY &gt; 50 LF}</t>
  </si>
  <si>
    <t>PIPE, SS or SSS, Conc C14, CL 3, 8 IN {QTY &lt;=50 LF}</t>
  </si>
  <si>
    <t>PIPE, SS or SSS, Conc C14, CL 3, 8 IN {QTY &gt; 50 LF}</t>
  </si>
  <si>
    <t>PIPE, SS or SSS, Conc C14, CL 3, 10 IN {QTY &lt;=50 LF}</t>
  </si>
  <si>
    <t>PIPE, SS or SSS, Conc C14, CL 3, 10 IN {QTY &gt; 50 LF}</t>
  </si>
  <si>
    <t>PIPE, SS or SSS, Conc C14, CL 3, 12 IN {QTY &lt;=50 LF}</t>
  </si>
  <si>
    <t>PIPE, SS or SSS, Conc C14, CL 3, 12 IN {QTY &gt; 50 LF}</t>
  </si>
  <si>
    <t>PIPE, SS or SSS, DI CL 50, 6 IN {QTY &lt;=20 LF}</t>
  </si>
  <si>
    <t>PIPE, SS or SSS, DI CL 50, 6 IN {QTY &gt; 20 LF}</t>
  </si>
  <si>
    <t>PIPE, SS or SSS, DI CL 50, 8 IN {QTY &lt;=20 LF}</t>
  </si>
  <si>
    <t>PIPE, SS or SSS, DI CL 50, 8 IN {QTY &gt; 20 LF}</t>
  </si>
  <si>
    <t>PIPE, SD Conc, C14, CL3 6 IN {QTY &lt;=20 LF}</t>
  </si>
  <si>
    <t>PIPE, SD Conc, C14, CL3 6 IN {QTY &gt; 20 LF}</t>
  </si>
  <si>
    <t>PIPE, SD Conc, C14, CL3 8 IN {QTY &lt;=20 LF}</t>
  </si>
  <si>
    <t>PIPE, SD Conc, C14, CL3 8 IN {QTY &gt; 20 LF}</t>
  </si>
  <si>
    <t>PIPE, SD Conc, C14, CL3 10 IN {QTY &lt;=20 LF}</t>
  </si>
  <si>
    <t>PIPE, SD Conc, C14, CL3 10 IN {QTY &gt; 20 LF}</t>
  </si>
  <si>
    <t>SEWER Cleanout, 4 IN {QTY &lt;=5EA}</t>
  </si>
  <si>
    <t>SEWER Cleanout, 4 IN {QTY &gt; 5EA}</t>
  </si>
  <si>
    <t>SEWER Cleanout, 6 IN {QTY &lt;=5EA}</t>
  </si>
  <si>
    <t>SEWER Cleanout, 6 IN {QTY &gt; 5EA}</t>
  </si>
  <si>
    <t>SEWER Cleanout, 8 IN {QTY &lt;=5EA}</t>
  </si>
  <si>
    <t>SEWER Cleanout, 8 IN {QTY &gt; 5EA}</t>
  </si>
  <si>
    <t>ADJUST Existing MH, CB, or VC {QTY &lt;=5EA}</t>
  </si>
  <si>
    <t>ADJUST Existing MH, CB, or VC {QTY &gt; 5EA}</t>
  </si>
  <si>
    <t xml:space="preserve">ADJUST Existing Inlet {QTY &lt;=5EA} </t>
  </si>
  <si>
    <t xml:space="preserve">ADJUST Existing Inlet {QTY &gt;5EA} </t>
  </si>
  <si>
    <t xml:space="preserve">ADJUST Existing Mon Frame &amp; Cover {QTY &lt;=5EA} </t>
  </si>
  <si>
    <t xml:space="preserve">ADJUST Existing Mon Frame &amp; Cover {QTY &gt;5EA} </t>
  </si>
  <si>
    <t xml:space="preserve">ADJUST Existing Valve Box {QTY &lt;=5EA} </t>
  </si>
  <si>
    <t xml:space="preserve">ADJUST Existing Valve Box {QTY &gt;5EA} </t>
  </si>
  <si>
    <t xml:space="preserve">ADJUST Existing Handhole {QTY &lt;=5EA} </t>
  </si>
  <si>
    <t xml:space="preserve">ADJUST Existing Handhole {QTY &gt;5EA} </t>
  </si>
  <si>
    <t>UTILITY Casting, Type 230 {QTY &lt;=10 EA}</t>
  </si>
  <si>
    <t>UTILITY Casting, Type 230 {QTY &gt;10 EA}</t>
  </si>
  <si>
    <t>UTILITY Casting, Type 230L {QTY &lt;=10 EA}</t>
  </si>
  <si>
    <t>UTILITY CASTING, Type 230L {QTY &gt;10 EA}</t>
  </si>
  <si>
    <t>UTILITY CASTING, Type 265 Vaned Grate {QTY &lt;=10 EA}</t>
  </si>
  <si>
    <t>UTILITY CASTING, Type 265 Vaned Grate {QTY &gt;10 EA}</t>
  </si>
  <si>
    <t>UTILITY CASTING, Type 361 {QTY &lt;=10 EA}</t>
  </si>
  <si>
    <t>UTILITY CASTING, Type 361 {QTY &gt;10 EA}</t>
  </si>
  <si>
    <t>INSTALL Grate/Cover, Owner Furnished {QTY &lt;=5EA}</t>
  </si>
  <si>
    <t>INSTALL Grate/Cover, Owner Furnished {QTY &gt;5EA}</t>
  </si>
  <si>
    <t>STORM Filter WQ Unit CSI (REF)</t>
  </si>
  <si>
    <t>BIORETENTION Soil {QTY &lt;=20CY}</t>
  </si>
  <si>
    <t>BIORETENTION Soil {QTY &gt;20CY}</t>
  </si>
  <si>
    <t>BIORETENTION Soil {QTY &lt;=5TN}</t>
  </si>
  <si>
    <t>BIORETENTION Soil {QTY &gt;5TN}</t>
  </si>
  <si>
    <t>Construction Storwater Pollution Prevention</t>
  </si>
  <si>
    <t>CONSTRUCTION Storm Water &amp; Erosion Control Plan - CSECP {Project Value Up to $1M} CSI (REF)</t>
  </si>
  <si>
    <t>CONSTRUCTION Storm Water &amp; Erosion Control Plan - CSECP {Project Value $1-$3M} CSI (REF)</t>
  </si>
  <si>
    <t>CONSTRUCTION Storm Water &amp; Erosion Control Plan - CSECP {Project Value $3-$5M} CSI (REF)</t>
  </si>
  <si>
    <t>TREE Vegetation &amp; Soil Protection Plan - TCSPP {Project Value Up to $1M} CSI (REF)</t>
  </si>
  <si>
    <t xml:space="preserve">TREE Vegetation &amp; Soil Protection Plan - TCSPP {Project Value  $1-$3M} CSI (REF) </t>
  </si>
  <si>
    <t>TREE Vegetation &amp; Soil Protection Plan - TCSPP {Project Value  $3-$5M} CSI (REF)</t>
  </si>
  <si>
    <t>SPILL Plan SP {Project Value Up to $1M} CSI (REF)</t>
  </si>
  <si>
    <t>SPILL Plan SP {Project Value $1-$3M} CSI (REF)</t>
  </si>
  <si>
    <t>SPILL Plan SP {Project Value $3-$5M} CSI (REF)</t>
  </si>
  <si>
    <t>TEMPORARY Discharge Plan TDP {Project Value Up to $1M} CSI (REF)</t>
  </si>
  <si>
    <t>TEMPORARY Discharge Plan TDP {Project Value $1-$3M} CSI (REF)</t>
  </si>
  <si>
    <t>TEMPORARY Discharge Plan TDP {Project Value $3-$5M} CSI (REF)</t>
  </si>
  <si>
    <t>TREE, Deciduous, 3 IN to 4 IN CAL</t>
  </si>
  <si>
    <t>GROUND Cover, 4 IN Pot {QTY &lt;=10EA}</t>
  </si>
  <si>
    <t>GROUND Cover, 4 IN Pot {QTY &gt; 10EA}</t>
  </si>
  <si>
    <t>GROUND Cover, 6 IN Pot {QTY &lt;=10EA}</t>
  </si>
  <si>
    <t>GROUND Cover, 6 IN Pot {QTY &gt; 10EA}</t>
  </si>
  <si>
    <t>PLANTING Soil {QTY &gt;=10 CY}</t>
  </si>
  <si>
    <t>PLANTING Soil {QTY &gt; 10 CY}</t>
  </si>
  <si>
    <t>TURF Area Soil {QTY &lt;=20 CY}</t>
  </si>
  <si>
    <t>TURF Area Soil {QTY &gt;20 CY}</t>
  </si>
  <si>
    <t>MULCH, Arborist Wood Chip {QTY &lt;=20 CY}</t>
  </si>
  <si>
    <t>MULCH, Arborist Wood Chip {QTY &gt;20 CY}</t>
  </si>
  <si>
    <t>BOLLARD Fixed {QTY&lt;=5 EA}</t>
  </si>
  <si>
    <t>BOLLARD Fixed {QTY&gt;5 EA}</t>
  </si>
  <si>
    <t>BOLLARD Removable {QTY&lt;=5 EA}</t>
  </si>
  <si>
    <t>BOLLARD Removable {QTY&gt;5 EA}</t>
  </si>
  <si>
    <t>TREE Root Barrier {QTY &lt;=20 LF}</t>
  </si>
  <si>
    <t>TREE Root Barrier {QTY &gt;20 LF}</t>
  </si>
  <si>
    <t>RELOCATE Tree - Large {QTY &lt;=10 EA}</t>
  </si>
  <si>
    <t>RELOCATE Tree - Medium {QTY &lt;=10 EA}</t>
  </si>
  <si>
    <t>RELOCATE Tree - Small {QTY &lt;=10 EA}</t>
  </si>
  <si>
    <t>RELOCATE Tree - Large {QTY &gt;10 EA}</t>
  </si>
  <si>
    <t>RELOCATE Tree - Medium {QTY &gt;10 EA}</t>
  </si>
  <si>
    <t>RELOCATE Tree - Small {QTY &gt;10 EA}</t>
  </si>
  <si>
    <t>RELOCATE Bollard Fixed {QTY&lt;=5 EA}</t>
  </si>
  <si>
    <t>RELOCATE Bollard Fixed {QTY&gt;5 EA}</t>
  </si>
  <si>
    <t>RELOCATE Bollard Removable {QTY&lt;=5 EA}</t>
  </si>
  <si>
    <t>RELOCATE Bollard Removable {QTY&gt;5 EA}</t>
  </si>
  <si>
    <t>SEEDED Lawn Installation {QTY &lt;=10,000 SF}</t>
  </si>
  <si>
    <t>SEEDED Lawn Installation {QTY&gt; 10,000 SF}</t>
  </si>
  <si>
    <t>LANDSCAPE Establishment {QTY 1,000-5,000} CSI (REF)</t>
  </si>
  <si>
    <t>LANDSCAPE Establishment {QTY 5,000-10,000SF} CSI (REF)</t>
  </si>
  <si>
    <t>LANDSCAPE Establishment {QTY &gt; 10,000SF} CSI (REF)</t>
  </si>
  <si>
    <t>LAWN Establishment {QTY 1000-5000SF} CSI (REF)</t>
  </si>
  <si>
    <t>LAWN Establishment {QTY 5000- 10,000SF} CSI (REF)</t>
  </si>
  <si>
    <t>LAWN Establishment {QTY 10,000-20,000 SF} CSI (REF)</t>
  </si>
  <si>
    <t>IRRIGATION System Automatic {QTY 5,000-10,000 SF}</t>
  </si>
  <si>
    <t>IRRIGATION System Automatic {QTY &gt;10,000 SF}</t>
  </si>
  <si>
    <t>SLEEVE, PVC, SCH 40, 3 IN {QTY &lt;=100 LF}</t>
  </si>
  <si>
    <t>SLEEVE, PVC, SCH 40, 3 IN {QTY &gt;100 LF}</t>
  </si>
  <si>
    <t>SLEEVE, PVC, SCH 40, 4 IN {QTY &lt;=100 LF}</t>
  </si>
  <si>
    <t>SLEEVE, PVC, SCH 40, 4 IN {QTY &gt;100 LF}</t>
  </si>
  <si>
    <t>SLEEVE, PVC, SCH 40, 6 IN {QTY &lt;=100 LF}</t>
  </si>
  <si>
    <t>SLEEVE, PVC, SCH 40, 6 IN {QTY &gt;100 LF}</t>
  </si>
  <si>
    <t>SLEEVE, PVC, SCH 80, 4 IN {QTY &lt;=100 LF}</t>
  </si>
  <si>
    <t>SLEEVE, PVC, SCH 80, 4 IN {QTY &gt;100 LF}</t>
  </si>
  <si>
    <t>SLEEVE, PVC, SCH 80, 6 IN {QTY &lt;=100 LF}</t>
  </si>
  <si>
    <t>SLEEVE, PVC, SCH 80, 6 IN {QTY &gt;100 LF}</t>
  </si>
  <si>
    <t>HOSE Bib Assembly {QTY &lt;=3 EA}</t>
  </si>
  <si>
    <t>HOSE Bib Assembly {QTY &gt;3 EA}</t>
  </si>
  <si>
    <t>CURB, CEM CONC {QTY =&lt;200}</t>
  </si>
  <si>
    <t>CURB, CEM CONC {QTY 200-500}</t>
  </si>
  <si>
    <t>CURB, CEM CONC {QTY &gt;500}</t>
  </si>
  <si>
    <t>CURB, Cem Conc, Mountable {QTY &gt;=500}</t>
  </si>
  <si>
    <t>CURB, Cem Conc, Mountable {QTY&lt;500}</t>
  </si>
  <si>
    <t>CURB and Gutter, Cem Conc {QTY &gt;=500}</t>
  </si>
  <si>
    <t>CURB and Gutter, Cem Conc {QTY&lt;500}</t>
  </si>
  <si>
    <t>EXTRUDED Curb, HMA (CL1/2 IN) {QTY &lt;=50 LF}</t>
  </si>
  <si>
    <t>EXTRUDED Curb, HMA (CL1/2 IN) {QTY &gt;50 LF}</t>
  </si>
  <si>
    <t>EXTRUDED Curb, HMA (CL 1 IN) {QTY &lt;=50 LF}</t>
  </si>
  <si>
    <t>EXTRUDED Curb, HMA (CL 1 IN) {QTY &gt;50 LF}</t>
  </si>
  <si>
    <t>EXTRUDED Curb, Cem Conc {QTY &lt;=50 LF}</t>
  </si>
  <si>
    <t>EXTRUDED Curb, Cem Conc {QTY &gt;50 LF}</t>
  </si>
  <si>
    <t>EXTRUDED Curb, Cem Conc HES (24HR) {QTY &lt;=50 LF}</t>
  </si>
  <si>
    <t>EXTRUDED Curb, Cem Conc HES (24HR) {QTY &gt;50 LF}</t>
  </si>
  <si>
    <t>CURB Traffic, Precast {QTY &lt;=100 LF}</t>
  </si>
  <si>
    <t>CURB Traffic, Precast {QTY &gt; 100 LF}</t>
  </si>
  <si>
    <t>CURB Traffic, Block {QTY &lt;=50 LF}</t>
  </si>
  <si>
    <t>CURB Traffic, Block {QTY &gt;50 LF}</t>
  </si>
  <si>
    <t>LANE Marker Type 2 {QTY &gt;20 EA}</t>
  </si>
  <si>
    <t>BEAM Guardrail, Type 1 {QTY &lt;=20LF}</t>
  </si>
  <si>
    <t>BEAM Guardrail, Type 1 {QTY &gt;20LF}</t>
  </si>
  <si>
    <t>BEAM Guardrail, Type 5 {QTY &lt;=20LF}</t>
  </si>
  <si>
    <t>BEAM Guardrail, Type 5 {QTY &gt;20LF}</t>
  </si>
  <si>
    <t>ACCESS Control Gate {QTY &lt;=10EA}</t>
  </si>
  <si>
    <t>ACCESS Control Gate {QTY &gt;10EA}</t>
  </si>
  <si>
    <t>CHAIN LINK Fence, Type 1 {QTY &lt;=200 LF}</t>
  </si>
  <si>
    <t>CHAIN LINK Fence, Type 1 {QTY &gt; 200 LF}</t>
  </si>
  <si>
    <t>CHAIN LINK Fence, Type 3 {QTY &lt;=200 LF}</t>
  </si>
  <si>
    <t>CHAIN LINK Fence, Type 3 {QTY &gt; 200 LF}</t>
  </si>
  <si>
    <t>CHAIN LINK Fence, Type 4 {QTY &lt;=200 LF}</t>
  </si>
  <si>
    <t>CHAIN LINK Fence, Type 4 {QTY &gt; 200 LF}</t>
  </si>
  <si>
    <t>CHAIN LINK Fence, Type 6 {QTY &lt;=200 LF}</t>
  </si>
  <si>
    <t>CHAIN LINK Fence, Type 6 {QTY &gt; 200 LF}</t>
  </si>
  <si>
    <t>CHAIN LINK Gate, Double 14 Ft Wide {QTY &lt;=5 EA}</t>
  </si>
  <si>
    <t>CHAIN LINK Gate, Double 14 Ft Wide {QTY &gt;5 EA}</t>
  </si>
  <si>
    <t>CHAIN LINK Gate, Double 20 Ft Wide {QTY &lt;=5 EA}</t>
  </si>
  <si>
    <t>CHAIN LINK Gate, Double 20 Ft Wide {QTY &gt;5 EA}</t>
  </si>
  <si>
    <t>CHAIN LINK Gate, Single 6 Ft Wide {QTY &lt;=5 EA}</t>
  </si>
  <si>
    <t>CHAIN LINK Gate, Single 6 Ft Wide {QTY &gt;5 EA}</t>
  </si>
  <si>
    <t>WIRE GATE, Single, 14 Ft Wide {QTY &lt;=5 EA}</t>
  </si>
  <si>
    <t>WIRE GATE, Single, 14 Ft Wide {QTY &gt;5 EA}</t>
  </si>
  <si>
    <t>WIRE GATE, Double, 20 Ft Wide {QTY &lt;=5 EA}</t>
  </si>
  <si>
    <t>WIRE GATE, Double, 20 Ft Wide {QTY &gt;5 EA}</t>
  </si>
  <si>
    <t>MONUMENT Frame and Cover {QTY &lt;=3 EA}</t>
  </si>
  <si>
    <t>MONUMENT Frame and Cover {QTY &gt;3 EA}</t>
  </si>
  <si>
    <t>RELOCATE Monument Frame and Cover</t>
  </si>
  <si>
    <t>SIDEWALK, CEM CONC {QTY &gt;=500 SY}</t>
  </si>
  <si>
    <t>SIDEWALK, CEM CONC {QTY &lt;500 SY}</t>
  </si>
  <si>
    <t>SIDEWALK, Thickened Edge {QTY &lt;=100 LF}</t>
  </si>
  <si>
    <t>SIDEWALK, Thickened Edge {QTY &gt;100 LF}</t>
  </si>
  <si>
    <t>CURB RAMP {QTY &lt;=5 SY}</t>
  </si>
  <si>
    <t>CURB RAMP {QTY &gt;5SY}</t>
  </si>
  <si>
    <t>DETECTABLE Warning Plate {QTY &lt;=20SY}</t>
  </si>
  <si>
    <t>DETECTABLE Warning Plate {QTY &gt; 20SY}</t>
  </si>
  <si>
    <t>BUS SHELTER Footing {QTY =&lt; 15 EA}</t>
  </si>
  <si>
    <t>BUS SHELTER Footing {QTY &gt;15 EA}</t>
  </si>
  <si>
    <t>EXPOSED Aggregate Cem Conc treatment, Sidewalk {QTY &lt;=10SY}</t>
  </si>
  <si>
    <t>EXPOSED Aggregate Cem Conc treatment, Sidewalk {QTY &gt;10SY}</t>
  </si>
  <si>
    <t>SIX INCH Sidewalk, Cem Conc {QTY &lt;=50 SY}</t>
  </si>
  <si>
    <t>SIX INCH Sidewalk, Cem Conc {QTY 100-500 SY}</t>
  </si>
  <si>
    <t>SIX INCH Sidewalk, Cem Conc {QTY &gt;500 SY}</t>
  </si>
  <si>
    <t>PATTERNED Cem Conc Treatment, Sidewalk, (Pattered) {QTY &lt;=50SY}</t>
  </si>
  <si>
    <t>PATTERNED Cem Conc Treatment, Sidewalk, (Pattered) {QTY &gt; 50SY}</t>
  </si>
  <si>
    <t>PATTERNED Cem Conc Treatment, Sidewalk, (Running Bond Used Brick) {QTY &lt;=20SY}</t>
  </si>
  <si>
    <t>PATTERNED Cem Conc Treatment, Sidewalk, (Running Bond Used Brick) {QTY &gt; 20SY}</t>
  </si>
  <si>
    <t>LIGHT LOOSE Riprap {QTY &gt;=200 TN}</t>
  </si>
  <si>
    <t>LIGHT LOOSE Riprap {QTY &gt;200 TN}</t>
  </si>
  <si>
    <t>HEAVY LOOSE Riprap {QTY &gt;=200 TN}</t>
  </si>
  <si>
    <t>HEAVY LOOSE Riprap {QTY &gt;200 TN}</t>
  </si>
  <si>
    <t>HAND-PLACED Riprap {QTY &lt;=20CY}</t>
  </si>
  <si>
    <t>HAND-PLACED Riprap {QTY &gt;20CY}</t>
  </si>
  <si>
    <t>SACK Riprap {QTY &lt;=20CY}</t>
  </si>
  <si>
    <t>SACK Riprap {QTY &gt;20CY}</t>
  </si>
  <si>
    <t>CONCRETE SLAB Riprap {QTY &lt;=20CY}</t>
  </si>
  <si>
    <t>CONCRETE SLAB Riprap {QTY &gt;20CY}</t>
  </si>
  <si>
    <t>QUARRY SPALLS {QTY &lt;=20 TN}</t>
  </si>
  <si>
    <t>QUARRY SPALLS {QTY &gt;20 TN}</t>
  </si>
  <si>
    <t>CONCRETE SLOPE Protection {5" thick}</t>
  </si>
  <si>
    <t>CONCRETE SLOPE Protection {6" thick}</t>
  </si>
  <si>
    <t>CONCRETE SLOPE Protection {7" thick}</t>
  </si>
  <si>
    <t>WALL, CEMENT, CONCRETE, Support, Type 800 {QTY &lt;=20CY}</t>
  </si>
  <si>
    <t>WALL, CEMENT, CONCRETE, Support, Type 800 {QTY &gt;20CY}</t>
  </si>
  <si>
    <t>WALL, CEMENT, CONCRETE, Curb, Type 801 {QTY &lt;=20CY}</t>
  </si>
  <si>
    <t>WALL, CEMENT, CONCRETE, Curb, Type 801 {QTY &gt;20CY}</t>
  </si>
  <si>
    <t>STAIRWAY, CEM CONC, Special {QTY &lt; =50SF}</t>
  </si>
  <si>
    <t>STAIRWAY, CEM CONC, Special {QTY &gt;50SF}</t>
  </si>
  <si>
    <t>GUTTER, CEM. CONC., Type 440 {QTY 20-50LF}</t>
  </si>
  <si>
    <t>GUTTER, CEM. CONC., Type 440 {QTY 50-100LF}</t>
  </si>
  <si>
    <t>GUTTER, CEM. CONC., Type 440 {QTY 500-1000LF}</t>
  </si>
  <si>
    <t>STAIRWAY, CEM CONC, Type 440 {QTY 20-50LF}</t>
  </si>
  <si>
    <t>STAIRWAY, CEM CONC, Type 440 {QTY 50-100LF}</t>
  </si>
  <si>
    <t>STAIRWAY, CEM CONC, Type 440 {QTY 250-500LF}</t>
  </si>
  <si>
    <t>HANDRAIL, Type 440 {QTY &lt;=20 LF}</t>
  </si>
  <si>
    <t>HANDRAIL, Type 440 {QTY 20-50 LF}</t>
  </si>
  <si>
    <t>HANDRAIL, Type 440 {QTY 50-100 LF}</t>
  </si>
  <si>
    <t>HANDRAIL, Type 442 {QTY &lt;=20 LF}</t>
  </si>
  <si>
    <t>HANDRAIL, Type 442 {QTY 20-50 LF}</t>
  </si>
  <si>
    <t>HANDRAIL, Type 442 {QTY 50-100 LF}</t>
  </si>
  <si>
    <t>HANDRAIL, Type 443 {QTY &lt;=20 LF}</t>
  </si>
  <si>
    <t>HANDRAIL, Type 443 {QTY 20-50 LF}</t>
  </si>
  <si>
    <t>HANDRAIL, Type 443 {QTY 50-100 LF}</t>
  </si>
  <si>
    <t>STEPS, CEM CONC {QTY &lt;=50SF}</t>
  </si>
  <si>
    <t>STEPS, CEM CONC {QTY 50-100 SF}</t>
  </si>
  <si>
    <t>STEPS, CEM CONC {QTY100-500 SF}</t>
  </si>
  <si>
    <t>DRIVEWAY, CEM CONC, 6 IN {QTY &lt;=30 SY}</t>
  </si>
  <si>
    <t>DRIVEWAY, CEM CONC, 6 IN {QTY 30-50 SY}</t>
  </si>
  <si>
    <t>DRIVEWAY, CEM CONC, 6 IN {QTY &gt;50 SY}</t>
  </si>
  <si>
    <t>DRIVEWAY, CEM CONC, 8 IN {QTY &lt;=30 SY}</t>
  </si>
  <si>
    <t>DRIVEWAY, CEM CONC, 8 IN {QTY 30-50 SY}</t>
  </si>
  <si>
    <t>DRIVEWAY, CEM CONC, 8 IN {QTY &gt;50 SY}</t>
  </si>
  <si>
    <t>DRIVEWAY, CEM CONC, HES (24 HR), 8 IN {QTY &lt;=50 SY}</t>
  </si>
  <si>
    <t>DRIVEWAY, CEM CONC, HES (24 HR), 8 IN {QTY &gt;50 SY}</t>
  </si>
  <si>
    <t>DRIVEWAY, CEM CONC, HES (72 HR), 8 IN {QTY &lt;=50 SY}</t>
  </si>
  <si>
    <t>DRIVEWAY, CEM CONC, HES (72 HR), 8 IN {QTY &gt;50 SY}</t>
  </si>
  <si>
    <t>INSTALL SIGN, Traffic, Owner Furnished {QTY 1-3 EA}</t>
  </si>
  <si>
    <t>INSTALL SIGN, Traffic, Owner Furnished {QTY 3-5 EA}</t>
  </si>
  <si>
    <t>INSTALL SIGN, Traffic, Owner Furnished {QTY &gt;6 EA}</t>
  </si>
  <si>
    <t>INSTALL SIGN, Street Designation, Owner Furnished {QTY&lt;=5EA}</t>
  </si>
  <si>
    <t>INSTALL SIGN, Street Designation, Owner Furnished {QTY &gt;5EA}</t>
  </si>
  <si>
    <t>INSTALL SIGN, Street Name, Owner Furnished Post MT {QTY&lt;=5EA}</t>
  </si>
  <si>
    <t>INSTALL SIGN, Street Name, Owner Furnished Post MT {QTY&gt;5EA}</t>
  </si>
  <si>
    <t>SIGN, Bus Zone, Owner Furnished {QTY&lt;=5EA}</t>
  </si>
  <si>
    <t>SIGN, Bus Zone, Owner Furnished {QTY&gt;5EA}</t>
  </si>
  <si>
    <t>POST, Traffic Sign {QTY&lt;=5EA}</t>
  </si>
  <si>
    <t>POST, Traffic Sign {QTY &gt;5EA}</t>
  </si>
  <si>
    <t>POST, Parking Meter {QTY&lt;=5EA}</t>
  </si>
  <si>
    <t>POST, Parking Meter {QTY &gt;5EA}</t>
  </si>
  <si>
    <t>POST, Street Name {QTY&lt;=5EA}</t>
  </si>
  <si>
    <t>POST, Street Name {QTY &gt;5EA}</t>
  </si>
  <si>
    <t xml:space="preserve">POST, Bus Zone {QTY&lt;=3EA} </t>
  </si>
  <si>
    <t xml:space="preserve">POST, Bus Zone {QTY&gt; 3EA} </t>
  </si>
  <si>
    <t>RELOCATE Sign, Traffic {QTY &lt;=5EA}</t>
  </si>
  <si>
    <t>RELOCATE Sign, Traffic {QTY &gt;5EA}</t>
  </si>
  <si>
    <t>RELOCATE Sign, Street Name {QTY &lt;=5EA}</t>
  </si>
  <si>
    <t>RELOCATE Sign, Street Name {QTY &gt;5EA}</t>
  </si>
  <si>
    <t>RELOCATE Sign, Bus Zone {QTY &lt;=5EA}</t>
  </si>
  <si>
    <t>RELOCATE Sign, Bus Zone {QTY5-10EA}</t>
  </si>
  <si>
    <t>RELOCATE Sign, Bus Zone {QTY &gt;10EA}</t>
  </si>
  <si>
    <t>PAVEMENT MARKING, Paint, 4 IN Stripe {QTY&lt;=200 LF}</t>
  </si>
  <si>
    <t>PAVEMENT MARKING, Paint, 4 IN Stripe {QTY &gt;200 LF}</t>
  </si>
  <si>
    <t>PAVEMENT MARKING, Paint, 6 IN Stripe {QTY&lt;=200 LF}</t>
  </si>
  <si>
    <t>PAVEMENT MARKING, Paint, 6 IN Stripe {QTY &gt;200 LF}</t>
  </si>
  <si>
    <t>PAVEMENT MARKING, Paint, 8 IN Stripe {QTY&lt;=200 LF}</t>
  </si>
  <si>
    <t>PAVEMENT MARKING, Paint, 8 IN Stripe {QTY &gt;200 LF}</t>
  </si>
  <si>
    <t>PAVEMENT MARKING, Paint, Legend/Symbol {QTY&lt;=5 EA}</t>
  </si>
  <si>
    <t>PAVEMENT MARKING, Paint, Legend/Symbol {QTY&gt;5 EA}</t>
  </si>
  <si>
    <t>PAVEMENT MARKING, Thermo, 8 IN Stripe {QTY&lt;=200 LF}</t>
  </si>
  <si>
    <t>PAVEMENT MARKING, Thermo, 8 IN Stripe {QTY &gt;200 LF}</t>
  </si>
  <si>
    <t>PAVEMENT MARKING, Thermo, Legend/Symbol {QTY&lt;=5 EA}</t>
  </si>
  <si>
    <t>PAVEMENT MARKING, Thermo, Legend/Symbol {QTY&gt;5 EA}</t>
  </si>
  <si>
    <t>PAVEMENT MARKING, Pressure Sensitive Tape {QTY 100-300 LF}</t>
  </si>
  <si>
    <t>PAVEMENT MARKING, Pressure Sensitive Tape {QTY 300-500 LF}</t>
  </si>
  <si>
    <t>PAVEMENT MARKING, Pressure Sensitive Tape {QTY 500-1000 LF}</t>
  </si>
  <si>
    <t>SHARROW, INSTALL Owner Furnished {QTY &lt;=5EA}</t>
  </si>
  <si>
    <t>SHARROW, INSTALL Owner Furnished {QTY &gt; 5EA}</t>
  </si>
  <si>
    <t>SIGN, PROJECT Identification {Size-Medium-4'x6'}</t>
  </si>
  <si>
    <t>SIGN, PROJECT Identification {Size-Large-6'x8'}</t>
  </si>
  <si>
    <t>SIGN, INSTALL PROJECT IDENTIFICATION, POST MOUNTED {Size-Medium-6'x8'}</t>
  </si>
  <si>
    <t>SIGN, INSTALL PROJECT IDENTIFICATION, POST MOUNTED {Size-Large-8'x10'}</t>
  </si>
  <si>
    <t xml:space="preserve">LUMINAIRE, HIGH Pressure Sodium, 250W, Roadway {QTY &lt;=5EA} </t>
  </si>
  <si>
    <t xml:space="preserve">LUMINAIRE, HIGH Pressure Sodium, 250W, Roadway {QTY &gt; 5EA} </t>
  </si>
  <si>
    <t xml:space="preserve">LUMINAIRE, HIGH Pressure Sodium, 400W, Roadway {QTY 1-3EA} </t>
  </si>
  <si>
    <t xml:space="preserve">LUMINAIRE, HIGH Pressure Sodium, 400W, Roadway {QTY 3- 5EA} </t>
  </si>
  <si>
    <t xml:space="preserve">LUMINAIRE, HIGH Pressure Sodium, 400W, Roadway {QTY 5- 10EA} </t>
  </si>
  <si>
    <t xml:space="preserve">LUMINAIRE, HIGH Pressure Sodium, 400W, Roadway {QTY &gt;10EA} </t>
  </si>
  <si>
    <t>RELOCATE LUMINAIRE {QTY &lt;=5EA}</t>
  </si>
  <si>
    <t>RELOCATE LUMINAIRE {QTY &gt; 5EA}</t>
  </si>
  <si>
    <t>RELOCATE BRACKET ARM {QTY 1-3 EA}</t>
  </si>
  <si>
    <t>RELOCATE BRACKET ARM {QTY 4-7 EA}</t>
  </si>
  <si>
    <t>RELOCATE BRACKET ARM {QTY&gt;8 EA}</t>
  </si>
  <si>
    <t>RELOCATE BRACKET AND BRACKET ARM {QTY 1-3 EA}</t>
  </si>
  <si>
    <t>RELOCATE BRACKET AND BRACKET ARM {QTY 4-7 EA}</t>
  </si>
  <si>
    <t>RELOCATE BRACKET AND BRACKET ARM {QTY &gt; 8 EA}</t>
  </si>
  <si>
    <t>Wiring, Street Lighting {QTY 200-500 LFT}-CSI (REF)</t>
  </si>
  <si>
    <t>Wiring, Street Lighting {QTY 500-1000 LFT}-CSI (REF)</t>
  </si>
  <si>
    <t>Wiring, Street Lighting {QTY&gt;1000 LFT}-CSI (REF)</t>
  </si>
  <si>
    <t>BOND EXISTING Handhole {QTY &lt;=5 EA}</t>
  </si>
  <si>
    <t>BOND EXISTING Handhole {QTY &gt; 5 EA}</t>
  </si>
  <si>
    <t>BOND EXISTING Pole {QTY &lt;=5 EA}</t>
  </si>
  <si>
    <t>BOND EXISTING Pole {QTY 5-10EA}</t>
  </si>
  <si>
    <t>BOND EXISTING Pole {QTY &gt; 10 EA}</t>
  </si>
  <si>
    <t>INSTALL GROUND Rod {QTY &lt;=5 EA}</t>
  </si>
  <si>
    <t>INSTALL GROUND Rod {QTY &gt; 5 EA}</t>
  </si>
  <si>
    <t>INSPECT GOUNDING and Bonding {QTY &lt;=5 EA}</t>
  </si>
  <si>
    <t>INSPECT GOUNDING and Bonding {QTY &gt; 5 EA}</t>
  </si>
  <si>
    <t>DETECTOR LOOP, 6 FT DIA {QTY 1-2 EA}</t>
  </si>
  <si>
    <t>DETECTOR LOOP, 6 FT DIA {QTY 3-5 EA}</t>
  </si>
  <si>
    <t>DETECTOR LOOP, 6 FT DIA {QTY &gt; 5 EA}</t>
  </si>
  <si>
    <t>POLE ALUMINUM, Lighting, 25 FT to 35 FT {QTY 1-3 EA}</t>
  </si>
  <si>
    <t>POLE ALUMINUM, Lighting, 25 FT to 35 FT {QTY 3- 5 EA}</t>
  </si>
  <si>
    <t>POLE ALUMINUM, Lighting, 25 FT to 35 FT {QTY &gt; 5 EA}</t>
  </si>
  <si>
    <t>POLE, STEEL, Lighting, 25 to 35 FT {QTY 1-3 EA}</t>
  </si>
  <si>
    <t>POLE, STEEL Lighting, 25 to 35 FT {QTY 3-5 EA}</t>
  </si>
  <si>
    <t>POLE, STEEL, Lighting, 25 to 35 FT {QTY &gt;5 EA}</t>
  </si>
  <si>
    <t>POLE, WOOD 25 FT to 35 FT {QTY &lt;=5 EA}</t>
  </si>
  <si>
    <t>POLE, WOOD 25 FT to 35 FT {QTY &gt;5 EA}</t>
  </si>
  <si>
    <t>POLE, WOOD Over 35 FT (60-75 FT)</t>
  </si>
  <si>
    <t>BACK GUY Assembly {QTY &lt;=5EA}</t>
  </si>
  <si>
    <t>BACK GUY Assembly {QTY &gt; 5EA}</t>
  </si>
  <si>
    <t xml:space="preserve">FOUNDATION, STREET Light Pole {QTY &lt;=5EA} </t>
  </si>
  <si>
    <t xml:space="preserve">FOUNDATION, STREET Light Pole {QTY &gt; 5EA} </t>
  </si>
  <si>
    <t xml:space="preserve">FOUNDATION, PEDESTAL {QTY 1- 5EA} </t>
  </si>
  <si>
    <t xml:space="preserve">FOUNDATION, PEDESTAL {QTY 5-10EA} </t>
  </si>
  <si>
    <t xml:space="preserve">FOUNDATION, PEDESTAL {QTY &gt;10EA} </t>
  </si>
  <si>
    <t>Conduit, ELECTRICAL SERVICE, PVC, 1 IN {QTY &lt;=500 LF}</t>
  </si>
  <si>
    <t>Conduit, ELECTRICAL SERVICE, PVC, 1 IN {QTY &gt;500 LF}</t>
  </si>
  <si>
    <t>Conduit, ELECTRICAL SERVICE, PVC, 1-1/2 IN {QTY &lt;=500 LF}</t>
  </si>
  <si>
    <t>Conduit, ELECTRICAL SERVICE, PVC, 1-1/2 IN {QTY &gt;500 LF}</t>
  </si>
  <si>
    <t>Conduit, ELECTRICAL SERVICE, PVC, 2 IN {QTY &lt;=500 LF}</t>
  </si>
  <si>
    <t>Conduit, ELECTRICAL SERVICE, PVC, 2 IN {QTY &gt;500 LF}</t>
  </si>
  <si>
    <t>Conduit, ELECTRICAL SERVICE, PVC, 2-1/2 IN {QTY &lt;=500 LF}</t>
  </si>
  <si>
    <t>Conduit, ELECTRICAL SERVICE, PVC, 2-1/2 IN {QTY &gt;500 LF}</t>
  </si>
  <si>
    <t>Conduit, ELECTRICAL SERVICE, PVC, 3 IN {QTY &lt;=500 LF}</t>
  </si>
  <si>
    <t>Conduit, ELECTRICAL SERVICE, PVC, 3 IN {QTY &gt;500 LF}</t>
  </si>
  <si>
    <t>Conduit, ELECTRICAL SERVICE, PVC, 3-1/2 IN {QTY &lt;=500 LF}</t>
  </si>
  <si>
    <t>Conduit, ELECTRICAL SERVICE, PVC, 3-1/2 IN {QTY &gt;500 LF}</t>
  </si>
  <si>
    <t>Conduit, ELECTRICAL SERVICE, PVC, 4 IN {QTY &lt;=500 LF}</t>
  </si>
  <si>
    <t>Conduit, ELECTRICAL SERVICE, PVC, 4 IN {QTY &gt;500 LF}</t>
  </si>
  <si>
    <t>Conduit, ELECTRICAL SERVICE, RGS, 1/2 IN {QTY &lt;=500 LF}</t>
  </si>
  <si>
    <t>Conduit, ELECTRICAL SERVICE, RGS, 1/2 IN {QTY &gt; 500 LF}</t>
  </si>
  <si>
    <t>Conduit, ELECTRICAL SERVICE, RGS, 3/4 IN {QTY &lt;=500 LF}</t>
  </si>
  <si>
    <t>Conduit, ELECTRICAL SERVICE, RGS, 3/4 IN {QTY &gt; 500 LF}</t>
  </si>
  <si>
    <t>Conduit, ELECTRICAL SERVICE, RGS, 1 IN {QTY &lt;=500 LF}</t>
  </si>
  <si>
    <t>Conduit, ELECTRICAL SERVICE, RGS, 1 IN {QTY &gt; 500 LF}</t>
  </si>
  <si>
    <t>Conduit, ELECTRICAL SERVICE, RGS, 1-1/4 IN {QTY &lt;=500 LF}</t>
  </si>
  <si>
    <t>Conduit, ELECTRICAL SERVICE, RGS, 1-1/4 IN {QTY &gt; 500 LF}</t>
  </si>
  <si>
    <t>Conduit, ELECTRICAL SERVICE, RGS, 1-1/2 IN {QTY &lt;=500 LF}</t>
  </si>
  <si>
    <t>Conduit, ELECTRICAL SERVICE, RGS, 1-1/2 IN {QTY &gt; 500 LF}</t>
  </si>
  <si>
    <t>Conduit, ELECTRICAL SERVICE, RGS, 2 IN {QTY &lt;=500 LF}</t>
  </si>
  <si>
    <t>Conduit, ELECTRICAL SERVICE, RGS, 2 IN {QTY &gt; 500 LF}</t>
  </si>
  <si>
    <t>Conduit, ELECTRICAL SERVICE, RGS, 2-1/2 IN {QTY &lt;=500 LF}</t>
  </si>
  <si>
    <t>Conduit, ELECTRICAL SERVICE, RGS, 2-1/2 IN {QTY &gt;500 LF}</t>
  </si>
  <si>
    <t>Conduit, ELECTRICAL SERVICE, RGS, 3 IN {QTY &lt;=500 LF}</t>
  </si>
  <si>
    <t>Conduit, ELECTRICAL SERVICE, RGS, 3 IN {QTY &gt; 500 LF}</t>
  </si>
  <si>
    <t>Conduit, ELECTRICAL SERVICE, RGS, PVC Coated, 3/4 IN {QTY &lt;=500 LF}</t>
  </si>
  <si>
    <t>Conduit, ELECTRICAL SERVICE, RGS, PVC Coated, 3/4 IN {QTY &gt; 500 LF}</t>
  </si>
  <si>
    <t>Conduit, ELECTRICAL SERVICE, RGS, PVC Coated, 1 IN {QTY &lt;=500 LF}</t>
  </si>
  <si>
    <t>Conduit, ELECTRICAL SERVICE, RGS, PVC Coated, 1 IN {QTY &gt; 500 LF}</t>
  </si>
  <si>
    <t>Conduit, ELECTRICAL SERVICE, RGS, PVC Coated, 1-1/4 IN {QTY &lt;=500 LF}</t>
  </si>
  <si>
    <t>Conduit, ELECTRICAL SERVICE, RGS, PVC Coated, 1-1/4 IN {QTY &gt; 500 LF}</t>
  </si>
  <si>
    <t>Conduit, ELECTRICAL SERVICE, RGS, PVC Coated, 1-1/2 IN {QTY &lt;=500 LF}</t>
  </si>
  <si>
    <t>Conduit, ELECTRICAL SERVICE, RGS, PVC Coated, 1-1/2 IN {QTY &gt; 500 LF}</t>
  </si>
  <si>
    <t>Conduit, ELECTRICAL SERVICE, RGS, PVC Coated, 2 IN {QTY &lt;=500 LF}</t>
  </si>
  <si>
    <t>Conduit, ELECTRICAL SERVICE, RGS, PVC Coated, 2 IN {QTY &gt; 500 LF}</t>
  </si>
  <si>
    <t>Conduit Riser, ELECTRICAL SERVICE, 1 IN {QTY &lt;=5EA}</t>
  </si>
  <si>
    <t>Conduit Riser, ELECTRICAL SERVICE, 1 IN {QTY &gt; 5EA}</t>
  </si>
  <si>
    <t>Conduit Riser, ELECTRICAL SERVICE, 1-1/2 IN {QTY &lt;=5EA}</t>
  </si>
  <si>
    <t>Conduit Riser, ELECTRICAL SERVICE, 1-1/2 IN {QTY &gt; 5EA}</t>
  </si>
  <si>
    <t>Conduit Riser, ELECTRICAL SERVICE, 2 IN {QTY &lt;=5EA}</t>
  </si>
  <si>
    <t>Conduit Riser, ELECTRICAL SERVICE, 2 IN {QTY &gt; 5EA}</t>
  </si>
  <si>
    <t>Conduit Riser, ELECTRICAL SERVICE, 2-1/2 IN {QTY &lt;=5EA}</t>
  </si>
  <si>
    <t>Conduit Riser, ELECTRICAL SERVICE, 2-1/2 IN {QTY &gt; 5EA}</t>
  </si>
  <si>
    <t>Conduit Riser, ELECTRICAL SERVICE, 3 IN {QTY &lt;=5EA}</t>
  </si>
  <si>
    <t>Conduit Riser, ELECTRICAL SERVICE, 3 IN {QTY &gt; 5EA}</t>
  </si>
  <si>
    <t>Conduit Riser, ELECTRICAL SERVICE, 4 IN {QTY &lt;=5EA}</t>
  </si>
  <si>
    <t>Conduit Riser, ELECTRICAL SERVICE, 4 IN {QTY &gt; 5EA}</t>
  </si>
  <si>
    <t>Handhole, ELECTRICAL SERVICE, Type 1 {QTY &lt;=5EA}</t>
  </si>
  <si>
    <t>Handhole, ELECTRICAL SERVICE, Type 1 {QTY &gt; 5EA}</t>
  </si>
  <si>
    <t>Handhole, ELECTRICAL SERVICE, Type 2 {QTY &lt;=5EA}</t>
  </si>
  <si>
    <t>Handhole, ELECTRICAL SERVICE, Type 2 {QTY &gt; 5EA}</t>
  </si>
  <si>
    <t>Handhole, ELECTRICAL SERVICE, Type 3 {QTY &lt;=5EA}</t>
  </si>
  <si>
    <t>Handhole, ELECTRICAL SERVICE, Type 3 {QTY &gt; 5EA}</t>
  </si>
  <si>
    <t>Handhole, ELECTRICAL SERVICE, Type 4 {QTY &lt;=5EA}</t>
  </si>
  <si>
    <t>Handhole, ELECTRICAL SERVICE, Type 4 {QTY &gt; 5EA}</t>
  </si>
  <si>
    <t>Handhole, ELECTRICAL SERVICE, Type 5 {QTY &lt;=5EA}</t>
  </si>
  <si>
    <t>Handhole, ELECTRICAL SERVICE, Type 5 {QTY &gt; 5EA}</t>
  </si>
  <si>
    <t>Handhole, ELECTRICAL SERVICE, Type 6 {QTY &lt;=5EA}</t>
  </si>
  <si>
    <t>Relocate Handhole {QTY&lt;=5EA}</t>
  </si>
  <si>
    <t>Relocate Handhole {QTY&gt;5EA}</t>
  </si>
  <si>
    <t>Mobilization Small Project {Value $0.5K-$1M} - 15% Sub Total Const. Cost</t>
  </si>
  <si>
    <t>Mobilization Small Project {Value $1.5M-$2M} - 12% Sub Total Const. Cost</t>
  </si>
  <si>
    <t>Mobilization Small to Mid. Project {Value $2.5M-$5.0M} - 10% Sub Total Const. Cost</t>
  </si>
  <si>
    <t>Mobilization Mid. to Large Project {Value $6M-$10M} - 5% Sub Total Const. Cost</t>
  </si>
  <si>
    <t>Mobilization Mid. to Large Project {Value $10M-$15M} - 4% Sub Total Const. Cost</t>
  </si>
  <si>
    <t>Mobilization Mid. to Large Project {Value $15M-$20M} - 2% Sub Total Const. Cost</t>
  </si>
  <si>
    <t>CONSTRUCTION SURVEY (2 MAN CREW)</t>
  </si>
  <si>
    <t>CONSTRUCTION SURVEY (3 MAN CREW)</t>
  </si>
  <si>
    <t>CONSTRUCTION SURVEY (4 MAN CREW)</t>
  </si>
  <si>
    <t>SAWCUT Cement Concrete Sidewalk, Full Depth {QTY &lt;=10 LF}</t>
  </si>
  <si>
    <t>Safety System in Ditch and Channel Excavation {QTY&lt;=150SF} CSI (REF)</t>
  </si>
  <si>
    <t>Safety System in Ditch and Channel Excavation {QTY&gt;150SF} CSI (REF)</t>
  </si>
  <si>
    <t>IN Stream Bypass CSI (REF)</t>
  </si>
  <si>
    <t>FISH Bypass CSI (REF)</t>
  </si>
  <si>
    <t>CASED BORING - 2-1/2" DIA (WITH SAMPLES)</t>
  </si>
  <si>
    <t>CASED BORING - 3" DIA (WITH SAMPLES)</t>
  </si>
  <si>
    <t>CASED BORING - 4" DIA (WITH SAMPLES)</t>
  </si>
  <si>
    <t>DIRECTIONAL BORING - 2" DIA (FOR HORIZ. PIPE) - UNDERGR</t>
  </si>
  <si>
    <t>DIRECTIONAL BORING - 3" DIA (FOR HORIZ. PIPE) - UNDERGR</t>
  </si>
  <si>
    <t>DIRECTIONAL BORING - 4" DIA (FOR HORIZ. PIPE) - UNDERGR</t>
  </si>
  <si>
    <t>DIRECTIONAL BORING - 5" DIA (FOR HORIZ. PIPE) - UNDERGR</t>
  </si>
  <si>
    <t>DIRECTIONAL BORING - 6" DIA (FOR HORIZ. PIPE) - UNDERGR</t>
  </si>
  <si>
    <t>DIRECTIONAL BORING - 8" DIA (FOR HORIZ. PIPE) - UNDERGR</t>
  </si>
  <si>
    <t>DIRECTIONAL BORING - 10" DIA (FOR HORIZ. PIPE) - UNDERGR</t>
  </si>
  <si>
    <t>DIRECTIONAL BORING - 12" DIA (FOR HORIZ. PIPE) - UNDERGR</t>
  </si>
  <si>
    <t>DIRECTIONAL BORING - 18" DIA (FOR HORIZ. PIPE) - UNDERGR</t>
  </si>
  <si>
    <t>DIRECTIONAL BORING - 24" DIA (FOR HORIZ. PIPE) - UNDERGR</t>
  </si>
  <si>
    <t>DIRECTIONAL BORING - 30" DIA (FOR HORIZ. PIPE) - UNDERGR</t>
  </si>
  <si>
    <t>DIRECTIONAL BORING - 36" DIA (FOR HORIZ. PIPE) - UNDERGR</t>
  </si>
  <si>
    <t>AS-BUILT RECORDS, MIN. BID</t>
  </si>
  <si>
    <t>Remove Pre-Cast MH Over 8' Deep</t>
  </si>
  <si>
    <t>Remove Existing Masonry CB or MH 4'-8' deep</t>
  </si>
  <si>
    <t>Remove Existing Masonry CB or MH over 8' deep</t>
  </si>
  <si>
    <t>Pipe Removal (Water/sewer)-12" Diameter</t>
  </si>
  <si>
    <t>Pipe Removal (Water/sewer)-15"-18" Diameter</t>
  </si>
  <si>
    <t>Pipe Removal (Water/sewer)-21"-24" Diameter</t>
  </si>
  <si>
    <t>Pipe Removal (Water/sewer)-27"-36" Diameter</t>
  </si>
  <si>
    <t>Concrete (RCP) Pipe Removal - 4"-10" diameter</t>
  </si>
  <si>
    <t>Concrete (RCP) Pipe Removal - 42"-48" diameter</t>
  </si>
  <si>
    <t>Concrete (RCP) Pipe Removal - 60"-84" diameter</t>
  </si>
  <si>
    <t>Concrete (RCP) Pipe Removal - 96" diameter</t>
  </si>
  <si>
    <t>Concrete (RCP) Pipe Removal - 108"-144" diameter</t>
  </si>
  <si>
    <t>Remove Concrete fitting-Pipe - 12" diameter</t>
  </si>
  <si>
    <t>Remove Concrete End pieces Pipe - 12" diameter</t>
  </si>
  <si>
    <t>Remove Concrete End pieces Pipe - 15"-18" diameter</t>
  </si>
  <si>
    <t>Remove Concrete End pieces Pipe - 24"-36" diameter</t>
  </si>
  <si>
    <t>Remove Concrete fitting-Pipe - 24"-36" diameter</t>
  </si>
  <si>
    <t>Remove Concrete fitting-Pipe - 48"-84" diameter</t>
  </si>
  <si>
    <t>Remove Concrete fitting-Pipe - 96" diameter</t>
  </si>
  <si>
    <t>Remove Concrete fitting-Pipe - 108"-144" diameter</t>
  </si>
  <si>
    <t>Remove DIP pipe 6"-12" diameter with Fittings</t>
  </si>
  <si>
    <t>Remove DIP pipe 14"-24" diameter with Fittings</t>
  </si>
  <si>
    <t>Remove DIP pipe 24"-30" diameter with Fittings</t>
  </si>
  <si>
    <t>TIGHT SAFETY SYSTEM TRENCH EXCAVATION - (SIZE 12'x12'x8') {8 Foot Deep - 4 HR to install &amp; 2 HR to Remove}</t>
  </si>
  <si>
    <t>TIGHT SAFETY SYSTEM TRENCH EXCAVATION - (SIZE 12'x16'x8') {8 Foot Deep - 5 HR to install &amp; 2.5 HR to Remove}</t>
  </si>
  <si>
    <t>TIGHT SAFETY SYSTEM TRENCH EXCAVATION - (SIZE 12'x20'x8') {8 Foot Deep - 6 HR to install &amp; 3 HR to Remove}</t>
  </si>
  <si>
    <t>TIGHT SAFETY SYSTEM TRENCH EXCAVATION - (SIZE 12'x12'x12') {12 Foot Deep - 4 HR to install &amp; 2 HR to Remove}</t>
  </si>
  <si>
    <t>TIGHT SAFETY SYSTEM TRENCH EXCAVATION - (SIZE 12'x16'x12') {8 Foot Deep - 5 HR to install &amp; 2.5 HR to Remove}</t>
  </si>
  <si>
    <t>TIGHT SAFETY SYSTEM TRENCH EXCAVATION - (SIZE 12'x20'x12') {8 Foot Deep - 6 HR to install &amp; 3 HR to Remove}</t>
  </si>
  <si>
    <t>TIGHT SAFETY SYSTEM TRENCH EXCAVATION - (SIZE 12'x12'x16') {16 Foot Deep - 8 HR to install &amp; 6 HR to Remove}</t>
  </si>
  <si>
    <t>TIGHT SAFETY SYSTEM TRENCH EXCAVATION - (SIZE 12'x16'x16') {16 Foot Deep - 9 HR to install &amp; 6 HR to Remove}</t>
  </si>
  <si>
    <t>TIGHT SAFETY SYSTEM TRENCH EXCAVATION - (SIZE 12'x20'x16') {16 Foot Deep - 10 HR to install &amp; 6 HR to Remove}</t>
  </si>
  <si>
    <t>SOLDIER PILE SHORING WITH TIE-BACKS FOR STRUCTURE {&lt;=25 Foot Deep}</t>
  </si>
  <si>
    <t>SOLDIER PILE SHORING WITH TIE-BACKS FOR STRUCTURE {&gt;30 Foot Deep}</t>
  </si>
  <si>
    <t>Dewatering - Pumping Water (2" Pump) to Baker Tank - Small Water Flow Capacity</t>
  </si>
  <si>
    <t>Dewatering - Pumping Water (3" Pump) to Baker Tank - Small to Mid-range Water Flow Capacity</t>
  </si>
  <si>
    <t>Dewatering - Pumping Water (4" Pump) to Baker Tank - Mid to Large Water Flow Capacity</t>
  </si>
  <si>
    <t>Dewatering - Pumping Water (6" Pump) to Baker Tank - Large Water Flow Capacity</t>
  </si>
  <si>
    <t>Potholing Up to 7 FT Deep {QTY &gt;10 EA}</t>
  </si>
  <si>
    <t>Potholing or Exploratory Excavations {QTY &gt;150 EA}</t>
  </si>
  <si>
    <t>UTILITY POTHOLING {QTY &lt;=3 EA}</t>
  </si>
  <si>
    <t>UTILITY POTHOLING {QTY 4-10 EA}</t>
  </si>
  <si>
    <t>Contaminated soil excavation, loading, and disposal {QTY &lt;=20 TN}</t>
  </si>
  <si>
    <t>Contaminated soil excavation, loading, and disposal {QTY 25-50 TN}</t>
  </si>
  <si>
    <t>Contaminated soil excavation, loading, and disposal {QTY &gt;50 TN}</t>
  </si>
  <si>
    <t>VIBRATION MONITORING (400 LF Pipe/Weekly)</t>
  </si>
  <si>
    <t>VIBRATION MONITORING (1625 LF Pipe/Monthly)</t>
  </si>
  <si>
    <t>TEMPORARY CURB RAMP, HMA (CL 1/2 IN) {QTY &lt;=5 SY}</t>
  </si>
  <si>
    <t>TEMPORARY CURB RAMP, HMA (CL 1/2 IN) {QTY 5-10 SY}</t>
  </si>
  <si>
    <t>TEMPORARY CURB RAMP, HMA (CL 1/2 IN) {QTY &gt;10 SY}</t>
  </si>
  <si>
    <t>INLET TYPE 250 A.1</t>
  </si>
  <si>
    <t>INLET TYPE 250 A.2</t>
  </si>
  <si>
    <t>PIPE, WM, DI, CL 52, 4 IN, SUSP. INCL. Fitting {QTY &lt;=50 FT}</t>
  </si>
  <si>
    <t>PIPE, WM, DI, CL 52, 4 IN, SUSP. INCL. Fitting {QTY &gt;50 FT}</t>
  </si>
  <si>
    <t>PIPE, WM, DI, CL 52, 6 IN, SUSP. INCL. Fitting {QTY &lt;=50 FT}</t>
  </si>
  <si>
    <t>PIPE, WM, DI, CL 52, 6 IN, SUSP. INCL. Fitting {QTY &gt;50 FT}</t>
  </si>
  <si>
    <t>PIPE, WM, DI, CL 52, 8 IN, SUSP. INCL. Fitting {QTY &lt;=50 FT}</t>
  </si>
  <si>
    <t>PIPE, WM, DI, CL 52, 8 IN, SUSP. INCL. Fitting {QTY &gt;50 FT}</t>
  </si>
  <si>
    <t>PIPE, WM, EQRDIP, Zink Coated &amp; Cement Mortar Lined, CL 53, 6 IN, RJ, INCL. Fitt {QTY &lt;=50 LF}</t>
  </si>
  <si>
    <t>PIPE, WM, EQRDIP, Zink Coated &amp; Cement Mortar Lined, CL 53, 6 IN, RJ, INCL. Fitt {QTY 50-100 LF}</t>
  </si>
  <si>
    <t>PIPE, WM, EQRDIP, Zink Coated &amp; Cement Mortar Lined, CL 53, 6 IN, RJ, INCL. Fitt {QTY &gt;100 LF}</t>
  </si>
  <si>
    <t>PIPE, WM, EQRDIP, Zink Coated &amp; Cement Mortar Lined, CL 53, 12 IN, RJ, INCL. Fitt {QTY &lt;=50 LF}</t>
  </si>
  <si>
    <t>PIPE, WM, EQRDIP, Zink Coated &amp; Cement Mortar Lined, CL 53, 12 IN, RJ, INCL. Fitt {QTY 50-100 LF}</t>
  </si>
  <si>
    <t>PIPE, WM, EQRDIP, Zink Coated &amp; Cement Mortar Lined, CL 53, 16 IN, RJ, INCL. Fitt {QTY &lt;=50 LF}</t>
  </si>
  <si>
    <t>PIPE, WM, EQRDIP, Zink Coated &amp; Cement Mortar Lined, CL 53, 16 IN, RJ, INCL. Fitt {QTY 50-100 LF}</t>
  </si>
  <si>
    <t>PIPE, WM, EQRDIP, Zink Coated &amp; Cement Mortar Lined, CL 53, 16 IN, RJ, INCL. Fitt {QTY &gt;100 LF}</t>
  </si>
  <si>
    <t>PIPE, WM, EQRDIP, Zink Coated &amp; Cement Mortar Lined, CL 53, 18 IN, RJ, INCL. Fitt {QTY &lt;=50 LF}</t>
  </si>
  <si>
    <t>PIPE, WM, EQRDIP, Zink Coated &amp; Cement Mortar Lined, CL 53, 18 IN, RJ, INCL. Fitt {QTY 50-100 LF}</t>
  </si>
  <si>
    <t>PIPE, WM, EQRDIP, Zink Coated &amp; Cement Mortar Lined, CL 53, 18 IN, RJ, INCL. Fitt {QTY &gt;100 LF}</t>
  </si>
  <si>
    <t>PIPE, WM, EQRDIP, Zink Coated &amp; Cement Mortar Lined, CL 53, 20 IN, RJ, INCL. Fitt {QTY &lt;=50 LF}</t>
  </si>
  <si>
    <t>PIPE, WM, EQRDIP, Zink Coated &amp; Cement Mortar Lined, CL 53, 20 IN, RJ, INCL. Fitt {QTY 50-100 LF}</t>
  </si>
  <si>
    <t>PIPE, WM, EQRDIP, Zink Coated &amp; Cement Mortar Lined, CL 53, 20 IN, RJ, INCL. Fitt {QTY &gt;100 LF}</t>
  </si>
  <si>
    <t>90° Bend 4" DIA DI Pipe</t>
  </si>
  <si>
    <t>90° Bend Ball 4" DIA DI {QTY &lt;=5 EA}</t>
  </si>
  <si>
    <t>VALVE, GATE DOUBLE DISK w/BYPASS &amp; SPUR GEAR 6 IN {QTY &lt;=3 EA}</t>
  </si>
  <si>
    <t>VALVE, GATE DOUBLE DISK w/BYPASS &amp; SPUR GEAR 6 IN {QTY &gt;3 EA}</t>
  </si>
  <si>
    <t>VALVE, GATE DOUBLE DISK w/BYPASS &amp; SPUR GEAR 8 IN {QTY &lt;=3 EA}</t>
  </si>
  <si>
    <t>VALVE, GATE DOUBLE DISK w/BYPASS &amp; SPUR GEAR 8 IN {QTY &gt;3 EA}</t>
  </si>
  <si>
    <t>VALVE, GATE DOUBLE DISK w/BYPASS &amp; SPUR GEAR 10 IN {QTY &lt;=3 EA}</t>
  </si>
  <si>
    <t>VALVE, GATE DOUBLE DISK w/BYPASS &amp; SPUR GEAR 10 IN {QTY &gt;3 EA}</t>
  </si>
  <si>
    <t>VALVE, GATE DOUBLE DISK w/BYPASS &amp; SPUR GEAR 12 IN {QTY &lt;=3 EA}</t>
  </si>
  <si>
    <t>VALVE, GATE DOUBLE DISK w/BYPASS &amp; SPUR GEAR 12 IN {QTY &gt;3 EA}</t>
  </si>
  <si>
    <t>VALVE, GATE DOUBLE DISK w/BYPASS &amp; SPUR GEAR 16 IN {QTY &lt;=3 EA}</t>
  </si>
  <si>
    <t>VALVE, GATE DOUBLE DISK w/BYPASS &amp; SPUR GEAR 16 IN {QTY &gt;3 EA}</t>
  </si>
  <si>
    <t>VALVE, GATE DOUBLE DISK w/BYPASS &amp; SPUR GEAR 20 IN {QTY &lt;=3 EA}</t>
  </si>
  <si>
    <t>VALVE, GATE DOUBLE DISK w/BYPASS &amp; SPUR GEAR 20 IN {QTY &gt;3 EA}</t>
  </si>
  <si>
    <t>VALVE, GATE DOUBLE DISK w/BYPASS &amp; SPUR GEAR 24 IN {QTY &lt;=3 EA}</t>
  </si>
  <si>
    <t>VALVE, GATE DOUBLE DISK w/BYPASS &amp; SPUR GEAR 24 IN {QTY &gt;3 EA}</t>
  </si>
  <si>
    <t>VALVE, GATE DOUBLE DISK w/BYPASS &amp; SPUR GEAR 30 IN {QTY &lt;=3 EA}</t>
  </si>
  <si>
    <t>VALVE, GATE DOUBLE DISK w/BYPASS &amp; SPUR GEAR 30 IN {QTY &gt;3 EA}</t>
  </si>
  <si>
    <t>VALVE, GATE DOUBLE DISK w/BYPASS &amp; SPUR GEAR 36 IN {QTY &lt;=3 EA}</t>
  </si>
  <si>
    <t>VALVE, GATE DOUBLE DISK w/BYPASS &amp; SPUR GEAR 36 IN {QTY &gt;3 EA}</t>
  </si>
  <si>
    <t>CONTRACTOR SUPPORT FOR SERVICE CONN. TO UNION AT BUILDING (&lt;2 IN DIA) {QTY &lt;=5 EA}</t>
  </si>
  <si>
    <t>CONTRACTOR SUPPORT FOR SERVICE CONN. TO UNION AT BUILDING (&lt;2 IN DIA) {QTY &gt;5 EA}</t>
  </si>
  <si>
    <t>CONTRACTOR SUPPORT FOR SERVICE CONN. TO UNION AT BUILDING (&gt;2 IN DIA) {QTY &lt;=5 EA}</t>
  </si>
  <si>
    <t>CONTRACTOR SUPPORT FOR SERVICE CONN. TO UNION AT BUILDING (&gt;2 IN DIA) {QTY &gt;5 EA}</t>
  </si>
  <si>
    <t>CONTRACTOR SUPPORT FOR SERVICE CONN. TO EXISTING SERVICE (&lt;2 IN DIA) {QTY &lt;=5 EA}</t>
  </si>
  <si>
    <t>CONTRACTOR SUPPORT FOR SERVICE CONN. TO EXISTING SERVICE (&lt;2 IN DIA) {QTY &gt;5 EA}</t>
  </si>
  <si>
    <t>CONTRACTOR SUPPORT FOR SERVICE CONN. TO EXISTING SERVICE (&gt;2 IN DIA) {QTY &lt;=5 EA}</t>
  </si>
  <si>
    <t>CONTRACTOR SUPPORT FOR SERVICE CONN. TO EXISTING SERVICE (&gt;2 IN DIA) {QTY &gt;5 EA}</t>
  </si>
  <si>
    <t>PIPE HDPE CORRUG, TYPE SDR 17, WT Gaskets, 42" DIA {QTY &lt;=50 FT}</t>
  </si>
  <si>
    <t>RESET GRANITE CURB {QTY &lt;=10 LF}</t>
  </si>
  <si>
    <t>RESET GRANITE CURB {QTY &gt;30 LF}</t>
  </si>
  <si>
    <t>RESET BRICK PAVERS {QTY &lt;=100 SF}</t>
  </si>
  <si>
    <t>RESET BRICK PAVERS {QTY &gt;100 SF}</t>
  </si>
  <si>
    <t>BRICK SIDEWALK {QTY &lt;=5 SY}</t>
  </si>
  <si>
    <t>BRICK SIDEWALK {QTY 5-10 SY}</t>
  </si>
  <si>
    <t>BRICK SIDEWALK {QTY &gt;10 SY}</t>
  </si>
  <si>
    <t>Pre-cast Concrete Parking Bump (6"x10"x6'-0")</t>
  </si>
  <si>
    <t>C.I.P. Concrete Forms, Elevated Slabs, Box-out for shallow slab, opening over 10 S.F (use perimeter) included shoring, erecting, bracing, stripping and cleaning</t>
  </si>
  <si>
    <t>C.I.P. Concrete Forms, Elevated Slabs, Curb Forms, wood 6" to 12" High, 2 use included shoring, erecting, bracing, stripping and cleaning</t>
  </si>
  <si>
    <t>Waterstop, Rubber, center bulb, split, 3/8" thick x 6" wide</t>
  </si>
  <si>
    <t>Reinforcing Steel, in place, SOG, #3 to #7, A615, grade 60 (Labor for accessories)</t>
  </si>
  <si>
    <t>Concrete Ready Mix, regular weight, slabs/mats 4000 PSI</t>
  </si>
  <si>
    <t>Concrete Ready Mix, regular weight, slabs/mats 5000 PSI</t>
  </si>
  <si>
    <t>Structural Concrete Placing Walls, Pumped 15" thick, incl. vibrating</t>
  </si>
  <si>
    <t>DEMOLITION of Precast Concrete Wheel Stop</t>
  </si>
  <si>
    <t>6' x 6' x 6' Precast Concrete Underground Utility Vault with 6" thick walls and 8" thick top.</t>
  </si>
  <si>
    <t>6' x 8' x 7' Precast Concrete Underground Utility Vault with 6" thick walls and 8" thick top.</t>
  </si>
  <si>
    <t>8' x 8' x 7' Precast Concrete Underground Utility Vault with 6" thick walls and 8" thick top.</t>
  </si>
  <si>
    <t>8' x 8' x 8' Precast Concrete Underground Utility Vault with 6" thick walls and 8" thick top.</t>
  </si>
  <si>
    <t>8' x 12' x 8' Precast Concrete Underground Utility Vault with 8" thick wall &amp; top.</t>
  </si>
  <si>
    <t>8' x 14' x 6' Precast Concrete Underground Utility Vault with 8" thick wall &amp; top.</t>
  </si>
  <si>
    <t>48 MH x 18" Cone, PF, WC, Seattle Steps, 8" Risers, Flat top</t>
  </si>
  <si>
    <t>54 MH x 24" Cone, Concentric, Seattle Steps, 8" Risers, Flat top</t>
  </si>
  <si>
    <t>60 MH x 36" Cone, PF, WC, Seattle Steps, 8" Risers, Flat top</t>
  </si>
  <si>
    <t>6" x 6" x 6' Precast Concrete Wheel Stop</t>
  </si>
  <si>
    <t>6" x 8" x 4' Precast Concrete Wheel Stop</t>
  </si>
  <si>
    <t>ENGINEERED FILL (F&amp;I) LIGHT WEIGHT CONCRETE (ELSTIZEL) - 32 PCF {QTY &lt;=50 CY}</t>
  </si>
  <si>
    <t>ENGINEERED FILL (F&amp;I) LIGHT WEIGHT CONCRETE (ELSTIZEL) - 32 PCF {QTY 60-100 CY}</t>
  </si>
  <si>
    <t>ENGINEERED FILL (F&amp;I) LIGHT WEIGHT CONCRETE (ELSTIZEL) - 32 PCF {QTY &gt;100 CY}</t>
  </si>
  <si>
    <t>Curb Ramp-Non Standard (442A) {QTY &lt;=20 EA}</t>
  </si>
  <si>
    <t>Curb Ramp-Non Standard (442A) {QTY &gt;20 EA}</t>
  </si>
  <si>
    <t>SIDEWALK, CEM CONC 5" Thick {QTY &gt;=500 SY}</t>
  </si>
  <si>
    <t>SIDEWALK, CEM CONC 5" Thick {QTY &lt;500 SY}</t>
  </si>
  <si>
    <t>DAILEY BLOCK 5' x4' (WEIGHT-2500 LBS)</t>
  </si>
  <si>
    <t>DAILEY BLOCK 5' x5' (WEIGHT-3000 LBS)</t>
  </si>
  <si>
    <t>DAILEY BLOCK 5' x8' (WEIGHT-5000 LBS)</t>
  </si>
  <si>
    <t>POWER WASH &amp; CLEAN BRICK SEWER - CONFINED SPACE - (REGULAR WORK-HRS)</t>
  </si>
  <si>
    <t>POWER WASH &amp; CLEAN BRICK SEWER - CONFINED SPACE - (NIGHT WORK-HRS)</t>
  </si>
  <si>
    <t>REMOVE &amp; REPOINT BRICK SEWER MORTAR JOINT UP TO 1" Depth, USING "N" Type Mortar - CONFINED SPACES - (REGULAR WORK-HRS)</t>
  </si>
  <si>
    <t>REMOVE &amp; REPOINT BRICK SEWER MORTAR JOINT UP TO 1" Depth, USING "N" Type Mortar - CONFINED SPACES - (NIGHT WORK-HRS)</t>
  </si>
  <si>
    <t>REPLACE DAMAGED BRICK UNDERGROUND BRICK SEWER - CONFINED SPACE - (REGULAR WORK-HRS)</t>
  </si>
  <si>
    <t>REPLACE DAMAGED BRICK UNDERGROUND BRICK SEWER - CONFINED SPACE - (NIGHT WORK-HRS)</t>
  </si>
  <si>
    <t>GROUT, For Bond Beams, Lintels &amp; CMU Cores, C476</t>
  </si>
  <si>
    <t>REINFORCING STEEL Bars A615, Placed Horizontal, #4 Bar</t>
  </si>
  <si>
    <t>CHANNEL Framing, Structural Steel, Field Fabricated C6x8.2 (Incl cutting &amp; welding)</t>
  </si>
  <si>
    <t>WOOD Framing Miscell., Rough Bucks Treated for Doors &amp; Windows (2" x8")</t>
  </si>
  <si>
    <t>REGLET, Zink and Cooper Alloy, 20 ounce</t>
  </si>
  <si>
    <t>DEMOLITION of W6 x 9/W10x45 A36 Structural Column</t>
  </si>
  <si>
    <t>DEMOLITION of S3 x 5.7 A36 /S5x10 Structural Column</t>
  </si>
  <si>
    <t>DEMOLITION of M6 x 20/M5x13 A36 Structural Column</t>
  </si>
  <si>
    <t>DEMOLITION of W8 x 24 A36 Structural Beam Or Girder</t>
  </si>
  <si>
    <t>DEMOLITION of W8 x 35 A36 Structural Beam Or Girder</t>
  </si>
  <si>
    <t>DEMOLITION of W10 x 12 A36 Structural Beam Or Girder</t>
  </si>
  <si>
    <t>DEMOLITION of W10 x 15 A36 Structural Beam Or Girder</t>
  </si>
  <si>
    <t>DEMOLITION of W10 x 22 A36 Structural Beam Or Girder</t>
  </si>
  <si>
    <t>DEMOLITION of W10 x 30 A36 Structural Beam Or Girder</t>
  </si>
  <si>
    <t>DEMOLITION of 1", 3"Deep, 18/22 Gauge Open Ribbed Galvanized Steel Deck</t>
  </si>
  <si>
    <t>W10 x 45 A36 STRUCTURAL COLUMN, High Strength Low Alloy A588 Grade B Steel</t>
  </si>
  <si>
    <t>W10 x 54 A36 STRUCTURAL COLUMN, High Strength Low Alloy A588 Grade B Steel</t>
  </si>
  <si>
    <t>W12 x 40 A36 STRUCTURAL COLUMN, High Strength Flange Steel</t>
  </si>
  <si>
    <t>W14 x 43 A36 STRUCTURAL COLUMN, High Strength A572-50</t>
  </si>
  <si>
    <t>W16 x 57 A36 STRUCTURAL BEAM On Girder, High Strength Low Alloy A588</t>
  </si>
  <si>
    <t>W18 x 97 A36 STRUCTURAL BEAM On Girder, High Strength Low Alloy A588</t>
  </si>
  <si>
    <t>W21 x 83 A36 STRUCTURAL BEAM On Girder, High Strength Low Alloy A572-50</t>
  </si>
  <si>
    <t>M5 x 13 A36 STRUCTURAL COLUMN, High Strength Low Alloy A572-50 Steel</t>
  </si>
  <si>
    <t>M5 x 13 A36 STRUCTURAL COLUMN, High Strength Low Alloy A588 Grade B Steel</t>
  </si>
  <si>
    <t>M6 x 20 A36 STRUCTURAL COLUMN, High Strength Low Alloy A572-50 Steel</t>
  </si>
  <si>
    <t>S5 x 10 A36 STRUCTURAL COLUMN, High Strength Low Alloy A572-50 Steel</t>
  </si>
  <si>
    <t>S3 x 5.7 A36 STRUCTURAL COLUMN, High Strength Low Alloy A572-50 Steel</t>
  </si>
  <si>
    <t>S3 x 7.5 A36 STRUCTURAL COLUMN, High Strength Low Alloy A572-50 Steel</t>
  </si>
  <si>
    <t>S4 x 9.5 A36 STRUCTURAL COLUMN, High Strength Low Alloy A588 Grade B Steel</t>
  </si>
  <si>
    <t>W6 x 9 A36 STRUCTURAL BEAM Or GIRDER, High Strength Low Alloy A572-50 Steel</t>
  </si>
  <si>
    <t>W8 x 10 A36 STRUCTURAL BEAM Or GIRDER, Eachitional Top Copes &gt;2</t>
  </si>
  <si>
    <t>W8 x 18 A36 STRUCTURAL BEAM Or GIRDER, Eachitional Top Copes &gt;2</t>
  </si>
  <si>
    <t>W8 x 21 A36 STRUCTURAL BEAM Or GIRDER, Eachitional Top Copes &gt;2</t>
  </si>
  <si>
    <t>W8 x 24 A36 STRUCTURAL BEAM Or GIRDER, Eachitional Top Copes &gt;2</t>
  </si>
  <si>
    <t>W8 x 35 A36 STRUCTURAL BEAM Or GIRDER, Eachitional Top Copes &gt;2</t>
  </si>
  <si>
    <t>W10 x 12 A36 STRUCTURAL BEAM Or GIRDER, Eachitional Top Copes &gt;2</t>
  </si>
  <si>
    <t>W10 x 15 A36 A36 STRUCTURAL BEAM Or GIRDER, Eachitional Top Copes &gt;2</t>
  </si>
  <si>
    <t>W10 x 22 A36 A36 STRUCTURAL BEAM Or GIRDER, Eachitional Top Copes &gt;2</t>
  </si>
  <si>
    <t>W10 x 30 A36 A36 STRUCTURAL BEAM Or GIRDER, Eachitional Top Copes &gt;2</t>
  </si>
  <si>
    <t>1" STEEL DECK Deep, 18/18 Gauge Cellular Galvanized {QTY &lt;100}</t>
  </si>
  <si>
    <t>1" STEEL DECK Deep, 22/18 Gauge Cellular Galvanized {QTY &lt;100}</t>
  </si>
  <si>
    <t>1" STEEL DECK Deep, 22/18 Gauge Cellular Galvanized {QTY 100-500}</t>
  </si>
  <si>
    <t>3" STEEL DECK Deep, 16 Gauge Open Ribbed Galvanized {QTY &lt;100}</t>
  </si>
  <si>
    <t>3" STEEL DECK Deep, 18/18 Gauge Cellular Galvanized {QTY &lt;100}</t>
  </si>
  <si>
    <t>LADDER PLATFORM, Steel (3' x4')</t>
  </si>
  <si>
    <t>LADDER PLATFORM, Steel (4' x5')</t>
  </si>
  <si>
    <t>RAILING, PIPE, Aluminum, clear anodized, 2 rails, 3'-6" high, post @ 5' O.C, 1-1/4" DIA, Shop Fabricated</t>
  </si>
  <si>
    <t>RAILING, PIPE, Steel, ASTM clear anodized, 2 rails, 3'-6" high, post @ 5' O.C, 1-1/4" DIA, Shop Fabricated</t>
  </si>
  <si>
    <t>STEEL GRATING 3'-6" Wide Open Tread Metal Stair</t>
  </si>
  <si>
    <t>STEEL GRATING 3'-6" Wide Open Tread Metal Stair, Closed Riser</t>
  </si>
  <si>
    <t>STEEL GRATING 3'-6" Wide Open Tread Metal Stair, Galvanized Steel</t>
  </si>
  <si>
    <t>STEEL GRATING 4'-0" Wide Open Tread Metal Stair</t>
  </si>
  <si>
    <t>STEEL GRATING 4'-0" Wide Open Tread Metal Stair, Closed Riser</t>
  </si>
  <si>
    <t>STEEL GRATING 4'-0" Wide Open Tread Metal Stair, Galvanized Steel</t>
  </si>
  <si>
    <t>STEEL GRATING 5'-0" Wide Open Tread Metal Stair</t>
  </si>
  <si>
    <t>STEEL GRATING 5'-0" Wide Open Tread Metal Stair, Closed Riser</t>
  </si>
  <si>
    <t>STEEL GRATING 5'-0" Wide Open Tread Metal Stair, Galvanized Steel</t>
  </si>
  <si>
    <t>GRATING 3/4" x 1/8" Steel, Welded, Set In Place Without Bolting Or Tack Welding</t>
  </si>
  <si>
    <t>GRATING 3/4" x 1/8" Steel, Welded, Crossbars At 2" O.C</t>
  </si>
  <si>
    <t>GRATING 3/4" x 1/8" Steel, Welded, Bearing Bars At 15/16" O.C</t>
  </si>
  <si>
    <t>GRATING 3/4" x 1/8" Steel, Welded, 304 Stainless Steel</t>
  </si>
  <si>
    <t>GRATING 1" x 1/8" Steel, Welded, Set In Place Without Bolting Or Tack Welding</t>
  </si>
  <si>
    <t>GRATING 1" x 1/8" Steel, Welded</t>
  </si>
  <si>
    <t>GRATING 1" x 1/8" Steel, Welded, Serrated Wear Surface</t>
  </si>
  <si>
    <t>GRATING 1" x 1/8" Steel, Welded, Galvanized Steel</t>
  </si>
  <si>
    <t>GRATING 1" x 1/8" Steel, Welded, Bearing Bars At 15/16" O.C.</t>
  </si>
  <si>
    <t>GRATING 1" x 1/8" Steel, Welded, 304 Stainless Steel</t>
  </si>
  <si>
    <t>BOLT, HEX Head, Plain steel 1" Dia x3" L A307, incl nut &amp; Washer</t>
  </si>
  <si>
    <t>Floor Grating 1"x1/8" {QTY &lt;=100 SF}</t>
  </si>
  <si>
    <t>Floor Grating 1-1/4"x1/8" {QTY &lt;=100 SF}</t>
  </si>
  <si>
    <t>Floor Grating 1-3/4"x3/16" {QTY &lt;=100 SF}</t>
  </si>
  <si>
    <t>Floor Grating 2-1/4"x3/16" {QTY &lt;=100 SF}</t>
  </si>
  <si>
    <t>DEMOLITION of 2" x 4" Wood Blocking To Steel</t>
  </si>
  <si>
    <t>2" x 4" Wood Blocking To Steel</t>
  </si>
  <si>
    <t>3/4" PORTLAND Cement Plaster Scratch Coat for Walls {QTY &gt;1000 SF}</t>
  </si>
  <si>
    <t>3/4" PORTLAND Cement Plaster Scratch Coat for Walls {QTY 50-250 SF}</t>
  </si>
  <si>
    <t>3/4" PORTLAND Cement Plaster Scratch Coat for Walls {QTY &lt;=50 SF}</t>
  </si>
  <si>
    <t>STEEL Roofing Panels on Steel Frame, flat profile, standard finish, 1"x3/8" batten, 12" wide, 22 gauge</t>
  </si>
  <si>
    <t>FASCIA, Steel, Galvanized &amp; Enameled, stock, long Paneld, excl. furring</t>
  </si>
  <si>
    <t>FOAM BOARD Wall Insulation, polyurethane foam, 2#/CF, density, 4" thick, R20</t>
  </si>
  <si>
    <t>Standing Seam Concealed Fastener Metal Roofing, 0.040" Aluminum Standing Seam with Perimeter Flashing</t>
  </si>
  <si>
    <t>DEMOLITION of 16 Gauge &amp; 20 Gauge Perforated Metal, 63% Openings, Operable, Steel Security Window Screen</t>
  </si>
  <si>
    <t>DOORS, Commercial, Steel, Insulated, Full Panel, 18 GA, 3'-0"x6'-8"x1-3/4" thick</t>
  </si>
  <si>
    <t>DOOR Steel, 2'-6" x 6'-9" x 1-3/4" 18 Gauge (Unrated) With Semicircular Head, 16 Gauge Door</t>
  </si>
  <si>
    <t>DOOR Steel, 2'-2" Or 2'-4" x 6'-9" x 1-3/4" 18 Gauge (Unrated) With Semicircular Head, 16 Gauge Door</t>
  </si>
  <si>
    <t>DOOR/Frame Hollow Metal 2'-8" x 6'-8" x 1-3/4" 18 Gauge (Unrated), 2" Thick Door</t>
  </si>
  <si>
    <t>DOOR Metal 2'-8" x 8' x 1-3/4" 18 Gauge (Unrated), 20 Minutes To 30 Minutes Rated Door And FM Label</t>
  </si>
  <si>
    <t>DOOR Metal 3'-6" x 6'-8" x 1-3/4" 18 Gauge (Unrated), 2 Hour To 2-1/2 Hour Rated Door And FM Label</t>
  </si>
  <si>
    <t>DOOR Metal 2'-10" x 6'-8" x 1-3/4" 18 Gauge (Unrated), Type 304 Stainless Steel Door</t>
  </si>
  <si>
    <t>DOOR Metal 4' x 6'-8" x 1-3/4" 18 Gauge (Unrated), Type 316 Stainless Steel Door</t>
  </si>
  <si>
    <t>DOOR METAL, Pair 2'-8" x 8' x 1-3/4" 18 Gauge (Unrated), Embossed Panel</t>
  </si>
  <si>
    <t>DOOR METAL, Pair 2'-8" x 7'-2" x 1-3/4" 18 Gauge (Unrated), Galvanized Steel</t>
  </si>
  <si>
    <t>DOOR METAL, Pair 3'-6" x 6'-8" x 1-3/4" 18 Gauge (Unrated), Galvanized Steel</t>
  </si>
  <si>
    <t>DOOR METAL, Pair 2'-10" x 6'-8" x 1-3/4" 18 Gauge (Unrated), Type 304 Stainless Steel Door</t>
  </si>
  <si>
    <t>DOOR METAL, 14' x 12', 24 Gauge Galvanized Steel Overhead Coiling Door, Chain Lift, Insulated (Auto Operated)</t>
  </si>
  <si>
    <t>DOOR METAL, 16' x 12', 24 Gauge Galvanized Steel Overhead Coiling Door, Chain Lift, Insulated (auto Operated)</t>
  </si>
  <si>
    <t>STEEL SECURITY WINDOW 16 Gauge Perforated Metal, 63% Openings, Operable, Screen</t>
  </si>
  <si>
    <t>STEEL SECURITY WINDOW 16 Gauge Perforated Metal, 63% Openings, Operable, Screen, Painted Steel</t>
  </si>
  <si>
    <t>STEEL SECURITY WINDOW 16 Gauge Perforated Metal, 63% Openings, Operable, Screen, Galvanized Steel</t>
  </si>
  <si>
    <t>STEEL SECURITY WINDOW 16 Gauge Perforated Metal, 63% Openings, Operable, Screen, Aluminum</t>
  </si>
  <si>
    <t>STEEL SECURITY WINDOW 16 Gauge Perforated Metal, 63% Openings, Operable, Screen, Stainless Steel</t>
  </si>
  <si>
    <t>STEEL SECURITY WINDOW 20 Gauge Perforated Metal, 63% Openings, Operable, Screen</t>
  </si>
  <si>
    <t>STEEL SECURITY WINDOW 20 Gauge Perforated Metal, 63% Openings, Operable, Screen, Painted Steel</t>
  </si>
  <si>
    <t>STEEL SECURITY WINDOW 20 Gauge Perforated Metal, 63% Openings, Operable, Screen, Aluminum</t>
  </si>
  <si>
    <t>STEEL SECURITY WINDOW 20 Gauge Perforated Metal, 63% Openings, Operable, Screen, Stainless Steel</t>
  </si>
  <si>
    <t>2-1/2" Metal Studs, Galvanized, 20 GA, 24" O.C, non load bmg.&gt;10FT</t>
  </si>
  <si>
    <t>1/2" Gypsum Board, Adhesive Applied Sheets Instead Of Fasteners (Includes Bracing Until Adhesive Is Bonded)</t>
  </si>
  <si>
    <t>1/2" Gypsum Board, Curved Surfaces With A 2'-0" Maximum Radius</t>
  </si>
  <si>
    <t>3/8" Gypsum Board, Adhesive Applied Sheets Instead Of Fasteners (Includes Bracing Until Adhesive Is Bonded)</t>
  </si>
  <si>
    <t>3/8" Gypsum Board, Horizontal Installation &gt; 10' High</t>
  </si>
  <si>
    <t>3/8" Gypsum Board, Curved Surfaces With A 2'-0" Maximum Radius</t>
  </si>
  <si>
    <t>STOCK and Strap- Gypsum Board, Walls</t>
  </si>
  <si>
    <t>Hard Floor, Light Clean, Heavy Clean</t>
  </si>
  <si>
    <t>Epoxy Flooring Trowel Applied Mortar Compound, 1/4" Heavy Duty (6000 - 7500 PSI)</t>
  </si>
  <si>
    <t>Epoxy Flooring Trowel Applied Mortar Compound, 1/4" Heavy Duty (6000 - 7500 PSI), &gt; 1000 To 2000</t>
  </si>
  <si>
    <t>Epoxy Flooring Trowel Applied Mortar Compound, 1/4" Heavy Duty (6000 - 7500 PSI), Skid Resistant, Orange Peel Texture, Non-Abrasive Topping</t>
  </si>
  <si>
    <t>Epoxy Flooring Trowel Applied Mortar Compound, 1/4" Heavy Duty (6000 - 7500 PSI), Up To 500</t>
  </si>
  <si>
    <t>Paint Floors, One Coat Paint, Brush/Roller Work</t>
  </si>
  <si>
    <t>Paint Floors/Walls (interior), Two Coat Paint, Brush/Roller Work</t>
  </si>
  <si>
    <t>Patch Floors, 1/8" To 1/4", Cementitious Patching Mortar</t>
  </si>
  <si>
    <t>Vinyl Floor Tile Feature Strip, Brown Or Black {QTY &lt;=20 SF}</t>
  </si>
  <si>
    <t>Vinyl Floor Tile Feature Strip, Brown Or Black {QTY 20-40 SF}</t>
  </si>
  <si>
    <t>Vinyl Floor Tile Feature Strip, Brown Or Black {QTY 40-100 SF}</t>
  </si>
  <si>
    <t>Wall Finishes, 1/16" Float Finish {QTY &lt;=50 SF}</t>
  </si>
  <si>
    <t>Wall Finishes, 1/16" Float Finish {QTY 50-250 SF}</t>
  </si>
  <si>
    <t>Wall Finishes, 1/16" Float Finish {QTY 2,500-7,500 SF}</t>
  </si>
  <si>
    <t>Wall Finishes, 1/16" Float Finish {QTY 7,500-10,000 SF}</t>
  </si>
  <si>
    <t>Wall Finishes, Light Sand Blast {QTY &lt;=50 SF}</t>
  </si>
  <si>
    <t>Wall Finishes, Light Sand Blast {QTY 50-250 SF}</t>
  </si>
  <si>
    <t>Wall Finishes, Light Sand Blast {QTY 2,500-7,500 SF}</t>
  </si>
  <si>
    <t>BOOM ARTICULATED 33FT NARROW ELEC (Monthly Rate)</t>
  </si>
  <si>
    <t>BOOM ARTICULATED 33FT NARROW ELEC (Hourly Rate)</t>
  </si>
  <si>
    <t>BOOM ARTICULATED 30FT NAR ROT JIB ELEC (Monthly Rate)</t>
  </si>
  <si>
    <t>BOOM ARTICULATED 30FT NAR ROT JIB ELEC (Hourly Rate)</t>
  </si>
  <si>
    <t>BOOM ARTICULATED 30FT NARROW ELEC (Monthly Rate)</t>
  </si>
  <si>
    <t>BOOM ARTICULATED 30FT NARROW ELEC (Hourly Rate)</t>
  </si>
  <si>
    <t>BOOM ARTICULATED 34FT WIDE ROT JIB ELEC (Monthly Rate)</t>
  </si>
  <si>
    <t>BOOM ARTICULATED 34FT WIDE ROT JIB ELEC (Hourly Rate)</t>
  </si>
  <si>
    <t>BOOM ARTICULATED 34FT 4WD DSL (Monthly Rate)</t>
  </si>
  <si>
    <t>BOOM ARTICULATED 34FT 4WD DSL (Hourly Rate)</t>
  </si>
  <si>
    <t>BOOM STRAIGHT 40FT 2WD DSL (Monthly Rate)</t>
  </si>
  <si>
    <t>BOOM STRAIGHT 40FT 2WD DSL (Hourly Rate)</t>
  </si>
  <si>
    <t>BOOM STRAIGHT 40FT 2WD DF (Monthly Rate)</t>
  </si>
  <si>
    <t>BOOM STRAIGHT 40FT 2WD DF (Hourly Rate)</t>
  </si>
  <si>
    <t>BOOM STRAIGHT 40FT 4WD DF (Monthly Rate)</t>
  </si>
  <si>
    <t>BOOM STRAIGHT 40FT 4WD DF (Hourly Rate)</t>
  </si>
  <si>
    <t>BOOM STRAIGHT 40FT 4WD DSL (Monthly Rate)</t>
  </si>
  <si>
    <t>BOOM STRAIGHT 40FT 4WD DSL (Hourly Rate)</t>
  </si>
  <si>
    <t>BOOM STRAIGHT 45FT JIB 4WD DSL (Monthly Rate)</t>
  </si>
  <si>
    <t>BOOM STRAIGHT 45FT JIB 4WD DSL (Hourly Rate)</t>
  </si>
  <si>
    <t>BOOM ARTICULATED 45FT JIB 4WD DSL (Monthly Rate)</t>
  </si>
  <si>
    <t>BOOM ARTICULATED 45FT JIB 4WD DSL (Hourly Rate)</t>
  </si>
  <si>
    <t>BOOM ARTICULATED 45FT ELEC (Monthly Rate)</t>
  </si>
  <si>
    <t>BOOM ARTICULATED 45FT ELEC (Hourly Rate)</t>
  </si>
  <si>
    <t>BOOM ARTICULATED 45FT JIB 4WD DF (Monthly Rate)</t>
  </si>
  <si>
    <t>BOOM ARTICULATED 45FT JIB 4WD DF (Hourly Rate)</t>
  </si>
  <si>
    <t>BOOM ARTICULATED 45FT 4WD DSL (Monthly Rate)</t>
  </si>
  <si>
    <t>BOOM ARTICULATED 45FT 4WD DSL (Hourly Rate)</t>
  </si>
  <si>
    <t>BOOM ARTICULATED 40FT NARROW JIB ELEC (Monthly Rate)</t>
  </si>
  <si>
    <t>BOOM ARTICULATED 40FT NARROW JIB ELEC (Hourly Rate)</t>
  </si>
  <si>
    <t>BOOM ARTICULATED 40FT NAR ROT JIB ELEC (Monthly Rate)</t>
  </si>
  <si>
    <t>BOOM ARTICULATED 40FT NAR ROT JIB ELEC (Hourly Rate)</t>
  </si>
  <si>
    <t>BOOM ARTICULATED 40FT WIDE ROT JIB ELEC (Monthly Rate)</t>
  </si>
  <si>
    <t>BOOM ARTICULATED 40FT WIDE ROT JIB ELEC (Hourly Rate)</t>
  </si>
  <si>
    <t>BOOM ARTICULATED 45FT 4WD DF (Monthly Rate)</t>
  </si>
  <si>
    <t>BOOM ARTICULATED 45FT 4WD DF (Hourly Rate)</t>
  </si>
  <si>
    <t>BOOM ARTICULATED 45FT JIB ELEC (Monthly Rate)</t>
  </si>
  <si>
    <t>BOOM ARTICULATED 45FT JIB ELEC (Hourly Rate)</t>
  </si>
  <si>
    <t>BOOM ARTICULATED 45FT 2WD DF (Monthly Rate)</t>
  </si>
  <si>
    <t>BOOM ARTICULATED 45FT 2WD DF (Hourly Rate)</t>
  </si>
  <si>
    <t>BOOM ARTICULATED 45FT 2WD DSL (Monthly Rate)</t>
  </si>
  <si>
    <t>BOOM ARTICULATED 45FT 2WD DSL (Hourly Rate)</t>
  </si>
  <si>
    <t>BOOM STRAIGHT 65FT JIB 4WD DF (Monthly Rate)</t>
  </si>
  <si>
    <t>BOOM STRAIGHT 65FT JIB 4WD DF (Hourly Rate)</t>
  </si>
  <si>
    <t>BOOM STRAIGHT 60FT 2WD DF (Monthly Rate)</t>
  </si>
  <si>
    <t>BOOM STRAIGHT 60FT 2WD DF (Hourly Rate)</t>
  </si>
  <si>
    <t>BOOM STRAIGHT 60FT 4WD DSL (Monthly Rate)</t>
  </si>
  <si>
    <t>BOOM STRAIGHT 60FT 4WD DSL (Hourly Rate)</t>
  </si>
  <si>
    <t>BOOM STRAIGHT 60FT 4WD DF (Monthly Rate)</t>
  </si>
  <si>
    <t>BOOM STRAIGHT 60FT 4WD DF (Hourly Rate)</t>
  </si>
  <si>
    <t>BOOM ARTICULATED 60FT 4WD DSL (Monthly Rate)</t>
  </si>
  <si>
    <t>BOOM ARTICULATED 60FT 4WD DSL (Hourly Rate)</t>
  </si>
  <si>
    <t>BOOM STRAIGHT 65FT JIB 4WD DSL (Monthly Rate)</t>
  </si>
  <si>
    <t>BOOM STRAIGHT 65FT JIB 4WD DSL (Hourly Rate)</t>
  </si>
  <si>
    <t>BOOM ARTICULATED 60FT JIB 4WD DF (Monthly Rate)</t>
  </si>
  <si>
    <t>BOOM ARTICULATED 60FT JIB 4WD DF (Hourly Rate)</t>
  </si>
  <si>
    <t>BOOM ARTICULATED 60FT 4WD DF (Monthly Rate)</t>
  </si>
  <si>
    <t>BOOM ARTICULATED 60FT 4WD DF (Hourly Rate)</t>
  </si>
  <si>
    <t>BOOM ARTICULATED 60FT JIB 2WD DF (Monthly Rate)</t>
  </si>
  <si>
    <t>BOOM ARTICULATED 60FT JIB 2WD DF (Hourly Rate)</t>
  </si>
  <si>
    <t>BOOM ARTICULATED 60FT JIB 4WD DSL (Monthly Rate)</t>
  </si>
  <si>
    <t>BOOM ARTICULATED 60FT JIB 4WD DSL (Hourly Rate)</t>
  </si>
  <si>
    <t>BOOM ARTICULATED 60FT 2WD DF (Monthly Rate)</t>
  </si>
  <si>
    <t>BOOM ARTICULATED 60FT 2WD DF (Hourly Rate)</t>
  </si>
  <si>
    <t>BOOM STRAIGHT MAST 60FT JIB 4WD ELEC (Monthly Rate)</t>
  </si>
  <si>
    <t>BOOM STRAIGHT MAST 60FT JIB 4WD ELEC (Hourly Rate)</t>
  </si>
  <si>
    <t>BOOM STRAIGHT MAST 60FT JIB 2WD ELEC (Monthly Rate)</t>
  </si>
  <si>
    <t>BOOM STRAIGHT MAST 60FT JIB 2WD ELEC (Hourly Rate)</t>
  </si>
  <si>
    <t>BOOM STRAIGHT MAST 60FT JIB 4WD HYB (Monthly Rate)</t>
  </si>
  <si>
    <t>BOOM STRAIGHT MAST 60FT JIB 4WD HYB (Hourly Rate)</t>
  </si>
  <si>
    <t>BOOM ARTICULATED 80FT 4WD DF (Monthly Rate)</t>
  </si>
  <si>
    <t>BOOM ARTICULATED 80FT 4WD DF (Hourly Rate)</t>
  </si>
  <si>
    <t>BOOM STRAIGHT 80FT 4WD DF (Monthly Rate)</t>
  </si>
  <si>
    <t>BOOM STRAIGHT 80FT 4WD DF (Hourly Rate)</t>
  </si>
  <si>
    <t>BOOM ARTICULATED 80FT JIB 4WD DF (Monthly Rate)</t>
  </si>
  <si>
    <t>BOOM ARTICULATED 80FT JIB 4WD DF (Hourly Rate)</t>
  </si>
  <si>
    <t>BOOM ARTICULATED 80FT JIB 4WD DSL (Monthly Rate)</t>
  </si>
  <si>
    <t>BOOM ARTICULATED 80FT JIB 4WD DSL (Hourly Rate)</t>
  </si>
  <si>
    <t>BOOM ARTICULATED 80FT 4WD DSL (Monthly Rate)</t>
  </si>
  <si>
    <t>BOOM ARTICULATED 80FT 4WD DSL (Hourly Rate)</t>
  </si>
  <si>
    <t>BOOM STRAIGHT 80FT 4WD DSL (Monthly Rate)</t>
  </si>
  <si>
    <t>BOOM STRAIGHT 80FT 4WD DSL (Hourly Rate)</t>
  </si>
  <si>
    <t>BOOM STRAIGHT 85FT JIB 4WD DSL (Monthly Rate)</t>
  </si>
  <si>
    <t>BOOM STRAIGHT 85FT JIB 4WD DSL (Hourly Rate)</t>
  </si>
  <si>
    <t>BOOM STRAIGHT 85FT JIB 4WD DF (Monthly Rate)</t>
  </si>
  <si>
    <t>BOOM STRAIGHT 85FT JIB 4WD DF (Hourly Rate)</t>
  </si>
  <si>
    <t>BOOM STRAIGHT 120FT JIB 4WD DSL (Monthly Rate)</t>
  </si>
  <si>
    <t>BOOM STRAIGHT 120FT JIB 4WD DSL (Hourly Rate)</t>
  </si>
  <si>
    <t>BOOM STRAIGHT 125FT JIB 4WD DSL (Monthly Rate)</t>
  </si>
  <si>
    <t>BOOM STRAIGHT 125FT JIB 4WD DSL (Hourly Rate)</t>
  </si>
  <si>
    <t>BOOM ARTICULATED 125FT JIB 4WD DSL (Monthly Rate)</t>
  </si>
  <si>
    <t>BOOM ARTICULATED 125FT JIB 4WD DSL (Hourly Rate)</t>
  </si>
  <si>
    <t>BOOM STRAIGHT 135FT JIB 4WD DSL (Monthly Rate)</t>
  </si>
  <si>
    <t>BOOM STRAIGHT 135FT JIB 4WD DSL (Hourly Rate)</t>
  </si>
  <si>
    <t>BOOM ARTICULATED 135FT JIB 4WD DSL (Monthly Rate)</t>
  </si>
  <si>
    <t>BOOM ARTICULATED 135FT JIB 4WD DSL (Hourly Rate)</t>
  </si>
  <si>
    <t>COMPACT CRAWLER LIFT, 50-59', BATTERY (Monthly Rate)</t>
  </si>
  <si>
    <t>COMPACT CRAWLER LIFT, 50-59', BATTERY (Hourly Rate)</t>
  </si>
  <si>
    <t>COMPACT CRAWLER BOOM LIFT 70-79' BATTERY (Monthly Rate)</t>
  </si>
  <si>
    <t>COMPACT CRAWLER BOOM LIFT 70-79' BATTERY (Hourly Rate)</t>
  </si>
  <si>
    <t>BOOM ARTICULATED 150FT JIB 4WD DSL (Monthly Rate)</t>
  </si>
  <si>
    <t>BOOM ARTICULATED 150FT JIB 4WD DSL (Hourly Rate)</t>
  </si>
  <si>
    <t>BOOM STRAIGHT 150FT JIB 4WD DSL (Monthly Rate)</t>
  </si>
  <si>
    <t>BOOM STRAIGHT 150FT JIB 4WD DSL (Hourly Rate)</t>
  </si>
  <si>
    <t>BOOM STRAIGHT 180FT JIB 4WD DSL (Monthly Rate)</t>
  </si>
  <si>
    <t>BOOM STRAIGHT 180FT JIB 4WD DSL (Hourly Rate)</t>
  </si>
  <si>
    <t>MAST LIFT 5-7FT PORTABLE (Hourly Rate)</t>
  </si>
  <si>
    <t>MAST LIFT 5-7FT PORTABLE (Monthly Rate)</t>
  </si>
  <si>
    <t>SCISSOR LIFT 15FT NARROW ELEC (Hourly Rate)</t>
  </si>
  <si>
    <t>SCISSOR LIFT 15FT NARROW ELEC (Monthly Rate)</t>
  </si>
  <si>
    <t>SCISSOR LIFT 19FT NARROW ELEC (Hourly Rate)</t>
  </si>
  <si>
    <t>SCISSOR LIFT 19FT NARROW ELEC (Monthly Rate)</t>
  </si>
  <si>
    <t>SCISSOR LIFT 14FT 30IN ELEC (Hourly Rate)</t>
  </si>
  <si>
    <t>SCISSOR LIFT 14FT 30IN ELEC (Monthly Rate)</t>
  </si>
  <si>
    <t>SCISSOR LIFT 12FT 30IN ELEC (Hourly Rate)</t>
  </si>
  <si>
    <t>SCISSOR LIFT 12FT 30IN ELEC (Monthly Rate)</t>
  </si>
  <si>
    <t>MAST LIFT 12FT DRIVABLE BATT (Hourly Rate)</t>
  </si>
  <si>
    <t>MAST LIFT 12FT DRIVABLE BATT (Monthly Rate)</t>
  </si>
  <si>
    <t>MAST LIFT 13-15FT PORTABLE BATT (Hourly Rate)</t>
  </si>
  <si>
    <t>MAST LIFT 13-15FT PORTABLE BATT (Monthly Rate)</t>
  </si>
  <si>
    <t>MAST LIFT 15FT-16FT DRIVABLE BATT (Hourly Rate)</t>
  </si>
  <si>
    <t>MAST LIFT 15FT-16FT DRIVABLE BATT (Monthly Rate)</t>
  </si>
  <si>
    <t>MAST LIFT 20FT DRIVABLE BATT (Hourly Rate)</t>
  </si>
  <si>
    <t>MAST LIFT 20FT DRIVABLE BATT (Monthly Rate)</t>
  </si>
  <si>
    <t>SCISSOR LIFT 20FT NARROW ELEC (Hourly Rate)</t>
  </si>
  <si>
    <t>SCISSOR LIFT 20FT NARROW ELEC (Monthly Rate)</t>
  </si>
  <si>
    <t>MAST LIFT 30FT PUSH AROUND OUTR BATT (Hourly Rate)</t>
  </si>
  <si>
    <t>MAST LIFT 30FT PUSH AROUND OUTR BATT (Monthly Rate)</t>
  </si>
  <si>
    <t>MAST LIFT 25FT PUSH AROUND OUTR BATT (Hourly Rate)</t>
  </si>
  <si>
    <t>MAST LIFT 25FT PUSH AROUND OUTR BATT (Monthly Rate)</t>
  </si>
  <si>
    <t>SCISSOR LIFT 26FT 46" WIDE ELEC (Hourly Rate)</t>
  </si>
  <si>
    <t>SCISSOR LIFT 26FT 46" WIDE ELEC (Monthly Rate)</t>
  </si>
  <si>
    <t>SCISSOR LIFT 26FT 32" WIDE ELEC (Hourly Rate)</t>
  </si>
  <si>
    <t>SCISSOR LIFT 26FT 32" WIDE ELEC (Monthly Rate)</t>
  </si>
  <si>
    <t>MAST LIFT 36FT PUSH AROUND OUTR BATT (Hourly Rate)</t>
  </si>
  <si>
    <t>MAST LIFT 36FT PUSH AROUND OUTR BATT (Monthly Rate)</t>
  </si>
  <si>
    <t>SCISSOR LIFT 32FT 46" WIDE ELEC (Hourly Rate)</t>
  </si>
  <si>
    <t>SCISSOR LIFT 32FT 46" WIDE ELEC (Monthly Rate)</t>
  </si>
  <si>
    <t>MAST LIFT 40FT PUSH AROUND OUTR BATT (Hourly Rate)</t>
  </si>
  <si>
    <t>MAST LIFT 40FT PUSH AROUND OUTR BATT (Monthly Rate)</t>
  </si>
  <si>
    <t>SCISSOR LIFT 26FT RT DSL (Hourly Rate)</t>
  </si>
  <si>
    <t>SCISSOR LIFT 26FT RT DSL (Monthly Rate)</t>
  </si>
  <si>
    <t>SCISSOR LIFT 26FT RT DF (Hourly Rate)</t>
  </si>
  <si>
    <t>SCISSOR LIFT 26FT RT DF (Monthly Rate)</t>
  </si>
  <si>
    <t>SCISSOR LIFT 26FT RT OUTR DF (Hourly Rate)</t>
  </si>
  <si>
    <t>SCISSOR LIFT 26FT RT OUTR DF (Monthly Rate)</t>
  </si>
  <si>
    <t>SCISSOR LIFT 33FT RT 69IN DECK DSL (Hourly Rate)</t>
  </si>
  <si>
    <t>SCISSOR LIFT 33FT RT 69IN DECK DSL (Monthly Rate)</t>
  </si>
  <si>
    <t>SCISSOR LIFT 33FT RT 84IN DECK DF (Hourly Rate)</t>
  </si>
  <si>
    <t>SCISSOR LIFT 33FT RT 84IN DECK DF (Monthly Rate)</t>
  </si>
  <si>
    <t>SCISSOR LIFT 26FT RT OUTR DSL (Hourly Rate)</t>
  </si>
  <si>
    <t>SCISSOR LIFT 26FT RT OUTR DSL (Monthly Rate)</t>
  </si>
  <si>
    <t>SCISSOR LIFT 32FT 32" WIDE ELEC (Hourly Rate)</t>
  </si>
  <si>
    <t>SCISSOR LIFT 32FT 32" WIDE ELEC (Monthly Rate)</t>
  </si>
  <si>
    <t>SCISSOR LIFT 33FT RT 69IN DECK OUTR DSL (Hourly Rate)</t>
  </si>
  <si>
    <t>SCISSOR LIFT 33FT RT 69IN DECK OUTR DSL (Monthly Rate)</t>
  </si>
  <si>
    <t>SCISSOR LIFT 33FT RT 84IN DECK OUTR DF (Hourly Rate)</t>
  </si>
  <si>
    <t>SCISSOR LIFT 33FT RT 84IN DECK OUTR DF (Monthly Rate)</t>
  </si>
  <si>
    <t>SCISSOR LIFT 33FT RT 69IN DECK DF (Hourly Rate)</t>
  </si>
  <si>
    <t>SCISSOR LIFT 33FT RT 69IN DECK DF (Monthly Rate)</t>
  </si>
  <si>
    <t>SCISSOR LIFT 33FT RT 69IN DECK OUTR DF (Hourly Rate)</t>
  </si>
  <si>
    <t>SCISSOR LIFT 33FT RT 69IN DECK OUTR DF (Monthly Rate)</t>
  </si>
  <si>
    <t>SCISSOR LIFT 33FT RT 94IN DECK DF (Hourly Rate)</t>
  </si>
  <si>
    <t>SCISSOR LIFT 33FT RT 94IN DECK DF (Monthly Rate)</t>
  </si>
  <si>
    <t>SCISSOR LIFT 40FT 69" WIDE ELEC (Hourly Rate)</t>
  </si>
  <si>
    <t>SCISSOR LIFT 40FT 69" WIDE ELEC (Monthly Rate)</t>
  </si>
  <si>
    <t>SCISSOR LIFT 40FT 47" WIDE ELEC (Hourly Rate)</t>
  </si>
  <si>
    <t>SCISSOR LIFT 40FT 47" WIDE ELEC (Monthly Rate)</t>
  </si>
  <si>
    <t>SCISSOR LIFT 33FT RT 94IN DECK OUTR DF (Hourly Rate)</t>
  </si>
  <si>
    <t>SCISSOR LIFT 33FT RT 94IN DECK OUTR DF (Monthly Rate)</t>
  </si>
  <si>
    <t>SCISSOR LIFT 33FT RT 94IN DECK OUTR DSL (Hourly Rate)</t>
  </si>
  <si>
    <t>SCISSOR LIFT 33FT RT 94IN DECK OUTR DSL (Monthly Rate)</t>
  </si>
  <si>
    <t>SCISSOR LIFT 33FT RT 84IN DECK OUTR DSL (Hourly Rate)</t>
  </si>
  <si>
    <t>SCISSOR LIFT 33FT RT 84IN DECK OUTR DSL (Monthly Rate)</t>
  </si>
  <si>
    <t>SCISSOR LIFT 40-45FT RT 94IN DECK DF (Hourly Rate)</t>
  </si>
  <si>
    <t>SCISSOR LIFT 40-45FT RT 94IN DECK DF (Monthly Rate)</t>
  </si>
  <si>
    <t>SCISSOR LIFT 40-45FT RT 94IN DECK DSL (Hourly Rate)</t>
  </si>
  <si>
    <t>SCISSOR LIFT 40-45FT RT 94IN DECK DSL (Monthly Rate)</t>
  </si>
  <si>
    <t>SCISSOR LIFT 40-45FT RT 94IN DECKOUTR DF (Hourly Rate)</t>
  </si>
  <si>
    <t>SCISSOR LIFT 40-45FT RT 94IN DECKOUTR DF (Monthly Rate)</t>
  </si>
  <si>
    <t>SCISSOR LIFT 40-45FT RT 94IN DECKOUTRDSL (Hourly Rate)</t>
  </si>
  <si>
    <t>SCISSOR LIFT 40-45FT RT 94IN DECKOUTRDSL (Monthly Rate)</t>
  </si>
  <si>
    <t>SCISSOR LIFT 50-53FT RT OUTRIG DF (Hourly Rate)</t>
  </si>
  <si>
    <t>SCISSOR LIFT 50-53FT RT OUTRIG DF (Monthly Rate)</t>
  </si>
  <si>
    <t>SCISSOR LIFT 50-53FT RT OUTRIG DSL (Hourly Rate)</t>
  </si>
  <si>
    <t>SCISSOR LIFT 50-53FT RT OUTRIG DSL (Monthly Rate)</t>
  </si>
  <si>
    <t>BOOM TOWABLE 35FT BATTERY (Monthly Rate)</t>
  </si>
  <si>
    <t>BOOM TOWABLE 35FT BATTERY (Hourly Rate)</t>
  </si>
  <si>
    <t>BOOM TOWABLE 50FT BATTERY (Monthly Rate)</t>
  </si>
  <si>
    <t>BOOM TOWABLE 50FT BATTERY (Hourly Rate)</t>
  </si>
  <si>
    <t>COMPRESSOR 7 CFM ELECTRIC PORTABLE (Hourly Rate)</t>
  </si>
  <si>
    <t>COMPRESSOR 7 CFM ELECTRIC PORTABLE (Monthly Rate)</t>
  </si>
  <si>
    <t>COMPRESSOR 8 CFM GAS PORTABLE (Hourly Rate)</t>
  </si>
  <si>
    <t>COMPRESSOR 8 CFM GAS PORTABLE (Monthly Rate)</t>
  </si>
  <si>
    <t>COMPRESSOR STATIONARY 25 CFM GAS (Hourly Rate)</t>
  </si>
  <si>
    <t>COMPRESSOR STATIONARY 25 CFM GAS (Monthly Rate)</t>
  </si>
  <si>
    <t>COMPRESSOR 4 CFM ELECTRIC PORTABLE (Hourly Rate)</t>
  </si>
  <si>
    <t>COMPRESSOR 4 CFM ELECTRIC PORTABLE (Monthly Rate)</t>
  </si>
  <si>
    <t>MANIFOLD AIR (Hourly Rate)</t>
  </si>
  <si>
    <t>MANIFOLD AIR (Monthly Rate)</t>
  </si>
  <si>
    <t>COMPRESSOR 14 CFM GAS PORTABLE (Hourly Rate)</t>
  </si>
  <si>
    <t>COMPRESSOR 14 CFM GAS PORTABLE (Monthly Rate)</t>
  </si>
  <si>
    <t>COMPRESSOR RECIPROCATING 5HP ELEC (Hourly Rate)</t>
  </si>
  <si>
    <t>COMPRESSOR RECIPROCATING 5HP ELEC (Monthly Rate)</t>
  </si>
  <si>
    <t>COMPRESSOR 175-195 CFM DSL TOW (Hourly Rate)</t>
  </si>
  <si>
    <t>COMPRESSOR 175-195 CFM DSL TOW (Monthly Rate)</t>
  </si>
  <si>
    <t>COMPRESSOR RECIPROCATING 25HP ELEC (Hourly Rate)</t>
  </si>
  <si>
    <t>COMPRESSOR RECIPROCATING 25HP ELEC (Monthly Rate)</t>
  </si>
  <si>
    <t>COMPRESSOR ROTARY 130CFM ELEC (Hourly Rate)</t>
  </si>
  <si>
    <t>COMPRESSOR ROTARY 130CFM ELEC (Monthly Rate)</t>
  </si>
  <si>
    <t>COMPRESSOR 375-425 CFM DSL TOW 125 PSI (Hourly Rate)</t>
  </si>
  <si>
    <t>COMPRESSOR 375-425 CFM DSL TOW 125 PSI (Monthly Rate)</t>
  </si>
  <si>
    <t>COMPRESSOR ROTARY 240CFM ELEC (Hourly Rate)</t>
  </si>
  <si>
    <t>COMPRESSOR ROTARY 240CFM ELEC (Monthly Rate)</t>
  </si>
  <si>
    <t>COMPRESSOR ROTARY 240CFM 125PSI ELEC (Hourly Rate)</t>
  </si>
  <si>
    <t>COMPRESSOR ROTARY 240CFM 125PSI ELEC (Monthly Rate)</t>
  </si>
  <si>
    <t>COMPRESSOR ROTARY 365CFM ELEC (Hourly Rate)</t>
  </si>
  <si>
    <t>COMPRESSOR ROTARY 365CFM ELEC (Monthly Rate)</t>
  </si>
  <si>
    <t>COMPRESSOR ROTARY 365CFM 125PSI ELEC (Hourly Rate)</t>
  </si>
  <si>
    <t>COMPRESSOR ROTARY 365CFM 125PSI ELEC (Monthly Rate)</t>
  </si>
  <si>
    <t>COMPRESSOR TOWABLE 750CFM DSL (Hourly Rate)</t>
  </si>
  <si>
    <t>COMPRESSOR TOWABLE 750CFM DSL (Monthly Rate)</t>
  </si>
  <si>
    <t>COMPRESSOR TOWABLE 825CFM DSL (Hourly Rate)</t>
  </si>
  <si>
    <t>COMPRESSOR TOWABLE 825CFM DSL (Monthly Rate)</t>
  </si>
  <si>
    <t>COMPRESSOR TOWABLE 900CFM DSL (Hourly Rate)</t>
  </si>
  <si>
    <t>COMPRESSOR TOWABLE 900CFM DSL (Monthly Rate)</t>
  </si>
  <si>
    <t>COMPRESSOR ROTARY 750CFM ELEC (Hourly Rate)</t>
  </si>
  <si>
    <t>COMPRESSOR ROTARY 750CFM ELEC (Monthly Rate)</t>
  </si>
  <si>
    <t>COMPRESSOR TOWABLE INST QUAL 750CFM DSL (Hourly Rate)</t>
  </si>
  <si>
    <t>COMPRESSOR TOWABLE INST QUAL 750CFM DSL (Monthly Rate)</t>
  </si>
  <si>
    <t>COMPRESSOR ROTARY 500CFM 125PSI ELEC (Hourly Rate)</t>
  </si>
  <si>
    <t>COMPRESSOR ROTARY 500CFM 125PSI ELEC (Monthly Rate)</t>
  </si>
  <si>
    <t>COMPRESSOR ROTARY 750CFM 125PSI ELEC (Hourly Rate)</t>
  </si>
  <si>
    <t>COMPRESSOR ROTARY 750CFM 125PSI ELEC (Monthly Rate)</t>
  </si>
  <si>
    <t>COMPRESSOR ROTARY 1000CFM 125PSI ELEC (Hourly Rate)</t>
  </si>
  <si>
    <t>COMPRESSOR ROTARY 1000CFM 125PSI ELEC (Monthly Rate)</t>
  </si>
  <si>
    <t>COMPRESSOR TOWABLE 1600CFM DSL (Hourly Rate)</t>
  </si>
  <si>
    <t>COMPRESSOR TOWABLE 1600CFM DSL (Monthly Rate)</t>
  </si>
  <si>
    <t>COMPRESSOR ROTARY 1500CFM ELEC (Hourly Rate)</t>
  </si>
  <si>
    <t>COMPRESSOR ROTARY 1500CFM ELEC (Monthly Rate)</t>
  </si>
  <si>
    <t>COMPRESSOR ROTARY 1500CFM 125PSI ELEC (Hourly Rate)</t>
  </si>
  <si>
    <t>COMPRESSOR ROTARY 1500CFM 125PSI ELEC (Monthly Rate)</t>
  </si>
  <si>
    <t>COMPRESSOR TOWABLE INS QUAL 1600CFM DSL (Hourly Rate)</t>
  </si>
  <si>
    <t>COMPRESSOR TOWABLE INS QUAL 1600CFM DSL (Monthly Rate)</t>
  </si>
  <si>
    <t>BLOWER/VENTILATING (Monthly Rate)</t>
  </si>
  <si>
    <t>BLOWER/VENTILATING (Hourly Rate)</t>
  </si>
  <si>
    <t>CART BURDEN 2 PASSENGER 3-WH ELEC 600 LB (Hourly Rate)</t>
  </si>
  <si>
    <t>CART BURDEN 2 PASSENGER 3-WH ELEC 600 LB (Monthly Rate)</t>
  </si>
  <si>
    <t>CART BURDEN 2 PASSENGER ELEC 2-3,000 LB (Hourly Rate)</t>
  </si>
  <si>
    <t>CART BURDEN 2 PASSENGER ELEC 2-3,000 LB (Monthly Rate)</t>
  </si>
  <si>
    <t>CART UTV 2 PASSENGER GAS (Hourly Rate)</t>
  </si>
  <si>
    <t>CART UTV 2 PASSENGER GAS (Monthly Rate)</t>
  </si>
  <si>
    <t>CART UTV 2 PASSENGER DSL (Hourly Rate)</t>
  </si>
  <si>
    <t>CART UTV 2 PASSENGER DSL (Monthly Rate)</t>
  </si>
  <si>
    <t>CART UTV 4 PASSENGER GAS (Hourly Rate)</t>
  </si>
  <si>
    <t>CART UTV 4 PASSENGER GAS (Monthly Rate)</t>
  </si>
  <si>
    <t>CART UTV 4 PASSENGER DSL (Hourly Rate)</t>
  </si>
  <si>
    <t>CART UTV 4 PASSENGER DSL (Monthly Rate)</t>
  </si>
  <si>
    <t>CART UTV 2 PASSENGER DSL WITH CAB (Hourly Rate)</t>
  </si>
  <si>
    <t>CART UTV 2 PASSENGER DSL WITH CAB (Monthly Rate)</t>
  </si>
  <si>
    <t>CHIPPING HAMMER RETAINER 13-20 LB AIR (Monthly Rate)</t>
  </si>
  <si>
    <t>CHIPPING HAMMER RETAINER 13-20 LB AIR (Hourly Rate)</t>
  </si>
  <si>
    <t>COOLER EVAPORATIVE PORT 36IN 115V ELEC (Hourly Rate)</t>
  </si>
  <si>
    <t>COOLER EVAPORATIVE PORT 36IN 115V ELEC (Monthly Rate)</t>
  </si>
  <si>
    <t>COOLER EVAPORATIVE TRAIL MOUNT 36IN 115V (Hourly Rate)</t>
  </si>
  <si>
    <t>COOLER EVAPORATIVE TRAIL MOUNT 36IN 115V (Monthly Rate)</t>
  </si>
  <si>
    <t>1 TON PORT AIR CONDITIONER W/HEAT 120 V (Hourly Rate)</t>
  </si>
  <si>
    <t>1 TON PORT AIR CONDITIONER W/HEAT 120 V (Monthly Rate)</t>
  </si>
  <si>
    <t>1 TON PORT AIR CONDITIONER 120V (Hourly Rate)</t>
  </si>
  <si>
    <t>1 TON PORT AIR CONDITIONER 120V (Monthly Rate)</t>
  </si>
  <si>
    <t>1.2 TON PORT AIR COND W HEAT 5-20P PLUG (Hourly Rate)</t>
  </si>
  <si>
    <t>1.2 TON PORT AIR COND W HEAT 5-20P PLUG (Monthly Rate)</t>
  </si>
  <si>
    <t>5 TON AIR CONDITIONER 1PH 208/230V (Hourly Rate)</t>
  </si>
  <si>
    <t>5 TON AIR CONDITIONER 1PH 208/230V (Monthly Rate)</t>
  </si>
  <si>
    <t>5 TON AIR COND W HEAT PUMP 3PH 208/230V (Hourly Rate)</t>
  </si>
  <si>
    <t>5 TON AIR COND W HEAT PUMP 3PH 208/230V (Monthly Rate)</t>
  </si>
  <si>
    <t>5 TON PORTABLE AIR CONDITIONER 3PH 460V (Hourly Rate)</t>
  </si>
  <si>
    <t>5 TON PORTABLE AIR CONDITIONER 3PH 460V (Monthly Rate)</t>
  </si>
  <si>
    <t>5 TON PORTABLE AIR CONDITIONER 1PH 230V (Hourly Rate)</t>
  </si>
  <si>
    <t>5 TON PORTABLE AIR CONDITIONER 1PH 230V (Monthly Rate)</t>
  </si>
  <si>
    <t>5 TON AIR CONDITION SKID 20KW HEAT NEMA4 (Hourly Rate)</t>
  </si>
  <si>
    <t>5 TON AIR CONDITION SKID 20KW HEAT NEMA4 (Monthly Rate)</t>
  </si>
  <si>
    <t>12 TON AIR CONDITIONER ON CASTERS NEMA4 (Hourly Rate)</t>
  </si>
  <si>
    <t>12 TON AIR CONDITIONER ON CASTERS NEMA4 (Monthly Rate)</t>
  </si>
  <si>
    <t>20 TON VERT AIR CONDITIONER NEMA4 (Hourly Rate)</t>
  </si>
  <si>
    <t>20 TON VERT AIR CONDITIONER NEMA4 (Monthly Rate)</t>
  </si>
  <si>
    <t>10TON AIR CONDITION SKID 36KW HEAT NEMA4 (Hourly Rate)</t>
  </si>
  <si>
    <t>10TON AIR CONDITION SKID 36KW HEAT NEMA4 (Monthly Rate)</t>
  </si>
  <si>
    <t>100 TON VERT CHILLED WATER HANDLERNEMA4 (Hourly Rate)</t>
  </si>
  <si>
    <t>100 TON VERT CHILLED WATER HANDLERNEMA4 (Monthly Rate)</t>
  </si>
  <si>
    <t>20 TON VERT AIR CONDITION 72KW HEATNEMA4 (Hourly Rate)</t>
  </si>
  <si>
    <t>20 TON VERT AIR CONDITION 72KW HEATNEMA4 (Monthly Rate)</t>
  </si>
  <si>
    <t>5 TON AIR CONDITION SKID 9KW HEAT NEMA7 (Hourly Rate)</t>
  </si>
  <si>
    <t>5 TON AIR CONDITION SKID 9KW HEAT NEMA7 (Monthly Rate)</t>
  </si>
  <si>
    <t>50 TON CHILLED WATER AIR HANDLER NEMA4 (Hourly Rate)</t>
  </si>
  <si>
    <t>50 TON CHILLED WATER AIR HANDLER NEMA4 (Monthly Rate)</t>
  </si>
  <si>
    <t>28-30 TON AIR CONDITIONER NEMA4 (Hourly Rate)</t>
  </si>
  <si>
    <t>28-30 TON AIR CONDITIONER NEMA4 (Monthly Rate)</t>
  </si>
  <si>
    <t>25 TON AIR CONDITION SKID 72KW HEATNEMA4 (Hourly Rate)</t>
  </si>
  <si>
    <t>25 TON AIR CONDITION SKID 72KW HEATNEMA4 (Monthly Rate)</t>
  </si>
  <si>
    <t>20 TON INDUSTRIAL AIR CONDITIONER NEMA4 (Hourly Rate)</t>
  </si>
  <si>
    <t>20 TON INDUSTRIAL AIR CONDITIONER NEMA4 (Monthly Rate)</t>
  </si>
  <si>
    <t>20 TON INDUSTRIAL AIR CONDITIONER NEMA7 (Hourly Rate)</t>
  </si>
  <si>
    <t>20 TON INDUSTRIAL AIR CONDITIONER NEMA7 (Monthly Rate)</t>
  </si>
  <si>
    <t>120 TON CHILLED WATER AIR HANDLER NEMA4 (Hourly Rate)</t>
  </si>
  <si>
    <t>120 TON CHILLED WATER AIR HANDLER NEMA4 (Monthly Rate)</t>
  </si>
  <si>
    <t>40 TON INDUSTRIAL AIR CONDITIONER NEMA4 (Hourly Rate)</t>
  </si>
  <si>
    <t>40 TON INDUSTRIAL AIR CONDITIONER NEMA4 (Monthly Rate)</t>
  </si>
  <si>
    <t>40 TON HYBRID AIR COND 120KW HEAT NEMA4 (Hourly Rate)</t>
  </si>
  <si>
    <t>40 TON HYBRID AIR COND 120KW HEAT NEMA4 (Monthly Rate)</t>
  </si>
  <si>
    <t>60 TON AIR COOLED CHILLERS W PUMP NEMA4 (Hourly Rate)</t>
  </si>
  <si>
    <t>60 TON AIR COOLED CHILLERS W PUMP NEMA4 (Monthly Rate)</t>
  </si>
  <si>
    <t>100 TON AIR COOLED CHILLERS W PUMP NEMA4 (Hourly Rate)</t>
  </si>
  <si>
    <t>100 TON AIR COOLED CHILLERS W PUMP NEMA4 (Monthly Rate)</t>
  </si>
  <si>
    <t>40 TON INDUSTRIAL AIR CONDITIONER NEMA7 (Hourly Rate)</t>
  </si>
  <si>
    <t>40 TON INDUSTRIAL AIR CONDITIONER NEMA7 (Monthly Rate)</t>
  </si>
  <si>
    <t>65 TON INDUSTRIAL AIR CONDITIONER NEMA4 (Hourly Rate)</t>
  </si>
  <si>
    <t>65 TON INDUSTRIAL AIR CONDITIONER NEMA4 (Monthly Rate)</t>
  </si>
  <si>
    <t>60 TON HYBRID AIR COND 136KW HEAT NEMA4 (Hourly Rate)</t>
  </si>
  <si>
    <t>60 TON HYBRID AIR COND 136KW HEAT NEMA4 (Monthly Rate)</t>
  </si>
  <si>
    <t>80 TON INDUSTRIAL AIR CONDITIONER NEMA4 (Hourly Rate)</t>
  </si>
  <si>
    <t>80 TON INDUSTRIAL AIR CONDITIONER NEMA4 (Monthly Rate)</t>
  </si>
  <si>
    <t>200 TON AIR COOLED CHILLERS W PUMP NEMA4 (Hourly Rate)</t>
  </si>
  <si>
    <t>200 TON AIR COOLED CHILLERS W PUMP NEMA4 (Monthly Rate)</t>
  </si>
  <si>
    <t>400K BTU DIRECT FORCED AIR HEATER LPG/NG (Monthly Rate)</t>
  </si>
  <si>
    <t>400K BTU DIRECT FORCED AIR HEATER LPG/NG (Hourly Rate)</t>
  </si>
  <si>
    <t>50K BTU DIRECT FORCED AIR HEATER LPG/NG (Monthly Rate)</t>
  </si>
  <si>
    <t>50K BTU DIRECT FORCED AIR HEATER LPG/NG (Hourly Rate)</t>
  </si>
  <si>
    <t>80K BTU DIRECT FORCED AIR HEATER LP/NG (Monthly Rate)</t>
  </si>
  <si>
    <t>80K BTU DIRECT FORCED AIR HEATER LP/NG (Hourly Rate)</t>
  </si>
  <si>
    <t>1.6KW ELECT HEATER 110V (Monthly Rate)</t>
  </si>
  <si>
    <t>1.6KW ELECT HEATER 110V (Hourly Rate)</t>
  </si>
  <si>
    <t>40K BTU PATIO HEATR NGP (Monthly Rate)</t>
  </si>
  <si>
    <t>40K BTU PATIO HEATR NGP (Hourly Rate)</t>
  </si>
  <si>
    <t>200K BTU HARD HAT HEATER NGP (Monthly Rate)</t>
  </si>
  <si>
    <t>200K BTU HARD HAT HEATER NGP (Hourly Rate)</t>
  </si>
  <si>
    <t>200K BTU DIRECT FORCED AIR HEATER KERO (Monthly Rate)</t>
  </si>
  <si>
    <t>200K BTU DIRECT FORCED AIR HEATER KERO (Hourly Rate)</t>
  </si>
  <si>
    <t>150K BTU DIRECT FORCED AIR HEATER LPG/NG (Monthly Rate)</t>
  </si>
  <si>
    <t>150K BTU DIRECT FORCED AIR HEATER LPG/NG (Hourly Rate)</t>
  </si>
  <si>
    <t>150K BTU DIRECT FORCED AIR HEATER KERO (Monthly Rate)</t>
  </si>
  <si>
    <t>150K BTU DIRECT FORCED AIR HEATER KERO (Hourly Rate)</t>
  </si>
  <si>
    <t>170K BTU DIRECT FORCED AIR HEATER LPG/NG (Monthly Rate)</t>
  </si>
  <si>
    <t>170K BTU DIRECT FORCED AIR HEATER LPG/NG (Hourly Rate)</t>
  </si>
  <si>
    <t>170K BTU DIRECT FORCED AIR HEATER KERO (Monthly Rate)</t>
  </si>
  <si>
    <t>170K BTU DIRECT FORCED AIR HEATER KERO (Hourly Rate)</t>
  </si>
  <si>
    <t>80K BTU DIRECT FORCED AIR HEATER KERO (Monthly Rate)</t>
  </si>
  <si>
    <t>80K BTU DIRECT FORCED AIR HEATER KERO (Hourly Rate)</t>
  </si>
  <si>
    <t>5-20KW VAR ELECT HEATER 1 - 4 PLUG 110V (Monthly Rate)</t>
  </si>
  <si>
    <t>5-20KW VAR ELECT HEATER 1 - 4 PLUG 110V (Hourly Rate)</t>
  </si>
  <si>
    <t>80K BTU HEATER 1, 400 CFM WALL MOUNTED (Monthly Rate)</t>
  </si>
  <si>
    <t>80K BTU HEATER 1, 400 CFM WALL MOUNTED (Hourly Rate)</t>
  </si>
  <si>
    <t>7-10KW VAR ELECT HEATER 240V 1PH (Monthly Rate)</t>
  </si>
  <si>
    <t>7-10KW VAR ELECT HEATER 240V 1PH (Hourly Rate)</t>
  </si>
  <si>
    <t>15KW ELECT HEATER 240V 1PH (Monthly Rate)</t>
  </si>
  <si>
    <t>15KW ELECT HEATER 240V 1PH (Hourly Rate)</t>
  </si>
  <si>
    <t>15KW ELECT HEATER 480V 3PH (Monthly Rate)</t>
  </si>
  <si>
    <t>15KW ELECT HEATER 480V 3PH (Hourly Rate)</t>
  </si>
  <si>
    <t>200K BTU INDIR FORCED AIR HEATER DSL (Monthly Rate)</t>
  </si>
  <si>
    <t>200K BTU INDIR FORCED AIR HEATER DSL (Hourly Rate)</t>
  </si>
  <si>
    <t>13-20KW VAR ELECT HEATER 240V 1PH (Monthly Rate)</t>
  </si>
  <si>
    <t>13-20KW VAR ELECT HEATER 240V 1PH (Hourly Rate)</t>
  </si>
  <si>
    <t>15-20KW VAR ELECT HEATER 208V/240V 3 PH (Monthly Rate)</t>
  </si>
  <si>
    <t>15-20KW VAR ELECT HEATER 208V/240V 3 PH (Hourly Rate)</t>
  </si>
  <si>
    <t>30KW ELECT HEATER 480V 3P (Monthly Rate)</t>
  </si>
  <si>
    <t>30KW ELECT HEATER 480V 3P (Hourly Rate)</t>
  </si>
  <si>
    <t>200K BTU INDIR FORCED AIR HEATER NG (Monthly Rate)</t>
  </si>
  <si>
    <t>200K BTU INDIR FORCED AIR HEATER NG (Hourly Rate)</t>
  </si>
  <si>
    <t>400K BTU DIRECT FORCED AIR HEATER KERO (Monthly Rate)</t>
  </si>
  <si>
    <t>400K BTU DIRECT FORCED AIR HEATER KERO (Hourly Rate)</t>
  </si>
  <si>
    <t>650K BTU DIRECT FORCED AIR HEATER KERO (Monthly Rate)</t>
  </si>
  <si>
    <t>650K BTU DIRECT FORCED AIR HEATER KERO (Hourly Rate)</t>
  </si>
  <si>
    <t>400K BTU INDIR FORCED AIR HEATER DSL (Monthly Rate)</t>
  </si>
  <si>
    <t>400K BTU INDIR FORCED AIR HEATER DSL (Hourly Rate)</t>
  </si>
  <si>
    <t>400K BTU INDIR FORCED AIR HEATER LPG/NG (Monthly Rate)</t>
  </si>
  <si>
    <t>400K BTU INDIR FORCED AIR HEATER LPG/NG (Hourly Rate)</t>
  </si>
  <si>
    <t>60KW ELECT HEATER 480V 3P (Monthly Rate)</t>
  </si>
  <si>
    <t>60KW ELECT HEATER 480V 3P (Hourly Rate)</t>
  </si>
  <si>
    <t>1M BTU DIRECT FORCED AIR HEATER LPG/NG (Monthly Rate)</t>
  </si>
  <si>
    <t>1M BTU DIRECT FORCED AIR HEATER LPG/NG (Hourly Rate)</t>
  </si>
  <si>
    <t>750K BTU INDIR FORCED AIR HEATER DSL (Monthly Rate)</t>
  </si>
  <si>
    <t>750K BTU INDIR FORCED AIR HEATER DSL (Hourly Rate)</t>
  </si>
  <si>
    <t>750K BTU INDIR FORCED AIR HEATER LPG/NG (Monthly Rate)</t>
  </si>
  <si>
    <t>750K BTU INDIR FORCED AIR HEATER LPG/NG (Hourly Rate)</t>
  </si>
  <si>
    <t>900K BTU INDIR FORCED AIR HEATER LPG/NG (Monthly Rate)</t>
  </si>
  <si>
    <t>900K BTU INDIR FORCED AIR HEATER LPG/NG (Hourly Rate)</t>
  </si>
  <si>
    <t>150KW INDUSTRIAL ELECT HEATER 460V 3PH (Monthly Rate)</t>
  </si>
  <si>
    <t>150KW INDUSTRIAL ELECT HEATER 460V 3PH (Hourly Rate)</t>
  </si>
  <si>
    <t>150KW INDUST. ELECT HEAT 480V 3PH (Monthly Rate)</t>
  </si>
  <si>
    <t>150KW INDUST. ELECT HEAT 480V 3PH (Hourly Rate)</t>
  </si>
  <si>
    <t>800K BTU SELF CONTAINED HEATER DSL (Monthly Rate)</t>
  </si>
  <si>
    <t>800K BTU SELF CONTAINED HEATER DSL (Hourly Rate)</t>
  </si>
  <si>
    <t>1.2M BTU SELF CONTAINED HEATER DSL (Monthly Rate)</t>
  </si>
  <si>
    <t>1.2M BTU SELF CONTAINED HEATER DSL (Hourly Rate)</t>
  </si>
  <si>
    <t>234K BTU HYDRONIC SURFACE HEATER DSL (Monthly Rate)</t>
  </si>
  <si>
    <t>234K BTU HYDRONIC SURFACE HEATER DSL (Hourly Rate)</t>
  </si>
  <si>
    <t>385K BTU HYDRONIC SURFACE HEATER DSL (Monthly Rate)</t>
  </si>
  <si>
    <t>385K BTU HYDRONIC SURFACE HEATER DSL (Hourly Rate)</t>
  </si>
  <si>
    <t>600K BTU HYDRONIC SURFACE HEATER DSL (Monthly Rate)</t>
  </si>
  <si>
    <t>600K BTU HYDRONIC SURFACE HEATER DSL (Hourly Rate)</t>
  </si>
  <si>
    <t>500K BTU 3, 500 CFM FLAMELESS HEATER DSL (Monthly Rate)</t>
  </si>
  <si>
    <t>500K BTU 3, 500 CFM FLAMELESS HEATER DSL (Hourly Rate)</t>
  </si>
  <si>
    <t>750K BTU 5, 500 CFM FLAMELESS HEATER DSL (Monthly Rate)</t>
  </si>
  <si>
    <t>750K BTU 5, 500 CFM FLAMELESS HEATER DSL (Hourly Rate)</t>
  </si>
  <si>
    <t>1M BTU 6,000 CFM FLAMELESS HEATER DSL (Monthly Rate)</t>
  </si>
  <si>
    <t>1M BTU 6,000 CFM FLAMELESS HEATER DSL (Hourly Rate)</t>
  </si>
  <si>
    <t>1.2M BTU 6, 500 CFM FLAMELESS HEATER DSL (Monthly Rate)</t>
  </si>
  <si>
    <t>1.2M BTU 6, 500 CFM FLAMELESS HEATER DSL (Hourly Rate)</t>
  </si>
  <si>
    <t>ROLLER SOLAR REMOTE (Hourly Rate)</t>
  </si>
  <si>
    <t>ROLLER SOLAR REMOTE (Monthly Rate)</t>
  </si>
  <si>
    <t>RAMMER SAND (Hourly Rate)</t>
  </si>
  <si>
    <t>RAMMER SAND (Monthly Rate)</t>
  </si>
  <si>
    <t>TAMPER 30LB 6IN AIR (Hourly Rate)</t>
  </si>
  <si>
    <t>TAMPER 30LB 6IN AIR (Monthly Rate)</t>
  </si>
  <si>
    <t>TAMPER 40LB 6IN AIR (Hourly Rate)</t>
  </si>
  <si>
    <t>TAMPER 40LB 6IN AIR (Monthly Rate)</t>
  </si>
  <si>
    <t>PLATE COMPACTOR 100LB TO 199LB GAS (Hourly Rate)</t>
  </si>
  <si>
    <t>PLATE COMPACTOR 100LB TO 199LB GAS (Monthly Rate)</t>
  </si>
  <si>
    <t>ROLLER ATTACHMENT PADFOOT 5 TON (Hourly Rate)</t>
  </si>
  <si>
    <t>ROLLER ATTACHMENT PADFOOT 5 TON (Monthly Rate)</t>
  </si>
  <si>
    <t>PLATE COMPACTOR 200LB TO 299LB GAS (Hourly Rate)</t>
  </si>
  <si>
    <t>PLATE COMPACTOR 200LB TO 299LB GAS (Monthly Rate)</t>
  </si>
  <si>
    <t>PLATE COMPACTOR 200LB TO 299LB REVERSBLE (Hourly Rate)</t>
  </si>
  <si>
    <t>PLATE COMPACTOR 200LB TO 299LB REVERSBLE (Monthly Rate)</t>
  </si>
  <si>
    <t>PLATE COMPACTOR 300LB TO 399LB REVERSBLE (Hourly Rate)</t>
  </si>
  <si>
    <t>PLATE COMPACTOR 300LB TO 399LB REVERSBLE (Monthly Rate)</t>
  </si>
  <si>
    <t>ROLLER ATTACHMENT PADFOOT 8 TON (Hourly Rate)</t>
  </si>
  <si>
    <t>ROLLER ATTACHMENT PADFOOT 8 TON (Monthly Rate)</t>
  </si>
  <si>
    <t>ROLLER ATTACHMENT PADFOOT 11 TON (Hourly Rate)</t>
  </si>
  <si>
    <t>ROLLER ATTACHMENT PADFOOT 11 TON (Monthly Rate)</t>
  </si>
  <si>
    <t>RAMMER JUMPING JACK 100LB - 199LB GAS (Hourly Rate)</t>
  </si>
  <si>
    <t>RAMMER JUMPING JACK 100LB - 199LB GAS (Monthly Rate)</t>
  </si>
  <si>
    <t>RAMMER JUMPING JACK 100LB - 199LB DSL (Hourly Rate)</t>
  </si>
  <si>
    <t>RAMMER JUMPING JACK 100LB - 199LB DSL (Monthly Rate)</t>
  </si>
  <si>
    <t>TAMPER ATTACHMENT 3000LB TO 3999LB (Hourly Rate)</t>
  </si>
  <si>
    <t>TAMPER ATTACHMENT 3000LB TO 3999LB (Monthly Rate)</t>
  </si>
  <si>
    <t>PLATE COMPACTOR 400LB TO 499LB REVERSBLE (Hourly Rate)</t>
  </si>
  <si>
    <t>PLATE COMPACTOR 400LB TO 499LB REVERSBLE (Monthly Rate)</t>
  </si>
  <si>
    <t>PLATE COMPACTOR 600LB TO 699LB REVERSBLE (Hourly Rate)</t>
  </si>
  <si>
    <t>PLATE COMPACTOR 600LB TO 699LB REVERSBLE (Monthly Rate)</t>
  </si>
  <si>
    <t>PLATE COMPACTOR 700LB TO 799LB REVERSBLE (Hourly Rate)</t>
  </si>
  <si>
    <t>PLATE COMPACTOR 700LB TO 799LB REVERSBLE (Monthly Rate)</t>
  </si>
  <si>
    <t>TAMPER ATTACHMENT 6000LB TO 6999LB (Hourly Rate)</t>
  </si>
  <si>
    <t>TAMPER ATTACHMENT 6000LB TO 6999LB (Monthly Rate)</t>
  </si>
  <si>
    <t>PLATE COMPACTOR 1000 TO 1100LB REVERSBLE (Hourly Rate)</t>
  </si>
  <si>
    <t>PLATE COMPACTOR 1000 TO 1100LB REVERSBLE (Monthly Rate)</t>
  </si>
  <si>
    <t>TAMPER ATTACHMENT 11000LB TO 11999LB (Hourly Rate)</t>
  </si>
  <si>
    <t>TAMPER ATTACHMENT 11000LB TO 11999LB (Monthly Rate)</t>
  </si>
  <si>
    <t>ROLLER TRENCH VIBRA DBL DRUM 22IN DSL (Hourly Rate)</t>
  </si>
  <si>
    <t>ROLLER TRENCH VIBRA DBL DRUM 22IN DSL (Monthly Rate)</t>
  </si>
  <si>
    <t>ROLLER TRENCH VIBRA DBL DRUM 24IN DSL (Hourly Rate)</t>
  </si>
  <si>
    <t>ROLLER TRENCH VIBRA DBL DRUM 24IN DSL (Monthly Rate)</t>
  </si>
  <si>
    <t>ROLLER RIDE-ON SMOOTH DRUM 1 TON GAS (Hourly Rate)</t>
  </si>
  <si>
    <t>ROLLER RIDE-ON SMOOTH DRUM 1 TON GAS (Monthly Rate)</t>
  </si>
  <si>
    <t>ROLLER TRENCH VIBRA DBL DRUM 32IN DSL (Hourly Rate)</t>
  </si>
  <si>
    <t>ROLLER TRENCH VIBRA DBL DRUM 32IN DSL (Monthly Rate)</t>
  </si>
  <si>
    <t>ROLLER RIDE-ON SMOOTH DRUM 3 TON DSL (Hourly Rate)</t>
  </si>
  <si>
    <t>ROLLER RIDE-ON SMOOTH DRUM 3 TON DSL (Monthly Rate)</t>
  </si>
  <si>
    <t>ROLLER WALKBEHIND DOUBLE DRUM 25IN GAS (Hourly Rate)</t>
  </si>
  <si>
    <t>ROLLER WALKBEHIND DOUBLE DRUM 25IN GAS (Monthly Rate)</t>
  </si>
  <si>
    <t>ROLLER TRENCH VIBRA DBL DRUM 33IN DSL (Hourly Rate)</t>
  </si>
  <si>
    <t>ROLLER TRENCH VIBRA DBL DRUM 33IN DSL (Monthly Rate)</t>
  </si>
  <si>
    <t>TAMPER ATTACHMENT 24000LB TO 24999LB (Hourly Rate)</t>
  </si>
  <si>
    <t>TAMPER ATTACHMENT 24000LB TO 24999LB (Monthly Rate)</t>
  </si>
  <si>
    <t>ROLLER TRENCH VIBRA DBL DRUM 34IN DSL (Hourly Rate)</t>
  </si>
  <si>
    <t>ROLLER TRENCH VIBRA DBL DRUM 34IN DSL (Monthly Rate)</t>
  </si>
  <si>
    <t>ROLLER RIDE-ON SMOOTH SNG DRUM 2 TON DSL (Hourly Rate)</t>
  </si>
  <si>
    <t>ROLLER RIDE-ON SMOOTH SNG DRUM 2 TON DSL (Monthly Rate)</t>
  </si>
  <si>
    <t>ROLLER RIDE-ON SMOOTH SNG DRUM 5 TON DSL (Hourly Rate)</t>
  </si>
  <si>
    <t>ROLLER RIDE-ON SMOOTH SNG DRUM 5 TON DSL (Monthly Rate)</t>
  </si>
  <si>
    <t>ROLLER RIDE-ON PADFT SNG DRUM 5 TON DSL (Hourly Rate)</t>
  </si>
  <si>
    <t>ROLLER RIDE-ON PADFT SNG DRUM 5 TON DSL (Monthly Rate)</t>
  </si>
  <si>
    <t>ROLLER RIDE-ON PADFT SNG DRUM 8 TON DSL (Hourly Rate)</t>
  </si>
  <si>
    <t>ROLLER RIDE-ON PADFT SNG DRUM 8 TON DSL (Monthly Rate)</t>
  </si>
  <si>
    <t>ROLLER RIDE-ON SMOOTH SNG DRUM 8 TON DSL (Hourly Rate)</t>
  </si>
  <si>
    <t>ROLLER RIDE-ON SMOOTH SNG DRUM 8 TON DSL (Monthly Rate)</t>
  </si>
  <si>
    <t>ROLLER RIDE-ON SMOOTH SNG DRUM 11TON DSL (Hourly Rate)</t>
  </si>
  <si>
    <t>ROLLER RIDE-ON SMOOTH SNG DRUM 11TON DSL (Monthly Rate)</t>
  </si>
  <si>
    <t>ROLLER RIDE-ON SMOOTH DRUM 7 TON DSL (Hourly Rate)</t>
  </si>
  <si>
    <t>ROLLER RIDE-ON SMOOTH DRUM 7 TON DSL (Monthly Rate)</t>
  </si>
  <si>
    <t>CONCRETE MIXER 2 CU. FT. ELEC (Monthly Rate)</t>
  </si>
  <si>
    <t>CONCRETE MIXER 2 CU. FT. ELEC (Hourly Rate)</t>
  </si>
  <si>
    <t>CONCRETE MIXER 3 CU. FT. ELEC (Monthly Rate)</t>
  </si>
  <si>
    <t>CONCRETE MIXER 3 CU. FT. ELEC (Hourly Rate)</t>
  </si>
  <si>
    <t>CONCRETE MIXER 6 CU. FT. ELEC (Monthly Rate)</t>
  </si>
  <si>
    <t>CONCRETE MIXER 6 CU. FT. ELEC (Hourly Rate)</t>
  </si>
  <si>
    <t>CONCRETE BUCKET 1/2 YD (Monthly Rate)</t>
  </si>
  <si>
    <t>CONCRETE BUCKET 1/2 YD (Hourly Rate)</t>
  </si>
  <si>
    <t>CONCRETE BUCKET 1 YD (Monthly Rate)</t>
  </si>
  <si>
    <t>CONCRETE BUCKET 1 YD (Hourly Rate)</t>
  </si>
  <si>
    <t>CONCRETE VIBRATOR 1HP ELEC (Monthly Rate)</t>
  </si>
  <si>
    <t>CONCRETE VIBRATOR 1HP ELEC (Hourly Rate)</t>
  </si>
  <si>
    <t>CONCRETE VIBRATOR 2HP ELEC (Monthly Rate)</t>
  </si>
  <si>
    <t>CONCRETE VIBRATOR 2HP ELEC (Hourly Rate)</t>
  </si>
  <si>
    <t>CONCRETE VIBRATOR 3HP ELEC (Monthly Rate)</t>
  </si>
  <si>
    <t>CONCRETE VIBRATOR 3HP ELEC (Hourly Rate)</t>
  </si>
  <si>
    <t>CONCRETE TROWEL MACHINE 36IN W/B GAS (Monthly Rate)</t>
  </si>
  <si>
    <t>CONCRETE TROWEL MACHINE 36IN W/B GAS (Hourly Rate)</t>
  </si>
  <si>
    <t>CONCRETE BUCKET 2 YD (Monthly Rate)</t>
  </si>
  <si>
    <t>CONCRETE BUCKET 2 YD (Hourly Rate)</t>
  </si>
  <si>
    <t>CONCRETE TROWEL MACHINE 46IN W/B GAS (Monthly Rate)</t>
  </si>
  <si>
    <t>CONCRETE TROWEL MACHINE 46IN W/B GAS (Hourly Rate)</t>
  </si>
  <si>
    <t>CONCRETE TROWELL MACHINE 48IN W/B GAS (Monthly Rate)</t>
  </si>
  <si>
    <t>CONCRETE TROWELL MACHINE 48IN W/B GAS (Hourly Rate)</t>
  </si>
  <si>
    <t>MORTAR MIXER 8 CU. FT. GAS (Monthly Rate)</t>
  </si>
  <si>
    <t>MORTAR MIXER 8 CU. FT. GAS (Hourly Rate)</t>
  </si>
  <si>
    <t>MORTAR MIXER 9 CU. FT. GAS (Monthly Rate)</t>
  </si>
  <si>
    <t>MORTAR MIXER 9 CU. FT. GAS (Hourly Rate)</t>
  </si>
  <si>
    <t>CONCRETE WHEEL POWER BUGGY 16 CU. FT. (Monthly Rate)</t>
  </si>
  <si>
    <t>CONCRETE WHEEL POWER BUGGY 16 CU. FT. (Hourly Rate)</t>
  </si>
  <si>
    <t>CONCRETE MIXER 9 CU. FT. GAS (Monthly Rate)</t>
  </si>
  <si>
    <t>CONCRETE MIXER 9 CU. FT. GAS (Hourly Rate)</t>
  </si>
  <si>
    <t>MORTAR MIXER 12 CU. FT. GAS (Monthly Rate)</t>
  </si>
  <si>
    <t>MORTAR MIXER 12 CU. FT. GAS (Hourly Rate)</t>
  </si>
  <si>
    <t>HIGH FREQ INTERNAL CONCRETE VIBRATOR (Monthly Rate)</t>
  </si>
  <si>
    <t>HIGH FREQ INTERNAL CONCRETE VIBRATOR (Hourly Rate)</t>
  </si>
  <si>
    <t>SCABBLER WALK BEHIND AIR (Monthly Rate)</t>
  </si>
  <si>
    <t>SCABBLER WALK BEHIND AIR (Hourly Rate)</t>
  </si>
  <si>
    <t>CRANE CARRY DECK DUAL FUEL 18,000LB 30FT (Hourly Rate)</t>
  </si>
  <si>
    <t>CRANE CARRY DECK DUAL FUEL 18,000LB 30FT (Monthly Rate)</t>
  </si>
  <si>
    <t>CRANE CARRY DECK DSL 18,000LB 30FT (Hourly Rate)</t>
  </si>
  <si>
    <t>CRANE CARRY DECK DSL 18,000LB 30FT (Monthly Rate)</t>
  </si>
  <si>
    <t>CRANE CARRY DECK DUAL FUEL 30,000LB 50FT (Hourly Rate)</t>
  </si>
  <si>
    <t>CRANE CARRY DECK DUAL FUEL 30,000LB 50FT (Monthly Rate)</t>
  </si>
  <si>
    <t>DEHUMIDIFIER LGR 60-80 PPD ELEC (Monthly Rate)</t>
  </si>
  <si>
    <t>DEHUMIDIFIER LGR 60-80 PPD ELEC (Hourly Rate)</t>
  </si>
  <si>
    <t>DEHUMIDIFIER LGR 130-200 PPD ELEC (Monthly Rate)</t>
  </si>
  <si>
    <t>DEHUMIDIFIER LGR 130-200 PPD ELEC (Hourly Rate)</t>
  </si>
  <si>
    <t>DEHUMIDIFIER DESICCANT 400 CFM (Monthly Rate)</t>
  </si>
  <si>
    <t>DEHUMIDIFIER DESICCANT 400 CFM (Hourly Rate)</t>
  </si>
  <si>
    <t>2000/1000 CFM DESICCANT DEHUMID 3PH 460V (Monthly Rate)</t>
  </si>
  <si>
    <t>2000/1000 CFM DESICCANT DEHUMID 3PH 460V (Hourly Rate)</t>
  </si>
  <si>
    <t>7500/5500CFM DESICCANT DEHU 3PH460VTRIFU (Monthly Rate)</t>
  </si>
  <si>
    <t>7500/5500CFM DESICCANT DEHU 3PH460VTRIFU (Hourly Rate)</t>
  </si>
  <si>
    <t>DEHUMIDIFIER DESICCANT 900 CFM (Monthly Rate)</t>
  </si>
  <si>
    <t>DEHUMIDIFIER DESICCANT 900 CFM (Hourly Rate)</t>
  </si>
  <si>
    <t>BREAKER 30-39LB AIR (Hourly Rate)</t>
  </si>
  <si>
    <t>BREAKER 30-39LB AIR (Monthly Rate)</t>
  </si>
  <si>
    <t>BREAKER 1-19LB AIR (Hourly Rate)</t>
  </si>
  <si>
    <t>BREAKER 1-19LB AIR (Monthly Rate)</t>
  </si>
  <si>
    <t>BREAKER 60-69LB AIR (Hourly Rate)</t>
  </si>
  <si>
    <t>BREAKER 60-69LB AIR (Monthly Rate)</t>
  </si>
  <si>
    <t>BREAKER 40-49LB AIR (Hourly Rate)</t>
  </si>
  <si>
    <t>BREAKER 40-49LB AIR (Monthly Rate)</t>
  </si>
  <si>
    <t>BREAKER 80-89LB AIR (Hourly Rate)</t>
  </si>
  <si>
    <t>BREAKER 80-89LB AIR (Monthly Rate)</t>
  </si>
  <si>
    <t>BREAKER 90-99LB AIR (Hourly Rate)</t>
  </si>
  <si>
    <t>BREAKER 90-99LB AIR (Monthly Rate)</t>
  </si>
  <si>
    <t>CHIPPING HAMMER 4IN STROKE ROUND (Hourly Rate)</t>
  </si>
  <si>
    <t>CHIPPING HAMMER 4IN STROKE ROUND (Monthly Rate)</t>
  </si>
  <si>
    <t>BREAKER 10-19LB ELEC (Hourly Rate)</t>
  </si>
  <si>
    <t>BREAKER 10-19LB ELEC (Monthly Rate)</t>
  </si>
  <si>
    <t>BREAKER 20-29LB ELEC (Hourly Rate)</t>
  </si>
  <si>
    <t>BREAKER 20-29LB ELEC (Monthly Rate)</t>
  </si>
  <si>
    <t>BREAKER 50-59LB GAS (Hourly Rate)</t>
  </si>
  <si>
    <t>BREAKER 50-59LB GAS (Monthly Rate)</t>
  </si>
  <si>
    <t>BREAKER 60-69LB ELEC (Hourly Rate)</t>
  </si>
  <si>
    <t>BREAKER 60-69LB ELEC (Monthly Rate)</t>
  </si>
  <si>
    <t>SKIDSTEER ATTACHMENT BREAKER 391-600 LBS (Hourly Rate)</t>
  </si>
  <si>
    <t>SKIDSTEER ATTACHMENT BREAKER 391-600 LBS (Monthly Rate)</t>
  </si>
  <si>
    <t>MINI-EX ATTACHMENT BREAKER 191-290 LBS (Hourly Rate)</t>
  </si>
  <si>
    <t>MINI-EX ATTACHMENT BREAKER 191-290 LBS (Monthly Rate)</t>
  </si>
  <si>
    <t>SKIDSTEER ATTACHMENT BREAKER 291-390 LBS (Hourly Rate)</t>
  </si>
  <si>
    <t>SKIDSTEER ATTACHMENT BREAKER 291-390 LBS (Monthly Rate)</t>
  </si>
  <si>
    <t>COMBO SSL M-EX ATTACH BREAKER 391-600LBS (Hourly Rate)</t>
  </si>
  <si>
    <t>COMBO SSL M-EX ATTACH BREAKER 391-600LBS (Monthly Rate)</t>
  </si>
  <si>
    <t>EXCAVAT ATTACHMENT BREAKER 1251-1800 LBS (Hourly Rate)</t>
  </si>
  <si>
    <t>EXCAVAT ATTACHMENT BREAKER 1251-1800 LBS (Monthly Rate)</t>
  </si>
  <si>
    <t>MINI-EX ATTACHMENT BREAKER 391-600 LBS (Hourly Rate)</t>
  </si>
  <si>
    <t>MINI-EX ATTACHMENT BREAKER 391-600 LBS (Monthly Rate)</t>
  </si>
  <si>
    <t>SKIDSTEER ATTACHMENT BREAKER 601-900 LBS (Hourly Rate)</t>
  </si>
  <si>
    <t>SKIDSTEER ATTACHMENT BREAKER 601-900 LBS (Monthly Rate)</t>
  </si>
  <si>
    <t>BACKHOE ATTACHMENT BREAKER 1251-1750 LBS (Hourly Rate)</t>
  </si>
  <si>
    <t>BACKHOE ATTACHMENT BREAKER 1251-1750 LBS (Monthly Rate)</t>
  </si>
  <si>
    <t>SKIDSTEER ATTACHMENT BREAKER 901-1250LBS (Hourly Rate)</t>
  </si>
  <si>
    <t>SKIDSTEER ATTACHMENT BREAKER 901-1250LBS (Monthly Rate)</t>
  </si>
  <si>
    <t>MINI-EX ATTACHMENT BREAKER 901-1250 LBS (Hourly Rate)</t>
  </si>
  <si>
    <t>MINI-EX ATTACHMENT BREAKER 901-1250 LBS (Monthly Rate)</t>
  </si>
  <si>
    <t>EXCAVAT ATTACHMENT BREAKER 1801-2500 LBS (Hourly Rate)</t>
  </si>
  <si>
    <t>EXCAVAT ATTACHMENT BREAKER 1801-2500 LBS (Monthly Rate)</t>
  </si>
  <si>
    <t>EXCAVAT ATTACHMENT BREAKER 2501-4800 LBS (Hourly Rate)</t>
  </si>
  <si>
    <t>EXCAVAT ATTACHMENT BREAKER 2501-4800 LBS (Monthly Rate)</t>
  </si>
  <si>
    <t>EXCAVAT ATTACHMENT BREAKER 4801-6500 LBS (Hourly Rate)</t>
  </si>
  <si>
    <t>EXCAVAT ATTACHMENT BREAKER 4801-6500 LBS (Monthly Rate)</t>
  </si>
  <si>
    <t>COUPLER/BACKHOE (Monthly Rate)</t>
  </si>
  <si>
    <t>COUPLER/BACKHOE (Hourly Rate)</t>
  </si>
  <si>
    <t>BACKHOE BUCKET TRENCH 12IN QC (Monthly Rate)</t>
  </si>
  <si>
    <t>BACKHOE BUCKET TRENCH 12IN QC (Hourly Rate)</t>
  </si>
  <si>
    <t>BACKHOE BUCKET TRENCH 18IN QC (Monthly Rate)</t>
  </si>
  <si>
    <t>BACKHOE BUCKET TRENCH 18IN QC (Hourly Rate)</t>
  </si>
  <si>
    <t>BACKHOE BUCKET TRENCH 18IN PO (Monthly Rate)</t>
  </si>
  <si>
    <t>BACKHOE BUCKET TRENCH 18IN PO (Hourly Rate)</t>
  </si>
  <si>
    <t>BACKHOE BUCKET TRENCH 24IN QC (Monthly Rate)</t>
  </si>
  <si>
    <t>BACKHOE BUCKET TRENCH 24IN QC (Hourly Rate)</t>
  </si>
  <si>
    <t>BACKHOE BUCKET TRENCH 24IN PO (Monthly Rate)</t>
  </si>
  <si>
    <t>BACKHOE BUCKET TRENCH 24IN PO (Hourly Rate)</t>
  </si>
  <si>
    <t>BACKHOE ATTACHMENT THUMB (Monthly Rate)</t>
  </si>
  <si>
    <t>BACKHOE ATTACHMENT THUMB (Hourly Rate)</t>
  </si>
  <si>
    <t>BACKHOE BUCKET TRENCH 30IN QC (Monthly Rate)</t>
  </si>
  <si>
    <t>BACKHOE BUCKET TRENCH 30IN QC (Hourly Rate)</t>
  </si>
  <si>
    <t>BACKHOE BUCKET TRENCH 36IN QC (Monthly Rate)</t>
  </si>
  <si>
    <t>BACKHOE BUCKET TRENCH 36IN QC (Hourly Rate)</t>
  </si>
  <si>
    <t>BACKHOE BUCKET SMOOTH 36IN QC (Monthly Rate)</t>
  </si>
  <si>
    <t>BACKHOE BUCKET SMOOTH 36IN QC (Hourly Rate)</t>
  </si>
  <si>
    <t>BACKHOE BUCKET TRENCH 36IN PO (Monthly Rate)</t>
  </si>
  <si>
    <t>BACKHOE BUCKET TRENCH 36IN PO (Hourly Rate)</t>
  </si>
  <si>
    <t>COMPACT LOADER BUCKET (Monthly Rate)</t>
  </si>
  <si>
    <t>COMPACT LOADER BUCKET (Hourly Rate)</t>
  </si>
  <si>
    <t>FORK ATTACHMENT/LOADER TRACTOR/BACKHOE (Hourly Rate)</t>
  </si>
  <si>
    <t>BACKHOE BUCKET CRIBBING 8IN PO (Monthly Rate)</t>
  </si>
  <si>
    <t>BACKHOE BUCKET CRIBBING 8IN PO (Hourly Rate)</t>
  </si>
  <si>
    <t>BACKHOE BUCKET CRIBBING 8IN QC (Monthly Rate)</t>
  </si>
  <si>
    <t>BACKHOE BUCKET CRIBBING 8IN QC (Hourly Rate)</t>
  </si>
  <si>
    <t>BACKHOE ATTACHMENT COMPACTION WHL 24IN (Monthly Rate)</t>
  </si>
  <si>
    <t>BACKHOE ATTACHMENT COMPACTION WHL 24IN (Hourly Rate)</t>
  </si>
  <si>
    <t>BACKHOE ATTACHMENT COMPACTION WHL 18IN (Monthly Rate)</t>
  </si>
  <si>
    <t>BACKHOE ATTACHMENT COMPACTION WHL 18IN (Hourly Rate)</t>
  </si>
  <si>
    <t>TRACTOR ATTACHMENT BACKHOE (Monthly Rate)</t>
  </si>
  <si>
    <t>TRACTOR ATTACHMENT BACKHOE (Hourly Rate)</t>
  </si>
  <si>
    <t>TRACTOR ATTACHMENT SNOW PUSHER (Monthly Rate)</t>
  </si>
  <si>
    <t>TRACTOR ATTACHMENT SNOW PUSHER (Hourly Rate)</t>
  </si>
  <si>
    <t>TRACTOR LOADER 30-39HP 4WD DSL (Monthly Rate)</t>
  </si>
  <si>
    <t>TRACTOR LOADER 30-39HP 4WD DSL (Hourly Rate)</t>
  </si>
  <si>
    <t>TRACTOR LOADER 60-90HP 4WD DSL (Monthly Rate)</t>
  </si>
  <si>
    <t>TRACTOR LOADER 60-90HP 4WD DSL (Hourly Rate)</t>
  </si>
  <si>
    <t>BACKHOE 70-97HP 4WD CAB EXTENDAHOE DSL (Monthly Rate)</t>
  </si>
  <si>
    <t>BACKHOE 70-97HP 4WD CAB EXTENDAHOE DSL (Hourly Rate)</t>
  </si>
  <si>
    <t>BACKHOE 70-97HP 2WD ROPS DSL (Monthly Rate)</t>
  </si>
  <si>
    <t>BACKHOE 70-97HP 2WD ROPS DSL (Hourly Rate)</t>
  </si>
  <si>
    <t>BACKHOE 70-97HP 4WD CAB DSL (Monthly Rate)</t>
  </si>
  <si>
    <t>BACKHOE 70-97HP 4WD CAB DSL (Hourly Rate)</t>
  </si>
  <si>
    <t>BACKHOE 70-97HP 4WD ROPS DSL (Monthly Rate)</t>
  </si>
  <si>
    <t>BACKHOE 70-97HP 4WD ROPS DSL (Hourly Rate)</t>
  </si>
  <si>
    <t>BACKHOE 70-97HP 4WD ROPS EXTENDAHOE DSL (Monthly Rate)</t>
  </si>
  <si>
    <t>BACKHOE 70-97HP 4WD ROPS EXTENDAHOE DSL (Hourly Rate)</t>
  </si>
  <si>
    <t>BACKHOE 98-115HP 4WD ROPS EXTENDAHOE DSL (Hourly Rate)</t>
  </si>
  <si>
    <t>BACKHOE 98-115HP 4WD CAB EXTENDAHOE DSL (Monthly Rate)</t>
  </si>
  <si>
    <t>BACKHOE 98-115HP 4WD CAB EXTENDAHOE DSL (Hourly Rate)</t>
  </si>
  <si>
    <t>MINI TRACK LOADER W/B &gt; 600LB CAP DSL (Hourly Rate)</t>
  </si>
  <si>
    <t>MINI TRACK LOADER W/B &gt; 600LB CAP DSL (Monthly Rate)</t>
  </si>
  <si>
    <t>DOZER STD TRACK 70-79 HP ROPS (Monthly Rate)</t>
  </si>
  <si>
    <t>DOZER STD TRACK 70-79 HP ROPS (Hourly Rate)</t>
  </si>
  <si>
    <t>DOZER WIDE TRACK 70-79 HP ROPS (Monthly Rate)</t>
  </si>
  <si>
    <t>DOZER WIDE TRACK 70-79 HP ROPS (Hourly Rate)</t>
  </si>
  <si>
    <t>DOZER WIDE TRACK 80-89 HP ROPS (Monthly Rate)</t>
  </si>
  <si>
    <t>DOZER WIDE TRACK 80-89 HP ROPS (Hourly Rate)</t>
  </si>
  <si>
    <t>DOZER STD TRACK 80-89 HP ROPS (Monthly Rate)</t>
  </si>
  <si>
    <t>DOZER STD TRACK 80-89 HP ROPS (Hourly Rate)</t>
  </si>
  <si>
    <t>DOZER STD TRACK 90-99 HP ROPS (Monthly Rate)</t>
  </si>
  <si>
    <t>DOZER STD TRACK 90-99 HP ROPS (Hourly Rate)</t>
  </si>
  <si>
    <t>DOZER STD TRACK 70-79 HP CAB (Monthly Rate)</t>
  </si>
  <si>
    <t>DOZER STD TRACK 70-79 HP CAB (Hourly Rate)</t>
  </si>
  <si>
    <t>DOZER WIDE TRACK 70-79 HP CAB (Monthly Rate)</t>
  </si>
  <si>
    <t>DOZER WIDE TRACK 70-79 HP CAB (Hourly Rate)</t>
  </si>
  <si>
    <t>DOZER WIDE TRACK 90-99 HP ROPS (Monthly Rate)</t>
  </si>
  <si>
    <t>DOZER WIDE TRACK 90-99 HP ROPS (Hourly Rate)</t>
  </si>
  <si>
    <t>DOZER STD TRACK 80-89 HP CAB (Monthly Rate)</t>
  </si>
  <si>
    <t>DOZER STD TRACK 80-89 HP CAB (Hourly Rate)</t>
  </si>
  <si>
    <t>DOZER WIDE TRACK 80-89 HP CAB (Monthly Rate)</t>
  </si>
  <si>
    <t>DOZER WIDE TRACK 80-89 HP CAB (Hourly Rate)</t>
  </si>
  <si>
    <t>DOZER STD TRACK 90-99 HP CAB (Monthly Rate)</t>
  </si>
  <si>
    <t>DOZER STD TRACK 90-99 HP CAB (Hourly Rate)</t>
  </si>
  <si>
    <t>DOZER WIDE TRACK 90-99 HP CAB (Monthly Rate)</t>
  </si>
  <si>
    <t>DOZER WIDE TRACK 90-99 HP CAB (Hourly Rate)</t>
  </si>
  <si>
    <t>DOZER WIDE TRACK 110-119 HP CAB (Monthly Rate)</t>
  </si>
  <si>
    <t>DOZER WIDE TRACK 110-119 HP CAB (Hourly Rate)</t>
  </si>
  <si>
    <t>DOZER WIDE TRACK 140-149 HP CAB (Monthly Rate)</t>
  </si>
  <si>
    <t>DOZER WIDE TRACK 140-149 HP CAB (Hourly Rate)</t>
  </si>
  <si>
    <t>DOZER WIDE TRACK 170-185 HP CAB (Monthly Rate)</t>
  </si>
  <si>
    <t>DOZER WIDE TRACK 170-185 HP CAB (Hourly Rate)</t>
  </si>
  <si>
    <t>MINI-EX &lt;19K LBS BUCKET TRENCH 12IN QC (Hourly Rate)</t>
  </si>
  <si>
    <t>MINI-EX &lt;19K LBS BUCKET TRENCH 12IN QC (Monthly Rate)</t>
  </si>
  <si>
    <t>MINI-EX &lt;19K LBS BUCKET TRENCH 12IN PO (Hourly Rate)</t>
  </si>
  <si>
    <t>MINI-EX &lt;19K LBS BUCKET TRENCH 12IN PO (Monthly Rate)</t>
  </si>
  <si>
    <t>MINI-EX &lt;19K LBS BUCKET TRENCH 18IN QC (Hourly Rate)</t>
  </si>
  <si>
    <t>MINI-EX &lt;19K LBS BUCKET TRENCH 18IN QC (Monthly Rate)</t>
  </si>
  <si>
    <t>MINI-EX &lt;19K LBS BUCKET TRENCH 18IN PO (Hourly Rate)</t>
  </si>
  <si>
    <t>MINI-EX &lt;19K LBS BUCKET TRENCH 18IN PO (Monthly Rate)</t>
  </si>
  <si>
    <t>EXCAVAT 28K-39K BUCKET TRENCH 18IN PO (Hourly Rate)</t>
  </si>
  <si>
    <t>EXCAVAT 28K-39K BUCKET TRENCH 18IN PO (Monthly Rate)</t>
  </si>
  <si>
    <t>EXCAVAT 28K-39K BUCKET TRENCH 18IN QC (Hourly Rate)</t>
  </si>
  <si>
    <t>EXCAVAT 28K-39K BUCKET TRENCH 18IN QC (Monthly Rate)</t>
  </si>
  <si>
    <t>MINI-EX &lt;19K LBS BUCKET TRENCH 16IN QC (Hourly Rate)</t>
  </si>
  <si>
    <t>MINI-EX &lt;19K LBS BUCKET TRENCH 16IN QC (Monthly Rate)</t>
  </si>
  <si>
    <t>MINI-EX &lt;19K LBS BUCKET TRENCH 30IN QC (Hourly Rate)</t>
  </si>
  <si>
    <t>MINI-EX &lt;19K LBS BUCKET TRENCH 30IN QC (Monthly Rate)</t>
  </si>
  <si>
    <t>MINI-EX &lt;19K LBS BUCKET TRENCH 24IN QC (Hourly Rate)</t>
  </si>
  <si>
    <t>MINI-EX &lt;19K LBS BUCKET TRENCH 24IN QC (Monthly Rate)</t>
  </si>
  <si>
    <t>MINI-EX &lt;19K LBS BUCKET TRENCH 36IN QC (Hourly Rate)</t>
  </si>
  <si>
    <t>MINI-EX &lt;19K LBS BUCKET TRENCH 36IN QC (Monthly Rate)</t>
  </si>
  <si>
    <t>MINI-EX &lt;19K LBS BUCKET TRENCH 24IN PO (Hourly Rate)</t>
  </si>
  <si>
    <t>MINI-EX &lt;19K LBS BUCKET TRENCH 24IN PO (Monthly Rate)</t>
  </si>
  <si>
    <t>MINI-EX &lt;19K LBS BUCKET TRENCH 36IN PO (Hourly Rate)</t>
  </si>
  <si>
    <t>MINI-EX &lt;19K LBS BUCKET TRENCH 36IN PO (Monthly Rate)</t>
  </si>
  <si>
    <t>EXCAVAT 28K-39K BUCKET TRENCH 24IN PO (Hourly Rate)</t>
  </si>
  <si>
    <t>EXCAVAT 28K-39K BUCKET TRENCH 24IN PO (Monthly Rate)</t>
  </si>
  <si>
    <t>EXCAVAT 28K-39K BUCKET TRENCH 24IN QC (Hourly Rate)</t>
  </si>
  <si>
    <t>EXCAVAT 28K-39K BUCKET TRENCH 24IN QC (Monthly Rate)</t>
  </si>
  <si>
    <t>EXCAVAT 50K-60K BUCKET TRENCH 30IN QC (Hourly Rate)</t>
  </si>
  <si>
    <t>EXCAVAT 50K-60K BUCKET TRENCH 30IN QC (Monthly Rate)</t>
  </si>
  <si>
    <t>EXCAVAT 39K-50K BUCKET TRENCH 24IN PO (Hourly Rate)</t>
  </si>
  <si>
    <t>EXCAVAT 39K-50K BUCKET TRENCH 24IN PO (Monthly Rate)</t>
  </si>
  <si>
    <t>EXCAVAT 60K-80K BUCKET TRENCH 24IN PO (Hourly Rate)</t>
  </si>
  <si>
    <t>EXCAVAT 60K-80K BUCKET TRENCH 24IN PO (Monthly Rate)</t>
  </si>
  <si>
    <t>EXCAVAT 39K-50K BUCKET TRENCH 30IN QC (Hourly Rate)</t>
  </si>
  <si>
    <t>EXCAVAT 39K-50K BUCKET TRENCH 30IN QC (Monthly Rate)</t>
  </si>
  <si>
    <t>EXCAVAT 28K-39K BUCKET TRENCH 30IN PO (Hourly Rate)</t>
  </si>
  <si>
    <t>EXCAVAT 28K-39K BUCKET TRENCH 30IN PO (Monthly Rate)</t>
  </si>
  <si>
    <t>EXCAVAT 28K-39K BUCKET TRENCH 30IN QC (Hourly Rate)</t>
  </si>
  <si>
    <t>EXCAVAT 28K-39K BUCKET TRENCH 30IN QC (Monthly Rate)</t>
  </si>
  <si>
    <t>EXCAVAT 50K-60K BUCKET TRENCH 24IN PO (Hourly Rate)</t>
  </si>
  <si>
    <t>EXCAVAT 50K-60K BUCKET TRENCH 24IN PO (Monthly Rate)</t>
  </si>
  <si>
    <t>EXCAVAT 60K-80K BUCKET TRENCH 72IN PO (Hourly Rate)</t>
  </si>
  <si>
    <t>EXCAVAT 60K-80K BUCKET TRENCH 72IN PO (Monthly Rate)</t>
  </si>
  <si>
    <t>EXCAVAT 60K-80K BUCKET TRENCH 42IN PO (Hourly Rate)</t>
  </si>
  <si>
    <t>EXCAVAT 60K-80K BUCKET TRENCH 42IN PO (Monthly Rate)</t>
  </si>
  <si>
    <t>EXCAVAT 28K-39K BUCKET TRENCH 36IN PO (Hourly Rate)</t>
  </si>
  <si>
    <t>EXCAVAT 28K-39K BUCKET TRENCH 36IN PO (Monthly Rate)</t>
  </si>
  <si>
    <t>EXCAVAT 28K-39K BUCKET TRENCH 36IN QC (Hourly Rate)</t>
  </si>
  <si>
    <t>EXCAVAT 28K-39K BUCKET TRENCH 36IN QC (Monthly Rate)</t>
  </si>
  <si>
    <t>EXCAVAT 39K-50K BUCKET TRENCH 36IN PO (Hourly Rate)</t>
  </si>
  <si>
    <t>EXCAVAT 39K-50K BUCKET TRENCH 36IN PO (Monthly Rate)</t>
  </si>
  <si>
    <t>EXCAVAT 28K-39K BUCKET TRENCH 60IN PO (Hourly Rate)</t>
  </si>
  <si>
    <t>EXCAVAT 28K-39K BUCKET TRENCH 60IN PO (Monthly Rate)</t>
  </si>
  <si>
    <t>EXCAVAT 28K-39K BUCKET TRENCH 60IN QC (Hourly Rate)</t>
  </si>
  <si>
    <t>EXCAVAT 28K-39K BUCKET TRENCH 60IN QC (Monthly Rate)</t>
  </si>
  <si>
    <t>MINI-EX &lt;19K LBS BUCKET SMOOTH 60N QC (Hourly Rate)</t>
  </si>
  <si>
    <t>MINI-EX &lt;19K LBS BUCKET SMOOTH 60N QC (Monthly Rate)</t>
  </si>
  <si>
    <t>EXCAVAT 50K-60K BUCKET TRENCH 60IN QC (Hourly Rate)</t>
  </si>
  <si>
    <t>EXCAVAT 50K-60K BUCKET TRENCH 60IN QC (Monthly Rate)</t>
  </si>
  <si>
    <t>EXCAVAT 28K-39K BUCKET TRENCH 12IN QC (Hourly Rate)</t>
  </si>
  <si>
    <t>EXCAVAT 28K-39K BUCKET TRENCH 12IN QC (Monthly Rate)</t>
  </si>
  <si>
    <t>EXCAVAT 39K-50K BUCKET TRENCH 42IN PO (Hourly Rate)</t>
  </si>
  <si>
    <t>EXCAVAT 39K-50K BUCKET TRENCH 42IN PO (Monthly Rate)</t>
  </si>
  <si>
    <t>EXCAVAT 39K-50K BUCKET TRENCH 48IN PO (Hourly Rate)</t>
  </si>
  <si>
    <t>EXCAVAT 39K-50K BUCKET TRENCH 48IN PO (Monthly Rate)</t>
  </si>
  <si>
    <t>EXCAVAT 60K-80K BUCKET TRENCH 48IN PO (Hourly Rate)</t>
  </si>
  <si>
    <t>EXCAVAT 60K-80K BUCKET TRENCH 48IN PO (Monthly Rate)</t>
  </si>
  <si>
    <t>EXCAVAT 39K-50K BUCKET TRENCH 60IN PO (Hourly Rate)</t>
  </si>
  <si>
    <t>EXCAVAT 39K-50K BUCKET TRENCH 60IN PO (Monthly Rate)</t>
  </si>
  <si>
    <t>EXCAVAT 28K-39K BUCKET TRENCH 48IN PO (Hourly Rate)</t>
  </si>
  <si>
    <t>EXCAVAT 28K-39K BUCKET TRENCH 48IN PO (Monthly Rate)</t>
  </si>
  <si>
    <t>EXCAVAT 50K-60K BUCKET TRENCH 48IN PO (Hourly Rate)</t>
  </si>
  <si>
    <t>EXCAVAT 50K-60K BUCKET TRENCH 48IN PO (Monthly Rate)</t>
  </si>
  <si>
    <t>EXCAVAT 28K-39K BUCKET TRENCH 48IN QC (Hourly Rate)</t>
  </si>
  <si>
    <t>EXCAVAT 28K-39K BUCKET TRENCH 48IN QC (Monthly Rate)</t>
  </si>
  <si>
    <t>EXCAVAT 28K-39K BUCKET TRENCH 72IN PO (Hourly Rate)</t>
  </si>
  <si>
    <t>EXCAVAT 28K-39K BUCKET TRENCH 72IN PO (Monthly Rate)</t>
  </si>
  <si>
    <t>EXCAVAT 60K-80K BUCKET TRENCH 54IN PO (Hourly Rate)</t>
  </si>
  <si>
    <t>EXCAVAT 60K-80K BUCKET TRENCH 54IN PO (Monthly Rate)</t>
  </si>
  <si>
    <t>EXCAVAT 50K-60K BUCKET TRENCH 54IN PO (Hourly Rate)</t>
  </si>
  <si>
    <t>EXCAVAT 50K-60K BUCKET TRENCH 54IN PO (Monthly Rate)</t>
  </si>
  <si>
    <t>EXCAVAT 39K-50K BUCKET SMOOTH 72IN PO (Hourly Rate)</t>
  </si>
  <si>
    <t>EXCAVAT 39K-50K BUCKET SMOOTH 72IN PO (Monthly Rate)</t>
  </si>
  <si>
    <t>MINI-EX &lt;19K LBS BUCKET TRENCH 48N QC (Hourly Rate)</t>
  </si>
  <si>
    <t>MINI-EX &lt;19K LBS BUCKET TRENCH 48N QC (Monthly Rate)</t>
  </si>
  <si>
    <t>EXCAVAT 60K-80K BUCKET TRENCH 60IN PO (Hourly Rate)</t>
  </si>
  <si>
    <t>EXCAVAT 60K-80K BUCKET TRENCH 60IN PO (Monthly Rate)</t>
  </si>
  <si>
    <t>EXCAVAT ATTACHMENT SWING COUPLER (Hourly Rate)</t>
  </si>
  <si>
    <t>EXCAVAT ATTACHMENT SWING COUPLER (Monthly Rate)</t>
  </si>
  <si>
    <t>MINI-EX &lt;19K LBS BUCKET SWING 54IN QC (Hourly Rate)</t>
  </si>
  <si>
    <t>MINI-EX &lt;19K LBS BUCKET SWING 54IN QC (Monthly Rate)</t>
  </si>
  <si>
    <t>MINI-EX &lt;19K LBS BUCKET SWING 36IN QC (Hourly Rate)</t>
  </si>
  <si>
    <t>MINI-EX &lt;19K LBS BUCKET SWING 36IN QC (Monthly Rate)</t>
  </si>
  <si>
    <t>EXCAVAT ATTACHMENT THUMB (Hourly Rate)</t>
  </si>
  <si>
    <t>EXCAVAT ATTACHMENT THUMB (Monthly Rate)</t>
  </si>
  <si>
    <t>MINI-EX ATTACHMENT AUGER MED TORQUE (Hourly Rate)</t>
  </si>
  <si>
    <t>MINI-EX ATTACHMENT AUGER MED TORQUE (Monthly Rate)</t>
  </si>
  <si>
    <t>EXCAVAT ATTACHMENT GRAPPLE BUCKET (Hourly Rate)</t>
  </si>
  <si>
    <t>EXCAVAT ATTACHMENT GRAPPLE BUCKET (Monthly Rate)</t>
  </si>
  <si>
    <t>MINI-EXCAVATOR 2000-2999 LBS DSL ROPS (Hourly Rate)</t>
  </si>
  <si>
    <t>MINI-EXCAVATOR 2000-2999 LBS DSL ROPS (Monthly Rate)</t>
  </si>
  <si>
    <t>MINI-EXCAVATOR 3000-3999 LBS DSL ROPS (Hourly Rate)</t>
  </si>
  <si>
    <t>MINI-EXCAVATOR 3000-3999 LBS DSL ROPS (Monthly Rate)</t>
  </si>
  <si>
    <t>MINI-EXCAVATOR 4000-4999 LBS DSL ROPS (Hourly Rate)</t>
  </si>
  <si>
    <t>MINI-EXCAVATOR 4000-4999 LBS DSL ROPS (Monthly Rate)</t>
  </si>
  <si>
    <t>MINI-EXCAVATOR 5000-6999 LBS DSL ROPS (Hourly Rate)</t>
  </si>
  <si>
    <t>MINI-EXCAVATOR 5000-6999 LBS DSL ROPS (Monthly Rate)</t>
  </si>
  <si>
    <t>MINI-EXCAVATOR 7000-8999 LBS DSL ROPS (Hourly Rate)</t>
  </si>
  <si>
    <t>MINI-EXCAVATOR 7000-8999 LBS DSL ROPS (Monthly Rate)</t>
  </si>
  <si>
    <t>MINI-EXCAVATOR 5000-6999 LBS DSL CAB (Hourly Rate)</t>
  </si>
  <si>
    <t>MINI-EXCAVATOR 5000-6999 LBS DSL CAB (Monthly Rate)</t>
  </si>
  <si>
    <t>MINI-EXCAVATOR 7000-8999 LBS DSL CAB (Hourly Rate)</t>
  </si>
  <si>
    <t>MINI-EXCAVATOR 7000-8999 LBS DSL CAB (Monthly Rate)</t>
  </si>
  <si>
    <t>MINI-EXCAVATOR 9000-11999 LBS DSL ROPS (Hourly Rate)</t>
  </si>
  <si>
    <t>MINI-EXCAVATOR 9000-11999 LBS DSL ROPS (Monthly Rate)</t>
  </si>
  <si>
    <t>MINI-EXCAVATOR 9000-11999 LBS DSL CAB (Hourly Rate)</t>
  </si>
  <si>
    <t>MINI-EXCAVATOR 9000-11999 LBS DSL CAB (Monthly Rate)</t>
  </si>
  <si>
    <t>MINI-EXCAVATOR 12000-13999 LBS DSL ROPS (Hourly Rate)</t>
  </si>
  <si>
    <t>MINI-EXCAVATOR 12000-13999 LBS DSL ROPS (Monthly Rate)</t>
  </si>
  <si>
    <t>MINI-EXCAVATOR 12000-13999 LBS DSL CAB (Hourly Rate)</t>
  </si>
  <si>
    <t>MINI-EXCAVATOR 12000-13999 LBS DSL CAB (Monthly Rate)</t>
  </si>
  <si>
    <t>MINI-EXCAVATOR 14000-19000 LBS DSL ROPS (Hourly Rate)</t>
  </si>
  <si>
    <t>MINI-EXCAVATOR 14000-19000 LBS DSL ROPS (Monthly Rate)</t>
  </si>
  <si>
    <t>MINI-EXCAVATOR 14000-19000 LBS DSL CAB (Hourly Rate)</t>
  </si>
  <si>
    <t>MINI-EXCAVATOR 14000-19000 LBS DSL CAB (Monthly Rate)</t>
  </si>
  <si>
    <t>EXCAVATOR 28000-38000 LBS STD REACH (Hourly Rate)</t>
  </si>
  <si>
    <t>EXCAVATOR 28000-38000 LBS STD REACH (Monthly Rate)</t>
  </si>
  <si>
    <t>EXCAVATOR 28000-38000 LBS REDUCED TAIL (Hourly Rate)</t>
  </si>
  <si>
    <t>EXCAVATOR 28000-38000 LBS REDUCED TAIL (Monthly Rate)</t>
  </si>
  <si>
    <t>EXCAVATOR 39000-42000 LBS STD REACH (Hourly Rate)</t>
  </si>
  <si>
    <t>EXCAVATOR 39000-42000 LBS STD REACH (Monthly Rate)</t>
  </si>
  <si>
    <t>EXCAVATOR 43000-49999 LBS STD REACH (Hourly Rate)</t>
  </si>
  <si>
    <t>EXCAVATOR 43000-49999 LBS STD REACH (Monthly Rate)</t>
  </si>
  <si>
    <t>EXCAVATOR 43000-49999 LBS REDUCED TAIL (Hourly Rate)</t>
  </si>
  <si>
    <t>EXCAVATOR 43000-49999 LBS REDUCED TAIL (Monthly Rate)</t>
  </si>
  <si>
    <t>EXCAVATOR 50000-59999 LBS STD REACH (Hourly Rate)</t>
  </si>
  <si>
    <t>EXCAVATOR 50000-59999 LBS STD REACH (Monthly Rate)</t>
  </si>
  <si>
    <t>EXCAVATOR 50000-59999 LBS REDUCED TAIL (Hourly Rate)</t>
  </si>
  <si>
    <t>EXCAVATOR 50000-59999 LBS REDUCED TAIL (Monthly Rate)</t>
  </si>
  <si>
    <t>EXCAVATOR 50000-59999 LBS LONG REACH (Hourly Rate)</t>
  </si>
  <si>
    <t>EXCAVATOR 50000-59999 LBS LONG REACH (Monthly Rate)</t>
  </si>
  <si>
    <t>EXCAVATOR 60000-69999 LBS STD REACH (Hourly Rate)</t>
  </si>
  <si>
    <t>EXCAVATOR 60000-69999 LBS STD REACH (Monthly Rate)</t>
  </si>
  <si>
    <t>EXCAVATOR 60000-69999 LBS LONG REACH (Hourly Rate)</t>
  </si>
  <si>
    <t>EXCAVATOR 60000-69999 LBS LONG REACH (Monthly Rate)</t>
  </si>
  <si>
    <t>EXCAVATOR 70000-80000 LBS STD REACH (Hourly Rate)</t>
  </si>
  <si>
    <t>EXCAVATOR 70000-80000 LBS STD REACH (Monthly Rate)</t>
  </si>
  <si>
    <t>TRACKMACHINE/FORK ATTACH (Monthly Rate)</t>
  </si>
  <si>
    <t>TRACKMACHINE/FORK ATTACH (Hourly Rate)</t>
  </si>
  <si>
    <t>WB LOADER ATTACHMENT LEVELER (Monthly Rate)</t>
  </si>
  <si>
    <t>WB LOADER ATTACHMENT LEVELER (Hourly Rate)</t>
  </si>
  <si>
    <t>WB LOADER ATTACHMENT BUCKET (Monthly Rate)</t>
  </si>
  <si>
    <t>WB LOADER ATTACHMENT BUCKET (Hourly Rate)</t>
  </si>
  <si>
    <t>LOADER BUCKET LIGHT MATRL 8YD AND OVER (Monthly Rate)</t>
  </si>
  <si>
    <t>LOADER BUCKET LIGHT MATRL 8YD AND OVER (Hourly Rate)</t>
  </si>
  <si>
    <t>TRACTOR ATTACHMENT BOX BLADE (Monthly Rate)</t>
  </si>
  <si>
    <t>TRACTOR ATTACHMENT BOX BLADE (Hourly Rate)</t>
  </si>
  <si>
    <t>LOADER BUCKET &lt;4YD (Monthly Rate)</t>
  </si>
  <si>
    <t>LOADER BUCKET &lt;4YD (Hourly Rate)</t>
  </si>
  <si>
    <t>LOADER BUCKET 4YD AND OVER (Monthly Rate)</t>
  </si>
  <si>
    <t>LOADER BUCKET 4YD AND OVER (Hourly Rate)</t>
  </si>
  <si>
    <t>LOADER ATTACHMENT TREE BOOM (Monthly Rate)</t>
  </si>
  <si>
    <t>LOADER ATTACHMENT TREE BOOM (Hourly Rate)</t>
  </si>
  <si>
    <t>WB LOADER ATTACHMENT AUGER (Monthly Rate)</t>
  </si>
  <si>
    <t>WB LOADER ATTACHMENT AUGER (Hourly Rate)</t>
  </si>
  <si>
    <t>WB LOADER ATTACHMENT TRENCHER (Monthly Rate)</t>
  </si>
  <si>
    <t>WB LOADER ATTACHMENT TRENCHER (Hourly Rate)</t>
  </si>
  <si>
    <t>TRACK ATTACHMENT (Monthly Rate)</t>
  </si>
  <si>
    <t>TRACK ATTACHMENT (Hourly Rate)</t>
  </si>
  <si>
    <t>TIRE ASSEMBLY ATTACHMENT/LOADER (Monthly Rate)</t>
  </si>
  <si>
    <t>TIRE ASSEMBLY ATTACHMENT/LOADER (Hourly Rate)</t>
  </si>
  <si>
    <t>TRACTOR ATTACHMENT AUGER (Monthly Rate)</t>
  </si>
  <si>
    <t>TRACTOR ATTACHMENT AUGER (Hourly Rate)</t>
  </si>
  <si>
    <t>DOZER ATTACHMENT ROOT RAKE NO CLAMP (Monthly Rate)</t>
  </si>
  <si>
    <t>DOZER ATTACHMENT ROOT RAKE NO CLAMP (Hourly Rate)</t>
  </si>
  <si>
    <t>FORK ATTACHMENT/WHEEL LOADER (Monthly Rate)</t>
  </si>
  <si>
    <t>FORK ATTACHMENT/WHEEL LOADER (Hourly Rate)</t>
  </si>
  <si>
    <t>LOADER ATTACHMENT GRAPPLE BUCKET (Monthly Rate)</t>
  </si>
  <si>
    <t>LOADER ATTACHMENT GRAPPLE BUCKET (Hourly Rate)</t>
  </si>
  <si>
    <t>TRACTOR ATTACHMENT ROTARY BRUSH MOWER (Monthly Rate)</t>
  </si>
  <si>
    <t>TRACTOR ATTACHMENT ROTARY BRUSH MOWER (Hourly Rate)</t>
  </si>
  <si>
    <t>LOADER BUCKET LIGHT MATRL (Monthly Rate)</t>
  </si>
  <si>
    <t>LOADER BUCKET LIGHT MATRL (Hourly Rate)</t>
  </si>
  <si>
    <t>LOADER ATTACHMENT ROOT RAKE NO CLAMP (Monthly Rate)</t>
  </si>
  <si>
    <t>LOADER ATTACHMENT ROOT RAKE NO CLAMP (Hourly Rate)</t>
  </si>
  <si>
    <t>TRACTOR ATTACHMENT TILLER (Monthly Rate)</t>
  </si>
  <si>
    <t>TRACTOR ATTACHMENT TILLER (Hourly Rate)</t>
  </si>
  <si>
    <t>LOADER BUCKET COMBINATION (Monthly Rate)</t>
  </si>
  <si>
    <t>LOADER BUCKET COMBINATION (Hourly Rate)</t>
  </si>
  <si>
    <t>WB LOADER SOIL CONDITIONER (Monthly Rate)</t>
  </si>
  <si>
    <t>WB LOADER SOIL CONDITIONER (Hourly Rate)</t>
  </si>
  <si>
    <t>LOADER ATTACHMENT SNOW PUSHER (Monthly Rate)</t>
  </si>
  <si>
    <t>LOADER ATTACHMENT SNOW PUSHER (Hourly Rate)</t>
  </si>
  <si>
    <t>SKIDSTEER ATTACHMENT BUCKET 36IN (Hourly Rate)</t>
  </si>
  <si>
    <t>SKIDSTEER ATTACHMENT BUCKET 36IN (Monthly Rate)</t>
  </si>
  <si>
    <t>SKIDSTEER ATTACHMENT BUCKET 68IN (Hourly Rate)</t>
  </si>
  <si>
    <t>SKIDSTEER ATTACHMENT BUCKET 68IN (Monthly Rate)</t>
  </si>
  <si>
    <t>SKIDSTEER ATTACHMENT BUCKET 68IN COMBO (Hourly Rate)</t>
  </si>
  <si>
    <t>SKIDSTEER ATTACHMENT BUCKET 68IN COMBO (Monthly Rate)</t>
  </si>
  <si>
    <t>SKIDSTEER ATTACHMENT BUCKET 66IN (Hourly Rate)</t>
  </si>
  <si>
    <t>SKIDSTEER ATTACHMENT BUCKET 66IN (Monthly Rate)</t>
  </si>
  <si>
    <t>SKIDSTEER ATTACHMENT BUCKET 62IN (Hourly Rate)</t>
  </si>
  <si>
    <t>SKIDSTEER ATTACHMENT BUCKET 62IN (Monthly Rate)</t>
  </si>
  <si>
    <t>SKIDSTEER ATTACHMENT BUCKET 62IN LOW-PRO (Hourly Rate)</t>
  </si>
  <si>
    <t>SKIDSTEER ATTACHMENT BUCKET 62IN LOW-PRO (Monthly Rate)</t>
  </si>
  <si>
    <t>SKIDSTEER ATTACHMENT BUCKET 66IN LOW-PRO (Hourly Rate)</t>
  </si>
  <si>
    <t>SKIDSTEER ATTACHMENT BUCKET 66IN LOW-PRO (Monthly Rate)</t>
  </si>
  <si>
    <t>SKIDSTEER ATTACHMENT BUCKET 68IN LOW-PRO (Hourly Rate)</t>
  </si>
  <si>
    <t>SKIDSTEER ATTACHMENT BUCKET 68IN LOW-PRO (Monthly Rate)</t>
  </si>
  <si>
    <t>SKIDSTEER ATTACHMENT BUCKET 78IN LOW-PRO (Hourly Rate)</t>
  </si>
  <si>
    <t>SKIDSTEER ATTACHMENT BUCKET 78IN LOW-PRO (Monthly Rate)</t>
  </si>
  <si>
    <t>SKIDSTEER/ATTACHMENT/PALLET FORKS/STAND (Hourly Rate)</t>
  </si>
  <si>
    <t>SKIDSTEER/ATTACHMENT/PALLET FORKS/STAND (Monthly Rate)</t>
  </si>
  <si>
    <t>SKIDSTEER ATTACHMENT ANGLE BROOM (Hourly Rate)</t>
  </si>
  <si>
    <t>SKIDSTEER ATTACHMENT ANGLE BROOM (Monthly Rate)</t>
  </si>
  <si>
    <t>SKIDSTEER ATTACHMENT AUGER MED TORQUE (Hourly Rate)</t>
  </si>
  <si>
    <t>SKIDSTEER ATTACHMENT AUGER MED TORQUE (Monthly Rate)</t>
  </si>
  <si>
    <t>FLOTATION TIRES/SKIDSTEER (Hourly Rate)</t>
  </si>
  <si>
    <t>FLOTATION TIRES/SKIDSTEER (Monthly Rate)</t>
  </si>
  <si>
    <t>SKIDSTEER ATTACHMENT AUGER HI TORQUE (Hourly Rate)</t>
  </si>
  <si>
    <t>SKIDSTEER ATTACHMENT AUGER HI TORQUE (Monthly Rate)</t>
  </si>
  <si>
    <t>SKIDSTEER ATTACHMENT GRAPPLE BKT &gt;77IN (Hourly Rate)</t>
  </si>
  <si>
    <t>SKIDSTEER ATTACHMENT GRAPPLE BKT &gt;77IN (Monthly Rate)</t>
  </si>
  <si>
    <t>SKIDSTEER ATTACHMENT GRAPPLE BKT 60-65IN (Hourly Rate)</t>
  </si>
  <si>
    <t>SKIDSTEER ATTACHMENT GRAPPLE BKT 60-65IN (Monthly Rate)</t>
  </si>
  <si>
    <t>SKIDSTEER ATTACHMENT GRAPPLE BKT 66-71IN (Hourly Rate)</t>
  </si>
  <si>
    <t>SKIDSTEER ATTACHMENT GRAPPLE BKT 66-71IN (Monthly Rate)</t>
  </si>
  <si>
    <t>WB LOADER ATTACHMENT GRAPPLE BKT 48IN (Hourly Rate)</t>
  </si>
  <si>
    <t>WB LOADER ATTACHMENT GRAPPLE BKT 48IN (Monthly Rate)</t>
  </si>
  <si>
    <t>SKIDSTEER ATTACHMENT BUCKET 74IN LIGHT (Hourly Rate)</t>
  </si>
  <si>
    <t>SKIDSTEER ATTACHMENT BUCKET 74IN LIGHT (Monthly Rate)</t>
  </si>
  <si>
    <t>SKIDSTEER ATTACHMENT ROCK HOUND RAKE (Hourly Rate)</t>
  </si>
  <si>
    <t>SKIDSTEER ATTACHMENT ROCK HOUND RAKE (Monthly Rate)</t>
  </si>
  <si>
    <t>SKIDSTEER ATTACHMENT SWEEPER (Hourly Rate)</t>
  </si>
  <si>
    <t>SKIDSTEER ATTACHMENT SWEEPER (Monthly Rate)</t>
  </si>
  <si>
    <t>SKIDSTEER ATTACHMENT BRUSH GRAPPLE (Hourly Rate)</t>
  </si>
  <si>
    <t>SKIDSTEER ATTACHMENT BRUSH GRAPPLE (Monthly Rate)</t>
  </si>
  <si>
    <t>SKIDSTEER ATTACHMENT GRAPPLE BKT 72-77IN (Hourly Rate)</t>
  </si>
  <si>
    <t>SKIDSTEER ATTACHMENT GRAPPLE BKT 72-77IN (Monthly Rate)</t>
  </si>
  <si>
    <t>SKIDSTEER ATTACHMENT BUCKET 74IN COMBO (Hourly Rate)</t>
  </si>
  <si>
    <t>SKIDSTEER ATTACHMENT BUCKET 74IN COMBO (Monthly Rate)</t>
  </si>
  <si>
    <t>SKIDSTEER ATTACHMENT BUCKET 44IN COMBO (Hourly Rate)</t>
  </si>
  <si>
    <t>SKIDSTEER ATTACHMENT BUCKET 44IN COMBO (Monthly Rate)</t>
  </si>
  <si>
    <t>SKIDSTEER ATTACHMENT BUCKET 62IN COMBO (Hourly Rate)</t>
  </si>
  <si>
    <t>SKIDSTEER ATTACHMENT BUCKET 62IN COMBO (Monthly Rate)</t>
  </si>
  <si>
    <t>SKIDSTEER ATTACHMENT BUCKET 66IN COMBO (Hourly Rate)</t>
  </si>
  <si>
    <t>SKIDSTEER ATTACHMENT BUCKET 66IN COMBO (Monthly Rate)</t>
  </si>
  <si>
    <t>SKIDSTEER ATTACHMENT BUCKET 72IN COMBO (Hourly Rate)</t>
  </si>
  <si>
    <t>SKIDSTEER ATTACHMENT BUCKET 72IN COMBO (Monthly Rate)</t>
  </si>
  <si>
    <t>SKIDSTEER ATTACHMENT BUCKET 80IN COMBO (Hourly Rate)</t>
  </si>
  <si>
    <t>SKIDSTEER ATTACHMENT BUCKET 80IN COMBO (Monthly Rate)</t>
  </si>
  <si>
    <t>SKIDSTEER ATTACHMENT BUCKET 84IN COMBO (Hourly Rate)</t>
  </si>
  <si>
    <t>SKIDSTEER ATTACHMENT BUCKET 84IN COMBO (Monthly Rate)</t>
  </si>
  <si>
    <t>SKIDSTEER ATTACHMENT SNOW BLOWER (Hourly Rate)</t>
  </si>
  <si>
    <t>SKIDSTEER ATTACHMENT SNOW BLOWER (Monthly Rate)</t>
  </si>
  <si>
    <t>SKIDSTEER ATTACHMENT BREAKER 191-290 LBS (Hourly Rate)</t>
  </si>
  <si>
    <t>SKIDSTEER ATTACHMENT BREAKER 191-290 LBS (Monthly Rate)</t>
  </si>
  <si>
    <t>SKIDSTEER ATTACHMENT BREAKER &lt;90 LBS (Hourly Rate)</t>
  </si>
  <si>
    <t>SKIDSTEER ATTACHMENT BREAKER &lt;90 LBS (Monthly Rate)</t>
  </si>
  <si>
    <t>SKIDSTEER ATTACHMENT BREAKER 91-190 LBS (Hourly Rate)</t>
  </si>
  <si>
    <t>SKIDSTEER ATTACHMENT BREAKER 91-190 LBS (Monthly Rate)</t>
  </si>
  <si>
    <t>COMBO SSL M-EX ATTACH BREAKER 191-290LBS (Hourly Rate)</t>
  </si>
  <si>
    <t>COMBO SSL M-EX ATTACH BREAKER 191-290LBS (Monthly Rate)</t>
  </si>
  <si>
    <t>SKIDSTEER ATTACHMENT ROTARY BRUSH MOWER (Hourly Rate)</t>
  </si>
  <si>
    <t>SKIDSTEER ATTACHMENT TRENCHER (Hourly Rate)</t>
  </si>
  <si>
    <t>SKIDSTEER ATTACHMENT TRENCHER (Monthly Rate)</t>
  </si>
  <si>
    <t>SKIDSTEER ATTACHMENT PLANER STD FLOW (Hourly Rate)</t>
  </si>
  <si>
    <t>SKIDSTEER ATTACHMENT PLANER STD FLOW (Monthly Rate)</t>
  </si>
  <si>
    <t>SKIDSTEER ATTACHMENT PLANER HIGH FLOW (Hourly Rate)</t>
  </si>
  <si>
    <t>SKIDSTEER ATTACHMENT PLANER HIGH FLOW (Monthly Rate)</t>
  </si>
  <si>
    <t>EARTH MOVING - WHEEL LOADERS (Hourly Rate)</t>
  </si>
  <si>
    <t>EARTH MOVING - WHEEL LOADERS (Monthly Rate)</t>
  </si>
  <si>
    <t>COMPACT LOADER 1.0-1.4 YD STD BKT DSL (Hourly Rate)</t>
  </si>
  <si>
    <t>COMPACT LOADER 1.0-1.4 YD STD BKT DSL (Monthly Rate)</t>
  </si>
  <si>
    <t>WHEEL LOADER 3.0-3.4 YD STD BKT DSL (Hourly Rate)</t>
  </si>
  <si>
    <t>WHEEL LOADER 3.0-3.4 YD STD BKT DSL (Monthly Rate)</t>
  </si>
  <si>
    <t>WHEEL LOADER 2.5-3.4 YD MP BKT DSL (Hourly Rate)</t>
  </si>
  <si>
    <t>WHEEL LOADER 2.5-3.4 YD MP BKT DSL (Monthly Rate)</t>
  </si>
  <si>
    <t>WHEEL LOADER 3.5-3.9 YD STD BKT DSL (Hourly Rate)</t>
  </si>
  <si>
    <t>WHEEL LOADER 3.5-3.9 YD STD BKT DSL (Monthly Rate)</t>
  </si>
  <si>
    <t>WHEEL LOADER 4.0-4.5 YD STD BKT DSL (Hourly Rate)</t>
  </si>
  <si>
    <t>WHEEL LOADER 4.0-4.5 YD STD BKT DSL (Monthly Rate)</t>
  </si>
  <si>
    <t>WHEEL LOADER 4.0-4.5 YD MP BKT DSL (Hourly Rate)</t>
  </si>
  <si>
    <t>WHEEL LOADER 4.0-4.5 YD MP BKT DSL (Monthly Rate)</t>
  </si>
  <si>
    <t>WHEEL LOADER 4.6-5.5 YD MP BKT DSL (Hourly Rate)</t>
  </si>
  <si>
    <t>WHEEL LOADER 4.6-5.5 YD MP BKT DSL (Monthly Rate)</t>
  </si>
  <si>
    <t>WHEEL LOADER 4.6-5.5 YD STD BKT DSL (Hourly Rate)</t>
  </si>
  <si>
    <t>WHEEL LOADER 4.6-5.5 YD STD BKT DSL (Monthly Rate)</t>
  </si>
  <si>
    <t>EARTH MOVING EQUIPMENT (Hourly Rate)</t>
  </si>
  <si>
    <t>EARTH MOVING EQUIPMENT (Monthly Rate)</t>
  </si>
  <si>
    <t>SKIDSTEER LOADER 250-750LB ROPS (Hourly Rate)</t>
  </si>
  <si>
    <t>SKIDSTEER LOADER 250-750LB ROPS (Monthly Rate)</t>
  </si>
  <si>
    <t>SKIDSTEER LOADER 1500-1750LB ROPS (Hourly Rate)</t>
  </si>
  <si>
    <t>SKIDSTEER LOADER 1500-1750LB ROPS (Monthly Rate)</t>
  </si>
  <si>
    <t>SKIDSTEER LOADER 1200-1499LB ROPS (Hourly Rate)</t>
  </si>
  <si>
    <t>SKIDSTEER LOADER 1200-1499LB ROPS (Monthly Rate)</t>
  </si>
  <si>
    <t>SKIDSTEER LOADER 751-1199LB ROPS (Hourly Rate)</t>
  </si>
  <si>
    <t>SKIDSTEER LOADER 751-1199LB ROPS (Monthly Rate)</t>
  </si>
  <si>
    <t>SKIDSTEER LOADER 1751-2099LB ROPS (Hourly Rate)</t>
  </si>
  <si>
    <t>SKIDSTEER LOADER 1751-2099LB ROPS (Monthly Rate)</t>
  </si>
  <si>
    <t>SKIDSTEER LOADER 250-750LB CAB (Hourly Rate)</t>
  </si>
  <si>
    <t>SKIDSTEER LOADER 250-750LB CAB (Monthly Rate)</t>
  </si>
  <si>
    <t>SKIDSTEER LOADER 1200-1499LB CAB (Hourly Rate)</t>
  </si>
  <si>
    <t>SKIDSTEER LOADER 1200-1499LB CAB (Monthly Rate)</t>
  </si>
  <si>
    <t>SKIDSTEER LOADER 1500-1750LB CAB (Hourly Rate)</t>
  </si>
  <si>
    <t>SKIDSTEER LOADER 1500-1750LB CAB (Monthly Rate)</t>
  </si>
  <si>
    <t>MINI TRACK LOADER W/B &lt; 600LB CAP DSL (Hourly Rate)</t>
  </si>
  <si>
    <t>MINI TRACK LOADER W/B &lt; 600LB CAP DSL (Monthly Rate)</t>
  </si>
  <si>
    <t>MINI TRACK LOADER W/B &lt; 600LB CAP GAS (Hourly Rate)</t>
  </si>
  <si>
    <t>MINI TRACK LOADER W/B &lt; 600LB CAP GAS (Monthly Rate)</t>
  </si>
  <si>
    <t>SKIDSTEER LOADER 1751-2099LB CAB (Hourly Rate)</t>
  </si>
  <si>
    <t>SKIDSTEER LOADER 1751-2099LB CAB (Monthly Rate)</t>
  </si>
  <si>
    <t>SKIDSTEER LOADER 2400-2999LB CAB (Hourly Rate)</t>
  </si>
  <si>
    <t>SKIDSTEER LOADER 2400-2999LB CAB (Monthly Rate)</t>
  </si>
  <si>
    <t>SKIDSTEER LOADER 2100-2399LB CAB (Hourly Rate)</t>
  </si>
  <si>
    <t>SKIDSTEER LOADER 2100-2399LB CAB (Monthly Rate)</t>
  </si>
  <si>
    <t>SKIDSTEER LOADER 2400-2999LB ROPS (Hourly Rate)</t>
  </si>
  <si>
    <t>SKIDSTEER LOADER 2400-2999LB ROPS (Monthly Rate)</t>
  </si>
  <si>
    <t>SKIDSTEER LOADER 2100-2399LB ROPS (Hourly Rate)</t>
  </si>
  <si>
    <t>SKIDSTEER LOADER 2100-2399LB ROPS (Monthly Rate)</t>
  </si>
  <si>
    <t>COMPACT TRACK LOADER 1300-1699LB CAB (Hourly Rate)</t>
  </si>
  <si>
    <t>COMPACT TRACK LOADER 1300-1699LB CAB (Monthly Rate)</t>
  </si>
  <si>
    <t>COMPACT TRACK LOADER 1700-1999LB ROPS (Hourly Rate)</t>
  </si>
  <si>
    <t>COMPACT TRACK LOADER 1700-1999LB ROPS (Monthly Rate)</t>
  </si>
  <si>
    <t>COMPACT TRACK LOADER 2000-2399LB ROPS (Hourly Rate)</t>
  </si>
  <si>
    <t>COMPACT TRACK LOADER 2000-2399LB ROPS (Monthly Rate)</t>
  </si>
  <si>
    <t>COMPACT TRACK LOADER 1700-1999LB CAB (Hourly Rate)</t>
  </si>
  <si>
    <t>COMPACT TRACK LOADER 1700-1999LB CAB (Monthly Rate)</t>
  </si>
  <si>
    <t>COMPACT TRACK LOADER 2000-2399LB CAB (Hourly Rate)</t>
  </si>
  <si>
    <t>COMPACT TRACK LOADER 2000-2399LB CAB (Monthly Rate)</t>
  </si>
  <si>
    <t>COMPACT TRACK LOADER 3000LB &amp; OVER ROPS (Hourly Rate)</t>
  </si>
  <si>
    <t>COMPACT TRACK LOADER 3000LB &amp; OVER ROPS (Monthly Rate)</t>
  </si>
  <si>
    <t>COMPACT TRACK LOADER 3000LB &amp; OVER CAB (Hourly Rate)</t>
  </si>
  <si>
    <t>COMPACT TRACK LOADER 3000LB &amp; OVER CAB (Monthly Rate)</t>
  </si>
  <si>
    <t>COMPACT TRACK LOADER 2400-2999LB ROPS (Hourly Rate)</t>
  </si>
  <si>
    <t>COMPACT TRACK LOADER 2400-2999LB ROPS (Monthly Rate)</t>
  </si>
  <si>
    <t>COMPACT TRACK LOADER 2400-2999LB CAB (Hourly Rate)</t>
  </si>
  <si>
    <t>COMPACT TRACK LOADER 2400-2999LB CAB (Monthly Rate)</t>
  </si>
  <si>
    <t>FAN PEDISTAL 30IN ELEC (Monthly Rate)</t>
  </si>
  <si>
    <t>FAN PEDISTAL 30IN ELEC (Hourly Rate)</t>
  </si>
  <si>
    <t>FAN VORTEX AXIAL (Monthly Rate)</t>
  </si>
  <si>
    <t>FAN VORTEX AXIAL (Hourly Rate)</t>
  </si>
  <si>
    <t>BLOWER VANO (Monthly Rate)</t>
  </si>
  <si>
    <t>BLOWER VANO (Hourly Rate)</t>
  </si>
  <si>
    <t>BUFFER 17IN ELECTRIC (Hourly Rate)</t>
  </si>
  <si>
    <t>BUFFER 17IN ELECTRIC (Monthly Rate)</t>
  </si>
  <si>
    <t>SWEEPER W/B 34 IN PATH BATTERY (Hourly Rate)</t>
  </si>
  <si>
    <t>SWEEPER W/B 34 IN PATH BATTERY (Monthly Rate)</t>
  </si>
  <si>
    <t>SCRUBBER W/B 28 IN PATH BATTERY (Hourly Rate)</t>
  </si>
  <si>
    <t>SCRUBBER W/B 28 IN PATH BATTERY (Monthly Rate)</t>
  </si>
  <si>
    <t>SCRUBBER W/B 32 IN PATH BATTERY (Hourly Rate)</t>
  </si>
  <si>
    <t>SCRUBBER W/B 32 IN PATH BATTERY (Monthly Rate)</t>
  </si>
  <si>
    <t>SWEEPER MID-SIZED 50 IN RIDE-ON LP (Hourly Rate)</t>
  </si>
  <si>
    <t>SWEEPER MID-SIZED 50 IN RIDE-ON LP (Monthly Rate)</t>
  </si>
  <si>
    <t>SCRUBBER MID-SIZED RIDE ON BATTERY (Hourly Rate)</t>
  </si>
  <si>
    <t>SCRUBBER MID-SIZED RIDE ON BATTERY (Monthly Rate)</t>
  </si>
  <si>
    <t>SWEEPER MID-SIZED 62 IN RIDE-ON LP (Hourly Rate)</t>
  </si>
  <si>
    <t>SWEEPER MID-SIZED 62 IN RIDE-ON LP (Monthly Rate)</t>
  </si>
  <si>
    <t>SCRUBBER INDUSTRIAL RIDE ON LP (Hourly Rate)</t>
  </si>
  <si>
    <t>SCRUBBER INDUSTRIAL RIDE ON LP (Monthly Rate)</t>
  </si>
  <si>
    <t>FORKLIFT ATTACHMENT FORK EXTENSIONS (Hourly Rate)</t>
  </si>
  <si>
    <t>FORKLIFT ATTACHMENT TRASH HOPPER (Monthly Rate)</t>
  </si>
  <si>
    <t>FORKLIFT ATTACHMENT TRASH HOPPER (Hourly Rate)</t>
  </si>
  <si>
    <t>FORKLIFT ATTACHMENT WORK PLATFORM (Monthly Rate)</t>
  </si>
  <si>
    <t>FORKLIFT ATTACHMENT WORK PLATFORM (Hourly Rate)</t>
  </si>
  <si>
    <t>FORKLIFT ATTACHMENT LIFTING HOOK (Monthly Rate)</t>
  </si>
  <si>
    <t>FORKLIFT ATTACHMENT LIFTING HOOK (Hourly Rate)</t>
  </si>
  <si>
    <t>FORKLIFT ATTACHMENT BUCKET 1.25YD (Monthly Rate)</t>
  </si>
  <si>
    <t>FORKLIFT ATTACHMENT BUCKET 1.25YD (Hourly Rate)</t>
  </si>
  <si>
    <t>FORKLIFT ATTACHMENT BIN DUMPER 4YD (Monthly Rate)</t>
  </si>
  <si>
    <t>FORKLIFT ATTACHMENT BIN DUMPER 4YD (Hourly Rate)</t>
  </si>
  <si>
    <t>FORKLIFT ATTACHMENT BIN DUMPER 1YD (Monthly Rate)</t>
  </si>
  <si>
    <t>FORKLIFT ATTACHMENT BIN DUMPER 1YD (Hourly Rate)</t>
  </si>
  <si>
    <t>FORKLIFT ATTACHMENT INDUSTRIAL SCALE (Monthly Rate)</t>
  </si>
  <si>
    <t>FORKLIFT ATTACHMENT INDUSTRIAL SCALE (Hourly Rate)</t>
  </si>
  <si>
    <t>FORKLIFT ATTACHMENT TRUSS BOOM (Monthly Rate)</t>
  </si>
  <si>
    <t>FORKLIFT ATTACHMENT TRUSS BOOM (Hourly Rate)</t>
  </si>
  <si>
    <t>PALLET LIFT 5500LB W/B MANUAL (Monthly Rate)</t>
  </si>
  <si>
    <t>PALLET LIFT 5500LB W/B MANUAL (Hourly Rate)</t>
  </si>
  <si>
    <t>PALLET LIFT 8000LB W/B MANUAL (Monthly Rate)</t>
  </si>
  <si>
    <t>PALLET LIFT 8000LB W/B MANUAL (Hourly Rate)</t>
  </si>
  <si>
    <t>FORKLIFT ATTACHMENT BIN DUMPER 2YD (Monthly Rate)</t>
  </si>
  <si>
    <t>FORKLIFT ATTACHMENT BIN DUMPER 2YD (Hourly Rate)</t>
  </si>
  <si>
    <t>FORKLIFT ATTACHMENT SWING CARRIAGE (Monthly Rate)</t>
  </si>
  <si>
    <t>FORKLIFT ATTACHMENT SWING CARRIAGE (Hourly Rate)</t>
  </si>
  <si>
    <t>TIRES AND WHEELS NON-MARKING/FORKLIFT (Monthly Rate)</t>
  </si>
  <si>
    <t>TIRES AND WHEELS NON-MARKING/FORKLIFT (Hourly Rate)</t>
  </si>
  <si>
    <t>PALLET LIFT 4500LB W/B ELEC (Monthly Rate)</t>
  </si>
  <si>
    <t>PALLET LIFT 4500LB W/B ELEC (Hourly Rate)</t>
  </si>
  <si>
    <t>FORKLIFT ATTACHMENT FORK ROTATOR (Monthly Rate)</t>
  </si>
  <si>
    <t>FORKLIFT ATTACHMENT FORK ROTATOR (Hourly Rate)</t>
  </si>
  <si>
    <t>CONVEYOR SECTION PORTABLE 10FT X 12IN (Monthly Rate)</t>
  </si>
  <si>
    <t>CONVEYOR SECTION PORTABLE 10FT X 12IN (Hourly Rate)</t>
  </si>
  <si>
    <t>CONVEYOR SECTION PORTABLE 10FT X 18IN (Monthly Rate)</t>
  </si>
  <si>
    <t>CONVEYOR SECTION PORTABLE 10FT X 18IN (Hourly Rate)</t>
  </si>
  <si>
    <t>STRAIGHTMAST RT FORKLIFT 6000LB 2WD (Hourly Rate)</t>
  </si>
  <si>
    <t>STRAIGHTMAST RT FORKLIFT 6000LB 2WD (Monthly Rate)</t>
  </si>
  <si>
    <t>STRAIGHTMAST RT FORKLIFT 6000LB 4WD (Hourly Rate)</t>
  </si>
  <si>
    <t>STRAIGHTMAST RT FORKLIFT 6000LB 4WD (Monthly Rate)</t>
  </si>
  <si>
    <t>STRAIGHTMAST RT FORKLIFT 5000LB 4WD (Hourly Rate)</t>
  </si>
  <si>
    <t>STRAIGHTMAST RT FORKLIFT 5000LB 4WD (Monthly Rate)</t>
  </si>
  <si>
    <t>STRAIGHTMAST RT FORKLIFT 8000LB 2WD (Hourly Rate)</t>
  </si>
  <si>
    <t>STRAIGHTMAST RT FORKLIFT 8000LB 2WD (Monthly Rate)</t>
  </si>
  <si>
    <t>STRAIGHTMAST RT FORKLIFT 8000LB 4WD (Hourly Rate)</t>
  </si>
  <si>
    <t>STRAIGHTMAST RT FORKLIFT 8000LB 4WD (Monthly Rate)</t>
  </si>
  <si>
    <t>TELEHANDLER 5500# 16-20FT LIFT CAB (Hourly Rate)</t>
  </si>
  <si>
    <t>TELEHANDLER 5500# 16-20FT LIFT CAB (Monthly Rate)</t>
  </si>
  <si>
    <t>TELEHANDLER 5500# 16-20FT LIFT ROPS (Hourly Rate)</t>
  </si>
  <si>
    <t>TELEHANDLER 5500# 16-20FT LIFT ROPS (Monthly Rate)</t>
  </si>
  <si>
    <t>TELEHANDLER 6000# 42-44FT LIFT CAB (Hourly Rate)</t>
  </si>
  <si>
    <t>TELEHANDLER 6000# 42-44FT LIFT CAB (Monthly Rate)</t>
  </si>
  <si>
    <t>TELEHANDLER 6000# 42-44FT LIFT ROPS (Hourly Rate)</t>
  </si>
  <si>
    <t>TELEHANDLER 6000# 42-44FT LIFT ROPS (Monthly Rate)</t>
  </si>
  <si>
    <t>TELEHANDLER 6000# 34-36FT LIFT ROPS (Hourly Rate)</t>
  </si>
  <si>
    <t>TELEHANDLER 6000# 34-36FT LIFT ROPS (Monthly Rate)</t>
  </si>
  <si>
    <t>TELEHANDLER 6000# 34-36FT LIFT CAB (Hourly Rate)</t>
  </si>
  <si>
    <t>TELEHANDLER 6000# 34-36FT LIFT CAB (Monthly Rate)</t>
  </si>
  <si>
    <t>TELEHANDLER 8000# 42-44FT LIFT ROPS (Hourly Rate)</t>
  </si>
  <si>
    <t>TELEHANDLER 8000# 42-44FT LIFT ROPS (Monthly Rate)</t>
  </si>
  <si>
    <t>TELEHANDLER 8000# 42-44FT LIFT CAB (Hourly Rate)</t>
  </si>
  <si>
    <t>TELEHANDLER 8000# 42-44FT LIFT CAB (Monthly Rate)</t>
  </si>
  <si>
    <t>TELEHANDLER 9000# 42-44FT LIFT ROPS (Hourly Rate)</t>
  </si>
  <si>
    <t>TELEHANDLER 9000# 42-44FT LIFT ROPS (Monthly Rate)</t>
  </si>
  <si>
    <t>TELEHANDLER 9000# 42-44FT LIFT CAB (Hourly Rate)</t>
  </si>
  <si>
    <t>TELEHANDLER 9000# 42-44FT LIFT CAB (Monthly Rate)</t>
  </si>
  <si>
    <t>TELEHANDLER 10000# 50-56FT LIFT ROPS (Hourly Rate)</t>
  </si>
  <si>
    <t>TELEHANDLER 10000# 50-56FT LIFT ROPS (Monthly Rate)</t>
  </si>
  <si>
    <t>TELEHANDLER 10000# 50-56FT LIFT CAB (Hourly Rate)</t>
  </si>
  <si>
    <t>TELEHANDLER 10000# 50-56FT LIFT CAB (Monthly Rate)</t>
  </si>
  <si>
    <t>TELEHANDLER 12000# 55-56FT LIFT ROPS (Hourly Rate)</t>
  </si>
  <si>
    <t>TELEHANDLER 12000# 55-56FT LIFT ROPS (Monthly Rate)</t>
  </si>
  <si>
    <t>TELEHANDLER 12000# 55-56FT LIFT CAB (Hourly Rate)</t>
  </si>
  <si>
    <t>TELEHANDLER 12000# 55-56FT LIFT CAB (Monthly Rate)</t>
  </si>
  <si>
    <t>WAREHOUSE FORKLIFT 5000LB PNEU DSL (Monthly Rate)</t>
  </si>
  <si>
    <t>WAREHOUSE FORKLIFT 5000LB PNEU DSL (Hourly Rate)</t>
  </si>
  <si>
    <t>WAREHOUSE FORKLIFT 5000LB 4MAST PNEU DSL (Monthly Rate)</t>
  </si>
  <si>
    <t>WAREHOUSE FORKLIFT 5000LB 4MAST PNEU DSL (Hourly Rate)</t>
  </si>
  <si>
    <t>WAREHOUSE FORKLIFT 5000LB CUSHION LPG (Monthly Rate)</t>
  </si>
  <si>
    <t>WAREHOUSE FORKLIFT 5000LB CUSHION LPG (Hourly Rate)</t>
  </si>
  <si>
    <t>WAREHOUSE FORKLIFT 5000LB PNEU DF (Monthly Rate)</t>
  </si>
  <si>
    <t>WAREHOUSE FORKLIFT 5000LB PNEU DF (Hourly Rate)</t>
  </si>
  <si>
    <t>WAREHOUSE FORKLIFT 3000LB PNEU DF (Monthly Rate)</t>
  </si>
  <si>
    <t>WAREHOUSE FORKLIFT 3000LB PNEU DF (Hourly Rate)</t>
  </si>
  <si>
    <t>WAREHOUSE FORKLIFT 5000LB PNEU LPG (Monthly Rate)</t>
  </si>
  <si>
    <t>WAREHOUSE FORKLIFT 5000LB PNEU LPG (Hourly Rate)</t>
  </si>
  <si>
    <t>WAREHOUSE FORKLIFT 6000LB PNEU DSL (Monthly Rate)</t>
  </si>
  <si>
    <t>WAREHOUSE FORKLIFT 6000LB PNEU DSL (Hourly Rate)</t>
  </si>
  <si>
    <t>WAREHOUSE FORKLIFT 6000LB PNEU LPG (Monthly Rate)</t>
  </si>
  <si>
    <t>WAREHOUSE FORKLIFT 6000LB PNEU LPG (Hourly Rate)</t>
  </si>
  <si>
    <t>WAREHOUSE FORKLIFT 6000LB PNEU DF (Monthly Rate)</t>
  </si>
  <si>
    <t>WAREHOUSE FORKLIFT 6000LB PNEU DF (Hourly Rate)</t>
  </si>
  <si>
    <t>WAREHOUSE FORKLIFT 9000LB PNEU LPG (Monthly Rate)</t>
  </si>
  <si>
    <t>WAREHOUSE FORKLIFT 9000LB PNEU LPG (Hourly Rate)</t>
  </si>
  <si>
    <t>WAREHOUSE FORKLIFT 8000LB PNEU DSL (Monthly Rate)</t>
  </si>
  <si>
    <t>WAREHOUSE FORKLIFT 8000LB PNEU DSL (Hourly Rate)</t>
  </si>
  <si>
    <t>WAREHOUSE FORKLIFT 8000LB PNEU LPG (Monthly Rate)</t>
  </si>
  <si>
    <t>WAREHOUSE FORKLIFT 8000LB PNEU LPG (Hourly Rate)</t>
  </si>
  <si>
    <t>WAREHOUSE FORKLIFT 8000LB PNEU DF (Monthly Rate)</t>
  </si>
  <si>
    <t>WAREHOUSE FORKLIFT 8000LB PNEU DF (Hourly Rate)</t>
  </si>
  <si>
    <t>WAREHOUSE FORKLIFT 5000LB CUSHION ELEC (Monthly Rate)</t>
  </si>
  <si>
    <t>WAREHOUSE FORKLIFT 5000LB CUSHION ELEC (Hourly Rate)</t>
  </si>
  <si>
    <t>WAREHOUSE FORKLIFT 10000LB PNEU DSL (Monthly Rate)</t>
  </si>
  <si>
    <t>WAREHOUSE FORKLIFT 10000LB PNEU DSL (Hourly Rate)</t>
  </si>
  <si>
    <t>WAREHOUSE FORKLIFT 10000LB PNEU DF (Monthly Rate)</t>
  </si>
  <si>
    <t>WAREHOUSE FORKLIFT 10000LB PNEU DF (Hourly Rate)</t>
  </si>
  <si>
    <t>WAREHOUSE FORKLIFT 15000LB PNEU DSL (Monthly Rate)</t>
  </si>
  <si>
    <t>WAREHOUSE FORKLIFT 15000LB PNEU DSL (Hourly Rate)</t>
  </si>
  <si>
    <t>WAREHOUSE FORKLIFT 25000LB PNEU DSL (Monthly Rate)</t>
  </si>
  <si>
    <t>WAREHOUSE FORKLIFT 25000LB PNEU DSL (Hourly Rate)</t>
  </si>
  <si>
    <t>WAREHOUSE FORKLIFT 20000LB PNEU DSL (Monthly Rate)</t>
  </si>
  <si>
    <t>WAREHOUSE FORKLIFT 20000LB PNEU DSL (Hourly Rate)</t>
  </si>
  <si>
    <t>WAREHOUSE FORKLIFT 30000LB PNEU DSL (Monthly Rate)</t>
  </si>
  <si>
    <t>WAREHOUSE FORKLIFT 30000LB PNEU DSL (Hourly Rate)</t>
  </si>
  <si>
    <t>WAREHOUSE FORKLIFT 36000LB PNEU DSL (Monthly Rate)</t>
  </si>
  <si>
    <t>WAREHOUSE FORKLIFT 36000LB PNEU DSL (Hourly Rate)</t>
  </si>
  <si>
    <t>2KW SILENT PORTABLE GENERATOR (Hourly Rate)</t>
  </si>
  <si>
    <t>2KW SILENT PORTABLE GENERATOR (Monthly Rate)</t>
  </si>
  <si>
    <t>1KW PORTABLE GENERATOR (Hourly Rate)</t>
  </si>
  <si>
    <t>1KW PORTABLE GENERATOR (Monthly Rate)</t>
  </si>
  <si>
    <t>1KW SILENT PORTABLE GENERATOR (Hourly Rate)</t>
  </si>
  <si>
    <t>1KW SILENT PORTABLE GENERATOR (Monthly Rate)</t>
  </si>
  <si>
    <t>2KW PORTABLE GENERATOR (Hourly Rate)</t>
  </si>
  <si>
    <t>2KW PORTABLE GENERATOR (Monthly Rate)</t>
  </si>
  <si>
    <t>5KW PORTABLE GENERATOR (Hourly Rate)</t>
  </si>
  <si>
    <t>5KW PORTABLE GENERATOR (Monthly Rate)</t>
  </si>
  <si>
    <t>3KW PORTABLE GENERATOR (Hourly Rate)</t>
  </si>
  <si>
    <t>3KW PORTABLE GENERATOR (Monthly Rate)</t>
  </si>
  <si>
    <t>6KW PORTABLE GENERATOR (Hourly Rate)</t>
  </si>
  <si>
    <t>6KW PORTABLE GENERATOR (Monthly Rate)</t>
  </si>
  <si>
    <t>10KW PORTABLE GENERATOR (Hourly Rate)</t>
  </si>
  <si>
    <t>10KW PORTABLE GENERATOR (Monthly Rate)</t>
  </si>
  <si>
    <t>3KW SILENT PORTABLE GENERATOR (Hourly Rate)</t>
  </si>
  <si>
    <t>3KW SILENT PORTABLE GENERATOR (Monthly Rate)</t>
  </si>
  <si>
    <t>10KW GENERATOR DSL (Hourly Rate)</t>
  </si>
  <si>
    <t>10KW GENERATOR DSL (Monthly Rate)</t>
  </si>
  <si>
    <t>20KW GENERATOR DSL (Hourly Rate)</t>
  </si>
  <si>
    <t>20KW GENERATOR DSL (Monthly Rate)</t>
  </si>
  <si>
    <t>7KW SILENT PORTABLE GENERATOR (Hourly Rate)</t>
  </si>
  <si>
    <t>7KW SILENT PORTABLE GENERATOR (Monthly Rate)</t>
  </si>
  <si>
    <t>30KW GENERATOR DSL (Hourly Rate)</t>
  </si>
  <si>
    <t>30KW GENERATOR DSL (Monthly Rate)</t>
  </si>
  <si>
    <t>40KW GENERATOR DSL (Hourly Rate)</t>
  </si>
  <si>
    <t>40KW GENERATOR DSL (Monthly Rate)</t>
  </si>
  <si>
    <t>55KW GENERATOR DSL (Hourly Rate)</t>
  </si>
  <si>
    <t>55KW GENERATOR DSL (Monthly Rate)</t>
  </si>
  <si>
    <t>70KW GENERATOR DSL (Hourly Rate)</t>
  </si>
  <si>
    <t>70KW GENERATOR DSL (Monthly Rate)</t>
  </si>
  <si>
    <t>80KW GENERATOR DSL (Hourly Rate)</t>
  </si>
  <si>
    <t>80KW GENERATOR DSL (Monthly Rate)</t>
  </si>
  <si>
    <t>100KW GENERATOR DSL (Hourly Rate)</t>
  </si>
  <si>
    <t>100KW GENERATOR DSL (Monthly Rate)</t>
  </si>
  <si>
    <t>120KW GENERATOR DSL (Hourly Rate)</t>
  </si>
  <si>
    <t>120KW GENERATOR DSL (Monthly Rate)</t>
  </si>
  <si>
    <t>140KW GENERATOR DSL (Hourly Rate)</t>
  </si>
  <si>
    <t>140KW GENERATOR DSL (Monthly Rate)</t>
  </si>
  <si>
    <t>160KW GENERATOR DSL (Hourly Rate)</t>
  </si>
  <si>
    <t>160KW GENERATOR DSL (Monthly Rate)</t>
  </si>
  <si>
    <t>175KW GENERATOR DSL (Hourly Rate)</t>
  </si>
  <si>
    <t>175KW GENERATOR DSL (Monthly Rate)</t>
  </si>
  <si>
    <t>250KW GENERATOR DSL (Hourly Rate)</t>
  </si>
  <si>
    <t>250KW GENERATOR DSL (Monthly Rate)</t>
  </si>
  <si>
    <t>320KW GENERATOR DSL (Hourly Rate)</t>
  </si>
  <si>
    <t>320KW GENERATOR DSL (Monthly Rate)</t>
  </si>
  <si>
    <t>600AMP STUDIO GENERATOR (Hourly Rate)</t>
  </si>
  <si>
    <t>600AMP STUDIO GENERATOR (Monthly Rate)</t>
  </si>
  <si>
    <t>350KW GENERATOR DSL (Hourly Rate)</t>
  </si>
  <si>
    <t>350KW GENERATOR DSL (Monthly Rate)</t>
  </si>
  <si>
    <t>500KW GENERATOR DSL (Hourly Rate)</t>
  </si>
  <si>
    <t>500KW GENERATOR DSL (Monthly Rate)</t>
  </si>
  <si>
    <t>1200AMP STUDIO GENERATOR (Hourly Rate)</t>
  </si>
  <si>
    <t>1200AMP STUDIO GENERATOR (Monthly Rate)</t>
  </si>
  <si>
    <t>1400AMP STUDIO GENERATOR (Hourly Rate)</t>
  </si>
  <si>
    <t>1400AMP STUDIO GENERATOR (Monthly Rate)</t>
  </si>
  <si>
    <t>1600AMP STUDIO GENERATOR (Hourly Rate)</t>
  </si>
  <si>
    <t>1600AMP STUDIO GENERATOR (Monthly Rate)</t>
  </si>
  <si>
    <t>650KW GENERATOR DSL (Hourly Rate)</t>
  </si>
  <si>
    <t>650KW GENERATOR DSL (Monthly Rate)</t>
  </si>
  <si>
    <t>1800AMP STUDIO GENERATOR (Hourly Rate)</t>
  </si>
  <si>
    <t>1800AMP STUDIO GENERATOR (Monthly Rate)</t>
  </si>
  <si>
    <t>1000KW GENERATOR DSL (Hourly Rate)</t>
  </si>
  <si>
    <t>1000KW GENERATOR DSL (Monthly Rate)</t>
  </si>
  <si>
    <t>750KW GENERATOR DSL (Hourly Rate)</t>
  </si>
  <si>
    <t>750KW GENERATOR DSL (Monthly Rate)</t>
  </si>
  <si>
    <t>300KW STUDIO GENERATOR TWIN PACK (Hourly Rate)</t>
  </si>
  <si>
    <t>300KW STUDIO GENERATOR TWIN PACK (Monthly Rate)</t>
  </si>
  <si>
    <t>800KW GENERATOR DSL (Hourly Rate)</t>
  </si>
  <si>
    <t>800KW GENERATOR DSL (Monthly Rate)</t>
  </si>
  <si>
    <t>1350KW GENERATOR DSL (Hourly Rate)</t>
  </si>
  <si>
    <t>1350KW GENERATOR DSL (Monthly Rate)</t>
  </si>
  <si>
    <t>1600KW GENERATOR DSL (Hourly Rate)</t>
  </si>
  <si>
    <t>1600KW GENERATOR DSL (Monthly Rate)</t>
  </si>
  <si>
    <t>TILLER 2-3 HP 11-21IN WIDTH FRONT TINE (Monthly Rate)</t>
  </si>
  <si>
    <t>TILLER 2-3 HP 11-21IN WIDTH FRONT TINE (Hourly Rate)</t>
  </si>
  <si>
    <t>POLE PRUNER 8-12IN REACH GAS (Monthly Rate)</t>
  </si>
  <si>
    <t>POLE PRUNER 8-12IN REACH GAS (Hourly Rate)</t>
  </si>
  <si>
    <t>WEED EATER GAS (Monthly Rate)</t>
  </si>
  <si>
    <t>WEED EATER GAS (Hourly Rate)</t>
  </si>
  <si>
    <t>TILLER 6-8 HP 18-20IN WIDTH REAR TINE (Monthly Rate)</t>
  </si>
  <si>
    <t>TILLER 6-8 HP 18-20IN WIDTH REAR TINE (Hourly Rate)</t>
  </si>
  <si>
    <t>TILLER 4-5 HP 20-26IN WIDTH FRONT TINE (Monthly Rate)</t>
  </si>
  <si>
    <t>TILLER 4-5 HP 20-26IN WIDTH FRONT TINE (Hourly Rate)</t>
  </si>
  <si>
    <t>SOD CUTTER 12IN CUT W/B (Monthly Rate)</t>
  </si>
  <si>
    <t>SOD CUTTER 12IN CUT W/B (Hourly Rate)</t>
  </si>
  <si>
    <t>SOD CUTTER 18IN CUT W/B (Monthly Rate)</t>
  </si>
  <si>
    <t>SOD CUTTER 18IN CUT W/B (Hourly Rate)</t>
  </si>
  <si>
    <t>AERATOR 10-19IN WIDTH WALKBEHIND (Monthly Rate)</t>
  </si>
  <si>
    <t>AERATOR 10-19IN WIDTH WALKBEHIND (Hourly Rate)</t>
  </si>
  <si>
    <t>THATCHER 20-22IN WALKBEHIND (Monthly Rate)</t>
  </si>
  <si>
    <t>THATCHER 20-22IN WALKBEHIND (Hourly Rate)</t>
  </si>
  <si>
    <t>MOWER BRUSH 24-26IN SELF PROPELLED GAS (Monthly Rate)</t>
  </si>
  <si>
    <t>MOWER BRUSH 24-26IN SELF PROPELLED GAS (Hourly Rate)</t>
  </si>
  <si>
    <t>TILLER 9-13 HP 18-20IN WIDTH REAR TINE (Monthly Rate)</t>
  </si>
  <si>
    <t>TILLER 9-13 HP 18-20IN WIDTH REAR TINE (Hourly Rate)</t>
  </si>
  <si>
    <t>STUMP GRINDER 10 - 19 HP GAS (Monthly Rate)</t>
  </si>
  <si>
    <t>STUMP GRINDER 10 - 19 HP GAS (Hourly Rate)</t>
  </si>
  <si>
    <t>MOWER LAWN 49-60IN RIDING GAS (Monthly Rate)</t>
  </si>
  <si>
    <t>MOWER LAWN 49-60IN RIDING GAS (Hourly Rate)</t>
  </si>
  <si>
    <t>BRUSH CHIPPER 6IN 20 - 25 HP GAS (Monthly Rate)</t>
  </si>
  <si>
    <t>BRUSH CHIPPER 6IN 20 - 25 HP GAS (Hourly Rate)</t>
  </si>
  <si>
    <t>STUMP GRINDER 20 - 29 HP GAS (Monthly Rate)</t>
  </si>
  <si>
    <t>STUMP GRINDER 20 - 29 HP GAS (Hourly Rate)</t>
  </si>
  <si>
    <t>BRUSH CHIPPER 12IN 49 - 74 HP DSL (Monthly Rate)</t>
  </si>
  <si>
    <t>BRUSH CHIPPER 12IN 49 - 74 HP DSL (Hourly Rate)</t>
  </si>
  <si>
    <t>STUMP GRINDER 60 - 69 HP DSL (Monthly Rate)</t>
  </si>
  <si>
    <t>STUMP GRINDER 60 - 69 HP DSL (Hourly Rate)</t>
  </si>
  <si>
    <t>STUMP GRINDER 70 - 79 HP DSL (Monthly Rate)</t>
  </si>
  <si>
    <t>STUMP GRINDER 70 - 79 HP DSL (Hourly Rate)</t>
  </si>
  <si>
    <t>LIGHT SINGLE INCADESENT 12V EXP 50FT (Hourly Rate)</t>
  </si>
  <si>
    <t>LIGHT SINGLE INCADESENT 12V EXP 50FT (Monthly Rate)</t>
  </si>
  <si>
    <t>LIGHT SINGLE INCADESENT 12V 50FT W/TRAN (Hourly Rate)</t>
  </si>
  <si>
    <t>LIGHT SINGLE INCADESENT 12V 50FT W/TRAN (Monthly Rate)</t>
  </si>
  <si>
    <t>LIGHT PEDESTAL 2000 WATT ELEC (Hourly Rate)</t>
  </si>
  <si>
    <t>LIGHT PEDESTAL 2000 WATT ELEC (Monthly Rate)</t>
  </si>
  <si>
    <t>LIGHT PEDESTAL 1000 WATT ELEC (Hourly Rate)</t>
  </si>
  <si>
    <t>LIGHT PEDESTAL 1000 WATT ELEC (Monthly Rate)</t>
  </si>
  <si>
    <t>LIGHT BALLOON LAMP 1000 WATT HALIDE (Hourly Rate)</t>
  </si>
  <si>
    <t>LIGHT BALLOON LAMP 1000 WATT HALIDE (Monthly Rate)</t>
  </si>
  <si>
    <t>LIGHT TOWER HORIZ MAST MAN NARROW BODY (Hourly Rate)</t>
  </si>
  <si>
    <t>LIGHT TOWER HORIZ MAST MAN NARROW BODY (Monthly Rate)</t>
  </si>
  <si>
    <t>LIGHT STRING EXP PROOF INCADESENT 12V (Hourly Rate)</t>
  </si>
  <si>
    <t>LIGHT STRING EXP PROOF INCADESENT 12V (Monthly Rate)</t>
  </si>
  <si>
    <t>LIGHT BALLOON LAMP 300 WATT LED (Hourly Rate)</t>
  </si>
  <si>
    <t>LIGHT BALLOON LAMP 300 WATT LED (Monthly Rate)</t>
  </si>
  <si>
    <t>LIGHT TOWER BALLON LIGHT ATTACHMENT (Hourly Rate)</t>
  </si>
  <si>
    <t>LIGHT TOWER BALLON LIGHT ATTACHMENT (Monthly Rate)</t>
  </si>
  <si>
    <t>LIGHT EXP PROOF AIR 250WATT STAND ELEC (Hourly Rate)</t>
  </si>
  <si>
    <t>LIGHT EXP PROOF AIR 250WATT STAND ELEC (Monthly Rate)</t>
  </si>
  <si>
    <t>LIGHT BALLOON LAMP 1000 WATT WITH CONV (Hourly Rate)</t>
  </si>
  <si>
    <t>LIGHT BALLOON LAMP 1000 WATT WITH CONV (Monthly Rate)</t>
  </si>
  <si>
    <t>LIGHT TOWER VERT MAST MAN NARROW BODY (Hourly Rate)</t>
  </si>
  <si>
    <t>LIGHT TOWER VERT MAST MAN NARROW BODY (Monthly Rate)</t>
  </si>
  <si>
    <t>LIGHT TOWER VERT MAST AUTO NARROW BODY (Hourly Rate)</t>
  </si>
  <si>
    <t>LIGHT TOWER VERT MAST AUTO NARROW BODY (Monthly Rate)</t>
  </si>
  <si>
    <t>LIGHT BALLOON LAMP 1600 WATT WITH CART (Hourly Rate)</t>
  </si>
  <si>
    <t>LIGHT BALLOON LAMP 1600 WATT WITH CART (Monthly Rate)</t>
  </si>
  <si>
    <t>LIGHT TOWER HORIZ MAST ELEC NARROW BODY (Hourly Rate)</t>
  </si>
  <si>
    <t>LIGHT TOWER HORIZ MAST ELEC NARROW BODY (Monthly Rate)</t>
  </si>
  <si>
    <t>LIGHT TOWER VERT MAST LED TRAILER MTD (Hourly Rate)</t>
  </si>
  <si>
    <t>LIGHT TOWER VERT MAST LED TRAILER MTD (Monthly Rate)</t>
  </si>
  <si>
    <t>LIGHT TOWER SOLAR (Hourly Rate)</t>
  </si>
  <si>
    <t>LIGHT TOWER SOLAR (Monthly Rate)</t>
  </si>
  <si>
    <t>INCREASER / REDUCER 8X6 (Monthly Rate)</t>
  </si>
  <si>
    <t>INCREASER / REDUCER 8X6 (Hourly Rate)</t>
  </si>
  <si>
    <t>PIPE 45 DEG ELL 8 IN BY VARIOUS OUTPUT (Monthly Rate)</t>
  </si>
  <si>
    <t>PIPE 45 DEG ELL 8 IN BY VARIOUS OUTPUT (Hourly Rate)</t>
  </si>
  <si>
    <t>PIPE ELBOW 8X90 DEG (Monthly Rate)</t>
  </si>
  <si>
    <t>PIPE ELBOW 8X90 DEG (Hourly Rate)</t>
  </si>
  <si>
    <t>PIPE ADAPTER 8 FLANGE X M BAUER (Monthly Rate)</t>
  </si>
  <si>
    <t>PIPE ADAPTER 8 FLANGE X M BAUER (Hourly Rate)</t>
  </si>
  <si>
    <t>PIPE TEE 8 IN BY VARIOUS OUTPUT (Monthly Rate)</t>
  </si>
  <si>
    <t>PIPE TEE 8 IN BY VARIOUS OUTPUT (Hourly Rate)</t>
  </si>
  <si>
    <t>PIPE TEE 12 IN BY VARIOUS OUTPUT (Monthly Rate)</t>
  </si>
  <si>
    <t>PIPE TEE 12 IN BY VARIOUS OUTPUT (Hourly Rate)</t>
  </si>
  <si>
    <t>HDPE FITTING 12X90 DEG (Monthly Rate)</t>
  </si>
  <si>
    <t>HDPE FITTING 12X90 DEG (Hourly Rate)</t>
  </si>
  <si>
    <t>PIPE ADAPTER 12 FLANGE X F BAUER (Monthly Rate)</t>
  </si>
  <si>
    <t>PIPE ADAPTER 12 FLANGE X F BAUER (Hourly Rate)</t>
  </si>
  <si>
    <t>PIPE 45 DEG ELL 12 IN BY VARIOUS OUTPUT (Monthly Rate)</t>
  </si>
  <si>
    <t>PIPE 45 DEG ELL 12 IN BY VARIOUS OUTPUT (Hourly Rate)</t>
  </si>
  <si>
    <t>BLIND FLANGE 12 (Monthly Rate)</t>
  </si>
  <si>
    <t>BLIND FLANGE 12 (Hourly Rate)</t>
  </si>
  <si>
    <t>FOOT VALVE 3 (Monthly Rate)</t>
  </si>
  <si>
    <t>FOOT VALVE 3 (Hourly Rate)</t>
  </si>
  <si>
    <t>FOOT VALVE 4 (Monthly Rate)</t>
  </si>
  <si>
    <t>FOOT VALVE 4 (Hourly Rate)</t>
  </si>
  <si>
    <t>FLOW METER (Monthly Rate)</t>
  </si>
  <si>
    <t>FLOW METER (Hourly Rate)</t>
  </si>
  <si>
    <t>PVC SUCTION HOSE CAM CPLNG 4X20 (Monthly Rate)</t>
  </si>
  <si>
    <t>PVC SUCTION HOSE CAM CPLNG 4X20 (Hourly Rate)</t>
  </si>
  <si>
    <t>ORAFLEX DISCHARGE HOSE CAM CPLNG 4X50 (Monthly Rate)</t>
  </si>
  <si>
    <t>ORAFLEX DISCHARGE HOSE CAM CPLNG 4X50 (Hourly Rate)</t>
  </si>
  <si>
    <t>PUMP SUBMERSIBLE 3/4IN ELEC (Monthly Rate)</t>
  </si>
  <si>
    <t>PUMP SUBMERSIBLE 3/4IN ELEC (Hourly Rate)</t>
  </si>
  <si>
    <t>ORAFLEX DISCHARGE HOSE 6"X50' (Monthly Rate)</t>
  </si>
  <si>
    <t>ORAFLEX DISCHARGE HOSE 6"X50' (Hourly Rate)</t>
  </si>
  <si>
    <t>PUMP SUBMERSIBLE 2IN ELEC (Monthly Rate)</t>
  </si>
  <si>
    <t>PUMP SUBMERSIBLE 2IN ELEC (Hourly Rate)</t>
  </si>
  <si>
    <t>PUMP FLOWMETER 2IN (Monthly Rate)</t>
  </si>
  <si>
    <t>PUMP FLOWMETER 2IN (Hourly Rate)</t>
  </si>
  <si>
    <t>PUMP DIAPHRAGM 1/2IN (Monthly Rate)</t>
  </si>
  <si>
    <t>PUMP DIAPHRAGM 1/2IN (Hourly Rate)</t>
  </si>
  <si>
    <t>PVC SUCTION HOSE CAM CPLNG 6X20 (Monthly Rate)</t>
  </si>
  <si>
    <t>PVC SUCTION HOSE CAM CPLNG 6X20 (Hourly Rate)</t>
  </si>
  <si>
    <t>ORAFLEX DISCHARGE HOSE BAUER CPLNG 8X50 (Monthly Rate)</t>
  </si>
  <si>
    <t>ORAFLEX DISCHARGE HOSE BAUER CPLNG 8X50 (Hourly Rate)</t>
  </si>
  <si>
    <t>PUMP SUBMERSIBLE HV 1HP 3PH 2IN ELEC (Monthly Rate)</t>
  </si>
  <si>
    <t>PUMP SUBMERSIBLE HV 1HP 3PH 2IN ELEC (Hourly Rate)</t>
  </si>
  <si>
    <t>PUMP FLOWMETER 3IN (Monthly Rate)</t>
  </si>
  <si>
    <t>PUMP FLOWMETER 3IN (Hourly Rate)</t>
  </si>
  <si>
    <t>KANAFLEX SUCTION HOSE BAUER CPLNG 8X20 (Monthly Rate)</t>
  </si>
  <si>
    <t>KANAFLEX SUCTION HOSE BAUER CPLNG 8X20 (Hourly Rate)</t>
  </si>
  <si>
    <t>PUMP TRASH 3IN DSL (Monthly Rate)</t>
  </si>
  <si>
    <t>PUMP TRASH 3IN DSL (Hourly Rate)</t>
  </si>
  <si>
    <t>PUMP DIAPHRAGM ALUM/CAST IRON 1IN (Monthly Rate)</t>
  </si>
  <si>
    <t>PUMP DIAPHRAGM ALUM/CAST IRON 1IN (Hourly Rate)</t>
  </si>
  <si>
    <t>PUMP TRASH 2IN GAS (Monthly Rate)</t>
  </si>
  <si>
    <t>PUMP TRASH 2IN GAS (Hourly Rate)</t>
  </si>
  <si>
    <t>PUMP SUBMERSIBLE 2HP 3PH 460V 2IN ELEC (Monthly Rate)</t>
  </si>
  <si>
    <t>PUMP SUBMERSIBLE 2HP 3PH 460V 2IN ELEC (Hourly Rate)</t>
  </si>
  <si>
    <t>PUMP FLOWMETER 4IN (Monthly Rate)</t>
  </si>
  <si>
    <t>PUMP FLOWMETER 4IN (Hourly Rate)</t>
  </si>
  <si>
    <t>PUMP FLOWMETER 6IN (Monthly Rate)</t>
  </si>
  <si>
    <t>PUMP FLOWMETER 6IN (Hourly Rate)</t>
  </si>
  <si>
    <t>PUMP CENTRIFUGAL 2IN GAS (Monthly Rate)</t>
  </si>
  <si>
    <t>PUMP CENTRIFUGAL 2IN GAS (Hourly Rate)</t>
  </si>
  <si>
    <t>PUMP TRASH 3IN GAS (Monthly Rate)</t>
  </si>
  <si>
    <t>PUMP TRASH 3IN GAS (Hourly Rate)</t>
  </si>
  <si>
    <t>PUMP SUBMERSIBLE 1-1/4IN ELEC (Monthly Rate)</t>
  </si>
  <si>
    <t>PUMP SUBMERSIBLE 1-1/4IN ELEC (Hourly Rate)</t>
  </si>
  <si>
    <t>PUMP DIAPHRAGM ALUMINUM 2IN (Monthly Rate)</t>
  </si>
  <si>
    <t>PUMP DIAPHRAGM ALUMINUM 2IN (Hourly Rate)</t>
  </si>
  <si>
    <t>PUMP TRASH ALUMINUM 3IN GAS (Monthly Rate)</t>
  </si>
  <si>
    <t>PUMP TRASH ALUMINUM 3IN GAS (Hourly Rate)</t>
  </si>
  <si>
    <t>PUMP CENTRIFUGAL 3IN GAS (Monthly Rate)</t>
  </si>
  <si>
    <t>PUMP CENTRIFUGAL 3IN GAS (Hourly Rate)</t>
  </si>
  <si>
    <t>PUMP HEAD PONTOON HDPE 12IN HYD (Monthly Rate)</t>
  </si>
  <si>
    <t>PUMP HEAD PONTOON HDPE 12IN HYD (Hourly Rate)</t>
  </si>
  <si>
    <t>PONTOON FLOAT SUBMERSIBLE STEEL 12IN (Monthly Rate)</t>
  </si>
  <si>
    <t>PONTOON FLOAT SUBMERSIBLE STEEL 12IN (Hourly Rate)</t>
  </si>
  <si>
    <t>PUMP DIAPHRAGM POLYPROPYLENE 1IN (Monthly Rate)</t>
  </si>
  <si>
    <t>PUMP DIAPHRAGM POLYPROPYLENE 1IN (Hourly Rate)</t>
  </si>
  <si>
    <t>PUMP SUBMERSIBLE SEWAGE 1HP 2IN ELEC (Monthly Rate)</t>
  </si>
  <si>
    <t>PUMP SUBMERSIBLE SEWAGE 1HP 2IN ELEC (Hourly Rate)</t>
  </si>
  <si>
    <t>PUMP FLOWMETER 8IN (Monthly Rate)</t>
  </si>
  <si>
    <t>PUMP FLOWMETER 8IN (Hourly Rate)</t>
  </si>
  <si>
    <t>PUMP SUBMERSIBLE 3IN AIR (Monthly Rate)</t>
  </si>
  <si>
    <t>PUMP SUBMERSIBLE 3IN AIR (Hourly Rate)</t>
  </si>
  <si>
    <t>PUMP TRASH 4IN GAS (Monthly Rate)</t>
  </si>
  <si>
    <t>PUMP TRASH 4IN GAS (Hourly Rate)</t>
  </si>
  <si>
    <t>PUMP SUBMERSIBLE 3HP 3IN ELEC (Monthly Rate)</t>
  </si>
  <si>
    <t>PUMP SUBMERSIBLE 3HP 3IN ELEC (Hourly Rate)</t>
  </si>
  <si>
    <t>PUMP DIAPHRAGM ALUMINUM 3IN (Monthly Rate)</t>
  </si>
  <si>
    <t>PUMP DIAPHRAGM ALUMINUM 3IN (Hourly Rate)</t>
  </si>
  <si>
    <t>PUMP DIAPHRAGM 1IN (Monthly Rate)</t>
  </si>
  <si>
    <t>PUMP DIAPHRAGM 1IN (Hourly Rate)</t>
  </si>
  <si>
    <t>PUMP SUBMERSIBLE HV 2HP 3PH 3IN ELEC (Monthly Rate)</t>
  </si>
  <si>
    <t>PUMP SUBMERSIBLE HV 2HP 3PH 3IN ELEC (Hourly Rate)</t>
  </si>
  <si>
    <t>PUMP DIAPHRAGM 3IN GAS (Monthly Rate)</t>
  </si>
  <si>
    <t>PUMP DIAPHRAGM 3IN GAS (Hourly Rate)</t>
  </si>
  <si>
    <t>PUMP CENTRIFUGAL 3IN DSL (Monthly Rate)</t>
  </si>
  <si>
    <t>PUMP CENTRIFUGAL 3IN DSL (Hourly Rate)</t>
  </si>
  <si>
    <t>PUMP SUBMERSIBLE SLUDGE 3IN ELEC (Monthly Rate)</t>
  </si>
  <si>
    <t>PUMP SUBMERSIBLE SLUDGE 3IN ELEC (Hourly Rate)</t>
  </si>
  <si>
    <t>PUMP FLOWMETER 10IN (Monthly Rate)</t>
  </si>
  <si>
    <t>PUMP FLOWMETER 10IN (Hourly Rate)</t>
  </si>
  <si>
    <t>PUMP HIGH PRESSURE 5.5HP GAS (Monthly Rate)</t>
  </si>
  <si>
    <t>PUMP HIGH PRESSURE 5.5HP GAS (Hourly Rate)</t>
  </si>
  <si>
    <t>PUMP CENTRIFUGAL HIGH HEAD 1-1/2IN GAS (Monthly Rate)</t>
  </si>
  <si>
    <t>PUMP CENTRIFUGAL HIGH HEAD 1-1/2IN GAS (Hourly Rate)</t>
  </si>
  <si>
    <t>PUMP CENTRIFUGAL HIGH HEAD 3IN GAS (Monthly Rate)</t>
  </si>
  <si>
    <t>PUMP CENTRIFUGAL HIGH HEAD 3IN GAS (Hourly Rate)</t>
  </si>
  <si>
    <t>PUMP DIAPHRAGM 2IN GAS (Monthly Rate)</t>
  </si>
  <si>
    <t>PUMP DIAPHRAGM 2IN GAS (Hourly Rate)</t>
  </si>
  <si>
    <t>PUMP SUBMERSIBLE HV 3HP 3PH 2IN ELEC (Monthly Rate)</t>
  </si>
  <si>
    <t>PUMP SUBMERSIBLE HV 3HP 3PH 2IN ELEC (Hourly Rate)</t>
  </si>
  <si>
    <t>PUMP DIAPHRAGM 4IN DSL (Monthly Rate)</t>
  </si>
  <si>
    <t>PUMP DIAPHRAGM 4IN DSL (Hourly Rate)</t>
  </si>
  <si>
    <t>PUMP DIAPHRAGM CAST IRON 3IN (Monthly Rate)</t>
  </si>
  <si>
    <t>PUMP DIAPHRAGM CAST IRON 3IN (Hourly Rate)</t>
  </si>
  <si>
    <t>PUMP DIAPHRAGM 3IN (Monthly Rate)</t>
  </si>
  <si>
    <t>PUMP DIAPHRAGM 3IN (Hourly Rate)</t>
  </si>
  <si>
    <t>PUMP SUBMERSIBLE HV 5HP 3PH 3IN ELEC (Monthly Rate)</t>
  </si>
  <si>
    <t>PUMP SUBMERSIBLE HV 5HP 3PH 3IN ELEC (Hourly Rate)</t>
  </si>
  <si>
    <t>PUMP SUBMERSIBLE 4IN HYD (Monthly Rate)</t>
  </si>
  <si>
    <t>PUMP SUBMERSIBLE 4IN HYD (Hourly Rate)</t>
  </si>
  <si>
    <t>PUMP DOUBLED 2 IN AIR (Monthly Rate)</t>
  </si>
  <si>
    <t>PUMP DOUBLED 2 IN AIR (Hourly Rate)</t>
  </si>
  <si>
    <t>PUMP DOUBLED 1 1/2 IN AIR (Monthly Rate)</t>
  </si>
  <si>
    <t>PUMP DOUBLED 1 1/2 IN AIR (Hourly Rate)</t>
  </si>
  <si>
    <t>PUMP DOUBLED 3 IN AIR (Monthly Rate)</t>
  </si>
  <si>
    <t>PUMP DOUBLED 3 IN AIR (Hourly Rate)</t>
  </si>
  <si>
    <t>PUMP SUBMERSIBLE SEWAGE 3HP 3PH 4IN ELEC (Monthly Rate)</t>
  </si>
  <si>
    <t>PUMP SUBMERSIBLE SEWAGE 3HP 3PH 4IN ELEC (Hourly Rate)</t>
  </si>
  <si>
    <t>PUMP BOOSTER 7.5HP 2IN ELEC (Monthly Rate)</t>
  </si>
  <si>
    <t>PUMP BOOSTER 7.5HP 2IN ELEC (Hourly Rate)</t>
  </si>
  <si>
    <t>PUMP SUBMERSIBLE 6IN HYD (Monthly Rate)</t>
  </si>
  <si>
    <t>PUMP SUBMERSIBLE 6IN HYD (Hourly Rate)</t>
  </si>
  <si>
    <t>PUMP SUBMERSIBLE HHEAD 4HP 3PH 2IN ELEC (Monthly Rate)</t>
  </si>
  <si>
    <t>PUMP SUBMERSIBLE HHEAD 4HP 3PH 2IN ELEC (Hourly Rate)</t>
  </si>
  <si>
    <t>PUMP SUBMERSIBLE 3IN ELEC (Monthly Rate)</t>
  </si>
  <si>
    <t>PUMP SUBMERSIBLE 3IN ELEC (Hourly Rate)</t>
  </si>
  <si>
    <t>PUMP SUBMERSIBLE SUPER 4IN ELEC (Monthly Rate)</t>
  </si>
  <si>
    <t>PUMP SUBMERSIBLE SUPER 4IN ELEC (Hourly Rate)</t>
  </si>
  <si>
    <t>PUMP HYDROSTATIC TEST 10000 PSI AIR (Monthly Rate)</t>
  </si>
  <si>
    <t>PUMP HYDROSTATIC TEST 10000 PSI AIR (Hourly Rate)</t>
  </si>
  <si>
    <t>PUMP SUBMERSIBLE 3IN HYD (Monthly Rate)</t>
  </si>
  <si>
    <t>PUMP SUBMERSIBLE 3IN HYD (Hourly Rate)</t>
  </si>
  <si>
    <t>PUMP SUBMERSIBLE HIGH HEAD 6HP 3IN ELEC (Monthly Rate)</t>
  </si>
  <si>
    <t>PUMP SUBMERSIBLE HIGH HEAD 6HP 3IN ELEC (Hourly Rate)</t>
  </si>
  <si>
    <t>PUMP SUBMERSIBLE SS 4IN HYD (Monthly Rate)</t>
  </si>
  <si>
    <t>PUMP SUBMERSIBLE SS 4IN HYD (Hourly Rate)</t>
  </si>
  <si>
    <t>PUMP SUBMERSIBLE SS 6IN HYD (Monthly Rate)</t>
  </si>
  <si>
    <t>PUMP SUBMERSIBLE SS 6IN HYD (Hourly Rate)</t>
  </si>
  <si>
    <t>PUMP SUBMERSIBLE SLURRY GATE 6IN HYD (Monthly Rate)</t>
  </si>
  <si>
    <t>PUMP SUBMERSIBLE SLURRY GATE 6IN HYD (Hourly Rate)</t>
  </si>
  <si>
    <t>PUMP SUBMERSIBLE SEWAGE CUT 5HP 4IN ELEC (Monthly Rate)</t>
  </si>
  <si>
    <t>PUMP SUBMERSIBLE SEWAGE CUT 5HP 4IN ELEC (Hourly Rate)</t>
  </si>
  <si>
    <t>PUMP SUBMERSIBLE 8IN HYD (Monthly Rate)</t>
  </si>
  <si>
    <t>PUMP SUBMERSIBLE 8IN HYD (Hourly Rate)</t>
  </si>
  <si>
    <t>PUMP BOOSTER 20HP 1-1/2IN ELEC (Monthly Rate)</t>
  </si>
  <si>
    <t>PUMP BOOSTER 20HP 1-1/2IN ELEC (Hourly Rate)</t>
  </si>
  <si>
    <t>PUMP BOOSTER SYSTEM VFD 460V (Monthly Rate)</t>
  </si>
  <si>
    <t>PUMP BOOSTER SYSTEM VFD 460V (Hourly Rate)</t>
  </si>
  <si>
    <t>PUMP BOOSTER 15HP 2IN ELEC (Monthly Rate)</t>
  </si>
  <si>
    <t>PUMP BOOSTER 15HP 2IN ELEC (Hourly Rate)</t>
  </si>
  <si>
    <t>PUMP SUBMERSIBLE HV 7.5HP 3PH 3IN ELEC (Monthly Rate)</t>
  </si>
  <si>
    <t>PUMP SUBMERSIBLE HV 7.5HP 3PH 3IN ELEC (Hourly Rate)</t>
  </si>
  <si>
    <t>PUMP SUBMERSIBLE SS 12IN HYD (Monthly Rate)</t>
  </si>
  <si>
    <t>PUMP SUBMERSIBLE SS 12IN HYD (Hourly Rate)</t>
  </si>
  <si>
    <t>PUMP HYDRAULIC 10,000 PSI FOR TOOLS (Monthly Rate)</t>
  </si>
  <si>
    <t>PUMP HYDRAULIC 10,000 PSI FOR TOOLS (Hourly Rate)</t>
  </si>
  <si>
    <t>PUMP BOOSTER 20HP 2IN ELEC (Monthly Rate)</t>
  </si>
  <si>
    <t>PUMP BOOSTER 20HP 2IN ELEC (Hourly Rate)</t>
  </si>
  <si>
    <t>PUMP SUBMERSIBLE SEWAGE 7.5HP (Monthly Rate)</t>
  </si>
  <si>
    <t>PUMP SUBMERSIBLE SEWAGE 7.5HP (Hourly Rate)</t>
  </si>
  <si>
    <t>PUMP SUBMERSIBLE SEWAGE 10HP 4IN ELEC (Monthly Rate)</t>
  </si>
  <si>
    <t>PUMP SUBMERSIBLE SEWAGE 10HP 4IN ELEC (Hourly Rate)</t>
  </si>
  <si>
    <t>PUMP SUBMERSIBLE 12IN HYD (Monthly Rate)</t>
  </si>
  <si>
    <t>PUMP SUBMERSIBLE 12IN HYD (Hourly Rate)</t>
  </si>
  <si>
    <t>PUMP DIAPHRAGM POLYPROPYLENE 2IN (Monthly Rate)</t>
  </si>
  <si>
    <t>PUMP DIAPHRAGM POLYPROPYLENE 2IN (Hourly Rate)</t>
  </si>
  <si>
    <t>PUMP BOOSTER 20HP 3IN ELEC (Monthly Rate)</t>
  </si>
  <si>
    <t>PUMP BOOSTER 20HP 3IN ELEC (Hourly Rate)</t>
  </si>
  <si>
    <t>PUMP VAC ASSIST 4IN DSL (Monthly Rate)</t>
  </si>
  <si>
    <t>PUMP VAC ASSIST 4IN DSL (Hourly Rate)</t>
  </si>
  <si>
    <t>PUMP DIAPHRAGM SS 2IN (Monthly Rate)</t>
  </si>
  <si>
    <t>PUMP DIAPHRAGM SS 2IN (Hourly Rate)</t>
  </si>
  <si>
    <t>PUMP CENTRIFUGAL WET PRIME 4IN DSL (Monthly Rate)</t>
  </si>
  <si>
    <t>PUMP CENTRIFUGAL WET PRIME 4IN DSL (Hourly Rate)</t>
  </si>
  <si>
    <t>PUMP SUBMERSIBLE HIGH HEAD 15HP 4IN ELEC (Monthly Rate)</t>
  </si>
  <si>
    <t>PUMP SUBMERSIBLE HIGH HEAD 15HP 4IN ELEC (Hourly Rate)</t>
  </si>
  <si>
    <t>PUMP BOOSTER 30HP 3IN ELEC (Monthly Rate)</t>
  </si>
  <si>
    <t>PUMP BOOSTER 30HP 3IN ELEC (Hourly Rate)</t>
  </si>
  <si>
    <t>PUMP WELL POINT MASPORT 6IN DSL (Monthly Rate)</t>
  </si>
  <si>
    <t>PUMP WELL POINT MASPORT 6IN DSL (Hourly Rate)</t>
  </si>
  <si>
    <t>PUMP CENTRIFUGAL 2IN ELEC (Monthly Rate)</t>
  </si>
  <si>
    <t>PUMP CENTRIFUGAL 2IN ELEC (Hourly Rate)</t>
  </si>
  <si>
    <t>PUMP SUBMERSIBLE 6IN ELEC (Monthly Rate)</t>
  </si>
  <si>
    <t>PUMP SUBMERSIBLE 6IN ELEC (Hourly Rate)</t>
  </si>
  <si>
    <t>PUMP WELL POINT MASPORT 8IN DSL (Monthly Rate)</t>
  </si>
  <si>
    <t>PUMP WELL POINT MASPORT 8IN DSL (Hourly Rate)</t>
  </si>
  <si>
    <t>PUMP VAC ASSIST 3IN DSL (Monthly Rate)</t>
  </si>
  <si>
    <t>PUMP VAC ASSIST 3IN DSL (Hourly Rate)</t>
  </si>
  <si>
    <t>PUMP VAC ASSIST 6IN DSL (Monthly Rate)</t>
  </si>
  <si>
    <t>PUMP VAC ASSIST 6IN DSL (Hourly Rate)</t>
  </si>
  <si>
    <t>POWER UNIT 10HP HYD (Monthly Rate)</t>
  </si>
  <si>
    <t>POWER UNIT 10HP HYD (Hourly Rate)</t>
  </si>
  <si>
    <t>PUMP VAC ASSIST SOUND ATTENUATED 4IN DSL (Monthly Rate)</t>
  </si>
  <si>
    <t>PUMP VAC ASSIST SOUND ATTENUATED 4IN DSL (Hourly Rate)</t>
  </si>
  <si>
    <t>PUMP DIAPHRAGM POLYPROPYLENE 3IN (Monthly Rate)</t>
  </si>
  <si>
    <t>PUMP DIAPHRAGM POLYPROPYLENE 3IN (Hourly Rate)</t>
  </si>
  <si>
    <t>PUMP CENTRIFUGAL 4X3IN ELEC (Monthly Rate)</t>
  </si>
  <si>
    <t>PUMP CENTRIFUGAL 4X3IN ELEC (Hourly Rate)</t>
  </si>
  <si>
    <t>POWER UNIT 20HP HYD (Monthly Rate)</t>
  </si>
  <si>
    <t>POWER UNIT 20HP HYD (Hourly Rate)</t>
  </si>
  <si>
    <t>PUMP SUBMERSIBLE SEW CUT 20HP 4IN ELEC (Monthly Rate)</t>
  </si>
  <si>
    <t>PUMP SUBMERSIBLE SEW CUT 20HP 4IN ELEC (Hourly Rate)</t>
  </si>
  <si>
    <t>PUMP SUBMERSIBLE SEWAGE 20HP 4IN ELEC (Monthly Rate)</t>
  </si>
  <si>
    <t>PUMP SUBMERSIBLE SEWAGE 20HP 4IN ELEC (Hourly Rate)</t>
  </si>
  <si>
    <t>PUMP DIAPHRAGM SS 3IN (Monthly Rate)</t>
  </si>
  <si>
    <t>PUMP DIAPHRAGM SS 3IN (Hourly Rate)</t>
  </si>
  <si>
    <t>PUMP VAC ASSIST 4IN ELEC (Monthly Rate)</t>
  </si>
  <si>
    <t>PUMP VAC ASSIST 4IN ELEC (Hourly Rate)</t>
  </si>
  <si>
    <t>PUMP SUBMERSIBLE 4IN ELEC (Monthly Rate)</t>
  </si>
  <si>
    <t>PUMP SUBMERSIBLE 4IN ELEC (Hourly Rate)</t>
  </si>
  <si>
    <t>PUMP WELLPOINT 6IN DSL (Monthly Rate)</t>
  </si>
  <si>
    <t>PUMP WELLPOINT 6IN DSL (Hourly Rate)</t>
  </si>
  <si>
    <t>PUMP SUBMERSIBLE SEWAGE 30HP 4IN ELEC (Monthly Rate)</t>
  </si>
  <si>
    <t>PUMP SUBMERSIBLE SEWAGE 30HP 4IN ELEC (Hourly Rate)</t>
  </si>
  <si>
    <t>PUMP VAC ASSIST 6IN SUPER DSL (Monthly Rate)</t>
  </si>
  <si>
    <t>PUMP VAC ASSIST 6IN SUPER DSL (Hourly Rate)</t>
  </si>
  <si>
    <t>PUMP SUBMERSIBLE SEW 10HP 3PH 6IN ELEC (Monthly Rate)</t>
  </si>
  <si>
    <t>PUMP SUBMERSIBLE SEW 10HP 3PH 6IN ELEC (Hourly Rate)</t>
  </si>
  <si>
    <t>PUMP SUBMERSIBLE SEW 20HP 3PH 6IN ELEC (Monthly Rate)</t>
  </si>
  <si>
    <t>PUMP SUBMERSIBLE SEW 20HP 3PH 6IN ELEC (Hourly Rate)</t>
  </si>
  <si>
    <t>PUMP VAC ASSIST SS 4IN DSL (Monthly Rate)</t>
  </si>
  <si>
    <t>PUMP VAC ASSIST SS 4IN DSL (Hourly Rate)</t>
  </si>
  <si>
    <t>PUMP BOOSTER 4IN ELEC (Monthly Rate)</t>
  </si>
  <si>
    <t>PUMP BOOSTER 4IN ELEC (Hourly Rate)</t>
  </si>
  <si>
    <t>PUMP BOOSTER 50HP 460V 2X4X9.5IN ELEC (Monthly Rate)</t>
  </si>
  <si>
    <t>PUMP BOOSTER 50HP 460V 2X4X9.5IN ELEC (Hourly Rate)</t>
  </si>
  <si>
    <t>PUMP VAC ASSIST VARIABLE SPEED 4IN ELEC (Monthly Rate)</t>
  </si>
  <si>
    <t>PUMP VAC ASSIST VARIABLE SPEED 4IN ELEC (Hourly Rate)</t>
  </si>
  <si>
    <t>PUMP WELL POINT ROTARY SO ATTN 6IN DSL (Monthly Rate)</t>
  </si>
  <si>
    <t>PUMP WELL POINT ROTARY SO ATTN 6IN DSL (Hourly Rate)</t>
  </si>
  <si>
    <t>PUMP AGRICULTURE DRY PRIME 8X6 DSL (Monthly Rate)</t>
  </si>
  <si>
    <t>PUMP AGRICULTURE DRY PRIME 8X6 DSL (Hourly Rate)</t>
  </si>
  <si>
    <t>PUMP VAC ASSIST 8IN DSL (Monthly Rate)</t>
  </si>
  <si>
    <t>PUMP VAC ASSIST 8IN DSL (Hourly Rate)</t>
  </si>
  <si>
    <t>PUMP VAC ASSIST TRASH 6IN OFFSHORE DSL (Monthly Rate)</t>
  </si>
  <si>
    <t>PUMP VAC ASSIST TRASH 6IN OFFSHORE DSL (Hourly Rate)</t>
  </si>
  <si>
    <t>PUMP VAC ASSIST HIGH HEAD 4X3IN DSL (Monthly Rate)</t>
  </si>
  <si>
    <t>PUMP VAC ASSIST HIGH HEAD 4X3IN DSL (Hourly Rate)</t>
  </si>
  <si>
    <t>PUMP SUBMERSIBLE SEWAGE 50HP 6IN ELEC (Monthly Rate)</t>
  </si>
  <si>
    <t>PUMP SUBMERSIBLE SEWAGE 50HP 6IN ELEC (Hourly Rate)</t>
  </si>
  <si>
    <t>PUMP VAC ASSIST SOUND ATTENUATED 6IN DSL (Monthly Rate)</t>
  </si>
  <si>
    <t>PUMP VAC ASSIST SOUND ATTENUATED 6IN DSL (Hourly Rate)</t>
  </si>
  <si>
    <t>PUMP WELL POINT ROTARY SO ATTN 8IN DSL (Monthly Rate)</t>
  </si>
  <si>
    <t>PUMP WELL POINT ROTARY SO ATTN 8IN DSL (Hourly Rate)</t>
  </si>
  <si>
    <t>PUMP BOOSTER 60HP 480V 2X4X9.5IN ELEC (Monthly Rate)</t>
  </si>
  <si>
    <t>PUMP BOOSTER 60HP 480V 2X4X9.5IN ELEC (Hourly Rate)</t>
  </si>
  <si>
    <t>PUMP VAC ASSIST 8IN SUPER DSL (Monthly Rate)</t>
  </si>
  <si>
    <t>PUMP VAC ASSIST 8IN SUPER DSL (Hourly Rate)</t>
  </si>
  <si>
    <t>PUMP VAC ASSIST TRASH 6IN T4F DSL (Monthly Rate)</t>
  </si>
  <si>
    <t>PUMP VAC ASSIST TRASH 6IN T4F DSL (Hourly Rate)</t>
  </si>
  <si>
    <t>PUMP SUBMERSIBLE HIGH HEAD 30HP 3IN ELEC (Monthly Rate)</t>
  </si>
  <si>
    <t>PUMP SUBMERSIBLE HIGH HEAD 30HP 3IN ELEC (Hourly Rate)</t>
  </si>
  <si>
    <t>PUMP SUBMERSIBLE HV 20HP 3PH 6IN ELEC (Monthly Rate)</t>
  </si>
  <si>
    <t>PUMP SUBMERSIBLE HV 20HP 3PH 6IN ELEC (Hourly Rate)</t>
  </si>
  <si>
    <t>PUMP SUBMERSIBLE HV 15HP 3PH 6IN ELEC (Monthly Rate)</t>
  </si>
  <si>
    <t>PUMP SUBMERSIBLE HV 15HP 3PH 6IN ELEC (Hourly Rate)</t>
  </si>
  <si>
    <t>PUMP SUBMERSIBLE HV 10HP 3PH 6IN ELEC (Monthly Rate)</t>
  </si>
  <si>
    <t>PUMP SUBMERSIBLE HV 10HP 3PH 6IN ELEC (Hourly Rate)</t>
  </si>
  <si>
    <t>PUMP SUBMERSIBLE HIGH HEAD 30HP 4IN ELEC (Monthly Rate)</t>
  </si>
  <si>
    <t>PUMP SUBMERSIBLE HIGH HEAD 30HP 4IN ELEC (Hourly Rate)</t>
  </si>
  <si>
    <t>POWER UNIT 65HP HYD (Monthly Rate)</t>
  </si>
  <si>
    <t>POWER UNIT 65HP HYD (Hourly Rate)</t>
  </si>
  <si>
    <t>PUMP VAC ASSIST HIGH HEAD 5X3IN DSL (Monthly Rate)</t>
  </si>
  <si>
    <t>PUMP VAC ASSIST HIGH HEAD 5X3IN DSL (Hourly Rate)</t>
  </si>
  <si>
    <t>PUMP VAC ASSIST 6IN ELEC (Monthly Rate)</t>
  </si>
  <si>
    <t>PUMP VAC ASSIST 6IN ELEC (Hourly Rate)</t>
  </si>
  <si>
    <t>PUMP SUBMERSIBLE HV 30HP 3PH 6IN ELEC (Monthly Rate)</t>
  </si>
  <si>
    <t>PUMP SUBMERSIBLE HV 30HP 3PH 6IN ELEC (Hourly Rate)</t>
  </si>
  <si>
    <t>PUMP SUBMERSIBLE HIGH HEAD 40HP 4IN ELEC (Monthly Rate)</t>
  </si>
  <si>
    <t>PUMP SUBMERSIBLE HIGH HEAD 40HP 4IN ELEC (Hourly Rate)</t>
  </si>
  <si>
    <t>PUMP SUBMERSIBLE 8IN ELEC (Monthly Rate)</t>
  </si>
  <si>
    <t>PUMP SUBMERSIBLE 8IN ELEC (Hourly Rate)</t>
  </si>
  <si>
    <t>PUMP VAC ASSIST SS 8IN SUPER SS DSL (Monthly Rate)</t>
  </si>
  <si>
    <t>PUMP VAC ASSIST SS 8IN SUPER SS DSL (Hourly Rate)</t>
  </si>
  <si>
    <t>PUMP VAC ASSIST 8IN ELEC (Monthly Rate)</t>
  </si>
  <si>
    <t>PUMP VAC ASSIST 8IN ELEC (Hourly Rate)</t>
  </si>
  <si>
    <t>PUMP VAC ASSIST SOUND ATTEN CHOP 6IN DSL (Monthly Rate)</t>
  </si>
  <si>
    <t>PUMP VAC ASSIST SOUND ATTEN CHOP 6IN DSL (Hourly Rate)</t>
  </si>
  <si>
    <t>PUMP VAC ASSIST SS 6IN SUPER SS DSL (Monthly Rate)</t>
  </si>
  <si>
    <t>PUMP VAC ASSIST SS 6IN SUPER SS DSL (Hourly Rate)</t>
  </si>
  <si>
    <t>PUMP VAC ASSIST HHEAD VN PRI 10X6IN DSL (Monthly Rate)</t>
  </si>
  <si>
    <t>PUMP VAC ASSIST HHEAD VN PRI 10X6IN DSL (Hourly Rate)</t>
  </si>
  <si>
    <t>PUMP WELL POINT ROTARY SO ATTN 12IN DSL (Monthly Rate)</t>
  </si>
  <si>
    <t>PUMP WELL POINT ROTARY SO ATTN 12IN DSL (Hourly Rate)</t>
  </si>
  <si>
    <t>PUMP VAC ASSIST HIGH HEAD 6X3IN DSL (Monthly Rate)</t>
  </si>
  <si>
    <t>PUMP VAC ASSIST HIGH HEAD 6X3IN DSL (Hourly Rate)</t>
  </si>
  <si>
    <t>PUMP WELL POINT ROTARY 12IN DSL (Monthly Rate)</t>
  </si>
  <si>
    <t>PUMP WELL POINT ROTARY 12IN DSL (Hourly Rate)</t>
  </si>
  <si>
    <t>PUMP VAC ASSIST HIGH HEAD 6X3IN ELEC (Monthly Rate)</t>
  </si>
  <si>
    <t>PUMP VAC ASSIST HIGH HEAD 6X3IN ELEC (Hourly Rate)</t>
  </si>
  <si>
    <t>PUMP BOOSTER SEWAGE 50HP ELEC (Monthly Rate)</t>
  </si>
  <si>
    <t>PUMP BOOSTER SEWAGE 50HP ELEC (Hourly Rate)</t>
  </si>
  <si>
    <t>PUMP VAC ASSIST HIGH HEAD 6X4IN DSL (Monthly Rate)</t>
  </si>
  <si>
    <t>PUMP VAC ASSIST HIGH HEAD 6X4IN DSL (Hourly Rate)</t>
  </si>
  <si>
    <t>PUMP VAC ASSIST 12IN DSL (Monthly Rate)</t>
  </si>
  <si>
    <t>PUMP VAC ASSIST 12IN DSL (Hourly Rate)</t>
  </si>
  <si>
    <t>PUMP VAC ASSIST HHEAD SO ATTN 6X4IN DSL (Monthly Rate)</t>
  </si>
  <si>
    <t>PUMP VAC ASSIST HHEAD SO ATTN 6X4IN DSL (Hourly Rate)</t>
  </si>
  <si>
    <t>PUMP VAC ASSIST SOUND ATTENUATED 8IN DSL (Monthly Rate)</t>
  </si>
  <si>
    <t>PUMP VAC ASSIST SOUND ATTENUATED 8IN DSL (Hourly Rate)</t>
  </si>
  <si>
    <t>POWER UNIT 162HP HYD (Monthly Rate)</t>
  </si>
  <si>
    <t>POWER UNIT 162HP HYD (Hourly Rate)</t>
  </si>
  <si>
    <t>PUMP VAC ASSIST 12IN ELEC (Monthly Rate)</t>
  </si>
  <si>
    <t>PUMP VAC ASSIST 12IN ELEC (Hourly Rate)</t>
  </si>
  <si>
    <t>PUMP VAC ASSIST SS 6IN DSL (Monthly Rate)</t>
  </si>
  <si>
    <t>PUMP VAC ASSIST SS 6IN DSL (Hourly Rate)</t>
  </si>
  <si>
    <t>PUMP SUBMERSIBLE 10IN ELEC (Monthly Rate)</t>
  </si>
  <si>
    <t>PUMP SUBMERSIBLE 10IN ELEC (Hourly Rate)</t>
  </si>
  <si>
    <t>PUMP VAC ASSIST MED HEAD 10X8IN SS DSL (Monthly Rate)</t>
  </si>
  <si>
    <t>PUMP VAC ASSIST MED HEAD 10X8IN SS DSL (Hourly Rate)</t>
  </si>
  <si>
    <t>PUMP VAC ASSIST HIGH HEAD 6X3IN SS DSL (Monthly Rate)</t>
  </si>
  <si>
    <t>PUMP VAC ASSIST HIGH HEAD 6X3IN SS DSL (Hourly Rate)</t>
  </si>
  <si>
    <t>PUMP BOOSTER 2 STAGE 3X4X14IN DSL (Monthly Rate)</t>
  </si>
  <si>
    <t>PUMP BOOSTER 2 STAGE 3X4X14IN DSL (Hourly Rate)</t>
  </si>
  <si>
    <t>PUMP VAC ASSIST 12IN SUPER DSL (Monthly Rate)</t>
  </si>
  <si>
    <t>PUMP VAC ASSIST 12IN SUPER DSL (Hourly Rate)</t>
  </si>
  <si>
    <t>PUMP VAC ASSIST MHEAD SO ATTN 10X8IN DSL (Monthly Rate)</t>
  </si>
  <si>
    <t>PUMP VAC ASSIST MHEAD SO ATTN 10X8IN DSL (Hourly Rate)</t>
  </si>
  <si>
    <t>PUMP VAC ASSIST MEDIUM HEAD 10X8IN DSL (Monthly Rate)</t>
  </si>
  <si>
    <t>PUMP VAC ASSIST MEDIUM HEAD 10X8IN DSL (Hourly Rate)</t>
  </si>
  <si>
    <t>PUMP SPLIT CASE 425HP DSL (Monthly Rate)</t>
  </si>
  <si>
    <t>PUMP SPLIT CASE 425HP DSL (Hourly Rate)</t>
  </si>
  <si>
    <t>PUMP VAC ASSIST SOUND ATTENUATE 12IN DSL (Monthly Rate)</t>
  </si>
  <si>
    <t>PUMP VAC ASSIST SOUND ATTENUATE 12IN DSL (Hourly Rate)</t>
  </si>
  <si>
    <t>PUMP VAC ASSIST HIGH HEAD 10X8IN SS DSL (Monthly Rate)</t>
  </si>
  <si>
    <t>PUMP VAC ASSIST HIGH HEAD 10X8IN SS DSL (Hourly Rate)</t>
  </si>
  <si>
    <t>PUMP VAC ASSIST HIGH HEAD 8X6IN DSL (Monthly Rate)</t>
  </si>
  <si>
    <t>PUMP VAC ASSIST HIGH HEAD 8X6IN DSL (Hourly Rate)</t>
  </si>
  <si>
    <t>PUMP VAC ASSIST 14IN DSL (Monthly Rate)</t>
  </si>
  <si>
    <t>PUMP VAC ASSIST 14IN DSL (Hourly Rate)</t>
  </si>
  <si>
    <t>SLUDGEMASTER HYD (Monthly Rate)</t>
  </si>
  <si>
    <t>SLUDGEMASTER HYD (Hourly Rate)</t>
  </si>
  <si>
    <t>PUMP VAC ASSIST HIGH HEAD 10X8IN DSL (Monthly Rate)</t>
  </si>
  <si>
    <t>PUMP VAC ASSIST HIGH HEAD 10X8IN DSL (Hourly Rate)</t>
  </si>
  <si>
    <t>PUMP VAC ASSIST HIGH HEAD 6X5IN DSL (Monthly Rate)</t>
  </si>
  <si>
    <t>PUMP VAC ASSIST HIGH HEAD 6X5IN DSL (Hourly Rate)</t>
  </si>
  <si>
    <t>PUMP VAC ASSIST HHEAD 600HP 8X6IN DSL (Monthly Rate)</t>
  </si>
  <si>
    <t>PUMP VAC ASSIST HHEAD 600HP 8X6IN DSL (Hourly Rate)</t>
  </si>
  <si>
    <t>PUMP VAC ASSIST 18IN DSL (Monthly Rate)</t>
  </si>
  <si>
    <t>PUMP VAC ASSIST 18IN DSL (Hourly Rate)</t>
  </si>
  <si>
    <t>PUMP VAC ASSIST HHEAD 600HP 10X8IN DSL (Monthly Rate)</t>
  </si>
  <si>
    <t>PUMP VAC ASSIST HHEAD 600HP 10X8IN DSL (Hourly Rate)</t>
  </si>
  <si>
    <t>ROAD GRADER 130-139HP DSL (Hourly Rate)</t>
  </si>
  <si>
    <t>ROAD GRADER 130-139HP DSL (Monthly Rate)</t>
  </si>
  <si>
    <t>SAW JIG HAND HELD ELEC (Monthly Rate)</t>
  </si>
  <si>
    <t>SAW JIG HAND HELD ELEC (Hourly Rate)</t>
  </si>
  <si>
    <t>CIRCULAR SAW 7 1/4IN BLADE ELEC (Monthly Rate)</t>
  </si>
  <si>
    <t>CIRCULAR SAW 7 1/4IN BLADE ELEC (Hourly Rate)</t>
  </si>
  <si>
    <t>CHOP SAW 14IN BLADE ELEC (Monthly Rate)</t>
  </si>
  <si>
    <t>CHOP SAW 14IN BLADE ELEC (Hourly Rate)</t>
  </si>
  <si>
    <t>SAW BANDSAW HAND ELEC (Monthly Rate)</t>
  </si>
  <si>
    <t>SAW BANDSAW HAND ELEC (Hourly Rate)</t>
  </si>
  <si>
    <t>CIRCULAR SAW 16 IN ELEC (Monthly Rate)</t>
  </si>
  <si>
    <t>CIRCULAR SAW 16 IN ELEC (Hourly Rate)</t>
  </si>
  <si>
    <t>COMPOUND MITER SAW 12IN BLADE ELEC (Monthly Rate)</t>
  </si>
  <si>
    <t>COMPOUND MITER SAW 12IN BLADE ELEC (Hourly Rate)</t>
  </si>
  <si>
    <t>CHAIN SAW 14IN GAS (Monthly Rate)</t>
  </si>
  <si>
    <t>CHAIN SAW 14IN GAS (Hourly Rate)</t>
  </si>
  <si>
    <t>CHAIN SAW 18IN GAS (Monthly Rate)</t>
  </si>
  <si>
    <t>CHAIN SAW 18IN GAS (Hourly Rate)</t>
  </si>
  <si>
    <t>CHAIN SAW 16IN GAS (Monthly Rate)</t>
  </si>
  <si>
    <t>CHAIN SAW 16IN GAS (Hourly Rate)</t>
  </si>
  <si>
    <t>CHAIN SAW 20IN GAS (Monthly Rate)</t>
  </si>
  <si>
    <t>CHAIN SAW 20IN GAS (Hourly Rate)</t>
  </si>
  <si>
    <t>CHAIN SAW 16IN ELECTRIC (Monthly Rate)</t>
  </si>
  <si>
    <t>CHAIN SAW 16IN ELECTRIC (Hourly Rate)</t>
  </si>
  <si>
    <t>CHAIN SAW 25IN GAS (Monthly Rate)</t>
  </si>
  <si>
    <t>CHAIN SAW 25IN GAS (Hourly Rate)</t>
  </si>
  <si>
    <t>CONCRETE CUTOFF SAW 12IN HAND HELD GAS (Monthly Rate)</t>
  </si>
  <si>
    <t>CONCRETE CUTOFF SAW 12IN HAND HELD GAS (Hourly Rate)</t>
  </si>
  <si>
    <t>CONCRETE PUSH W/B SAW 0-9 HP GAS (Monthly Rate)</t>
  </si>
  <si>
    <t>CONCRETE PUSH W/B SAW 0-9 HP GAS (Hourly Rate)</t>
  </si>
  <si>
    <t>SAW BAND HAND AIR (Monthly Rate)</t>
  </si>
  <si>
    <t>SAW BAND HAND AIR (Hourly Rate)</t>
  </si>
  <si>
    <t>CONCRETE CUTOFF SAW 14IN HAND HELD ELEC (Monthly Rate)</t>
  </si>
  <si>
    <t>CONCRETE CUTOFF SAW 14IN HAND HELD ELEC (Hourly Rate)</t>
  </si>
  <si>
    <t>CONCRETE PUSH W/B SAW 10-19 HP GAS (Monthly Rate)</t>
  </si>
  <si>
    <t>CONCRETE PUSH W/B SAW 10-19 HP GAS (Hourly Rate)</t>
  </si>
  <si>
    <t>CONCRETE BRICK SAW 14IN GAS (Monthly Rate)</t>
  </si>
  <si>
    <t>CONCRETE BRICK SAW 14IN GAS (Hourly Rate)</t>
  </si>
  <si>
    <t>CONCRETE CUTOFF SAW 14IN HAND HELD GAS (Monthly Rate)</t>
  </si>
  <si>
    <t>CONCRETE CUTOFF SAW 14IN HAND HELD GAS (Hourly Rate)</t>
  </si>
  <si>
    <t>CONCRETE CUTOFF SAW 16IN HAND HELD GAS (Monthly Rate)</t>
  </si>
  <si>
    <t>CONCRETE CUTOFF SAW 16IN HAND HELD GAS (Hourly Rate)</t>
  </si>
  <si>
    <t>CHAIN SAW 28IN GAS (Monthly Rate)</t>
  </si>
  <si>
    <t>CHAIN SAW 28IN GAS (Hourly Rate)</t>
  </si>
  <si>
    <t>CONCRETE SELFPROP W/B SAW 10-19 HP GAS (Monthly Rate)</t>
  </si>
  <si>
    <t>CONCRETE SELFPROP W/B SAW 10-19 HP GAS (Hourly Rate)</t>
  </si>
  <si>
    <t>CONCRETE SELFPROP W/B SAW 20-29 HP GAS (Monthly Rate)</t>
  </si>
  <si>
    <t>CONCRETE SELFPROP W/B SAW 20-29 HP GAS (Hourly Rate)</t>
  </si>
  <si>
    <t>CONCRETE SELFPROP W/B SAW 30-39 HP GAS (Monthly Rate)</t>
  </si>
  <si>
    <t>CONCRETE SELFPROP W/B SAW 30-39 HP GAS (Hourly Rate)</t>
  </si>
  <si>
    <t>CONCRETE SELFPROP W/B SAW 40 - 49 HP DSL (Monthly Rate)</t>
  </si>
  <si>
    <t>CONCRETE SELFPROP W/B SAW 40 - 49 HP DSL (Hourly Rate)</t>
  </si>
  <si>
    <t>CONCRETE SELFPROP W/B SAW 60 - 69 HP DSL (Monthly Rate)</t>
  </si>
  <si>
    <t>CONCRETE SELFPROP W/B SAW 60 - 69 HP DSL (Hourly Rate)</t>
  </si>
  <si>
    <t>SCALER PISTON AIR (Hourly Rate)</t>
  </si>
  <si>
    <t>SCALER PISTON AIR (Monthly Rate)</t>
  </si>
  <si>
    <t>SCALER NEEDLE SCALER FLUX AIR (Hourly Rate)</t>
  </si>
  <si>
    <t>SCALER NEEDLE SCALER FLUX AIR (Monthly Rate)</t>
  </si>
  <si>
    <t>SCALER CHISEL AIR (Hourly Rate)</t>
  </si>
  <si>
    <t>SCALER CHISEL AIR (Monthly Rate)</t>
  </si>
  <si>
    <t>CLAY DIGGER 30-39 LB AIR (Hourly Rate)</t>
  </si>
  <si>
    <t>CLAY DIGGER 30-39 LB AIR (Monthly Rate)</t>
  </si>
  <si>
    <t>COMPRESSOR ATTACH DRYER 1-249 CFM (Hourly Rate)</t>
  </si>
  <si>
    <t>COMPRESSOR ATTACH DRYER 1-249 CFM (Monthly Rate)</t>
  </si>
  <si>
    <t>COMPRESSOR ATTACH DRYER 425-600 CFM (Hourly Rate)</t>
  </si>
  <si>
    <t>COMPRESSOR ATTACH DRYER 425-600 CFM (Monthly Rate)</t>
  </si>
  <si>
    <t>COMPRESSOR ATTACH DRYER 1500-1800 CFM (Hourly Rate)</t>
  </si>
  <si>
    <t>COMPRESSOR ATTACH DRYER 1500-1800 CFM (Monthly Rate)</t>
  </si>
  <si>
    <t>COMPRESSOR ATTACH DRYER W/AFCOOL 1600CFM (Hourly Rate)</t>
  </si>
  <si>
    <t>COMPRESSOR ATTACH DRYER 2501-3000 CFM (Hourly Rate)</t>
  </si>
  <si>
    <t>COMPRESSOR ATTACH DRYER 2501-3000 CFM (Monthly Rate)</t>
  </si>
  <si>
    <t>COMPRESSOR ATTACH DRYER 4501-5000 CFM (Hourly Rate)</t>
  </si>
  <si>
    <t>COMPRESSOR ATTACH DRYER 4501-5000 CFM (Monthly Rate)</t>
  </si>
  <si>
    <t>ROUND FLOOR FAN 42 (Monthly Rate)</t>
  </si>
  <si>
    <t>ROUND FLOOR FAN 42 (Hourly Rate)</t>
  </si>
  <si>
    <t>AIR HOSE W/FTNGS 400 PSI 2X50 (Monthly Rate)</t>
  </si>
  <si>
    <t>AIR HOSE W/FTNGS 400 PSI 2X50 (Hourly Rate)</t>
  </si>
  <si>
    <t>AIRMOVER 6 DIAMETER AIR (Monthly Rate)</t>
  </si>
  <si>
    <t>AIRMOVER 6 DIAMETER AIR (Hourly Rate)</t>
  </si>
  <si>
    <t>AIRMOVER 8 DIAMETER AIR (Monthly Rate)</t>
  </si>
  <si>
    <t>AIRMOVER 8 DIAMETER AIR (Hourly Rate)</t>
  </si>
  <si>
    <t>AIRMOVER 10 DIAMETER AIR (Monthly Rate)</t>
  </si>
  <si>
    <t>AIRMOVER 10 DIAMETER AIR (Hourly Rate)</t>
  </si>
  <si>
    <t>COMPRESSOR ATTACH WATER SEPARATOR (Monthly Rate)</t>
  </si>
  <si>
    <t>COMPRESSOR ATTACH WATER SEPARATOR (Hourly Rate)</t>
  </si>
  <si>
    <t>AIRMOVER 20 DIAMETER CF TYPE AIR (Monthly Rate)</t>
  </si>
  <si>
    <t>AIRMOVER 20 DIAMETER CF TYPE AIR (Hourly Rate)</t>
  </si>
  <si>
    <t>AIR SCRUBBER HEPA 500 CFM (Monthly Rate)</t>
  </si>
  <si>
    <t>AIR SCRUBBER HEPA 500 CFM (Hourly Rate)</t>
  </si>
  <si>
    <t>AIR SCRUBBER HEPA 2000 CFM (Monthly Rate)</t>
  </si>
  <si>
    <t>AIR SCRUBBER HEPA 2000 CFM (Hourly Rate)</t>
  </si>
  <si>
    <t>COMPRESSOR ATTACH MIST ELMIN 500-999 CFM (Monthly Rate)</t>
  </si>
  <si>
    <t>COMPRESSOR ATTACH MIST ELMIN 500-999 CFM (Hourly Rate)</t>
  </si>
  <si>
    <t>AIR SCRUBBER HEPA 1400 CFM (Monthly Rate)</t>
  </si>
  <si>
    <t>AIR SCRUBBER HEPA 1400 CFM (Hourly Rate)</t>
  </si>
  <si>
    <t>AIR SCRUBBER HEPA 2400 CFM (Monthly Rate)</t>
  </si>
  <si>
    <t>AIR SCRUBBER HEPA 2400 CFM (Hourly Rate)</t>
  </si>
  <si>
    <t>COMPRESSOR ATTACH MIST ELMIN1500-2000CFM (Monthly Rate)</t>
  </si>
  <si>
    <t>COMPRESSOR ATTACH MIST ELMIN1500-2000CFM (Hourly Rate)</t>
  </si>
  <si>
    <t>DIAMOND HI SPD BLADE CONCRETE 12-16 (Hourly Rate)</t>
  </si>
  <si>
    <t>DIAMOND HI SPD BLADE CONCRETE 12-16 (Monthly Rate)</t>
  </si>
  <si>
    <t>FEMALE PIGTAIL 4/0 SGL 400A UNDER 10' (Monthly Rate)</t>
  </si>
  <si>
    <t>FEMALE PIGTAIL 4/0 SGL 400A UNDER 10' (Hourly Rate)</t>
  </si>
  <si>
    <t>MALE PIGTAIL 4/0 SGL 400A UNDER 10' (Monthly Rate)</t>
  </si>
  <si>
    <t>MALE PIGTAIL 4/0 SGL 400A UNDER 10' (Hourly Rate)</t>
  </si>
  <si>
    <t>TEMP POWER CABLE 200A 1W 1/0X10' CAM (Monthly Rate)</t>
  </si>
  <si>
    <t>TEMP POWER CABLE 200A 1W 1/0X10' CAM (Hourly Rate)</t>
  </si>
  <si>
    <t>REEFER PANEL 30 GANG (Monthly Rate)</t>
  </si>
  <si>
    <t>REEFER PANEL 30 GANG (Hourly Rate)</t>
  </si>
  <si>
    <t>SPLITER PANEL 400 AMP CAMLOCK (Monthly Rate)</t>
  </si>
  <si>
    <t>SPLITER PANEL 400 AMP CAMLOCK (Hourly Rate)</t>
  </si>
  <si>
    <t>DUPLEX PANEL 100 AMP (Monthly Rate)</t>
  </si>
  <si>
    <t>DUPLEX PANEL 100 AMP (Hourly Rate)</t>
  </si>
  <si>
    <t>AUTO SWITCH FOR GENERATOR (Monthly Rate)</t>
  </si>
  <si>
    <t>AUTO SWITCH FOR GENERATOR (Hourly Rate)</t>
  </si>
  <si>
    <t>SPIDER BOX FEEDER PANEL 200 AMP (Monthly Rate)</t>
  </si>
  <si>
    <t>SPIDER BOX FEEDER PANEL 200 AMP (Hourly Rate)</t>
  </si>
  <si>
    <t>TRANSFER SWITCH 200 AMP (Monthly Rate)</t>
  </si>
  <si>
    <t>TRANSFER SWITCH 200 AMP (Hourly Rate)</t>
  </si>
  <si>
    <t>SPIDER BOX 50 AMP (Monthly Rate)</t>
  </si>
  <si>
    <t>SPIDER BOX 50 AMP (Hourly Rate)</t>
  </si>
  <si>
    <t>SPIDER BOX FEEDER PANEL 400 AMP (Monthly Rate)</t>
  </si>
  <si>
    <t>SPIDER BOX FEEDER PANEL 400 AMP (Hourly Rate)</t>
  </si>
  <si>
    <t>SPIDER BOX 60 AMP (Monthly Rate)</t>
  </si>
  <si>
    <t>SPIDER BOX 60 AMP (Hourly Rate)</t>
  </si>
  <si>
    <t>QUAD BOX FEEDER PANEL 200 AMP (Monthly Rate)</t>
  </si>
  <si>
    <t>QUAD BOX FEEDER PANEL 200 AMP (Hourly Rate)</t>
  </si>
  <si>
    <t>BOARD ARROW FOLDING TRAILER 15-LIGHT (Monthly Rate)</t>
  </si>
  <si>
    <t>BOARD ARROW FOLDING TRAILER 15-LIGHT (Hourly Rate)</t>
  </si>
  <si>
    <t>I LINE PANEL 100 AMP (Monthly Rate)</t>
  </si>
  <si>
    <t>I LINE PANEL 100 AMP (Hourly Rate)</t>
  </si>
  <si>
    <t>I LINE PANEL 400 AMP (Monthly Rate)</t>
  </si>
  <si>
    <t>I LINE PANEL 400 AMP (Hourly Rate)</t>
  </si>
  <si>
    <t>TRANSFORMER (Monthly Rate)</t>
  </si>
  <si>
    <t>TRANSFORMER (Hourly Rate)</t>
  </si>
  <si>
    <t>QUAD BOX FEEDER PANEL 300 AMP (Monthly Rate)</t>
  </si>
  <si>
    <t>QUAD BOX FEEDER PANEL 300 AMP (Hourly Rate)</t>
  </si>
  <si>
    <t>TRANSFER SWITCH 100 AMP (Monthly Rate)</t>
  </si>
  <si>
    <t>TRANSFER SWITCH 100 AMP (Hourly Rate)</t>
  </si>
  <si>
    <t>TRANSFER SWITCH 400 AMP ATS (Monthly Rate)</t>
  </si>
  <si>
    <t>TRANSFER SWITCH 400 AMP ATS (Hourly Rate)</t>
  </si>
  <si>
    <t>DISCONNECT CAMLOCK 480V 400 AMP (Monthly Rate)</t>
  </si>
  <si>
    <t>DISCONNECT CAMLOCK 480V 400 AMP (Hourly Rate)</t>
  </si>
  <si>
    <t>LOAD BANK 100 KW (Monthly Rate)</t>
  </si>
  <si>
    <t>LOAD BANK 100 KW (Hourly Rate)</t>
  </si>
  <si>
    <t>I LINE PANEL 200 AMP (Monthly Rate)</t>
  </si>
  <si>
    <t>I LINE PANEL 200 AMP (Hourly Rate)</t>
  </si>
  <si>
    <t>DOLLY STEP DOWN TRANSFORMER 15 KVA (Monthly Rate)</t>
  </si>
  <si>
    <t>DOLLY STEP DOWN TRANSFORMER 15 KVA (Hourly Rate)</t>
  </si>
  <si>
    <t>BREAKOUT BOX 800 AMP (Monthly Rate)</t>
  </si>
  <si>
    <t>BREAKOUT BOX 800 AMP (Hourly Rate)</t>
  </si>
  <si>
    <t>BOARD ARROW FOLDING TRAILER 25-LIGHT (Monthly Rate)</t>
  </si>
  <si>
    <t>BOARD ARROW FOLDING TRAILER 25-LIGHT (Hourly Rate)</t>
  </si>
  <si>
    <t>VFD PANEL 20HP 460V 3PH (Monthly Rate)</t>
  </si>
  <si>
    <t>VFD PANEL 20HP 460V 3PH (Hourly Rate)</t>
  </si>
  <si>
    <t>FLOOR STRIPPER W/B 120LB ELEC (Monthly Rate)</t>
  </si>
  <si>
    <t>FLOOR STRIPPER W/B 120LB ELEC (Hourly Rate)</t>
  </si>
  <si>
    <t>QUADBOX FEEDER PANEL 120 AMP (Monthly Rate)</t>
  </si>
  <si>
    <t>QUADBOX FEEDER PANEL 120 AMP (Hourly Rate)</t>
  </si>
  <si>
    <t>BOARD MESSAGE VERTICAL FULL-SIZE 3-LINE (Monthly Rate)</t>
  </si>
  <si>
    <t>BOARD MESSAGE VERTICAL FULL-SIZE 3-LINE (Hourly Rate)</t>
  </si>
  <si>
    <t>STEPDOWN TRANSFORMER 480-208V (Monthly Rate)</t>
  </si>
  <si>
    <t>STEPDOWN TRANSFORMER 480-208V (Hourly Rate)</t>
  </si>
  <si>
    <t>BOARD MESSAGE FOLDING MID-SIZE MATRIX (Monthly Rate)</t>
  </si>
  <si>
    <t>BOARD MESSAGE FOLDING MID-SIZE MATRIX (Hourly Rate)</t>
  </si>
  <si>
    <t>PLANNER 8IN ELEC (Monthly Rate)</t>
  </si>
  <si>
    <t>PLANNER 8IN ELEC (Hourly Rate)</t>
  </si>
  <si>
    <t>I LINE PANEL 600 AMP 600V (Monthly Rate)</t>
  </si>
  <si>
    <t>I LINE PANEL 600 AMP 600V (Hourly Rate)</t>
  </si>
  <si>
    <t>VFD PANEL 100HP 460V 3P SOFT START (Monthly Rate)</t>
  </si>
  <si>
    <t>VFD PANEL 100HP 460V 3P SOFT START (Hourly Rate)</t>
  </si>
  <si>
    <t>VFD PANEL 150HP 460V 3PH (Monthly Rate)</t>
  </si>
  <si>
    <t>VFD PANEL 150HP 460V 3PH (Hourly Rate)</t>
  </si>
  <si>
    <t>I LINE PANEL 800AMP (Monthly Rate)</t>
  </si>
  <si>
    <t>I LINE PANEL 800AMP (Hourly Rate)</t>
  </si>
  <si>
    <t>VFD PANEL 125HP 460V 3P SOFT START (Monthly Rate)</t>
  </si>
  <si>
    <t>VFD PANEL 125HP 460V 3P SOFT START (Hourly Rate)</t>
  </si>
  <si>
    <t>FLOOR STRIPPER W/B 425LB ELEC (Monthly Rate)</t>
  </si>
  <si>
    <t>FLOOR STRIPPER W/B 425LB ELEC (Hourly Rate)</t>
  </si>
  <si>
    <t>BREAKOUT BOX 400 AMP (Monthly Rate)</t>
  </si>
  <si>
    <t>BREAKOUT BOX 400 AMP (Hourly Rate)</t>
  </si>
  <si>
    <t>TRANSFER SWITCH 800 AMP (Monthly Rate)</t>
  </si>
  <si>
    <t>TRANSFER SWITCH 800 AMP (Hourly Rate)</t>
  </si>
  <si>
    <t>I LINE PANEL 400 AMP PIN &amp; SLEEVE (Monthly Rate)</t>
  </si>
  <si>
    <t>I LINE PANEL 400 AMP PIN &amp; SLEEVE (Hourly Rate)</t>
  </si>
  <si>
    <t>I LINE PANEL 1200 AMP (Monthly Rate)</t>
  </si>
  <si>
    <t>I LINE PANEL 1200 AMP (Hourly Rate)</t>
  </si>
  <si>
    <t>TRANSFORMER 2500KVA TO 4160V (Monthly Rate)</t>
  </si>
  <si>
    <t>TRANSFORMER 2500KVA TO 4160V (Hourly Rate)</t>
  </si>
  <si>
    <t>FLOOR STRIPPER RIDE-ON BATTERY 2300LB (Monthly Rate)</t>
  </si>
  <si>
    <t>FLOOR STRIPPER RIDE-ON BATTERY 2300LB (Hourly Rate)</t>
  </si>
  <si>
    <t>SMALL TOOLS - HAND TOOLS (Monthly Rate)</t>
  </si>
  <si>
    <t>SMALL TOOLS - HAND TOOLS (Hourly Rate)</t>
  </si>
  <si>
    <t>SAW RECIPROCATING HAND ELEC (Monthly Rate)</t>
  </si>
  <si>
    <t>SAW RECIPROCATING HAND ELEC (Hourly Rate)</t>
  </si>
  <si>
    <t>SAW CIRCULAR 8 1/4INCH AIR (Monthly Rate)</t>
  </si>
  <si>
    <t>SAW CIRCULAR 8 1/4INCH AIR (Hourly Rate)</t>
  </si>
  <si>
    <t>SAW RECIPROCATING HAND AIR (Monthly Rate)</t>
  </si>
  <si>
    <t>SAW RECIPROCATING HAND AIR (Hourly Rate)</t>
  </si>
  <si>
    <t>CHIPPING HAMMER RETAINER 7-12 LB AIR (Monthly Rate)</t>
  </si>
  <si>
    <t>CHIPPING HAMMER RETAINER 7-12 LB AIR (Hourly Rate)</t>
  </si>
  <si>
    <t>CHIPPING HAMMER RETAINER 26-31 LB AIR (Monthly Rate)</t>
  </si>
  <si>
    <t>CHIPPING HAMMER RETAINER 26-31 LB AIR (Hourly Rate)</t>
  </si>
  <si>
    <t>CHIPPING HAMMER 3IN STROKE ROUND (Monthly Rate)</t>
  </si>
  <si>
    <t>CHIPPING HAMMER 3IN STROKE ROUND (Hourly Rate)</t>
  </si>
  <si>
    <t>RIVET BUSTER 11IN STROKE (Monthly Rate)</t>
  </si>
  <si>
    <t>RIVET BUSTER 11IN STROKE (Hourly Rate)</t>
  </si>
  <si>
    <t>THATCHER 23-24IN WALKBEHIND GAS (Monthly Rate)</t>
  </si>
  <si>
    <t>THATCHER 23-24IN WALKBEHIND GAS (Hourly Rate)</t>
  </si>
  <si>
    <t>SPRAYER PAINT STANDARD AIRLESS (Monthly Rate)</t>
  </si>
  <si>
    <t>SPRAYER PAINT STANDARD AIRLESS (Hourly Rate)</t>
  </si>
  <si>
    <t>PLANER 8IN GAS (Monthly Rate)</t>
  </si>
  <si>
    <t>PLANER 8IN GAS (Hourly Rate)</t>
  </si>
  <si>
    <t>SWEEPER CONTRUCTION RIDE ON 3 WHEEL (Monthly Rate)</t>
  </si>
  <si>
    <t>SWEEPER CONTRUCTION RIDE ON 3 WHEEL (Hourly Rate)</t>
  </si>
  <si>
    <t>SWEEPER CONTRUCTION RIDE ON 4 WHEEL CAB (Monthly Rate)</t>
  </si>
  <si>
    <t>SWEEPER CONTRUCTION RIDE ON 4 WHEEL CAB (Hourly Rate)</t>
  </si>
  <si>
    <t>EQUIPMENT DOLLY 1200LB CAP (Hourly Rate)</t>
  </si>
  <si>
    <t>EQUIPMENT DOLLY 1200LB CAP (Monthly Rate)</t>
  </si>
  <si>
    <t>SMALL TOOLS - MISCELLANEOUS (Hourly Rate)</t>
  </si>
  <si>
    <t>SMALL TOOLS - MISCELLANEOUS (Monthly Rate)</t>
  </si>
  <si>
    <t>POST DRIVER 55LB AIR (Hourly Rate)</t>
  </si>
  <si>
    <t>POST DRIVER 55LB AIR (Monthly Rate)</t>
  </si>
  <si>
    <t>REMOTE TEMPERATURE MONITOR (Hourly Rate)</t>
  </si>
  <si>
    <t>REMOTE TEMPERATURE MONITOR (Monthly Rate)</t>
  </si>
  <si>
    <t>GANG BOX (Hourly Rate)</t>
  </si>
  <si>
    <t>GANG BOX (Monthly Rate)</t>
  </si>
  <si>
    <t>RIVET BUSTER 8IN STROKE (Hourly Rate)</t>
  </si>
  <si>
    <t>RIVET BUSTER 8IN STROKE (Monthly Rate)</t>
  </si>
  <si>
    <t>LOG SPLITTER 9HP 20-26 TON (Hourly Rate)</t>
  </si>
  <si>
    <t>LOG SPLITTER 9HP 20-26 TON (Monthly Rate)</t>
  </si>
  <si>
    <t>FUEL TANK 800 GALLON (Hourly Rate)</t>
  </si>
  <si>
    <t>FUEL TANK 800 GALLON (Monthly Rate)</t>
  </si>
  <si>
    <t>FUEL TANK 300 GALLON (Hourly Rate)</t>
  </si>
  <si>
    <t>FUEL TANK 300 GALLON (Monthly Rate)</t>
  </si>
  <si>
    <t>TRUCK SNOW PLOW 7 FT (Hourly Rate)</t>
  </si>
  <si>
    <t>TRUCK SNOW PLOW 7 FT (Monthly Rate)</t>
  </si>
  <si>
    <t>TRUCK SNOW PLOW 10 FT (Hourly Rate)</t>
  </si>
  <si>
    <t>TRUCK SNOW PLOW 10 FT (Monthly Rate)</t>
  </si>
  <si>
    <t>TRUCK SPREADER HOPPER 8 FT (Hourly Rate)</t>
  </si>
  <si>
    <t>TRUCK SPREADER HOPPER 8 FT (Monthly Rate)</t>
  </si>
  <si>
    <t>FUEL TANK 500 GALLON (Hourly Rate)</t>
  </si>
  <si>
    <t>FUEL TANK 500 GALLON (Monthly Rate)</t>
  </si>
  <si>
    <t>FUEL TANK 2450 GALLON (Hourly Rate)</t>
  </si>
  <si>
    <t>FUEL TANK 2450 GALLON (Monthly Rate)</t>
  </si>
  <si>
    <t>TRUCK SPREADER HOPPER 9 FT (Hourly Rate)</t>
  </si>
  <si>
    <t>TRUCK SPREADER HOPPER 9 FT (Monthly Rate)</t>
  </si>
  <si>
    <t>RAMP LOADING (Hourly Rate)</t>
  </si>
  <si>
    <t>RAMP LOADING (Monthly Rate)</t>
  </si>
  <si>
    <t>PIPE SNAKE 1-2IN WIDE 25FT CABLE (Monthly Rate)</t>
  </si>
  <si>
    <t>PIPE SNAKE 1-2IN WIDE 25FT CABLE (Hourly Rate)</t>
  </si>
  <si>
    <t>PIPE SNAKE 2IN WIDE 50FT CABLE (Monthly Rate)</t>
  </si>
  <si>
    <t>PIPE SNAKE 2IN WIDE 50FT CABLE (Hourly Rate)</t>
  </si>
  <si>
    <t>PIPE SNAKE 4-6IN WIDE 100FT CABLE (Monthly Rate)</t>
  </si>
  <si>
    <t>PIPE SNAKE 4-6IN WIDE 100FT CABLE (Hourly Rate)</t>
  </si>
  <si>
    <t>PIPE PLUG MUNI 12-18IN (Hourly Rate)</t>
  </si>
  <si>
    <t>PIPE PLUG MUNI 12-18IN (Monthly Rate)</t>
  </si>
  <si>
    <t>ROAD CROSSING PUMP DIVISION 6IN (Hourly Rate)</t>
  </si>
  <si>
    <t>ROAD CROSSING PUMP DIVISION 6IN (Monthly Rate)</t>
  </si>
  <si>
    <t>PIPE MANIFOLD 12IN (Hourly Rate)</t>
  </si>
  <si>
    <t>PIPE MANIFOLD 12IN (Monthly Rate)</t>
  </si>
  <si>
    <t>ROAD CROSSING PUMP DIVISION 8IN (Hourly Rate)</t>
  </si>
  <si>
    <t>ROAD CROSSING PUMP DIVISION 8IN (Monthly Rate)</t>
  </si>
  <si>
    <t>ROAD CROSSING LAY FLAT 12IN (Hourly Rate)</t>
  </si>
  <si>
    <t>ROAD CROSSING LAY FLAT 12IN (Monthly Rate)</t>
  </si>
  <si>
    <t>PIPE MANIFOLD 18IN (Hourly Rate)</t>
  </si>
  <si>
    <t>PIPE MANIFOLD 18IN (Monthly Rate)</t>
  </si>
  <si>
    <t>PIPE MANIFOLD 24IN (Hourly Rate)</t>
  </si>
  <si>
    <t>PIPE MANIFOLD 24IN (Monthly Rate)</t>
  </si>
  <si>
    <t>PUMP DIVISION SPLAT SYSTEM (Hourly Rate)</t>
  </si>
  <si>
    <t>PUMP DIVISION SPLAT SYSTEM (Monthly Rate)</t>
  </si>
  <si>
    <t>PIPE PLUG FLOW THRU 12-18IN (Hourly Rate)</t>
  </si>
  <si>
    <t>PIPE PLUG FLOW THRU 12-18IN (Monthly Rate)</t>
  </si>
  <si>
    <t>ROAD CROSSING PUMP DIVISION 12IN (Hourly Rate)</t>
  </si>
  <si>
    <t>ROAD CROSSING PUMP DIVISION 12IN (Monthly Rate)</t>
  </si>
  <si>
    <t>PIPE PLUG MUNI 15-30IN (Hourly Rate)</t>
  </si>
  <si>
    <t>PIPE PLUG MUNI 15-30IN (Monthly Rate)</t>
  </si>
  <si>
    <t>ROAD CROSSING PUMP DIVISION DB WIDE 12IN (Hourly Rate)</t>
  </si>
  <si>
    <t>ROAD CROSSING PUMP DIVISION DB WIDE 12IN (Monthly Rate)</t>
  </si>
  <si>
    <t>PIPE PLUG MUNI 24-36IN (Hourly Rate)</t>
  </si>
  <si>
    <t>PIPE PLUG MUNI 24-36IN (Monthly Rate)</t>
  </si>
  <si>
    <t>PIPE PLUG MUNI 24-48IN (Hourly Rate)</t>
  </si>
  <si>
    <t>PIPE PLUG MUNI 24-48IN (Monthly Rate)</t>
  </si>
  <si>
    <t>WASHER 2000-2999 PSI GAS (Monthly Rate)</t>
  </si>
  <si>
    <t>WASHER 2000-2999 PSI GAS (Hourly Rate)</t>
  </si>
  <si>
    <t>WASHER 1000-1999 PSI GAS (Monthly Rate)</t>
  </si>
  <si>
    <t>WASHER 1000-1999 PSI GAS (Hourly Rate)</t>
  </si>
  <si>
    <t>WASHER 3000-3999 PSI GAS (Monthly Rate)</t>
  </si>
  <si>
    <t>WASHER 3000-3999 PSI GAS (Hourly Rate)</t>
  </si>
  <si>
    <t>WASHER 3000 PSI DSL (Monthly Rate)</t>
  </si>
  <si>
    <t>WASHER 3000 PSI DSL (Hourly Rate)</t>
  </si>
  <si>
    <t>WASHER 4000-4999 PSI GAS (Monthly Rate)</t>
  </si>
  <si>
    <t>WASHER 4000-4999 PSI GAS (Hourly Rate)</t>
  </si>
  <si>
    <t>WASHER 3000-3999 PSI HOT WATER GAS (Monthly Rate)</t>
  </si>
  <si>
    <t>WASHER 3000-3999 PSI HOT WATER GAS (Hourly Rate)</t>
  </si>
  <si>
    <t>WASHER 2000-2999 PSI HOT WATER GAS (Monthly Rate)</t>
  </si>
  <si>
    <t>WASHER 2000-2999 PSI HOT WATER GAS (Hourly Rate)</t>
  </si>
  <si>
    <t>WASHER 5000-5999 PSI GAS (Monthly Rate)</t>
  </si>
  <si>
    <t>WASHER 5000-5999 PSI GAS (Hourly Rate)</t>
  </si>
  <si>
    <t>WASHER TRAILER MNT 3000-4000PSI HOT GAS (Monthly Rate)</t>
  </si>
  <si>
    <t>WASHER TRAILER MNT 3000-4000PSI HOT GAS (Hourly Rate)</t>
  </si>
  <si>
    <t>TRENCHING EQUIPMENT (Monthly Rate)</t>
  </si>
  <si>
    <t>TRENCHING EQUIPMENT (Hourly Rate)</t>
  </si>
  <si>
    <t>TRENCHER W/B TRACK 24IN GAS (Monthly Rate)</t>
  </si>
  <si>
    <t>TRENCHER W/B TRACK 24IN GAS (Hourly Rate)</t>
  </si>
  <si>
    <t>TRENCHER W/B TRACK 36IN GAS (Monthly Rate)</t>
  </si>
  <si>
    <t>TRENCHER W/B TRACK 36IN GAS (Hourly Rate)</t>
  </si>
  <si>
    <t>TRENCHER W/B WHEEL 30IN GAS (Monthly Rate)</t>
  </si>
  <si>
    <t>TRENCHER W/B WHEEL 30IN GAS (Hourly Rate)</t>
  </si>
  <si>
    <t>TRENCHER RIDE-ON 35-49HP DSL (Monthly Rate)</t>
  </si>
  <si>
    <t>TRENCHER RIDE-ON 35-49HP DSL (Hourly Rate)</t>
  </si>
  <si>
    <t>TRENCHER RIDE-ON 90-100HP DSL (Monthly Rate)</t>
  </si>
  <si>
    <t>TRENCHER RIDE-ON 90-100HP DSL (Hourly Rate)</t>
  </si>
  <si>
    <t>TRUCKS-BOX DUMP,  FLATSTAKE,  FLATBED,  UTILITY,  WATER,  &amp; SPECIALTY</t>
  </si>
  <si>
    <t>TRUCK UTLTY 4WD STD-SUP DSL 3/4-1 T (Hourly Rate)</t>
  </si>
  <si>
    <t>TRUCK UTLTY 4WD STD-SUP DSL 3/4-1 T (Monthly Rate)</t>
  </si>
  <si>
    <t>TRUCK STKBD 2WD STD GAS 1-1/2-2 T 12 FT (Hourly Rate)</t>
  </si>
  <si>
    <t>TRUCK STKBD 2WD STD GAS 1-1/2-2 T 12 FT (Monthly Rate)</t>
  </si>
  <si>
    <t>TRUCK STKBD 2WD STD GAS 3/4-1 T 12 FT (Hourly Rate)</t>
  </si>
  <si>
    <t>TRUCK STKBD 2WD STD GAS 3/4-1 T 12 FT (Monthly Rate)</t>
  </si>
  <si>
    <t>TRUCK STKBD 4WD STD DSL 3/4-1 T 12 FT (Hourly Rate)</t>
  </si>
  <si>
    <t>TRUCK STKBD 4WD STD DSL 3/4-1 T 12 FT (Monthly Rate)</t>
  </si>
  <si>
    <t>TRUCK BOXDUMP DSL 3-4 YD (Hourly Rate)</t>
  </si>
  <si>
    <t>TRUCK BOXDUMP DSL 3-4 YD (Monthly Rate)</t>
  </si>
  <si>
    <t>TRUCK UTLTY 2WD CREW GAS 3/4-1 T (Hourly Rate)</t>
  </si>
  <si>
    <t>TRUCK UTLTY 2WD CREW GAS 3/4-1 T (Monthly Rate)</t>
  </si>
  <si>
    <t>TRUCK UTLTY 2WD STD-SUP DSL 3/4-1 T (Hourly Rate)</t>
  </si>
  <si>
    <t>TRUCK UTLTY 2WD STD-SUP DSL 3/4-1 T (Monthly Rate)</t>
  </si>
  <si>
    <t>TRUCK STKBD 2WD CREW DSL 3/4-1 T 12 FT (Hourly Rate)</t>
  </si>
  <si>
    <t>TRUCK STKBD 2WD CREW DSL 3/4-1 T 12 FT (Monthly Rate)</t>
  </si>
  <si>
    <t>TRUCK STKBD 2WD CREW DSL 1-1/2-2 T 12 FT (Hourly Rate)</t>
  </si>
  <si>
    <t>TRUCK STKBD 2WD CREW DSL 1-1/2-2 T 12 FT (Monthly Rate)</t>
  </si>
  <si>
    <t>TRUCK BOXDUMP 2WD CREW DSL 3-4 YD (Hourly Rate)</t>
  </si>
  <si>
    <t>TRUCK BOXDUMP 2WD CREW DSL 3-4 YD (Monthly Rate)</t>
  </si>
  <si>
    <t>TRUCK CUBE VAN 15 FT (Hourly Rate)</t>
  </si>
  <si>
    <t>TRUCK CUBE VAN 15 FT (Monthly Rate)</t>
  </si>
  <si>
    <t>TRUCK BOXDUMP 4WD CREW DSL 3-4 YD (Hourly Rate)</t>
  </si>
  <si>
    <t>TRUCK BOXDUMP 4WD CREW DSL 3-4 YD (Monthly Rate)</t>
  </si>
  <si>
    <t>TRUCK SERVICE 4WD CREW GAS 3/4-1 T (Hourly Rate)</t>
  </si>
  <si>
    <t>TRUCK SERVICE 4WD CREW GAS 3/4-1 T (Monthly Rate)</t>
  </si>
  <si>
    <t>TRUCK UTLTY 2WD STD-SUP GAS 3/4-1 T (Hourly Rate)</t>
  </si>
  <si>
    <t>TRUCK UTLTY 2WD STD-SUP GAS 3/4-1 T (Monthly Rate)</t>
  </si>
  <si>
    <t>TRUCK STKBD 4WD STD DSL 2-1/2-3 T 16 FT (Hourly Rate)</t>
  </si>
  <si>
    <t>TRUCK STKBD 4WD STD DSL 2-1/2-3 T 16 FT (Monthly Rate)</t>
  </si>
  <si>
    <t>TRUCK A-FRAME DSL 13 T W/ WINCH (Hourly Rate)</t>
  </si>
  <si>
    <t>TRUCK A-FRAME DSL 13 T W/ WINCH (Monthly Rate)</t>
  </si>
  <si>
    <t>TRUCK STKBD 4WD STD DSL 2-1/2-3 T 22 FT (Hourly Rate)</t>
  </si>
  <si>
    <t>TRUCK STKBD 4WD STD DSL 2-1/2-3 T 22 FT (Monthly Rate)</t>
  </si>
  <si>
    <t>TRUCK STKBD 4WD CREW DSL 1-1/2-2 T 12 FT (Hourly Rate)</t>
  </si>
  <si>
    <t>TRUCK STKBD 4WD CREW DSL 1-1/2-2 T 12 FT (Monthly Rate)</t>
  </si>
  <si>
    <t>TRUCK BOXDUMP DSL 5-6 YD NON CDL (Hourly Rate)</t>
  </si>
  <si>
    <t>TRUCK BOXDUMP DSL 5-6 YD NON CDL (Monthly Rate)</t>
  </si>
  <si>
    <t>TRUCK BOXDUMP 4WD CREW DSL 5-6 YD (Hourly Rate)</t>
  </si>
  <si>
    <t>TRUCK BOXDUMP 4WD CREW DSL 5-6 YD (Monthly Rate)</t>
  </si>
  <si>
    <t>TRUCK BOXDUMP GAS 5-6 YD NON CDL (Hourly Rate)</t>
  </si>
  <si>
    <t>TRUCK BOXDUMP GAS 5-6 YD NON CDL (Monthly Rate)</t>
  </si>
  <si>
    <t>TRUCK BOXDUMP DSL 5-6 YD (Hourly Rate)</t>
  </si>
  <si>
    <t>TRUCK BOXDUMP DSL 5-6 YD (Monthly Rate)</t>
  </si>
  <si>
    <t>TRUCK STKBD 2WD STD DSL 1-1/2-2 T 12 FT (Hourly Rate)</t>
  </si>
  <si>
    <t>TRUCK STKBD 2WD STD DSL 1-1/2-2 T 12 FT (Monthly Rate)</t>
  </si>
  <si>
    <t>TRUCK STKBD 4WD STD DSL 1-1/2-2 T 12 FT (Hourly Rate)</t>
  </si>
  <si>
    <t>TRUCK STKBD 4WD STD DSL 1-1/2-2 T 12 FT (Monthly Rate)</t>
  </si>
  <si>
    <t>TRUCK WATER DSL 2,000 GAL (Hourly Rate)</t>
  </si>
  <si>
    <t>TRUCK WATER DSL 2,000 GAL (Monthly Rate)</t>
  </si>
  <si>
    <t>TRUCK BUCKET DSL 31 FT (Hourly Rate)</t>
  </si>
  <si>
    <t>TRUCK BUCKET DSL 31 FT (Monthly Rate)</t>
  </si>
  <si>
    <t>TRUCK BUCKET DSL 38 FT (Hourly Rate)</t>
  </si>
  <si>
    <t>TRUCK BUCKET DSL 38 FT (Monthly Rate)</t>
  </si>
  <si>
    <t>TRUCK SERVICE 4WD STD DSL 1-1/2-2 T (Hourly Rate)</t>
  </si>
  <si>
    <t>TRUCK SERVICE 4WD STD DSL 1-1/2-2 T (Monthly Rate)</t>
  </si>
  <si>
    <t>TRUCK SERVICE 4WD STD GAS 3/4-1 T (Hourly Rate)</t>
  </si>
  <si>
    <t>TRUCK SERVICE 4WD STD GAS 3/4-1 T (Monthly Rate)</t>
  </si>
  <si>
    <t>TRUCK BUCKET GAS 31 FT (Hourly Rate)</t>
  </si>
  <si>
    <t>TRUCK BUCKET GAS 31 FT (Monthly Rate)</t>
  </si>
  <si>
    <t>TRUCK CRASH ATTENUATOR 62-65 MPH (Hourly Rate)</t>
  </si>
  <si>
    <t>TRUCK CRASH ATTENUATOR 62-65 MPH (Monthly Rate)</t>
  </si>
  <si>
    <t>TRUCK CRANE SINGLE DSL 17 T (Hourly Rate)</t>
  </si>
  <si>
    <t>TRUCK CRANE SINGLE DSL 17 T (Monthly Rate)</t>
  </si>
  <si>
    <t>TRUCK BUCKET DSL 48 FT (Hourly Rate)</t>
  </si>
  <si>
    <t>TRUCK BUCKET DSL 48 FT (Monthly Rate)</t>
  </si>
  <si>
    <t>TRUCK CRANE SINGLE DSL 18 T (Hourly Rate)</t>
  </si>
  <si>
    <t>TRUCK CRANE SINGLE DSL 18 T (Monthly Rate)</t>
  </si>
  <si>
    <t>TRUCK CRANE SINGLE DSL 15 T (Hourly Rate)</t>
  </si>
  <si>
    <t>TRUCK CRANE SINGLE DSL 15 T (Monthly Rate)</t>
  </si>
  <si>
    <t>TRUCK WATER DSL 4,000 GAL (Hourly Rate)</t>
  </si>
  <si>
    <t>TRUCK WATER DSL 4,000 GAL (Monthly Rate)</t>
  </si>
  <si>
    <t>TRUCK TRACTOR TANDEM 4WD DSL (Hourly Rate)</t>
  </si>
  <si>
    <t>TRUCK TRACTOR TANDEM 4WD DSL (Monthly Rate)</t>
  </si>
  <si>
    <t>TRUCK BOXDUMP DSL 12-14 YD MANUAL (Hourly Rate)</t>
  </si>
  <si>
    <t>TRUCK BOXDUMP DSL 12-14 YD MANUAL (Monthly Rate)</t>
  </si>
  <si>
    <t>TRUCK BOXDUMP DSL 12-14 YD AUTO (Hourly Rate)</t>
  </si>
  <si>
    <t>TRUCK BOXDUMP DSL 12-14 YD AUTO (Monthly Rate)</t>
  </si>
  <si>
    <t>TRUCK CRANE TANDEM DSL 23 T (Hourly Rate)</t>
  </si>
  <si>
    <t>TRUCK CRANE TANDEM DSL 23 T (Monthly Rate)</t>
  </si>
  <si>
    <t>TRUCK BUCKET DSL 62 FT (Hourly Rate)</t>
  </si>
  <si>
    <t>TRUCK BUCKET DSL 62 FT (Monthly Rate)</t>
  </si>
  <si>
    <t>TRUCK BOXDUMP ARTICULATED DSL 25 TON (Hourly Rate)</t>
  </si>
  <si>
    <t>TRUCK BOXDUMP ARTICULATED DSL 25 TON (Monthly Rate)</t>
  </si>
  <si>
    <t>TRUCK BOXDUMP ARTICULATED DSL 30 TON (Hourly Rate)</t>
  </si>
  <si>
    <t>TRUCK BOXDUMP ARTICULATED DSL 30 TON (Monthly Rate)</t>
  </si>
  <si>
    <t>VEHICLES - PICKUP TRUCKS,  VANS,  &amp; SUVS</t>
  </si>
  <si>
    <t>TRUCK PICKUP COMPACT (Monthly Rate)</t>
  </si>
  <si>
    <t>TRUCK PICKUP COMPACT (Hourly Rate)</t>
  </si>
  <si>
    <t>TRUCK PICKUP 4WD SUP GAS 1/2 T (Monthly Rate)</t>
  </si>
  <si>
    <t>TRUCK PICKUP 4WD SUP GAS 1/2 T (Hourly Rate)</t>
  </si>
  <si>
    <t>TRUCK PICKUP 2WD SUP GAS 1/2 T (Monthly Rate)</t>
  </si>
  <si>
    <t>TRUCK PICKUP 2WD SUP GAS 1/2 T (Hourly Rate)</t>
  </si>
  <si>
    <t>TRUCK PICKUP 2WD STD GAS 1/2 T (Monthly Rate)</t>
  </si>
  <si>
    <t>TRUCK PICKUP 2WD STD GAS 1/2 T (Hourly Rate)</t>
  </si>
  <si>
    <t>TRUCK PICKUP 2WD STD DSL 3/4 T (Monthly Rate)</t>
  </si>
  <si>
    <t>TRUCK PICKUP 2WD STD DSL 3/4 T (Hourly Rate)</t>
  </si>
  <si>
    <t>TRUCK PICKUP 2WD STD GAS 3/4 T (Monthly Rate)</t>
  </si>
  <si>
    <t>TRUCK PICKUP 2WD STD GAS 3/4 T (Hourly Rate)</t>
  </si>
  <si>
    <t>TRUCK PICKUP 4WD STD GAS 1/2 T (Monthly Rate)</t>
  </si>
  <si>
    <t>TRUCK PICKUP 4WD STD GAS 1/2 T (Hourly Rate)</t>
  </si>
  <si>
    <t>TRUCK PICKUP 2WD SUP GAS 3/4 T (Monthly Rate)</t>
  </si>
  <si>
    <t>TRUCK PICKUP 2WD SUP GAS 3/4 T (Hourly Rate)</t>
  </si>
  <si>
    <t>SUV GAS (Monthly Rate)</t>
  </si>
  <si>
    <t>SUV GAS (Hourly Rate)</t>
  </si>
  <si>
    <t>TRUCK PICKUP 4WD SUP DSL 3/4 T (Monthly Rate)</t>
  </si>
  <si>
    <t>TRUCK PICKUP 4WD SUP DSL 3/4 T (Hourly Rate)</t>
  </si>
  <si>
    <t>TRUCK PICKUP 4WD CREW GAS 1/2 T (Monthly Rate)</t>
  </si>
  <si>
    <t>TRUCK PICKUP 4WD CREW GAS 1/2 T (Hourly Rate)</t>
  </si>
  <si>
    <t>TRUCK PICKUP 4WD STD DSL 3/4 T (Monthly Rate)</t>
  </si>
  <si>
    <t>TRUCK PICKUP 4WD STD DSL 3/4 T (Hourly Rate)</t>
  </si>
  <si>
    <t>TRUCK PICKUP 2WD CREW GAS 1/2 T (Monthly Rate)</t>
  </si>
  <si>
    <t>TRUCK PICKUP 2WD CREW GAS 1/2 T (Hourly Rate)</t>
  </si>
  <si>
    <t>TRUCK PICKUP 4WD SUP GAS 3/4 T (Monthly Rate)</t>
  </si>
  <si>
    <t>TRUCK PICKUP 4WD SUP GAS 3/4 T (Hourly Rate)</t>
  </si>
  <si>
    <t>TRUCK PICKUP 4WD CREW GAS 3/4 T (Monthly Rate)</t>
  </si>
  <si>
    <t>TRUCK PICKUP 4WD CREW GAS 3/4 T (Hourly Rate)</t>
  </si>
  <si>
    <t>TRUCK PICKUP 4WD CREW DSL 3/4 T (Monthly Rate)</t>
  </si>
  <si>
    <t>TRUCK PICKUP 4WD CREW DSL 3/4 T (Hourly Rate)</t>
  </si>
  <si>
    <t>TRUCK PICKUP 4WD CREW DSL 1 T (Monthly Rate)</t>
  </si>
  <si>
    <t>TRUCK PICKUP 4WD CREW DSL 1 T (Hourly Rate)</t>
  </si>
  <si>
    <t>TRUCK PICKUP 2WD CREW GAS 3/4 T (Monthly Rate)</t>
  </si>
  <si>
    <t>TRUCK PICKUP 2WD CREW GAS 3/4 T (Hourly Rate)</t>
  </si>
  <si>
    <t>VAN PASSENGER 8 GAS 1/2 T (Monthly Rate)</t>
  </si>
  <si>
    <t>VAN PASSENGER 8 GAS 1/2 T (Hourly Rate)</t>
  </si>
  <si>
    <t>VAN PASSENGER 12 GAS 3/4-1 T (Monthly Rate)</t>
  </si>
  <si>
    <t>VAN PASSENGER 12 GAS 3/4-1 T (Hourly Rate)</t>
  </si>
  <si>
    <t>VAN CARGO GAS 3/4 T (Monthly Rate)</t>
  </si>
  <si>
    <t>VAN CARGO GAS 3/4 T (Hourly Rate)</t>
  </si>
  <si>
    <t>TRUCK PICKUP 4WD STD GAS 3/4 T (Monthly Rate)</t>
  </si>
  <si>
    <t>TRUCK PICKUP 4WD STD GAS 3/4 T (Hourly Rate)</t>
  </si>
  <si>
    <t>VAN PASSENGER 15 GAS 3/4-1 T (Monthly Rate)</t>
  </si>
  <si>
    <t>VAN PASSENGER 15 GAS 3/4-1 T (Hourly Rate)</t>
  </si>
  <si>
    <t>TRUCK PICKUP 4WD CREW GAS 1 T (Monthly Rate)</t>
  </si>
  <si>
    <t>TRUCK PICKUP 4WD CREW GAS 1 T (Hourly Rate)</t>
  </si>
  <si>
    <t>TRAILER CARGO CONTAINER 10 FT (Hourly Rate)</t>
  </si>
  <si>
    <t>TRAILER CARGO CONTAINER 10 FT (Monthly Rate)</t>
  </si>
  <si>
    <t>TRAILER CARGO CONTAINER 20 FT (Hourly Rate)</t>
  </si>
  <si>
    <t>TRAILER CARGO CONTAINER 20 FT (Monthly Rate)</t>
  </si>
  <si>
    <t>TRAILER TILLER (Hourly Rate)</t>
  </si>
  <si>
    <t>TRAILER TILLER (Monthly Rate)</t>
  </si>
  <si>
    <t>TRAILER UTILITY 3000 LB (Hourly Rate)</t>
  </si>
  <si>
    <t>TRAILER UTILITY 3000 LB (Monthly Rate)</t>
  </si>
  <si>
    <t>TRAILER TRENCHER (Hourly Rate)</t>
  </si>
  <si>
    <t>TRAILER TRENCHER (Monthly Rate)</t>
  </si>
  <si>
    <t>TRAILER CARGO CONTAINER 16 FT (Hourly Rate)</t>
  </si>
  <si>
    <t>TRAILER CARGO CONTAINER 16 FT (Monthly Rate)</t>
  </si>
  <si>
    <t>TRAILER STUMP GRINDER (Hourly Rate)</t>
  </si>
  <si>
    <t>TRAILER STUMP GRINDER (Monthly Rate)</t>
  </si>
  <si>
    <t>TRAILER UTILITY 2000 LB (Hourly Rate)</t>
  </si>
  <si>
    <t>TRAILER UTILITY 2000 LB (Monthly Rate)</t>
  </si>
  <si>
    <t>CONTAINER 20 FT CARGO DOUBLE DOOR (Hourly Rate)</t>
  </si>
  <si>
    <t>CONTAINER 20 FT CARGO DOUBLE DOOR (Monthly Rate)</t>
  </si>
  <si>
    <t>TRAILER TILT 7000 LB (Hourly Rate)</t>
  </si>
  <si>
    <t>TRAILER TILT 7000 LB (Monthly Rate)</t>
  </si>
  <si>
    <t>TRAILER CARGO CONTAINER 24 FT (Hourly Rate)</t>
  </si>
  <si>
    <t>TRAILER CARGO CONTAINER 24 FT (Monthly Rate)</t>
  </si>
  <si>
    <t>TRAILER CARGO CONTAINER 40 FT (Hourly Rate)</t>
  </si>
  <si>
    <t>TRAILER CARGO CONTAINER 40 FT (Monthly Rate)</t>
  </si>
  <si>
    <t>CONTAINER 40 FT CARGO DOUBLE DOOR (Hourly Rate)</t>
  </si>
  <si>
    <t>CONTAINER 40 FT CARGO DOUBLE DOOR (Monthly Rate)</t>
  </si>
  <si>
    <t>TRAILER TILT 3000 LB (Hourly Rate)</t>
  </si>
  <si>
    <t>TRAILER TILT 3000 LB (Monthly Rate)</t>
  </si>
  <si>
    <t>TRAILER LANDSCAPE 6X12 3,000 LB (Hourly Rate)</t>
  </si>
  <si>
    <t>TRAILER LANDSCAPE 6X12 3,000 LB (Monthly Rate)</t>
  </si>
  <si>
    <t>TRAILER UTILITY 7,000 LB (Hourly Rate)</t>
  </si>
  <si>
    <t>TRAILER UTILITY 7,000 LB (Monthly Rate)</t>
  </si>
  <si>
    <t>TRAILER OPEN TOP BOX 5X8 3,000 LB (Hourly Rate)</t>
  </si>
  <si>
    <t>TRAILER OPEN TOP BOX 5X8 3,000 LB (Monthly Rate)</t>
  </si>
  <si>
    <t>TRAILER FLATBED 6TO8000 LB (Hourly Rate)</t>
  </si>
  <si>
    <t>TRAILER FLATBED 6TO8000 LB (Monthly Rate)</t>
  </si>
  <si>
    <t>TRAILER TILT 10,000 LB (Hourly Rate)</t>
  </si>
  <si>
    <t>TRAILER TILT 10,000 LB (Monthly Rate)</t>
  </si>
  <si>
    <t>TRAILER PIPE DOLLY (Hourly Rate)</t>
  </si>
  <si>
    <t>TRAILER PIPE DOLLY (Monthly Rate)</t>
  </si>
  <si>
    <t>TRAILER OPEN TOP BOX 5X12 3,000 LB (Hourly Rate)</t>
  </si>
  <si>
    <t>TRAILER OPEN TOP BOX 5X12 3,000 LB (Monthly Rate)</t>
  </si>
  <si>
    <t>TRAILER FLATBED 3,000 LB (Hourly Rate)</t>
  </si>
  <si>
    <t>TRAILER FLATBED 3,000 LB (Monthly Rate)</t>
  </si>
  <si>
    <t>TRAILER FLATBED 10,000 LB (Hourly Rate)</t>
  </si>
  <si>
    <t>TRAILER FLATBED 10,000 LB (Monthly Rate)</t>
  </si>
  <si>
    <t>TRAILER OPEN TOP BOX 5X10 3,000 LB (Hourly Rate)</t>
  </si>
  <si>
    <t>TRAILER OPEN TOP BOX 5X10 3,000 LB (Monthly Rate)</t>
  </si>
  <si>
    <t>TRAILER FLATBED 12000 LB (Hourly Rate)</t>
  </si>
  <si>
    <t>TRAILER FLATBED 12000 LB (Monthly Rate)</t>
  </si>
  <si>
    <t>TRAILER DROP DECK 10000 LB (Hourly Rate)</t>
  </si>
  <si>
    <t>TRAILER DROP DECK 10000 LB (Monthly Rate)</t>
  </si>
  <si>
    <t>TRAILER WATER 500 GALLON (Hourly Rate)</t>
  </si>
  <si>
    <t>TRAILER WATER 500 GALLON (Monthly Rate)</t>
  </si>
  <si>
    <t>TRAILER DUMP 6X10 10000 LB (Hourly Rate)</t>
  </si>
  <si>
    <t>TRAILER DUMP 6X10 10000 LB (Monthly Rate)</t>
  </si>
  <si>
    <t>TRAILER FLATBED 14-15,000 LB (Hourly Rate)</t>
  </si>
  <si>
    <t>TRAILER FLATBED 14-15,000 LB (Monthly Rate)</t>
  </si>
  <si>
    <t>TRAILER TILT 6000 LB (Hourly Rate)</t>
  </si>
  <si>
    <t>TRAILER TILT 6000 LB (Monthly Rate)</t>
  </si>
  <si>
    <t>TRAILER DUMP 6X12 10,000 LB (Hourly Rate)</t>
  </si>
  <si>
    <t>TRAILER DUMP 6X12 10,000 LB (Monthly Rate)</t>
  </si>
  <si>
    <t>TRAILER TILT 14TO15000 LB (Hourly Rate)</t>
  </si>
  <si>
    <t>TRAILER TILT 14TO15000 LB (Monthly Rate)</t>
  </si>
  <si>
    <t>TRAILER DUMP 5X8 4TO6000 LB (Hourly Rate)</t>
  </si>
  <si>
    <t>TRAILER DUMP 5X8 4TO6000 LB (Monthly Rate)</t>
  </si>
  <si>
    <t>TRAILER FLATBED 18,000 LB (Hourly Rate)</t>
  </si>
  <si>
    <t>TRAILER FLATBED 18,000 LB (Monthly Rate)</t>
  </si>
  <si>
    <t>TRAILER FLATBED GOOSENECK 20TO22000 LB (Hourly Rate)</t>
  </si>
  <si>
    <t>TRAILER FLATBED GOOSENECK 20TO22000 LB (Monthly Rate)</t>
  </si>
  <si>
    <t>TRAILER FLATBED 24000 LB (Hourly Rate)</t>
  </si>
  <si>
    <t>TRAILER FLATBED 24000 LB (Monthly Rate)</t>
  </si>
  <si>
    <t>TRAILER FLATBED 20-22,000 LB (Hourly Rate)</t>
  </si>
  <si>
    <t>TRAILER FLATBED 20-22,000 LB (Monthly Rate)</t>
  </si>
  <si>
    <t>TRAILER FLATBED 40,000 LB (Hourly Rate)</t>
  </si>
  <si>
    <t>TRAILER FLATBED 40,000 LB (Monthly Rate)</t>
  </si>
  <si>
    <t>TRAILER DUMP 8X30 20000 LB (Hourly Rate)</t>
  </si>
  <si>
    <t>TRAILER DUMP 8X30 20000 LB (Monthly Rate)</t>
  </si>
  <si>
    <t>TRAILER FLATBED LIVE BOTTOM 24,000 LB (Hourly Rate)</t>
  </si>
  <si>
    <t>TRAILER FLATBED LIVE BOTTOM 24,000 LB (Monthly Rate)</t>
  </si>
  <si>
    <t>TRAILER VACUUM EXC SYSTEM 500 GAL DSL (Hourly Rate)</t>
  </si>
  <si>
    <t>TRAILER VACUUM EXC SYSTEM 500 GAL DSL (Monthly Rate)</t>
  </si>
  <si>
    <t>TRAILER VACUUM EXC SYSTEM 500 GAL GAS (Hourly Rate)</t>
  </si>
  <si>
    <t>TRAILER VACUUM EXC SYSTEM 500 GAL GAS (Monthly Rate)</t>
  </si>
  <si>
    <t>TRAILER VACUUM EXCAVATION SYSTEM 800 GAL (Hourly Rate)</t>
  </si>
  <si>
    <t>TRAILER VACUUM EXCAVATION SYSTEM 800 GAL (Monthly Rate)</t>
  </si>
  <si>
    <t>WELDER WIRE FEEDER 120 VOLT ELEC (Monthly Rate)</t>
  </si>
  <si>
    <t>WELDER WIRE FEEDER 120 VOLT ELEC (Hourly Rate)</t>
  </si>
  <si>
    <t>WELDER STATIONARY 250 - 299 AMPS ELEC (Monthly Rate)</t>
  </si>
  <si>
    <t>WELDER STATIONARY 250 - 299 AMPS ELEC (Hourly Rate)</t>
  </si>
  <si>
    <t>WELDER STATIONARY 400 - 449 AMPS ELEC (Monthly Rate)</t>
  </si>
  <si>
    <t>WELDER STATIONARY 400 - 449 AMPS ELEC (Hourly Rate)</t>
  </si>
  <si>
    <t>WELDER STATIONARY 300 - 349 AMPS ELEC (Monthly Rate)</t>
  </si>
  <si>
    <t>WELDER STATIONARY 300 - 349 AMPS ELEC (Hourly Rate)</t>
  </si>
  <si>
    <t>WELDER WIRE FEEDER ATTACHMENT (Monthly Rate)</t>
  </si>
  <si>
    <t>WELDER WIRE FEEDER ATTACHMENT (Hourly Rate)</t>
  </si>
  <si>
    <t>WELDER TOWABLE 400 - 449 AMPS DSL (Monthly Rate)</t>
  </si>
  <si>
    <t>WELDER TOWABLE 400 - 449 AMPS DSL (Hourly Rate)</t>
  </si>
  <si>
    <t>WELDER STATIONARY 250 - 299 AMPS LPN (Monthly Rate)</t>
  </si>
  <si>
    <t>WELDER STATIONARY 250 - 299 AMPS LPN (Hourly Rate)</t>
  </si>
  <si>
    <t>WELDER TOWABLE 300 - 349 AMPS DSL (Monthly Rate)</t>
  </si>
  <si>
    <t>WELDER TOWABLE 300 - 349 AMPS DSL (Hourly Rate)</t>
  </si>
  <si>
    <t>WELDER STATIONARY 300 - 349 AMPS LPN (Monthly Rate)</t>
  </si>
  <si>
    <t>WELDER STATIONARY 300 - 349 AMPS LPN (Hourly Rate)</t>
  </si>
  <si>
    <t>WELDER TOWABLE 500 - 549 AMPS DSL (Monthly Rate)</t>
  </si>
  <si>
    <t>WELDER TOWABLE 500 - 549 AMPS DSL (Hourly Rate)</t>
  </si>
  <si>
    <t>WELDER STATIONARY 1100 - 1199 AMPS ELEC (Monthly Rate)</t>
  </si>
  <si>
    <t>WELDER STATIONARY 1100 - 1199 AMPS ELEC (Hourly Rate)</t>
  </si>
  <si>
    <t>WELDER TOWABLE 600 - 649 AMPS DSL (Monthly Rate)</t>
  </si>
  <si>
    <t>WELDER TOWABLE 600 - 649 AMPS DSL (Hourly Rate)</t>
  </si>
  <si>
    <t>Crew-LOCAL 440 -Watermain, Sewer &amp; Tunnel Workers (1/2FM+1LEAD Pipe JM+1 Pipe AP+1Laborer)</t>
  </si>
  <si>
    <t>Crew-LOCAL 440 -Watermain, Sewer &amp; Tunnel Workers (1/2FM+1LEAD Pipe JM+2 Pipe AP+1Laborer)</t>
  </si>
  <si>
    <t>Crew-LOCAL 77, 125, 483 -ELECTRICAL (1/2GFM+1EO+1JM+1AP5th+1L)</t>
  </si>
  <si>
    <t>Crew-LOCAL 528 -Cement Masons &amp; Plasteners (Brick Sewer Tuckpointing) (FM+1CMJ+1AP-70%+1AP90%)</t>
  </si>
  <si>
    <t>Crew-LOCAL 242 &amp; L302-Laborers &amp; Operating Engineers (Drilled Shaft) (1 Group IAAA+ 1GroupIA-Oiler+ 1LBGR6FM+3LBGR4)</t>
  </si>
  <si>
    <t>Crew-LOCAL Pacific NW Council of Carpenters &amp; LOCAL 528-Concrete Labors &amp; Finishers (Structural Concrete Forming, Pouring &amp; Finishing) (1/2FM+1JMC+1APC+1CMJ+1AP100%)</t>
  </si>
  <si>
    <t>Crew-LOCAL 46-Commercial Electrician (Pump Station Interior Work) (1/2FM+1JM+1AP5GR)</t>
  </si>
  <si>
    <t>Crew-LOCAL 86- IRON Workers (Structural Work) (1/2GFM+1FM+1JM+1AP6thPer)</t>
  </si>
  <si>
    <t>Crew-LOCAL COMM. PLUMBERS &amp; STEAMFITTER (PUMP Interior Work) (1/2FM+1JM+1UW+1L)</t>
  </si>
  <si>
    <t>Crew-LOCAL 66 SHEET METAL &amp; HVAC (PUMP Interior Work) (1/4GFM+1/2FM+1JM+1AP)</t>
  </si>
  <si>
    <t xml:space="preserve">PUMP 20HP Vortex Type Sludge, 8" Intake And 6" Discharge Flange Connections, Wemco Model E </t>
  </si>
  <si>
    <t>PUMP 20HP Vortex Type Sludge, 8" Intake And 6" Discharge Flange Connections, Wemco Model E, Explosion Proof Motor</t>
  </si>
  <si>
    <t xml:space="preserve">3 HP Submersible Well Pump, 4" Diameter Stainless Steel </t>
  </si>
  <si>
    <t>FURNISHINGS</t>
  </si>
  <si>
    <t>8" INFLATABLE PLUG (DAY)</t>
  </si>
  <si>
    <t>8" INFLATABLE PLUG (WEEK)</t>
  </si>
  <si>
    <t>8" INFLATABLE PLUG (MONTH)</t>
  </si>
  <si>
    <t>8" SAFETY INFLATABLE LINE (DAY)</t>
  </si>
  <si>
    <t>8" SAFETY INFLATABLE LINE (WEEK)</t>
  </si>
  <si>
    <t>8" SAFETY INFLATABLE LINE (MONTH)</t>
  </si>
  <si>
    <t>Scaffold (F&amp;I} With Accessories-Area 3'x7' {QTY Up to 25 EA} (CCF/Month)</t>
  </si>
  <si>
    <t>Scaffold (F&amp;I} With Accessories-Area 3'x7' {QTY &gt;25-50 EA} (CCF/Month)</t>
  </si>
  <si>
    <t>Scaffold (F&amp;I} With Accessories-Area 3'x7' {QTY &gt;50-150 EA} (CCF/Month)</t>
  </si>
  <si>
    <t>Scaffold (F&amp;I} With Accessories-Area 5'x7' {QTY Up to 25 EA} (CCF/Month)</t>
  </si>
  <si>
    <t>Scaffold (F&amp;I} With Accessories-Area 5'x7' {QTY &gt;25-50 EA} (CCF/Month)</t>
  </si>
  <si>
    <t>Scaffold (F&amp;I} With Accessories-Area 5'x7' {QTY &gt;50-150 EA} (CCF/Month)</t>
  </si>
  <si>
    <t>3" HDPE Dry Stand Pipe INCL Fitting {QTY &lt;=1000 LF}</t>
  </si>
  <si>
    <t>3" HDPE Dry Stand Pipe INCL Fitting {QTY&gt;1000 LF}</t>
  </si>
  <si>
    <t>4" HDPE Dry Stand Pipe INCL Fitting {QTY &lt;=1000 LF}</t>
  </si>
  <si>
    <t>4" HDPE Dry Stand Pipe INCL Fitting {QTY &gt;1000 LF}</t>
  </si>
  <si>
    <t>6" HDPE Dry Stand Pipe INCL Fitting {QTY &lt;=1000 LF}</t>
  </si>
  <si>
    <t>6" HDPE Dry Stand Pipe INCL Fitting {QTY &gt;1000 LF}</t>
  </si>
  <si>
    <t>8" HDPE Dry Stand Pipe INCL Fitting {QTY &lt;=1000 LF}</t>
  </si>
  <si>
    <t>8" HDPE Dry Stand Pipe INCL Fitting {QTY &gt;1000 LF}</t>
  </si>
  <si>
    <t>DEMO 3" SS SCH10 Type 304 Fire Sprinkler Pipe</t>
  </si>
  <si>
    <t>3/4" SCH 40 CPVC Fire Sprinkler Pipe INCL FITTING {QTY &lt;=100 LF}</t>
  </si>
  <si>
    <t>3/4" SCH 40 CPVC Fire Sprinkler Pipe INCL FITTING {QTY &gt;100 LF}</t>
  </si>
  <si>
    <t>1" SCH 40 CPVC Fire Sprinkler Pipe INCL FITTING {QTY &lt;=100 LF}</t>
  </si>
  <si>
    <t>1" SCH 40 CPVC Fire Sprinkler Pipe INCL FITTING {QTY &gt;100 LF}</t>
  </si>
  <si>
    <t>2" SCH 40 CPVC Fire Sprinkler Pipe INCL FITTING {QTY &lt;=100 LF}</t>
  </si>
  <si>
    <t>2" SCH 40 CPVC Fire Sprinkler Pipe INCL FITTING {QTY &gt;100 LF}</t>
  </si>
  <si>
    <t>3" Cast Iron Fire Sprinkler Pipe INCL FITTING {QTY &lt;=100 LF}</t>
  </si>
  <si>
    <t>3" Cast Iron Fire Sprinkler Pipe INCL FITTING {QTY &gt;100 LF}</t>
  </si>
  <si>
    <t>3" SS SCH 10, Type 304- Fire Sprinkler Pipe INCL FITTING {QTY &lt;=100 LF}</t>
  </si>
  <si>
    <t>3" SS SCH 10, Type 304Fire Sprinkler Pipe INCL FITTING {QTY &gt;100 LF}</t>
  </si>
  <si>
    <t>DEMO- Pipe Size 1" MAX PSI 150, Double Seat Float Valve</t>
  </si>
  <si>
    <t>3/4" Ball Valve, Brass Body, Threaded or Sweated, 125#, Regular Port</t>
  </si>
  <si>
    <t>DEMOLITION of 3/4" &amp; 1-1/4" Pipe Clip/Strap, Plain Type 26</t>
  </si>
  <si>
    <t>DEMOLITION of 4" Pipe, Stainless Steel Schedule 40 Type 304 For Butt Weld Fitting</t>
  </si>
  <si>
    <t>DEMOLITION of 6" Pipe, Stainless Steel Schedule 40 Type 304 For Butt Weld Fitting</t>
  </si>
  <si>
    <t>DEMOLITION of 8" Pipe, Stainless Steel Schedule 40 Type 304 For Butt Weld Fitting</t>
  </si>
  <si>
    <t>DEMOLITION of 4" Main Line Flow Meter, 20" Long, 150#, Flanged</t>
  </si>
  <si>
    <t>DEMOLITION of 2" Main Line Flow Meter, 20" Long, 300#, Flanged</t>
  </si>
  <si>
    <t>DEMOLITION of 4" Knife Gate Valve, Cast Iron Body With Stainless Steel Interior, Handwheel And Metal Seat</t>
  </si>
  <si>
    <t>DEMOLITION of 6" Knife Gate Valve, Cast Iron Body With Stainless Steel Interior, Handwheel And Metal Seat</t>
  </si>
  <si>
    <t>DEMOLITION of 8" Knife Gate Valve, Cast Iron Body With Stainless Steel Interior, Handwheel And Metal Seat</t>
  </si>
  <si>
    <t>DEMOLITION of 2" Plug Valve, Stainless Steel Type 304</t>
  </si>
  <si>
    <t>DEMOLITION of 4" Flanged Plug Valve, TFE Lined</t>
  </si>
  <si>
    <t>DEMOLITION of 6" Flanged Plug Valve, TFE Lined</t>
  </si>
  <si>
    <t>DEMOLITION of 6" Gate Valve, Iron Body, Flanged, 125# Bronze Trim, With Non-Rising Stem</t>
  </si>
  <si>
    <t>4" Steel Pipe Plug</t>
  </si>
  <si>
    <t>4" Steel Pipe Clamp Type 4</t>
  </si>
  <si>
    <t>6" Pipe, Stainless Steel Schedule 40 Type 304 For Butt Weld Fitting, Work In Restricted Working Space, with Fitting</t>
  </si>
  <si>
    <t>6" Steel Pipe Plug</t>
  </si>
  <si>
    <t>6" Steel Pipe Clamp Type 4</t>
  </si>
  <si>
    <t>8" Pipe, Stainless Steel Schedule 40 Type 304 For Butt Weld Fitting, Work In Restricted Working Space, with Fitting</t>
  </si>
  <si>
    <t>8" Steel Pipe Plug</t>
  </si>
  <si>
    <t>8" Steel Pipe Clamp Type 4</t>
  </si>
  <si>
    <t>4" Main Line Flow Meter, 20" Long, 150#, Flanged, Electronic Flow Meter For Extended Flow Rate (X-Flow)</t>
  </si>
  <si>
    <t>2" Main Line Flow Meter, 20" Long, 300#, Flanged, Electronic Flow Meter For Extended Flow Rate (X-Flow)</t>
  </si>
  <si>
    <t>6" Main Line Flow Meter, 22" Long, 150#, Flanged, Electronic Flow Meter For Extended Flow Rate (X-Flow)</t>
  </si>
  <si>
    <t>8" Main Line Flow Meter, 24" Long, 150#, Flanged, Electronic Flow Meter For Extended Flow Rate (X-Flow)</t>
  </si>
  <si>
    <t>4" Knife Gate Valve, Cast Iron Body With Stainless Steel Interior, Handwheel And Metal Seat</t>
  </si>
  <si>
    <t>6" Knife Gate Valve, Cast Iron Body With Stainless Steel Interior, Handwheel And Metal Seat</t>
  </si>
  <si>
    <t>4" Flanged Plug Valve, TFE Lined</t>
  </si>
  <si>
    <t>6" Flanged Plug Valve, TFE Lined</t>
  </si>
  <si>
    <t>4" Gate Valve, Bronze, Threaded, 125#, Brazed Or Soldered, 150 LB Rating</t>
  </si>
  <si>
    <t>DEMOLITION of 1 Ton Single Package Heat Pump, Air To Air Type With Electric Heat</t>
  </si>
  <si>
    <t>DEMOLITION of Sheet Metal Ductwork, High Pressure, Field Fabricated, Galvanized, Field Assemble And Install</t>
  </si>
  <si>
    <t>DUCTWORK, Sheet Metal, Spiral Performed Field Fabricated, Galvanized, straight length max, 10" SPWG, 14" DIA, 26 Ga Up to 100</t>
  </si>
  <si>
    <t>DUCTWORK, Sheet Metal, Spiral Performed Field Fabricated, Galvanized, straight length max, 10" SPWG, 14" DIA, 26 Ga &gt; 200 To 500</t>
  </si>
  <si>
    <t>DUCTWORK, Sheet Metal, Spiral Performed Field Fabricated, Galvanized, straight length max, 10" SPWG, 14" DIA, 26 Ga &gt; 500 To 1000</t>
  </si>
  <si>
    <t>DUCTWORK, Sheet Metal, Spiral Performed Field Fabricated, Galvanized, straight length max, 10" SPWG, 14" DIA, 24 Ga Up to 100</t>
  </si>
  <si>
    <t>DUCTWORK, Sheet Metal, Spiral Performed Field Fabricated, Galvanized, straight length max, 10" SPWG, 14" DIA, 24 Ga &gt; 200 To 500</t>
  </si>
  <si>
    <t>DUCTWORK, Sheet Metal, Spiral Performed Field Fabricated, Galvanized, straight length max, 10" SPWG, 14" DIA, 24 Ga &gt; 500 To 1000</t>
  </si>
  <si>
    <t>Fluid Cooler Hot Water/Sensible Cooling Coil</t>
  </si>
  <si>
    <t>DEMOLITION of 1, 2 or 3 Circuit Track Lighting Track</t>
  </si>
  <si>
    <t>DEMOLITION of Demolition of Dryer Receptacle, 230 V, 30 Amp</t>
  </si>
  <si>
    <t>DEMOLITION of 25 A, Duplex Receptacle, 120/277 V</t>
  </si>
  <si>
    <t>DEMOLITION of Floor Ground Receptacle For Aluminum Lightning Protection System</t>
  </si>
  <si>
    <t>CONTROL PANEL Submersible Pump, Local FLYGT-Model-NP 3301 HT33-466 GMP 1259 (75HP Pumps)</t>
  </si>
  <si>
    <t>Demo Existing Electrical Generator Protection Single Phase NEMA Device 87</t>
  </si>
  <si>
    <t>Demo Existing Electrical Motor Control Center HPK-B1308E (240 V 3 Phase)</t>
  </si>
  <si>
    <t>Demo Existing Electrical Motor Control Center HPK-B1613C (480 V 3 Phase)</t>
  </si>
  <si>
    <t>Demo Existing UPS Back-Up Power for Gate Actuator (10KVA, Single Power System)</t>
  </si>
  <si>
    <t>Demo Existing UPS Back-Up Power for Gate Actuator (10KVA, 3 Power System)</t>
  </si>
  <si>
    <t>Demo Existing UPS Back-Up Power for Gate Actuator (15KVA, Single Power System)</t>
  </si>
  <si>
    <t>Demo Existing UPS Back-Up Power for Gate Actuator (15KVA, 3 Power System)</t>
  </si>
  <si>
    <t>Demo Existing UPS Back-Up Power for Gate Actuator (20KVA, Single Power System)</t>
  </si>
  <si>
    <t>Demo Existing UPS Back-Up Power for Gate Actuator (20KVA, 3 Power System)</t>
  </si>
  <si>
    <t>Metering Pad Pad-24"Lx 24"W</t>
  </si>
  <si>
    <t>Pre-Cast Underground Electrical Vault 7' Lx 4'-8" W x 7' D-577-LA</t>
  </si>
  <si>
    <t>Pre-Cast Underground Electrical Vault 4' Lx 4' W x 4'</t>
  </si>
  <si>
    <t>Electrical Metering Cabinet</t>
  </si>
  <si>
    <t>(8) 5" FG Conduit with Fittings-Utility Service-Trenching with Thermal LSFTB Backfill</t>
  </si>
  <si>
    <t>Trench Conduit Spacer-Utility Service-Trenching with Thermal LSFTB Backfill</t>
  </si>
  <si>
    <t>Conductor-350 KCMIL-Electrical Service-Trenching with Thermal LSFTB Backfill</t>
  </si>
  <si>
    <t>Conductor-2/0 AWG Neutral-Electrical Service-Trenching with Thermal LSFTB Backfill</t>
  </si>
  <si>
    <t>Conductor-2/0 AWG Ground-Electrical Service-Trenching with Thermal LSFTB Backfill</t>
  </si>
  <si>
    <t>Grounding &amp; Bonding #2/0 AWG Bare Copper Service Ground &amp; Ground Ring with Misc. Connectors and Exothermic welds.</t>
  </si>
  <si>
    <t>Grounding &amp; Bonding #2/0 AWG Bonding Jumper with Misc. Connectors and Exothermic welds.</t>
  </si>
  <si>
    <t>Grounding &amp; Bonding - Ground Rods with Misc. Connectors and Exothermic welds.</t>
  </si>
  <si>
    <t>FEET DEEP WELL - ANODE CENTRALIZER</t>
  </si>
  <si>
    <t>DEEP ANODE GROUND BED-COKE BREEZE BACK FILL</t>
  </si>
  <si>
    <t>DEEP ANODE COKE BREEZE COLUMN-7' BACK FILL</t>
  </si>
  <si>
    <t>THERMITE WELD MATERIALS (Includes 1 welder &amp; 10 weld shots)</t>
  </si>
  <si>
    <t>ANODE INSTALLATION METHOD (Drilling and Install)</t>
  </si>
  <si>
    <t>ANODE - SELECT MATERIALS BACKFILL {QTY &gt;=50CY}</t>
  </si>
  <si>
    <t>Electrical Cable &amp; Accessories</t>
  </si>
  <si>
    <t>Conduit, RGS, 1 IN {QTY &lt;=500 LF}</t>
  </si>
  <si>
    <t>Conduit, RGS, 1 IN {QTY &gt;500 LF}</t>
  </si>
  <si>
    <t>Conduit, RGS, 2 IN {QTY &lt;=500 LF}</t>
  </si>
  <si>
    <t>Grounding For Gates (Per Opening)</t>
  </si>
  <si>
    <t>1 Circuit Track Lighting Track</t>
  </si>
  <si>
    <t>2 Circuit Track Lighting Track</t>
  </si>
  <si>
    <t>3 Circuit Track Lighting Track</t>
  </si>
  <si>
    <t>4 Circuit Track Lighting Track</t>
  </si>
  <si>
    <t>Conduit, RGS, 2 IN {QTY &gt;500 LF}</t>
  </si>
  <si>
    <t>Conduit, RGS, 3 IN {QTY &lt;=500 LF}</t>
  </si>
  <si>
    <t>Conduit, RGS, 3 IN {QTY &gt;500 LF}</t>
  </si>
  <si>
    <t>Conduit, RGS, 4 IN {QTY &lt;=500 LF}</t>
  </si>
  <si>
    <t>Conduit, RGS, 4 IN {QTY &gt;500 LF}</t>
  </si>
  <si>
    <t>Conduit, RGS, 5 IN {QTY &lt;=500 LF}</t>
  </si>
  <si>
    <t>Conduit, RGS, 5 IN {QTY &gt;500 LF}</t>
  </si>
  <si>
    <t>Conduit, RGS, 6 IN {QTY &lt;=500 LF}</t>
  </si>
  <si>
    <t>Conduit, RGS, 6 IN {QTY &gt;500 LF}</t>
  </si>
  <si>
    <t>Conduit, PVC, 1 IN, SCH-40 {QTY &lt;=500 LF}</t>
  </si>
  <si>
    <t>Conduit, PVC, 1 IN, SCH-40 {QTY &gt;500 LF}</t>
  </si>
  <si>
    <t>Conduit, PVC, 2 IN, SCH-40 {QTY &lt;=500 LF}</t>
  </si>
  <si>
    <t>Conduit, PVC, 2 IN, SCH-40 {QTY &gt;500 LF}</t>
  </si>
  <si>
    <t>Conduit, PVC, 3 IN, SCH-40 {QTY &lt;=500 LF}</t>
  </si>
  <si>
    <t>Conduit, PVC, 3 IN, SCH-40 {QTY &gt;500 LF}</t>
  </si>
  <si>
    <t>Conduit, PVC, 4 IN, SCH-40 {QTY &lt;=500 LF}</t>
  </si>
  <si>
    <t>Conduit, PVC, 4 IN, SCH-40 {QTY &gt;500 LF}</t>
  </si>
  <si>
    <t>Conduit, PVC, 5 IN, SCH-40 {QTY &lt;=500 LF}</t>
  </si>
  <si>
    <t>Conduit, PVC, 5 IN, SCH-40 {QTY &gt;500 LF}</t>
  </si>
  <si>
    <t>Conduit, PVC, 6 IN, SCH-40 {QTY &lt;=500 LF}</t>
  </si>
  <si>
    <t>Conduit, PVC, 6 IN, SCH-40 {QTY &gt;500 LF}</t>
  </si>
  <si>
    <t>Conduit, RGS, PVC Coated, 1 IN {QTY &lt;=500 LF}</t>
  </si>
  <si>
    <t>Conduit, RGS, PVC Coated, 1 IN {QTY &gt;500 LF}</t>
  </si>
  <si>
    <t>Conduit, RGS, PVC Coated, 2 IN {QTY &lt;=500 LF}</t>
  </si>
  <si>
    <t>Conduit, RGS, PVC Coated, 2 IN {QTY &gt;500 LF}</t>
  </si>
  <si>
    <t>Conduit, RGS, PVC Coated, 3 IN {QTY 100-250 LF}</t>
  </si>
  <si>
    <t>Conduit, RGS, PVC Coated, 3 IN {QTY 250-500 LF}</t>
  </si>
  <si>
    <t>Conduit, RGS, PVC Coated, 3 IN {QTY 500-1000 LF}</t>
  </si>
  <si>
    <t>Conduit, RGS, PVC Coated, 3 IN {QTY &gt;1000 LF}</t>
  </si>
  <si>
    <t>Conduit, RGS, PVC Coated, 4 IN {QTY 100-250 LF}</t>
  </si>
  <si>
    <t>Conduit, RGS, PVC Coated, 4 IN {QTY 250-500 LF}</t>
  </si>
  <si>
    <t>Conduit, RGS, PVC Coated, 4 IN {QTY 500-1000 LF}</t>
  </si>
  <si>
    <t>Conduit, RGS, PVC Coated, 4 IN {QTY &gt;1000 LF}</t>
  </si>
  <si>
    <t>Electrical Rigid Galvanized Conduit Riser, 2 IN {QTY &lt;=5 EA}</t>
  </si>
  <si>
    <t>Electrical Rigid Galvanized Conduit Riser, 2 IN {QTY &gt;5 EA}</t>
  </si>
  <si>
    <t>Electrical Rigid Galvanized Conduit Riser, 3 IN {QTY &lt;=5 EA}</t>
  </si>
  <si>
    <t>Electrical Rigid Galvanized Conduit Riser, 3 IN {QTY &gt;5 EA}</t>
  </si>
  <si>
    <t>Electrical Rigid Galvanized Conduit Riser, 4 IN {QTY &lt;=5 EA}</t>
  </si>
  <si>
    <t>Electrical Rigid Galvanized Conduit Riser, 4 IN {QTY &gt;5 EA}</t>
  </si>
  <si>
    <t>Electrical PVC OCAL Rigid Conduit 1-IN CTD (1 COUPLING per 10 FT)</t>
  </si>
  <si>
    <t>Electrical PVC OCAL Rigid Conduit 2-IN CTD (1 COUPLING per 10 FT)</t>
  </si>
  <si>
    <t>Electrical PVC OCAL Rigid Conduit 3-IN CTD (1 COUPLING per 10 FT)</t>
  </si>
  <si>
    <t>Electrical PVC OCAL Rigid Conduit 4-IN CTD (1 COUPLING per 10 FT)</t>
  </si>
  <si>
    <t>Electrical Galvanized Conduit Coupling-5 IN</t>
  </si>
  <si>
    <t>Electrical Galvanized Conduit 45 DEG-ELBOW-5 IN</t>
  </si>
  <si>
    <t>Electrical Galvanized Conduit 90 DEG-ELBOW-5 IN</t>
  </si>
  <si>
    <t>Electrical Galvanized Conduit Coupling-6 IN</t>
  </si>
  <si>
    <t>Electrical Galvanized Conduit 45 DEG-ELBOW-6 IN</t>
  </si>
  <si>
    <t>Electrical Galvanized Conduit 90 DEG-ELBOW-6 IN</t>
  </si>
  <si>
    <t>Electrical PVC Conduit Coupling-1 IN</t>
  </si>
  <si>
    <t>Electrical PVC Conduit TERM ADPT-1 IN</t>
  </si>
  <si>
    <t>Electrical PVC Conduit FEMALE ADPT-1 IN</t>
  </si>
  <si>
    <t>Electrical Galvanized Conduit Coupling-1 IN</t>
  </si>
  <si>
    <t>Electrical Galvanized Conduit 45 DEG-ELBOW-1 IN</t>
  </si>
  <si>
    <t>Electrical Galvanized Conduit 90 DEG-ELBOW-1 IN</t>
  </si>
  <si>
    <t>Electrical Galvanized Conduit Coupling-2 IN</t>
  </si>
  <si>
    <t>Electrical Galvanized Conduit 45 DEG-ELBOW-2 IN</t>
  </si>
  <si>
    <t>Electrical Galvanized Conduit 90 DEG-ELBOW-2 IN</t>
  </si>
  <si>
    <t>Electrical Galvanized Conduit Coupling-3 IN</t>
  </si>
  <si>
    <t>Electrical Galvanized Conduit 45 DEG-ELBOW-3 IN</t>
  </si>
  <si>
    <t>Electrical Galvanized Conduit 90 DEG-ELBOW-3 IN</t>
  </si>
  <si>
    <t>Electrical Galvanized Conduit Coupling-4 IN</t>
  </si>
  <si>
    <t>Electrical Galvanized Conduit 45 DEG-ELBOW-4 IN</t>
  </si>
  <si>
    <t>Electrical Galvanized Conduit 90 DEG-ELBOW-4 IN</t>
  </si>
  <si>
    <t>Electrical PVC Conduit 90 DEG SCH-40-ELBOW-2 IN</t>
  </si>
  <si>
    <t>Electrical PVC Conduit 45 DEG SCH-40-ELBOW-5 IN BELLED</t>
  </si>
  <si>
    <t>Electrical PVC CTD RIG OCAL Conduit Coupling-1 IN</t>
  </si>
  <si>
    <t>Electrical PVC RIG OCAL Conduit 45 DEG CTD G-ELBOW-1 IN</t>
  </si>
  <si>
    <t>Electrical PVC RIG OCAL Conduit CTD G-ELBOW-1 IN</t>
  </si>
  <si>
    <t>Electrical PVC CTD RIG OCAL Conduit Coupling-2 IN</t>
  </si>
  <si>
    <t>Electrical PVC RIG OCAL Conduit 45 DEG CTD G-ELBOW-2 IN</t>
  </si>
  <si>
    <t>Electrical PVC RIG OCAL Conduit CTD G-ELBOW-2 IN</t>
  </si>
  <si>
    <t>Electrical PVC RIG OCAL Conduit 45 DEG CTD G-ELBOW-3 IN</t>
  </si>
  <si>
    <t>Electrical PVC RIG OCAL Conduit CTD G-ELBOW-3 IN</t>
  </si>
  <si>
    <t>Electrical PVC CTD RIG OCAL Conduit Coupling-4 IN</t>
  </si>
  <si>
    <t>Electrical PVC RIG OCAL Conduit 45 DEG CTD G-ELBOW-4 IN</t>
  </si>
  <si>
    <t>Electrical PVC RIG OCAL Conduit CTD G-ELBOW-4 IN</t>
  </si>
  <si>
    <t>Electrical PVC CTD RIG OCAL Conduit Coupling-3 IN</t>
  </si>
  <si>
    <t>Electrical Cabinets Enclosure, NEMA 1 Metalic B-Line 866-SC-NK</t>
  </si>
  <si>
    <t>Electrical Cabinets Enclosure, NEMA 1 Metalic B-Line12106SC SCR CVR</t>
  </si>
  <si>
    <t>Electrical Cabinets Enclosure, 48366-SC-NK TYPE 1 SC</t>
  </si>
  <si>
    <t>Electrical Junction Box 6" x8" x4", NEMA 1, Hinged, Screw Clamp-Steel Gray-by HOFFMAN</t>
  </si>
  <si>
    <t>Electrical Junction Box 8" x8" x4", NEMA 12, Hinged, Screw Clamp Steel Gray by HOFFMAN</t>
  </si>
  <si>
    <t>Electrical Junction Box 10" x10" x6", NEMA 12, Hinged, Screw Clamp Steel Gray by HOFFMAN</t>
  </si>
  <si>
    <t>Electrical Junction Box 10" x12" x6", NEMA 12, Hinged, Screw Clamp Steel Gray by HOFFMAN</t>
  </si>
  <si>
    <t>Electrical Junction Box 12" x12" x6", NEMA 13, Hinged, 1/4 Turn Latch, Concept by HOFFMAN</t>
  </si>
  <si>
    <t>Electrical Junction Box 14" x12" x6", NEMA 12, Hinged, Hinged Cover, Steel Gray by HOFFMAN</t>
  </si>
  <si>
    <t>Electrical Junction Box 16" x12" x6", NEMA 12, Hinged, Hinged Cover, Steel Gray by HOFFMAN</t>
  </si>
  <si>
    <t>Electrical Junction Box 16" x14" x6", NEMA 12, Hinged, Hinged Cover, Steel Gray by HOFFMAN</t>
  </si>
  <si>
    <t>Electrical Junction Box 16" x16" x8", NEMA 12, Hinged, Hinged Cover, Steel Gray by HOFFMAN</t>
  </si>
  <si>
    <t>Electrical Junction Box 20" x16" x8", NEMA 12, Hinged, Hinged Cover, Steel Gray by HOFFMAN</t>
  </si>
  <si>
    <t>Electrical Junction Box 20" x20" x8", NEMA 12, Hinged, Hinged Cover, Steel Gray by HOFFMAN</t>
  </si>
  <si>
    <t>Electrical Junction Box 24" x16" x8", NEMA 12, Hinged, Hinged Cover, Steel Gray by HOFFMAN</t>
  </si>
  <si>
    <t>Electrical Junction Box 24" x24" x8", NEMA 12, Hinged, Hinged Cover, Steel Gray by HOFFMAN</t>
  </si>
  <si>
    <t>Electrical Junction Box 30" x30" x8", NEMA 12, Hinged, Hinged Cover, Steel Gray by HOFFMAN</t>
  </si>
  <si>
    <t>550 A-2'-8" x 3'-8" x3'-0" Precast Concrete Underground Electrical Utility Vault with 6" thick walls and 8" thick top.</t>
  </si>
  <si>
    <t>550 B-4'-0" x 4'-0" x3'-6" Precast Concrete Underground Electrical Utility Vault with 6" thick walls and 8" thick top.</t>
  </si>
  <si>
    <t>550 C-2'-8" x 3'-8' x3'-0" Precast Concrete Underground Electrical Utility Vault with 6" thick walls and 8" thick top.</t>
  </si>
  <si>
    <t>Enclosure for Lighting Panels- SIEM B44 20W Type 1, Box W/O Ground BUS, 44H 20W</t>
  </si>
  <si>
    <t>Electrical Lighting/Load Panel SIEM UPB 225 A, 208/120V 30 CIR AL</t>
  </si>
  <si>
    <t>Electrical Lighting/Load Panel SIEM UPB 250A, 208/120V 30 CIR AL</t>
  </si>
  <si>
    <t>Electrical Lighting System CRS-H EVLEDC7 01 LED Luminaire</t>
  </si>
  <si>
    <t>Facility Unit Heater-KING KBP2006-3MP PIC-A-500WATT</t>
  </si>
  <si>
    <t>Facility Unit Heater-KING KBP2010-3MP PIC-A-1.8KW</t>
  </si>
  <si>
    <t>Service Drop-LOT SERVICE DROP 100A (With Meter &amp; Base)</t>
  </si>
  <si>
    <t>Service Drop-LOT SERVICE DROP 200A (With Meter &amp; Base)</t>
  </si>
  <si>
    <t>Service Drop-LOT SERVICE DROP 400A (With Meter &amp; Base)</t>
  </si>
  <si>
    <t>Compact Fluorescent Track Lighting Fixture</t>
  </si>
  <si>
    <t>5 Watt LED MicroFlood® Series Kim Lighting Flood Light</t>
  </si>
  <si>
    <t>2 T8 Lamps, 1 Lamp Wide Cross Section, 8' Length, Pendant Mounted, Fluorescent Downlight Fixture (Finelite Series 10), Dual Circuit</t>
  </si>
  <si>
    <t>1 T5HO Lamp, 1 Lamp Wide Cross Section, 4' Length, Pendant Mounted, Fluorescent Downlight Fixture (Finelite Series 10)</t>
  </si>
  <si>
    <t>Dryer Receptacle, 230 V, 30 Amp</t>
  </si>
  <si>
    <t>25 A, Duplex Receptacle, 120/277 V</t>
  </si>
  <si>
    <t>Floor Ground Receptacle For Aluminum Lightning Protection System</t>
  </si>
  <si>
    <t>GENERATOR RECEPTACLE 480V, 4P4W, 400A</t>
  </si>
  <si>
    <t>TRANSFORMER, Dry-Type, Ventilated, 3 Phases, 480 V primary 1210/208V, secondary, 45 KVA</t>
  </si>
  <si>
    <t>PANELBOARD, 3 Phases, 4 Wire, maun lugs, 120/208V, 150 AMP, 42 circuits, NQOD, incl. 20A 1 pole plu in breakers</t>
  </si>
  <si>
    <t>MOTOR CONTROL Center, 480V, 3 P4W, 800 AMP, SPD, PMM active HF 100A, 1-size, 1-70A, 1-30A, 4-150A, 4-75HP VFD</t>
  </si>
  <si>
    <t>MOTOR STARTER, magnetic, FVR control circuit transformer, size 1, NEMA 4X</t>
  </si>
  <si>
    <t>ELECTRIC UNIT HEATER by KING KBP2406-3MP, 240 V, 2850 Watts, 270 CFM, 70F Temp Rise</t>
  </si>
  <si>
    <t>ELECTRIC UNIT HEATER by KING KBP4804-3MP, 480 V, 4160 Watts, 270 CFM, 70F Temp Rise</t>
  </si>
  <si>
    <t>ELECTRIC UNIT HEATER by KING KBP4806-3MP, 480 V, 6000 Watts, 270 CFM, 71F Temp Rise</t>
  </si>
  <si>
    <t>METER Trans- 13 Terminal, 3 CT mounts, 800 A, NEMA 3R Cabinet Socket</t>
  </si>
  <si>
    <t>PUMP PLUG and RECEPTACLE, 150 A, SP, including cabinet for 2 Pumps/ea, NEMA 4X</t>
  </si>
  <si>
    <t>Electrical Panel Enclosure, Product Hoffman Stainless Steel Model A806NFSS</t>
  </si>
  <si>
    <t>Electrical Panel Enclosure, Product Hoffman Stainless Steel Model A1008CHNFSS</t>
  </si>
  <si>
    <t>Electrical Panel Enclosure, Product Hoffman Stainless Steel Model A1212CHNFSS</t>
  </si>
  <si>
    <t>Electrical Panel Enclosure, Product Hoffman Stainless Steel Model A1614CHNFSS</t>
  </si>
  <si>
    <t>Electrical Panel Enclosure, Product Hoffman Stainless Steel Model A20H1606SSLP</t>
  </si>
  <si>
    <t>Electrical Panel Enclosure, Product Hoffman Stainless Steel Model A24H2408SSLP3PT</t>
  </si>
  <si>
    <t>Electrical Panel Enclosure, Product Hoffman Stainless Steel Model A30H2408SS6LP3PT</t>
  </si>
  <si>
    <t>Electrical Panel Enclosure, Product Hoffman Stainless Steel Model A36H3008SSLP</t>
  </si>
  <si>
    <t>Electrical Light Fixture EVLEDW201, Product Group-782, Lighting</t>
  </si>
  <si>
    <t>Electrical Light Fixture EVLEDA2W201, Product Group-782, Lighting</t>
  </si>
  <si>
    <t>Electrical Light Fixture EVLEDA3W201, Product Group-782, Lighting</t>
  </si>
  <si>
    <t>Electrical Light Fixture EVLEDCX2W201, Product Group-782, Lighting</t>
  </si>
  <si>
    <t>Electrical Light Fixture EVLEDCX3W201, Product Group-782, Lighting</t>
  </si>
  <si>
    <t>Electrical Light Fixture EVLEDBX2W201, Product Group-782, Lighting</t>
  </si>
  <si>
    <t>Electrical Light Fixture EVLEDBX3W201, Product Group-782, Lighting</t>
  </si>
  <si>
    <t>Electrical Light Fixture EVLEDBH2W201, Product Group-782, Lighting</t>
  </si>
  <si>
    <t>Electrical Light Fixture EVLEDW701, Product Group-782, Lighting</t>
  </si>
  <si>
    <t>Electrical Light Fixture EVLEDA2W701, Product Group-782, Lighting</t>
  </si>
  <si>
    <t>Electrical Light Fixture EVLEDA3W701, Product Group-782, Lighting</t>
  </si>
  <si>
    <t>Electrical Light Fixture EVLEDCX2W701, Product Group-782, Lighting</t>
  </si>
  <si>
    <t>Electrical Light Fixture EVLEDCX3W701, Product Group-782, Lighting</t>
  </si>
  <si>
    <t>Electrical Light Fixture EVLEDBX2W701, Product Group-782, Lighting</t>
  </si>
  <si>
    <t>Electrical Light Fixture EVLEDBX3W701, Product Group-782, Lighting</t>
  </si>
  <si>
    <t>Electrical Light Fixture EVLEDBH2W701, Product Group-782, Lighting</t>
  </si>
  <si>
    <t>DEMOLITION of Wired Network Communications Module (Notifier NCM-W)</t>
  </si>
  <si>
    <t>DEMOLITION of Digital Alarm Communication Transmitter (Siemens FS-DACT)</t>
  </si>
  <si>
    <t>DEMOLITION of 15 Meter RS 232 Communication Cable (SMA)</t>
  </si>
  <si>
    <t>Wired Network Communications Module (Notifier NCM-W)</t>
  </si>
  <si>
    <t>Digital Alarm Communication Transmitter (Siemens FS-DACT)</t>
  </si>
  <si>
    <t>Emergency Voice Alarm Communication System, 3.5 Amp Power Supply And Battery Charger, 50W Amplifier, Battery Cables, Main Control Board With One Speaker Circuit, Paging Microphone And Enclosure With Deadfront And Space For Five Modules (Siemens VOICECOM)</t>
  </si>
  <si>
    <t>6-Fiber, Indoor Fan Out Kit For Fiber Optic Cable $163.77</t>
  </si>
  <si>
    <t>2-Fiber, Singlemode, Single Jacket Loose Tube, Outdoor Fiber Optic Cable, Buried In Trench, Armored Cable</t>
  </si>
  <si>
    <t>4-Fiber, Singlemode, Double Jacket Loose Tube, Outdoor Fiber Optic Cable, Buried In Trench, Armored Cable</t>
  </si>
  <si>
    <t>6-Fiber, Singlemode, Double Jacket Loose Tube, Outdoor Fiber Optic Cable, Buried In Trench, Armored Cable</t>
  </si>
  <si>
    <t>EARTHWORK</t>
  </si>
  <si>
    <t xml:space="preserve">Adjustment of New and Existing Structures </t>
  </si>
  <si>
    <t>CIPP LINING-CB CONNECTIONS {QTY &lt;=50 LF}</t>
  </si>
  <si>
    <t>CIPP LINING-PS, 22"X33" {QTY &lt;=200 LF}</t>
  </si>
  <si>
    <t>CIPP LINING-PS, 22"X33" {QTY &gt;500 LF}</t>
  </si>
  <si>
    <t>CIPP LINING-PS, 18" {QTY &lt;=200 LF}</t>
  </si>
  <si>
    <t>CIPP REPAIR-8" VC Pipe-Depth (4-8 FEET) (INCL TV Inspection, Steam Cure &amp; Liner)</t>
  </si>
  <si>
    <t>CIPP REPAIR-8" VC Pipe-Depth (10-15 FEET) (INCL TV Inspection, Steam Cure &amp; Liner)</t>
  </si>
  <si>
    <t>CIPP REPAIR-8" VC Pipe-Depth (17-23 FEET) (INCL TV Inspection, Steam Cure &amp; Liner)</t>
  </si>
  <si>
    <t>CIPP REPAIR-8" VC Pipe-Depth (25-30 FEET) (INCL TV Inspection, Steam Cure &amp; Liner)</t>
  </si>
  <si>
    <t>CIPP REPAIR-6" CON Pipe-Depth (4-8 FEET) (INCL TV Inspection, Steam Cure &amp; Liner)</t>
  </si>
  <si>
    <t>CIPP REPAIR-6" CON Pipe-Depth (10-14 FEET) (INCL TV Inspection, Steam Cure &amp; Liner)</t>
  </si>
  <si>
    <t>CIPP REPAIR-8" CON Pipe-Depth (4-8 FEET) (INCL TV Inspection, Steam Cure &amp; Liner)</t>
  </si>
  <si>
    <t>CIPP REPAIR-8" CON Pipe-Depth (10-15FEET) (INCL TV Inspection, Steam Cure &amp; Liner)</t>
  </si>
  <si>
    <t>CIPP REPAIR-8" CON Pipe-Depth (17-23FEET) (INCL TV Inspection, Steam Cure &amp; Liner)</t>
  </si>
  <si>
    <t>CIPP REPAIR-8" CON Pipe-Depth (25-30FEET) (INCL TV Inspection, Steam Cure &amp; Liner)</t>
  </si>
  <si>
    <t>CIPP REPAIR-8" CON Pipe-Depth (33-38FEET) (INCL TV Inspection, Steam Cure &amp; Liner)</t>
  </si>
  <si>
    <t>CIPP REPAIR-12" VC Pipe-Depth (10-16FEET) (INCL TV Inspection, Steam Cure &amp; Liner)</t>
  </si>
  <si>
    <t>CIPP REPAIR-12" VC Pipe-Depth (17-23FEET) (INCL TV Inspection, Steam Cure &amp; Liner)</t>
  </si>
  <si>
    <t>CIPP REPAIR-15" VC Pipe-Depth (6-10FEET) (INCL TV Inspection, Steam Cure &amp; Liner)</t>
  </si>
  <si>
    <t>CIPP REPAIR-15" VC Pipe-Depth (12-15FEET) (INCL TV Inspection, Steam Cure &amp; Liner)</t>
  </si>
  <si>
    <t>CIPP REPAIR-15" VC Pipe-Depth (19-24FEET) (INCL TV Inspection, Steam Cure &amp; Liner)</t>
  </si>
  <si>
    <t>SEWER GROUT &amp; TUCKPOINTING-30-36" DIA DEPTH - (12-18FEET) (INCL TV Inspection, Cleaning)</t>
  </si>
  <si>
    <t>SEWER GROUT &amp; TUCKPOINTING-42-48" DIA DEPTH - (15-24FEET) (INCL TV Inspection, Cleaning)</t>
  </si>
  <si>
    <t>PIPE Clamps, 30 IN D.I. 110 PSI, 30" Length</t>
  </si>
  <si>
    <t>PIPE Clamps, 36 IN D.I. 110 PSI, 36" Length</t>
  </si>
  <si>
    <t>PIPE Clamps, 42 IN D.I. 110 PSI, 42" Length</t>
  </si>
  <si>
    <t>PIPE Clamps, 48 IN D.I. 110 PSI, 48" Length</t>
  </si>
  <si>
    <t>Directional Drilling - (Rock) &lt;=20'</t>
  </si>
  <si>
    <t>Directional Drilling - (Loose Sand &amp; Gravel) &lt;=20'</t>
  </si>
  <si>
    <t>Directional Drilling - (Dense Sand &amp; Gravel) &lt;=20'</t>
  </si>
  <si>
    <t>Dual Disk Check Valve, Class 125# Series 8800A-4"</t>
  </si>
  <si>
    <t>Dual Disk Check Valve, Class 125# Series 8800A-8"</t>
  </si>
  <si>
    <t>Dual Disk Check Valve, Class 125# Series 8800A-10"</t>
  </si>
  <si>
    <t>Swing-Flex Check Valve, Class150# Series 500AMIB (Oil Cushion)-6"</t>
  </si>
  <si>
    <t>Swing-Flex Check Valve, Class150# Series 500AMIB (Oil Cushion)-8"</t>
  </si>
  <si>
    <t>Swing-Flex Check Valve, Class150# Series 500AMIB (Oil Cushion)-10"</t>
  </si>
  <si>
    <t>Swing-Flex Check Valve, Class150# Series 500AMIB (Oil Cushion)-12"</t>
  </si>
  <si>
    <t>Swing-Flex Check Valve, Class150# Series 500AMIB (Oil Cushion)-14"</t>
  </si>
  <si>
    <t>Swing-Flex Check Valve, Class150# Series 500AMIB (Oil Cushion)-16"</t>
  </si>
  <si>
    <t>Swing-Flex Check Valve, Class150# Series 500AMIB (Oil Cushion)-18"</t>
  </si>
  <si>
    <t>Swing Check Valve, Class 150# Series 7804AC With Air Cushion (epoxy Lined and Coated)-4"</t>
  </si>
  <si>
    <t>Swing Check Valve, Class 150# Series 7804LW With Air Cushion (epoxy Lined and Coated)-4"</t>
  </si>
  <si>
    <t>Swing Check Valve, Class 150# Series 7806LS/LW With Air Cushion (epoxy Lined and Coated)-6"</t>
  </si>
  <si>
    <t>Swing Check Valve, Class 150# Series 7808ACWith Air Cushion (epoxy Lined and Coated)-8"</t>
  </si>
  <si>
    <t>Swing Check Valve, Class 150# Series 7808LW With Air Cushion (epoxy Lined and Coated)-8"</t>
  </si>
  <si>
    <t>Swing Check Valve, Class 150# Series 7810LS/LW With Air Cushion (epoxy Lined and Coated)-10"</t>
  </si>
  <si>
    <t>Swing Check Valve, Class 150# Series 7812LS/LW With Air Cushion (epoxy Lined and Coated)-12"</t>
  </si>
  <si>
    <t>Swing Check Valve, Class 150# Series 7814AC With Air Cushion (epoxy Lined and Coated)-14"</t>
  </si>
  <si>
    <t>Swing Check Valve, Class 150# Series 7814LW With Air Cushion (epoxy Lined and Coated)-14"</t>
  </si>
  <si>
    <t>Swing Check Valve, Class 150# Series 7816AC With Air Cushion (epoxy Lined and Coated)-16"</t>
  </si>
  <si>
    <t>Swing Check Valve, Class 150# Series 7816LW With Air Cushion (epoxy Lined and Coated)-16"</t>
  </si>
  <si>
    <t>Swing Check Valve, Class 150# Series 7818ACWith Air Cushion (epoxy Lined and Coated)-18"</t>
  </si>
  <si>
    <t>Swing Check Valve, Class 150# Series 7818LW/LS With Air Cushion (epoxy Lined and Coated)-18"</t>
  </si>
  <si>
    <t>Slide Gate (Aluminum) - Flap-AF-41, F - Type 707708510-11-8"</t>
  </si>
  <si>
    <t>Slide Gate-SSF-41 FB 316 SS-Type 20006-8"</t>
  </si>
  <si>
    <t>Slide Gate-Flap - (Aluminum) AF-41, F - Type 707710510-11-10"</t>
  </si>
  <si>
    <t>Slide Gate-SSF-41 FB 316 SS-Type 20006-10"</t>
  </si>
  <si>
    <t>Slide Gate-Flap - (Aluminum) AF-41, F - Type 707712510-11-12"</t>
  </si>
  <si>
    <t>Slide Gate-SSF-41 FB 316 SS-Type 20006-12"</t>
  </si>
  <si>
    <t>Slide Gate-Flap - (Aluminum) AF-41, F - Type 707714510-11-14"</t>
  </si>
  <si>
    <t>Slide Gate-SSF-41 FB 316 SS-Type 20006-14"</t>
  </si>
  <si>
    <t>Slide Gate-Flap - (Aluminum) AF-41, F - Type 707715510-11-15"</t>
  </si>
  <si>
    <t>Slide Gate-SSF-41 FB 316 SS-Type 20006-15"</t>
  </si>
  <si>
    <t>Slide Gate-Flap - (Aluminum) AF-41, F - Type 707718510-11-18"</t>
  </si>
  <si>
    <t>Slide Gate-SSF-41 FB 316 SS-Type 20006-18"</t>
  </si>
  <si>
    <t>Slide Gate-Flap - (Aluminum) AF-41, F - Type 707724510-11-24"</t>
  </si>
  <si>
    <t>Slide Gate-SSF-41 FB 316 SS-Type 20006-24"</t>
  </si>
  <si>
    <t>Valve, Gate, DD, CL125, FLG, 4 IN, W/O Wheel, W/ 2 IN Oper Nut, Clow Brand by Clow</t>
  </si>
  <si>
    <t>Valve, Gate, DD, CL125, FLG X MJ, 4 IN, W/2 IN Square Operating Nut, Square T Bolts, Follower &amp; Gasket, W/O Wheel, or Resilient Seat Brand by Clow</t>
  </si>
  <si>
    <t>Valve, Gate, DD, MJ, 4 IN, W/2 IN Square Operating Nut, 2 Anti Rotation Bolts W/O Wheel, Follower or Gasket Brand by Clow</t>
  </si>
  <si>
    <t>Valve, Gate, DD, CL125, FLG, 6 IN, FLG X FLG, W/O Wheel Brand by Clow</t>
  </si>
  <si>
    <t>Valve, Gate, DD, CL125, FLG X MJ, 6 IN With 2 IN Square Rotation Bolts, W/O Wheel, Follower and Gaskets</t>
  </si>
  <si>
    <t>Valve, Gate, DD, MJ, 6 IN With 2 IN Square Operating Nut, 2 anti-Rotation Bolts, W/O Follower and Gasket Brand By Clow</t>
  </si>
  <si>
    <t>Valve, Gate, Tapping, DD, MJ, 6 IN With 2 IN Square Operating Nut, 2 Anti-Rotation Bolts, W/O Wheel, Follower, and Gasket, Flange Side Brand By Clow</t>
  </si>
  <si>
    <t>Valve, Gate, DD, CL125, FLG, 8 IN, W/2 IN Operating Nut Brand by Clow or Mueller</t>
  </si>
  <si>
    <t>Valve, Gate, DD, CL125, FLG X MJ 8 IN, W/2 IN Operational Nut, 2 Anti-Rotation Bolts, Without Wheel, Follower and Gasket Brand by Clow</t>
  </si>
  <si>
    <t>Valve, Gate, DD, MJ 8 IN, 2 Anti-Rotation Bolts, Without Follower and Gasket Brand by Clow</t>
  </si>
  <si>
    <t>Valve, Gate, Tapping DD, MJ 8 IN, With 2 IN Square operating Unit, 2 Anti-Rotation Bolts, Without Wheel, Follower and Gasket Flange Side Brand by Clow</t>
  </si>
  <si>
    <t>Valve, Gate, DD, CL125, FLG, 10 IN Brand by Clow</t>
  </si>
  <si>
    <t>Valve, VEM Gate, DD, CL125, FLG X MJ, 10 IN With 2 IN Square Operating Nut Brand by Clow</t>
  </si>
  <si>
    <t>Valve, Gate, DD, CL125, FLG, 12IN, With 2 IN Square Operating Nut Brand by Clow</t>
  </si>
  <si>
    <t>Valve, Gate, DD, CL125, FLG X MJ 12 IN, 2 Anti-Rotation Bolts, Without Wheel Follower and Bolts Brand by Clow</t>
  </si>
  <si>
    <t>Valve, Gate, DD, MJ 12 IN, W/2 IN Square Operating Nut, 2 Anti-Rotation Bolts, Without Follower and Gasket Brand by Clow</t>
  </si>
  <si>
    <t>Valve, Gate, DD, CL250, FLG 12 IN Brand by Clow or Mueller</t>
  </si>
  <si>
    <t>Valve, Gate, Tapping DD, MJ 12 IN Without Wheel Brand by Clow</t>
  </si>
  <si>
    <t>Flange, Blind, DI, CL125, 12-Hole, 15 IN Over Diam, for 8 IN Pipe By Star Pipe Brand</t>
  </si>
  <si>
    <t>Flange, Blind, DI, CL125, 12-Hole, 19 IN Over Diam, for 10 IN Pipe By Star Pipe Brand</t>
  </si>
  <si>
    <t>Flange, Blind, DI, CL125, 16-Hole, 23 IN Over Diam, for 12 IN Pipe By Star Pipe Brand</t>
  </si>
  <si>
    <t>Flange, DI, CL125, 90 Deg Bend for 4" Pipe</t>
  </si>
  <si>
    <t>Flange, DI, CL125, 90 Deg Bend for 4" Pipe With Base</t>
  </si>
  <si>
    <t xml:space="preserve">Flange, DI, CL125, 45 Deg Bend for 4" Pipe </t>
  </si>
  <si>
    <t xml:space="preserve">Flange, DI, CL125, TEE for 4" Pipe </t>
  </si>
  <si>
    <t xml:space="preserve">Flange, DI, CL125, TEE 4"x4"x3" Pipe-4" </t>
  </si>
  <si>
    <t>Flange, DI, CL 125, TEE With Base Pipe-4"</t>
  </si>
  <si>
    <t xml:space="preserve">Flange, Blind, DI, CL125, for 4 IN Pipe </t>
  </si>
  <si>
    <t>Flange, DI, CL125, 90 Deg Bend for 6" Pipe</t>
  </si>
  <si>
    <t>Flange, DI, CL125, 90 Deg Bend for 6" Pipe With Base</t>
  </si>
  <si>
    <t xml:space="preserve">Flange, DI, CL125, 45 Deg Bend for 6" Pipe </t>
  </si>
  <si>
    <t xml:space="preserve">Flange, DI, CL125, TEE for 6" Pipe </t>
  </si>
  <si>
    <t xml:space="preserve">Flange, DI, CL125, TEE 6"x6"x4" Pipe-6" </t>
  </si>
  <si>
    <t>Flange, DI, CL 125, TEE With Base Pipe-6"</t>
  </si>
  <si>
    <t xml:space="preserve">Flange, Blind, DI, CL125, for 6 IN Pipe </t>
  </si>
  <si>
    <t>Flange, DI, CL125, 90 Deg Bend for 8" Pipe</t>
  </si>
  <si>
    <t>Flange, DI, CL125, 90 Deg Bend for 8" Pipe With Base</t>
  </si>
  <si>
    <t xml:space="preserve">Flange, DI, CL125, 45 Deg Bend for 8" Pipe </t>
  </si>
  <si>
    <t xml:space="preserve">Flange, DI, CL125, TEE for 8" Pipe </t>
  </si>
  <si>
    <t xml:space="preserve">Flange, DI, CL125, TEE 8"x8"x6" Pipe-8" </t>
  </si>
  <si>
    <t>Flange, DI, CL 125, TEE With Base Pipe-8"</t>
  </si>
  <si>
    <t xml:space="preserve">Flange, Blind, DI, CL125, for 8 IN Pipe </t>
  </si>
  <si>
    <t>Flange, DI, CL125, 90 Deg Bend for 10" Pipe</t>
  </si>
  <si>
    <t>Flange, DI, CL125, 90 Deg Bend for 10" Pipe With Base</t>
  </si>
  <si>
    <t xml:space="preserve">Flange, DI, CL125, 45 Deg Bend for 10" Pipe </t>
  </si>
  <si>
    <t xml:space="preserve">Flange, DI, CL125, TEE for 10" Pipe </t>
  </si>
  <si>
    <t xml:space="preserve">Flange, DI, CL125, TEE 10"x10"x8" Pipe-10" </t>
  </si>
  <si>
    <t>Flange, DI, CL 125, TEE With Base Pipe-10"</t>
  </si>
  <si>
    <t xml:space="preserve">Flange, Blind, DI, CL125, for 10 IN Pipe </t>
  </si>
  <si>
    <t>Flange, DI, CL125, 90 Deg Bend for 12" Pipe</t>
  </si>
  <si>
    <t>Flange, DI, CL125, 90 Deg Bend for 12" Pipe With Base</t>
  </si>
  <si>
    <t xml:space="preserve">Flange, DI, CL125, 45 Deg Bend for 12" Pipe </t>
  </si>
  <si>
    <t xml:space="preserve">Flange, DI, CL125, TEE for 12" Pipe </t>
  </si>
  <si>
    <t xml:space="preserve">Flange, DI, CL125, TEE 12"x12"x8" Pipe-12" </t>
  </si>
  <si>
    <t>Flange, DI, CL 125, TEE With Base Pipe-12"</t>
  </si>
  <si>
    <t xml:space="preserve">Wall Casting DI, 4x90 MJ X FL, C110 for 4 IN Pipe </t>
  </si>
  <si>
    <t>Wall Casting DI, MJ X MJ, C153 Short Sleeves for 4 IN Pipe</t>
  </si>
  <si>
    <t>Wall Casting DI, MJ X MJ, C153 Short Sleeves for 6 IN Pipe</t>
  </si>
  <si>
    <t>Wall Casting DI, MJ X MJ, C153 Short Sleeves for 8 IN Pipe</t>
  </si>
  <si>
    <t>Wall Casting DI, MJ X MJ, C153 Short Sleeves for 10 IN Pipe</t>
  </si>
  <si>
    <t>Wall Casting DI, MJ X MJ, C153 Short Sleeves for 12 IN Pipe</t>
  </si>
  <si>
    <t>Wall Casting DI, MJ X MJ, C153 Long Sleeves for 4 IN Pipe</t>
  </si>
  <si>
    <t>Wall Casting DI, MJ X MJ, C153 Long Sleeves for 6 IN Pipe</t>
  </si>
  <si>
    <t>Wall Casting DI, MJ X MJ, C153 Long Sleeves for 8 IN Pipe</t>
  </si>
  <si>
    <t>Wall Casting DI, MJ X MJ, C153 Long Sleeves for 10 IN Pipe</t>
  </si>
  <si>
    <t>Wall Casting DI, MJ X MJ, C153 Long Sleeves for 12 IN Pipe</t>
  </si>
  <si>
    <t>Wall Casting DI, MJ X FL, C153 Adapter for 4 IN Pipe</t>
  </si>
  <si>
    <t>Wall Casting DI, MJ X FL, C153 Adapter for 6 IN Pipe</t>
  </si>
  <si>
    <t>Wall Casting DI, MJ X MJ, C153 Adapter for 8 IN Pipe</t>
  </si>
  <si>
    <t>Wall Casting, MJ X MJ, C153 Adapter for 12 IN Pipe</t>
  </si>
  <si>
    <t>Wall Casting DI, FL X PE, C153 Adapter for 4 IN Pipe</t>
  </si>
  <si>
    <t>Wall Casting DI, FL X PE, C153 Adapter for 6 IN Pipe</t>
  </si>
  <si>
    <t>Wall Casting DI, FL X PE, C153 Adapter for 8 IN Pipe</t>
  </si>
  <si>
    <t>Wall Casting DI, MJ X MJ, C110 Short Sleeves for 4 IN Pipe</t>
  </si>
  <si>
    <t>Wall Casting DI, MJ X MJ, C110 Short Sleeves for 8 IN Pipe</t>
  </si>
  <si>
    <t>Wall Casting DI, MJ X MJ, C110 Short Sleeves for 10 IN Pipe</t>
  </si>
  <si>
    <t>Wall Casting DI, MJ X MJ, C110 Short Sleeves for 12 IN Pipe</t>
  </si>
  <si>
    <t>Wall Casting DI, MJ X MJ, C110 Long Sleeves for 4 IN Pipe</t>
  </si>
  <si>
    <t>Wall Casting DI, MJ X MJ, C110 Long Sleeves for 6 IN Pipe</t>
  </si>
  <si>
    <t>Wall Casting DI, MJ X MJ, C110 Long Sleeves for 8 IN Pipe</t>
  </si>
  <si>
    <t>Wall Casting DI, MJ X MJ, C110 Long Sleeves for 10 IN Pipe</t>
  </si>
  <si>
    <t>Wall Casting DI, MJ X MJ, C110 Long Sleeves for 12 IN Pipe</t>
  </si>
  <si>
    <t>Wall Casting DI, MJ X MJ, C110 Bends 4X90 for 4 IN Pipe</t>
  </si>
  <si>
    <t>Wall Casting DI, MJ X MJ, C110 Bends 6X90 for 6 IN Pipe</t>
  </si>
  <si>
    <t>Wall Casting DI, MJ X MJ, C110 Bends 8X90 for 8 IN Pipe</t>
  </si>
  <si>
    <t>Wall Casting DI, MJ X MJ, C110 Bends 10X90 for 10 IN Pipe</t>
  </si>
  <si>
    <t>Wall Casting DI, MJ X MJ, C110 Bends 12X90 for 12 IN Pipe</t>
  </si>
  <si>
    <t>Wall Casting DI, MJ X MJ, C110 Bends 4X45 for 4 IN Pipe</t>
  </si>
  <si>
    <t>Wall Casting DI, MJ X MJ, C110 Bends 6X45 for 6 IN Pipe</t>
  </si>
  <si>
    <t>Wall Casting DI, MJ X MJ, C110 Bends 8X45 for 8 IN Pipe</t>
  </si>
  <si>
    <t>Wall Casting DI, MJ X MJ, C110 Bends 10X45 for 10 IN Pipe</t>
  </si>
  <si>
    <t>Wall Casting DI, MJ X MJ, C110 Bends 12X45 for 12 IN Pipe</t>
  </si>
  <si>
    <t>Wall Casting DI, MJ X MJ, C110 Bends 4X22 for 4 IN Pipe</t>
  </si>
  <si>
    <t>Wall Casting DI, MJ X MJ, C110 Bends 6X22 for 6 IN Pipe</t>
  </si>
  <si>
    <t>Wall Casting DI, MJ X MJ, C110 Bends 8X22 for 8 IN Pipe</t>
  </si>
  <si>
    <t>Wall Casting DI, MJ X MJ, C110 Bends 10X22 for 10 IN Pipe</t>
  </si>
  <si>
    <t>Wall Casting DI, MJ X MJ, C110 Bends 12X22 for 12 IN Pipe</t>
  </si>
  <si>
    <t>Wall Casting DI, MJ X MJ, C110 Bends 4X11 for 4 IN Pipe</t>
  </si>
  <si>
    <t>Wall Casting DI, MJ X MJ, C110 Bends 6X11 for 6 IN Pipe</t>
  </si>
  <si>
    <t>Wall Casting DI, MJ X MJ, C110 Bends 8X11 for 8 IN Pipe</t>
  </si>
  <si>
    <t>Wall Casting DI, MJ X MJ, C110 Bends 10X11 for 10 IN Pipe</t>
  </si>
  <si>
    <t>Wall Casting DI, MJ X MJ, C110 Bends 12X11 for 12 IN Pipe</t>
  </si>
  <si>
    <t>Wall Casting DI, MJ X PE, C153 Bends 4X90 for 4 IN Pipe</t>
  </si>
  <si>
    <t>Wall Casting DI, MJ X PE, C153 Bends 6X90 for 6 IN Pipe</t>
  </si>
  <si>
    <t>Wall Casting DI, MJ X PE, C153 Bends 8X90 for 8 IN Pipe</t>
  </si>
  <si>
    <t>Wall Casting DI, MJ X PE, C153 Bends 12X90 for 12 IN Pipe</t>
  </si>
  <si>
    <t>Wall Casting DI, MJ X PE, C153 Bends 4X45 for 4 IN Pipe</t>
  </si>
  <si>
    <t>Wall Casting DI, MJ X PE, C153 Bends 6X45 for 6 IN Pipe</t>
  </si>
  <si>
    <t>Wall Casting DI, MJ X PE, C153 Bends 8X45 for 8 IN Pipe</t>
  </si>
  <si>
    <t>Wall Casting DI, MJ X PE, C153 Bends 10X45 for 10 IN Pipe</t>
  </si>
  <si>
    <t>Wall Casting DI, MJ X PE, C153 Bends 12X45 for 12 IN Pipe</t>
  </si>
  <si>
    <t>Wall Casting DI, MJ X PE, C153 Bends 4X22 for 4 IN Pipe</t>
  </si>
  <si>
    <t>Wall Casting DI, MJ X PE, C153 Bends 6X22 for 6 IN Pipe</t>
  </si>
  <si>
    <t>Wall Casting DI, MJ X PE, C153 Bends 8X22 for 8 IN Pipe</t>
  </si>
  <si>
    <t>Wall Casting DI, MJ X PE, C153 Bends 10X22 for 10 IN Pipe</t>
  </si>
  <si>
    <t>Wall Casting DI, MJ X PE, C153 Bends 12X22 for 12 IN Pipe</t>
  </si>
  <si>
    <t>Wall Casting DI, MJ X PE, C153 Bends 4X11 for 4 IN Pipe</t>
  </si>
  <si>
    <t>Wall Casting DI, MJ X PE, C153 Bends 12X11 for 12 IN Pipe</t>
  </si>
  <si>
    <t>Wall Casting DI, MJ X FL, C153 Bends 4X90 for 4 IN Pipe</t>
  </si>
  <si>
    <t>Wall Casting DI, MJ X FL, C153 Bends 6X90 for 6 IN Pipe</t>
  </si>
  <si>
    <t>Wall Casting DI, MJ X FL, C153 Bends 8X90 for 8 IN Pipe</t>
  </si>
  <si>
    <t>Wall Casting DI, MJ X FL, C153 Bends 10X90 for 10 IN Pipe</t>
  </si>
  <si>
    <t>Wall Casting DI, MJ X FL, C153 Bends 12X90 for 12 IN Pipe</t>
  </si>
  <si>
    <t>Wall Casting DI, MJ X FL, C153 Bends 4X45 for 4 IN Pipe</t>
  </si>
  <si>
    <t>Wall Casting DI, MJ X FL, C153 Bends 6X45 for 6 IN Pipe</t>
  </si>
  <si>
    <t>Wall Casting DI, MJ X FL, C153 Bends 8X45 for 8 IN Pipe</t>
  </si>
  <si>
    <t>Wall Casting DI, MJ X FL, C153 Bends 10X45 for 10 IN Pipe</t>
  </si>
  <si>
    <t>Wall Casting DI, MJ X FL, C153 Bends 12X45 for 12 IN Pipe</t>
  </si>
  <si>
    <t>Wall Casting DI, MJ X FL, C153 Bends 4X22 for 4 IN Pipe</t>
  </si>
  <si>
    <t>Wall Casting DI, MJ X FL, C153 Bends 6X22 for 6 IN Pipe</t>
  </si>
  <si>
    <t>Wall Casting DI, MJ X FL, C153 Bends 8X22 for 8 IN Pipe</t>
  </si>
  <si>
    <t>Wall Casting DI, MJ X FL, C153 Bends 10X22 for 10 IN Pipe</t>
  </si>
  <si>
    <t>Wall Casting DI, MJ X FL, C153 Bends 12X22 for 12 IN Pipe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</si>
</sst>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_(* #,##0_);_(* \(#,##0\);_(* &quot;-&quot;??_);_(@_)"/>
    <numFmt numFmtId="168" formatCode="&quot;Remaining in&quot;\ General"/>
    <numFmt numFmtId="169" formatCode="0.0%"/>
    <numFmt numFmtId="170" formatCode="&quot;$&quot;#,##0.000000"/>
    <numFmt numFmtId="171" formatCode="0.0000%"/>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10"/>
      <color rgb="FFC00000"/>
      <name val="Arial"/>
      <family val="2"/>
    </font>
    <font>
      <sz val="10"/>
      <name val="Arial"/>
      <family val="2"/>
    </font>
    <font>
      <sz val="8"/>
      <color indexed="81"/>
      <name val="Tahoma"/>
      <family val="2"/>
    </font>
    <font>
      <b/>
      <sz val="8"/>
      <color indexed="81"/>
      <name val="Tahoma"/>
      <family val="2"/>
    </font>
    <font>
      <b/>
      <sz val="14"/>
      <name val="Arial"/>
      <family val="2"/>
    </font>
    <font>
      <u/>
      <sz val="10"/>
      <color theme="10"/>
      <name val="Arial"/>
      <family val="2"/>
    </font>
    <font>
      <u/>
      <sz val="10"/>
      <name val="Arial"/>
      <family val="2"/>
    </font>
    <font>
      <b/>
      <u/>
      <sz val="8"/>
      <color indexed="81"/>
      <name val="Tahoma"/>
      <family val="2"/>
    </font>
    <font>
      <sz val="10"/>
      <color rgb="FFFF0000"/>
      <name val="Arial"/>
      <family val="2"/>
    </font>
    <font>
      <sz val="14"/>
      <color rgb="FFFF0000"/>
      <name val="Arial"/>
      <family val="2"/>
    </font>
    <font>
      <b/>
      <u/>
      <sz val="16"/>
      <name val="Arial"/>
      <family val="2"/>
    </font>
    <font>
      <b/>
      <sz val="16"/>
      <name val="Arial"/>
      <family val="2"/>
    </font>
    <font>
      <sz val="10"/>
      <name val="Arial"/>
      <family val="2"/>
    </font>
    <font>
      <sz val="10"/>
      <color theme="10"/>
      <name val="Arial"/>
      <family val="2"/>
    </font>
    <font>
      <sz val="9"/>
      <color indexed="81"/>
      <name val="Tahoma"/>
      <family val="2"/>
    </font>
    <font>
      <b/>
      <sz val="9"/>
      <color indexed="81"/>
      <name val="Tahoma"/>
      <family val="2"/>
    </font>
    <font>
      <sz val="8"/>
      <color rgb="FFFF0000"/>
      <name val="Arial"/>
      <family val="2"/>
    </font>
    <font>
      <sz val="11"/>
      <color rgb="FFFF0000"/>
      <name val="Arial"/>
      <family val="2"/>
    </font>
    <font>
      <sz val="8"/>
      <name val="Arial"/>
      <family val="2"/>
    </font>
    <font>
      <i/>
      <sz val="10"/>
      <name val="Arial"/>
      <family val="2"/>
    </font>
    <font>
      <b/>
      <i/>
      <u val="singleAccounting"/>
      <sz val="10"/>
      <name val="Arial"/>
      <family val="2"/>
    </font>
    <font>
      <sz val="11"/>
      <name val="Arial"/>
      <family val="2"/>
    </font>
    <font>
      <sz val="9"/>
      <color rgb="FFFF0000"/>
      <name val="Arial"/>
      <family val="2"/>
    </font>
    <font>
      <b/>
      <i/>
      <sz val="10"/>
      <name val="Arial"/>
      <family val="2"/>
    </font>
    <font>
      <b/>
      <sz val="9"/>
      <name val="Arial"/>
      <family val="2"/>
    </font>
    <font>
      <sz val="10"/>
      <name val="Arial"/>
      <family val="2"/>
    </font>
    <font>
      <sz val="11"/>
      <color rgb="FF9C0006"/>
      <name val="Calibri"/>
      <family val="2"/>
      <scheme val="minor"/>
    </font>
    <font>
      <b/>
      <sz val="10"/>
      <color rgb="FF0070C0"/>
      <name val="Arial"/>
      <family val="2"/>
    </font>
    <font>
      <sz val="8"/>
      <color rgb="FF0070C0"/>
      <name val="Arial"/>
      <family val="2"/>
    </font>
    <font>
      <sz val="11"/>
      <color rgb="FF0070C0"/>
      <name val="Arial"/>
      <family val="2"/>
    </font>
    <font>
      <b/>
      <sz val="16"/>
      <color rgb="FF000000"/>
      <name val="Arial"/>
      <family val="2"/>
    </font>
    <font>
      <sz val="11"/>
      <color rgb="FF000000"/>
      <name val="Arial"/>
      <family val="2"/>
    </font>
    <font>
      <b/>
      <sz val="10"/>
      <color rgb="FF000000"/>
      <name val="Arial"/>
      <family val="2"/>
    </font>
    <font>
      <b/>
      <sz val="10"/>
      <color rgb="FFBF8F00"/>
      <name val="Arial"/>
      <family val="2"/>
    </font>
    <font>
      <sz val="11"/>
      <color rgb="FF000000"/>
      <name val="Calibri"/>
      <family val="2"/>
    </font>
    <font>
      <b/>
      <sz val="8"/>
      <color rgb="FF000000"/>
      <name val="Arial"/>
      <family val="2"/>
    </font>
    <font>
      <sz val="8"/>
      <color rgb="FF000000"/>
      <name val="Arial"/>
      <family val="2"/>
    </font>
    <font>
      <b/>
      <i/>
      <sz val="9"/>
      <color rgb="FF000000"/>
      <name val="Arial"/>
      <family val="2"/>
    </font>
    <font>
      <sz val="9"/>
      <color rgb="FF000000"/>
      <name val="Arial"/>
      <family val="2"/>
    </font>
    <font>
      <i/>
      <sz val="9"/>
      <color rgb="FF000000"/>
      <name val="Arial"/>
      <family val="2"/>
    </font>
    <font>
      <sz val="10"/>
      <color rgb="FF000000"/>
      <name val="Arial"/>
      <family val="2"/>
    </font>
    <font>
      <b/>
      <i/>
      <sz val="8"/>
      <color rgb="FF000000"/>
      <name val="Arial"/>
      <family val="2"/>
    </font>
    <font>
      <sz val="11"/>
      <color rgb="FFFF0000"/>
      <name val="Calibri"/>
      <family val="2"/>
      <scheme val="minor"/>
    </font>
    <font>
      <sz val="11"/>
      <color theme="1"/>
      <name val="Arial"/>
      <family val="2"/>
    </font>
    <font>
      <sz val="8"/>
      <color theme="1"/>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C7CE"/>
      </patternFill>
    </fill>
    <fill>
      <patternFill patternType="solid">
        <fgColor rgb="FFA9D08E"/>
        <bgColor rgb="FF000000"/>
      </patternFill>
    </fill>
    <fill>
      <patternFill patternType="solid">
        <fgColor rgb="FFBFBFBF"/>
        <bgColor rgb="FF000000"/>
      </patternFill>
    </fill>
    <fill>
      <patternFill patternType="solid">
        <fgColor rgb="FFF4B084"/>
        <bgColor rgb="FF000000"/>
      </patternFill>
    </fill>
    <fill>
      <patternFill patternType="solid">
        <fgColor rgb="FFC9C9C9"/>
        <bgColor rgb="FF000000"/>
      </patternFill>
    </fill>
    <fill>
      <patternFill patternType="solid">
        <fgColor rgb="FFC6E0B4"/>
        <bgColor rgb="FF000000"/>
      </patternFill>
    </fill>
    <fill>
      <patternFill patternType="solid">
        <fgColor rgb="FF66FFFF"/>
        <bgColor rgb="FF000000"/>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auto="1"/>
      </right>
      <top/>
      <bottom/>
      <diagonal/>
    </border>
    <border>
      <left/>
      <right style="thin">
        <color indexed="64"/>
      </right>
      <top style="medium">
        <color auto="1"/>
      </top>
      <bottom style="medium">
        <color auto="1"/>
      </bottom>
      <diagonal/>
    </border>
    <border>
      <left/>
      <right style="thin">
        <color auto="1"/>
      </right>
      <top/>
      <bottom style="medium">
        <color indexed="64"/>
      </bottom>
      <diagonal/>
    </border>
    <border>
      <left style="thin">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s>
  <cellStyleXfs count="35">
    <xf numFmtId="0" fontId="0" fillId="0" borderId="0"/>
    <xf numFmtId="0" fontId="11" fillId="0" borderId="0" applyNumberFormat="0" applyFill="0" applyBorder="0" applyAlignment="0" applyProtection="0">
      <alignment vertical="top"/>
      <protection locked="0"/>
    </xf>
    <xf numFmtId="0" fontId="10" fillId="0" borderId="0"/>
    <xf numFmtId="0" fontId="17" fillId="0" borderId="0" applyNumberFormat="0" applyFill="0" applyBorder="0" applyAlignment="0" applyProtection="0">
      <alignment vertical="top"/>
      <protection locked="0"/>
    </xf>
    <xf numFmtId="0" fontId="8" fillId="0" borderId="0"/>
    <xf numFmtId="9" fontId="8" fillId="0" borderId="0" applyFont="0" applyFill="0" applyBorder="0" applyAlignment="0" applyProtection="0"/>
    <xf numFmtId="0" fontId="13" fillId="0" borderId="0"/>
    <xf numFmtId="44" fontId="8"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24" fillId="0" borderId="0" applyFont="0" applyFill="0" applyBorder="0" applyAlignment="0" applyProtection="0"/>
    <xf numFmtId="0" fontId="8" fillId="0" borderId="0"/>
    <xf numFmtId="0" fontId="8"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9" fontId="37" fillId="0" borderId="0" applyFont="0" applyFill="0" applyBorder="0" applyAlignment="0" applyProtection="0"/>
    <xf numFmtId="0" fontId="38" fillId="12"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444">
    <xf numFmtId="0" fontId="0" fillId="0" borderId="0" xfId="0"/>
    <xf numFmtId="0" fontId="8" fillId="0" borderId="0" xfId="0" applyFont="1"/>
    <xf numFmtId="0" fontId="17" fillId="0" borderId="0" xfId="3" applyFill="1" applyBorder="1" applyAlignment="1" applyProtection="1"/>
    <xf numFmtId="0" fontId="17" fillId="0" borderId="0" xfId="3" applyBorder="1" applyAlignment="1" applyProtection="1"/>
    <xf numFmtId="0" fontId="17" fillId="0" borderId="0" xfId="3" applyAlignment="1" applyProtection="1"/>
    <xf numFmtId="0" fontId="16" fillId="0" borderId="0" xfId="6" applyFont="1" applyFill="1"/>
    <xf numFmtId="0" fontId="8" fillId="0" borderId="0" xfId="6" applyFont="1" applyFill="1" applyAlignment="1">
      <alignment horizontal="left"/>
    </xf>
    <xf numFmtId="165" fontId="8" fillId="0" borderId="0" xfId="6" applyNumberFormat="1" applyFont="1" applyFill="1" applyAlignment="1">
      <alignment horizontal="right"/>
    </xf>
    <xf numFmtId="0" fontId="8" fillId="0" borderId="0" xfId="6" applyFont="1" applyBorder="1"/>
    <xf numFmtId="0" fontId="8" fillId="0" borderId="0" xfId="6" applyFont="1"/>
    <xf numFmtId="0" fontId="8" fillId="0" borderId="0" xfId="6" applyFont="1" applyFill="1" applyAlignment="1">
      <alignment horizontal="center"/>
    </xf>
    <xf numFmtId="164" fontId="8" fillId="0" borderId="0" xfId="7" applyNumberFormat="1" applyFont="1"/>
    <xf numFmtId="0" fontId="9" fillId="0" borderId="0" xfId="6" applyFont="1" applyAlignment="1"/>
    <xf numFmtId="0" fontId="8" fillId="0" borderId="0" xfId="6" applyFont="1" applyAlignment="1"/>
    <xf numFmtId="0" fontId="8" fillId="0" borderId="0" xfId="6" applyFont="1" applyAlignment="1">
      <alignment horizontal="right"/>
    </xf>
    <xf numFmtId="0" fontId="9" fillId="0" borderId="0" xfId="6" applyFont="1" applyFill="1" applyAlignment="1">
      <alignment horizontal="center"/>
    </xf>
    <xf numFmtId="0" fontId="8" fillId="0" borderId="0" xfId="6" applyFont="1" applyBorder="1" applyAlignment="1">
      <alignment horizontal="center"/>
    </xf>
    <xf numFmtId="0" fontId="8" fillId="0" borderId="0" xfId="6" applyFont="1" applyBorder="1" applyAlignment="1">
      <alignment horizontal="left"/>
    </xf>
    <xf numFmtId="0" fontId="8" fillId="0" borderId="0" xfId="6" applyFont="1" applyFill="1" applyBorder="1" applyAlignment="1">
      <alignment horizontal="center"/>
    </xf>
    <xf numFmtId="165" fontId="9" fillId="0" borderId="0" xfId="6" applyNumberFormat="1" applyFont="1" applyBorder="1"/>
    <xf numFmtId="164" fontId="8" fillId="0" borderId="0" xfId="7" applyNumberFormat="1" applyFont="1" applyBorder="1"/>
    <xf numFmtId="1" fontId="9" fillId="2" borderId="2" xfId="6" applyNumberFormat="1" applyFont="1" applyFill="1" applyBorder="1" applyAlignment="1">
      <alignment horizontal="center"/>
    </xf>
    <xf numFmtId="2" fontId="9" fillId="2" borderId="2" xfId="6" applyNumberFormat="1" applyFont="1" applyFill="1" applyBorder="1" applyAlignment="1">
      <alignment horizontal="center"/>
    </xf>
    <xf numFmtId="165" fontId="9" fillId="2" borderId="2" xfId="7" applyNumberFormat="1" applyFont="1" applyFill="1" applyBorder="1" applyAlignment="1">
      <alignment horizontal="center"/>
    </xf>
    <xf numFmtId="0" fontId="8" fillId="0" borderId="0" xfId="6" applyFont="1" applyFill="1" applyBorder="1"/>
    <xf numFmtId="0" fontId="18" fillId="0" borderId="0" xfId="6" applyFont="1" applyBorder="1"/>
    <xf numFmtId="0" fontId="8" fillId="7" borderId="0" xfId="6" applyFont="1" applyFill="1" applyBorder="1"/>
    <xf numFmtId="0" fontId="9" fillId="7" borderId="0" xfId="6" applyFont="1" applyFill="1" applyBorder="1" applyAlignment="1">
      <alignment horizontal="right"/>
    </xf>
    <xf numFmtId="44" fontId="9" fillId="7" borderId="0" xfId="7" applyFont="1" applyFill="1" applyBorder="1"/>
    <xf numFmtId="0" fontId="12" fillId="0" borderId="0" xfId="6" applyFont="1" applyFill="1" applyBorder="1"/>
    <xf numFmtId="0" fontId="8" fillId="0" borderId="0" xfId="6" applyFont="1" applyFill="1" applyBorder="1" applyAlignment="1">
      <alignment horizontal="right"/>
    </xf>
    <xf numFmtId="44" fontId="9" fillId="7" borderId="0" xfId="7" applyFont="1" applyFill="1" applyBorder="1" applyAlignment="1">
      <alignment horizontal="right"/>
    </xf>
    <xf numFmtId="0" fontId="20" fillId="0" borderId="0" xfId="6" applyFont="1" applyBorder="1"/>
    <xf numFmtId="0" fontId="8" fillId="6" borderId="0" xfId="6" applyFont="1" applyFill="1" applyBorder="1" applyAlignment="1">
      <alignment horizontal="center"/>
    </xf>
    <xf numFmtId="0" fontId="8" fillId="5" borderId="0" xfId="6" applyFont="1" applyFill="1" applyBorder="1" applyAlignment="1">
      <alignment horizontal="center"/>
    </xf>
    <xf numFmtId="0" fontId="8" fillId="4" borderId="0" xfId="6" applyFont="1" applyFill="1" applyBorder="1" applyAlignment="1">
      <alignment horizontal="center"/>
    </xf>
    <xf numFmtId="164" fontId="9" fillId="6" borderId="0" xfId="7" applyNumberFormat="1" applyFont="1" applyFill="1" applyBorder="1" applyAlignment="1">
      <alignment horizontal="center"/>
    </xf>
    <xf numFmtId="164" fontId="9" fillId="5" borderId="0" xfId="7" applyNumberFormat="1" applyFont="1" applyFill="1" applyBorder="1" applyAlignment="1">
      <alignment horizontal="center"/>
    </xf>
    <xf numFmtId="164" fontId="9" fillId="4" borderId="0" xfId="7" applyNumberFormat="1" applyFont="1" applyFill="1" applyBorder="1" applyAlignment="1">
      <alignment horizontal="center"/>
    </xf>
    <xf numFmtId="0" fontId="21" fillId="2" borderId="0" xfId="6" applyFont="1" applyFill="1" applyBorder="1" applyAlignment="1">
      <alignment horizontal="left"/>
    </xf>
    <xf numFmtId="0" fontId="8" fillId="2" borderId="0" xfId="6" applyFont="1" applyFill="1" applyBorder="1" applyAlignment="1">
      <alignment horizontal="center"/>
    </xf>
    <xf numFmtId="0" fontId="8" fillId="2" borderId="0" xfId="6" applyFont="1" applyFill="1" applyBorder="1"/>
    <xf numFmtId="0" fontId="8" fillId="2" borderId="0" xfId="6" applyFont="1" applyFill="1" applyBorder="1" applyAlignment="1">
      <alignment horizontal="left"/>
    </xf>
    <xf numFmtId="0" fontId="9" fillId="0" borderId="0" xfId="6" applyFont="1" applyBorder="1" applyAlignment="1">
      <alignment horizontal="left"/>
    </xf>
    <xf numFmtId="0" fontId="13" fillId="0" borderId="0" xfId="6"/>
    <xf numFmtId="164" fontId="8" fillId="0" borderId="1" xfId="7" applyNumberFormat="1" applyFont="1" applyBorder="1"/>
    <xf numFmtId="164" fontId="9" fillId="0" borderId="0" xfId="6" applyNumberFormat="1" applyFont="1" applyBorder="1"/>
    <xf numFmtId="164" fontId="8" fillId="0" borderId="1" xfId="6" applyNumberFormat="1" applyFont="1" applyBorder="1"/>
    <xf numFmtId="0" fontId="8" fillId="0" borderId="2" xfId="6" applyFont="1" applyBorder="1" applyAlignment="1" applyProtection="1">
      <alignment horizontal="center"/>
      <protection locked="0"/>
    </xf>
    <xf numFmtId="0" fontId="8" fillId="0" borderId="0" xfId="6" applyFont="1" applyAlignment="1" applyProtection="1">
      <protection locked="0"/>
    </xf>
    <xf numFmtId="44" fontId="8" fillId="0" borderId="2" xfId="7" applyFont="1" applyBorder="1" applyProtection="1"/>
    <xf numFmtId="44" fontId="9" fillId="2" borderId="1" xfId="7" applyFont="1" applyFill="1" applyBorder="1"/>
    <xf numFmtId="44" fontId="8" fillId="0" borderId="1" xfId="7" applyFont="1" applyBorder="1"/>
    <xf numFmtId="0" fontId="0" fillId="3" borderId="0" xfId="0" applyFill="1"/>
    <xf numFmtId="0" fontId="22" fillId="3" borderId="0" xfId="0" applyFont="1" applyFill="1"/>
    <xf numFmtId="0" fontId="0" fillId="8" borderId="0" xfId="0" applyFill="1"/>
    <xf numFmtId="0" fontId="22" fillId="8" borderId="0" xfId="0" applyFont="1" applyFill="1"/>
    <xf numFmtId="0" fontId="17" fillId="8" borderId="0" xfId="3" applyFill="1" applyAlignment="1" applyProtection="1">
      <alignment horizontal="left" vertical="center"/>
    </xf>
    <xf numFmtId="0" fontId="17" fillId="3" borderId="0" xfId="3" applyFill="1" applyAlignment="1" applyProtection="1">
      <alignment vertical="center"/>
    </xf>
    <xf numFmtId="0" fontId="8" fillId="0" borderId="0" xfId="6" applyFont="1" applyBorder="1" applyAlignment="1" applyProtection="1">
      <alignment horizontal="center"/>
      <protection locked="0"/>
    </xf>
    <xf numFmtId="0" fontId="8" fillId="0" borderId="0" xfId="6" applyFont="1" applyBorder="1" applyAlignment="1" applyProtection="1">
      <alignment horizontal="left"/>
      <protection locked="0"/>
    </xf>
    <xf numFmtId="44" fontId="8" fillId="0" borderId="0" xfId="7" applyFont="1" applyFill="1" applyBorder="1" applyAlignment="1" applyProtection="1">
      <alignment horizontal="center"/>
      <protection locked="0"/>
    </xf>
    <xf numFmtId="167" fontId="8" fillId="0" borderId="0" xfId="8" applyNumberFormat="1" applyFont="1" applyFill="1" applyBorder="1" applyAlignment="1" applyProtection="1">
      <alignment horizontal="center"/>
      <protection locked="0"/>
    </xf>
    <xf numFmtId="0" fontId="8" fillId="8" borderId="0" xfId="0" applyFont="1" applyFill="1" applyAlignment="1">
      <alignment wrapText="1"/>
    </xf>
    <xf numFmtId="0" fontId="8" fillId="3" borderId="0" xfId="0" applyFont="1" applyFill="1" applyAlignment="1">
      <alignment wrapText="1"/>
    </xf>
    <xf numFmtId="0" fontId="8" fillId="3" borderId="2" xfId="6" applyFont="1" applyFill="1" applyBorder="1" applyAlignment="1" applyProtection="1">
      <alignment horizontal="center"/>
      <protection locked="0"/>
    </xf>
    <xf numFmtId="0" fontId="8" fillId="3" borderId="2" xfId="6" applyFont="1" applyFill="1" applyBorder="1" applyAlignment="1" applyProtection="1">
      <alignment horizontal="left"/>
      <protection locked="0"/>
    </xf>
    <xf numFmtId="44" fontId="8" fillId="3" borderId="2" xfId="7" applyFont="1" applyFill="1" applyBorder="1" applyAlignment="1" applyProtection="1">
      <alignment horizontal="center"/>
      <protection locked="0"/>
    </xf>
    <xf numFmtId="167" fontId="8" fillId="3" borderId="2" xfId="8" applyNumberFormat="1" applyFont="1" applyFill="1" applyBorder="1" applyAlignment="1" applyProtection="1">
      <alignment horizontal="center"/>
      <protection locked="0"/>
    </xf>
    <xf numFmtId="10" fontId="8" fillId="3" borderId="0" xfId="6" applyNumberFormat="1" applyFont="1" applyFill="1" applyBorder="1" applyProtection="1">
      <protection locked="0"/>
    </xf>
    <xf numFmtId="164" fontId="8" fillId="3" borderId="0" xfId="7" applyNumberFormat="1" applyFont="1" applyFill="1" applyBorder="1" applyProtection="1">
      <protection locked="0"/>
    </xf>
    <xf numFmtId="9" fontId="8" fillId="3" borderId="0" xfId="9" applyFont="1" applyFill="1" applyBorder="1" applyProtection="1">
      <protection locked="0"/>
    </xf>
    <xf numFmtId="164" fontId="8" fillId="0" borderId="0" xfId="7" applyNumberFormat="1" applyFont="1" applyFill="1" applyBorder="1"/>
    <xf numFmtId="0" fontId="8" fillId="9" borderId="0" xfId="6" applyFont="1" applyFill="1" applyBorder="1" applyAlignment="1">
      <alignment horizontal="center"/>
    </xf>
    <xf numFmtId="164" fontId="9" fillId="9" borderId="0" xfId="7" applyNumberFormat="1" applyFont="1" applyFill="1" applyBorder="1" applyAlignment="1">
      <alignment horizontal="center"/>
    </xf>
    <xf numFmtId="164" fontId="8" fillId="0" borderId="2" xfId="7" applyNumberFormat="1" applyFont="1" applyFill="1" applyBorder="1"/>
    <xf numFmtId="164" fontId="8" fillId="3" borderId="2" xfId="7" applyNumberFormat="1" applyFont="1" applyFill="1" applyBorder="1" applyAlignment="1" applyProtection="1">
      <alignment horizontal="center"/>
      <protection locked="0"/>
    </xf>
    <xf numFmtId="0" fontId="8" fillId="3" borderId="2" xfId="6" applyFont="1" applyFill="1" applyBorder="1" applyProtection="1">
      <protection locked="0"/>
    </xf>
    <xf numFmtId="43" fontId="8" fillId="3" borderId="2" xfId="8" applyFont="1" applyFill="1" applyBorder="1" applyAlignment="1" applyProtection="1">
      <alignment horizontal="center"/>
      <protection locked="0"/>
    </xf>
    <xf numFmtId="0" fontId="9" fillId="2" borderId="3" xfId="6" applyFont="1" applyFill="1" applyBorder="1" applyAlignment="1">
      <alignment horizontal="left"/>
    </xf>
    <xf numFmtId="168" fontId="9" fillId="2" borderId="3" xfId="6" applyNumberFormat="1" applyFont="1" applyFill="1" applyBorder="1" applyAlignment="1">
      <alignment horizontal="left"/>
    </xf>
    <xf numFmtId="9" fontId="8" fillId="3" borderId="4" xfId="9" applyFont="1" applyFill="1" applyBorder="1" applyAlignment="1" applyProtection="1">
      <alignment horizontal="right"/>
      <protection locked="0"/>
    </xf>
    <xf numFmtId="0" fontId="9" fillId="5" borderId="0" xfId="6" applyFont="1" applyFill="1" applyBorder="1" applyAlignment="1">
      <alignment horizontal="left"/>
    </xf>
    <xf numFmtId="0" fontId="9" fillId="6" borderId="0" xfId="6" applyFont="1" applyFill="1" applyBorder="1" applyAlignment="1">
      <alignment horizontal="left"/>
    </xf>
    <xf numFmtId="0" fontId="9" fillId="9" borderId="0" xfId="6" applyFont="1" applyFill="1" applyBorder="1" applyAlignment="1">
      <alignment horizontal="left"/>
    </xf>
    <xf numFmtId="0" fontId="9" fillId="4" borderId="0" xfId="6" applyFont="1" applyFill="1" applyBorder="1" applyAlignment="1">
      <alignment horizontal="left"/>
    </xf>
    <xf numFmtId="164" fontId="9" fillId="2" borderId="0" xfId="7" applyNumberFormat="1" applyFont="1" applyFill="1" applyBorder="1"/>
    <xf numFmtId="164" fontId="8" fillId="7" borderId="0" xfId="7" applyNumberFormat="1" applyFont="1" applyFill="1" applyBorder="1"/>
    <xf numFmtId="0" fontId="17" fillId="7" borderId="0" xfId="3" applyFill="1" applyBorder="1" applyAlignment="1" applyProtection="1"/>
    <xf numFmtId="0" fontId="8" fillId="7" borderId="0" xfId="6" applyFont="1" applyFill="1"/>
    <xf numFmtId="164" fontId="17" fillId="7" borderId="0" xfId="3" applyNumberFormat="1" applyFill="1" applyBorder="1" applyAlignment="1" applyProtection="1"/>
    <xf numFmtId="0" fontId="25" fillId="8" borderId="0" xfId="3" applyFont="1" applyFill="1" applyAlignment="1" applyProtection="1"/>
    <xf numFmtId="0" fontId="9" fillId="7" borderId="0" xfId="6" applyFont="1" applyFill="1" applyBorder="1" applyAlignment="1">
      <alignment horizontal="center"/>
    </xf>
    <xf numFmtId="0" fontId="31" fillId="7" borderId="0" xfId="6" applyFont="1" applyFill="1" applyBorder="1" applyAlignment="1">
      <alignment horizontal="left" wrapText="1"/>
    </xf>
    <xf numFmtId="0" fontId="9" fillId="7" borderId="0" xfId="6" applyFont="1" applyFill="1" applyBorder="1" applyAlignment="1">
      <alignment horizontal="right" vertical="center"/>
    </xf>
    <xf numFmtId="44" fontId="8" fillId="0" borderId="1" xfId="7" applyNumberFormat="1" applyFont="1" applyBorder="1"/>
    <xf numFmtId="44" fontId="8" fillId="0" borderId="1" xfId="7" applyNumberFormat="1" applyFont="1" applyFill="1" applyBorder="1" applyAlignment="1">
      <alignment horizontal="center"/>
    </xf>
    <xf numFmtId="164" fontId="32" fillId="6" borderId="0" xfId="7" applyNumberFormat="1" applyFont="1" applyFill="1" applyBorder="1" applyAlignment="1">
      <alignment horizontal="center" vertical="center"/>
    </xf>
    <xf numFmtId="164" fontId="32" fillId="5" borderId="0" xfId="7" applyNumberFormat="1" applyFont="1" applyFill="1" applyBorder="1" applyAlignment="1">
      <alignment horizontal="center" vertical="center"/>
    </xf>
    <xf numFmtId="164" fontId="32" fillId="9" borderId="0" xfId="7" applyNumberFormat="1" applyFont="1" applyFill="1" applyBorder="1" applyAlignment="1">
      <alignment horizontal="center" vertical="center"/>
    </xf>
    <xf numFmtId="164" fontId="32" fillId="4" borderId="0" xfId="7" applyNumberFormat="1" applyFont="1" applyFill="1" applyBorder="1" applyAlignment="1">
      <alignment horizontal="center" vertical="center"/>
    </xf>
    <xf numFmtId="1" fontId="9" fillId="2" borderId="1" xfId="16" applyNumberFormat="1" applyFont="1" applyFill="1" applyBorder="1"/>
    <xf numFmtId="2" fontId="9" fillId="2" borderId="1" xfId="16" applyNumberFormat="1" applyFont="1" applyFill="1" applyBorder="1" applyAlignment="1">
      <alignment horizontal="center"/>
    </xf>
    <xf numFmtId="0" fontId="8" fillId="0" borderId="0" xfId="16" applyFont="1" applyBorder="1"/>
    <xf numFmtId="0" fontId="9" fillId="2" borderId="1" xfId="16" applyFont="1" applyFill="1" applyBorder="1" applyAlignment="1"/>
    <xf numFmtId="0" fontId="9" fillId="2" borderId="1" xfId="16" applyFont="1" applyFill="1" applyBorder="1"/>
    <xf numFmtId="0" fontId="8" fillId="0" borderId="1" xfId="16" applyFont="1" applyBorder="1"/>
    <xf numFmtId="0" fontId="9" fillId="2" borderId="1" xfId="16" applyFont="1" applyFill="1" applyBorder="1" applyAlignment="1">
      <alignment wrapText="1"/>
    </xf>
    <xf numFmtId="0" fontId="5" fillId="0" borderId="0" xfId="19"/>
    <xf numFmtId="164" fontId="8" fillId="0" borderId="1" xfId="7" applyNumberFormat="1" applyFont="1" applyFill="1" applyBorder="1" applyProtection="1">
      <protection locked="0"/>
    </xf>
    <xf numFmtId="0" fontId="9" fillId="3" borderId="3" xfId="6" applyFont="1" applyFill="1" applyBorder="1" applyAlignment="1">
      <alignment horizontal="left"/>
    </xf>
    <xf numFmtId="0" fontId="31" fillId="4" borderId="0" xfId="6" applyFont="1" applyFill="1" applyBorder="1" applyAlignment="1">
      <alignment horizontal="left"/>
    </xf>
    <xf numFmtId="0" fontId="31" fillId="9" borderId="0" xfId="6" applyFont="1" applyFill="1" applyBorder="1" applyAlignment="1">
      <alignment horizontal="left"/>
    </xf>
    <xf numFmtId="0" fontId="31" fillId="5" borderId="0" xfId="6" applyFont="1" applyFill="1" applyBorder="1" applyAlignment="1">
      <alignment horizontal="left"/>
    </xf>
    <xf numFmtId="0" fontId="31" fillId="6" borderId="0" xfId="6" applyFont="1" applyFill="1" applyBorder="1" applyAlignment="1">
      <alignment horizontal="left"/>
    </xf>
    <xf numFmtId="0" fontId="36" fillId="10" borderId="4" xfId="6" applyFont="1" applyFill="1" applyBorder="1" applyAlignment="1">
      <alignment horizontal="left" vertical="center" wrapText="1"/>
    </xf>
    <xf numFmtId="0" fontId="36" fillId="10" borderId="1" xfId="6" applyFont="1" applyFill="1" applyBorder="1" applyAlignment="1">
      <alignment horizontal="left" vertical="center"/>
    </xf>
    <xf numFmtId="0" fontId="36" fillId="5" borderId="4" xfId="6" applyFont="1" applyFill="1" applyBorder="1" applyAlignment="1">
      <alignment horizontal="left" vertical="center" wrapText="1"/>
    </xf>
    <xf numFmtId="0" fontId="36" fillId="5" borderId="1" xfId="6" applyFont="1" applyFill="1" applyBorder="1" applyAlignment="1">
      <alignment horizontal="left" vertical="center"/>
    </xf>
    <xf numFmtId="0" fontId="36" fillId="9" borderId="4" xfId="6" applyFont="1" applyFill="1" applyBorder="1" applyAlignment="1">
      <alignment horizontal="left" vertical="center" wrapText="1"/>
    </xf>
    <xf numFmtId="0" fontId="36" fillId="9" borderId="1" xfId="6" applyFont="1" applyFill="1" applyBorder="1" applyAlignment="1">
      <alignment horizontal="left" vertical="center"/>
    </xf>
    <xf numFmtId="0" fontId="36" fillId="4" borderId="4" xfId="6" applyFont="1" applyFill="1" applyBorder="1" applyAlignment="1">
      <alignment horizontal="left" vertical="center" wrapText="1"/>
    </xf>
    <xf numFmtId="0" fontId="36" fillId="4" borderId="1" xfId="6" applyFont="1" applyFill="1" applyBorder="1" applyAlignment="1">
      <alignment horizontal="left" vertical="center"/>
    </xf>
    <xf numFmtId="0" fontId="36" fillId="9" borderId="3" xfId="6" applyFont="1" applyFill="1" applyBorder="1" applyAlignment="1">
      <alignment horizontal="left" vertical="center"/>
    </xf>
    <xf numFmtId="164" fontId="8" fillId="0" borderId="3" xfId="6" applyNumberFormat="1" applyFont="1" applyBorder="1"/>
    <xf numFmtId="44" fontId="8" fillId="0" borderId="3" xfId="7" applyNumberFormat="1" applyFont="1" applyFill="1" applyBorder="1" applyAlignment="1">
      <alignment horizontal="center"/>
    </xf>
    <xf numFmtId="0" fontId="35" fillId="4" borderId="13" xfId="6" applyFont="1" applyFill="1" applyBorder="1"/>
    <xf numFmtId="0" fontId="9" fillId="4" borderId="14" xfId="6" applyFont="1" applyFill="1" applyBorder="1" applyAlignment="1">
      <alignment horizontal="left"/>
    </xf>
    <xf numFmtId="168" fontId="9" fillId="4" borderId="14" xfId="6" applyNumberFormat="1" applyFont="1" applyFill="1" applyBorder="1" applyAlignment="1">
      <alignment horizontal="left"/>
    </xf>
    <xf numFmtId="0" fontId="36" fillId="5" borderId="3" xfId="6" applyFont="1" applyFill="1" applyBorder="1" applyAlignment="1">
      <alignment horizontal="left" vertical="center"/>
    </xf>
    <xf numFmtId="0" fontId="35" fillId="9" borderId="13" xfId="6" applyFont="1" applyFill="1" applyBorder="1"/>
    <xf numFmtId="0" fontId="9" fillId="9" borderId="14" xfId="6" applyFont="1" applyFill="1" applyBorder="1" applyAlignment="1">
      <alignment horizontal="left"/>
    </xf>
    <xf numFmtId="168" fontId="9" fillId="9" borderId="14" xfId="6" applyNumberFormat="1" applyFont="1" applyFill="1" applyBorder="1" applyAlignment="1">
      <alignment horizontal="left"/>
    </xf>
    <xf numFmtId="0" fontId="36" fillId="10" borderId="3" xfId="6" applyFont="1" applyFill="1" applyBorder="1" applyAlignment="1">
      <alignment horizontal="left" vertical="center"/>
    </xf>
    <xf numFmtId="0" fontId="35" fillId="5" borderId="13" xfId="6" applyFont="1" applyFill="1" applyBorder="1"/>
    <xf numFmtId="0" fontId="9" fillId="5" borderId="14" xfId="6" applyFont="1" applyFill="1" applyBorder="1" applyAlignment="1">
      <alignment horizontal="left"/>
    </xf>
    <xf numFmtId="168" fontId="9" fillId="5" borderId="14" xfId="6" applyNumberFormat="1" applyFont="1" applyFill="1" applyBorder="1" applyAlignment="1">
      <alignment horizontal="left"/>
    </xf>
    <xf numFmtId="0" fontId="35" fillId="10" borderId="13" xfId="6" applyFont="1" applyFill="1" applyBorder="1"/>
    <xf numFmtId="0" fontId="9" fillId="10" borderId="14" xfId="6" applyFont="1" applyFill="1" applyBorder="1" applyAlignment="1">
      <alignment horizontal="left"/>
    </xf>
    <xf numFmtId="168" fontId="9" fillId="10" borderId="14" xfId="6" applyNumberFormat="1" applyFont="1" applyFill="1" applyBorder="1" applyAlignment="1">
      <alignment horizontal="left"/>
    </xf>
    <xf numFmtId="44" fontId="8" fillId="0" borderId="16" xfId="7" applyNumberFormat="1" applyFont="1" applyFill="1" applyBorder="1" applyAlignment="1">
      <alignment horizontal="center"/>
    </xf>
    <xf numFmtId="44" fontId="8" fillId="0" borderId="5" xfId="7" applyNumberFormat="1" applyFont="1" applyFill="1" applyBorder="1" applyAlignment="1">
      <alignment horizontal="center"/>
    </xf>
    <xf numFmtId="164" fontId="35" fillId="6" borderId="15" xfId="14" applyNumberFormat="1" applyFont="1" applyFill="1" applyBorder="1"/>
    <xf numFmtId="164" fontId="35" fillId="5" borderId="15" xfId="14" applyNumberFormat="1" applyFont="1" applyFill="1" applyBorder="1"/>
    <xf numFmtId="164" fontId="35" fillId="9" borderId="15" xfId="14" applyNumberFormat="1" applyFont="1" applyFill="1" applyBorder="1"/>
    <xf numFmtId="164" fontId="35" fillId="4" borderId="15" xfId="14" applyNumberFormat="1" applyFont="1" applyFill="1" applyBorder="1"/>
    <xf numFmtId="0" fontId="9" fillId="2" borderId="16" xfId="6" applyFont="1" applyFill="1" applyBorder="1" applyAlignment="1">
      <alignment horizontal="left"/>
    </xf>
    <xf numFmtId="164" fontId="8" fillId="0" borderId="5" xfId="7" applyNumberFormat="1" applyFont="1" applyBorder="1"/>
    <xf numFmtId="44" fontId="8" fillId="0" borderId="5" xfId="7" applyNumberFormat="1" applyFont="1" applyBorder="1"/>
    <xf numFmtId="9" fontId="13" fillId="0" borderId="1" xfId="6" applyNumberFormat="1" applyBorder="1"/>
    <xf numFmtId="164" fontId="13" fillId="0" borderId="1" xfId="6" applyNumberFormat="1" applyBorder="1"/>
    <xf numFmtId="164" fontId="9" fillId="0" borderId="1" xfId="6" applyNumberFormat="1" applyFont="1" applyBorder="1"/>
    <xf numFmtId="0" fontId="13" fillId="0" borderId="18" xfId="6" applyBorder="1"/>
    <xf numFmtId="9" fontId="13" fillId="0" borderId="4" xfId="6" applyNumberFormat="1" applyBorder="1"/>
    <xf numFmtId="0" fontId="9" fillId="0" borderId="15" xfId="6" applyFont="1" applyBorder="1"/>
    <xf numFmtId="164" fontId="9" fillId="0" borderId="3" xfId="6" applyNumberFormat="1" applyFont="1" applyBorder="1"/>
    <xf numFmtId="0" fontId="9" fillId="0" borderId="19" xfId="6" applyFont="1" applyBorder="1"/>
    <xf numFmtId="0" fontId="9" fillId="5" borderId="12" xfId="6" applyFont="1" applyFill="1" applyBorder="1" applyAlignment="1">
      <alignment horizontal="left"/>
    </xf>
    <xf numFmtId="0" fontId="9" fillId="9" borderId="12" xfId="6" applyFont="1" applyFill="1" applyBorder="1" applyAlignment="1">
      <alignment horizontal="left"/>
    </xf>
    <xf numFmtId="0" fontId="9" fillId="4" borderId="12" xfId="6" applyFont="1" applyFill="1" applyBorder="1" applyAlignment="1">
      <alignment horizontal="left"/>
    </xf>
    <xf numFmtId="0" fontId="8" fillId="11" borderId="1" xfId="6" applyFont="1" applyFill="1" applyBorder="1" applyProtection="1">
      <protection locked="0"/>
    </xf>
    <xf numFmtId="165" fontId="8" fillId="11" borderId="1" xfId="9" applyNumberFormat="1" applyFont="1" applyFill="1" applyBorder="1" applyProtection="1">
      <protection locked="0"/>
    </xf>
    <xf numFmtId="169" fontId="8" fillId="11" borderId="4" xfId="9" applyNumberFormat="1" applyFont="1" applyFill="1" applyBorder="1" applyProtection="1">
      <protection locked="0"/>
    </xf>
    <xf numFmtId="169" fontId="8" fillId="11" borderId="17" xfId="9" applyNumberFormat="1" applyFont="1" applyFill="1" applyBorder="1" applyProtection="1">
      <protection locked="0"/>
    </xf>
    <xf numFmtId="169" fontId="8" fillId="0" borderId="1" xfId="9" applyNumberFormat="1" applyFont="1" applyFill="1" applyBorder="1" applyProtection="1"/>
    <xf numFmtId="0" fontId="30" fillId="0" borderId="9" xfId="0" applyFont="1" applyFill="1" applyBorder="1"/>
    <xf numFmtId="169" fontId="30" fillId="0" borderId="9" xfId="0" applyNumberFormat="1" applyFont="1" applyFill="1" applyBorder="1"/>
    <xf numFmtId="10" fontId="30" fillId="0" borderId="9" xfId="0" applyNumberFormat="1" applyFont="1" applyFill="1" applyBorder="1"/>
    <xf numFmtId="0" fontId="30" fillId="0" borderId="9" xfId="0" applyFont="1" applyFill="1" applyBorder="1" applyAlignment="1">
      <alignment wrapText="1"/>
    </xf>
    <xf numFmtId="166" fontId="28" fillId="0" borderId="9" xfId="0" applyNumberFormat="1" applyFont="1" applyFill="1" applyBorder="1"/>
    <xf numFmtId="166" fontId="40" fillId="0" borderId="9" xfId="0" applyNumberFormat="1" applyFont="1" applyFill="1" applyBorder="1"/>
    <xf numFmtId="169" fontId="40" fillId="0" borderId="9" xfId="0" applyNumberFormat="1" applyFont="1" applyFill="1" applyBorder="1" applyAlignment="1">
      <alignment horizontal="center"/>
    </xf>
    <xf numFmtId="169" fontId="40" fillId="0" borderId="9" xfId="0" applyNumberFormat="1" applyFont="1" applyFill="1" applyBorder="1"/>
    <xf numFmtId="166" fontId="40" fillId="0" borderId="9" xfId="0" applyNumberFormat="1" applyFont="1" applyFill="1" applyBorder="1" applyAlignment="1">
      <alignment horizontal="center"/>
    </xf>
    <xf numFmtId="166" fontId="40" fillId="0" borderId="11" xfId="0" applyNumberFormat="1" applyFont="1" applyFill="1" applyBorder="1"/>
    <xf numFmtId="166" fontId="41" fillId="0" borderId="0" xfId="0" applyNumberFormat="1" applyFont="1" applyFill="1" applyBorder="1"/>
    <xf numFmtId="165" fontId="29" fillId="0" borderId="0" xfId="0" applyNumberFormat="1" applyFont="1" applyFill="1" applyBorder="1"/>
    <xf numFmtId="0" fontId="30" fillId="0" borderId="8" xfId="0" applyFont="1" applyFill="1" applyBorder="1" applyAlignment="1">
      <alignment horizontal="left"/>
    </xf>
    <xf numFmtId="0" fontId="30" fillId="0" borderId="8" xfId="0" applyFont="1" applyFill="1" applyBorder="1" applyAlignment="1">
      <alignment horizontal="left" vertical="center"/>
    </xf>
    <xf numFmtId="0" fontId="30" fillId="0" borderId="8" xfId="25" applyFont="1" applyFill="1" applyBorder="1" applyAlignment="1">
      <alignment horizontal="left" vertical="top"/>
    </xf>
    <xf numFmtId="0" fontId="30" fillId="0" borderId="8" xfId="25" applyFont="1" applyFill="1" applyBorder="1" applyAlignment="1">
      <alignment horizontal="left"/>
    </xf>
    <xf numFmtId="165" fontId="28" fillId="0" borderId="22" xfId="0" applyNumberFormat="1" applyFont="1" applyFill="1" applyBorder="1"/>
    <xf numFmtId="165" fontId="28" fillId="0" borderId="0" xfId="0" applyNumberFormat="1" applyFont="1" applyFill="1" applyBorder="1"/>
    <xf numFmtId="44" fontId="28" fillId="0" borderId="0" xfId="14" applyFont="1" applyFill="1" applyBorder="1" applyAlignment="1">
      <alignment horizontal="right"/>
    </xf>
    <xf numFmtId="44" fontId="29" fillId="0" borderId="0" xfId="14" applyFont="1" applyFill="1" applyBorder="1" applyAlignment="1">
      <alignment horizontal="right"/>
    </xf>
    <xf numFmtId="0" fontId="43" fillId="0" borderId="0" xfId="0" applyFont="1" applyFill="1" applyBorder="1"/>
    <xf numFmtId="0" fontId="44" fillId="14" borderId="6" xfId="0" applyFont="1" applyFill="1" applyBorder="1" applyAlignment="1">
      <alignment horizontal="left" wrapText="1"/>
    </xf>
    <xf numFmtId="0" fontId="44" fillId="14" borderId="21" xfId="0" applyFont="1" applyFill="1" applyBorder="1" applyAlignment="1">
      <alignment wrapText="1"/>
    </xf>
    <xf numFmtId="3" fontId="44" fillId="14" borderId="21" xfId="0" applyNumberFormat="1" applyFont="1" applyFill="1" applyBorder="1" applyAlignment="1">
      <alignment wrapText="1"/>
    </xf>
    <xf numFmtId="166" fontId="44" fillId="14" borderId="21" xfId="0" applyNumberFormat="1" applyFont="1" applyFill="1" applyBorder="1" applyAlignment="1">
      <alignment wrapText="1"/>
    </xf>
    <xf numFmtId="10" fontId="45" fillId="14" borderId="21" xfId="0" applyNumberFormat="1" applyFont="1" applyFill="1" applyBorder="1" applyAlignment="1">
      <alignment wrapText="1"/>
    </xf>
    <xf numFmtId="10" fontId="44" fillId="14" borderId="21" xfId="0" applyNumberFormat="1" applyFont="1" applyFill="1" applyBorder="1" applyAlignment="1">
      <alignment wrapText="1"/>
    </xf>
    <xf numFmtId="165" fontId="9" fillId="14" borderId="21" xfId="0" applyNumberFormat="1" applyFont="1" applyFill="1" applyBorder="1" applyAlignment="1">
      <alignment wrapText="1"/>
    </xf>
    <xf numFmtId="44" fontId="44" fillId="14" borderId="21" xfId="14" applyFont="1" applyFill="1" applyBorder="1" applyAlignment="1">
      <alignment horizontal="right" wrapText="1"/>
    </xf>
    <xf numFmtId="0" fontId="43" fillId="0" borderId="0" xfId="0" applyFont="1" applyFill="1" applyBorder="1" applyAlignment="1">
      <alignment horizontal="left" vertical="center" wrapText="1"/>
    </xf>
    <xf numFmtId="0" fontId="47" fillId="15" borderId="8" xfId="0" applyFont="1" applyFill="1" applyBorder="1" applyAlignment="1">
      <alignment horizontal="left"/>
    </xf>
    <xf numFmtId="3" fontId="48" fillId="15" borderId="20" xfId="0" applyNumberFormat="1" applyFont="1" applyFill="1" applyBorder="1"/>
    <xf numFmtId="0" fontId="48" fillId="15" borderId="20" xfId="0" applyFont="1" applyFill="1" applyBorder="1"/>
    <xf numFmtId="44" fontId="28" fillId="15" borderId="20" xfId="14" applyFont="1" applyFill="1" applyBorder="1" applyAlignment="1">
      <alignment horizontal="right"/>
    </xf>
    <xf numFmtId="0" fontId="47" fillId="16" borderId="8" xfId="0" applyFont="1" applyFill="1" applyBorder="1" applyAlignment="1">
      <alignment horizontal="left" wrapText="1"/>
    </xf>
    <xf numFmtId="0" fontId="48" fillId="0" borderId="8" xfId="0" applyFont="1" applyFill="1" applyBorder="1" applyAlignment="1">
      <alignment horizontal="left"/>
    </xf>
    <xf numFmtId="17" fontId="48" fillId="0" borderId="8" xfId="0" applyNumberFormat="1" applyFont="1" applyFill="1" applyBorder="1" applyAlignment="1">
      <alignment horizontal="left"/>
    </xf>
    <xf numFmtId="14" fontId="48" fillId="0" borderId="8" xfId="0" applyNumberFormat="1" applyFont="1" applyFill="1" applyBorder="1" applyAlignment="1">
      <alignment horizontal="left"/>
    </xf>
    <xf numFmtId="16" fontId="48" fillId="13" borderId="8" xfId="25" applyNumberFormat="1" applyFont="1" applyFill="1" applyBorder="1" applyAlignment="1">
      <alignment horizontal="left" vertical="top" wrapText="1"/>
    </xf>
    <xf numFmtId="16" fontId="48" fillId="0" borderId="8" xfId="25" applyNumberFormat="1" applyFont="1" applyFill="1" applyBorder="1" applyAlignment="1">
      <alignment horizontal="left" vertical="top"/>
    </xf>
    <xf numFmtId="10" fontId="43" fillId="0" borderId="0" xfId="0" applyNumberFormat="1" applyFont="1" applyFill="1" applyBorder="1"/>
    <xf numFmtId="0" fontId="46" fillId="0" borderId="0" xfId="0" applyFont="1" applyFill="1" applyBorder="1"/>
    <xf numFmtId="0" fontId="43" fillId="0" borderId="0" xfId="0" applyFont="1" applyFill="1" applyBorder="1" applyAlignment="1">
      <alignment wrapText="1"/>
    </xf>
    <xf numFmtId="0" fontId="48" fillId="0" borderId="8" xfId="0" applyFont="1" applyFill="1" applyBorder="1"/>
    <xf numFmtId="0" fontId="48" fillId="0" borderId="8" xfId="25" applyFont="1" applyFill="1" applyBorder="1" applyAlignment="1">
      <alignment horizontal="left"/>
    </xf>
    <xf numFmtId="0" fontId="48" fillId="0" borderId="8" xfId="25" applyFont="1" applyFill="1" applyBorder="1" applyAlignment="1">
      <alignment horizontal="left" wrapText="1"/>
    </xf>
    <xf numFmtId="0" fontId="48" fillId="0" borderId="0" xfId="0" applyFont="1" applyFill="1" applyBorder="1"/>
    <xf numFmtId="0" fontId="48" fillId="0" borderId="8" xfId="25" applyFont="1" applyFill="1" applyBorder="1" applyAlignment="1">
      <alignment horizontal="left" vertical="top"/>
    </xf>
    <xf numFmtId="0" fontId="48" fillId="0" borderId="8" xfId="0" applyFont="1" applyFill="1" applyBorder="1" applyAlignment="1">
      <alignment wrapText="1"/>
    </xf>
    <xf numFmtId="0" fontId="48" fillId="0" borderId="10" xfId="0" applyFont="1" applyFill="1" applyBorder="1"/>
    <xf numFmtId="3" fontId="48" fillId="0" borderId="22" xfId="0" applyNumberFormat="1" applyFont="1" applyFill="1" applyBorder="1"/>
    <xf numFmtId="0" fontId="48" fillId="0" borderId="22" xfId="0" applyFont="1" applyFill="1" applyBorder="1"/>
    <xf numFmtId="166" fontId="48" fillId="0" borderId="22" xfId="0" applyNumberFormat="1" applyFont="1" applyFill="1" applyBorder="1"/>
    <xf numFmtId="10" fontId="48" fillId="0" borderId="22" xfId="0" applyNumberFormat="1" applyFont="1" applyFill="1" applyBorder="1"/>
    <xf numFmtId="10" fontId="48" fillId="0" borderId="22" xfId="0" applyNumberFormat="1" applyFont="1" applyFill="1" applyBorder="1" applyAlignment="1">
      <alignment horizontal="right"/>
    </xf>
    <xf numFmtId="166" fontId="48" fillId="0" borderId="22" xfId="0" applyNumberFormat="1" applyFont="1" applyFill="1" applyBorder="1" applyAlignment="1">
      <alignment horizontal="center"/>
    </xf>
    <xf numFmtId="169" fontId="48" fillId="0" borderId="22" xfId="0" applyNumberFormat="1" applyFont="1" applyFill="1" applyBorder="1"/>
    <xf numFmtId="44" fontId="28" fillId="14" borderId="22" xfId="14" applyFont="1" applyFill="1" applyBorder="1" applyAlignment="1">
      <alignment horizontal="right"/>
    </xf>
    <xf numFmtId="3" fontId="48" fillId="0" borderId="0" xfId="0" applyNumberFormat="1" applyFont="1" applyFill="1" applyBorder="1"/>
    <xf numFmtId="166" fontId="48" fillId="0" borderId="0" xfId="0" applyNumberFormat="1" applyFont="1" applyFill="1" applyBorder="1"/>
    <xf numFmtId="10" fontId="48" fillId="0" borderId="0" xfId="0" applyNumberFormat="1" applyFont="1" applyFill="1" applyBorder="1"/>
    <xf numFmtId="10" fontId="48" fillId="0" borderId="0" xfId="0" applyNumberFormat="1" applyFont="1" applyFill="1" applyBorder="1" applyAlignment="1">
      <alignment horizontal="right"/>
    </xf>
    <xf numFmtId="169" fontId="48" fillId="0" borderId="0" xfId="0" applyNumberFormat="1" applyFont="1" applyFill="1" applyBorder="1"/>
    <xf numFmtId="165" fontId="53" fillId="0" borderId="0" xfId="0" applyNumberFormat="1" applyFont="1" applyFill="1" applyBorder="1"/>
    <xf numFmtId="0" fontId="43" fillId="0" borderId="0" xfId="0" applyFont="1" applyFill="1" applyBorder="1" applyAlignment="1">
      <alignment horizontal="left"/>
    </xf>
    <xf numFmtId="3" fontId="43" fillId="0" borderId="0" xfId="0" applyNumberFormat="1" applyFont="1" applyFill="1" applyBorder="1"/>
    <xf numFmtId="166" fontId="43" fillId="0" borderId="0" xfId="0" applyNumberFormat="1" applyFont="1" applyFill="1" applyBorder="1"/>
    <xf numFmtId="0" fontId="44" fillId="14" borderId="7" xfId="0" applyFont="1" applyFill="1" applyBorder="1" applyAlignment="1">
      <alignment wrapText="1"/>
    </xf>
    <xf numFmtId="3" fontId="44" fillId="14" borderId="7" xfId="0" applyNumberFormat="1" applyFont="1" applyFill="1" applyBorder="1" applyAlignment="1">
      <alignment horizontal="center" wrapText="1"/>
    </xf>
    <xf numFmtId="166" fontId="44" fillId="14" borderId="7" xfId="0" applyNumberFormat="1" applyFont="1" applyFill="1" applyBorder="1" applyAlignment="1">
      <alignment wrapText="1"/>
    </xf>
    <xf numFmtId="169" fontId="44" fillId="14" borderId="7" xfId="0" applyNumberFormat="1" applyFont="1" applyFill="1" applyBorder="1" applyAlignment="1">
      <alignment wrapText="1"/>
    </xf>
    <xf numFmtId="165" fontId="44" fillId="18" borderId="7" xfId="0" applyNumberFormat="1" applyFont="1" applyFill="1" applyBorder="1" applyAlignment="1">
      <alignment wrapText="1"/>
    </xf>
    <xf numFmtId="165" fontId="9" fillId="18" borderId="7" xfId="0" applyNumberFormat="1" applyFont="1" applyFill="1" applyBorder="1" applyAlignment="1">
      <alignment wrapText="1"/>
    </xf>
    <xf numFmtId="166" fontId="39" fillId="14" borderId="7" xfId="0" applyNumberFormat="1" applyFont="1" applyFill="1" applyBorder="1" applyAlignment="1">
      <alignment wrapText="1"/>
    </xf>
    <xf numFmtId="166" fontId="44" fillId="14" borderId="7" xfId="0" applyNumberFormat="1" applyFont="1" applyFill="1" applyBorder="1" applyAlignment="1">
      <alignment horizontal="center" wrapText="1"/>
    </xf>
    <xf numFmtId="0" fontId="47" fillId="15" borderId="9" xfId="0" applyFont="1" applyFill="1" applyBorder="1" applyAlignment="1">
      <alignment wrapText="1"/>
    </xf>
    <xf numFmtId="3" fontId="44" fillId="15" borderId="9" xfId="0" applyNumberFormat="1" applyFont="1" applyFill="1" applyBorder="1" applyAlignment="1">
      <alignment wrapText="1"/>
    </xf>
    <xf numFmtId="0" fontId="44" fillId="15" borderId="9" xfId="0" applyFont="1" applyFill="1" applyBorder="1" applyAlignment="1">
      <alignment wrapText="1"/>
    </xf>
    <xf numFmtId="166" fontId="44" fillId="15" borderId="9" xfId="0" applyNumberFormat="1" applyFont="1" applyFill="1" applyBorder="1" applyAlignment="1">
      <alignment wrapText="1"/>
    </xf>
    <xf numFmtId="166" fontId="39" fillId="15" borderId="9" xfId="0" applyNumberFormat="1" applyFont="1" applyFill="1" applyBorder="1" applyAlignment="1">
      <alignment wrapText="1"/>
    </xf>
    <xf numFmtId="169" fontId="44" fillId="15" borderId="9" xfId="0" applyNumberFormat="1" applyFont="1" applyFill="1" applyBorder="1" applyAlignment="1">
      <alignment wrapText="1"/>
    </xf>
    <xf numFmtId="169" fontId="39" fillId="15" borderId="9" xfId="0" applyNumberFormat="1" applyFont="1" applyFill="1" applyBorder="1" applyAlignment="1">
      <alignment wrapText="1"/>
    </xf>
    <xf numFmtId="0" fontId="48" fillId="0" borderId="9" xfId="0" applyFont="1" applyFill="1" applyBorder="1"/>
    <xf numFmtId="3" fontId="48" fillId="0" borderId="9" xfId="0" applyNumberFormat="1" applyFont="1" applyFill="1" applyBorder="1"/>
    <xf numFmtId="166" fontId="48" fillId="0" borderId="9" xfId="0" applyNumberFormat="1" applyFont="1" applyFill="1" applyBorder="1"/>
    <xf numFmtId="169" fontId="48" fillId="0" borderId="9" xfId="0" applyNumberFormat="1" applyFont="1" applyFill="1" applyBorder="1"/>
    <xf numFmtId="166" fontId="48" fillId="0" borderId="9" xfId="0" applyNumberFormat="1" applyFont="1" applyFill="1" applyBorder="1" applyAlignment="1">
      <alignment horizontal="center"/>
    </xf>
    <xf numFmtId="169" fontId="48" fillId="0" borderId="9" xfId="0" applyNumberFormat="1" applyFont="1" applyFill="1" applyBorder="1" applyAlignment="1">
      <alignment horizontal="center"/>
    </xf>
    <xf numFmtId="165" fontId="48" fillId="18" borderId="9" xfId="0" applyNumberFormat="1" applyFont="1" applyFill="1" applyBorder="1"/>
    <xf numFmtId="165" fontId="28" fillId="18" borderId="9" xfId="0" applyNumberFormat="1" applyFont="1" applyFill="1" applyBorder="1"/>
    <xf numFmtId="0" fontId="48" fillId="0" borderId="9" xfId="0" applyFont="1" applyFill="1" applyBorder="1" applyAlignment="1">
      <alignment wrapText="1"/>
    </xf>
    <xf numFmtId="166" fontId="48" fillId="18" borderId="9" xfId="0" applyNumberFormat="1" applyFont="1" applyFill="1" applyBorder="1"/>
    <xf numFmtId="166" fontId="28" fillId="18" borderId="9" xfId="0" applyNumberFormat="1" applyFont="1" applyFill="1" applyBorder="1"/>
    <xf numFmtId="10" fontId="48" fillId="0" borderId="9" xfId="0" applyNumberFormat="1" applyFont="1" applyFill="1" applyBorder="1"/>
    <xf numFmtId="166" fontId="48" fillId="18" borderId="9" xfId="29" applyNumberFormat="1" applyFont="1" applyFill="1" applyBorder="1"/>
    <xf numFmtId="0" fontId="30" fillId="0" borderId="9" xfId="25" applyFont="1" applyFill="1" applyBorder="1"/>
    <xf numFmtId="0" fontId="48" fillId="0" borderId="9" xfId="0" applyFont="1" applyFill="1" applyBorder="1" applyAlignment="1">
      <alignment horizontal="left" wrapText="1"/>
    </xf>
    <xf numFmtId="9" fontId="48" fillId="0" borderId="9" xfId="28" applyFont="1" applyFill="1" applyBorder="1"/>
    <xf numFmtId="0" fontId="48" fillId="0" borderId="10" xfId="0" applyFont="1" applyFill="1" applyBorder="1" applyAlignment="1">
      <alignment horizontal="left"/>
    </xf>
    <xf numFmtId="0" fontId="48" fillId="0" borderId="11" xfId="0" applyFont="1" applyFill="1" applyBorder="1"/>
    <xf numFmtId="3" fontId="48" fillId="0" borderId="11" xfId="0" applyNumberFormat="1" applyFont="1" applyFill="1" applyBorder="1"/>
    <xf numFmtId="166" fontId="48" fillId="0" borderId="11" xfId="0" applyNumberFormat="1" applyFont="1" applyFill="1" applyBorder="1"/>
    <xf numFmtId="169" fontId="48" fillId="0" borderId="11" xfId="0" applyNumberFormat="1" applyFont="1" applyFill="1" applyBorder="1"/>
    <xf numFmtId="169" fontId="40" fillId="0" borderId="11" xfId="0" applyNumberFormat="1" applyFont="1" applyFill="1" applyBorder="1" applyAlignment="1">
      <alignment horizontal="center"/>
    </xf>
    <xf numFmtId="169" fontId="40" fillId="0" borderId="11" xfId="0" applyNumberFormat="1" applyFont="1" applyFill="1" applyBorder="1"/>
    <xf numFmtId="166" fontId="48" fillId="0" borderId="11" xfId="0" applyNumberFormat="1" applyFont="1" applyFill="1" applyBorder="1" applyAlignment="1">
      <alignment horizontal="center"/>
    </xf>
    <xf numFmtId="166" fontId="40" fillId="0" borderId="11" xfId="0" applyNumberFormat="1" applyFont="1" applyFill="1" applyBorder="1" applyAlignment="1">
      <alignment horizontal="center"/>
    </xf>
    <xf numFmtId="165" fontId="48" fillId="18" borderId="11" xfId="0" applyNumberFormat="1" applyFont="1" applyFill="1" applyBorder="1"/>
    <xf numFmtId="9" fontId="48" fillId="0" borderId="11" xfId="28" applyFont="1" applyFill="1" applyBorder="1"/>
    <xf numFmtId="166" fontId="28" fillId="18" borderId="11" xfId="0" applyNumberFormat="1" applyFont="1" applyFill="1" applyBorder="1"/>
    <xf numFmtId="169" fontId="43" fillId="0" borderId="0" xfId="0" applyNumberFormat="1" applyFont="1" applyFill="1" applyBorder="1"/>
    <xf numFmtId="169" fontId="41" fillId="0" borderId="0" xfId="0" applyNumberFormat="1" applyFont="1" applyFill="1" applyBorder="1"/>
    <xf numFmtId="165" fontId="43" fillId="0" borderId="0" xfId="0" applyNumberFormat="1" applyFont="1" applyFill="1" applyBorder="1"/>
    <xf numFmtId="0" fontId="55" fillId="0" borderId="0" xfId="30" applyFont="1"/>
    <xf numFmtId="0" fontId="55" fillId="0" borderId="0" xfId="30" applyFont="1" applyBorder="1"/>
    <xf numFmtId="0" fontId="55" fillId="0" borderId="0" xfId="32" applyFont="1"/>
    <xf numFmtId="0" fontId="55" fillId="0" borderId="0" xfId="31" applyFont="1" applyFill="1"/>
    <xf numFmtId="0" fontId="55" fillId="0" borderId="0" xfId="31" applyFont="1"/>
    <xf numFmtId="0" fontId="1" fillId="0" borderId="0" xfId="31" applyFill="1"/>
    <xf numFmtId="0" fontId="1" fillId="0" borderId="0" xfId="31"/>
    <xf numFmtId="0" fontId="54" fillId="0" borderId="0" xfId="31" applyFont="1" applyFill="1"/>
    <xf numFmtId="0" fontId="55" fillId="0" borderId="0" xfId="31" applyFont="1" applyFill="1" applyAlignment="1">
      <alignment wrapText="1"/>
    </xf>
    <xf numFmtId="0" fontId="55" fillId="0" borderId="0" xfId="31" applyFont="1" applyAlignment="1">
      <alignment wrapText="1"/>
    </xf>
    <xf numFmtId="0" fontId="56" fillId="0" borderId="0" xfId="31" applyFont="1" applyFill="1"/>
    <xf numFmtId="0" fontId="56" fillId="0" borderId="0" xfId="31" applyFont="1"/>
    <xf numFmtId="165" fontId="28" fillId="0" borderId="9" xfId="0" applyNumberFormat="1" applyFont="1" applyFill="1" applyBorder="1"/>
    <xf numFmtId="166" fontId="28" fillId="0" borderId="11" xfId="0" applyNumberFormat="1" applyFont="1" applyFill="1" applyBorder="1"/>
    <xf numFmtId="0" fontId="30" fillId="0" borderId="9" xfId="0" applyFont="1" applyFill="1" applyBorder="1" applyAlignment="1"/>
    <xf numFmtId="3" fontId="30" fillId="0" borderId="9" xfId="0" applyNumberFormat="1" applyFont="1" applyFill="1" applyBorder="1"/>
    <xf numFmtId="3" fontId="9" fillId="0" borderId="9" xfId="0" applyNumberFormat="1" applyFont="1" applyFill="1" applyBorder="1" applyAlignment="1">
      <alignment wrapText="1"/>
    </xf>
    <xf numFmtId="0" fontId="30" fillId="0" borderId="9" xfId="0" applyFont="1" applyFill="1" applyBorder="1" applyAlignment="1">
      <alignment horizontal="left"/>
    </xf>
    <xf numFmtId="3" fontId="30" fillId="0" borderId="9" xfId="0" applyNumberFormat="1" applyFont="1" applyFill="1" applyBorder="1" applyAlignment="1">
      <alignment wrapText="1"/>
    </xf>
    <xf numFmtId="3" fontId="33" fillId="0" borderId="9" xfId="0" applyNumberFormat="1" applyFont="1" applyFill="1" applyBorder="1"/>
    <xf numFmtId="0" fontId="30" fillId="0" borderId="11" xfId="0" applyFont="1" applyFill="1" applyBorder="1" applyAlignment="1"/>
    <xf numFmtId="165" fontId="28" fillId="0" borderId="11" xfId="0" applyNumberFormat="1" applyFont="1" applyFill="1" applyBorder="1"/>
    <xf numFmtId="165" fontId="34" fillId="0" borderId="9" xfId="0" applyNumberFormat="1" applyFont="1" applyFill="1" applyBorder="1"/>
    <xf numFmtId="165" fontId="34" fillId="0" borderId="11" xfId="0" applyNumberFormat="1" applyFont="1" applyFill="1" applyBorder="1"/>
    <xf numFmtId="165" fontId="28" fillId="0" borderId="9" xfId="0" applyNumberFormat="1" applyFont="1" applyFill="1" applyBorder="1" applyAlignment="1">
      <alignment wrapText="1"/>
    </xf>
    <xf numFmtId="0" fontId="44" fillId="14" borderId="21" xfId="0" applyFont="1" applyFill="1" applyBorder="1" applyAlignment="1"/>
    <xf numFmtId="0" fontId="44" fillId="14" borderId="23" xfId="0" applyFont="1" applyFill="1" applyBorder="1" applyAlignment="1">
      <alignment wrapText="1"/>
    </xf>
    <xf numFmtId="0" fontId="47" fillId="15" borderId="20" xfId="0" applyFont="1" applyFill="1" applyBorder="1" applyAlignment="1"/>
    <xf numFmtId="165" fontId="49" fillId="15" borderId="24" xfId="0" applyNumberFormat="1" applyFont="1" applyFill="1" applyBorder="1"/>
    <xf numFmtId="0" fontId="47" fillId="16" borderId="9" xfId="0" applyFont="1" applyFill="1" applyBorder="1" applyAlignment="1"/>
    <xf numFmtId="3" fontId="44" fillId="16" borderId="9" xfId="0" applyNumberFormat="1" applyFont="1" applyFill="1" applyBorder="1" applyAlignment="1">
      <alignment wrapText="1"/>
    </xf>
    <xf numFmtId="0" fontId="44" fillId="16" borderId="9" xfId="0" applyFont="1" applyFill="1" applyBorder="1" applyAlignment="1">
      <alignment wrapText="1"/>
    </xf>
    <xf numFmtId="166" fontId="44" fillId="16" borderId="9" xfId="0" applyNumberFormat="1" applyFont="1" applyFill="1" applyBorder="1" applyAlignment="1">
      <alignment wrapText="1"/>
    </xf>
    <xf numFmtId="10" fontId="44" fillId="16" borderId="9" xfId="0" applyNumberFormat="1" applyFont="1" applyFill="1" applyBorder="1" applyAlignment="1">
      <alignment wrapText="1"/>
    </xf>
    <xf numFmtId="0" fontId="44" fillId="16" borderId="24" xfId="0" applyFont="1" applyFill="1" applyBorder="1" applyAlignment="1">
      <alignment wrapText="1"/>
    </xf>
    <xf numFmtId="0" fontId="48" fillId="0" borderId="9" xfId="0" applyFont="1" applyFill="1" applyBorder="1" applyAlignment="1"/>
    <xf numFmtId="10" fontId="48" fillId="0" borderId="9" xfId="0" applyNumberFormat="1" applyFont="1" applyFill="1" applyBorder="1" applyAlignment="1">
      <alignment horizontal="center"/>
    </xf>
    <xf numFmtId="44" fontId="28" fillId="14" borderId="9" xfId="14" applyFont="1" applyFill="1" applyBorder="1" applyAlignment="1">
      <alignment horizontal="right"/>
    </xf>
    <xf numFmtId="165" fontId="49" fillId="17" borderId="24" xfId="0" applyNumberFormat="1" applyFont="1" applyFill="1" applyBorder="1"/>
    <xf numFmtId="0" fontId="47" fillId="15" borderId="9" xfId="0" applyFont="1" applyFill="1" applyBorder="1" applyAlignment="1"/>
    <xf numFmtId="3" fontId="48" fillId="15" borderId="9" xfId="0" applyNumberFormat="1" applyFont="1" applyFill="1" applyBorder="1"/>
    <xf numFmtId="0" fontId="48" fillId="15" borderId="9" xfId="0" applyFont="1" applyFill="1" applyBorder="1"/>
    <xf numFmtId="44" fontId="28" fillId="15" borderId="9" xfId="14" applyFont="1" applyFill="1" applyBorder="1" applyAlignment="1">
      <alignment horizontal="right"/>
    </xf>
    <xf numFmtId="0" fontId="48" fillId="0" borderId="11" xfId="0" applyFont="1" applyFill="1" applyBorder="1" applyAlignment="1"/>
    <xf numFmtId="10" fontId="48" fillId="0" borderId="11" xfId="0" applyNumberFormat="1" applyFont="1" applyFill="1" applyBorder="1"/>
    <xf numFmtId="10" fontId="48" fillId="0" borderId="11" xfId="0" applyNumberFormat="1" applyFont="1" applyFill="1" applyBorder="1" applyAlignment="1">
      <alignment horizontal="center"/>
    </xf>
    <xf numFmtId="44" fontId="28" fillId="14" borderId="11" xfId="14" applyFont="1" applyFill="1" applyBorder="1" applyAlignment="1">
      <alignment horizontal="right"/>
    </xf>
    <xf numFmtId="165" fontId="49" fillId="17" borderId="25" xfId="0" applyNumberFormat="1" applyFont="1" applyFill="1" applyBorder="1"/>
    <xf numFmtId="0" fontId="47" fillId="16" borderId="9" xfId="0" applyFont="1" applyFill="1" applyBorder="1" applyAlignment="1">
      <alignment wrapText="1"/>
    </xf>
    <xf numFmtId="0" fontId="48" fillId="0" borderId="11" xfId="0" applyFont="1" applyFill="1" applyBorder="1" applyAlignment="1">
      <alignment wrapText="1"/>
    </xf>
    <xf numFmtId="0" fontId="48" fillId="0" borderId="9" xfId="0" applyFont="1" applyFill="1" applyBorder="1" applyAlignment="1">
      <alignment vertical="top" wrapText="1"/>
    </xf>
    <xf numFmtId="0" fontId="30" fillId="0" borderId="9" xfId="25" applyFont="1" applyFill="1" applyBorder="1" applyAlignment="1">
      <alignment wrapText="1"/>
    </xf>
    <xf numFmtId="0" fontId="30" fillId="0" borderId="11" xfId="25" applyFont="1" applyFill="1" applyBorder="1" applyAlignment="1">
      <alignment wrapText="1"/>
    </xf>
    <xf numFmtId="0" fontId="48" fillId="0" borderId="9" xfId="0" applyFont="1" applyFill="1" applyBorder="1" applyAlignment="1">
      <alignment horizontal="left"/>
    </xf>
    <xf numFmtId="170" fontId="48" fillId="0" borderId="9" xfId="0" applyNumberFormat="1" applyFont="1" applyFill="1" applyBorder="1"/>
    <xf numFmtId="0" fontId="30" fillId="0" borderId="9" xfId="25" applyFont="1" applyFill="1" applyBorder="1" applyAlignment="1">
      <alignment horizontal="left" vertical="top" wrapText="1"/>
    </xf>
    <xf numFmtId="3" fontId="30" fillId="0" borderId="9" xfId="25" applyNumberFormat="1" applyFont="1" applyFill="1" applyBorder="1" applyAlignment="1">
      <alignment horizontal="left" vertical="top"/>
    </xf>
    <xf numFmtId="0" fontId="30" fillId="0" borderId="9" xfId="25" applyFont="1" applyFill="1" applyBorder="1" applyAlignment="1">
      <alignment horizontal="left" vertical="top"/>
    </xf>
    <xf numFmtId="10" fontId="30" fillId="0" borderId="9" xfId="25" applyNumberFormat="1" applyFont="1" applyFill="1" applyBorder="1" applyAlignment="1">
      <alignment horizontal="left" vertical="top"/>
    </xf>
    <xf numFmtId="166" fontId="30" fillId="0" borderId="9" xfId="14" applyNumberFormat="1" applyFont="1" applyFill="1" applyBorder="1" applyAlignment="1">
      <alignment horizontal="left" vertical="top"/>
    </xf>
    <xf numFmtId="169" fontId="30" fillId="0" borderId="9" xfId="28" applyNumberFormat="1" applyFont="1" applyFill="1" applyBorder="1" applyAlignment="1">
      <alignment horizontal="left" vertical="top"/>
    </xf>
    <xf numFmtId="0" fontId="50" fillId="0" borderId="9" xfId="0" applyFont="1" applyFill="1" applyBorder="1"/>
    <xf numFmtId="10" fontId="48" fillId="0" borderId="9" xfId="0" applyNumberFormat="1" applyFont="1" applyFill="1" applyBorder="1" applyAlignment="1"/>
    <xf numFmtId="171" fontId="30" fillId="0" borderId="9" xfId="25" applyNumberFormat="1" applyFont="1" applyFill="1" applyBorder="1" applyAlignment="1">
      <alignment horizontal="left" vertical="top"/>
    </xf>
    <xf numFmtId="0" fontId="48" fillId="0" borderId="9" xfId="0" applyFont="1" applyFill="1" applyBorder="1" applyAlignment="1">
      <alignment horizontal="left" vertical="top" wrapText="1"/>
    </xf>
    <xf numFmtId="0" fontId="48" fillId="0" borderId="9" xfId="25" applyFont="1" applyFill="1" applyBorder="1" applyAlignment="1"/>
    <xf numFmtId="0" fontId="48" fillId="0" borderId="9" xfId="25" applyFont="1" applyFill="1" applyBorder="1" applyAlignment="1">
      <alignment wrapText="1"/>
    </xf>
    <xf numFmtId="0" fontId="48" fillId="13" borderId="9" xfId="0" applyFont="1" applyFill="1" applyBorder="1" applyAlignment="1">
      <alignment horizontal="left" vertical="top"/>
    </xf>
    <xf numFmtId="3" fontId="48" fillId="13" borderId="9" xfId="25" applyNumberFormat="1" applyFont="1" applyFill="1" applyBorder="1" applyAlignment="1">
      <alignment horizontal="left" vertical="top"/>
    </xf>
    <xf numFmtId="0" fontId="48" fillId="13" borderId="9" xfId="25" applyFont="1" applyFill="1" applyBorder="1" applyAlignment="1">
      <alignment horizontal="left" vertical="top"/>
    </xf>
    <xf numFmtId="169" fontId="48" fillId="13" borderId="9" xfId="28" applyNumberFormat="1" applyFont="1" applyFill="1" applyBorder="1" applyAlignment="1">
      <alignment horizontal="left" vertical="top"/>
    </xf>
    <xf numFmtId="44" fontId="28" fillId="13" borderId="9" xfId="14" applyFont="1" applyFill="1" applyBorder="1" applyAlignment="1">
      <alignment horizontal="right"/>
    </xf>
    <xf numFmtId="165" fontId="51" fillId="13" borderId="24" xfId="0" applyNumberFormat="1" applyFont="1" applyFill="1" applyBorder="1"/>
    <xf numFmtId="0" fontId="48" fillId="0" borderId="9" xfId="0" applyFont="1" applyFill="1" applyBorder="1" applyAlignment="1">
      <alignment horizontal="left" vertical="top"/>
    </xf>
    <xf numFmtId="3" fontId="48" fillId="0" borderId="9" xfId="25" applyNumberFormat="1" applyFont="1" applyFill="1" applyBorder="1" applyAlignment="1">
      <alignment horizontal="left" vertical="top"/>
    </xf>
    <xf numFmtId="0" fontId="48" fillId="0" borderId="9" xfId="25" applyFont="1" applyFill="1" applyBorder="1" applyAlignment="1">
      <alignment horizontal="left" vertical="top"/>
    </xf>
    <xf numFmtId="166" fontId="48" fillId="0" borderId="9" xfId="14" applyNumberFormat="1" applyFont="1" applyFill="1" applyBorder="1" applyAlignment="1">
      <alignment horizontal="left" vertical="top"/>
    </xf>
    <xf numFmtId="169" fontId="48" fillId="0" borderId="9" xfId="28" applyNumberFormat="1" applyFont="1" applyFill="1" applyBorder="1" applyAlignment="1">
      <alignment horizontal="left" vertical="top"/>
    </xf>
    <xf numFmtId="16" fontId="48" fillId="0" borderId="10" xfId="25" applyNumberFormat="1" applyFont="1" applyFill="1" applyBorder="1" applyAlignment="1">
      <alignment horizontal="left" vertical="top"/>
    </xf>
    <xf numFmtId="0" fontId="48" fillId="0" borderId="11" xfId="0" applyFont="1" applyFill="1" applyBorder="1" applyAlignment="1">
      <alignment horizontal="left" vertical="top"/>
    </xf>
    <xf numFmtId="3" fontId="48" fillId="0" borderId="11" xfId="25" applyNumberFormat="1" applyFont="1" applyFill="1" applyBorder="1" applyAlignment="1">
      <alignment horizontal="left" vertical="top"/>
    </xf>
    <xf numFmtId="0" fontId="48" fillId="0" borderId="11" xfId="25" applyFont="1" applyFill="1" applyBorder="1" applyAlignment="1">
      <alignment horizontal="left" vertical="top"/>
    </xf>
    <xf numFmtId="10" fontId="30" fillId="0" borderId="11" xfId="25" applyNumberFormat="1" applyFont="1" applyFill="1" applyBorder="1" applyAlignment="1">
      <alignment horizontal="left" vertical="top"/>
    </xf>
    <xf numFmtId="166" fontId="48" fillId="0" borderId="11" xfId="14" applyNumberFormat="1" applyFont="1" applyFill="1" applyBorder="1" applyAlignment="1">
      <alignment horizontal="left" vertical="top"/>
    </xf>
    <xf numFmtId="169" fontId="48" fillId="0" borderId="11" xfId="28" applyNumberFormat="1" applyFont="1" applyFill="1" applyBorder="1" applyAlignment="1">
      <alignment horizontal="left" vertical="top"/>
    </xf>
    <xf numFmtId="0" fontId="48" fillId="13" borderId="9" xfId="0" applyFont="1" applyFill="1" applyBorder="1" applyAlignment="1">
      <alignment horizontal="left" vertical="top" wrapText="1"/>
    </xf>
    <xf numFmtId="0" fontId="48" fillId="0" borderId="9" xfId="0" applyFont="1" applyFill="1" applyBorder="1" applyAlignment="1">
      <alignment vertical="center" wrapText="1"/>
    </xf>
    <xf numFmtId="3" fontId="30" fillId="0" borderId="9" xfId="25" applyNumberFormat="1" applyFont="1" applyFill="1" applyBorder="1"/>
    <xf numFmtId="166" fontId="30" fillId="0" borderId="9" xfId="14" applyNumberFormat="1" applyFont="1" applyFill="1" applyBorder="1" applyAlignment="1">
      <alignment horizontal="center"/>
    </xf>
    <xf numFmtId="10" fontId="30" fillId="0" borderId="9" xfId="25" applyNumberFormat="1" applyFont="1" applyFill="1" applyBorder="1"/>
    <xf numFmtId="0" fontId="48" fillId="0" borderId="9" xfId="0" applyFont="1" applyFill="1" applyBorder="1" applyAlignment="1">
      <alignment vertical="center"/>
    </xf>
    <xf numFmtId="0" fontId="30" fillId="0" borderId="10" xfId="25" applyFont="1" applyFill="1" applyBorder="1" applyAlignment="1">
      <alignment horizontal="left"/>
    </xf>
    <xf numFmtId="3" fontId="30" fillId="0" borderId="11" xfId="25" applyNumberFormat="1" applyFont="1" applyFill="1" applyBorder="1"/>
    <xf numFmtId="0" fontId="30" fillId="0" borderId="11" xfId="25" applyFont="1" applyFill="1" applyBorder="1"/>
    <xf numFmtId="166" fontId="30" fillId="0" borderId="11" xfId="14" applyNumberFormat="1" applyFont="1" applyFill="1" applyBorder="1" applyAlignment="1">
      <alignment horizontal="center"/>
    </xf>
    <xf numFmtId="10" fontId="30" fillId="0" borderId="11" xfId="25" applyNumberFormat="1" applyFont="1" applyFill="1" applyBorder="1"/>
    <xf numFmtId="10" fontId="48" fillId="0" borderId="9" xfId="0" applyNumberFormat="1" applyFont="1" applyFill="1" applyBorder="1" applyAlignment="1">
      <alignment horizontal="right"/>
    </xf>
    <xf numFmtId="3" fontId="48" fillId="0" borderId="9" xfId="25" applyNumberFormat="1" applyFont="1" applyFill="1" applyBorder="1"/>
    <xf numFmtId="0" fontId="48" fillId="0" borderId="9" xfId="25" applyFont="1" applyFill="1" applyBorder="1"/>
    <xf numFmtId="10" fontId="48" fillId="0" borderId="9" xfId="25" applyNumberFormat="1" applyFont="1" applyFill="1" applyBorder="1"/>
    <xf numFmtId="0" fontId="48" fillId="0" borderId="10" xfId="25" applyFont="1" applyFill="1" applyBorder="1" applyAlignment="1">
      <alignment horizontal="left"/>
    </xf>
    <xf numFmtId="0" fontId="48" fillId="0" borderId="11" xfId="25" applyFont="1" applyFill="1" applyBorder="1" applyAlignment="1">
      <alignment wrapText="1"/>
    </xf>
    <xf numFmtId="3" fontId="48" fillId="0" borderId="11" xfId="25" applyNumberFormat="1" applyFont="1" applyFill="1" applyBorder="1"/>
    <xf numFmtId="0" fontId="48" fillId="0" borderId="11" xfId="25" applyFont="1" applyFill="1" applyBorder="1"/>
    <xf numFmtId="10" fontId="48" fillId="0" borderId="11" xfId="25" applyNumberFormat="1" applyFont="1" applyFill="1" applyBorder="1"/>
    <xf numFmtId="3" fontId="52" fillId="0" borderId="9" xfId="25" applyNumberFormat="1" applyFont="1" applyFill="1" applyBorder="1" applyAlignment="1">
      <alignment wrapText="1"/>
    </xf>
    <xf numFmtId="10" fontId="30" fillId="0" borderId="9" xfId="28" applyNumberFormat="1" applyFont="1" applyFill="1" applyBorder="1" applyAlignment="1">
      <alignment wrapText="1"/>
    </xf>
    <xf numFmtId="10" fontId="30" fillId="0" borderId="9" xfId="28" applyNumberFormat="1" applyFont="1" applyFill="1" applyBorder="1"/>
    <xf numFmtId="10" fontId="30" fillId="0" borderId="9" xfId="28" applyNumberFormat="1" applyFont="1" applyFill="1" applyBorder="1" applyAlignment="1">
      <alignment horizontal="center"/>
    </xf>
    <xf numFmtId="0" fontId="30" fillId="0" borderId="9" xfId="25" applyFont="1" applyFill="1" applyBorder="1" applyAlignment="1"/>
    <xf numFmtId="3" fontId="8" fillId="0" borderId="9" xfId="25" applyNumberFormat="1" applyFont="1" applyFill="1" applyBorder="1" applyAlignment="1">
      <alignment wrapText="1"/>
    </xf>
    <xf numFmtId="10" fontId="30" fillId="0" borderId="9" xfId="28" applyNumberFormat="1" applyFont="1" applyFill="1" applyBorder="1" applyAlignment="1"/>
    <xf numFmtId="10" fontId="48" fillId="0" borderId="9" xfId="25" applyNumberFormat="1" applyFont="1" applyFill="1" applyBorder="1" applyAlignment="1"/>
    <xf numFmtId="10" fontId="48" fillId="0" borderId="11" xfId="0" applyNumberFormat="1" applyFont="1" applyFill="1" applyBorder="1" applyAlignment="1">
      <alignment horizontal="right"/>
    </xf>
    <xf numFmtId="0" fontId="48" fillId="0" borderId="9" xfId="25" applyFont="1" applyFill="1" applyBorder="1" applyAlignment="1">
      <alignment horizontal="left" vertical="top" wrapText="1"/>
    </xf>
    <xf numFmtId="10" fontId="48" fillId="0" borderId="11" xfId="0" applyNumberFormat="1" applyFont="1" applyFill="1" applyBorder="1" applyAlignment="1"/>
    <xf numFmtId="3" fontId="46" fillId="0" borderId="9" xfId="0" applyNumberFormat="1" applyFont="1" applyFill="1" applyBorder="1"/>
    <xf numFmtId="0" fontId="46" fillId="0" borderId="9" xfId="0" applyFont="1" applyFill="1" applyBorder="1"/>
    <xf numFmtId="3" fontId="48" fillId="0" borderId="9" xfId="0" applyNumberFormat="1" applyFont="1" applyFill="1" applyBorder="1" applyAlignment="1">
      <alignment wrapText="1"/>
    </xf>
    <xf numFmtId="10" fontId="48" fillId="0" borderId="9" xfId="0" applyNumberFormat="1" applyFont="1" applyFill="1" applyBorder="1" applyAlignment="1">
      <alignment wrapText="1"/>
    </xf>
    <xf numFmtId="10" fontId="48" fillId="0" borderId="9" xfId="0" applyNumberFormat="1" applyFont="1" applyFill="1" applyBorder="1" applyAlignment="1">
      <alignment horizontal="right" wrapText="1"/>
    </xf>
    <xf numFmtId="166" fontId="48" fillId="0" borderId="9" xfId="0" applyNumberFormat="1" applyFont="1" applyFill="1" applyBorder="1" applyAlignment="1">
      <alignment wrapText="1"/>
    </xf>
    <xf numFmtId="169" fontId="48" fillId="0" borderId="9" xfId="0" applyNumberFormat="1" applyFont="1" applyFill="1" applyBorder="1" applyAlignment="1">
      <alignment wrapText="1"/>
    </xf>
    <xf numFmtId="0" fontId="48" fillId="0" borderId="22" xfId="0" applyFont="1" applyFill="1" applyBorder="1" applyAlignment="1"/>
    <xf numFmtId="0" fontId="48" fillId="0" borderId="0" xfId="0" applyFont="1" applyFill="1" applyBorder="1" applyAlignment="1"/>
    <xf numFmtId="0" fontId="43" fillId="0" borderId="0" xfId="0" applyFont="1" applyFill="1" applyBorder="1" applyAlignment="1"/>
    <xf numFmtId="0" fontId="44" fillId="14" borderId="7" xfId="0" applyFont="1" applyFill="1" applyBorder="1" applyAlignment="1"/>
    <xf numFmtId="0" fontId="44" fillId="14" borderId="23" xfId="0" applyFont="1" applyFill="1" applyBorder="1" applyAlignment="1">
      <alignment horizontal="center" wrapText="1"/>
    </xf>
    <xf numFmtId="0" fontId="49" fillId="15" borderId="24" xfId="0" applyFont="1" applyFill="1" applyBorder="1"/>
    <xf numFmtId="165" fontId="49" fillId="0" borderId="24" xfId="0" applyNumberFormat="1" applyFont="1" applyFill="1" applyBorder="1"/>
    <xf numFmtId="169" fontId="48" fillId="0" borderId="11" xfId="0" applyNumberFormat="1" applyFont="1" applyFill="1" applyBorder="1" applyAlignment="1">
      <alignment horizontal="center"/>
    </xf>
    <xf numFmtId="166" fontId="48" fillId="18" borderId="11" xfId="0" applyNumberFormat="1" applyFont="1" applyFill="1" applyBorder="1"/>
    <xf numFmtId="165" fontId="49" fillId="0" borderId="25" xfId="0" applyNumberFormat="1" applyFont="1" applyFill="1" applyBorder="1"/>
    <xf numFmtId="0" fontId="30" fillId="0" borderId="11" xfId="25" applyFont="1" applyFill="1" applyBorder="1" applyAlignment="1"/>
    <xf numFmtId="0" fontId="48" fillId="0" borderId="11" xfId="0" applyFont="1" applyFill="1" applyBorder="1" applyAlignment="1">
      <alignment vertical="center" wrapText="1"/>
    </xf>
    <xf numFmtId="3" fontId="33" fillId="0" borderId="11" xfId="0" applyNumberFormat="1" applyFont="1" applyFill="1" applyBorder="1"/>
    <xf numFmtId="0" fontId="48" fillId="0" borderId="11" xfId="25" applyFont="1" applyFill="1" applyBorder="1" applyAlignment="1"/>
    <xf numFmtId="0" fontId="48" fillId="0" borderId="10" xfId="25" applyFont="1" applyFill="1" applyBorder="1" applyAlignment="1">
      <alignment horizontal="left" wrapText="1"/>
    </xf>
    <xf numFmtId="3" fontId="52" fillId="0" borderId="11" xfId="25" applyNumberFormat="1" applyFont="1" applyFill="1" applyBorder="1" applyAlignment="1">
      <alignment wrapText="1"/>
    </xf>
    <xf numFmtId="10" fontId="30" fillId="0" borderId="11" xfId="28" applyNumberFormat="1" applyFont="1" applyFill="1" applyBorder="1" applyAlignment="1">
      <alignment wrapText="1"/>
    </xf>
    <xf numFmtId="10" fontId="30" fillId="0" borderId="11" xfId="28" applyNumberFormat="1" applyFont="1" applyFill="1" applyBorder="1" applyAlignment="1"/>
    <xf numFmtId="10" fontId="30" fillId="0" borderId="11" xfId="28" applyNumberFormat="1" applyFont="1" applyFill="1" applyBorder="1" applyAlignment="1">
      <alignment horizontal="center"/>
    </xf>
    <xf numFmtId="10" fontId="30" fillId="0" borderId="11" xfId="28" applyNumberFormat="1" applyFont="1" applyFill="1" applyBorder="1"/>
    <xf numFmtId="0" fontId="48" fillId="0" borderId="10" xfId="25" applyFont="1" applyFill="1" applyBorder="1" applyAlignment="1">
      <alignment horizontal="left" vertical="top"/>
    </xf>
    <xf numFmtId="0" fontId="48" fillId="0" borderId="11" xfId="25" applyFont="1" applyFill="1" applyBorder="1" applyAlignment="1">
      <alignment horizontal="left" vertical="top" wrapText="1"/>
    </xf>
    <xf numFmtId="166" fontId="48" fillId="0" borderId="27" xfId="0" applyNumberFormat="1" applyFont="1" applyFill="1" applyBorder="1"/>
    <xf numFmtId="10" fontId="48" fillId="0" borderId="27" xfId="0" applyNumberFormat="1" applyFont="1" applyFill="1" applyBorder="1"/>
    <xf numFmtId="166" fontId="48" fillId="0" borderId="27" xfId="0" applyNumberFormat="1" applyFont="1" applyFill="1" applyBorder="1" applyAlignment="1">
      <alignment horizontal="center"/>
    </xf>
    <xf numFmtId="0" fontId="48" fillId="0" borderId="26" xfId="0" applyFont="1" applyFill="1" applyBorder="1" applyAlignment="1">
      <alignment horizontal="left"/>
    </xf>
    <xf numFmtId="0" fontId="48" fillId="0" borderId="27" xfId="0" applyFont="1" applyFill="1" applyBorder="1" applyAlignment="1"/>
    <xf numFmtId="3" fontId="48" fillId="0" borderId="27" xfId="0" applyNumberFormat="1" applyFont="1" applyFill="1" applyBorder="1"/>
    <xf numFmtId="0" fontId="48" fillId="0" borderId="27" xfId="0" applyFont="1" applyFill="1" applyBorder="1"/>
    <xf numFmtId="166" fontId="40" fillId="0" borderId="27" xfId="0" applyNumberFormat="1" applyFont="1" applyFill="1" applyBorder="1"/>
    <xf numFmtId="169" fontId="48" fillId="0" borderId="27" xfId="0" applyNumberFormat="1" applyFont="1" applyFill="1" applyBorder="1"/>
    <xf numFmtId="169" fontId="40" fillId="0" borderId="27" xfId="0" applyNumberFormat="1" applyFont="1" applyFill="1" applyBorder="1" applyAlignment="1">
      <alignment horizontal="center"/>
    </xf>
    <xf numFmtId="169" fontId="40" fillId="0" borderId="27" xfId="0" applyNumberFormat="1" applyFont="1" applyFill="1" applyBorder="1"/>
    <xf numFmtId="166" fontId="40" fillId="0" borderId="27" xfId="0" applyNumberFormat="1" applyFont="1" applyFill="1" applyBorder="1" applyAlignment="1">
      <alignment horizontal="center"/>
    </xf>
    <xf numFmtId="166" fontId="48" fillId="18" borderId="27" xfId="0" applyNumberFormat="1" applyFont="1" applyFill="1" applyBorder="1"/>
    <xf numFmtId="166" fontId="28" fillId="18" borderId="27" xfId="0" applyNumberFormat="1" applyFont="1" applyFill="1" applyBorder="1"/>
    <xf numFmtId="165" fontId="49" fillId="0" borderId="28" xfId="0" applyNumberFormat="1" applyFont="1" applyFill="1" applyBorder="1"/>
    <xf numFmtId="0" fontId="48" fillId="0" borderId="27" xfId="0" applyFont="1" applyFill="1" applyBorder="1" applyAlignment="1">
      <alignment wrapText="1"/>
    </xf>
    <xf numFmtId="169" fontId="48" fillId="0" borderId="27" xfId="0" applyNumberFormat="1" applyFont="1" applyFill="1" applyBorder="1" applyAlignment="1">
      <alignment horizontal="center"/>
    </xf>
    <xf numFmtId="0" fontId="23" fillId="9" borderId="0" xfId="0" applyFont="1" applyFill="1" applyAlignment="1">
      <alignment horizontal="center"/>
    </xf>
    <xf numFmtId="0" fontId="42" fillId="13" borderId="13" xfId="0" applyFont="1" applyFill="1" applyBorder="1" applyAlignment="1">
      <alignment horizontal="center"/>
    </xf>
    <xf numFmtId="0" fontId="42" fillId="13" borderId="14" xfId="0" applyFont="1" applyFill="1" applyBorder="1" applyAlignment="1">
      <alignment horizontal="center"/>
    </xf>
    <xf numFmtId="0" fontId="42" fillId="13" borderId="12" xfId="0" applyFont="1" applyFill="1" applyBorder="1" applyAlignment="1">
      <alignment horizontal="center"/>
    </xf>
  </cellXfs>
  <cellStyles count="35">
    <cellStyle name="Bad" xfId="29" builtinId="27"/>
    <cellStyle name="Comma 2" xfId="8"/>
    <cellStyle name="Comma 3" xfId="13"/>
    <cellStyle name="Currency" xfId="14" builtinId="4"/>
    <cellStyle name="Currency 2" xfId="7"/>
    <cellStyle name="Currency 3" xfId="11"/>
    <cellStyle name="Currency 4" xfId="34"/>
    <cellStyle name="Hyperlink" xfId="3" builtinId="8"/>
    <cellStyle name="Hyperlink 2" xfId="1"/>
    <cellStyle name="Normal" xfId="0" builtinId="0"/>
    <cellStyle name="Normal 10" xfId="25"/>
    <cellStyle name="Normal 10 2" xfId="31"/>
    <cellStyle name="Normal 11" xfId="30"/>
    <cellStyle name="Normal 2" xfId="2"/>
    <cellStyle name="Normal 2 2" xfId="4"/>
    <cellStyle name="Normal 3" xfId="6"/>
    <cellStyle name="Normal 3 2" xfId="16"/>
    <cellStyle name="Normal 4" xfId="10"/>
    <cellStyle name="Normal 5" xfId="17"/>
    <cellStyle name="Normal 5 2" xfId="19"/>
    <cellStyle name="Normal 5 3" xfId="21"/>
    <cellStyle name="Normal 5 4" xfId="24"/>
    <cellStyle name="Normal 5 5" xfId="27"/>
    <cellStyle name="Normal 5 6" xfId="32"/>
    <cellStyle name="Normal 6" xfId="18"/>
    <cellStyle name="Normal 7" xfId="20"/>
    <cellStyle name="Normal 7 2" xfId="23"/>
    <cellStyle name="Normal 7 3" xfId="26"/>
    <cellStyle name="Normal 8" xfId="22"/>
    <cellStyle name="Normal 9" xfId="15"/>
    <cellStyle name="Percent" xfId="28" builtinId="5"/>
    <cellStyle name="Percent 2" xfId="5"/>
    <cellStyle name="Percent 3" xfId="9"/>
    <cellStyle name="Percent 4" xfId="12"/>
    <cellStyle name="Percent 5" xfId="33"/>
  </cellStyles>
  <dxfs count="1">
    <dxf>
      <fill>
        <patternFill>
          <bgColor rgb="FFFF00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Construction Contract Amount'!A1"/><Relationship Id="rId2" Type="http://schemas.openxmlformats.org/officeDocument/2006/relationships/hyperlink" Target="#'Cash Flow for Early Estimates'!A1"/><Relationship Id="rId1" Type="http://schemas.openxmlformats.org/officeDocument/2006/relationships/hyperlink" Target="#'Total Cost Projection'!A1"/><Relationship Id="rId5" Type="http://schemas.openxmlformats.org/officeDocument/2006/relationships/hyperlink" Target="#'CSI 2017'!A1"/><Relationship Id="rId4" Type="http://schemas.openxmlformats.org/officeDocument/2006/relationships/hyperlink" Target="#'APWA 2017'!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57149</xdr:colOff>
      <xdr:row>3</xdr:row>
      <xdr:rowOff>66675</xdr:rowOff>
    </xdr:from>
    <xdr:to>
      <xdr:col>1</xdr:col>
      <xdr:colOff>581025</xdr:colOff>
      <xdr:row>3</xdr:row>
      <xdr:rowOff>466725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57149" y="66675"/>
          <a:ext cx="523876" cy="40005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Go</a:t>
          </a:r>
        </a:p>
      </xdr:txBody>
    </xdr:sp>
    <xdr:clientData/>
  </xdr:twoCellAnchor>
  <xdr:twoCellAnchor>
    <xdr:from>
      <xdr:col>1</xdr:col>
      <xdr:colOff>47625</xdr:colOff>
      <xdr:row>4</xdr:row>
      <xdr:rowOff>76200</xdr:rowOff>
    </xdr:from>
    <xdr:to>
      <xdr:col>1</xdr:col>
      <xdr:colOff>571501</xdr:colOff>
      <xdr:row>4</xdr:row>
      <xdr:rowOff>476250</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7625" y="600075"/>
          <a:ext cx="523876" cy="40005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Go</a:t>
          </a:r>
        </a:p>
      </xdr:txBody>
    </xdr:sp>
    <xdr:clientData/>
  </xdr:twoCellAnchor>
  <xdr:twoCellAnchor>
    <xdr:from>
      <xdr:col>1</xdr:col>
      <xdr:colOff>47625</xdr:colOff>
      <xdr:row>7</xdr:row>
      <xdr:rowOff>57150</xdr:rowOff>
    </xdr:from>
    <xdr:to>
      <xdr:col>1</xdr:col>
      <xdr:colOff>571501</xdr:colOff>
      <xdr:row>7</xdr:row>
      <xdr:rowOff>457200</xdr:rowOff>
    </xdr:to>
    <xdr:sp macro="" textlink="">
      <xdr:nvSpPr>
        <xdr:cNvPr id="6" name="Pentagon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47625" y="1362075"/>
          <a:ext cx="523876" cy="40005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Go</a:t>
          </a:r>
        </a:p>
      </xdr:txBody>
    </xdr:sp>
    <xdr:clientData/>
  </xdr:twoCellAnchor>
  <xdr:twoCellAnchor>
    <xdr:from>
      <xdr:col>2</xdr:col>
      <xdr:colOff>47625</xdr:colOff>
      <xdr:row>8</xdr:row>
      <xdr:rowOff>57150</xdr:rowOff>
    </xdr:from>
    <xdr:to>
      <xdr:col>2</xdr:col>
      <xdr:colOff>571501</xdr:colOff>
      <xdr:row>8</xdr:row>
      <xdr:rowOff>457200</xdr:rowOff>
    </xdr:to>
    <xdr:sp macro="" textlink="">
      <xdr:nvSpPr>
        <xdr:cNvPr id="7" name="Pentagon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47625" y="1362075"/>
          <a:ext cx="523876" cy="40005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Go</a:t>
          </a:r>
        </a:p>
      </xdr:txBody>
    </xdr:sp>
    <xdr:clientData/>
  </xdr:twoCellAnchor>
  <xdr:twoCellAnchor>
    <xdr:from>
      <xdr:col>2</xdr:col>
      <xdr:colOff>47625</xdr:colOff>
      <xdr:row>9</xdr:row>
      <xdr:rowOff>57150</xdr:rowOff>
    </xdr:from>
    <xdr:to>
      <xdr:col>2</xdr:col>
      <xdr:colOff>571501</xdr:colOff>
      <xdr:row>9</xdr:row>
      <xdr:rowOff>457200</xdr:rowOff>
    </xdr:to>
    <xdr:sp macro="" textlink="">
      <xdr:nvSpPr>
        <xdr:cNvPr id="8" name="Pentagon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47625" y="1362075"/>
          <a:ext cx="523876" cy="40005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Go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u-sharepoint/Documents%20and%20Settings/robertsc/Desktop/Cost%20Plan%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u-sharepoint/Documents%20and%20Settings/robertsc/Local%20Settings/Temporary%20Internet%20Files/Content.Outlook/0MW51HKE/NPV%20Perspective%20Template%20Flooding%20ReductionAsBenefit(version%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u-sharepoint/Documents%20and%20Settings/brushem/Desktop/Copy%20of%2002_0019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ummary"/>
      <sheetName val="Cost Plan Summary"/>
      <sheetName val="Estimates"/>
      <sheetName val="Revisions"/>
      <sheetName val="Cash Flow "/>
      <sheetName val="Reserves and Changes"/>
      <sheetName val="Scope Monitoring"/>
      <sheetName val="Drop Down Lists"/>
    </sheetNames>
    <sheetDataSet>
      <sheetData sheetId="0"/>
      <sheetData sheetId="1"/>
      <sheetData sheetId="2"/>
      <sheetData sheetId="3"/>
      <sheetData sheetId="4"/>
      <sheetData sheetId="5"/>
      <sheetData sheetId="6"/>
      <sheetData sheetId="7">
        <row r="2">
          <cell r="A2" t="str">
            <v>Not Started</v>
          </cell>
          <cell r="E2" t="str">
            <v>Y</v>
          </cell>
        </row>
        <row r="3">
          <cell r="A3" t="str">
            <v>In-Progess</v>
          </cell>
          <cell r="C3" t="str">
            <v>Reserves</v>
          </cell>
          <cell r="E3" t="str">
            <v>N</v>
          </cell>
          <cell r="G3" t="str">
            <v>Risk Event</v>
          </cell>
        </row>
        <row r="4">
          <cell r="A4" t="str">
            <v>Complete</v>
          </cell>
          <cell r="C4" t="str">
            <v>Increase GAA</v>
          </cell>
          <cell r="G4" t="str">
            <v>Change</v>
          </cell>
        </row>
        <row r="5">
          <cell r="G5" t="str">
            <v>Inaccurate estimate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pectives Table"/>
      <sheetName val="PVof O&amp;M"/>
      <sheetName val="Risk Assumption"/>
      <sheetName val="Summary&amp;Chart"/>
      <sheetName val="Basecase"/>
      <sheetName val="Option 1"/>
      <sheetName val="Option 2LITE"/>
      <sheetName val="Option 2"/>
      <sheetName val="Option 3"/>
      <sheetName val="MeadowbrookO&amp;MCalcs"/>
    </sheetNames>
    <sheetDataSet>
      <sheetData sheetId="0">
        <row r="11">
          <cell r="A11">
            <v>1</v>
          </cell>
          <cell r="B11" t="str">
            <v>SPU Ratepayer</v>
          </cell>
        </row>
        <row r="12">
          <cell r="A12">
            <v>2</v>
          </cell>
          <cell r="B12" t="str">
            <v>Meadowbrook Neighbors</v>
          </cell>
        </row>
        <row r="13">
          <cell r="A13">
            <v>3</v>
          </cell>
          <cell r="B13" t="str">
            <v>Nathan Hale</v>
          </cell>
        </row>
        <row r="14">
          <cell r="A14">
            <v>4</v>
          </cell>
          <cell r="B14" t="str">
            <v>Drivers around 35th Ave</v>
          </cell>
        </row>
        <row r="15">
          <cell r="A15">
            <v>5</v>
          </cell>
          <cell r="B15" t="str">
            <v>Kramer Creek Neighbors</v>
          </cell>
        </row>
        <row r="16">
          <cell r="A16">
            <v>6</v>
          </cell>
          <cell r="B16" t="str">
            <v>Nathan Hale</v>
          </cell>
        </row>
        <row r="17">
          <cell r="A17">
            <v>7</v>
          </cell>
        </row>
        <row r="18">
          <cell r="A18">
            <v>8</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ummary"/>
      <sheetName val="Drop Down Options"/>
    </sheetNames>
    <sheetDataSet>
      <sheetData sheetId="0"/>
      <sheetData sheetId="1">
        <row r="2">
          <cell r="A2" t="str">
            <v>Actual</v>
          </cell>
        </row>
        <row r="3">
          <cell r="A3" t="str">
            <v>Class 5</v>
          </cell>
        </row>
        <row r="4">
          <cell r="A4" t="str">
            <v>Class 4</v>
          </cell>
        </row>
        <row r="5">
          <cell r="A5" t="str">
            <v>Class 3</v>
          </cell>
        </row>
        <row r="6">
          <cell r="A6" t="str">
            <v>Class 2</v>
          </cell>
        </row>
        <row r="7">
          <cell r="A7" t="str">
            <v>Class 1</v>
          </cell>
        </row>
        <row r="8">
          <cell r="A8" t="str">
            <v>Custom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9.bin"/><Relationship Id="rId7" Type="http://schemas.openxmlformats.org/officeDocument/2006/relationships/hyperlink" Target="file:///\\wdcnas01\spucad%20data\cadd\PrjMgmt\_CEG\3-Inflation,%20Escalation%20Adjustmen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file:///\\wdcnas01\spucad%20data\cadd\PrjMgmt\_CEG\APPX%20B-Sales%20Tax%20Guide.pdf" TargetMode="External"/><Relationship Id="rId5" Type="http://schemas.openxmlformats.org/officeDocument/2006/relationships/printerSettings" Target="../printerSettings/printerSettings11.bin"/><Relationship Id="rId10" Type="http://schemas.openxmlformats.org/officeDocument/2006/relationships/comments" Target="../comments1.xml"/><Relationship Id="rId4" Type="http://schemas.openxmlformats.org/officeDocument/2006/relationships/printerSettings" Target="../printerSettings/printerSettings10.bin"/><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hyperlink" Target="file:///\\wdcnas01\spucad%20data\cadd\PrjMgmt\_CEG\4-Estimate%20Capital%20Base%20Cost.pdf" TargetMode="External"/><Relationship Id="rId13" Type="http://schemas.openxmlformats.org/officeDocument/2006/relationships/comments" Target="../comments2.xml"/><Relationship Id="rId3" Type="http://schemas.openxmlformats.org/officeDocument/2006/relationships/printerSettings" Target="../printerSettings/printerSettings15.bin"/><Relationship Id="rId7" Type="http://schemas.openxmlformats.org/officeDocument/2006/relationships/hyperlink" Target="file:///\\wdcnas01\spucad%20data\cadd\PrjMgmt\_CEG\4-Estimate%20Capital%20Base%20Cost.pdf" TargetMode="External"/><Relationship Id="rId12"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file:///\\wdcnas01\spucad%20data\cadd\PrjMgmt\_CEG\APPX%20B-Sales%20Tax%20Guide.pdf" TargetMode="External"/><Relationship Id="rId11" Type="http://schemas.openxmlformats.org/officeDocument/2006/relationships/printerSettings" Target="../printerSettings/printerSettings18.bin"/><Relationship Id="rId5" Type="http://schemas.openxmlformats.org/officeDocument/2006/relationships/printerSettings" Target="../printerSettings/printerSettings17.bin"/><Relationship Id="rId10" Type="http://schemas.openxmlformats.org/officeDocument/2006/relationships/hyperlink" Target="file:///\\wdcnas01\spucad%20data\cadd\PrjMgmt\_CEG\APPX%20A-Hard%20and%20Soft%20Costs.pdf" TargetMode="External"/><Relationship Id="rId4" Type="http://schemas.openxmlformats.org/officeDocument/2006/relationships/printerSettings" Target="../printerSettings/printerSettings16.bin"/><Relationship Id="rId9" Type="http://schemas.openxmlformats.org/officeDocument/2006/relationships/hyperlink" Target="file:///\\wdcnas01\spucad%20data\cadd\PrjMgmt\_CEG\4-Estimate%20Capital%20Base%20Cost.pdf"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21.bin"/><Relationship Id="rId7" Type="http://schemas.openxmlformats.org/officeDocument/2006/relationships/hyperlink" Target="http://spuforms/cgi-bin/GetTerm.pl?GetTerm=Inflation+and+Escalation"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http://spuforms/cgi-bin/GetTerm.pl?GetTerm=Inflation+and+Escalation" TargetMode="Externa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3"/>
  <sheetViews>
    <sheetView tabSelected="1" workbookViewId="0">
      <selection sqref="A1:E1"/>
    </sheetView>
  </sheetViews>
  <sheetFormatPr defaultRowHeight="13.2" x14ac:dyDescent="0.25"/>
  <cols>
    <col min="1" max="1" width="6" customWidth="1"/>
    <col min="3" max="3" width="11.6640625" customWidth="1"/>
    <col min="4" max="4" width="18.33203125" customWidth="1"/>
    <col min="5" max="5" width="102.5546875" customWidth="1"/>
  </cols>
  <sheetData>
    <row r="1" spans="1:5" ht="21" x14ac:dyDescent="0.4">
      <c r="A1" s="440" t="s">
        <v>14435</v>
      </c>
      <c r="B1" s="440"/>
      <c r="C1" s="440"/>
      <c r="D1" s="440"/>
      <c r="E1" s="440"/>
    </row>
    <row r="2" spans="1:5" x14ac:dyDescent="0.25">
      <c r="A2" s="55"/>
      <c r="B2" s="55"/>
      <c r="C2" s="55"/>
      <c r="D2" s="55"/>
      <c r="E2" s="55"/>
    </row>
    <row r="3" spans="1:5" ht="21" x14ac:dyDescent="0.4">
      <c r="A3" s="55"/>
      <c r="B3" s="56" t="s">
        <v>14455</v>
      </c>
      <c r="C3" s="56"/>
      <c r="D3" s="56"/>
      <c r="E3" s="55"/>
    </row>
    <row r="4" spans="1:5" ht="41.25" customHeight="1" x14ac:dyDescent="0.25">
      <c r="A4" s="55"/>
      <c r="B4" s="55"/>
      <c r="C4" s="57" t="s">
        <v>14467</v>
      </c>
      <c r="D4" s="57"/>
      <c r="E4" s="63" t="s">
        <v>14464</v>
      </c>
    </row>
    <row r="5" spans="1:5" ht="41.25" customHeight="1" x14ac:dyDescent="0.25">
      <c r="A5" s="55"/>
      <c r="B5" s="91" t="s">
        <v>14429</v>
      </c>
      <c r="C5" s="57" t="s">
        <v>14466</v>
      </c>
      <c r="D5" s="57"/>
      <c r="E5" s="55"/>
    </row>
    <row r="6" spans="1:5" ht="21" customHeight="1" x14ac:dyDescent="0.25">
      <c r="A6" s="55"/>
      <c r="B6" s="55"/>
      <c r="C6" s="57"/>
      <c r="D6" s="57"/>
      <c r="E6" s="55"/>
    </row>
    <row r="7" spans="1:5" ht="39" customHeight="1" x14ac:dyDescent="0.4">
      <c r="A7" s="53"/>
      <c r="B7" s="54" t="s">
        <v>14457</v>
      </c>
      <c r="C7" s="54"/>
      <c r="D7" s="54"/>
      <c r="E7" s="53"/>
    </row>
    <row r="8" spans="1:5" ht="41.25" customHeight="1" x14ac:dyDescent="0.25">
      <c r="A8" s="53"/>
      <c r="B8" s="53"/>
      <c r="C8" s="58" t="s">
        <v>14430</v>
      </c>
      <c r="D8" s="58"/>
      <c r="E8" s="53"/>
    </row>
    <row r="9" spans="1:5" ht="41.25" customHeight="1" x14ac:dyDescent="0.25">
      <c r="A9" s="53"/>
      <c r="B9" s="53"/>
      <c r="C9" s="53"/>
      <c r="D9" s="58" t="s">
        <v>14431</v>
      </c>
      <c r="E9" s="64" t="s">
        <v>14456</v>
      </c>
    </row>
    <row r="10" spans="1:5" ht="41.25" customHeight="1" x14ac:dyDescent="0.25">
      <c r="A10" s="53"/>
      <c r="B10" s="53"/>
      <c r="C10" s="53"/>
      <c r="D10" s="58" t="s">
        <v>14432</v>
      </c>
      <c r="E10" s="53"/>
    </row>
    <row r="11" spans="1:5" ht="14.25" customHeight="1" x14ac:dyDescent="0.25">
      <c r="A11" s="53"/>
      <c r="B11" s="53"/>
      <c r="C11" s="53"/>
      <c r="D11" s="53"/>
      <c r="E11" s="53"/>
    </row>
    <row r="13" spans="1:5" x14ac:dyDescent="0.25">
      <c r="B13" t="s">
        <v>18937</v>
      </c>
    </row>
  </sheetData>
  <customSheetViews>
    <customSheetView guid="{745DB71F-8933-41D7-BE5B-16A940EDBBE9}" showPageBreaks="1" fitToPage="1" printArea="1">
      <selection activeCell="D13" sqref="D13"/>
      <pageMargins left="0.7" right="0.7" top="0.75" bottom="0.75" header="0.3" footer="0.3"/>
      <pageSetup scale="84" orientation="landscape" r:id="rId1"/>
    </customSheetView>
    <customSheetView guid="{5022875D-193C-41EC-BB2F-46BD922E594A}" showPageBreaks="1" fitToPage="1" printArea="1">
      <selection activeCell="D15" sqref="D15"/>
      <pageMargins left="0.7" right="0.7" top="0.75" bottom="0.75" header="0.3" footer="0.3"/>
      <pageSetup scale="84" orientation="landscape" r:id="rId2"/>
    </customSheetView>
    <customSheetView guid="{23DC8B3D-8B5E-4886-8175-FE20CCB314E2}" fitToPage="1">
      <selection activeCell="D15" sqref="D15"/>
      <pageMargins left="0.7" right="0.7" top="0.75" bottom="0.75" header="0.3" footer="0.3"/>
      <pageSetup orientation="landscape" r:id="rId3"/>
    </customSheetView>
    <customSheetView guid="{133066FC-E63E-478B-AF61-B83EA814B20D}" fitToPage="1">
      <selection activeCell="D15" sqref="D15"/>
      <pageMargins left="0.7" right="0.7" top="0.75" bottom="0.75" header="0.3" footer="0.3"/>
      <pageSetup scale="84" orientation="landscape" r:id="rId4"/>
    </customSheetView>
    <customSheetView guid="{1AACC9AA-928C-4EAC-BFCD-1D4B799515C7}" fitToPage="1">
      <selection activeCell="D13" sqref="D13"/>
      <pageMargins left="0.7" right="0.7" top="0.75" bottom="0.75" header="0.3" footer="0.3"/>
      <pageSetup scale="84" orientation="landscape" r:id="rId5"/>
    </customSheetView>
  </customSheetViews>
  <mergeCells count="1">
    <mergeCell ref="A1:E1"/>
  </mergeCells>
  <hyperlinks>
    <hyperlink ref="C4" location="'Early Estimates'!A1" display="Estimate sheet for projects up through Stage Gate 2"/>
    <hyperlink ref="C5" location="'Cash Flow for Early Estimates'!A1" display="Cash flow tool"/>
    <hyperlink ref="C8" location="'Construction Contract Amount'!A1" display="Construction Contract Amount Worksheet"/>
    <hyperlink ref="D9" location="'APWA 2017'!A1" display="APWA Bid Item List"/>
    <hyperlink ref="B5:D5" location="'Cash Flow for Early Estimates'!A1" display="Go"/>
    <hyperlink ref="D10" location="'CSI 2017'!A1" display="CSI Bid Item List"/>
  </hyperlinks>
  <pageMargins left="0.7" right="0.7" top="0.75" bottom="0.75" header="0.3" footer="0.3"/>
  <pageSetup scale="84" orientation="landscape"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K44"/>
  <sheetViews>
    <sheetView workbookViewId="0"/>
  </sheetViews>
  <sheetFormatPr defaultColWidth="9.109375" defaultRowHeight="13.2" x14ac:dyDescent="0.25"/>
  <cols>
    <col min="1" max="1" width="5.5546875" style="16" customWidth="1"/>
    <col min="2" max="2" width="11.88671875" style="16" customWidth="1"/>
    <col min="3" max="3" width="53.109375" style="8" customWidth="1"/>
    <col min="4" max="4" width="19.33203125" style="18" customWidth="1"/>
    <col min="5" max="5" width="5.88671875" style="17" customWidth="1"/>
    <col min="6" max="6" width="19.33203125" style="18" customWidth="1"/>
    <col min="7" max="7" width="23.6640625" style="8" customWidth="1"/>
    <col min="8" max="8" width="9" style="18" hidden="1" customWidth="1"/>
    <col min="9" max="9" width="25.5546875" style="8" bestFit="1" customWidth="1"/>
    <col min="10" max="10" width="9" style="18" customWidth="1"/>
    <col min="11" max="11" width="12.109375" style="20" customWidth="1"/>
    <col min="12" max="12" width="10.109375" style="8" bestFit="1" customWidth="1"/>
    <col min="13" max="16384" width="9.109375" style="8"/>
  </cols>
  <sheetData>
    <row r="1" spans="1:10" s="9" customFormat="1" ht="17.399999999999999" x14ac:dyDescent="0.3">
      <c r="A1" s="5" t="s">
        <v>14463</v>
      </c>
      <c r="B1" s="6"/>
      <c r="C1" s="7"/>
      <c r="D1" s="6"/>
      <c r="E1" s="7"/>
      <c r="F1" s="6"/>
      <c r="G1" s="8"/>
      <c r="I1" s="10"/>
      <c r="J1" s="11"/>
    </row>
    <row r="2" spans="1:10" s="9" customFormat="1" ht="26.25" customHeight="1" x14ac:dyDescent="0.25">
      <c r="A2" s="12" t="s">
        <v>23</v>
      </c>
      <c r="B2" s="13"/>
      <c r="C2" s="49" t="s">
        <v>46</v>
      </c>
      <c r="D2" s="13"/>
      <c r="E2" s="13"/>
      <c r="F2" s="13"/>
      <c r="H2" s="14"/>
      <c r="I2" s="15"/>
      <c r="J2" s="11"/>
    </row>
    <row r="3" spans="1:10" s="9" customFormat="1" x14ac:dyDescent="0.25">
      <c r="A3" s="12" t="s">
        <v>44</v>
      </c>
      <c r="B3" s="13"/>
      <c r="C3" s="49" t="s">
        <v>45</v>
      </c>
      <c r="D3" s="13"/>
      <c r="E3" s="13"/>
      <c r="F3" s="13"/>
      <c r="H3" s="14"/>
      <c r="I3" s="15"/>
      <c r="J3" s="11"/>
    </row>
    <row r="4" spans="1:10" s="9" customFormat="1" x14ac:dyDescent="0.25">
      <c r="A4" s="12" t="s">
        <v>25</v>
      </c>
      <c r="B4" s="13"/>
      <c r="C4" s="49" t="s">
        <v>14434</v>
      </c>
      <c r="D4" s="13"/>
      <c r="E4" s="13"/>
      <c r="F4" s="13"/>
      <c r="H4" s="14"/>
      <c r="I4" s="15"/>
      <c r="J4" s="11"/>
    </row>
    <row r="5" spans="1:10" s="9" customFormat="1" x14ac:dyDescent="0.25">
      <c r="A5" s="12" t="s">
        <v>0</v>
      </c>
      <c r="B5" s="13"/>
      <c r="C5" s="49" t="s">
        <v>34</v>
      </c>
      <c r="D5" s="13"/>
      <c r="E5" s="13"/>
      <c r="F5" s="13"/>
      <c r="H5" s="14"/>
      <c r="I5" s="15"/>
      <c r="J5" s="11"/>
    </row>
    <row r="6" spans="1:10" s="9" customFormat="1" x14ac:dyDescent="0.25">
      <c r="A6" s="12" t="s">
        <v>14462</v>
      </c>
      <c r="C6" s="49" t="s">
        <v>14459</v>
      </c>
      <c r="D6" s="13"/>
      <c r="E6" s="13"/>
      <c r="F6" s="13"/>
      <c r="H6" s="14"/>
      <c r="I6" s="15"/>
      <c r="J6" s="11"/>
    </row>
    <row r="7" spans="1:10" s="9" customFormat="1" x14ac:dyDescent="0.25">
      <c r="A7" s="12" t="s">
        <v>24</v>
      </c>
      <c r="B7" s="13"/>
      <c r="C7" s="49" t="s">
        <v>33</v>
      </c>
      <c r="D7" s="13"/>
      <c r="E7" s="13"/>
      <c r="F7" s="13"/>
      <c r="H7" s="14"/>
      <c r="I7" s="15"/>
      <c r="J7" s="11"/>
    </row>
    <row r="8" spans="1:10" x14ac:dyDescent="0.25">
      <c r="G8" s="19"/>
      <c r="I8" s="19"/>
    </row>
    <row r="9" spans="1:10" s="24" customFormat="1" x14ac:dyDescent="0.25">
      <c r="A9" s="21" t="s">
        <v>35</v>
      </c>
      <c r="B9" s="21" t="s">
        <v>17</v>
      </c>
      <c r="C9" s="21" t="s">
        <v>18</v>
      </c>
      <c r="D9" s="22" t="s">
        <v>19</v>
      </c>
      <c r="E9" s="21" t="s">
        <v>20</v>
      </c>
      <c r="F9" s="21" t="s">
        <v>21</v>
      </c>
      <c r="G9" s="23" t="s">
        <v>22</v>
      </c>
    </row>
    <row r="10" spans="1:10" x14ac:dyDescent="0.25">
      <c r="A10" s="48">
        <v>1</v>
      </c>
      <c r="B10" s="65"/>
      <c r="C10" s="77"/>
      <c r="D10" s="78"/>
      <c r="E10" s="66"/>
      <c r="F10" s="67"/>
      <c r="G10" s="50">
        <f t="shared" ref="G10:G38" si="0">F10*D10</f>
        <v>0</v>
      </c>
    </row>
    <row r="11" spans="1:10" x14ac:dyDescent="0.25">
      <c r="A11" s="48">
        <v>2</v>
      </c>
      <c r="B11" s="65"/>
      <c r="C11" s="77"/>
      <c r="D11" s="78"/>
      <c r="E11" s="66"/>
      <c r="F11" s="67"/>
      <c r="G11" s="50">
        <f t="shared" si="0"/>
        <v>0</v>
      </c>
    </row>
    <row r="12" spans="1:10" x14ac:dyDescent="0.25">
      <c r="A12" s="48">
        <v>3</v>
      </c>
      <c r="B12" s="65"/>
      <c r="C12" s="77"/>
      <c r="D12" s="78"/>
      <c r="E12" s="66"/>
      <c r="F12" s="67"/>
      <c r="G12" s="50">
        <f t="shared" si="0"/>
        <v>0</v>
      </c>
    </row>
    <row r="13" spans="1:10" x14ac:dyDescent="0.25">
      <c r="A13" s="48">
        <v>4</v>
      </c>
      <c r="B13" s="65"/>
      <c r="C13" s="77"/>
      <c r="D13" s="78"/>
      <c r="E13" s="66"/>
      <c r="F13" s="67"/>
      <c r="G13" s="50">
        <f t="shared" si="0"/>
        <v>0</v>
      </c>
    </row>
    <row r="14" spans="1:10" x14ac:dyDescent="0.25">
      <c r="A14" s="48">
        <v>5</v>
      </c>
      <c r="B14" s="65"/>
      <c r="C14" s="77"/>
      <c r="D14" s="78"/>
      <c r="E14" s="66"/>
      <c r="F14" s="67"/>
      <c r="G14" s="50">
        <f t="shared" si="0"/>
        <v>0</v>
      </c>
    </row>
    <row r="15" spans="1:10" x14ac:dyDescent="0.25">
      <c r="A15" s="48">
        <v>6</v>
      </c>
      <c r="B15" s="65"/>
      <c r="C15" s="77"/>
      <c r="D15" s="78"/>
      <c r="E15" s="66"/>
      <c r="F15" s="67"/>
      <c r="G15" s="50">
        <f t="shared" si="0"/>
        <v>0</v>
      </c>
    </row>
    <row r="16" spans="1:10" x14ac:dyDescent="0.25">
      <c r="A16" s="48">
        <v>7</v>
      </c>
      <c r="B16" s="65"/>
      <c r="C16" s="77"/>
      <c r="D16" s="78"/>
      <c r="E16" s="66"/>
      <c r="F16" s="67"/>
      <c r="G16" s="50">
        <f t="shared" si="0"/>
        <v>0</v>
      </c>
    </row>
    <row r="17" spans="1:7" x14ac:dyDescent="0.25">
      <c r="A17" s="48">
        <v>8</v>
      </c>
      <c r="B17" s="65"/>
      <c r="C17" s="77"/>
      <c r="D17" s="78"/>
      <c r="E17" s="66"/>
      <c r="F17" s="67"/>
      <c r="G17" s="50">
        <f t="shared" si="0"/>
        <v>0</v>
      </c>
    </row>
    <row r="18" spans="1:7" x14ac:dyDescent="0.25">
      <c r="A18" s="48">
        <v>9</v>
      </c>
      <c r="B18" s="65"/>
      <c r="C18" s="77"/>
      <c r="D18" s="78"/>
      <c r="E18" s="66"/>
      <c r="F18" s="67"/>
      <c r="G18" s="50">
        <f t="shared" si="0"/>
        <v>0</v>
      </c>
    </row>
    <row r="19" spans="1:7" x14ac:dyDescent="0.25">
      <c r="A19" s="48">
        <v>10</v>
      </c>
      <c r="B19" s="65"/>
      <c r="C19" s="77"/>
      <c r="D19" s="78"/>
      <c r="E19" s="66"/>
      <c r="F19" s="67"/>
      <c r="G19" s="50">
        <f t="shared" si="0"/>
        <v>0</v>
      </c>
    </row>
    <row r="20" spans="1:7" x14ac:dyDescent="0.25">
      <c r="A20" s="48">
        <v>11</v>
      </c>
      <c r="B20" s="65"/>
      <c r="C20" s="77"/>
      <c r="D20" s="78"/>
      <c r="E20" s="66"/>
      <c r="F20" s="67"/>
      <c r="G20" s="50">
        <f t="shared" si="0"/>
        <v>0</v>
      </c>
    </row>
    <row r="21" spans="1:7" x14ac:dyDescent="0.25">
      <c r="A21" s="48">
        <v>12</v>
      </c>
      <c r="B21" s="65"/>
      <c r="C21" s="77"/>
      <c r="D21" s="78"/>
      <c r="E21" s="66"/>
      <c r="F21" s="67"/>
      <c r="G21" s="50">
        <f t="shared" si="0"/>
        <v>0</v>
      </c>
    </row>
    <row r="22" spans="1:7" x14ac:dyDescent="0.25">
      <c r="A22" s="48">
        <v>13</v>
      </c>
      <c r="B22" s="65"/>
      <c r="C22" s="77"/>
      <c r="D22" s="78"/>
      <c r="E22" s="66"/>
      <c r="F22" s="67"/>
      <c r="G22" s="50">
        <f t="shared" si="0"/>
        <v>0</v>
      </c>
    </row>
    <row r="23" spans="1:7" x14ac:dyDescent="0.25">
      <c r="A23" s="48">
        <v>14</v>
      </c>
      <c r="B23" s="65"/>
      <c r="C23" s="77"/>
      <c r="D23" s="78"/>
      <c r="E23" s="66"/>
      <c r="F23" s="67"/>
      <c r="G23" s="50">
        <f t="shared" si="0"/>
        <v>0</v>
      </c>
    </row>
    <row r="24" spans="1:7" x14ac:dyDescent="0.25">
      <c r="A24" s="48">
        <v>15</v>
      </c>
      <c r="B24" s="65"/>
      <c r="C24" s="77"/>
      <c r="D24" s="78"/>
      <c r="E24" s="66"/>
      <c r="F24" s="67"/>
      <c r="G24" s="50">
        <f t="shared" si="0"/>
        <v>0</v>
      </c>
    </row>
    <row r="25" spans="1:7" x14ac:dyDescent="0.25">
      <c r="A25" s="48">
        <v>16</v>
      </c>
      <c r="B25" s="65"/>
      <c r="C25" s="77"/>
      <c r="D25" s="78"/>
      <c r="E25" s="66"/>
      <c r="F25" s="67"/>
      <c r="G25" s="50">
        <f t="shared" si="0"/>
        <v>0</v>
      </c>
    </row>
    <row r="26" spans="1:7" x14ac:dyDescent="0.25">
      <c r="A26" s="48">
        <v>17</v>
      </c>
      <c r="B26" s="65"/>
      <c r="C26" s="77"/>
      <c r="D26" s="78"/>
      <c r="E26" s="66"/>
      <c r="F26" s="67"/>
      <c r="G26" s="50">
        <f t="shared" si="0"/>
        <v>0</v>
      </c>
    </row>
    <row r="27" spans="1:7" x14ac:dyDescent="0.25">
      <c r="A27" s="48">
        <v>18</v>
      </c>
      <c r="B27" s="65"/>
      <c r="C27" s="77"/>
      <c r="D27" s="78"/>
      <c r="E27" s="66"/>
      <c r="F27" s="67"/>
      <c r="G27" s="50">
        <f t="shared" si="0"/>
        <v>0</v>
      </c>
    </row>
    <row r="28" spans="1:7" x14ac:dyDescent="0.25">
      <c r="A28" s="48">
        <v>19</v>
      </c>
      <c r="B28" s="65"/>
      <c r="C28" s="77"/>
      <c r="D28" s="78"/>
      <c r="E28" s="66"/>
      <c r="F28" s="67"/>
      <c r="G28" s="50">
        <f t="shared" si="0"/>
        <v>0</v>
      </c>
    </row>
    <row r="29" spans="1:7" x14ac:dyDescent="0.25">
      <c r="A29" s="48">
        <v>20</v>
      </c>
      <c r="B29" s="65"/>
      <c r="C29" s="77"/>
      <c r="D29" s="78"/>
      <c r="E29" s="66"/>
      <c r="F29" s="67"/>
      <c r="G29" s="50">
        <f t="shared" si="0"/>
        <v>0</v>
      </c>
    </row>
    <row r="30" spans="1:7" x14ac:dyDescent="0.25">
      <c r="A30" s="48">
        <v>21</v>
      </c>
      <c r="B30" s="65"/>
      <c r="C30" s="77"/>
      <c r="D30" s="78"/>
      <c r="E30" s="66"/>
      <c r="F30" s="67"/>
      <c r="G30" s="50">
        <f t="shared" si="0"/>
        <v>0</v>
      </c>
    </row>
    <row r="31" spans="1:7" x14ac:dyDescent="0.25">
      <c r="A31" s="48">
        <v>22</v>
      </c>
      <c r="B31" s="65"/>
      <c r="C31" s="77"/>
      <c r="D31" s="78"/>
      <c r="E31" s="66"/>
      <c r="F31" s="67"/>
      <c r="G31" s="50">
        <f t="shared" si="0"/>
        <v>0</v>
      </c>
    </row>
    <row r="32" spans="1:7" x14ac:dyDescent="0.25">
      <c r="A32" s="48">
        <v>23</v>
      </c>
      <c r="B32" s="65"/>
      <c r="C32" s="77"/>
      <c r="D32" s="78"/>
      <c r="E32" s="66"/>
      <c r="F32" s="67"/>
      <c r="G32" s="50">
        <f t="shared" si="0"/>
        <v>0</v>
      </c>
    </row>
    <row r="33" spans="1:10" x14ac:dyDescent="0.25">
      <c r="A33" s="48">
        <v>24</v>
      </c>
      <c r="B33" s="65"/>
      <c r="C33" s="77"/>
      <c r="D33" s="78"/>
      <c r="E33" s="66"/>
      <c r="F33" s="67"/>
      <c r="G33" s="50">
        <f t="shared" si="0"/>
        <v>0</v>
      </c>
    </row>
    <row r="34" spans="1:10" x14ac:dyDescent="0.25">
      <c r="A34" s="48">
        <v>25</v>
      </c>
      <c r="B34" s="65"/>
      <c r="C34" s="77"/>
      <c r="D34" s="78"/>
      <c r="E34" s="66"/>
      <c r="F34" s="67"/>
      <c r="G34" s="50">
        <f t="shared" si="0"/>
        <v>0</v>
      </c>
    </row>
    <row r="35" spans="1:10" x14ac:dyDescent="0.25">
      <c r="A35" s="48">
        <v>26</v>
      </c>
      <c r="B35" s="65"/>
      <c r="C35" s="77"/>
      <c r="D35" s="78"/>
      <c r="E35" s="66"/>
      <c r="F35" s="67"/>
      <c r="G35" s="50">
        <f t="shared" si="0"/>
        <v>0</v>
      </c>
    </row>
    <row r="36" spans="1:10" x14ac:dyDescent="0.25">
      <c r="A36" s="48">
        <v>27</v>
      </c>
      <c r="B36" s="65"/>
      <c r="C36" s="77"/>
      <c r="D36" s="78"/>
      <c r="E36" s="66"/>
      <c r="F36" s="67"/>
      <c r="G36" s="50">
        <f t="shared" si="0"/>
        <v>0</v>
      </c>
    </row>
    <row r="37" spans="1:10" x14ac:dyDescent="0.25">
      <c r="A37" s="48">
        <v>28</v>
      </c>
      <c r="B37" s="65"/>
      <c r="C37" s="77"/>
      <c r="D37" s="78"/>
      <c r="E37" s="66"/>
      <c r="F37" s="67"/>
      <c r="G37" s="50">
        <f t="shared" si="0"/>
        <v>0</v>
      </c>
    </row>
    <row r="38" spans="1:10" x14ac:dyDescent="0.25">
      <c r="A38" s="48">
        <v>29</v>
      </c>
      <c r="B38" s="65"/>
      <c r="C38" s="77"/>
      <c r="D38" s="78"/>
      <c r="E38" s="66"/>
      <c r="F38" s="67"/>
      <c r="G38" s="50">
        <f t="shared" si="0"/>
        <v>0</v>
      </c>
      <c r="I38" s="25"/>
    </row>
    <row r="39" spans="1:10" x14ac:dyDescent="0.25">
      <c r="E39" s="8"/>
      <c r="F39" s="27" t="s">
        <v>36</v>
      </c>
      <c r="G39" s="28">
        <f>SUM(G10:G38)</f>
        <v>0</v>
      </c>
      <c r="H39" s="29"/>
      <c r="I39" s="29"/>
    </row>
    <row r="40" spans="1:10" x14ac:dyDescent="0.25">
      <c r="E40" s="8"/>
      <c r="F40" s="30" t="s">
        <v>14437</v>
      </c>
      <c r="G40" s="69">
        <v>0</v>
      </c>
      <c r="H40" s="29"/>
      <c r="I40" s="2" t="s">
        <v>16030</v>
      </c>
      <c r="J40" s="24"/>
    </row>
    <row r="41" spans="1:10" x14ac:dyDescent="0.25">
      <c r="E41" s="8"/>
      <c r="F41" s="27" t="s">
        <v>37</v>
      </c>
      <c r="G41" s="28">
        <f>G39*(1+G40)</f>
        <v>0</v>
      </c>
      <c r="H41" s="29"/>
      <c r="J41" s="24"/>
    </row>
    <row r="42" spans="1:10" x14ac:dyDescent="0.25">
      <c r="E42" s="8"/>
      <c r="F42" s="30" t="s">
        <v>38</v>
      </c>
      <c r="G42" s="69">
        <v>0</v>
      </c>
      <c r="H42" s="24"/>
      <c r="I42" s="3" t="s">
        <v>14453</v>
      </c>
      <c r="J42" s="24"/>
    </row>
    <row r="43" spans="1:10" x14ac:dyDescent="0.25">
      <c r="E43" s="8"/>
      <c r="F43" s="27" t="s">
        <v>39</v>
      </c>
      <c r="G43" s="31">
        <f>G41*(1+G42)</f>
        <v>0</v>
      </c>
      <c r="H43" s="24"/>
      <c r="J43" s="24"/>
    </row>
    <row r="44" spans="1:10" x14ac:dyDescent="0.25">
      <c r="C44" s="8" t="s">
        <v>16014</v>
      </c>
    </row>
  </sheetData>
  <sheetProtection formatCells="0" formatColumns="0" formatRows="0" insertRows="0" insertHyperlinks="0" deleteRows="0"/>
  <customSheetViews>
    <customSheetView guid="{745DB71F-8933-41D7-BE5B-16A940EDBBE9}" showPageBreaks="1" fitToPage="1" printArea="1" hiddenColumns="1" topLeftCell="A4">
      <selection activeCell="C44" sqref="C44"/>
      <pageMargins left="0.7" right="0.7" top="0.75" bottom="0.75" header="0.3" footer="0.3"/>
      <pageSetup scale="66" fitToHeight="0" orientation="portrait" r:id="rId1"/>
    </customSheetView>
    <customSheetView guid="{5022875D-193C-41EC-BB2F-46BD922E594A}" showPageBreaks="1" fitToPage="1" printArea="1" hiddenColumns="1">
      <selection activeCell="D49" sqref="D49"/>
      <pageMargins left="0.7" right="0.7" top="0.75" bottom="0.75" header="0.3" footer="0.3"/>
      <pageSetup scale="66" fitToHeight="0" orientation="portrait" r:id="rId2"/>
    </customSheetView>
    <customSheetView guid="{23DC8B3D-8B5E-4886-8175-FE20CCB314E2}" fitToPage="1" hiddenColumns="1" topLeftCell="A13">
      <selection activeCell="I22" sqref="I22"/>
      <pageMargins left="0.7" right="0.7" top="0.75" bottom="0.75" header="0.3" footer="0.3"/>
      <pageSetup scale="68" fitToHeight="0" orientation="portrait" r:id="rId3"/>
    </customSheetView>
    <customSheetView guid="{133066FC-E63E-478B-AF61-B83EA814B20D}" fitToPage="1" hiddenColumns="1">
      <selection activeCell="D49" sqref="D49"/>
      <pageMargins left="0.7" right="0.7" top="0.75" bottom="0.75" header="0.3" footer="0.3"/>
      <pageSetup scale="66" fitToHeight="0" orientation="portrait" r:id="rId4"/>
    </customSheetView>
    <customSheetView guid="{1AACC9AA-928C-4EAC-BFCD-1D4B799515C7}" fitToPage="1" hiddenColumns="1" topLeftCell="A4">
      <selection activeCell="E27" sqref="E27"/>
      <pageMargins left="0.7" right="0.7" top="0.75" bottom="0.75" header="0.3" footer="0.3"/>
      <pageSetup scale="66" fitToHeight="0" orientation="portrait" r:id="rId5"/>
    </customSheetView>
  </customSheetViews>
  <hyperlinks>
    <hyperlink ref="I42" r:id="rId6"/>
    <hyperlink ref="I40" r:id="rId7"/>
  </hyperlinks>
  <pageMargins left="0.7" right="0.7" top="0.75" bottom="0.75" header="0.3" footer="0.3"/>
  <pageSetup scale="66" fitToHeight="0" orientation="portrait"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N34"/>
  <sheetViews>
    <sheetView zoomScale="90" zoomScaleNormal="90" workbookViewId="0">
      <selection activeCell="B21" sqref="B21"/>
    </sheetView>
  </sheetViews>
  <sheetFormatPr defaultColWidth="9.109375" defaultRowHeight="13.2" x14ac:dyDescent="0.25"/>
  <cols>
    <col min="1" max="1" width="19.33203125" style="16" customWidth="1"/>
    <col min="2" max="2" width="30.109375" style="16" customWidth="1"/>
    <col min="3" max="3" width="4.5546875" style="8" bestFit="1" customWidth="1"/>
    <col min="4" max="4" width="15.33203125" style="17" bestFit="1" customWidth="1"/>
    <col min="5" max="8" width="10" style="18" customWidth="1"/>
    <col min="9" max="9" width="16.5546875" style="18" customWidth="1"/>
    <col min="10" max="10" width="16.5546875" style="8" customWidth="1"/>
    <col min="11" max="11" width="16.5546875" style="18" customWidth="1"/>
    <col min="12" max="12" width="16.5546875" style="8" customWidth="1"/>
    <col min="13" max="13" width="29.33203125" style="18" bestFit="1" customWidth="1"/>
    <col min="14" max="14" width="18.33203125" style="20" bestFit="1" customWidth="1"/>
    <col min="15" max="15" width="10.109375" style="8" bestFit="1" customWidth="1"/>
    <col min="16" max="16384" width="9.109375" style="8"/>
  </cols>
  <sheetData>
    <row r="1" spans="1:14" s="9" customFormat="1" ht="17.399999999999999" x14ac:dyDescent="0.3">
      <c r="A1" s="5" t="s">
        <v>14468</v>
      </c>
      <c r="B1" s="6"/>
      <c r="C1" s="7"/>
      <c r="D1" s="7"/>
      <c r="E1" s="6"/>
      <c r="J1" s="32"/>
      <c r="L1" s="8"/>
    </row>
    <row r="2" spans="1:14" s="9" customFormat="1" ht="26.25" customHeight="1" x14ac:dyDescent="0.25">
      <c r="A2" s="12" t="s">
        <v>23</v>
      </c>
      <c r="B2" s="49" t="s">
        <v>46</v>
      </c>
      <c r="D2" s="13"/>
      <c r="E2" s="13"/>
      <c r="F2" s="13"/>
      <c r="G2" s="13"/>
      <c r="H2" s="13"/>
      <c r="I2" s="13"/>
      <c r="K2" s="14"/>
      <c r="L2" s="15"/>
      <c r="M2" s="11"/>
    </row>
    <row r="3" spans="1:14" s="9" customFormat="1" x14ac:dyDescent="0.25">
      <c r="A3" s="12" t="s">
        <v>44</v>
      </c>
      <c r="B3" s="49" t="s">
        <v>45</v>
      </c>
      <c r="D3" s="13"/>
      <c r="F3" s="13"/>
      <c r="G3" s="13"/>
      <c r="H3" s="13"/>
      <c r="I3" s="13"/>
      <c r="K3" s="14"/>
      <c r="L3" s="15"/>
      <c r="M3" s="11"/>
    </row>
    <row r="4" spans="1:14" s="9" customFormat="1" x14ac:dyDescent="0.25">
      <c r="A4" s="12" t="s">
        <v>25</v>
      </c>
      <c r="B4" s="9" t="s">
        <v>14433</v>
      </c>
      <c r="D4" s="13"/>
      <c r="E4" s="13"/>
      <c r="G4" s="13"/>
      <c r="H4" s="13"/>
      <c r="I4" s="13"/>
      <c r="K4" s="14"/>
      <c r="L4" s="15"/>
      <c r="M4" s="11"/>
    </row>
    <row r="5" spans="1:14" s="9" customFormat="1" x14ac:dyDescent="0.25">
      <c r="A5" s="12" t="s">
        <v>0</v>
      </c>
      <c r="B5" s="49" t="s">
        <v>34</v>
      </c>
      <c r="D5" s="13"/>
      <c r="E5" s="12" t="s">
        <v>14427</v>
      </c>
      <c r="G5" s="13"/>
      <c r="H5" s="13"/>
      <c r="I5" s="13"/>
      <c r="K5" s="14"/>
      <c r="L5" s="15"/>
      <c r="M5" s="11"/>
    </row>
    <row r="6" spans="1:14" s="9" customFormat="1" x14ac:dyDescent="0.25">
      <c r="A6" s="12" t="s">
        <v>14458</v>
      </c>
      <c r="B6" s="49" t="s">
        <v>14459</v>
      </c>
      <c r="D6" s="13"/>
      <c r="E6" s="12"/>
      <c r="G6" s="13"/>
      <c r="H6" s="13"/>
      <c r="I6" s="13"/>
      <c r="K6" s="14"/>
      <c r="L6" s="15"/>
      <c r="M6" s="11"/>
    </row>
    <row r="7" spans="1:14" s="9" customFormat="1" x14ac:dyDescent="0.25">
      <c r="A7" s="12" t="s">
        <v>24</v>
      </c>
      <c r="B7" s="49" t="s">
        <v>33</v>
      </c>
      <c r="D7" s="13"/>
      <c r="E7" s="13"/>
      <c r="F7" s="13"/>
      <c r="G7" s="13"/>
      <c r="H7" s="13"/>
      <c r="I7" s="13"/>
      <c r="K7" s="14"/>
      <c r="L7" s="15"/>
      <c r="M7" s="11"/>
    </row>
    <row r="8" spans="1:14" s="20" customFormat="1" x14ac:dyDescent="0.25">
      <c r="A8" s="16"/>
      <c r="B8" s="16"/>
      <c r="C8" s="8"/>
      <c r="D8" s="17"/>
      <c r="E8" s="33" t="s">
        <v>40</v>
      </c>
      <c r="F8" s="34" t="s">
        <v>41</v>
      </c>
      <c r="G8" s="73" t="s">
        <v>42</v>
      </c>
      <c r="H8" s="35" t="s">
        <v>14408</v>
      </c>
      <c r="I8" s="33" t="s">
        <v>40</v>
      </c>
      <c r="J8" s="34" t="s">
        <v>41</v>
      </c>
      <c r="K8" s="73" t="s">
        <v>42</v>
      </c>
      <c r="L8" s="35" t="s">
        <v>14408</v>
      </c>
    </row>
    <row r="9" spans="1:14" s="24" customFormat="1" x14ac:dyDescent="0.25">
      <c r="A9" s="21" t="s">
        <v>43</v>
      </c>
      <c r="B9" s="21" t="s">
        <v>14460</v>
      </c>
      <c r="C9" s="21" t="s">
        <v>20</v>
      </c>
      <c r="D9" s="21" t="s">
        <v>21</v>
      </c>
      <c r="E9" s="22" t="s">
        <v>19</v>
      </c>
      <c r="F9" s="22" t="s">
        <v>19</v>
      </c>
      <c r="G9" s="22" t="s">
        <v>19</v>
      </c>
      <c r="H9" s="22" t="s">
        <v>19</v>
      </c>
      <c r="I9" s="23" t="s">
        <v>14426</v>
      </c>
      <c r="J9" s="23" t="s">
        <v>14426</v>
      </c>
      <c r="K9" s="23" t="s">
        <v>14426</v>
      </c>
      <c r="L9" s="23" t="s">
        <v>14426</v>
      </c>
    </row>
    <row r="10" spans="1:14" s="20" customFormat="1" x14ac:dyDescent="0.25">
      <c r="A10" s="48">
        <v>1</v>
      </c>
      <c r="B10" s="65" t="s">
        <v>14461</v>
      </c>
      <c r="C10" s="66" t="s">
        <v>20</v>
      </c>
      <c r="D10" s="76">
        <v>100000</v>
      </c>
      <c r="E10" s="68">
        <v>1</v>
      </c>
      <c r="F10" s="68">
        <v>2</v>
      </c>
      <c r="G10" s="68">
        <v>3</v>
      </c>
      <c r="H10" s="68">
        <v>4</v>
      </c>
      <c r="I10" s="75">
        <f>$D10*E10</f>
        <v>100000</v>
      </c>
      <c r="J10" s="75">
        <f t="shared" ref="J10:L14" si="0">$D10*F10</f>
        <v>200000</v>
      </c>
      <c r="K10" s="75">
        <f t="shared" si="0"/>
        <v>300000</v>
      </c>
      <c r="L10" s="75">
        <f t="shared" si="0"/>
        <v>400000</v>
      </c>
    </row>
    <row r="11" spans="1:14" s="20" customFormat="1" x14ac:dyDescent="0.25">
      <c r="A11" s="48">
        <v>2</v>
      </c>
      <c r="B11" s="65" t="s">
        <v>14461</v>
      </c>
      <c r="C11" s="66" t="s">
        <v>20</v>
      </c>
      <c r="D11" s="76">
        <v>100000</v>
      </c>
      <c r="E11" s="68">
        <v>1</v>
      </c>
      <c r="F11" s="68">
        <v>2</v>
      </c>
      <c r="G11" s="68">
        <v>3</v>
      </c>
      <c r="H11" s="68">
        <v>4</v>
      </c>
      <c r="I11" s="75">
        <f t="shared" ref="I11:I14" si="1">$D11*E11</f>
        <v>100000</v>
      </c>
      <c r="J11" s="75">
        <f t="shared" si="0"/>
        <v>200000</v>
      </c>
      <c r="K11" s="75">
        <f t="shared" si="0"/>
        <v>300000</v>
      </c>
      <c r="L11" s="75">
        <f t="shared" si="0"/>
        <v>400000</v>
      </c>
    </row>
    <row r="12" spans="1:14" s="20" customFormat="1" x14ac:dyDescent="0.25">
      <c r="A12" s="48">
        <v>3</v>
      </c>
      <c r="B12" s="65" t="s">
        <v>14461</v>
      </c>
      <c r="C12" s="66" t="s">
        <v>20</v>
      </c>
      <c r="D12" s="76">
        <v>100000</v>
      </c>
      <c r="E12" s="68">
        <v>1</v>
      </c>
      <c r="F12" s="68">
        <v>2</v>
      </c>
      <c r="G12" s="68">
        <v>3</v>
      </c>
      <c r="H12" s="68">
        <v>4</v>
      </c>
      <c r="I12" s="75">
        <f t="shared" si="1"/>
        <v>100000</v>
      </c>
      <c r="J12" s="75">
        <f t="shared" si="0"/>
        <v>200000</v>
      </c>
      <c r="K12" s="75">
        <f t="shared" si="0"/>
        <v>300000</v>
      </c>
      <c r="L12" s="75">
        <f t="shared" si="0"/>
        <v>400000</v>
      </c>
    </row>
    <row r="13" spans="1:14" s="20" customFormat="1" x14ac:dyDescent="0.25">
      <c r="A13" s="48">
        <v>4</v>
      </c>
      <c r="B13" s="65" t="s">
        <v>14461</v>
      </c>
      <c r="C13" s="66" t="s">
        <v>20</v>
      </c>
      <c r="D13" s="76">
        <v>100000</v>
      </c>
      <c r="E13" s="68">
        <v>1</v>
      </c>
      <c r="F13" s="68">
        <v>2</v>
      </c>
      <c r="G13" s="68">
        <v>3</v>
      </c>
      <c r="H13" s="68">
        <v>4</v>
      </c>
      <c r="I13" s="75">
        <f t="shared" si="1"/>
        <v>100000</v>
      </c>
      <c r="J13" s="75">
        <f t="shared" si="0"/>
        <v>200000</v>
      </c>
      <c r="K13" s="75">
        <f t="shared" si="0"/>
        <v>300000</v>
      </c>
      <c r="L13" s="75">
        <f t="shared" si="0"/>
        <v>400000</v>
      </c>
    </row>
    <row r="14" spans="1:14" s="20" customFormat="1" x14ac:dyDescent="0.25">
      <c r="A14" s="48">
        <v>5</v>
      </c>
      <c r="B14" s="65" t="s">
        <v>14461</v>
      </c>
      <c r="C14" s="66" t="s">
        <v>20</v>
      </c>
      <c r="D14" s="76">
        <v>100000</v>
      </c>
      <c r="E14" s="68">
        <v>1</v>
      </c>
      <c r="F14" s="68">
        <v>2</v>
      </c>
      <c r="G14" s="68">
        <v>3</v>
      </c>
      <c r="H14" s="68">
        <v>4</v>
      </c>
      <c r="I14" s="75">
        <f t="shared" si="1"/>
        <v>100000</v>
      </c>
      <c r="J14" s="75">
        <f t="shared" si="0"/>
        <v>200000</v>
      </c>
      <c r="K14" s="75">
        <f t="shared" si="0"/>
        <v>300000</v>
      </c>
      <c r="L14" s="75">
        <f t="shared" si="0"/>
        <v>400000</v>
      </c>
      <c r="M14" s="86" t="s">
        <v>14448</v>
      </c>
      <c r="N14" s="87"/>
    </row>
    <row r="15" spans="1:14" s="20" customFormat="1" x14ac:dyDescent="0.25">
      <c r="A15" s="16"/>
      <c r="B15" s="59"/>
      <c r="C15" s="60"/>
      <c r="D15" s="61"/>
      <c r="E15" s="62"/>
      <c r="F15" s="62"/>
      <c r="G15" s="62"/>
      <c r="H15" s="27" t="s">
        <v>37</v>
      </c>
      <c r="I15" s="36">
        <f>SUM(I10:I14)</f>
        <v>500000</v>
      </c>
      <c r="J15" s="37">
        <f>SUM(J10:J14)</f>
        <v>1000000</v>
      </c>
      <c r="K15" s="74">
        <f>SUM(K10:K14)</f>
        <v>1500000</v>
      </c>
      <c r="L15" s="38">
        <f>SUM(L10:L14)</f>
        <v>2000000</v>
      </c>
      <c r="M15" s="87"/>
      <c r="N15" s="87"/>
    </row>
    <row r="16" spans="1:14" s="20" customFormat="1" x14ac:dyDescent="0.25">
      <c r="B16" s="16"/>
      <c r="C16" s="8"/>
      <c r="D16" s="8"/>
      <c r="E16" s="24"/>
      <c r="F16" s="30"/>
      <c r="G16" s="30"/>
      <c r="H16" s="30" t="s">
        <v>38</v>
      </c>
      <c r="I16" s="69">
        <v>0.10100000000000001</v>
      </c>
      <c r="J16" s="69">
        <v>0.10100000000000001</v>
      </c>
      <c r="K16" s="69">
        <v>0.10100000000000001</v>
      </c>
      <c r="L16" s="69">
        <v>0.10100000000000001</v>
      </c>
      <c r="M16" s="88" t="s">
        <v>14453</v>
      </c>
      <c r="N16" s="87"/>
    </row>
    <row r="17" spans="1:14" s="20" customFormat="1" x14ac:dyDescent="0.25">
      <c r="A17" s="16"/>
      <c r="B17" s="16"/>
      <c r="C17" s="8"/>
      <c r="D17" s="8"/>
      <c r="E17" s="24"/>
      <c r="F17" s="27"/>
      <c r="G17" s="27"/>
      <c r="H17" s="27" t="s">
        <v>39</v>
      </c>
      <c r="I17" s="36">
        <f>I15*(1+I16)</f>
        <v>550500</v>
      </c>
      <c r="J17" s="37">
        <f>J15*(1+J16)</f>
        <v>1101000</v>
      </c>
      <c r="K17" s="74">
        <f>K15*(1+K16)</f>
        <v>1651500</v>
      </c>
      <c r="L17" s="38">
        <f>L15*(1+L16)</f>
        <v>2202000</v>
      </c>
      <c r="M17" s="26"/>
      <c r="N17" s="87"/>
    </row>
    <row r="18" spans="1:14" x14ac:dyDescent="0.25">
      <c r="H18" s="30" t="s">
        <v>14438</v>
      </c>
      <c r="I18" s="70">
        <v>100</v>
      </c>
      <c r="J18" s="70">
        <v>100</v>
      </c>
      <c r="K18" s="70">
        <v>100</v>
      </c>
      <c r="L18" s="70">
        <v>100</v>
      </c>
      <c r="M18" s="88"/>
      <c r="N18" s="87"/>
    </row>
    <row r="19" spans="1:14" x14ac:dyDescent="0.25">
      <c r="H19" s="30" t="s">
        <v>14436</v>
      </c>
      <c r="I19" s="70">
        <v>100</v>
      </c>
      <c r="J19" s="70">
        <v>100</v>
      </c>
      <c r="K19" s="70">
        <v>100</v>
      </c>
      <c r="L19" s="70">
        <v>100</v>
      </c>
      <c r="M19" s="88" t="s">
        <v>14454</v>
      </c>
      <c r="N19" s="87"/>
    </row>
    <row r="20" spans="1:14" x14ac:dyDescent="0.25">
      <c r="F20" s="27"/>
      <c r="G20" s="27"/>
      <c r="H20" s="31" t="s">
        <v>14439</v>
      </c>
      <c r="I20" s="36">
        <f>SUM(I17:I19)</f>
        <v>550700</v>
      </c>
      <c r="J20" s="37">
        <f>SUM(J17:J19)</f>
        <v>1101200</v>
      </c>
      <c r="K20" s="74">
        <f>SUM(K17:K19)</f>
        <v>1651700</v>
      </c>
      <c r="L20" s="38">
        <f>SUM(L17:L19)</f>
        <v>2202200</v>
      </c>
      <c r="M20" s="87"/>
      <c r="N20" s="87"/>
    </row>
    <row r="21" spans="1:14" x14ac:dyDescent="0.25">
      <c r="A21" s="8"/>
      <c r="B21" s="8"/>
      <c r="D21" s="8"/>
      <c r="E21" s="8"/>
      <c r="F21" s="8"/>
      <c r="G21" s="8"/>
      <c r="H21" s="30" t="s">
        <v>14411</v>
      </c>
      <c r="I21" s="71">
        <v>0.3</v>
      </c>
      <c r="J21" s="71">
        <v>0.3</v>
      </c>
      <c r="K21" s="71">
        <v>0.3</v>
      </c>
      <c r="L21" s="71">
        <v>0.3</v>
      </c>
      <c r="M21" s="88" t="s">
        <v>16029</v>
      </c>
      <c r="N21" s="87"/>
    </row>
    <row r="22" spans="1:14" x14ac:dyDescent="0.25">
      <c r="A22" s="8"/>
      <c r="B22" s="8"/>
      <c r="D22" s="8"/>
      <c r="E22" s="8"/>
      <c r="F22" s="8"/>
      <c r="G22" s="8"/>
      <c r="H22" s="30" t="s">
        <v>14412</v>
      </c>
      <c r="I22" s="72">
        <f>I20*I21</f>
        <v>165210</v>
      </c>
      <c r="J22" s="72">
        <f>J20*J21</f>
        <v>330360</v>
      </c>
      <c r="K22" s="72">
        <f>K20*K21</f>
        <v>495510</v>
      </c>
      <c r="L22" s="72">
        <f>L20*L21</f>
        <v>660660</v>
      </c>
      <c r="M22" s="87"/>
      <c r="N22" s="87"/>
    </row>
    <row r="23" spans="1:14" x14ac:dyDescent="0.25">
      <c r="H23" s="30" t="s">
        <v>14410</v>
      </c>
      <c r="I23" s="70">
        <v>1000</v>
      </c>
      <c r="J23" s="70">
        <v>1000</v>
      </c>
      <c r="K23" s="70">
        <v>1000</v>
      </c>
      <c r="L23" s="70">
        <v>1000</v>
      </c>
      <c r="M23" s="26" t="s">
        <v>14409</v>
      </c>
      <c r="N23" s="87"/>
    </row>
    <row r="24" spans="1:14" x14ac:dyDescent="0.25">
      <c r="A24" s="8"/>
      <c r="B24" s="8"/>
      <c r="D24" s="8"/>
      <c r="E24" s="8"/>
      <c r="F24" s="27"/>
      <c r="G24" s="27"/>
      <c r="H24" s="31" t="s">
        <v>14440</v>
      </c>
      <c r="I24" s="36">
        <f>I23+I22+I20</f>
        <v>716910</v>
      </c>
      <c r="J24" s="37">
        <f>J23+J22+J20</f>
        <v>1432560</v>
      </c>
      <c r="K24" s="74">
        <f>K23+K22+K20</f>
        <v>2148210</v>
      </c>
      <c r="L24" s="38">
        <f>L23+L22+L20</f>
        <v>2863860</v>
      </c>
      <c r="M24" s="87"/>
      <c r="N24" s="87"/>
    </row>
    <row r="25" spans="1:14" x14ac:dyDescent="0.25">
      <c r="A25" s="8"/>
      <c r="B25" s="8"/>
      <c r="D25" s="8"/>
      <c r="E25" s="8"/>
      <c r="F25" s="8"/>
      <c r="G25" s="8"/>
      <c r="H25" s="30" t="s">
        <v>14413</v>
      </c>
      <c r="I25" s="71">
        <v>0.1</v>
      </c>
      <c r="J25" s="71">
        <v>0.1</v>
      </c>
      <c r="K25" s="71">
        <v>0.1</v>
      </c>
      <c r="L25" s="71">
        <v>0.1</v>
      </c>
      <c r="M25" s="88" t="s">
        <v>14419</v>
      </c>
      <c r="N25" s="87"/>
    </row>
    <row r="26" spans="1:14" x14ac:dyDescent="0.25">
      <c r="A26" s="8"/>
      <c r="B26" s="8"/>
      <c r="D26" s="8"/>
      <c r="E26" s="8"/>
      <c r="F26" s="8"/>
      <c r="G26" s="8"/>
      <c r="H26" s="30" t="s">
        <v>14414</v>
      </c>
      <c r="I26" s="72">
        <f>I25*I24</f>
        <v>71691</v>
      </c>
      <c r="J26" s="72">
        <f>J25*J24</f>
        <v>143256</v>
      </c>
      <c r="K26" s="72">
        <f>K25*K24</f>
        <v>214821</v>
      </c>
      <c r="L26" s="72">
        <f>L25*L24</f>
        <v>286386</v>
      </c>
      <c r="M26" s="89"/>
      <c r="N26" s="87"/>
    </row>
    <row r="27" spans="1:14" x14ac:dyDescent="0.25">
      <c r="A27" s="8"/>
      <c r="B27" s="8"/>
      <c r="D27" s="8"/>
      <c r="E27" s="8"/>
      <c r="F27" s="8"/>
      <c r="G27" s="8"/>
      <c r="H27" s="30" t="s">
        <v>14415</v>
      </c>
      <c r="I27" s="71">
        <v>0.1</v>
      </c>
      <c r="J27" s="71">
        <v>0.1</v>
      </c>
      <c r="K27" s="71">
        <v>0.1</v>
      </c>
      <c r="L27" s="71">
        <v>0.1</v>
      </c>
      <c r="M27" s="88" t="s">
        <v>14420</v>
      </c>
      <c r="N27" s="87"/>
    </row>
    <row r="28" spans="1:14" x14ac:dyDescent="0.25">
      <c r="A28" s="8"/>
      <c r="B28" s="8"/>
      <c r="D28" s="8"/>
      <c r="E28" s="8"/>
      <c r="F28" s="8"/>
      <c r="G28" s="8"/>
      <c r="H28" s="30" t="s">
        <v>14416</v>
      </c>
      <c r="I28" s="72">
        <f>I27*I24</f>
        <v>71691</v>
      </c>
      <c r="J28" s="72">
        <f>J27*J24</f>
        <v>143256</v>
      </c>
      <c r="K28" s="72">
        <f>K27*K24</f>
        <v>214821</v>
      </c>
      <c r="L28" s="72">
        <f>L27*L24</f>
        <v>286386</v>
      </c>
      <c r="M28" s="87"/>
      <c r="N28" s="87"/>
    </row>
    <row r="29" spans="1:14" x14ac:dyDescent="0.25">
      <c r="A29" s="8"/>
      <c r="B29" s="8"/>
      <c r="D29" s="8"/>
      <c r="E29" s="27"/>
      <c r="F29" s="27"/>
      <c r="G29" s="27"/>
      <c r="H29" s="27" t="s">
        <v>14417</v>
      </c>
      <c r="I29" s="36">
        <f>I28+I26</f>
        <v>143382</v>
      </c>
      <c r="J29" s="37">
        <f>J28+J26</f>
        <v>286512</v>
      </c>
      <c r="K29" s="74">
        <f>K28+K26</f>
        <v>429642</v>
      </c>
      <c r="L29" s="38">
        <f>L28+L26</f>
        <v>572772</v>
      </c>
      <c r="M29" s="87"/>
      <c r="N29" s="87"/>
    </row>
    <row r="30" spans="1:14" ht="15" customHeight="1" x14ac:dyDescent="0.25">
      <c r="A30" s="8"/>
      <c r="B30" s="8"/>
      <c r="D30" s="8"/>
      <c r="E30" s="27"/>
      <c r="F30" s="27"/>
      <c r="G30" s="27"/>
      <c r="H30" s="31" t="s">
        <v>14418</v>
      </c>
      <c r="I30" s="36">
        <f>I29+I24</f>
        <v>860292</v>
      </c>
      <c r="J30" s="37">
        <f>J29+J24</f>
        <v>1719072</v>
      </c>
      <c r="K30" s="74">
        <f>K29+K24</f>
        <v>2577852</v>
      </c>
      <c r="L30" s="38">
        <f>L29+L24</f>
        <v>3436632</v>
      </c>
      <c r="M30" s="87"/>
      <c r="N30" s="87"/>
    </row>
    <row r="31" spans="1:14" ht="15.75" customHeight="1" x14ac:dyDescent="0.25">
      <c r="E31" s="27"/>
      <c r="F31" s="27"/>
      <c r="G31" s="27"/>
      <c r="H31" s="31" t="s">
        <v>14856</v>
      </c>
      <c r="I31" s="36">
        <f>'Cash Flow for Early Estimates'!M21</f>
        <v>13802.669592138118</v>
      </c>
      <c r="J31" s="37">
        <f>'Cash Flow for Early Estimates'!M28</f>
        <v>27743.123685951025</v>
      </c>
      <c r="K31" s="74">
        <f>'Cash Flow for Early Estimates'!M35</f>
        <v>41683.577779764018</v>
      </c>
      <c r="L31" s="38">
        <f>'Cash Flow for Early Estimates'!M42</f>
        <v>55624.031873576838</v>
      </c>
      <c r="M31" s="90" t="s">
        <v>14447</v>
      </c>
      <c r="N31" s="87"/>
    </row>
    <row r="32" spans="1:14" x14ac:dyDescent="0.25">
      <c r="E32" s="92"/>
      <c r="F32" s="92"/>
      <c r="G32" s="92"/>
      <c r="H32" s="27" t="s">
        <v>16016</v>
      </c>
      <c r="I32" s="36">
        <f>'Cash Flow for Early Estimates'!M22</f>
        <v>3867.2900249999948</v>
      </c>
      <c r="J32" s="37">
        <f>'Cash Flow for Early Estimates'!M29</f>
        <v>7734.5800499999896</v>
      </c>
      <c r="K32" s="74">
        <f>'Cash Flow for Early Estimates'!M36</f>
        <v>11601.870075000013</v>
      </c>
      <c r="L32" s="38">
        <f>'Cash Flow for Early Estimates'!M43</f>
        <v>15469.160099999979</v>
      </c>
      <c r="M32" s="90" t="s">
        <v>14447</v>
      </c>
      <c r="N32" s="87"/>
    </row>
    <row r="33" spans="2:14" ht="39.6" x14ac:dyDescent="0.25">
      <c r="E33" s="92"/>
      <c r="F33" s="92"/>
      <c r="G33" s="92"/>
      <c r="H33" s="94" t="s">
        <v>14423</v>
      </c>
      <c r="I33" s="97">
        <f>SUM(I30,I31,I32)</f>
        <v>877961.95961713814</v>
      </c>
      <c r="J33" s="98">
        <f t="shared" ref="J33:L33" si="2">SUM(J30,J31,J32)</f>
        <v>1754549.7037359511</v>
      </c>
      <c r="K33" s="99">
        <f t="shared" si="2"/>
        <v>2631137.4478547638</v>
      </c>
      <c r="L33" s="100">
        <f t="shared" si="2"/>
        <v>3507725.1919735768</v>
      </c>
      <c r="M33" s="93" t="s">
        <v>16015</v>
      </c>
      <c r="N33" s="87"/>
    </row>
    <row r="34" spans="2:14" x14ac:dyDescent="0.25">
      <c r="B34" s="16" t="s">
        <v>16024</v>
      </c>
    </row>
  </sheetData>
  <sheetProtection insertColumns="0" insertRows="0" insertHyperlinks="0" deleteColumns="0" deleteRows="0"/>
  <customSheetViews>
    <customSheetView guid="{745DB71F-8933-41D7-BE5B-16A940EDBBE9}" scale="90" showPageBreaks="1" fitToPage="1" printArea="1">
      <selection activeCell="B34" sqref="B34"/>
      <pageMargins left="0.7" right="0.7" top="0.75" bottom="0.75" header="0.3" footer="0.3"/>
      <pageSetup scale="71" fitToHeight="0" orientation="landscape" r:id="rId1"/>
      <headerFooter>
        <oddFooter>&amp;L&amp;F&amp;R&amp;D</oddFooter>
      </headerFooter>
    </customSheetView>
    <customSheetView guid="{5022875D-193C-41EC-BB2F-46BD922E594A}" scale="90" fitToPage="1">
      <pageMargins left="0.7" right="0.7" top="0.75" bottom="0.75" header="0.3" footer="0.3"/>
      <pageSetup scale="73" fitToHeight="0" orientation="landscape" r:id="rId2"/>
      <headerFooter>
        <oddFooter>&amp;L&amp;F&amp;R&amp;D</oddFooter>
      </headerFooter>
    </customSheetView>
    <customSheetView guid="{23DC8B3D-8B5E-4886-8175-FE20CCB314E2}" scale="90" fitToPage="1">
      <selection activeCell="L49" sqref="L49"/>
      <pageMargins left="0.7" right="0.7" top="0.75" bottom="0.75" header="0.3" footer="0.3"/>
      <pageSetup scale="73" fitToHeight="0" orientation="landscape" r:id="rId3"/>
      <headerFooter>
        <oddFooter>&amp;L&amp;F&amp;R&amp;D</oddFooter>
      </headerFooter>
    </customSheetView>
    <customSheetView guid="{133066FC-E63E-478B-AF61-B83EA814B20D}" scale="90" fitToPage="1">
      <pageMargins left="0.7" right="0.7" top="0.75" bottom="0.75" header="0.3" footer="0.3"/>
      <pageSetup scale="73" fitToHeight="0" orientation="landscape" r:id="rId4"/>
      <headerFooter>
        <oddFooter>&amp;L&amp;F&amp;R&amp;D</oddFooter>
      </headerFooter>
    </customSheetView>
    <customSheetView guid="{1AACC9AA-928C-4EAC-BFCD-1D4B799515C7}" scale="90" fitToPage="1">
      <selection activeCell="B34" sqref="B34"/>
      <pageMargins left="0.7" right="0.7" top="0.75" bottom="0.75" header="0.3" footer="0.3"/>
      <pageSetup scale="71" fitToHeight="0" orientation="landscape" r:id="rId5"/>
      <headerFooter>
        <oddFooter>&amp;L&amp;F&amp;R&amp;D</oddFooter>
      </headerFooter>
    </customSheetView>
  </customSheetViews>
  <hyperlinks>
    <hyperlink ref="M16" r:id="rId6"/>
    <hyperlink ref="M21" r:id="rId7"/>
    <hyperlink ref="M27" r:id="rId8"/>
    <hyperlink ref="M25" r:id="rId9"/>
    <hyperlink ref="M19" r:id="rId10"/>
    <hyperlink ref="M31" location="'Cash Flow for Early Estimates'!A1" display="Calculated using Cash Flow Tab"/>
    <hyperlink ref="M32" location="'Cash Flow for Early Estimates'!A1" display="Calculated using Cash Flow Tab"/>
  </hyperlinks>
  <pageMargins left="0.7" right="0.7" top="0.75" bottom="0.75" header="0.3" footer="0.3"/>
  <pageSetup scale="71" fitToHeight="0" orientation="landscape" r:id="rId11"/>
  <headerFooter>
    <oddFooter>&amp;L&amp;F&amp;R&amp;D</oddFooter>
  </headerFooter>
  <legacy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N45"/>
  <sheetViews>
    <sheetView zoomScale="85" zoomScaleNormal="85" workbookViewId="0"/>
  </sheetViews>
  <sheetFormatPr defaultColWidth="9.109375" defaultRowHeight="13.2" x14ac:dyDescent="0.25"/>
  <cols>
    <col min="1" max="1" width="31.6640625" style="44" customWidth="1"/>
    <col min="2" max="2" width="20.109375" style="44" customWidth="1"/>
    <col min="3" max="3" width="19.33203125" style="44" customWidth="1"/>
    <col min="4" max="4" width="15.33203125" style="44" customWidth="1"/>
    <col min="5" max="5" width="16.5546875" style="44" customWidth="1"/>
    <col min="6" max="12" width="15.33203125" style="44" customWidth="1"/>
    <col min="13" max="13" width="12.33203125" style="44" bestFit="1" customWidth="1"/>
    <col min="14" max="14" width="18.5546875" style="44" bestFit="1" customWidth="1"/>
    <col min="15" max="16384" width="9.109375" style="44"/>
  </cols>
  <sheetData>
    <row r="1" spans="1:13" s="41" customFormat="1" ht="17.399999999999999" x14ac:dyDescent="0.3">
      <c r="A1" s="39" t="s">
        <v>16028</v>
      </c>
      <c r="B1" s="40"/>
      <c r="D1" s="42"/>
      <c r="E1" s="40"/>
      <c r="F1" s="40"/>
      <c r="G1" s="40"/>
      <c r="H1" s="40"/>
      <c r="I1" s="39"/>
      <c r="K1" s="40"/>
    </row>
    <row r="2" spans="1:13" x14ac:dyDescent="0.25">
      <c r="A2" s="43" t="s">
        <v>14421</v>
      </c>
      <c r="B2" s="160">
        <v>2017</v>
      </c>
      <c r="C2" s="8" t="s">
        <v>16027</v>
      </c>
      <c r="D2" s="8"/>
      <c r="E2" s="4"/>
    </row>
    <row r="3" spans="1:13" x14ac:dyDescent="0.25">
      <c r="A3" s="43" t="s">
        <v>14422</v>
      </c>
      <c r="B3" s="164">
        <v>2.3E-2</v>
      </c>
      <c r="C3" s="4" t="s">
        <v>16020</v>
      </c>
      <c r="D3" s="8"/>
    </row>
    <row r="4" spans="1:13" x14ac:dyDescent="0.25">
      <c r="A4" s="43" t="s">
        <v>16017</v>
      </c>
      <c r="B4" s="164">
        <v>0.01</v>
      </c>
      <c r="C4" s="4" t="s">
        <v>16020</v>
      </c>
      <c r="D4" s="8"/>
    </row>
    <row r="5" spans="1:13" x14ac:dyDescent="0.25">
      <c r="A5" s="43" t="s">
        <v>16025</v>
      </c>
      <c r="B5" s="161">
        <v>10000</v>
      </c>
      <c r="C5" s="4" t="s">
        <v>16026</v>
      </c>
      <c r="D5" s="8"/>
    </row>
    <row r="6" spans="1:13" x14ac:dyDescent="0.25">
      <c r="A6" s="83" t="s">
        <v>14442</v>
      </c>
      <c r="B6" s="45">
        <f>'Total Cost Projection'!I30</f>
        <v>860292</v>
      </c>
      <c r="C6" s="4" t="s">
        <v>14428</v>
      </c>
      <c r="D6" s="46"/>
    </row>
    <row r="7" spans="1:13" x14ac:dyDescent="0.25">
      <c r="A7" s="114" t="s">
        <v>39</v>
      </c>
      <c r="B7" s="45">
        <f>'Total Cost Projection'!I17</f>
        <v>550500</v>
      </c>
      <c r="C7" s="3" t="s">
        <v>16023</v>
      </c>
      <c r="D7" s="46"/>
    </row>
    <row r="8" spans="1:13" x14ac:dyDescent="0.25">
      <c r="A8" s="82" t="s">
        <v>14443</v>
      </c>
      <c r="B8" s="45">
        <f>'Total Cost Projection'!J30</f>
        <v>1719072</v>
      </c>
      <c r="C8" s="4" t="s">
        <v>14428</v>
      </c>
      <c r="D8" s="46"/>
    </row>
    <row r="9" spans="1:13" x14ac:dyDescent="0.25">
      <c r="A9" s="113" t="s">
        <v>39</v>
      </c>
      <c r="B9" s="45">
        <f>'Total Cost Projection'!J17</f>
        <v>1101000</v>
      </c>
      <c r="C9" s="3" t="s">
        <v>16023</v>
      </c>
      <c r="D9" s="46"/>
    </row>
    <row r="10" spans="1:13" x14ac:dyDescent="0.25">
      <c r="A10" s="84" t="s">
        <v>14444</v>
      </c>
      <c r="B10" s="45">
        <f>'Total Cost Projection'!K30</f>
        <v>2577852</v>
      </c>
      <c r="C10" s="4" t="s">
        <v>14428</v>
      </c>
      <c r="D10" s="46"/>
    </row>
    <row r="11" spans="1:13" x14ac:dyDescent="0.25">
      <c r="A11" s="112" t="s">
        <v>39</v>
      </c>
      <c r="B11" s="45">
        <f>'Total Cost Projection'!K17</f>
        <v>1651500</v>
      </c>
      <c r="C11" s="3" t="s">
        <v>16023</v>
      </c>
      <c r="D11" s="46"/>
    </row>
    <row r="12" spans="1:13" x14ac:dyDescent="0.25">
      <c r="A12" s="85" t="s">
        <v>14445</v>
      </c>
      <c r="B12" s="45">
        <f>'Total Cost Projection'!L30</f>
        <v>3436632</v>
      </c>
      <c r="C12" s="4" t="s">
        <v>14428</v>
      </c>
      <c r="D12" s="46"/>
    </row>
    <row r="13" spans="1:13" x14ac:dyDescent="0.25">
      <c r="A13" s="111" t="s">
        <v>39</v>
      </c>
      <c r="B13" s="45">
        <f>'Total Cost Projection'!L17</f>
        <v>2202000</v>
      </c>
      <c r="C13" s="3" t="s">
        <v>16023</v>
      </c>
      <c r="D13" s="46"/>
    </row>
    <row r="14" spans="1:13" x14ac:dyDescent="0.25">
      <c r="A14" s="17"/>
      <c r="B14" s="8"/>
      <c r="C14" s="8"/>
      <c r="D14" s="8"/>
    </row>
    <row r="15" spans="1:13" x14ac:dyDescent="0.25">
      <c r="A15" s="17"/>
      <c r="B15" s="8"/>
      <c r="C15" s="8"/>
      <c r="D15" s="8"/>
    </row>
    <row r="16" spans="1:13" ht="13.8" thickBot="1" x14ac:dyDescent="0.3">
      <c r="B16" s="110" t="s">
        <v>14425</v>
      </c>
      <c r="C16" s="80">
        <f>B2</f>
        <v>2017</v>
      </c>
      <c r="D16" s="79">
        <f>B2+1</f>
        <v>2018</v>
      </c>
      <c r="E16" s="79">
        <f t="shared" ref="E16:L16" si="0">D16+1</f>
        <v>2019</v>
      </c>
      <c r="F16" s="79">
        <f t="shared" si="0"/>
        <v>2020</v>
      </c>
      <c r="G16" s="79">
        <f t="shared" si="0"/>
        <v>2021</v>
      </c>
      <c r="H16" s="79">
        <f t="shared" si="0"/>
        <v>2022</v>
      </c>
      <c r="I16" s="79">
        <f t="shared" si="0"/>
        <v>2023</v>
      </c>
      <c r="J16" s="79">
        <f t="shared" si="0"/>
        <v>2024</v>
      </c>
      <c r="K16" s="79">
        <f t="shared" si="0"/>
        <v>2025</v>
      </c>
      <c r="L16" s="146">
        <f t="shared" si="0"/>
        <v>2026</v>
      </c>
      <c r="M16" s="152"/>
    </row>
    <row r="17" spans="1:14" ht="13.8" thickBot="1" x14ac:dyDescent="0.3">
      <c r="A17" s="137" t="s">
        <v>40</v>
      </c>
      <c r="B17" s="138"/>
      <c r="C17" s="139"/>
      <c r="D17" s="138"/>
      <c r="E17" s="138"/>
      <c r="F17" s="138"/>
      <c r="G17" s="138"/>
      <c r="H17" s="138"/>
      <c r="I17" s="138"/>
      <c r="J17" s="138"/>
      <c r="K17" s="138"/>
      <c r="L17" s="138"/>
      <c r="M17" s="154" t="s">
        <v>16022</v>
      </c>
    </row>
    <row r="18" spans="1:14" x14ac:dyDescent="0.25">
      <c r="A18" s="115" t="s">
        <v>14446</v>
      </c>
      <c r="B18" s="81" t="s">
        <v>14424</v>
      </c>
      <c r="C18" s="162">
        <v>0.5</v>
      </c>
      <c r="D18" s="162">
        <v>0.35</v>
      </c>
      <c r="E18" s="162">
        <v>0.1</v>
      </c>
      <c r="F18" s="162">
        <v>0.05</v>
      </c>
      <c r="G18" s="162"/>
      <c r="H18" s="162"/>
      <c r="I18" s="162"/>
      <c r="J18" s="162"/>
      <c r="K18" s="162"/>
      <c r="L18" s="163"/>
      <c r="M18" s="153">
        <f>SUM(C18:L18)</f>
        <v>1</v>
      </c>
    </row>
    <row r="19" spans="1:14" x14ac:dyDescent="0.25">
      <c r="A19" s="116" t="s">
        <v>16021</v>
      </c>
      <c r="B19" s="109">
        <f>B5</f>
        <v>10000</v>
      </c>
      <c r="C19" s="45">
        <f t="shared" ref="C19:L19" si="1">C18*($B$6-$B$19)</f>
        <v>425146</v>
      </c>
      <c r="D19" s="45">
        <f t="shared" si="1"/>
        <v>297602.19999999995</v>
      </c>
      <c r="E19" s="45">
        <f t="shared" si="1"/>
        <v>85029.200000000012</v>
      </c>
      <c r="F19" s="45">
        <f t="shared" si="1"/>
        <v>42514.600000000006</v>
      </c>
      <c r="G19" s="45">
        <f t="shared" si="1"/>
        <v>0</v>
      </c>
      <c r="H19" s="45">
        <f t="shared" si="1"/>
        <v>0</v>
      </c>
      <c r="I19" s="45">
        <f t="shared" si="1"/>
        <v>0</v>
      </c>
      <c r="J19" s="45">
        <f t="shared" si="1"/>
        <v>0</v>
      </c>
      <c r="K19" s="45">
        <f t="shared" si="1"/>
        <v>0</v>
      </c>
      <c r="L19" s="147">
        <f t="shared" si="1"/>
        <v>0</v>
      </c>
      <c r="M19" s="150"/>
    </row>
    <row r="20" spans="1:14" x14ac:dyDescent="0.25">
      <c r="A20" s="116" t="s">
        <v>39</v>
      </c>
      <c r="B20" s="109"/>
      <c r="C20" s="45">
        <f>C18*($B$7-$B$20)</f>
        <v>275250</v>
      </c>
      <c r="D20" s="45">
        <f t="shared" ref="D20:L20" si="2">D18*($B$7-$B$20)</f>
        <v>192675</v>
      </c>
      <c r="E20" s="45">
        <f t="shared" si="2"/>
        <v>55050</v>
      </c>
      <c r="F20" s="45">
        <f t="shared" si="2"/>
        <v>27525</v>
      </c>
      <c r="G20" s="45">
        <f t="shared" si="2"/>
        <v>0</v>
      </c>
      <c r="H20" s="45">
        <f t="shared" si="2"/>
        <v>0</v>
      </c>
      <c r="I20" s="45">
        <f t="shared" si="2"/>
        <v>0</v>
      </c>
      <c r="J20" s="45">
        <f t="shared" si="2"/>
        <v>0</v>
      </c>
      <c r="K20" s="45">
        <f t="shared" si="2"/>
        <v>0</v>
      </c>
      <c r="L20" s="147">
        <f t="shared" si="2"/>
        <v>0</v>
      </c>
      <c r="M20" s="150"/>
    </row>
    <row r="21" spans="1:14" x14ac:dyDescent="0.25">
      <c r="A21" s="116" t="s">
        <v>14857</v>
      </c>
      <c r="B21" s="109">
        <f>B19 -B19</f>
        <v>0</v>
      </c>
      <c r="C21" s="45">
        <f>C19-C19</f>
        <v>0</v>
      </c>
      <c r="D21" s="95">
        <f>(D19*(1+$B$3)^(D$16-$B$2))-D19</f>
        <v>6844.850599999947</v>
      </c>
      <c r="E21" s="95">
        <f>(E19*(1+$B$3)^(E$16-$B$2))-E19</f>
        <v>3956.3236467999814</v>
      </c>
      <c r="F21" s="95">
        <f t="shared" ref="F21:L21" si="3">(F19*(1+$B$3)^(F$16-$B$2))-F19</f>
        <v>3001.4953453381895</v>
      </c>
      <c r="G21" s="95">
        <f t="shared" si="3"/>
        <v>0</v>
      </c>
      <c r="H21" s="95">
        <f t="shared" si="3"/>
        <v>0</v>
      </c>
      <c r="I21" s="95">
        <f t="shared" si="3"/>
        <v>0</v>
      </c>
      <c r="J21" s="95">
        <f t="shared" si="3"/>
        <v>0</v>
      </c>
      <c r="K21" s="95">
        <f t="shared" si="3"/>
        <v>0</v>
      </c>
      <c r="L21" s="148">
        <f t="shared" si="3"/>
        <v>0</v>
      </c>
      <c r="M21" s="151">
        <f>SUM(D21:L21)</f>
        <v>13802.669592138118</v>
      </c>
    </row>
    <row r="22" spans="1:14" ht="13.8" thickBot="1" x14ac:dyDescent="0.3">
      <c r="A22" s="116" t="s">
        <v>16018</v>
      </c>
      <c r="B22" s="109">
        <f>B20 -B20</f>
        <v>0</v>
      </c>
      <c r="C22" s="109">
        <f>C20 -C20</f>
        <v>0</v>
      </c>
      <c r="D22" s="95">
        <f>(D20*(1+$B$4)^(D$16-$B$2))-D20</f>
        <v>1926.75</v>
      </c>
      <c r="E22" s="95">
        <f t="shared" ref="E22:L22" si="4">(E20*(1+$B$4)^(E$16-$B$2))-E20</f>
        <v>1106.5049999999974</v>
      </c>
      <c r="F22" s="95">
        <f t="shared" si="4"/>
        <v>834.0350249999974</v>
      </c>
      <c r="G22" s="95">
        <f t="shared" si="4"/>
        <v>0</v>
      </c>
      <c r="H22" s="95">
        <f t="shared" si="4"/>
        <v>0</v>
      </c>
      <c r="I22" s="95">
        <f t="shared" si="4"/>
        <v>0</v>
      </c>
      <c r="J22" s="95">
        <f t="shared" si="4"/>
        <v>0</v>
      </c>
      <c r="K22" s="95">
        <f t="shared" si="4"/>
        <v>0</v>
      </c>
      <c r="L22" s="148">
        <f t="shared" si="4"/>
        <v>0</v>
      </c>
      <c r="M22" s="155">
        <f>SUM(D22:L22)</f>
        <v>3867.2900249999948</v>
      </c>
    </row>
    <row r="23" spans="1:14" ht="13.8" thickBot="1" x14ac:dyDescent="0.3">
      <c r="A23" s="133" t="s">
        <v>14441</v>
      </c>
      <c r="B23" s="124">
        <f>B19</f>
        <v>10000</v>
      </c>
      <c r="C23" s="124">
        <f>C19</f>
        <v>425146</v>
      </c>
      <c r="D23" s="125">
        <f>SUM(D19,D21,D22)</f>
        <v>306373.8005999999</v>
      </c>
      <c r="E23" s="125">
        <f t="shared" ref="E23:L23" si="5">SUM(E19,E21,E22)</f>
        <v>90092.028646799998</v>
      </c>
      <c r="F23" s="125">
        <f t="shared" si="5"/>
        <v>46350.130370338193</v>
      </c>
      <c r="G23" s="125">
        <f t="shared" si="5"/>
        <v>0</v>
      </c>
      <c r="H23" s="125">
        <f t="shared" si="5"/>
        <v>0</v>
      </c>
      <c r="I23" s="125">
        <f t="shared" si="5"/>
        <v>0</v>
      </c>
      <c r="J23" s="125">
        <f t="shared" si="5"/>
        <v>0</v>
      </c>
      <c r="K23" s="125">
        <f t="shared" si="5"/>
        <v>0</v>
      </c>
      <c r="L23" s="140">
        <f t="shared" si="5"/>
        <v>0</v>
      </c>
      <c r="M23" s="142">
        <f>SUM(B23:L23)</f>
        <v>877961.95961713814</v>
      </c>
      <c r="N23" s="9" t="s">
        <v>16019</v>
      </c>
    </row>
    <row r="24" spans="1:14" ht="13.8" thickBot="1" x14ac:dyDescent="0.3">
      <c r="A24" s="134" t="s">
        <v>41</v>
      </c>
      <c r="B24" s="135"/>
      <c r="C24" s="136"/>
      <c r="D24" s="135"/>
      <c r="E24" s="135"/>
      <c r="F24" s="135"/>
      <c r="G24" s="135"/>
      <c r="H24" s="135"/>
      <c r="I24" s="135"/>
      <c r="J24" s="135"/>
      <c r="K24" s="135"/>
      <c r="L24" s="157"/>
      <c r="M24" s="156"/>
      <c r="N24" s="9"/>
    </row>
    <row r="25" spans="1:14" x14ac:dyDescent="0.25">
      <c r="A25" s="117" t="s">
        <v>14446</v>
      </c>
      <c r="B25" s="81" t="s">
        <v>14424</v>
      </c>
      <c r="C25" s="162">
        <v>0.5</v>
      </c>
      <c r="D25" s="162">
        <v>0.35</v>
      </c>
      <c r="E25" s="162">
        <v>0.1</v>
      </c>
      <c r="F25" s="162">
        <v>0.05</v>
      </c>
      <c r="G25" s="162"/>
      <c r="H25" s="162"/>
      <c r="I25" s="162"/>
      <c r="J25" s="162"/>
      <c r="K25" s="162"/>
      <c r="L25" s="163"/>
      <c r="M25" s="149">
        <f>SUM(C25:L25)</f>
        <v>1</v>
      </c>
      <c r="N25" s="9"/>
    </row>
    <row r="26" spans="1:14" x14ac:dyDescent="0.25">
      <c r="A26" s="118" t="s">
        <v>16021</v>
      </c>
      <c r="B26" s="109">
        <f>B5</f>
        <v>10000</v>
      </c>
      <c r="C26" s="45">
        <f t="shared" ref="C26:L26" si="6">C25*($B$8-$B$26)</f>
        <v>854536</v>
      </c>
      <c r="D26" s="45">
        <f t="shared" si="6"/>
        <v>598175.19999999995</v>
      </c>
      <c r="E26" s="45">
        <f t="shared" si="6"/>
        <v>170907.2</v>
      </c>
      <c r="F26" s="45">
        <f t="shared" si="6"/>
        <v>85453.6</v>
      </c>
      <c r="G26" s="45">
        <f t="shared" si="6"/>
        <v>0</v>
      </c>
      <c r="H26" s="45">
        <f t="shared" si="6"/>
        <v>0</v>
      </c>
      <c r="I26" s="45">
        <f t="shared" si="6"/>
        <v>0</v>
      </c>
      <c r="J26" s="45">
        <f t="shared" si="6"/>
        <v>0</v>
      </c>
      <c r="K26" s="45">
        <f t="shared" si="6"/>
        <v>0</v>
      </c>
      <c r="L26" s="147">
        <f t="shared" si="6"/>
        <v>0</v>
      </c>
      <c r="M26" s="150"/>
      <c r="N26" s="9"/>
    </row>
    <row r="27" spans="1:14" x14ac:dyDescent="0.25">
      <c r="A27" s="118" t="s">
        <v>39</v>
      </c>
      <c r="B27" s="109"/>
      <c r="C27" s="45">
        <f>C25*($B$9-$B$27)</f>
        <v>550500</v>
      </c>
      <c r="D27" s="45">
        <f t="shared" ref="D27:L27" si="7">D25*($B$9-$B$27)</f>
        <v>385350</v>
      </c>
      <c r="E27" s="45">
        <f t="shared" si="7"/>
        <v>110100</v>
      </c>
      <c r="F27" s="45">
        <f t="shared" si="7"/>
        <v>55050</v>
      </c>
      <c r="G27" s="45">
        <f t="shared" si="7"/>
        <v>0</v>
      </c>
      <c r="H27" s="45">
        <f t="shared" si="7"/>
        <v>0</v>
      </c>
      <c r="I27" s="45">
        <f t="shared" si="7"/>
        <v>0</v>
      </c>
      <c r="J27" s="45">
        <f t="shared" si="7"/>
        <v>0</v>
      </c>
      <c r="K27" s="45">
        <f t="shared" si="7"/>
        <v>0</v>
      </c>
      <c r="L27" s="147">
        <f t="shared" si="7"/>
        <v>0</v>
      </c>
      <c r="M27" s="150"/>
      <c r="N27" s="9"/>
    </row>
    <row r="28" spans="1:14" x14ac:dyDescent="0.25">
      <c r="A28" s="118" t="s">
        <v>14857</v>
      </c>
      <c r="B28" s="109">
        <f>B26 -B26</f>
        <v>0</v>
      </c>
      <c r="C28" s="45">
        <f>C26-C26</f>
        <v>0</v>
      </c>
      <c r="D28" s="95">
        <f t="shared" ref="D28:L28" si="8">(D26*(1+$B$3)^(D$16-$B$2))-D26</f>
        <v>13758.029599999893</v>
      </c>
      <c r="E28" s="95">
        <f t="shared" si="8"/>
        <v>7952.1411087999586</v>
      </c>
      <c r="F28" s="95">
        <f t="shared" si="8"/>
        <v>6032.9529771511734</v>
      </c>
      <c r="G28" s="95">
        <f t="shared" si="8"/>
        <v>0</v>
      </c>
      <c r="H28" s="95">
        <f t="shared" si="8"/>
        <v>0</v>
      </c>
      <c r="I28" s="95">
        <f t="shared" si="8"/>
        <v>0</v>
      </c>
      <c r="J28" s="95">
        <f t="shared" si="8"/>
        <v>0</v>
      </c>
      <c r="K28" s="95">
        <f t="shared" si="8"/>
        <v>0</v>
      </c>
      <c r="L28" s="148">
        <f t="shared" si="8"/>
        <v>0</v>
      </c>
      <c r="M28" s="151">
        <f>SUM(D28:L28)</f>
        <v>27743.123685951025</v>
      </c>
      <c r="N28" s="9"/>
    </row>
    <row r="29" spans="1:14" ht="13.8" thickBot="1" x14ac:dyDescent="0.3">
      <c r="A29" s="118" t="s">
        <v>16018</v>
      </c>
      <c r="B29" s="109">
        <f>B27 -B27</f>
        <v>0</v>
      </c>
      <c r="C29" s="109">
        <f>C27 -C27</f>
        <v>0</v>
      </c>
      <c r="D29" s="95">
        <f>(D27*(1+$B$4)^(D$16-$B$2))-D27</f>
        <v>3853.5</v>
      </c>
      <c r="E29" s="95">
        <f t="shared" ref="E29:L29" si="9">(E27*(1+$B$4)^(E$16-$B$2))-E27</f>
        <v>2213.0099999999948</v>
      </c>
      <c r="F29" s="95">
        <f t="shared" si="9"/>
        <v>1668.0700499999948</v>
      </c>
      <c r="G29" s="95">
        <f t="shared" si="9"/>
        <v>0</v>
      </c>
      <c r="H29" s="95">
        <f t="shared" si="9"/>
        <v>0</v>
      </c>
      <c r="I29" s="95">
        <f t="shared" si="9"/>
        <v>0</v>
      </c>
      <c r="J29" s="95">
        <f t="shared" si="9"/>
        <v>0</v>
      </c>
      <c r="K29" s="95">
        <f t="shared" si="9"/>
        <v>0</v>
      </c>
      <c r="L29" s="148">
        <f t="shared" si="9"/>
        <v>0</v>
      </c>
      <c r="M29" s="155">
        <f>SUM(D29:L29)</f>
        <v>7734.5800499999896</v>
      </c>
      <c r="N29" s="9"/>
    </row>
    <row r="30" spans="1:14" ht="13.8" thickBot="1" x14ac:dyDescent="0.3">
      <c r="A30" s="129" t="s">
        <v>14441</v>
      </c>
      <c r="B30" s="124">
        <f>B26</f>
        <v>10000</v>
      </c>
      <c r="C30" s="124">
        <f>C26</f>
        <v>854536</v>
      </c>
      <c r="D30" s="125">
        <f>SUM(D26,D28,D29)</f>
        <v>615786.72959999985</v>
      </c>
      <c r="E30" s="125">
        <f t="shared" ref="E30:L30" si="10">SUM(E26,E28,E29)</f>
        <v>181072.35110879998</v>
      </c>
      <c r="F30" s="125">
        <f t="shared" si="10"/>
        <v>93154.623027151174</v>
      </c>
      <c r="G30" s="125">
        <f t="shared" si="10"/>
        <v>0</v>
      </c>
      <c r="H30" s="125">
        <f t="shared" si="10"/>
        <v>0</v>
      </c>
      <c r="I30" s="125">
        <f t="shared" si="10"/>
        <v>0</v>
      </c>
      <c r="J30" s="125">
        <f t="shared" si="10"/>
        <v>0</v>
      </c>
      <c r="K30" s="125">
        <f t="shared" si="10"/>
        <v>0</v>
      </c>
      <c r="L30" s="140">
        <f t="shared" si="10"/>
        <v>0</v>
      </c>
      <c r="M30" s="143">
        <f>SUM(B30:L30)</f>
        <v>1754549.7037359509</v>
      </c>
      <c r="N30" s="9" t="s">
        <v>16019</v>
      </c>
    </row>
    <row r="31" spans="1:14" ht="13.8" thickBot="1" x14ac:dyDescent="0.3">
      <c r="A31" s="130" t="s">
        <v>42</v>
      </c>
      <c r="B31" s="131"/>
      <c r="C31" s="132"/>
      <c r="D31" s="131"/>
      <c r="E31" s="131"/>
      <c r="F31" s="131"/>
      <c r="G31" s="131"/>
      <c r="H31" s="131"/>
      <c r="I31" s="131"/>
      <c r="J31" s="131"/>
      <c r="K31" s="131"/>
      <c r="L31" s="158"/>
      <c r="M31" s="156"/>
      <c r="N31" s="9"/>
    </row>
    <row r="32" spans="1:14" x14ac:dyDescent="0.25">
      <c r="A32" s="119" t="s">
        <v>14446</v>
      </c>
      <c r="B32" s="81" t="s">
        <v>14424</v>
      </c>
      <c r="C32" s="162">
        <v>0.5</v>
      </c>
      <c r="D32" s="162">
        <v>0.35</v>
      </c>
      <c r="E32" s="162">
        <v>0.1</v>
      </c>
      <c r="F32" s="162">
        <v>0.05</v>
      </c>
      <c r="G32" s="162"/>
      <c r="H32" s="162"/>
      <c r="I32" s="162"/>
      <c r="J32" s="162"/>
      <c r="K32" s="162"/>
      <c r="L32" s="163"/>
      <c r="M32" s="149">
        <f>SUM(C32:L32)</f>
        <v>1</v>
      </c>
      <c r="N32" s="9"/>
    </row>
    <row r="33" spans="1:14" x14ac:dyDescent="0.25">
      <c r="A33" s="120" t="s">
        <v>16021</v>
      </c>
      <c r="B33" s="109">
        <f>B5</f>
        <v>10000</v>
      </c>
      <c r="C33" s="45">
        <f t="shared" ref="C33:L33" si="11">C32*($B$10-$B$33)</f>
        <v>1283926</v>
      </c>
      <c r="D33" s="45">
        <f t="shared" si="11"/>
        <v>898748.2</v>
      </c>
      <c r="E33" s="45">
        <f t="shared" si="11"/>
        <v>256785.2</v>
      </c>
      <c r="F33" s="45">
        <f t="shared" si="11"/>
        <v>128392.6</v>
      </c>
      <c r="G33" s="45">
        <f t="shared" si="11"/>
        <v>0</v>
      </c>
      <c r="H33" s="45">
        <f t="shared" si="11"/>
        <v>0</v>
      </c>
      <c r="I33" s="45">
        <f t="shared" si="11"/>
        <v>0</v>
      </c>
      <c r="J33" s="45">
        <f t="shared" si="11"/>
        <v>0</v>
      </c>
      <c r="K33" s="45">
        <f t="shared" si="11"/>
        <v>0</v>
      </c>
      <c r="L33" s="147">
        <f t="shared" si="11"/>
        <v>0</v>
      </c>
      <c r="M33" s="150"/>
      <c r="N33" s="9"/>
    </row>
    <row r="34" spans="1:14" x14ac:dyDescent="0.25">
      <c r="A34" s="120" t="s">
        <v>39</v>
      </c>
      <c r="B34" s="109"/>
      <c r="C34" s="45">
        <f>C32*($B$11-$B$34)</f>
        <v>825750</v>
      </c>
      <c r="D34" s="45">
        <f t="shared" ref="D34:L34" si="12">D32*($B$11-$B$34)</f>
        <v>578025</v>
      </c>
      <c r="E34" s="45">
        <f t="shared" si="12"/>
        <v>165150</v>
      </c>
      <c r="F34" s="45">
        <f t="shared" si="12"/>
        <v>82575</v>
      </c>
      <c r="G34" s="45">
        <f t="shared" si="12"/>
        <v>0</v>
      </c>
      <c r="H34" s="45">
        <f t="shared" si="12"/>
        <v>0</v>
      </c>
      <c r="I34" s="45">
        <f t="shared" si="12"/>
        <v>0</v>
      </c>
      <c r="J34" s="45">
        <f t="shared" si="12"/>
        <v>0</v>
      </c>
      <c r="K34" s="45">
        <f t="shared" si="12"/>
        <v>0</v>
      </c>
      <c r="L34" s="147">
        <f t="shared" si="12"/>
        <v>0</v>
      </c>
      <c r="M34" s="150"/>
      <c r="N34" s="9"/>
    </row>
    <row r="35" spans="1:14" x14ac:dyDescent="0.25">
      <c r="A35" s="120" t="s">
        <v>14857</v>
      </c>
      <c r="B35" s="109">
        <f>B33 -B33</f>
        <v>0</v>
      </c>
      <c r="C35" s="45">
        <f>C33-C33</f>
        <v>0</v>
      </c>
      <c r="D35" s="95">
        <f t="shared" ref="D35:L35" si="13">(D33*(1+$B$3)^(D$16-$B$2))-D33</f>
        <v>20671.208599999896</v>
      </c>
      <c r="E35" s="95">
        <f t="shared" si="13"/>
        <v>11947.958570799965</v>
      </c>
      <c r="F35" s="95">
        <f t="shared" si="13"/>
        <v>9064.4106089641573</v>
      </c>
      <c r="G35" s="95">
        <f t="shared" si="13"/>
        <v>0</v>
      </c>
      <c r="H35" s="95">
        <f t="shared" si="13"/>
        <v>0</v>
      </c>
      <c r="I35" s="95">
        <f t="shared" si="13"/>
        <v>0</v>
      </c>
      <c r="J35" s="95">
        <f t="shared" si="13"/>
        <v>0</v>
      </c>
      <c r="K35" s="95">
        <f t="shared" si="13"/>
        <v>0</v>
      </c>
      <c r="L35" s="148">
        <f t="shared" si="13"/>
        <v>0</v>
      </c>
      <c r="M35" s="151">
        <f>SUM(D35:L35)</f>
        <v>41683.577779764018</v>
      </c>
      <c r="N35" s="9"/>
    </row>
    <row r="36" spans="1:14" ht="13.8" thickBot="1" x14ac:dyDescent="0.3">
      <c r="A36" s="120" t="s">
        <v>16018</v>
      </c>
      <c r="B36" s="109">
        <f>B34 -B34</f>
        <v>0</v>
      </c>
      <c r="C36" s="109">
        <f>C34-C34</f>
        <v>0</v>
      </c>
      <c r="D36" s="95">
        <f>(D34*(1+$B$4)^(D$16-$B$2))-D34</f>
        <v>5780.25</v>
      </c>
      <c r="E36" s="95">
        <f t="shared" ref="E36:L36" si="14">(E34*(1+$B$4)^(E$16-$B$2))-E34</f>
        <v>3319.515000000014</v>
      </c>
      <c r="F36" s="95">
        <f t="shared" si="14"/>
        <v>2502.1050749999995</v>
      </c>
      <c r="G36" s="95">
        <f t="shared" si="14"/>
        <v>0</v>
      </c>
      <c r="H36" s="95">
        <f t="shared" si="14"/>
        <v>0</v>
      </c>
      <c r="I36" s="95">
        <f t="shared" si="14"/>
        <v>0</v>
      </c>
      <c r="J36" s="95">
        <f t="shared" si="14"/>
        <v>0</v>
      </c>
      <c r="K36" s="95">
        <f t="shared" si="14"/>
        <v>0</v>
      </c>
      <c r="L36" s="148">
        <f t="shared" si="14"/>
        <v>0</v>
      </c>
      <c r="M36" s="155">
        <f>SUM(D36:L36)</f>
        <v>11601.870075000013</v>
      </c>
      <c r="N36" s="9"/>
    </row>
    <row r="37" spans="1:14" ht="13.8" thickBot="1" x14ac:dyDescent="0.3">
      <c r="A37" s="123" t="s">
        <v>14441</v>
      </c>
      <c r="B37" s="124">
        <f>B33</f>
        <v>10000</v>
      </c>
      <c r="C37" s="124">
        <f>C33</f>
        <v>1283926</v>
      </c>
      <c r="D37" s="125">
        <f>SUM(D33,D35,D36)</f>
        <v>925199.65859999985</v>
      </c>
      <c r="E37" s="125">
        <f t="shared" ref="E37:L37" si="15">SUM(E33,E35,E36)</f>
        <v>272052.67357079999</v>
      </c>
      <c r="F37" s="125">
        <f t="shared" si="15"/>
        <v>139959.11568396416</v>
      </c>
      <c r="G37" s="125">
        <f t="shared" si="15"/>
        <v>0</v>
      </c>
      <c r="H37" s="125">
        <f t="shared" si="15"/>
        <v>0</v>
      </c>
      <c r="I37" s="125">
        <f t="shared" si="15"/>
        <v>0</v>
      </c>
      <c r="J37" s="125">
        <f t="shared" si="15"/>
        <v>0</v>
      </c>
      <c r="K37" s="125">
        <f t="shared" si="15"/>
        <v>0</v>
      </c>
      <c r="L37" s="140">
        <f t="shared" si="15"/>
        <v>0</v>
      </c>
      <c r="M37" s="144">
        <f>SUM(B37:L37)</f>
        <v>2631137.4478547638</v>
      </c>
      <c r="N37" s="9" t="s">
        <v>16019</v>
      </c>
    </row>
    <row r="38" spans="1:14" ht="13.8" thickBot="1" x14ac:dyDescent="0.3">
      <c r="A38" s="126" t="s">
        <v>14408</v>
      </c>
      <c r="B38" s="127"/>
      <c r="C38" s="128"/>
      <c r="D38" s="127"/>
      <c r="E38" s="127"/>
      <c r="F38" s="127"/>
      <c r="G38" s="127"/>
      <c r="H38" s="127"/>
      <c r="I38" s="127"/>
      <c r="J38" s="127"/>
      <c r="K38" s="127"/>
      <c r="L38" s="159"/>
      <c r="M38" s="156"/>
      <c r="N38" s="9"/>
    </row>
    <row r="39" spans="1:14" x14ac:dyDescent="0.25">
      <c r="A39" s="121" t="s">
        <v>14446</v>
      </c>
      <c r="B39" s="81" t="s">
        <v>14424</v>
      </c>
      <c r="C39" s="162">
        <v>0.5</v>
      </c>
      <c r="D39" s="162">
        <v>0.35</v>
      </c>
      <c r="E39" s="162">
        <v>0.1</v>
      </c>
      <c r="F39" s="162">
        <v>0.05</v>
      </c>
      <c r="G39" s="162"/>
      <c r="H39" s="162"/>
      <c r="I39" s="162"/>
      <c r="J39" s="162"/>
      <c r="K39" s="162"/>
      <c r="L39" s="163"/>
      <c r="M39" s="149">
        <f>SUM(C39:L39)</f>
        <v>1</v>
      </c>
      <c r="N39" s="9"/>
    </row>
    <row r="40" spans="1:14" x14ac:dyDescent="0.25">
      <c r="A40" s="122" t="s">
        <v>16021</v>
      </c>
      <c r="B40" s="109">
        <f>B5</f>
        <v>10000</v>
      </c>
      <c r="C40" s="45">
        <f t="shared" ref="C40:L40" si="16">C39*($B$12-$B$40)</f>
        <v>1713316</v>
      </c>
      <c r="D40" s="45">
        <f t="shared" si="16"/>
        <v>1199321.2</v>
      </c>
      <c r="E40" s="45">
        <f t="shared" si="16"/>
        <v>342663.2</v>
      </c>
      <c r="F40" s="45">
        <f t="shared" si="16"/>
        <v>171331.6</v>
      </c>
      <c r="G40" s="45">
        <f t="shared" si="16"/>
        <v>0</v>
      </c>
      <c r="H40" s="45">
        <f t="shared" si="16"/>
        <v>0</v>
      </c>
      <c r="I40" s="45">
        <f t="shared" si="16"/>
        <v>0</v>
      </c>
      <c r="J40" s="45">
        <f t="shared" si="16"/>
        <v>0</v>
      </c>
      <c r="K40" s="45">
        <f t="shared" si="16"/>
        <v>0</v>
      </c>
      <c r="L40" s="147">
        <f t="shared" si="16"/>
        <v>0</v>
      </c>
      <c r="M40" s="150"/>
      <c r="N40" s="9"/>
    </row>
    <row r="41" spans="1:14" x14ac:dyDescent="0.25">
      <c r="A41" s="122" t="s">
        <v>39</v>
      </c>
      <c r="B41" s="109"/>
      <c r="C41" s="45">
        <f>C39*($B$13-$B$41)</f>
        <v>1101000</v>
      </c>
      <c r="D41" s="45">
        <f t="shared" ref="D41:L41" si="17">D39*($B$13-$B$41)</f>
        <v>770700</v>
      </c>
      <c r="E41" s="45">
        <f t="shared" si="17"/>
        <v>220200</v>
      </c>
      <c r="F41" s="45">
        <f t="shared" si="17"/>
        <v>110100</v>
      </c>
      <c r="G41" s="45">
        <f t="shared" si="17"/>
        <v>0</v>
      </c>
      <c r="H41" s="45">
        <f t="shared" si="17"/>
        <v>0</v>
      </c>
      <c r="I41" s="45">
        <f t="shared" si="17"/>
        <v>0</v>
      </c>
      <c r="J41" s="45">
        <f t="shared" si="17"/>
        <v>0</v>
      </c>
      <c r="K41" s="45">
        <f t="shared" si="17"/>
        <v>0</v>
      </c>
      <c r="L41" s="147">
        <f t="shared" si="17"/>
        <v>0</v>
      </c>
      <c r="M41" s="150"/>
      <c r="N41" s="9"/>
    </row>
    <row r="42" spans="1:14" x14ac:dyDescent="0.25">
      <c r="A42" s="122" t="s">
        <v>14857</v>
      </c>
      <c r="B42" s="109">
        <f>B40 -B40</f>
        <v>0</v>
      </c>
      <c r="C42" s="45">
        <f>C40-C40</f>
        <v>0</v>
      </c>
      <c r="D42" s="95">
        <f t="shared" ref="D42:L42" si="18">(D40*(1+$B$3)^(D$16-$B$2))-D40</f>
        <v>27584.387599999784</v>
      </c>
      <c r="E42" s="95">
        <f t="shared" si="18"/>
        <v>15943.776032799913</v>
      </c>
      <c r="F42" s="95">
        <f t="shared" si="18"/>
        <v>12095.868240777141</v>
      </c>
      <c r="G42" s="95">
        <f t="shared" si="18"/>
        <v>0</v>
      </c>
      <c r="H42" s="95">
        <f t="shared" si="18"/>
        <v>0</v>
      </c>
      <c r="I42" s="95">
        <f t="shared" si="18"/>
        <v>0</v>
      </c>
      <c r="J42" s="95">
        <f t="shared" si="18"/>
        <v>0</v>
      </c>
      <c r="K42" s="95">
        <f t="shared" si="18"/>
        <v>0</v>
      </c>
      <c r="L42" s="148">
        <f t="shared" si="18"/>
        <v>0</v>
      </c>
      <c r="M42" s="151">
        <f>SUM(D42:L42)</f>
        <v>55624.031873576838</v>
      </c>
      <c r="N42" s="9"/>
    </row>
    <row r="43" spans="1:14" ht="13.8" thickBot="1" x14ac:dyDescent="0.3">
      <c r="A43" s="122" t="s">
        <v>16018</v>
      </c>
      <c r="B43" s="109">
        <f>B41 -B41</f>
        <v>0</v>
      </c>
      <c r="C43" s="109">
        <f>C41 -C41</f>
        <v>0</v>
      </c>
      <c r="D43" s="95">
        <f>(D41*(1+$B$4)^(D$16-$B$2))-D41</f>
        <v>7707</v>
      </c>
      <c r="E43" s="95">
        <f t="shared" ref="E43:L43" si="19">(E41*(1+$B$4)^(E$16-$B$2))-E41</f>
        <v>4426.0199999999895</v>
      </c>
      <c r="F43" s="95">
        <f t="shared" si="19"/>
        <v>3336.1400999999896</v>
      </c>
      <c r="G43" s="95">
        <f t="shared" si="19"/>
        <v>0</v>
      </c>
      <c r="H43" s="95">
        <f t="shared" si="19"/>
        <v>0</v>
      </c>
      <c r="I43" s="95">
        <f t="shared" si="19"/>
        <v>0</v>
      </c>
      <c r="J43" s="95">
        <f t="shared" si="19"/>
        <v>0</v>
      </c>
      <c r="K43" s="95">
        <f t="shared" si="19"/>
        <v>0</v>
      </c>
      <c r="L43" s="148">
        <f t="shared" si="19"/>
        <v>0</v>
      </c>
      <c r="M43" s="155">
        <f>SUM(D43:L43)</f>
        <v>15469.160099999979</v>
      </c>
      <c r="N43" s="9"/>
    </row>
    <row r="44" spans="1:14" ht="13.8" thickBot="1" x14ac:dyDescent="0.3">
      <c r="A44" s="122" t="s">
        <v>14441</v>
      </c>
      <c r="B44" s="47">
        <f>B40</f>
        <v>10000</v>
      </c>
      <c r="C44" s="47">
        <f>C40</f>
        <v>1713316</v>
      </c>
      <c r="D44" s="96">
        <f>SUM(D40,D42,D43)</f>
        <v>1234612.5875999997</v>
      </c>
      <c r="E44" s="96">
        <f t="shared" ref="E44:L44" si="20">SUM(E40,E42,E43)</f>
        <v>363032.99603279994</v>
      </c>
      <c r="F44" s="96">
        <f t="shared" si="20"/>
        <v>186763.60834077714</v>
      </c>
      <c r="G44" s="96">
        <f t="shared" si="20"/>
        <v>0</v>
      </c>
      <c r="H44" s="96">
        <f t="shared" si="20"/>
        <v>0</v>
      </c>
      <c r="I44" s="96">
        <f t="shared" si="20"/>
        <v>0</v>
      </c>
      <c r="J44" s="96">
        <f t="shared" si="20"/>
        <v>0</v>
      </c>
      <c r="K44" s="96">
        <f t="shared" si="20"/>
        <v>0</v>
      </c>
      <c r="L44" s="141">
        <f t="shared" si="20"/>
        <v>0</v>
      </c>
      <c r="M44" s="145">
        <f>SUM(B44:L44)</f>
        <v>3507725.1919735768</v>
      </c>
      <c r="N44" s="9" t="s">
        <v>16019</v>
      </c>
    </row>
    <row r="45" spans="1:14" x14ac:dyDescent="0.25">
      <c r="A45" s="17"/>
      <c r="B45" s="8"/>
      <c r="C45" s="8"/>
      <c r="D45" s="8"/>
    </row>
  </sheetData>
  <sheetProtection insertRows="0" deleteRows="0"/>
  <customSheetViews>
    <customSheetView guid="{745DB71F-8933-41D7-BE5B-16A940EDBBE9}" showPageBreaks="1" fitToPage="1" printArea="1">
      <selection activeCell="A31" sqref="A31"/>
      <pageMargins left="0.7" right="0.7" top="1.01" bottom="0.75" header="0.3" footer="0.3"/>
      <pageSetup paperSize="5" scale="75" orientation="landscape" r:id="rId1"/>
      <headerFooter>
        <oddHeader>&amp;C&amp;"Arial,Bold"&amp;16Escalated Cash Flow Distribution</oddHeader>
      </headerFooter>
    </customSheetView>
    <customSheetView guid="{5022875D-193C-41EC-BB2F-46BD922E594A}" fitToPage="1">
      <pageMargins left="0.7" right="0.7" top="1.01" bottom="0.75" header="0.3" footer="0.3"/>
      <pageSetup paperSize="5" scale="75" orientation="landscape" r:id="rId2"/>
      <headerFooter>
        <oddHeader>&amp;C&amp;"Arial,Bold"&amp;16Escalated Cash Flow Distribution</oddHeader>
      </headerFooter>
    </customSheetView>
    <customSheetView guid="{23DC8B3D-8B5E-4886-8175-FE20CCB314E2}" fitToPage="1">
      <pageMargins left="0.7" right="0.7" top="1.01" bottom="0.75" header="0.3" footer="0.3"/>
      <pageSetup paperSize="5" scale="75" orientation="landscape" r:id="rId3"/>
      <headerFooter>
        <oddHeader>&amp;C&amp;"Arial,Bold"&amp;16Escalated Cash Flow Distribution</oddHeader>
      </headerFooter>
    </customSheetView>
    <customSheetView guid="{133066FC-E63E-478B-AF61-B83EA814B20D}" fitToPage="1">
      <pageMargins left="0.7" right="0.7" top="1.01" bottom="0.75" header="0.3" footer="0.3"/>
      <pageSetup paperSize="5" scale="75" orientation="landscape" r:id="rId4"/>
      <headerFooter>
        <oddHeader>&amp;C&amp;"Arial,Bold"&amp;16Escalated Cash Flow Distribution</oddHeader>
      </headerFooter>
    </customSheetView>
    <customSheetView guid="{1AACC9AA-928C-4EAC-BFCD-1D4B799515C7}" fitToPage="1">
      <selection activeCell="A31" sqref="A31"/>
      <pageMargins left="0.7" right="0.7" top="1.01" bottom="0.75" header="0.3" footer="0.3"/>
      <pageSetup paperSize="5" scale="75" orientation="landscape" r:id="rId5"/>
      <headerFooter>
        <oddHeader>&amp;C&amp;"Arial,Bold"&amp;16Escalated Cash Flow Distribution</oddHeader>
      </headerFooter>
    </customSheetView>
  </customSheetViews>
  <hyperlinks>
    <hyperlink ref="C3" r:id="rId6" display="See Guidance on Inflation Rates"/>
    <hyperlink ref="C4" r:id="rId7" display="See Guidance on Inflation Rates"/>
    <hyperlink ref="C6" location="'Total Cost Projection'!Print_Area" display="from Total Cost on previous tab"/>
    <hyperlink ref="C7" location="'Total Cost Projection'!Print_Area" display="from Construction Cost - Sales tax on previous tab"/>
    <hyperlink ref="C8" location="'Total Cost Projection'!Print_Area" display="from Total Cost on previous tab"/>
    <hyperlink ref="C10" location="'Total Cost Projection'!Print_Area" display="from Total Cost on previous tab"/>
    <hyperlink ref="C12" location="'Total Cost Projection'!Print_Area" display="from Total Cost on previous tab"/>
  </hyperlinks>
  <pageMargins left="0.7" right="0.7" top="1.01" bottom="0.75" header="0.3" footer="0.3"/>
  <pageSetup paperSize="5" scale="75" orientation="landscape" r:id="rId8"/>
  <headerFooter>
    <oddHeader>&amp;C&amp;"Arial,Bold"&amp;16Escalated Cash Flow Distribution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02"/>
  <sheetViews>
    <sheetView zoomScaleNormal="100" zoomScaleSheetLayoutView="100" workbookViewId="0">
      <selection sqref="A1:AA1"/>
    </sheetView>
  </sheetViews>
  <sheetFormatPr defaultColWidth="9.109375" defaultRowHeight="13.8" x14ac:dyDescent="0.25"/>
  <cols>
    <col min="1" max="1" width="12.6640625" style="229" customWidth="1"/>
    <col min="2" max="2" width="45.5546875" style="403" customWidth="1"/>
    <col min="3" max="3" width="9.5546875" style="230" customWidth="1"/>
    <col min="4" max="4" width="5.33203125" style="185" customWidth="1"/>
    <col min="5" max="5" width="12.21875" style="231" hidden="1" customWidth="1"/>
    <col min="6" max="6" width="12.21875" style="175" hidden="1" customWidth="1"/>
    <col min="7" max="7" width="5.77734375" style="275" hidden="1" customWidth="1"/>
    <col min="8" max="8" width="5.77734375" style="276" hidden="1" customWidth="1"/>
    <col min="9" max="9" width="9" style="231" hidden="1" customWidth="1"/>
    <col min="10" max="10" width="9" style="175" hidden="1" customWidth="1"/>
    <col min="11" max="11" width="5.44140625" style="275" hidden="1" customWidth="1"/>
    <col min="12" max="12" width="5.44140625" style="276" hidden="1" customWidth="1"/>
    <col min="13" max="13" width="12.21875" style="231" hidden="1" customWidth="1"/>
    <col min="14" max="14" width="12.21875" style="175" hidden="1" customWidth="1"/>
    <col min="15" max="15" width="5.6640625" style="275" hidden="1" customWidth="1"/>
    <col min="16" max="16" width="5.44140625" style="276" hidden="1" customWidth="1"/>
    <col min="17" max="17" width="8.44140625" style="231" hidden="1" customWidth="1"/>
    <col min="18" max="18" width="7.88671875" style="175" hidden="1" customWidth="1"/>
    <col min="19" max="19" width="5.77734375" style="275" hidden="1" customWidth="1"/>
    <col min="20" max="20" width="5.6640625" style="276" hidden="1" customWidth="1"/>
    <col min="21" max="21" width="13.5546875" style="277" hidden="1" customWidth="1"/>
    <col min="22" max="22" width="9.44140625" style="175" hidden="1" customWidth="1"/>
    <col min="23" max="23" width="7.6640625" style="185" hidden="1" customWidth="1"/>
    <col min="24" max="24" width="10.77734375" style="176" hidden="1" customWidth="1"/>
    <col min="25" max="25" width="11.6640625" style="175" hidden="1" customWidth="1"/>
    <col min="26" max="26" width="12" style="175" customWidth="1"/>
    <col min="27" max="27" width="17.33203125" style="185" customWidth="1"/>
    <col min="28" max="28" width="21.6640625" style="185" hidden="1" customWidth="1"/>
    <col min="29" max="29" width="9.109375" style="279" customWidth="1"/>
    <col min="30" max="30" width="10.5546875" style="278" customWidth="1"/>
    <col min="31" max="16384" width="9.109375" style="278"/>
  </cols>
  <sheetData>
    <row r="1" spans="1:28" s="278" customFormat="1" ht="21.6" thickBot="1" x14ac:dyDescent="0.45">
      <c r="A1" s="441" t="s">
        <v>16122</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3"/>
      <c r="AB1" s="185"/>
    </row>
    <row r="2" spans="1:28" s="278" customFormat="1" ht="55.8" thickBot="1" x14ac:dyDescent="0.3">
      <c r="A2" s="186" t="s">
        <v>14469</v>
      </c>
      <c r="B2" s="404" t="s">
        <v>14470</v>
      </c>
      <c r="C2" s="233" t="s">
        <v>14471</v>
      </c>
      <c r="D2" s="232" t="s">
        <v>20</v>
      </c>
      <c r="E2" s="234" t="s">
        <v>16031</v>
      </c>
      <c r="F2" s="234" t="s">
        <v>16032</v>
      </c>
      <c r="G2" s="235" t="s">
        <v>16033</v>
      </c>
      <c r="H2" s="235" t="s">
        <v>16034</v>
      </c>
      <c r="I2" s="234" t="s">
        <v>16035</v>
      </c>
      <c r="J2" s="234" t="s">
        <v>16036</v>
      </c>
      <c r="K2" s="235" t="s">
        <v>16033</v>
      </c>
      <c r="L2" s="235" t="s">
        <v>16034</v>
      </c>
      <c r="M2" s="234" t="s">
        <v>16037</v>
      </c>
      <c r="N2" s="234" t="s">
        <v>16038</v>
      </c>
      <c r="O2" s="235" t="s">
        <v>16033</v>
      </c>
      <c r="P2" s="235" t="s">
        <v>16034</v>
      </c>
      <c r="Q2" s="234" t="s">
        <v>16039</v>
      </c>
      <c r="R2" s="234" t="s">
        <v>16040</v>
      </c>
      <c r="S2" s="235" t="s">
        <v>16033</v>
      </c>
      <c r="T2" s="235" t="s">
        <v>16034</v>
      </c>
      <c r="U2" s="236" t="s">
        <v>16041</v>
      </c>
      <c r="V2" s="234" t="s">
        <v>16042</v>
      </c>
      <c r="W2" s="232" t="s">
        <v>16043</v>
      </c>
      <c r="X2" s="237" t="s">
        <v>16044</v>
      </c>
      <c r="Y2" s="238" t="s">
        <v>18888</v>
      </c>
      <c r="Z2" s="239" t="s">
        <v>18889</v>
      </c>
      <c r="AA2" s="405" t="s">
        <v>14473</v>
      </c>
      <c r="AB2" s="194" t="s">
        <v>18890</v>
      </c>
    </row>
    <row r="3" spans="1:28" s="278" customFormat="1" x14ac:dyDescent="0.25">
      <c r="A3" s="195" t="s">
        <v>14474</v>
      </c>
      <c r="B3" s="317" t="s">
        <v>14475</v>
      </c>
      <c r="C3" s="241"/>
      <c r="D3" s="242"/>
      <c r="E3" s="243"/>
      <c r="F3" s="244"/>
      <c r="G3" s="245"/>
      <c r="H3" s="246"/>
      <c r="I3" s="243"/>
      <c r="J3" s="244"/>
      <c r="K3" s="245"/>
      <c r="L3" s="246"/>
      <c r="M3" s="243"/>
      <c r="N3" s="244"/>
      <c r="O3" s="245"/>
      <c r="P3" s="246"/>
      <c r="Q3" s="243"/>
      <c r="R3" s="244"/>
      <c r="S3" s="245"/>
      <c r="T3" s="246"/>
      <c r="U3" s="246"/>
      <c r="V3" s="246"/>
      <c r="W3" s="246"/>
      <c r="X3" s="246"/>
      <c r="Y3" s="244"/>
      <c r="Z3" s="244"/>
      <c r="AA3" s="406"/>
      <c r="AB3" s="194"/>
    </row>
    <row r="4" spans="1:28" s="278" customFormat="1" x14ac:dyDescent="0.25">
      <c r="A4" s="200">
        <v>107005</v>
      </c>
      <c r="B4" s="313" t="s">
        <v>18977</v>
      </c>
      <c r="C4" s="248"/>
      <c r="D4" s="247" t="s">
        <v>4</v>
      </c>
      <c r="E4" s="249">
        <f>U4*G4</f>
        <v>180.48</v>
      </c>
      <c r="F4" s="170">
        <f>V4*H4</f>
        <v>183.80624639999996</v>
      </c>
      <c r="G4" s="250">
        <v>0.12</v>
      </c>
      <c r="H4" s="171">
        <f>G4</f>
        <v>0.12</v>
      </c>
      <c r="I4" s="249">
        <f>U4*K4</f>
        <v>1278.3999999999999</v>
      </c>
      <c r="J4" s="170">
        <f>V4*L4</f>
        <v>1301.9609119999998</v>
      </c>
      <c r="K4" s="250">
        <v>0.85</v>
      </c>
      <c r="L4" s="172">
        <f>K4</f>
        <v>0.85</v>
      </c>
      <c r="M4" s="249">
        <f>U4*O4</f>
        <v>45.12</v>
      </c>
      <c r="N4" s="170">
        <f>P4*V4</f>
        <v>45.951561599999991</v>
      </c>
      <c r="O4" s="250">
        <v>0.03</v>
      </c>
      <c r="P4" s="172">
        <f>O4</f>
        <v>0.03</v>
      </c>
      <c r="Q4" s="251">
        <f>U4*S4</f>
        <v>0</v>
      </c>
      <c r="R4" s="173">
        <f>T4*V4</f>
        <v>0</v>
      </c>
      <c r="S4" s="252"/>
      <c r="T4" s="171">
        <f>S4</f>
        <v>0</v>
      </c>
      <c r="U4" s="253">
        <v>1504</v>
      </c>
      <c r="V4" s="170">
        <f>SUM(E4*1.0235,I4*1.0175,M4*1.0245,Q4*1.0115)</f>
        <v>1531.7187199999998</v>
      </c>
      <c r="W4" s="250">
        <v>0.12</v>
      </c>
      <c r="X4" s="254">
        <v>0</v>
      </c>
      <c r="Y4" s="170">
        <v>0</v>
      </c>
      <c r="Z4" s="170">
        <f>IF(Y4=0, 0, IF(Y4&lt;10, _xlfn.CEILING.MATH(Y4,1), IF(Y4&lt;100, _xlfn.CEILING.MATH(Y4,1),IF(Y4&lt;1000, _xlfn.CEILING.MATH(Y4,5), IF(Y4&lt;10000, _xlfn.CEILING.MATH(Y4, 25), IF(Y4&lt;100000, _xlfn.CEILING.MATH(Y4,250), IF(Y4&lt;1000000, _xlfn.CEILING.MATH(Y4,500), 0)))))))</f>
        <v>0</v>
      </c>
      <c r="AA4" s="407">
        <f>C4*Z4</f>
        <v>0</v>
      </c>
      <c r="AB4" s="194"/>
    </row>
    <row r="5" spans="1:28" s="278" customFormat="1" x14ac:dyDescent="0.25">
      <c r="A5" s="195" t="s">
        <v>14476</v>
      </c>
      <c r="B5" s="317" t="s">
        <v>14477</v>
      </c>
      <c r="C5" s="241"/>
      <c r="D5" s="242"/>
      <c r="E5" s="243"/>
      <c r="F5" s="244"/>
      <c r="G5" s="245"/>
      <c r="H5" s="246"/>
      <c r="I5" s="243"/>
      <c r="J5" s="244"/>
      <c r="K5" s="245"/>
      <c r="L5" s="246"/>
      <c r="M5" s="243"/>
      <c r="N5" s="244"/>
      <c r="O5" s="245"/>
      <c r="P5" s="246"/>
      <c r="Q5" s="243"/>
      <c r="R5" s="244"/>
      <c r="S5" s="245"/>
      <c r="T5" s="246"/>
      <c r="U5" s="246"/>
      <c r="V5" s="246"/>
      <c r="W5" s="246"/>
      <c r="X5" s="246"/>
      <c r="Y5" s="244"/>
      <c r="Z5" s="244"/>
      <c r="AA5" s="406"/>
      <c r="AB5" s="194"/>
    </row>
    <row r="6" spans="1:28" s="278" customFormat="1" x14ac:dyDescent="0.25">
      <c r="A6" s="200">
        <v>109005</v>
      </c>
      <c r="B6" s="313" t="s">
        <v>18978</v>
      </c>
      <c r="C6" s="248"/>
      <c r="D6" s="247" t="s">
        <v>4</v>
      </c>
      <c r="E6" s="249">
        <f>U6*G6</f>
        <v>64545.39</v>
      </c>
      <c r="F6" s="170">
        <f>V6*H6</f>
        <v>65971.1976651</v>
      </c>
      <c r="G6" s="250">
        <v>0.71</v>
      </c>
      <c r="H6" s="171">
        <f>G6</f>
        <v>0.71</v>
      </c>
      <c r="I6" s="249">
        <f>U6*K6</f>
        <v>1818.18</v>
      </c>
      <c r="J6" s="170">
        <f>V6*L6</f>
        <v>1858.3435962000001</v>
      </c>
      <c r="K6" s="250">
        <v>0.02</v>
      </c>
      <c r="L6" s="172">
        <f>K6</f>
        <v>0.02</v>
      </c>
      <c r="M6" s="249">
        <f>U6*O6</f>
        <v>13636.35</v>
      </c>
      <c r="N6" s="170">
        <f>P6*V6</f>
        <v>13937.576971500001</v>
      </c>
      <c r="O6" s="250">
        <v>0.15</v>
      </c>
      <c r="P6" s="172">
        <f>O6</f>
        <v>0.15</v>
      </c>
      <c r="Q6" s="251">
        <f>U6*S6</f>
        <v>10909.08</v>
      </c>
      <c r="R6" s="173">
        <f>T6*V6</f>
        <v>11150.0615772</v>
      </c>
      <c r="S6" s="250">
        <v>0.12</v>
      </c>
      <c r="T6" s="171">
        <f>S6</f>
        <v>0.12</v>
      </c>
      <c r="U6" s="253">
        <v>90909</v>
      </c>
      <c r="V6" s="170">
        <f>SUM(E6*1.0235,I6*1.0175,M6*1.0245,Q6*1.0115)</f>
        <v>92917.179810000001</v>
      </c>
      <c r="W6" s="250">
        <v>0.1</v>
      </c>
      <c r="X6" s="254">
        <v>0</v>
      </c>
      <c r="Y6" s="170">
        <v>0</v>
      </c>
      <c r="Z6" s="170">
        <f>IF(Y6=0, 0, IF(Y6&lt;10, _xlfn.CEILING.MATH(Y6,1), IF(Y6&lt;100, _xlfn.CEILING.MATH(Y6,1),IF(Y6&lt;1000, _xlfn.CEILING.MATH(Y6,5), IF(Y6&lt;10000, _xlfn.CEILING.MATH(Y6, 25), IF(Y6&lt;100000, _xlfn.CEILING.MATH(Y6,250), IF(Y6&lt;1000000, _xlfn.CEILING.MATH(Y6,500), 0)))))))</f>
        <v>0</v>
      </c>
      <c r="AA6" s="407">
        <f>C6*Z6</f>
        <v>0</v>
      </c>
      <c r="AB6" s="194"/>
    </row>
    <row r="7" spans="1:28" s="278" customFormat="1" x14ac:dyDescent="0.25">
      <c r="A7" s="195" t="s">
        <v>14478</v>
      </c>
      <c r="B7" s="317" t="s">
        <v>14479</v>
      </c>
      <c r="C7" s="241"/>
      <c r="D7" s="242"/>
      <c r="E7" s="243"/>
      <c r="F7" s="244"/>
      <c r="G7" s="245"/>
      <c r="H7" s="246"/>
      <c r="I7" s="243"/>
      <c r="J7" s="244"/>
      <c r="K7" s="245"/>
      <c r="L7" s="246"/>
      <c r="M7" s="243"/>
      <c r="N7" s="244"/>
      <c r="O7" s="245"/>
      <c r="P7" s="246"/>
      <c r="Q7" s="243"/>
      <c r="R7" s="244"/>
      <c r="S7" s="245"/>
      <c r="T7" s="246"/>
      <c r="U7" s="246"/>
      <c r="V7" s="246"/>
      <c r="W7" s="246"/>
      <c r="X7" s="246"/>
      <c r="Y7" s="244"/>
      <c r="Z7" s="244"/>
      <c r="AA7" s="406"/>
      <c r="AB7" s="194"/>
    </row>
    <row r="8" spans="1:28" s="278" customFormat="1" ht="21" x14ac:dyDescent="0.25">
      <c r="A8" s="200">
        <v>110005</v>
      </c>
      <c r="B8" s="255" t="s">
        <v>18979</v>
      </c>
      <c r="C8" s="248"/>
      <c r="D8" s="247" t="s">
        <v>4</v>
      </c>
      <c r="E8" s="249">
        <f>U8*G8</f>
        <v>582.75</v>
      </c>
      <c r="F8" s="170">
        <f>V8*H8</f>
        <v>596.38634999999999</v>
      </c>
      <c r="G8" s="250">
        <v>0.75</v>
      </c>
      <c r="H8" s="171">
        <f>G8</f>
        <v>0.75</v>
      </c>
      <c r="I8" s="249">
        <f>U8*K8</f>
        <v>38.85</v>
      </c>
      <c r="J8" s="170">
        <f>V8*L8</f>
        <v>39.759090000000008</v>
      </c>
      <c r="K8" s="250">
        <v>0.05</v>
      </c>
      <c r="L8" s="172">
        <f>K8</f>
        <v>0.05</v>
      </c>
      <c r="M8" s="249">
        <f>U8*O8</f>
        <v>155.4</v>
      </c>
      <c r="N8" s="170">
        <f>P8*V8</f>
        <v>159.03636000000003</v>
      </c>
      <c r="O8" s="250">
        <v>0.2</v>
      </c>
      <c r="P8" s="172">
        <f>O8</f>
        <v>0.2</v>
      </c>
      <c r="Q8" s="251">
        <f>U8*S8</f>
        <v>0</v>
      </c>
      <c r="R8" s="173">
        <f>T8*V8</f>
        <v>0</v>
      </c>
      <c r="S8" s="252"/>
      <c r="T8" s="171">
        <f>S8</f>
        <v>0</v>
      </c>
      <c r="U8" s="256">
        <v>777</v>
      </c>
      <c r="V8" s="170">
        <f>SUM(E8*1.0235,I8*1.0175,M8*1.0245,Q8*1.0115)</f>
        <v>795.18180000000007</v>
      </c>
      <c r="W8" s="250">
        <v>0.12</v>
      </c>
      <c r="X8" s="254">
        <v>0</v>
      </c>
      <c r="Y8" s="170">
        <v>0</v>
      </c>
      <c r="Z8" s="170">
        <f>IF(Y8=0, 0, IF(Y8&lt;10, _xlfn.CEILING.MATH(Y8,1), IF(Y8&lt;100, _xlfn.CEILING.MATH(Y8,1),IF(Y8&lt;1000, _xlfn.CEILING.MATH(Y8,5), IF(Y8&lt;10000, _xlfn.CEILING.MATH(Y8, 25), IF(Y8&lt;100000, _xlfn.CEILING.MATH(Y8,250), IF(Y8&lt;1000000, _xlfn.CEILING.MATH(Y8,500), 0)))))))</f>
        <v>0</v>
      </c>
      <c r="AA8" s="407">
        <f>C8*Z8</f>
        <v>0</v>
      </c>
      <c r="AB8" s="194"/>
    </row>
    <row r="9" spans="1:28" s="278" customFormat="1" x14ac:dyDescent="0.25">
      <c r="A9" s="200">
        <v>110020</v>
      </c>
      <c r="B9" s="313" t="s">
        <v>14449</v>
      </c>
      <c r="C9" s="248"/>
      <c r="D9" s="247" t="s">
        <v>5</v>
      </c>
      <c r="E9" s="249">
        <f>U9*G9</f>
        <v>0</v>
      </c>
      <c r="F9" s="170">
        <f>V9*H9</f>
        <v>0</v>
      </c>
      <c r="G9" s="252"/>
      <c r="H9" s="171">
        <f>G9</f>
        <v>0</v>
      </c>
      <c r="I9" s="249">
        <f>U9*K9</f>
        <v>0</v>
      </c>
      <c r="J9" s="170">
        <f>V9*L9</f>
        <v>0</v>
      </c>
      <c r="K9" s="252"/>
      <c r="L9" s="172">
        <f>K9</f>
        <v>0</v>
      </c>
      <c r="M9" s="249">
        <f>U9*O9</f>
        <v>9.4999960000000012</v>
      </c>
      <c r="N9" s="170">
        <f>P9*V9</f>
        <v>9.6228309482800025</v>
      </c>
      <c r="O9" s="250">
        <v>0.11</v>
      </c>
      <c r="P9" s="172">
        <f>O9</f>
        <v>0.11</v>
      </c>
      <c r="Q9" s="251">
        <f>U9*S9</f>
        <v>76.863604000000009</v>
      </c>
      <c r="R9" s="173">
        <f>T9*V9</f>
        <v>77.857450399720022</v>
      </c>
      <c r="S9" s="250">
        <v>0.89</v>
      </c>
      <c r="T9" s="171">
        <f>S9</f>
        <v>0.89</v>
      </c>
      <c r="U9" s="256">
        <v>86.363600000000005</v>
      </c>
      <c r="V9" s="170">
        <f>SUM(E9*1.0235,I9*1.0175,M9*1.0245,Q9*1.0115)</f>
        <v>87.48028134800002</v>
      </c>
      <c r="W9" s="250">
        <v>0.1</v>
      </c>
      <c r="X9" s="257">
        <f>U9+U9*W9</f>
        <v>94.999960000000002</v>
      </c>
      <c r="Y9" s="170">
        <f>IF(V9*(W9+1)=0,X9,V9*(W9+1))</f>
        <v>96.228309482800029</v>
      </c>
      <c r="Z9" s="170">
        <f>IF(Y9=0, 0, IF(Y9&lt;10, _xlfn.CEILING.MATH(Y9,1), IF(Y9&lt;100, _xlfn.CEILING.MATH(Y9,1),IF(Y9&lt;1000, _xlfn.CEILING.MATH(Y9,5), IF(Y9&lt;10000, _xlfn.CEILING.MATH(Y9, 25), IF(Y9&lt;100000, _xlfn.CEILING.MATH(Y9,250), IF(Y9&lt;1000000, _xlfn.CEILING.MATH(Y9,500), 0)))))))</f>
        <v>97</v>
      </c>
      <c r="AA9" s="407">
        <f>C9*Z9</f>
        <v>0</v>
      </c>
      <c r="AB9" s="194"/>
    </row>
    <row r="10" spans="1:28" s="278" customFormat="1" x14ac:dyDescent="0.25">
      <c r="A10" s="195" t="s">
        <v>14480</v>
      </c>
      <c r="B10" s="317" t="s">
        <v>14481</v>
      </c>
      <c r="C10" s="241"/>
      <c r="D10" s="242"/>
      <c r="E10" s="243"/>
      <c r="F10" s="244"/>
      <c r="G10" s="245"/>
      <c r="H10" s="246"/>
      <c r="I10" s="243"/>
      <c r="J10" s="244"/>
      <c r="K10" s="245"/>
      <c r="L10" s="246"/>
      <c r="M10" s="243"/>
      <c r="N10" s="244"/>
      <c r="O10" s="245"/>
      <c r="P10" s="246"/>
      <c r="Q10" s="243"/>
      <c r="R10" s="244"/>
      <c r="S10" s="245"/>
      <c r="T10" s="246"/>
      <c r="U10" s="246"/>
      <c r="V10" s="246"/>
      <c r="W10" s="246"/>
      <c r="X10" s="246"/>
      <c r="Y10" s="244"/>
      <c r="Z10" s="244"/>
      <c r="AA10" s="406"/>
      <c r="AB10" s="194"/>
    </row>
    <row r="11" spans="1:28" s="278" customFormat="1" x14ac:dyDescent="0.25">
      <c r="A11" s="200">
        <v>201005</v>
      </c>
      <c r="B11" s="313" t="s">
        <v>18980</v>
      </c>
      <c r="C11" s="248"/>
      <c r="D11" s="247" t="s">
        <v>1</v>
      </c>
      <c r="E11" s="249">
        <f t="shared" ref="E11:F22" si="0">U11*G11</f>
        <v>0.57500000000000007</v>
      </c>
      <c r="F11" s="170">
        <f t="shared" si="0"/>
        <v>0.5886562500000001</v>
      </c>
      <c r="G11" s="252">
        <v>0.23</v>
      </c>
      <c r="H11" s="171">
        <f t="shared" ref="H11:H22" si="1">G11</f>
        <v>0.23</v>
      </c>
      <c r="I11" s="249">
        <f t="shared" ref="I11:J22" si="2">U11*K11</f>
        <v>0</v>
      </c>
      <c r="J11" s="170">
        <f t="shared" si="2"/>
        <v>0</v>
      </c>
      <c r="K11" s="252"/>
      <c r="L11" s="172">
        <f t="shared" ref="L11:L22" si="3">K11</f>
        <v>0</v>
      </c>
      <c r="M11" s="249">
        <f t="shared" ref="M11:M22" si="4">U11*O11</f>
        <v>1.825</v>
      </c>
      <c r="N11" s="170">
        <f t="shared" ref="N11:N22" si="5">P11*V11</f>
        <v>1.8683437500000002</v>
      </c>
      <c r="O11" s="250">
        <v>0.73</v>
      </c>
      <c r="P11" s="172">
        <f t="shared" ref="P11:P22" si="6">O11</f>
        <v>0.73</v>
      </c>
      <c r="Q11" s="251">
        <f t="shared" ref="Q11:Q22" si="7">U11*S11</f>
        <v>0.1</v>
      </c>
      <c r="R11" s="173">
        <f t="shared" ref="R11:R22" si="8">T11*V11</f>
        <v>0.10237500000000001</v>
      </c>
      <c r="S11" s="250">
        <v>0.04</v>
      </c>
      <c r="T11" s="171">
        <f t="shared" ref="T11:T22" si="9">S11</f>
        <v>0.04</v>
      </c>
      <c r="U11" s="256">
        <v>2.5</v>
      </c>
      <c r="V11" s="170">
        <f t="shared" ref="V11:V22" si="10">SUM(E11*1.0235,I11*1.0175,M11*1.0245,Q11*1.0115)</f>
        <v>2.5593750000000002</v>
      </c>
      <c r="W11" s="250">
        <v>0.2</v>
      </c>
      <c r="X11" s="257">
        <f t="shared" ref="X11:X19" si="11">U11+U11*W11</f>
        <v>3</v>
      </c>
      <c r="Y11" s="170">
        <f t="shared" ref="Y11:Y19" si="12">IF(V11*(W11+1)=0,X11,V11*(W11+1))</f>
        <v>3.07125</v>
      </c>
      <c r="Z11" s="170">
        <f t="shared" ref="Z11:Z19" si="13">IF(Y11=0, 0, IF(Y11&lt;10, _xlfn.CEILING.MATH(Y11,0.05), IF(Y11&lt;100, _xlfn.CEILING.MATH(Y11,1),IF(Y11&lt;1000, _xlfn.CEILING.MATH(Y11,5), IF(Y11&lt;10000, _xlfn.CEILING.MATH(Y11, 25), IF(Y11&lt;100000, _xlfn.CEILING.MATH(Y11,250), IF(Y11&lt;1000000, _xlfn.CEILING.MATH(Y11,500), 0)))))))</f>
        <v>3.1</v>
      </c>
      <c r="AA11" s="407">
        <f t="shared" ref="AA11:AA22" si="14">C11*Z11</f>
        <v>0</v>
      </c>
      <c r="AB11" s="194"/>
    </row>
    <row r="12" spans="1:28" s="278" customFormat="1" x14ac:dyDescent="0.25">
      <c r="A12" s="200">
        <v>201005</v>
      </c>
      <c r="B12" s="313" t="s">
        <v>18981</v>
      </c>
      <c r="C12" s="248"/>
      <c r="D12" s="247" t="s">
        <v>1</v>
      </c>
      <c r="E12" s="249">
        <f t="shared" si="0"/>
        <v>0.54625000000000001</v>
      </c>
      <c r="F12" s="170">
        <f t="shared" si="0"/>
        <v>0.55922343750000003</v>
      </c>
      <c r="G12" s="252">
        <v>0.23</v>
      </c>
      <c r="H12" s="171">
        <f t="shared" si="1"/>
        <v>0.23</v>
      </c>
      <c r="I12" s="249">
        <f t="shared" si="2"/>
        <v>0</v>
      </c>
      <c r="J12" s="170">
        <f t="shared" si="2"/>
        <v>0</v>
      </c>
      <c r="K12" s="252"/>
      <c r="L12" s="172">
        <f t="shared" si="3"/>
        <v>0</v>
      </c>
      <c r="M12" s="249">
        <f t="shared" si="4"/>
        <v>1.7337499999999999</v>
      </c>
      <c r="N12" s="170">
        <f t="shared" si="5"/>
        <v>1.7749265625000001</v>
      </c>
      <c r="O12" s="250">
        <v>0.73</v>
      </c>
      <c r="P12" s="172">
        <f t="shared" si="6"/>
        <v>0.73</v>
      </c>
      <c r="Q12" s="251">
        <f t="shared" si="7"/>
        <v>9.5000000000000001E-2</v>
      </c>
      <c r="R12" s="173">
        <f t="shared" si="8"/>
        <v>9.7256250000000016E-2</v>
      </c>
      <c r="S12" s="250">
        <v>0.04</v>
      </c>
      <c r="T12" s="171">
        <f t="shared" si="9"/>
        <v>0.04</v>
      </c>
      <c r="U12" s="256">
        <v>2.375</v>
      </c>
      <c r="V12" s="170">
        <f t="shared" si="10"/>
        <v>2.4314062500000002</v>
      </c>
      <c r="W12" s="250">
        <v>0.2</v>
      </c>
      <c r="X12" s="257">
        <f t="shared" si="11"/>
        <v>2.85</v>
      </c>
      <c r="Y12" s="170">
        <f t="shared" si="12"/>
        <v>2.9176875</v>
      </c>
      <c r="Z12" s="170">
        <f t="shared" si="13"/>
        <v>2.95</v>
      </c>
      <c r="AA12" s="407">
        <f t="shared" si="14"/>
        <v>0</v>
      </c>
      <c r="AB12" s="194"/>
    </row>
    <row r="13" spans="1:28" s="278" customFormat="1" x14ac:dyDescent="0.25">
      <c r="A13" s="200">
        <v>201005</v>
      </c>
      <c r="B13" s="313" t="s">
        <v>18982</v>
      </c>
      <c r="C13" s="248"/>
      <c r="D13" s="247" t="s">
        <v>1</v>
      </c>
      <c r="E13" s="249">
        <f t="shared" si="0"/>
        <v>0.23959100000000003</v>
      </c>
      <c r="F13" s="170">
        <f t="shared" si="0"/>
        <v>0.24528128625000001</v>
      </c>
      <c r="G13" s="252">
        <v>0.23</v>
      </c>
      <c r="H13" s="171">
        <f t="shared" si="1"/>
        <v>0.23</v>
      </c>
      <c r="I13" s="249">
        <f t="shared" si="2"/>
        <v>0</v>
      </c>
      <c r="J13" s="170">
        <f t="shared" si="2"/>
        <v>0</v>
      </c>
      <c r="K13" s="252"/>
      <c r="L13" s="172">
        <f t="shared" si="3"/>
        <v>0</v>
      </c>
      <c r="M13" s="249">
        <f t="shared" si="4"/>
        <v>0.76044100000000003</v>
      </c>
      <c r="N13" s="170">
        <f t="shared" si="5"/>
        <v>0.77850147375000001</v>
      </c>
      <c r="O13" s="250">
        <v>0.73</v>
      </c>
      <c r="P13" s="172">
        <f t="shared" si="6"/>
        <v>0.73</v>
      </c>
      <c r="Q13" s="251">
        <f t="shared" si="7"/>
        <v>4.1668000000000004E-2</v>
      </c>
      <c r="R13" s="173">
        <f t="shared" si="8"/>
        <v>4.2657615000000003E-2</v>
      </c>
      <c r="S13" s="250">
        <v>0.04</v>
      </c>
      <c r="T13" s="171">
        <f t="shared" si="9"/>
        <v>0.04</v>
      </c>
      <c r="U13" s="256">
        <v>1.0417000000000001</v>
      </c>
      <c r="V13" s="170">
        <f t="shared" si="10"/>
        <v>1.066440375</v>
      </c>
      <c r="W13" s="250">
        <v>0.2</v>
      </c>
      <c r="X13" s="257">
        <f t="shared" si="11"/>
        <v>1.25004</v>
      </c>
      <c r="Y13" s="170">
        <f t="shared" si="12"/>
        <v>1.2797284499999999</v>
      </c>
      <c r="Z13" s="170">
        <f t="shared" si="13"/>
        <v>1.3</v>
      </c>
      <c r="AA13" s="407">
        <f t="shared" si="14"/>
        <v>0</v>
      </c>
      <c r="AB13" s="194"/>
    </row>
    <row r="14" spans="1:28" s="278" customFormat="1" x14ac:dyDescent="0.25">
      <c r="A14" s="200">
        <v>201005</v>
      </c>
      <c r="B14" s="313" t="s">
        <v>18983</v>
      </c>
      <c r="C14" s="248"/>
      <c r="D14" s="247" t="s">
        <v>1</v>
      </c>
      <c r="E14" s="249">
        <f t="shared" si="0"/>
        <v>0.199992</v>
      </c>
      <c r="F14" s="170">
        <f t="shared" si="0"/>
        <v>0.20479180800000002</v>
      </c>
      <c r="G14" s="252">
        <v>0.24</v>
      </c>
      <c r="H14" s="171">
        <f t="shared" si="1"/>
        <v>0.24</v>
      </c>
      <c r="I14" s="249">
        <f t="shared" si="2"/>
        <v>0</v>
      </c>
      <c r="J14" s="170">
        <f t="shared" si="2"/>
        <v>0</v>
      </c>
      <c r="K14" s="252"/>
      <c r="L14" s="172">
        <f t="shared" si="3"/>
        <v>0</v>
      </c>
      <c r="M14" s="249">
        <f t="shared" si="4"/>
        <v>0.61664200000000002</v>
      </c>
      <c r="N14" s="170">
        <f t="shared" si="5"/>
        <v>0.63144140800000015</v>
      </c>
      <c r="O14" s="250">
        <v>0.74</v>
      </c>
      <c r="P14" s="172">
        <f t="shared" si="6"/>
        <v>0.74</v>
      </c>
      <c r="Q14" s="251">
        <f t="shared" si="7"/>
        <v>1.6666E-2</v>
      </c>
      <c r="R14" s="173">
        <f t="shared" si="8"/>
        <v>1.7065984000000003E-2</v>
      </c>
      <c r="S14" s="250">
        <v>0.02</v>
      </c>
      <c r="T14" s="171">
        <f t="shared" si="9"/>
        <v>0.02</v>
      </c>
      <c r="U14" s="256">
        <v>0.83330000000000004</v>
      </c>
      <c r="V14" s="170">
        <f t="shared" si="10"/>
        <v>0.85329920000000015</v>
      </c>
      <c r="W14" s="250">
        <v>0.2</v>
      </c>
      <c r="X14" s="257">
        <f t="shared" si="11"/>
        <v>0.99996000000000007</v>
      </c>
      <c r="Y14" s="170">
        <f t="shared" si="12"/>
        <v>1.02395904</v>
      </c>
      <c r="Z14" s="170">
        <f t="shared" si="13"/>
        <v>1.05</v>
      </c>
      <c r="AA14" s="407">
        <f t="shared" si="14"/>
        <v>0</v>
      </c>
      <c r="AB14" s="194"/>
    </row>
    <row r="15" spans="1:28" s="278" customFormat="1" x14ac:dyDescent="0.25">
      <c r="A15" s="200">
        <v>201005</v>
      </c>
      <c r="B15" s="313" t="s">
        <v>18984</v>
      </c>
      <c r="C15" s="248"/>
      <c r="D15" s="247" t="s">
        <v>1</v>
      </c>
      <c r="E15" s="249">
        <f t="shared" si="0"/>
        <v>0.19000799999999998</v>
      </c>
      <c r="F15" s="170">
        <f t="shared" si="0"/>
        <v>0.194568192</v>
      </c>
      <c r="G15" s="252">
        <v>0.24</v>
      </c>
      <c r="H15" s="171">
        <f t="shared" si="1"/>
        <v>0.24</v>
      </c>
      <c r="I15" s="249">
        <f t="shared" si="2"/>
        <v>0</v>
      </c>
      <c r="J15" s="170">
        <f t="shared" si="2"/>
        <v>0</v>
      </c>
      <c r="K15" s="252"/>
      <c r="L15" s="172">
        <f t="shared" si="3"/>
        <v>0</v>
      </c>
      <c r="M15" s="249">
        <f t="shared" si="4"/>
        <v>0.58585799999999999</v>
      </c>
      <c r="N15" s="170">
        <f t="shared" si="5"/>
        <v>0.59991859199999997</v>
      </c>
      <c r="O15" s="250">
        <v>0.74</v>
      </c>
      <c r="P15" s="172">
        <f t="shared" si="6"/>
        <v>0.74</v>
      </c>
      <c r="Q15" s="251">
        <f t="shared" si="7"/>
        <v>1.5834000000000001E-2</v>
      </c>
      <c r="R15" s="173">
        <f t="shared" si="8"/>
        <v>1.6214016000000001E-2</v>
      </c>
      <c r="S15" s="250">
        <v>0.02</v>
      </c>
      <c r="T15" s="171">
        <f t="shared" si="9"/>
        <v>0.02</v>
      </c>
      <c r="U15" s="256">
        <v>0.79169999999999996</v>
      </c>
      <c r="V15" s="170">
        <f t="shared" si="10"/>
        <v>0.8107008</v>
      </c>
      <c r="W15" s="250">
        <v>0.2</v>
      </c>
      <c r="X15" s="257">
        <f t="shared" si="11"/>
        <v>0.95004</v>
      </c>
      <c r="Y15" s="170">
        <f t="shared" si="12"/>
        <v>0.97284095999999998</v>
      </c>
      <c r="Z15" s="170">
        <f t="shared" si="13"/>
        <v>1</v>
      </c>
      <c r="AA15" s="407">
        <f t="shared" si="14"/>
        <v>0</v>
      </c>
      <c r="AB15" s="194"/>
    </row>
    <row r="16" spans="1:28" s="278" customFormat="1" x14ac:dyDescent="0.25">
      <c r="A16" s="200">
        <v>201005</v>
      </c>
      <c r="B16" s="313" t="s">
        <v>18985</v>
      </c>
      <c r="C16" s="248"/>
      <c r="D16" s="247" t="s">
        <v>1</v>
      </c>
      <c r="E16" s="249">
        <f t="shared" si="0"/>
        <v>0.16999919999999999</v>
      </c>
      <c r="F16" s="170">
        <f t="shared" si="0"/>
        <v>0.17407918079999998</v>
      </c>
      <c r="G16" s="252">
        <v>0.24</v>
      </c>
      <c r="H16" s="171">
        <f t="shared" si="1"/>
        <v>0.24</v>
      </c>
      <c r="I16" s="249">
        <f t="shared" si="2"/>
        <v>0</v>
      </c>
      <c r="J16" s="170">
        <f t="shared" si="2"/>
        <v>0</v>
      </c>
      <c r="K16" s="252"/>
      <c r="L16" s="172">
        <f t="shared" si="3"/>
        <v>0</v>
      </c>
      <c r="M16" s="249">
        <f t="shared" si="4"/>
        <v>0.52416419999999997</v>
      </c>
      <c r="N16" s="170">
        <f t="shared" si="5"/>
        <v>0.53674414079999999</v>
      </c>
      <c r="O16" s="250">
        <v>0.74</v>
      </c>
      <c r="P16" s="172">
        <f t="shared" si="6"/>
        <v>0.74</v>
      </c>
      <c r="Q16" s="251">
        <f t="shared" si="7"/>
        <v>1.4166600000000001E-2</v>
      </c>
      <c r="R16" s="173">
        <f t="shared" si="8"/>
        <v>1.4506598399999999E-2</v>
      </c>
      <c r="S16" s="250">
        <v>0.02</v>
      </c>
      <c r="T16" s="171">
        <f t="shared" si="9"/>
        <v>0.02</v>
      </c>
      <c r="U16" s="256">
        <v>0.70833000000000002</v>
      </c>
      <c r="V16" s="170">
        <f t="shared" si="10"/>
        <v>0.72532991999999996</v>
      </c>
      <c r="W16" s="250">
        <v>0.2</v>
      </c>
      <c r="X16" s="257">
        <f t="shared" si="11"/>
        <v>0.84999599999999997</v>
      </c>
      <c r="Y16" s="170">
        <f t="shared" si="12"/>
        <v>0.87039590399999989</v>
      </c>
      <c r="Z16" s="170">
        <f t="shared" si="13"/>
        <v>0.9</v>
      </c>
      <c r="AA16" s="407">
        <f t="shared" si="14"/>
        <v>0</v>
      </c>
      <c r="AB16" s="194"/>
    </row>
    <row r="17" spans="1:28" s="278" customFormat="1" x14ac:dyDescent="0.25">
      <c r="A17" s="200">
        <v>201020</v>
      </c>
      <c r="B17" s="313" t="s">
        <v>18986</v>
      </c>
      <c r="C17" s="248"/>
      <c r="D17" s="247" t="s">
        <v>1</v>
      </c>
      <c r="E17" s="249">
        <f t="shared" si="0"/>
        <v>0.37379999999999997</v>
      </c>
      <c r="F17" s="170">
        <f t="shared" si="0"/>
        <v>0.38262541799999999</v>
      </c>
      <c r="G17" s="252">
        <v>0.89</v>
      </c>
      <c r="H17" s="171">
        <f t="shared" si="1"/>
        <v>0.89</v>
      </c>
      <c r="I17" s="249">
        <f t="shared" si="2"/>
        <v>0</v>
      </c>
      <c r="J17" s="170">
        <f t="shared" si="2"/>
        <v>0</v>
      </c>
      <c r="K17" s="252"/>
      <c r="L17" s="172">
        <f t="shared" si="3"/>
        <v>0</v>
      </c>
      <c r="M17" s="249">
        <f t="shared" si="4"/>
        <v>4.6199999999999998E-2</v>
      </c>
      <c r="N17" s="170">
        <f t="shared" si="5"/>
        <v>4.7290781999999996E-2</v>
      </c>
      <c r="O17" s="250">
        <v>0.11</v>
      </c>
      <c r="P17" s="172">
        <f t="shared" si="6"/>
        <v>0.11</v>
      </c>
      <c r="Q17" s="251">
        <f t="shared" si="7"/>
        <v>0</v>
      </c>
      <c r="R17" s="173">
        <f t="shared" si="8"/>
        <v>0</v>
      </c>
      <c r="S17" s="250"/>
      <c r="T17" s="171">
        <f t="shared" si="9"/>
        <v>0</v>
      </c>
      <c r="U17" s="256">
        <v>0.42</v>
      </c>
      <c r="V17" s="170">
        <f t="shared" si="10"/>
        <v>0.42991619999999997</v>
      </c>
      <c r="W17" s="250">
        <v>0.2</v>
      </c>
      <c r="X17" s="257">
        <f t="shared" si="11"/>
        <v>0.504</v>
      </c>
      <c r="Y17" s="170">
        <f t="shared" si="12"/>
        <v>0.51589943999999999</v>
      </c>
      <c r="Z17" s="170">
        <f t="shared" si="13"/>
        <v>0.55000000000000004</v>
      </c>
      <c r="AA17" s="407">
        <f t="shared" si="14"/>
        <v>0</v>
      </c>
      <c r="AB17" s="194"/>
    </row>
    <row r="18" spans="1:28" s="278" customFormat="1" x14ac:dyDescent="0.25">
      <c r="A18" s="200">
        <v>201020</v>
      </c>
      <c r="B18" s="313" t="s">
        <v>18987</v>
      </c>
      <c r="C18" s="248"/>
      <c r="D18" s="247" t="s">
        <v>1</v>
      </c>
      <c r="E18" s="249">
        <f t="shared" si="0"/>
        <v>0.29663699999999998</v>
      </c>
      <c r="F18" s="170">
        <f t="shared" si="0"/>
        <v>0.30364059957</v>
      </c>
      <c r="G18" s="252">
        <v>0.89</v>
      </c>
      <c r="H18" s="171">
        <f t="shared" si="1"/>
        <v>0.89</v>
      </c>
      <c r="I18" s="249">
        <f t="shared" si="2"/>
        <v>0</v>
      </c>
      <c r="J18" s="170">
        <f t="shared" si="2"/>
        <v>0</v>
      </c>
      <c r="K18" s="252"/>
      <c r="L18" s="172">
        <f t="shared" si="3"/>
        <v>0</v>
      </c>
      <c r="M18" s="249">
        <f t="shared" si="4"/>
        <v>3.6663000000000001E-2</v>
      </c>
      <c r="N18" s="170">
        <f t="shared" si="5"/>
        <v>3.7528613430000003E-2</v>
      </c>
      <c r="O18" s="250">
        <v>0.11</v>
      </c>
      <c r="P18" s="172">
        <f t="shared" si="6"/>
        <v>0.11</v>
      </c>
      <c r="Q18" s="251">
        <f t="shared" si="7"/>
        <v>0</v>
      </c>
      <c r="R18" s="173">
        <f t="shared" si="8"/>
        <v>0</v>
      </c>
      <c r="S18" s="250"/>
      <c r="T18" s="171">
        <f t="shared" si="9"/>
        <v>0</v>
      </c>
      <c r="U18" s="256">
        <v>0.33329999999999999</v>
      </c>
      <c r="V18" s="170">
        <f t="shared" si="10"/>
        <v>0.34116921300000003</v>
      </c>
      <c r="W18" s="250">
        <v>0.2</v>
      </c>
      <c r="X18" s="257">
        <f t="shared" si="11"/>
        <v>0.39995999999999998</v>
      </c>
      <c r="Y18" s="170">
        <f t="shared" si="12"/>
        <v>0.40940305560000001</v>
      </c>
      <c r="Z18" s="170">
        <f t="shared" si="13"/>
        <v>0.45</v>
      </c>
      <c r="AA18" s="407">
        <f t="shared" si="14"/>
        <v>0</v>
      </c>
      <c r="AB18" s="194"/>
    </row>
    <row r="19" spans="1:28" s="278" customFormat="1" x14ac:dyDescent="0.25">
      <c r="A19" s="200">
        <v>201020</v>
      </c>
      <c r="B19" s="313" t="s">
        <v>18988</v>
      </c>
      <c r="C19" s="248"/>
      <c r="D19" s="247" t="s">
        <v>1</v>
      </c>
      <c r="E19" s="249">
        <f t="shared" si="0"/>
        <v>0.25961300000000004</v>
      </c>
      <c r="F19" s="170">
        <f t="shared" si="0"/>
        <v>0.26574246293000003</v>
      </c>
      <c r="G19" s="252">
        <v>0.89</v>
      </c>
      <c r="H19" s="171">
        <f t="shared" si="1"/>
        <v>0.89</v>
      </c>
      <c r="I19" s="249">
        <f t="shared" si="2"/>
        <v>0</v>
      </c>
      <c r="J19" s="170">
        <f t="shared" si="2"/>
        <v>0</v>
      </c>
      <c r="K19" s="252"/>
      <c r="L19" s="172">
        <f t="shared" si="3"/>
        <v>0</v>
      </c>
      <c r="M19" s="249">
        <f t="shared" si="4"/>
        <v>3.2087000000000004E-2</v>
      </c>
      <c r="N19" s="170">
        <f t="shared" si="5"/>
        <v>3.2844574070000007E-2</v>
      </c>
      <c r="O19" s="250">
        <v>0.11</v>
      </c>
      <c r="P19" s="172">
        <f t="shared" si="6"/>
        <v>0.11</v>
      </c>
      <c r="Q19" s="251">
        <f t="shared" si="7"/>
        <v>0</v>
      </c>
      <c r="R19" s="173">
        <f t="shared" si="8"/>
        <v>0</v>
      </c>
      <c r="S19" s="250"/>
      <c r="T19" s="171">
        <f t="shared" si="9"/>
        <v>0</v>
      </c>
      <c r="U19" s="256">
        <v>0.29170000000000001</v>
      </c>
      <c r="V19" s="170">
        <f t="shared" si="10"/>
        <v>0.29858703700000006</v>
      </c>
      <c r="W19" s="250">
        <v>0.2</v>
      </c>
      <c r="X19" s="257">
        <f t="shared" si="11"/>
        <v>0.35004000000000002</v>
      </c>
      <c r="Y19" s="170">
        <f t="shared" si="12"/>
        <v>0.35830444440000003</v>
      </c>
      <c r="Z19" s="170">
        <f t="shared" si="13"/>
        <v>0.4</v>
      </c>
      <c r="AA19" s="407">
        <f t="shared" si="14"/>
        <v>0</v>
      </c>
      <c r="AB19" s="194"/>
    </row>
    <row r="20" spans="1:28" s="278" customFormat="1" x14ac:dyDescent="0.25">
      <c r="A20" s="200">
        <v>201025</v>
      </c>
      <c r="B20" s="313" t="s">
        <v>6</v>
      </c>
      <c r="C20" s="248"/>
      <c r="D20" s="247" t="s">
        <v>4</v>
      </c>
      <c r="E20" s="249">
        <f t="shared" si="0"/>
        <v>9975</v>
      </c>
      <c r="F20" s="170">
        <f t="shared" si="0"/>
        <v>9701.4356250000001</v>
      </c>
      <c r="G20" s="252">
        <v>0.7</v>
      </c>
      <c r="H20" s="171">
        <f t="shared" si="1"/>
        <v>0.7</v>
      </c>
      <c r="I20" s="249">
        <f t="shared" si="2"/>
        <v>0</v>
      </c>
      <c r="J20" s="170">
        <f t="shared" si="2"/>
        <v>0</v>
      </c>
      <c r="K20" s="252"/>
      <c r="L20" s="172">
        <f t="shared" si="3"/>
        <v>0</v>
      </c>
      <c r="M20" s="249">
        <f t="shared" si="4"/>
        <v>3562.5</v>
      </c>
      <c r="N20" s="170">
        <f t="shared" si="5"/>
        <v>3464.7984375000001</v>
      </c>
      <c r="O20" s="250">
        <v>0.25</v>
      </c>
      <c r="P20" s="172">
        <f t="shared" si="6"/>
        <v>0.25</v>
      </c>
      <c r="Q20" s="251">
        <f t="shared" si="7"/>
        <v>0</v>
      </c>
      <c r="R20" s="173">
        <f t="shared" si="8"/>
        <v>0</v>
      </c>
      <c r="S20" s="250"/>
      <c r="T20" s="171">
        <f t="shared" si="9"/>
        <v>0</v>
      </c>
      <c r="U20" s="256">
        <v>14250</v>
      </c>
      <c r="V20" s="170">
        <f t="shared" si="10"/>
        <v>13859.19375</v>
      </c>
      <c r="W20" s="250">
        <v>0.1</v>
      </c>
      <c r="X20" s="257">
        <v>0</v>
      </c>
      <c r="Y20" s="170">
        <v>0</v>
      </c>
      <c r="Z20" s="170">
        <f>IF(Y20=0, 0, IF(Y20&lt;10, _xlfn.CEILING.MATH(Y20,1), IF(Y20&lt;100, _xlfn.CEILING.MATH(Y20,1),IF(Y20&lt;1000, _xlfn.CEILING.MATH(Y20,5), IF(Y20&lt;10000, _xlfn.CEILING.MATH(Y20, 25), IF(Y20&lt;100000, _xlfn.CEILING.MATH(Y20,250), IF(Y20&lt;1000000, _xlfn.CEILING.MATH(Y20,500), 0)))))))</f>
        <v>0</v>
      </c>
      <c r="AA20" s="407">
        <f t="shared" si="14"/>
        <v>0</v>
      </c>
      <c r="AB20" s="194"/>
    </row>
    <row r="21" spans="1:28" s="278" customFormat="1" x14ac:dyDescent="0.25">
      <c r="A21" s="200">
        <v>201030</v>
      </c>
      <c r="B21" s="313" t="s">
        <v>18989</v>
      </c>
      <c r="C21" s="248"/>
      <c r="D21" s="247" t="s">
        <v>1</v>
      </c>
      <c r="E21" s="249">
        <f t="shared" si="0"/>
        <v>0.29399999999999998</v>
      </c>
      <c r="F21" s="170">
        <f t="shared" si="0"/>
        <v>0.30092076000000001</v>
      </c>
      <c r="G21" s="252">
        <v>0.7</v>
      </c>
      <c r="H21" s="171">
        <f t="shared" si="1"/>
        <v>0.7</v>
      </c>
      <c r="I21" s="249">
        <f t="shared" si="2"/>
        <v>0</v>
      </c>
      <c r="J21" s="170">
        <f t="shared" si="2"/>
        <v>0</v>
      </c>
      <c r="K21" s="252"/>
      <c r="L21" s="172">
        <f t="shared" si="3"/>
        <v>0</v>
      </c>
      <c r="M21" s="249">
        <f t="shared" si="4"/>
        <v>0.11760000000000001</v>
      </c>
      <c r="N21" s="170">
        <f t="shared" si="5"/>
        <v>0.12036830400000001</v>
      </c>
      <c r="O21" s="250">
        <v>0.28000000000000003</v>
      </c>
      <c r="P21" s="172">
        <f t="shared" si="6"/>
        <v>0.28000000000000003</v>
      </c>
      <c r="Q21" s="251">
        <f t="shared" si="7"/>
        <v>8.3999999999999995E-3</v>
      </c>
      <c r="R21" s="173">
        <f t="shared" si="8"/>
        <v>8.5977359999999999E-3</v>
      </c>
      <c r="S21" s="250">
        <v>0.02</v>
      </c>
      <c r="T21" s="171">
        <f t="shared" si="9"/>
        <v>0.02</v>
      </c>
      <c r="U21" s="256">
        <v>0.42</v>
      </c>
      <c r="V21" s="170">
        <f t="shared" si="10"/>
        <v>0.42988680000000001</v>
      </c>
      <c r="W21" s="250">
        <v>0.2</v>
      </c>
      <c r="X21" s="257">
        <f>U21+U21*W21</f>
        <v>0.504</v>
      </c>
      <c r="Y21" s="170">
        <f>IF(V21*(W21+1)=0,X21,V21*(W21+1))</f>
        <v>0.51586416000000002</v>
      </c>
      <c r="Z21" s="170">
        <f>IF(Y21=0, 0, IF(Y21&lt;10, _xlfn.CEILING.MATH(Y21,0.05), IF(Y21&lt;100, _xlfn.CEILING.MATH(Y21,1),IF(Y21&lt;1000, _xlfn.CEILING.MATH(Y21,5), IF(Y21&lt;10000, _xlfn.CEILING.MATH(Y21, 25), IF(Y21&lt;100000, _xlfn.CEILING.MATH(Y21,250), IF(Y21&lt;1000000, _xlfn.CEILING.MATH(Y21,500), 0)))))))</f>
        <v>0.55000000000000004</v>
      </c>
      <c r="AA21" s="407">
        <f t="shared" si="14"/>
        <v>0</v>
      </c>
      <c r="AB21" s="194"/>
    </row>
    <row r="22" spans="1:28" s="278" customFormat="1" x14ac:dyDescent="0.25">
      <c r="A22" s="200">
        <v>201030</v>
      </c>
      <c r="B22" s="313" t="s">
        <v>18990</v>
      </c>
      <c r="C22" s="248"/>
      <c r="D22" s="247" t="s">
        <v>1</v>
      </c>
      <c r="E22" s="249">
        <f t="shared" si="0"/>
        <v>0.20419000000000001</v>
      </c>
      <c r="F22" s="170">
        <f t="shared" si="0"/>
        <v>0.20899663260000004</v>
      </c>
      <c r="G22" s="252">
        <v>0.7</v>
      </c>
      <c r="H22" s="171">
        <f t="shared" si="1"/>
        <v>0.7</v>
      </c>
      <c r="I22" s="249">
        <f t="shared" si="2"/>
        <v>0</v>
      </c>
      <c r="J22" s="170">
        <f t="shared" si="2"/>
        <v>0</v>
      </c>
      <c r="K22" s="252"/>
      <c r="L22" s="172">
        <f t="shared" si="3"/>
        <v>0</v>
      </c>
      <c r="M22" s="249">
        <f t="shared" si="4"/>
        <v>8.1676000000000012E-2</v>
      </c>
      <c r="N22" s="170">
        <f t="shared" si="5"/>
        <v>8.3598653040000026E-2</v>
      </c>
      <c r="O22" s="250">
        <v>0.28000000000000003</v>
      </c>
      <c r="P22" s="172">
        <f t="shared" si="6"/>
        <v>0.28000000000000003</v>
      </c>
      <c r="Q22" s="251">
        <f t="shared" si="7"/>
        <v>5.8340000000000006E-3</v>
      </c>
      <c r="R22" s="173">
        <f t="shared" si="8"/>
        <v>5.9713323600000014E-3</v>
      </c>
      <c r="S22" s="250">
        <v>0.02</v>
      </c>
      <c r="T22" s="171">
        <f t="shared" si="9"/>
        <v>0.02</v>
      </c>
      <c r="U22" s="256">
        <v>0.29170000000000001</v>
      </c>
      <c r="V22" s="170">
        <f t="shared" si="10"/>
        <v>0.29856661800000006</v>
      </c>
      <c r="W22" s="250">
        <v>0.2</v>
      </c>
      <c r="X22" s="257">
        <f>U22+U22*W22</f>
        <v>0.35004000000000002</v>
      </c>
      <c r="Y22" s="170">
        <f>IF(V22*(W22+1)=0,X22,V22*(W22+1))</f>
        <v>0.35827994160000004</v>
      </c>
      <c r="Z22" s="170">
        <f>IF(Y22=0, 0, IF(Y22&lt;10, _xlfn.CEILING.MATH(Y22,0.05), IF(Y22&lt;100, _xlfn.CEILING.MATH(Y22,1),IF(Y22&lt;1000, _xlfn.CEILING.MATH(Y22,5), IF(Y22&lt;10000, _xlfn.CEILING.MATH(Y22, 25), IF(Y22&lt;100000, _xlfn.CEILING.MATH(Y22,250), IF(Y22&lt;1000000, _xlfn.CEILING.MATH(Y22,500), 0)))))))</f>
        <v>0.4</v>
      </c>
      <c r="AA22" s="407">
        <f t="shared" si="14"/>
        <v>0</v>
      </c>
      <c r="AB22" s="194"/>
    </row>
    <row r="23" spans="1:28" s="278" customFormat="1" x14ac:dyDescent="0.25">
      <c r="A23" s="195" t="s">
        <v>14482</v>
      </c>
      <c r="B23" s="317" t="s">
        <v>14483</v>
      </c>
      <c r="C23" s="241"/>
      <c r="D23" s="242"/>
      <c r="E23" s="243"/>
      <c r="F23" s="244"/>
      <c r="G23" s="245"/>
      <c r="H23" s="246"/>
      <c r="I23" s="243"/>
      <c r="J23" s="244"/>
      <c r="K23" s="245"/>
      <c r="L23" s="246"/>
      <c r="M23" s="243"/>
      <c r="N23" s="244"/>
      <c r="O23" s="245"/>
      <c r="P23" s="246"/>
      <c r="Q23" s="243"/>
      <c r="R23" s="244"/>
      <c r="S23" s="245"/>
      <c r="T23" s="246"/>
      <c r="U23" s="246"/>
      <c r="V23" s="246"/>
      <c r="W23" s="246"/>
      <c r="X23" s="246"/>
      <c r="Y23" s="244"/>
      <c r="Z23" s="244"/>
      <c r="AA23" s="406"/>
      <c r="AB23" s="194"/>
    </row>
    <row r="24" spans="1:28" s="278" customFormat="1" x14ac:dyDescent="0.25">
      <c r="A24" s="200">
        <v>202015</v>
      </c>
      <c r="B24" s="313" t="s">
        <v>18991</v>
      </c>
      <c r="C24" s="248"/>
      <c r="D24" s="247" t="s">
        <v>1</v>
      </c>
      <c r="E24" s="249">
        <f t="shared" ref="E24:F55" si="15">U24*G24</f>
        <v>7.9917749999999996</v>
      </c>
      <c r="F24" s="170">
        <f t="shared" si="15"/>
        <v>8.1815796562500012</v>
      </c>
      <c r="G24" s="250">
        <v>0.75</v>
      </c>
      <c r="H24" s="171">
        <f t="shared" ref="H24:H87" si="16">G24</f>
        <v>0.75</v>
      </c>
      <c r="I24" s="249">
        <f t="shared" ref="I24:J55" si="17">U24*K24</f>
        <v>0</v>
      </c>
      <c r="J24" s="170">
        <f t="shared" si="17"/>
        <v>0</v>
      </c>
      <c r="K24" s="252"/>
      <c r="L24" s="172">
        <f t="shared" ref="L24:L87" si="18">K24</f>
        <v>0</v>
      </c>
      <c r="M24" s="249">
        <f t="shared" ref="M24:M87" si="19">U24*O24</f>
        <v>2.6639249999999999</v>
      </c>
      <c r="N24" s="170">
        <f t="shared" ref="N24:N87" si="20">P24*V24</f>
        <v>2.7271932187500001</v>
      </c>
      <c r="O24" s="250">
        <v>0.25</v>
      </c>
      <c r="P24" s="172">
        <f t="shared" ref="P24:P87" si="21">O24</f>
        <v>0.25</v>
      </c>
      <c r="Q24" s="251">
        <f t="shared" ref="Q24:Q87" si="22">U24*S24</f>
        <v>0</v>
      </c>
      <c r="R24" s="173">
        <f t="shared" ref="R24:R87" si="23">T24*V24</f>
        <v>0</v>
      </c>
      <c r="S24" s="252"/>
      <c r="T24" s="171">
        <f t="shared" ref="T24:T87" si="24">S24</f>
        <v>0</v>
      </c>
      <c r="U24" s="256">
        <v>10.6557</v>
      </c>
      <c r="V24" s="170">
        <f>SUM(E24*1.0235,I24*1.0175,M24*1.0245,Q24*1.0115)</f>
        <v>10.908772875</v>
      </c>
      <c r="W24" s="250">
        <v>0.22</v>
      </c>
      <c r="X24" s="257">
        <f t="shared" ref="X24:X33" si="25">U24+U24*W24</f>
        <v>12.999953999999999</v>
      </c>
      <c r="Y24" s="170">
        <f t="shared" ref="Y24:Y87" si="26">IF(V24*(W24+1)=0,X24,V24*(W24+1))</f>
        <v>13.308702907500001</v>
      </c>
      <c r="Z24" s="170">
        <f t="shared" ref="Z24:Z60" si="27">IF(Y24=0, 0, IF(Y24&lt;10, _xlfn.CEILING.MATH(Y24,1), IF(Y24&lt;100, _xlfn.CEILING.MATH(Y24,1),IF(Y24&lt;1000, _xlfn.CEILING.MATH(Y24,5), IF(Y24&lt;10000, _xlfn.CEILING.MATH(Y24, 25), IF(Y24&lt;100000, _xlfn.CEILING.MATH(Y24,250), IF(Y24&lt;1000000, _xlfn.CEILING.MATH(Y24,500), 0)))))))</f>
        <v>14</v>
      </c>
      <c r="AA24" s="407">
        <f t="shared" ref="AA24:AA87" si="28">C24*Z24</f>
        <v>0</v>
      </c>
      <c r="AB24" s="194"/>
    </row>
    <row r="25" spans="1:28" s="278" customFormat="1" x14ac:dyDescent="0.25">
      <c r="A25" s="200">
        <v>202015</v>
      </c>
      <c r="B25" s="313" t="s">
        <v>14484</v>
      </c>
      <c r="C25" s="248"/>
      <c r="D25" s="247" t="s">
        <v>1</v>
      </c>
      <c r="E25" s="249">
        <f t="shared" si="15"/>
        <v>6.1475249999999999</v>
      </c>
      <c r="F25" s="170">
        <f t="shared" si="15"/>
        <v>6.2935287187500002</v>
      </c>
      <c r="G25" s="250">
        <v>0.75</v>
      </c>
      <c r="H25" s="171">
        <f t="shared" si="16"/>
        <v>0.75</v>
      </c>
      <c r="I25" s="249">
        <f t="shared" si="17"/>
        <v>0</v>
      </c>
      <c r="J25" s="170">
        <f t="shared" si="17"/>
        <v>0</v>
      </c>
      <c r="K25" s="252"/>
      <c r="L25" s="172">
        <f t="shared" si="18"/>
        <v>0</v>
      </c>
      <c r="M25" s="249">
        <f t="shared" si="19"/>
        <v>2.049175</v>
      </c>
      <c r="N25" s="170">
        <f t="shared" si="20"/>
        <v>2.0978429062499999</v>
      </c>
      <c r="O25" s="250">
        <v>0.25</v>
      </c>
      <c r="P25" s="172">
        <f t="shared" si="21"/>
        <v>0.25</v>
      </c>
      <c r="Q25" s="251">
        <f t="shared" si="22"/>
        <v>0</v>
      </c>
      <c r="R25" s="173">
        <f t="shared" si="23"/>
        <v>0</v>
      </c>
      <c r="S25" s="252"/>
      <c r="T25" s="171">
        <f t="shared" si="24"/>
        <v>0</v>
      </c>
      <c r="U25" s="256">
        <v>8.1966999999999999</v>
      </c>
      <c r="V25" s="170">
        <f>SUM(E25*1.0235,I25*1.0175,M25*1.0245,Q25*1.0115)</f>
        <v>8.3913716249999997</v>
      </c>
      <c r="W25" s="250">
        <v>0.22</v>
      </c>
      <c r="X25" s="257">
        <f t="shared" si="25"/>
        <v>9.9999739999999999</v>
      </c>
      <c r="Y25" s="170">
        <f t="shared" si="26"/>
        <v>10.237473382499999</v>
      </c>
      <c r="Z25" s="170">
        <f t="shared" si="27"/>
        <v>11</v>
      </c>
      <c r="AA25" s="407">
        <f t="shared" si="28"/>
        <v>0</v>
      </c>
      <c r="AB25" s="194"/>
    </row>
    <row r="26" spans="1:28" s="278" customFormat="1" x14ac:dyDescent="0.25">
      <c r="A26" s="200">
        <v>202025</v>
      </c>
      <c r="B26" s="313" t="s">
        <v>14485</v>
      </c>
      <c r="C26" s="248"/>
      <c r="D26" s="247" t="s">
        <v>7</v>
      </c>
      <c r="E26" s="249">
        <f t="shared" si="15"/>
        <v>5.7200000000000006</v>
      </c>
      <c r="F26" s="170">
        <f t="shared" si="15"/>
        <v>5.8569940000000011</v>
      </c>
      <c r="G26" s="250">
        <v>0.55000000000000004</v>
      </c>
      <c r="H26" s="171">
        <f t="shared" si="16"/>
        <v>0.55000000000000004</v>
      </c>
      <c r="I26" s="249">
        <f t="shared" si="17"/>
        <v>0</v>
      </c>
      <c r="J26" s="170">
        <f t="shared" si="17"/>
        <v>0</v>
      </c>
      <c r="K26" s="252"/>
      <c r="L26" s="172">
        <f t="shared" si="18"/>
        <v>0</v>
      </c>
      <c r="M26" s="249">
        <f t="shared" si="19"/>
        <v>4.6800000000000006</v>
      </c>
      <c r="N26" s="170">
        <f t="shared" si="20"/>
        <v>4.7920860000000012</v>
      </c>
      <c r="O26" s="250">
        <v>0.45</v>
      </c>
      <c r="P26" s="172">
        <f t="shared" si="21"/>
        <v>0.45</v>
      </c>
      <c r="Q26" s="251">
        <f t="shared" si="22"/>
        <v>0</v>
      </c>
      <c r="R26" s="173">
        <f t="shared" si="23"/>
        <v>0</v>
      </c>
      <c r="S26" s="252"/>
      <c r="T26" s="171">
        <f t="shared" si="24"/>
        <v>0</v>
      </c>
      <c r="U26" s="256">
        <v>10.4</v>
      </c>
      <c r="V26" s="170">
        <f>SUM(E26*1.0235,I26*1.0175,M26*1.0245,Q26*1.0115)</f>
        <v>10.649080000000001</v>
      </c>
      <c r="W26" s="250">
        <v>0.25</v>
      </c>
      <c r="X26" s="257">
        <f t="shared" si="25"/>
        <v>13</v>
      </c>
      <c r="Y26" s="170">
        <f t="shared" si="26"/>
        <v>13.311350000000001</v>
      </c>
      <c r="Z26" s="170">
        <f t="shared" si="27"/>
        <v>14</v>
      </c>
      <c r="AA26" s="407">
        <f t="shared" si="28"/>
        <v>0</v>
      </c>
      <c r="AB26" s="194"/>
    </row>
    <row r="27" spans="1:28" s="278" customFormat="1" x14ac:dyDescent="0.25">
      <c r="A27" s="200">
        <v>202030</v>
      </c>
      <c r="B27" s="313" t="s">
        <v>18992</v>
      </c>
      <c r="C27" s="248"/>
      <c r="D27" s="247" t="s">
        <v>7</v>
      </c>
      <c r="E27" s="249">
        <f t="shared" si="15"/>
        <v>10.185175000000001</v>
      </c>
      <c r="F27" s="170">
        <f t="shared" si="15"/>
        <v>10.429109941250003</v>
      </c>
      <c r="G27" s="250">
        <v>0.55000000000000004</v>
      </c>
      <c r="H27" s="171">
        <f t="shared" si="16"/>
        <v>0.55000000000000004</v>
      </c>
      <c r="I27" s="249">
        <f t="shared" si="17"/>
        <v>0</v>
      </c>
      <c r="J27" s="170">
        <f t="shared" si="17"/>
        <v>0</v>
      </c>
      <c r="K27" s="252"/>
      <c r="L27" s="172">
        <f t="shared" si="18"/>
        <v>0</v>
      </c>
      <c r="M27" s="249">
        <f t="shared" si="19"/>
        <v>8.3333250000000003</v>
      </c>
      <c r="N27" s="170">
        <f t="shared" si="20"/>
        <v>8.5329081337500021</v>
      </c>
      <c r="O27" s="250">
        <v>0.45</v>
      </c>
      <c r="P27" s="172">
        <f t="shared" si="21"/>
        <v>0.45</v>
      </c>
      <c r="Q27" s="251">
        <f t="shared" si="22"/>
        <v>0</v>
      </c>
      <c r="R27" s="173">
        <f t="shared" si="23"/>
        <v>0</v>
      </c>
      <c r="S27" s="252"/>
      <c r="T27" s="171">
        <f t="shared" si="24"/>
        <v>0</v>
      </c>
      <c r="U27" s="256">
        <v>18.5185</v>
      </c>
      <c r="V27" s="170">
        <f>SUM(E27*1.0235,I27*1.0175,M27*1.0245,Q27*1.0115)</f>
        <v>18.962018075000003</v>
      </c>
      <c r="W27" s="250">
        <v>0.35</v>
      </c>
      <c r="X27" s="257">
        <f t="shared" si="25"/>
        <v>24.999974999999999</v>
      </c>
      <c r="Y27" s="170">
        <f t="shared" si="26"/>
        <v>25.598724401250006</v>
      </c>
      <c r="Z27" s="170">
        <f t="shared" si="27"/>
        <v>26</v>
      </c>
      <c r="AA27" s="407">
        <f t="shared" si="28"/>
        <v>0</v>
      </c>
      <c r="AB27" s="194"/>
    </row>
    <row r="28" spans="1:28" s="278" customFormat="1" x14ac:dyDescent="0.25">
      <c r="A28" s="200">
        <v>202030</v>
      </c>
      <c r="B28" s="313" t="s">
        <v>18993</v>
      </c>
      <c r="C28" s="248"/>
      <c r="D28" s="247" t="s">
        <v>7</v>
      </c>
      <c r="E28" s="249">
        <f t="shared" si="15"/>
        <v>8.1455000000000002</v>
      </c>
      <c r="F28" s="170">
        <f t="shared" si="15"/>
        <v>6.518518518518519</v>
      </c>
      <c r="G28" s="250">
        <v>0.55000000000000004</v>
      </c>
      <c r="H28" s="171">
        <f t="shared" si="16"/>
        <v>0.55000000000000004</v>
      </c>
      <c r="I28" s="249">
        <f t="shared" si="17"/>
        <v>0</v>
      </c>
      <c r="J28" s="170">
        <f t="shared" si="17"/>
        <v>0</v>
      </c>
      <c r="K28" s="252"/>
      <c r="L28" s="172">
        <f t="shared" si="18"/>
        <v>0</v>
      </c>
      <c r="M28" s="249">
        <f t="shared" si="19"/>
        <v>6.6645000000000003</v>
      </c>
      <c r="N28" s="170">
        <f t="shared" si="20"/>
        <v>5.333333333333333</v>
      </c>
      <c r="O28" s="250">
        <v>0.45</v>
      </c>
      <c r="P28" s="172">
        <f t="shared" si="21"/>
        <v>0.45</v>
      </c>
      <c r="Q28" s="251">
        <f t="shared" si="22"/>
        <v>0</v>
      </c>
      <c r="R28" s="173">
        <f t="shared" si="23"/>
        <v>0</v>
      </c>
      <c r="S28" s="252"/>
      <c r="T28" s="171">
        <f t="shared" si="24"/>
        <v>0</v>
      </c>
      <c r="U28" s="256">
        <v>14.81</v>
      </c>
      <c r="V28" s="170">
        <f>16/1.35</f>
        <v>11.851851851851851</v>
      </c>
      <c r="W28" s="250">
        <v>0.35</v>
      </c>
      <c r="X28" s="257">
        <f t="shared" si="25"/>
        <v>19.993500000000001</v>
      </c>
      <c r="Y28" s="170">
        <f t="shared" si="26"/>
        <v>16</v>
      </c>
      <c r="Z28" s="170">
        <f t="shared" si="27"/>
        <v>16</v>
      </c>
      <c r="AA28" s="407">
        <f t="shared" si="28"/>
        <v>0</v>
      </c>
      <c r="AB28" s="194"/>
    </row>
    <row r="29" spans="1:28" s="278" customFormat="1" x14ac:dyDescent="0.25">
      <c r="A29" s="200">
        <v>202035</v>
      </c>
      <c r="B29" s="313" t="s">
        <v>14486</v>
      </c>
      <c r="C29" s="248"/>
      <c r="D29" s="247" t="s">
        <v>7</v>
      </c>
      <c r="E29" s="249">
        <f t="shared" si="15"/>
        <v>12.038</v>
      </c>
      <c r="F29" s="170">
        <f t="shared" si="15"/>
        <v>14.444444444444445</v>
      </c>
      <c r="G29" s="250">
        <v>0.65</v>
      </c>
      <c r="H29" s="171">
        <f t="shared" si="16"/>
        <v>0.65</v>
      </c>
      <c r="I29" s="249">
        <f t="shared" si="17"/>
        <v>0</v>
      </c>
      <c r="J29" s="170">
        <f t="shared" si="17"/>
        <v>0</v>
      </c>
      <c r="K29" s="252"/>
      <c r="L29" s="172">
        <f t="shared" si="18"/>
        <v>0</v>
      </c>
      <c r="M29" s="249">
        <f t="shared" si="19"/>
        <v>6.4819999999999993</v>
      </c>
      <c r="N29" s="170">
        <f t="shared" si="20"/>
        <v>7.7777777777777768</v>
      </c>
      <c r="O29" s="250">
        <v>0.35</v>
      </c>
      <c r="P29" s="172">
        <f t="shared" si="21"/>
        <v>0.35</v>
      </c>
      <c r="Q29" s="251">
        <f t="shared" si="22"/>
        <v>0</v>
      </c>
      <c r="R29" s="173">
        <f t="shared" si="23"/>
        <v>0</v>
      </c>
      <c r="S29" s="252"/>
      <c r="T29" s="171">
        <f t="shared" si="24"/>
        <v>0</v>
      </c>
      <c r="U29" s="256">
        <v>18.52</v>
      </c>
      <c r="V29" s="170">
        <f>30/1.35</f>
        <v>22.222222222222221</v>
      </c>
      <c r="W29" s="250">
        <v>0.35</v>
      </c>
      <c r="X29" s="257">
        <f t="shared" si="25"/>
        <v>25.001999999999999</v>
      </c>
      <c r="Y29" s="170">
        <f t="shared" si="26"/>
        <v>30</v>
      </c>
      <c r="Z29" s="170">
        <f t="shared" si="27"/>
        <v>30</v>
      </c>
      <c r="AA29" s="407">
        <f t="shared" si="28"/>
        <v>0</v>
      </c>
      <c r="AB29" s="194"/>
    </row>
    <row r="30" spans="1:28" s="278" customFormat="1" x14ac:dyDescent="0.25">
      <c r="A30" s="200">
        <v>202035</v>
      </c>
      <c r="B30" s="313" t="s">
        <v>16046</v>
      </c>
      <c r="C30" s="248"/>
      <c r="D30" s="247" t="s">
        <v>7</v>
      </c>
      <c r="E30" s="249">
        <f t="shared" si="15"/>
        <v>11.1075</v>
      </c>
      <c r="F30" s="170">
        <f t="shared" si="15"/>
        <v>9.4444444444444429</v>
      </c>
      <c r="G30" s="250">
        <v>0.75</v>
      </c>
      <c r="H30" s="171">
        <f t="shared" si="16"/>
        <v>0.75</v>
      </c>
      <c r="I30" s="249">
        <f t="shared" si="17"/>
        <v>0</v>
      </c>
      <c r="J30" s="170">
        <f t="shared" si="17"/>
        <v>0</v>
      </c>
      <c r="K30" s="252"/>
      <c r="L30" s="172">
        <f t="shared" si="18"/>
        <v>0</v>
      </c>
      <c r="M30" s="249">
        <f t="shared" si="19"/>
        <v>3.7025000000000001</v>
      </c>
      <c r="N30" s="170">
        <f t="shared" si="20"/>
        <v>3.1481481481481479</v>
      </c>
      <c r="O30" s="250">
        <v>0.25</v>
      </c>
      <c r="P30" s="172">
        <f t="shared" si="21"/>
        <v>0.25</v>
      </c>
      <c r="Q30" s="251">
        <f t="shared" si="22"/>
        <v>0</v>
      </c>
      <c r="R30" s="173">
        <f t="shared" si="23"/>
        <v>0</v>
      </c>
      <c r="S30" s="252"/>
      <c r="T30" s="171">
        <f t="shared" si="24"/>
        <v>0</v>
      </c>
      <c r="U30" s="256">
        <v>14.81</v>
      </c>
      <c r="V30" s="170">
        <f>17/1.35</f>
        <v>12.592592592592592</v>
      </c>
      <c r="W30" s="250">
        <v>0.35</v>
      </c>
      <c r="X30" s="257">
        <f t="shared" si="25"/>
        <v>19.993500000000001</v>
      </c>
      <c r="Y30" s="170">
        <f t="shared" si="26"/>
        <v>17</v>
      </c>
      <c r="Z30" s="170">
        <f t="shared" si="27"/>
        <v>17</v>
      </c>
      <c r="AA30" s="407">
        <f t="shared" si="28"/>
        <v>0</v>
      </c>
      <c r="AB30" s="194"/>
    </row>
    <row r="31" spans="1:28" s="278" customFormat="1" x14ac:dyDescent="0.25">
      <c r="A31" s="200">
        <v>202045</v>
      </c>
      <c r="B31" s="313" t="s">
        <v>14487</v>
      </c>
      <c r="C31" s="248"/>
      <c r="D31" s="247" t="s">
        <v>7</v>
      </c>
      <c r="E31" s="249">
        <f t="shared" si="15"/>
        <v>19.997999999999998</v>
      </c>
      <c r="F31" s="170">
        <f t="shared" si="15"/>
        <v>20.449954799999997</v>
      </c>
      <c r="G31" s="250">
        <v>0.6</v>
      </c>
      <c r="H31" s="171">
        <f t="shared" si="16"/>
        <v>0.6</v>
      </c>
      <c r="I31" s="249">
        <f t="shared" si="17"/>
        <v>0</v>
      </c>
      <c r="J31" s="170">
        <f t="shared" si="17"/>
        <v>0</v>
      </c>
      <c r="K31" s="252"/>
      <c r="L31" s="172">
        <f t="shared" si="18"/>
        <v>0</v>
      </c>
      <c r="M31" s="249">
        <f t="shared" si="19"/>
        <v>9.9989999999999988</v>
      </c>
      <c r="N31" s="170">
        <f t="shared" si="20"/>
        <v>10.224977399999998</v>
      </c>
      <c r="O31" s="250">
        <v>0.3</v>
      </c>
      <c r="P31" s="172">
        <f t="shared" si="21"/>
        <v>0.3</v>
      </c>
      <c r="Q31" s="251">
        <f t="shared" si="22"/>
        <v>3.3330000000000002</v>
      </c>
      <c r="R31" s="173">
        <f t="shared" si="23"/>
        <v>3.4083257999999996</v>
      </c>
      <c r="S31" s="252">
        <v>0.1</v>
      </c>
      <c r="T31" s="171">
        <f t="shared" si="24"/>
        <v>0.1</v>
      </c>
      <c r="U31" s="256">
        <v>33.33</v>
      </c>
      <c r="V31" s="170">
        <f>SUM(E31*1.0235,I31*1.0175,M31*1.0245,Q31*1.0115)</f>
        <v>34.083257999999994</v>
      </c>
      <c r="W31" s="250">
        <v>0.2</v>
      </c>
      <c r="X31" s="257">
        <f t="shared" si="25"/>
        <v>39.995999999999995</v>
      </c>
      <c r="Y31" s="170">
        <f t="shared" si="26"/>
        <v>40.899909599999994</v>
      </c>
      <c r="Z31" s="170">
        <f t="shared" si="27"/>
        <v>41</v>
      </c>
      <c r="AA31" s="407">
        <f t="shared" si="28"/>
        <v>0</v>
      </c>
      <c r="AB31" s="194"/>
    </row>
    <row r="32" spans="1:28" s="278" customFormat="1" x14ac:dyDescent="0.25">
      <c r="A32" s="200">
        <v>202045</v>
      </c>
      <c r="B32" s="313" t="s">
        <v>14488</v>
      </c>
      <c r="C32" s="248"/>
      <c r="D32" s="247" t="s">
        <v>7</v>
      </c>
      <c r="E32" s="249">
        <f t="shared" si="15"/>
        <v>12.497999999999999</v>
      </c>
      <c r="F32" s="170">
        <f t="shared" si="15"/>
        <v>19</v>
      </c>
      <c r="G32" s="250">
        <v>0.6</v>
      </c>
      <c r="H32" s="171">
        <f t="shared" si="16"/>
        <v>0.6</v>
      </c>
      <c r="I32" s="249">
        <f t="shared" si="17"/>
        <v>0</v>
      </c>
      <c r="J32" s="170">
        <f t="shared" si="17"/>
        <v>0</v>
      </c>
      <c r="K32" s="252"/>
      <c r="L32" s="172">
        <f t="shared" si="18"/>
        <v>0</v>
      </c>
      <c r="M32" s="249">
        <f t="shared" si="19"/>
        <v>6.2489999999999997</v>
      </c>
      <c r="N32" s="170">
        <f t="shared" si="20"/>
        <v>9.5</v>
      </c>
      <c r="O32" s="250">
        <v>0.3</v>
      </c>
      <c r="P32" s="172">
        <f t="shared" si="21"/>
        <v>0.3</v>
      </c>
      <c r="Q32" s="251">
        <f t="shared" si="22"/>
        <v>2.0829999999999997</v>
      </c>
      <c r="R32" s="173">
        <f t="shared" si="23"/>
        <v>3.166666666666667</v>
      </c>
      <c r="S32" s="252">
        <v>0.1</v>
      </c>
      <c r="T32" s="171">
        <f t="shared" si="24"/>
        <v>0.1</v>
      </c>
      <c r="U32" s="256">
        <v>20.83</v>
      </c>
      <c r="V32" s="170">
        <f>38/1.2</f>
        <v>31.666666666666668</v>
      </c>
      <c r="W32" s="250">
        <v>0.2</v>
      </c>
      <c r="X32" s="257">
        <f t="shared" si="25"/>
        <v>24.995999999999999</v>
      </c>
      <c r="Y32" s="170">
        <f t="shared" si="26"/>
        <v>38</v>
      </c>
      <c r="Z32" s="170">
        <f t="shared" si="27"/>
        <v>38</v>
      </c>
      <c r="AA32" s="407">
        <f t="shared" si="28"/>
        <v>0</v>
      </c>
      <c r="AB32" s="194"/>
    </row>
    <row r="33" spans="1:28" s="278" customFormat="1" x14ac:dyDescent="0.25">
      <c r="A33" s="200">
        <v>202045</v>
      </c>
      <c r="B33" s="313" t="s">
        <v>14489</v>
      </c>
      <c r="C33" s="248"/>
      <c r="D33" s="247" t="s">
        <v>7</v>
      </c>
      <c r="E33" s="249">
        <f t="shared" si="15"/>
        <v>10.000200000000001</v>
      </c>
      <c r="F33" s="170">
        <f t="shared" si="15"/>
        <v>10.226204520000001</v>
      </c>
      <c r="G33" s="250">
        <v>0.6</v>
      </c>
      <c r="H33" s="171">
        <f t="shared" si="16"/>
        <v>0.6</v>
      </c>
      <c r="I33" s="249">
        <f t="shared" si="17"/>
        <v>0</v>
      </c>
      <c r="J33" s="170">
        <f t="shared" si="17"/>
        <v>0</v>
      </c>
      <c r="K33" s="252"/>
      <c r="L33" s="172">
        <f t="shared" si="18"/>
        <v>0</v>
      </c>
      <c r="M33" s="249">
        <f t="shared" si="19"/>
        <v>5.0001000000000007</v>
      </c>
      <c r="N33" s="170">
        <f t="shared" si="20"/>
        <v>5.1131022600000007</v>
      </c>
      <c r="O33" s="250">
        <v>0.3</v>
      </c>
      <c r="P33" s="172">
        <f t="shared" si="21"/>
        <v>0.3</v>
      </c>
      <c r="Q33" s="251">
        <f t="shared" si="22"/>
        <v>1.6667000000000003</v>
      </c>
      <c r="R33" s="173">
        <f t="shared" si="23"/>
        <v>1.7043674200000003</v>
      </c>
      <c r="S33" s="252">
        <v>0.1</v>
      </c>
      <c r="T33" s="171">
        <f t="shared" si="24"/>
        <v>0.1</v>
      </c>
      <c r="U33" s="256">
        <v>16.667000000000002</v>
      </c>
      <c r="V33" s="170">
        <f t="shared" ref="V33:V39" si="29">SUM(E33*1.0235,I33*1.0175,M33*1.0245,Q33*1.0115)</f>
        <v>17.043674200000002</v>
      </c>
      <c r="W33" s="250">
        <v>0.2</v>
      </c>
      <c r="X33" s="257">
        <f t="shared" si="25"/>
        <v>20.000400000000003</v>
      </c>
      <c r="Y33" s="170">
        <f t="shared" si="26"/>
        <v>20.452409040000003</v>
      </c>
      <c r="Z33" s="170">
        <f t="shared" si="27"/>
        <v>21</v>
      </c>
      <c r="AA33" s="407">
        <f t="shared" si="28"/>
        <v>0</v>
      </c>
      <c r="AB33" s="194"/>
    </row>
    <row r="34" spans="1:28" s="278" customFormat="1" ht="21" x14ac:dyDescent="0.25">
      <c r="A34" s="200">
        <v>202062</v>
      </c>
      <c r="B34" s="255" t="s">
        <v>18994</v>
      </c>
      <c r="C34" s="248"/>
      <c r="D34" s="247" t="s">
        <v>7</v>
      </c>
      <c r="E34" s="249">
        <f t="shared" si="15"/>
        <v>55.000000000000007</v>
      </c>
      <c r="F34" s="170">
        <f t="shared" si="15"/>
        <v>56.281500000000008</v>
      </c>
      <c r="G34" s="250">
        <v>0.55000000000000004</v>
      </c>
      <c r="H34" s="171">
        <f t="shared" si="16"/>
        <v>0.55000000000000004</v>
      </c>
      <c r="I34" s="249">
        <f t="shared" si="17"/>
        <v>0</v>
      </c>
      <c r="J34" s="170">
        <f t="shared" si="17"/>
        <v>0</v>
      </c>
      <c r="K34" s="252"/>
      <c r="L34" s="172">
        <f t="shared" si="18"/>
        <v>0</v>
      </c>
      <c r="M34" s="249">
        <f t="shared" si="19"/>
        <v>40</v>
      </c>
      <c r="N34" s="170">
        <f t="shared" si="20"/>
        <v>40.932000000000009</v>
      </c>
      <c r="O34" s="250">
        <v>0.4</v>
      </c>
      <c r="P34" s="172">
        <f t="shared" si="21"/>
        <v>0.4</v>
      </c>
      <c r="Q34" s="251">
        <f t="shared" si="22"/>
        <v>5</v>
      </c>
      <c r="R34" s="173">
        <f t="shared" si="23"/>
        <v>5.1165000000000012</v>
      </c>
      <c r="S34" s="250">
        <v>0.05</v>
      </c>
      <c r="T34" s="171">
        <f t="shared" si="24"/>
        <v>0.05</v>
      </c>
      <c r="U34" s="256">
        <v>100</v>
      </c>
      <c r="V34" s="170">
        <f t="shared" si="29"/>
        <v>102.33000000000001</v>
      </c>
      <c r="W34" s="250">
        <v>0.2</v>
      </c>
      <c r="X34" s="257">
        <v>120</v>
      </c>
      <c r="Y34" s="170">
        <f t="shared" si="26"/>
        <v>122.79600000000001</v>
      </c>
      <c r="Z34" s="170">
        <f t="shared" si="27"/>
        <v>125</v>
      </c>
      <c r="AA34" s="407">
        <f t="shared" si="28"/>
        <v>0</v>
      </c>
      <c r="AB34" s="194"/>
    </row>
    <row r="35" spans="1:28" s="278" customFormat="1" ht="21" x14ac:dyDescent="0.25">
      <c r="A35" s="200">
        <v>202062</v>
      </c>
      <c r="B35" s="255" t="s">
        <v>18995</v>
      </c>
      <c r="C35" s="248"/>
      <c r="D35" s="247" t="s">
        <v>7</v>
      </c>
      <c r="E35" s="249">
        <f t="shared" si="15"/>
        <v>45.833150000000003</v>
      </c>
      <c r="F35" s="170">
        <f t="shared" si="15"/>
        <v>46.901062394999997</v>
      </c>
      <c r="G35" s="250">
        <v>0.55000000000000004</v>
      </c>
      <c r="H35" s="171">
        <f t="shared" si="16"/>
        <v>0.55000000000000004</v>
      </c>
      <c r="I35" s="249">
        <f t="shared" si="17"/>
        <v>0</v>
      </c>
      <c r="J35" s="170">
        <f t="shared" si="17"/>
        <v>0</v>
      </c>
      <c r="K35" s="252"/>
      <c r="L35" s="172">
        <f t="shared" si="18"/>
        <v>0</v>
      </c>
      <c r="M35" s="249">
        <f t="shared" si="19"/>
        <v>33.333199999999998</v>
      </c>
      <c r="N35" s="170">
        <f t="shared" si="20"/>
        <v>34.109863560000001</v>
      </c>
      <c r="O35" s="250">
        <v>0.4</v>
      </c>
      <c r="P35" s="172">
        <f t="shared" si="21"/>
        <v>0.4</v>
      </c>
      <c r="Q35" s="251">
        <f t="shared" si="22"/>
        <v>4.1666499999999997</v>
      </c>
      <c r="R35" s="173">
        <f t="shared" si="23"/>
        <v>4.2637329450000001</v>
      </c>
      <c r="S35" s="250">
        <v>0.05</v>
      </c>
      <c r="T35" s="171">
        <f t="shared" si="24"/>
        <v>0.05</v>
      </c>
      <c r="U35" s="256">
        <v>83.332999999999998</v>
      </c>
      <c r="V35" s="170">
        <f t="shared" si="29"/>
        <v>85.274658899999991</v>
      </c>
      <c r="W35" s="250">
        <v>0.2</v>
      </c>
      <c r="X35" s="257">
        <f>U35+U35*W35</f>
        <v>99.999600000000001</v>
      </c>
      <c r="Y35" s="170">
        <f t="shared" si="26"/>
        <v>102.32959067999998</v>
      </c>
      <c r="Z35" s="170">
        <f t="shared" si="27"/>
        <v>105</v>
      </c>
      <c r="AA35" s="407">
        <f t="shared" si="28"/>
        <v>0</v>
      </c>
      <c r="AB35" s="194"/>
    </row>
    <row r="36" spans="1:28" s="278" customFormat="1" ht="21" x14ac:dyDescent="0.25">
      <c r="A36" s="200">
        <v>202064</v>
      </c>
      <c r="B36" s="255" t="s">
        <v>18996</v>
      </c>
      <c r="C36" s="248"/>
      <c r="D36" s="247" t="s">
        <v>7</v>
      </c>
      <c r="E36" s="249">
        <f t="shared" si="15"/>
        <v>68.75</v>
      </c>
      <c r="F36" s="170">
        <f t="shared" si="15"/>
        <v>70.351875000000021</v>
      </c>
      <c r="G36" s="250">
        <v>0.55000000000000004</v>
      </c>
      <c r="H36" s="171">
        <f t="shared" si="16"/>
        <v>0.55000000000000004</v>
      </c>
      <c r="I36" s="249">
        <f t="shared" si="17"/>
        <v>0</v>
      </c>
      <c r="J36" s="170">
        <f t="shared" si="17"/>
        <v>0</v>
      </c>
      <c r="K36" s="252"/>
      <c r="L36" s="172">
        <f t="shared" si="18"/>
        <v>0</v>
      </c>
      <c r="M36" s="249">
        <f t="shared" si="19"/>
        <v>50</v>
      </c>
      <c r="N36" s="170">
        <f t="shared" si="20"/>
        <v>51.165000000000013</v>
      </c>
      <c r="O36" s="250">
        <v>0.4</v>
      </c>
      <c r="P36" s="172">
        <f t="shared" si="21"/>
        <v>0.4</v>
      </c>
      <c r="Q36" s="251">
        <f t="shared" si="22"/>
        <v>6.25</v>
      </c>
      <c r="R36" s="173">
        <f t="shared" si="23"/>
        <v>6.3956250000000017</v>
      </c>
      <c r="S36" s="250">
        <v>0.05</v>
      </c>
      <c r="T36" s="171">
        <f t="shared" si="24"/>
        <v>0.05</v>
      </c>
      <c r="U36" s="256">
        <v>125</v>
      </c>
      <c r="V36" s="170">
        <f t="shared" si="29"/>
        <v>127.91250000000002</v>
      </c>
      <c r="W36" s="250">
        <v>0.2</v>
      </c>
      <c r="X36" s="257">
        <f>U36+U36*W36</f>
        <v>150</v>
      </c>
      <c r="Y36" s="170">
        <f t="shared" si="26"/>
        <v>153.49500000000003</v>
      </c>
      <c r="Z36" s="170">
        <f t="shared" si="27"/>
        <v>155</v>
      </c>
      <c r="AA36" s="407">
        <f t="shared" si="28"/>
        <v>0</v>
      </c>
      <c r="AB36" s="194"/>
    </row>
    <row r="37" spans="1:28" s="278" customFormat="1" ht="21" x14ac:dyDescent="0.25">
      <c r="A37" s="200">
        <v>202064</v>
      </c>
      <c r="B37" s="255" t="s">
        <v>18997</v>
      </c>
      <c r="C37" s="248"/>
      <c r="D37" s="247" t="s">
        <v>7</v>
      </c>
      <c r="E37" s="249">
        <f t="shared" si="15"/>
        <v>57.2916685</v>
      </c>
      <c r="F37" s="170">
        <f t="shared" si="15"/>
        <v>58.626564376049998</v>
      </c>
      <c r="G37" s="250">
        <v>0.55000000000000004</v>
      </c>
      <c r="H37" s="171">
        <f t="shared" si="16"/>
        <v>0.55000000000000004</v>
      </c>
      <c r="I37" s="249">
        <f t="shared" si="17"/>
        <v>0</v>
      </c>
      <c r="J37" s="170">
        <f t="shared" si="17"/>
        <v>0</v>
      </c>
      <c r="K37" s="252"/>
      <c r="L37" s="172">
        <f t="shared" si="18"/>
        <v>0</v>
      </c>
      <c r="M37" s="249">
        <f t="shared" si="19"/>
        <v>41.666668000000001</v>
      </c>
      <c r="N37" s="170">
        <f t="shared" si="20"/>
        <v>42.637501364400002</v>
      </c>
      <c r="O37" s="250">
        <v>0.4</v>
      </c>
      <c r="P37" s="172">
        <f t="shared" si="21"/>
        <v>0.4</v>
      </c>
      <c r="Q37" s="251">
        <f t="shared" si="22"/>
        <v>5.2083335000000002</v>
      </c>
      <c r="R37" s="173">
        <f t="shared" si="23"/>
        <v>5.3296876705500003</v>
      </c>
      <c r="S37" s="250">
        <v>0.05</v>
      </c>
      <c r="T37" s="171">
        <f t="shared" si="24"/>
        <v>0.05</v>
      </c>
      <c r="U37" s="256">
        <v>104.16667</v>
      </c>
      <c r="V37" s="170">
        <f t="shared" si="29"/>
        <v>106.59375341099999</v>
      </c>
      <c r="W37" s="250">
        <v>0.2</v>
      </c>
      <c r="X37" s="257">
        <f>U37+U37*W37</f>
        <v>125.00000399999999</v>
      </c>
      <c r="Y37" s="170">
        <f t="shared" si="26"/>
        <v>127.91250409319998</v>
      </c>
      <c r="Z37" s="170">
        <f t="shared" si="27"/>
        <v>130</v>
      </c>
      <c r="AA37" s="407">
        <f t="shared" si="28"/>
        <v>0</v>
      </c>
      <c r="AB37" s="194"/>
    </row>
    <row r="38" spans="1:28" s="278" customFormat="1" x14ac:dyDescent="0.25">
      <c r="A38" s="200">
        <v>202066</v>
      </c>
      <c r="B38" s="313" t="s">
        <v>14490</v>
      </c>
      <c r="C38" s="248"/>
      <c r="D38" s="247" t="s">
        <v>7</v>
      </c>
      <c r="E38" s="249">
        <f t="shared" si="15"/>
        <v>18.333333333333336</v>
      </c>
      <c r="F38" s="170">
        <f t="shared" si="15"/>
        <v>18.760500000000004</v>
      </c>
      <c r="G38" s="250">
        <v>0.55000000000000004</v>
      </c>
      <c r="H38" s="171">
        <f t="shared" si="16"/>
        <v>0.55000000000000004</v>
      </c>
      <c r="I38" s="249">
        <f t="shared" si="17"/>
        <v>0</v>
      </c>
      <c r="J38" s="170">
        <f t="shared" si="17"/>
        <v>0</v>
      </c>
      <c r="K38" s="252"/>
      <c r="L38" s="172">
        <f t="shared" si="18"/>
        <v>0</v>
      </c>
      <c r="M38" s="249">
        <f t="shared" si="19"/>
        <v>13.333333333333336</v>
      </c>
      <c r="N38" s="170">
        <f t="shared" si="20"/>
        <v>13.644000000000004</v>
      </c>
      <c r="O38" s="250">
        <v>0.4</v>
      </c>
      <c r="P38" s="172">
        <f t="shared" si="21"/>
        <v>0.4</v>
      </c>
      <c r="Q38" s="251">
        <f t="shared" si="22"/>
        <v>1.666666666666667</v>
      </c>
      <c r="R38" s="173">
        <f t="shared" si="23"/>
        <v>1.7055000000000005</v>
      </c>
      <c r="S38" s="250">
        <v>0.05</v>
      </c>
      <c r="T38" s="171">
        <f t="shared" si="24"/>
        <v>0.05</v>
      </c>
      <c r="U38" s="256">
        <f>40/1.2</f>
        <v>33.333333333333336</v>
      </c>
      <c r="V38" s="170">
        <f t="shared" si="29"/>
        <v>34.110000000000007</v>
      </c>
      <c r="W38" s="250">
        <v>0.2</v>
      </c>
      <c r="X38" s="257">
        <v>40</v>
      </c>
      <c r="Y38" s="170">
        <f t="shared" si="26"/>
        <v>40.932000000000009</v>
      </c>
      <c r="Z38" s="170">
        <f t="shared" si="27"/>
        <v>41</v>
      </c>
      <c r="AA38" s="407">
        <f t="shared" si="28"/>
        <v>0</v>
      </c>
      <c r="AB38" s="194"/>
    </row>
    <row r="39" spans="1:28" s="278" customFormat="1" x14ac:dyDescent="0.25">
      <c r="A39" s="200">
        <v>202066</v>
      </c>
      <c r="B39" s="313" t="s">
        <v>14491</v>
      </c>
      <c r="C39" s="248"/>
      <c r="D39" s="247" t="s">
        <v>7</v>
      </c>
      <c r="E39" s="249">
        <f t="shared" si="15"/>
        <v>16.5</v>
      </c>
      <c r="F39" s="170">
        <f t="shared" si="15"/>
        <v>16.884450000000001</v>
      </c>
      <c r="G39" s="250">
        <v>0.55000000000000004</v>
      </c>
      <c r="H39" s="171">
        <f t="shared" si="16"/>
        <v>0.55000000000000004</v>
      </c>
      <c r="I39" s="249">
        <f t="shared" si="17"/>
        <v>0</v>
      </c>
      <c r="J39" s="170">
        <f t="shared" si="17"/>
        <v>0</v>
      </c>
      <c r="K39" s="252"/>
      <c r="L39" s="172">
        <f t="shared" si="18"/>
        <v>0</v>
      </c>
      <c r="M39" s="249">
        <f t="shared" si="19"/>
        <v>12</v>
      </c>
      <c r="N39" s="170">
        <f t="shared" si="20"/>
        <v>12.279600000000002</v>
      </c>
      <c r="O39" s="250">
        <v>0.4</v>
      </c>
      <c r="P39" s="172">
        <f t="shared" si="21"/>
        <v>0.4</v>
      </c>
      <c r="Q39" s="251">
        <f t="shared" si="22"/>
        <v>1.5</v>
      </c>
      <c r="R39" s="173">
        <f t="shared" si="23"/>
        <v>1.5349500000000003</v>
      </c>
      <c r="S39" s="250">
        <v>0.05</v>
      </c>
      <c r="T39" s="171">
        <f t="shared" si="24"/>
        <v>0.05</v>
      </c>
      <c r="U39" s="256">
        <v>30</v>
      </c>
      <c r="V39" s="170">
        <f t="shared" si="29"/>
        <v>30.699000000000002</v>
      </c>
      <c r="W39" s="250">
        <v>0.2</v>
      </c>
      <c r="X39" s="257">
        <f>U39+U39*W39</f>
        <v>36</v>
      </c>
      <c r="Y39" s="170">
        <f t="shared" si="26"/>
        <v>36.838799999999999</v>
      </c>
      <c r="Z39" s="170">
        <f t="shared" si="27"/>
        <v>37</v>
      </c>
      <c r="AA39" s="407">
        <f t="shared" si="28"/>
        <v>0</v>
      </c>
      <c r="AB39" s="194"/>
    </row>
    <row r="40" spans="1:28" s="278" customFormat="1" ht="21" x14ac:dyDescent="0.25">
      <c r="A40" s="200">
        <v>202068</v>
      </c>
      <c r="B40" s="255" t="s">
        <v>18998</v>
      </c>
      <c r="C40" s="248"/>
      <c r="D40" s="247" t="s">
        <v>7</v>
      </c>
      <c r="E40" s="249">
        <f t="shared" si="15"/>
        <v>0</v>
      </c>
      <c r="F40" s="170">
        <f t="shared" si="15"/>
        <v>23.51079</v>
      </c>
      <c r="G40" s="250">
        <v>0.51300000000000001</v>
      </c>
      <c r="H40" s="171">
        <f t="shared" si="16"/>
        <v>0.51300000000000001</v>
      </c>
      <c r="I40" s="249">
        <f t="shared" si="17"/>
        <v>0</v>
      </c>
      <c r="J40" s="170">
        <f t="shared" si="17"/>
        <v>0</v>
      </c>
      <c r="K40" s="252"/>
      <c r="L40" s="172">
        <f t="shared" si="18"/>
        <v>0</v>
      </c>
      <c r="M40" s="249">
        <f t="shared" si="19"/>
        <v>0</v>
      </c>
      <c r="N40" s="170">
        <f t="shared" si="20"/>
        <v>22.319209999999998</v>
      </c>
      <c r="O40" s="250">
        <v>0.48699999999999999</v>
      </c>
      <c r="P40" s="172">
        <f t="shared" si="21"/>
        <v>0.48699999999999999</v>
      </c>
      <c r="Q40" s="251">
        <f t="shared" si="22"/>
        <v>0</v>
      </c>
      <c r="R40" s="173">
        <f t="shared" si="23"/>
        <v>0</v>
      </c>
      <c r="S40" s="250"/>
      <c r="T40" s="171">
        <f t="shared" si="24"/>
        <v>0</v>
      </c>
      <c r="U40" s="256"/>
      <c r="V40" s="170">
        <v>45.83</v>
      </c>
      <c r="W40" s="250">
        <v>0.2</v>
      </c>
      <c r="X40" s="257">
        <f>U40+U40*W40</f>
        <v>0</v>
      </c>
      <c r="Y40" s="170">
        <f t="shared" si="26"/>
        <v>54.995999999999995</v>
      </c>
      <c r="Z40" s="170">
        <f t="shared" si="27"/>
        <v>55</v>
      </c>
      <c r="AA40" s="407">
        <f t="shared" si="28"/>
        <v>0</v>
      </c>
      <c r="AB40" s="194"/>
    </row>
    <row r="41" spans="1:28" s="278" customFormat="1" ht="21" x14ac:dyDescent="0.25">
      <c r="A41" s="200">
        <v>202068</v>
      </c>
      <c r="B41" s="255" t="s">
        <v>18999</v>
      </c>
      <c r="C41" s="248"/>
      <c r="D41" s="247" t="s">
        <v>7</v>
      </c>
      <c r="E41" s="249">
        <f t="shared" si="15"/>
        <v>0</v>
      </c>
      <c r="F41" s="170">
        <f t="shared" si="15"/>
        <v>17.098289999999999</v>
      </c>
      <c r="G41" s="250">
        <v>0.51300000000000001</v>
      </c>
      <c r="H41" s="171">
        <f t="shared" si="16"/>
        <v>0.51300000000000001</v>
      </c>
      <c r="I41" s="249">
        <f t="shared" si="17"/>
        <v>0</v>
      </c>
      <c r="J41" s="170">
        <f t="shared" si="17"/>
        <v>0</v>
      </c>
      <c r="K41" s="252"/>
      <c r="L41" s="172">
        <f t="shared" si="18"/>
        <v>0</v>
      </c>
      <c r="M41" s="249">
        <f t="shared" si="19"/>
        <v>0</v>
      </c>
      <c r="N41" s="170">
        <f t="shared" si="20"/>
        <v>16.23171</v>
      </c>
      <c r="O41" s="250">
        <v>0.48699999999999999</v>
      </c>
      <c r="P41" s="172">
        <f t="shared" si="21"/>
        <v>0.48699999999999999</v>
      </c>
      <c r="Q41" s="251">
        <f t="shared" si="22"/>
        <v>0</v>
      </c>
      <c r="R41" s="173">
        <f t="shared" si="23"/>
        <v>0</v>
      </c>
      <c r="S41" s="250"/>
      <c r="T41" s="171">
        <f t="shared" si="24"/>
        <v>0</v>
      </c>
      <c r="U41" s="256"/>
      <c r="V41" s="170">
        <v>33.33</v>
      </c>
      <c r="W41" s="250">
        <v>0.2</v>
      </c>
      <c r="X41" s="257">
        <f>U41+U41*W41</f>
        <v>0</v>
      </c>
      <c r="Y41" s="170">
        <f t="shared" si="26"/>
        <v>39.995999999999995</v>
      </c>
      <c r="Z41" s="170">
        <f t="shared" si="27"/>
        <v>40</v>
      </c>
      <c r="AA41" s="407">
        <f t="shared" si="28"/>
        <v>0</v>
      </c>
      <c r="AB41" s="194"/>
    </row>
    <row r="42" spans="1:28" s="278" customFormat="1" ht="21" x14ac:dyDescent="0.25">
      <c r="A42" s="200">
        <v>202125</v>
      </c>
      <c r="B42" s="255" t="s">
        <v>14492</v>
      </c>
      <c r="C42" s="248"/>
      <c r="D42" s="247" t="s">
        <v>2</v>
      </c>
      <c r="E42" s="249">
        <f t="shared" si="15"/>
        <v>14.2302</v>
      </c>
      <c r="F42" s="170">
        <f t="shared" si="15"/>
        <v>14.568309552000001</v>
      </c>
      <c r="G42" s="250">
        <v>0.74</v>
      </c>
      <c r="H42" s="171">
        <f t="shared" si="16"/>
        <v>0.74</v>
      </c>
      <c r="I42" s="249">
        <f t="shared" si="17"/>
        <v>0</v>
      </c>
      <c r="J42" s="170">
        <f t="shared" si="17"/>
        <v>0</v>
      </c>
      <c r="K42" s="252"/>
      <c r="L42" s="172">
        <f t="shared" si="18"/>
        <v>0</v>
      </c>
      <c r="M42" s="249">
        <f t="shared" si="19"/>
        <v>4.9998000000000005</v>
      </c>
      <c r="N42" s="170">
        <f t="shared" si="20"/>
        <v>5.1185952480000001</v>
      </c>
      <c r="O42" s="250">
        <v>0.26</v>
      </c>
      <c r="P42" s="172">
        <f t="shared" si="21"/>
        <v>0.26</v>
      </c>
      <c r="Q42" s="251">
        <f t="shared" si="22"/>
        <v>0</v>
      </c>
      <c r="R42" s="173">
        <f t="shared" si="23"/>
        <v>0</v>
      </c>
      <c r="S42" s="252"/>
      <c r="T42" s="171">
        <f t="shared" si="24"/>
        <v>0</v>
      </c>
      <c r="U42" s="256">
        <v>19.23</v>
      </c>
      <c r="V42" s="170">
        <f t="shared" ref="V42:V48" si="30">SUM(E42*1.0235,I42*1.0175,M42*1.0245,Q42*1.0115)</f>
        <v>19.686904800000001</v>
      </c>
      <c r="W42" s="250">
        <v>0.3</v>
      </c>
      <c r="X42" s="257">
        <f>U42+U42*W42</f>
        <v>24.999000000000002</v>
      </c>
      <c r="Y42" s="170">
        <f t="shared" si="26"/>
        <v>25.592976240000002</v>
      </c>
      <c r="Z42" s="170">
        <f t="shared" si="27"/>
        <v>26</v>
      </c>
      <c r="AA42" s="407">
        <f t="shared" si="28"/>
        <v>0</v>
      </c>
      <c r="AB42" s="194"/>
    </row>
    <row r="43" spans="1:28" s="278" customFormat="1" x14ac:dyDescent="0.25">
      <c r="A43" s="200">
        <v>202125</v>
      </c>
      <c r="B43" s="313" t="s">
        <v>14493</v>
      </c>
      <c r="C43" s="248"/>
      <c r="D43" s="247" t="s">
        <v>2</v>
      </c>
      <c r="E43" s="249">
        <f t="shared" si="15"/>
        <v>11.384615384615383</v>
      </c>
      <c r="F43" s="170">
        <f t="shared" si="15"/>
        <v>11.655113846153846</v>
      </c>
      <c r="G43" s="250">
        <v>0.74</v>
      </c>
      <c r="H43" s="171">
        <f t="shared" si="16"/>
        <v>0.74</v>
      </c>
      <c r="I43" s="249">
        <f t="shared" si="17"/>
        <v>0</v>
      </c>
      <c r="J43" s="170">
        <f t="shared" si="17"/>
        <v>0</v>
      </c>
      <c r="K43" s="252"/>
      <c r="L43" s="172">
        <f t="shared" si="18"/>
        <v>0</v>
      </c>
      <c r="M43" s="249">
        <f t="shared" si="19"/>
        <v>4</v>
      </c>
      <c r="N43" s="170">
        <f t="shared" si="20"/>
        <v>4.09504</v>
      </c>
      <c r="O43" s="250">
        <v>0.26</v>
      </c>
      <c r="P43" s="172">
        <f t="shared" si="21"/>
        <v>0.26</v>
      </c>
      <c r="Q43" s="251">
        <f t="shared" si="22"/>
        <v>0</v>
      </c>
      <c r="R43" s="173">
        <f t="shared" si="23"/>
        <v>0</v>
      </c>
      <c r="S43" s="252"/>
      <c r="T43" s="171">
        <f t="shared" si="24"/>
        <v>0</v>
      </c>
      <c r="U43" s="256">
        <f>20/1.3</f>
        <v>15.384615384615383</v>
      </c>
      <c r="V43" s="170">
        <f t="shared" si="30"/>
        <v>15.750153846153847</v>
      </c>
      <c r="W43" s="250">
        <v>0.3</v>
      </c>
      <c r="X43" s="257">
        <v>20</v>
      </c>
      <c r="Y43" s="170">
        <f t="shared" si="26"/>
        <v>20.475200000000001</v>
      </c>
      <c r="Z43" s="170">
        <f t="shared" si="27"/>
        <v>21</v>
      </c>
      <c r="AA43" s="407">
        <f t="shared" si="28"/>
        <v>0</v>
      </c>
      <c r="AB43" s="194"/>
    </row>
    <row r="44" spans="1:28" s="278" customFormat="1" x14ac:dyDescent="0.25">
      <c r="A44" s="200">
        <v>202130</v>
      </c>
      <c r="B44" s="313" t="s">
        <v>14494</v>
      </c>
      <c r="C44" s="248"/>
      <c r="D44" s="247" t="s">
        <v>2</v>
      </c>
      <c r="E44" s="249">
        <f t="shared" si="15"/>
        <v>9.8089999999999993</v>
      </c>
      <c r="F44" s="170">
        <f t="shared" si="15"/>
        <v>10.040982849999999</v>
      </c>
      <c r="G44" s="250">
        <v>0.85</v>
      </c>
      <c r="H44" s="171">
        <f t="shared" si="16"/>
        <v>0.85</v>
      </c>
      <c r="I44" s="249">
        <f t="shared" si="17"/>
        <v>0</v>
      </c>
      <c r="J44" s="170">
        <f t="shared" si="17"/>
        <v>0</v>
      </c>
      <c r="K44" s="252"/>
      <c r="L44" s="172">
        <f t="shared" si="18"/>
        <v>0</v>
      </c>
      <c r="M44" s="249">
        <f t="shared" si="19"/>
        <v>1.7309999999999999</v>
      </c>
      <c r="N44" s="170">
        <f t="shared" si="20"/>
        <v>1.7719381499999998</v>
      </c>
      <c r="O44" s="250">
        <v>0.15</v>
      </c>
      <c r="P44" s="172">
        <f t="shared" si="21"/>
        <v>0.15</v>
      </c>
      <c r="Q44" s="251">
        <f t="shared" si="22"/>
        <v>0</v>
      </c>
      <c r="R44" s="173">
        <f t="shared" si="23"/>
        <v>0</v>
      </c>
      <c r="S44" s="252"/>
      <c r="T44" s="171">
        <f t="shared" si="24"/>
        <v>0</v>
      </c>
      <c r="U44" s="256">
        <v>11.54</v>
      </c>
      <c r="V44" s="170">
        <f t="shared" si="30"/>
        <v>11.812920999999999</v>
      </c>
      <c r="W44" s="250">
        <v>0.3</v>
      </c>
      <c r="X44" s="257">
        <f t="shared" ref="X44:X52" si="31">U44+U44*W44</f>
        <v>15.001999999999999</v>
      </c>
      <c r="Y44" s="170">
        <f t="shared" si="26"/>
        <v>15.3567973</v>
      </c>
      <c r="Z44" s="170">
        <f t="shared" si="27"/>
        <v>16</v>
      </c>
      <c r="AA44" s="407">
        <f t="shared" si="28"/>
        <v>0</v>
      </c>
      <c r="AB44" s="194"/>
    </row>
    <row r="45" spans="1:28" s="278" customFormat="1" ht="14.4" thickBot="1" x14ac:dyDescent="0.3">
      <c r="A45" s="263">
        <v>202135</v>
      </c>
      <c r="B45" s="321" t="s">
        <v>19000</v>
      </c>
      <c r="C45" s="265"/>
      <c r="D45" s="264" t="s">
        <v>2</v>
      </c>
      <c r="E45" s="266">
        <f t="shared" si="15"/>
        <v>0.45450000000000002</v>
      </c>
      <c r="F45" s="174">
        <f t="shared" si="15"/>
        <v>0.46088572500000008</v>
      </c>
      <c r="G45" s="267">
        <v>0.05</v>
      </c>
      <c r="H45" s="268">
        <f t="shared" si="16"/>
        <v>0.05</v>
      </c>
      <c r="I45" s="266">
        <f t="shared" si="17"/>
        <v>0</v>
      </c>
      <c r="J45" s="174">
        <f t="shared" si="17"/>
        <v>0</v>
      </c>
      <c r="K45" s="408"/>
      <c r="L45" s="269">
        <f t="shared" si="18"/>
        <v>0</v>
      </c>
      <c r="M45" s="266">
        <f t="shared" si="19"/>
        <v>1.3634999999999999</v>
      </c>
      <c r="N45" s="174">
        <f t="shared" si="20"/>
        <v>1.3826571750000001</v>
      </c>
      <c r="O45" s="267">
        <v>0.15</v>
      </c>
      <c r="P45" s="269">
        <f t="shared" si="21"/>
        <v>0.15</v>
      </c>
      <c r="Q45" s="270">
        <f t="shared" si="22"/>
        <v>7.2720000000000002</v>
      </c>
      <c r="R45" s="271">
        <f t="shared" si="23"/>
        <v>7.3741716000000013</v>
      </c>
      <c r="S45" s="267">
        <v>0.8</v>
      </c>
      <c r="T45" s="268">
        <f t="shared" si="24"/>
        <v>0.8</v>
      </c>
      <c r="U45" s="409">
        <v>9.09</v>
      </c>
      <c r="V45" s="174">
        <f t="shared" si="30"/>
        <v>9.2177145000000014</v>
      </c>
      <c r="W45" s="267">
        <v>0.1</v>
      </c>
      <c r="X45" s="274">
        <f t="shared" si="31"/>
        <v>9.9990000000000006</v>
      </c>
      <c r="Y45" s="174">
        <f t="shared" si="26"/>
        <v>10.139485950000003</v>
      </c>
      <c r="Z45" s="174">
        <f t="shared" si="27"/>
        <v>11</v>
      </c>
      <c r="AA45" s="410">
        <f t="shared" si="28"/>
        <v>0</v>
      </c>
      <c r="AB45" s="194"/>
    </row>
    <row r="46" spans="1:28" s="278" customFormat="1" x14ac:dyDescent="0.25">
      <c r="A46" s="200">
        <v>202140</v>
      </c>
      <c r="B46" s="313" t="s">
        <v>8</v>
      </c>
      <c r="C46" s="248"/>
      <c r="D46" s="247" t="s">
        <v>2</v>
      </c>
      <c r="E46" s="249">
        <f t="shared" si="15"/>
        <v>8.125</v>
      </c>
      <c r="F46" s="170">
        <f t="shared" si="15"/>
        <v>8.3135000000000012</v>
      </c>
      <c r="G46" s="250">
        <v>0.65</v>
      </c>
      <c r="H46" s="171">
        <f t="shared" si="16"/>
        <v>0.65</v>
      </c>
      <c r="I46" s="249">
        <f t="shared" si="17"/>
        <v>0</v>
      </c>
      <c r="J46" s="170">
        <f t="shared" si="17"/>
        <v>0</v>
      </c>
      <c r="K46" s="252"/>
      <c r="L46" s="172">
        <f t="shared" si="18"/>
        <v>0</v>
      </c>
      <c r="M46" s="249">
        <f t="shared" si="19"/>
        <v>3.75</v>
      </c>
      <c r="N46" s="170">
        <f t="shared" si="20"/>
        <v>3.8370000000000002</v>
      </c>
      <c r="O46" s="250">
        <v>0.3</v>
      </c>
      <c r="P46" s="172">
        <f t="shared" si="21"/>
        <v>0.3</v>
      </c>
      <c r="Q46" s="251">
        <f t="shared" si="22"/>
        <v>0.625</v>
      </c>
      <c r="R46" s="173">
        <f t="shared" si="23"/>
        <v>0.63950000000000007</v>
      </c>
      <c r="S46" s="250">
        <v>0.05</v>
      </c>
      <c r="T46" s="171">
        <f t="shared" si="24"/>
        <v>0.05</v>
      </c>
      <c r="U46" s="256">
        <v>12.5</v>
      </c>
      <c r="V46" s="170">
        <f t="shared" si="30"/>
        <v>12.790000000000001</v>
      </c>
      <c r="W46" s="250">
        <v>0.2</v>
      </c>
      <c r="X46" s="257">
        <f t="shared" si="31"/>
        <v>15</v>
      </c>
      <c r="Y46" s="170">
        <f t="shared" si="26"/>
        <v>15.348000000000001</v>
      </c>
      <c r="Z46" s="170">
        <f t="shared" si="27"/>
        <v>16</v>
      </c>
      <c r="AA46" s="407">
        <f t="shared" si="28"/>
        <v>0</v>
      </c>
      <c r="AB46" s="194"/>
    </row>
    <row r="47" spans="1:28" s="278" customFormat="1" x14ac:dyDescent="0.25">
      <c r="A47" s="200">
        <v>202145</v>
      </c>
      <c r="B47" s="313" t="s">
        <v>19001</v>
      </c>
      <c r="C47" s="248"/>
      <c r="D47" s="247" t="s">
        <v>2</v>
      </c>
      <c r="E47" s="249">
        <f t="shared" si="15"/>
        <v>6.4189999999999996</v>
      </c>
      <c r="F47" s="170">
        <f t="shared" si="15"/>
        <v>6.5675998499999997</v>
      </c>
      <c r="G47" s="250">
        <v>0.7</v>
      </c>
      <c r="H47" s="171">
        <f t="shared" si="16"/>
        <v>0.7</v>
      </c>
      <c r="I47" s="249">
        <f t="shared" si="17"/>
        <v>0</v>
      </c>
      <c r="J47" s="170">
        <f t="shared" si="17"/>
        <v>0</v>
      </c>
      <c r="K47" s="252"/>
      <c r="L47" s="172">
        <f t="shared" si="18"/>
        <v>0</v>
      </c>
      <c r="M47" s="249">
        <f t="shared" si="19"/>
        <v>2.2925</v>
      </c>
      <c r="N47" s="170">
        <f t="shared" si="20"/>
        <v>2.345571375</v>
      </c>
      <c r="O47" s="250">
        <v>0.25</v>
      </c>
      <c r="P47" s="172">
        <f t="shared" si="21"/>
        <v>0.25</v>
      </c>
      <c r="Q47" s="251">
        <f t="shared" si="22"/>
        <v>0.45850000000000002</v>
      </c>
      <c r="R47" s="173">
        <f t="shared" si="23"/>
        <v>0.46911427500000002</v>
      </c>
      <c r="S47" s="250">
        <v>0.05</v>
      </c>
      <c r="T47" s="171">
        <f t="shared" si="24"/>
        <v>0.05</v>
      </c>
      <c r="U47" s="256">
        <v>9.17</v>
      </c>
      <c r="V47" s="170">
        <f t="shared" si="30"/>
        <v>9.3822855000000001</v>
      </c>
      <c r="W47" s="250">
        <v>0.2</v>
      </c>
      <c r="X47" s="257">
        <f t="shared" si="31"/>
        <v>11.004</v>
      </c>
      <c r="Y47" s="170">
        <f t="shared" si="26"/>
        <v>11.2587426</v>
      </c>
      <c r="Z47" s="170">
        <f t="shared" si="27"/>
        <v>12</v>
      </c>
      <c r="AA47" s="407">
        <f t="shared" si="28"/>
        <v>0</v>
      </c>
      <c r="AB47" s="194"/>
    </row>
    <row r="48" spans="1:28" s="278" customFormat="1" x14ac:dyDescent="0.25">
      <c r="A48" s="200">
        <v>202145</v>
      </c>
      <c r="B48" s="313" t="s">
        <v>16047</v>
      </c>
      <c r="C48" s="248"/>
      <c r="D48" s="247" t="s">
        <v>2</v>
      </c>
      <c r="E48" s="249">
        <f t="shared" si="15"/>
        <v>5.8333099999999991</v>
      </c>
      <c r="F48" s="170">
        <f t="shared" si="15"/>
        <v>5.9683511264999982</v>
      </c>
      <c r="G48" s="250">
        <v>0.7</v>
      </c>
      <c r="H48" s="171">
        <f t="shared" si="16"/>
        <v>0.7</v>
      </c>
      <c r="I48" s="249">
        <f t="shared" si="17"/>
        <v>0</v>
      </c>
      <c r="J48" s="170">
        <f t="shared" si="17"/>
        <v>0</v>
      </c>
      <c r="K48" s="252"/>
      <c r="L48" s="172">
        <f t="shared" si="18"/>
        <v>0</v>
      </c>
      <c r="M48" s="249">
        <f t="shared" si="19"/>
        <v>2.0833249999999999</v>
      </c>
      <c r="N48" s="170">
        <f t="shared" si="20"/>
        <v>2.1315539737499996</v>
      </c>
      <c r="O48" s="250">
        <v>0.25</v>
      </c>
      <c r="P48" s="172">
        <f t="shared" si="21"/>
        <v>0.25</v>
      </c>
      <c r="Q48" s="251">
        <f t="shared" si="22"/>
        <v>0.41666500000000001</v>
      </c>
      <c r="R48" s="173">
        <f t="shared" si="23"/>
        <v>0.42631079474999994</v>
      </c>
      <c r="S48" s="250">
        <v>0.05</v>
      </c>
      <c r="T48" s="171">
        <f t="shared" si="24"/>
        <v>0.05</v>
      </c>
      <c r="U48" s="256">
        <v>8.3332999999999995</v>
      </c>
      <c r="V48" s="170">
        <f t="shared" si="30"/>
        <v>8.5262158949999982</v>
      </c>
      <c r="W48" s="250">
        <v>0.2</v>
      </c>
      <c r="X48" s="257">
        <f t="shared" si="31"/>
        <v>9.9999599999999997</v>
      </c>
      <c r="Y48" s="170">
        <f t="shared" si="26"/>
        <v>10.231459073999998</v>
      </c>
      <c r="Z48" s="170">
        <f t="shared" si="27"/>
        <v>11</v>
      </c>
      <c r="AA48" s="407">
        <f t="shared" si="28"/>
        <v>0</v>
      </c>
      <c r="AB48" s="194"/>
    </row>
    <row r="49" spans="1:28" s="278" customFormat="1" x14ac:dyDescent="0.25">
      <c r="A49" s="200">
        <v>202150</v>
      </c>
      <c r="B49" s="313" t="s">
        <v>16048</v>
      </c>
      <c r="C49" s="248"/>
      <c r="D49" s="247" t="s">
        <v>2</v>
      </c>
      <c r="E49" s="249">
        <f t="shared" si="15"/>
        <v>0</v>
      </c>
      <c r="F49" s="170">
        <f t="shared" si="15"/>
        <v>17.5</v>
      </c>
      <c r="G49" s="250">
        <v>0.7</v>
      </c>
      <c r="H49" s="171">
        <f t="shared" si="16"/>
        <v>0.7</v>
      </c>
      <c r="I49" s="249">
        <f t="shared" si="17"/>
        <v>0</v>
      </c>
      <c r="J49" s="170">
        <f t="shared" si="17"/>
        <v>0</v>
      </c>
      <c r="K49" s="252"/>
      <c r="L49" s="172">
        <f t="shared" si="18"/>
        <v>0</v>
      </c>
      <c r="M49" s="249">
        <f t="shared" si="19"/>
        <v>0</v>
      </c>
      <c r="N49" s="170">
        <f t="shared" si="20"/>
        <v>6.25</v>
      </c>
      <c r="O49" s="250">
        <v>0.25</v>
      </c>
      <c r="P49" s="172">
        <f t="shared" si="21"/>
        <v>0.25</v>
      </c>
      <c r="Q49" s="251">
        <f t="shared" si="22"/>
        <v>0</v>
      </c>
      <c r="R49" s="173">
        <f t="shared" si="23"/>
        <v>1.25</v>
      </c>
      <c r="S49" s="250">
        <v>0.05</v>
      </c>
      <c r="T49" s="171">
        <f t="shared" si="24"/>
        <v>0.05</v>
      </c>
      <c r="U49" s="256"/>
      <c r="V49" s="170">
        <v>25</v>
      </c>
      <c r="W49" s="250">
        <v>0.2</v>
      </c>
      <c r="X49" s="257">
        <f t="shared" si="31"/>
        <v>0</v>
      </c>
      <c r="Y49" s="170">
        <f t="shared" si="26"/>
        <v>30</v>
      </c>
      <c r="Z49" s="170">
        <f t="shared" si="27"/>
        <v>30</v>
      </c>
      <c r="AA49" s="407">
        <f t="shared" si="28"/>
        <v>0</v>
      </c>
      <c r="AB49" s="194"/>
    </row>
    <row r="50" spans="1:28" s="278" customFormat="1" x14ac:dyDescent="0.25">
      <c r="A50" s="200">
        <v>202150</v>
      </c>
      <c r="B50" s="313" t="s">
        <v>16049</v>
      </c>
      <c r="C50" s="248"/>
      <c r="D50" s="247" t="s">
        <v>2</v>
      </c>
      <c r="E50" s="249">
        <f t="shared" si="15"/>
        <v>0</v>
      </c>
      <c r="F50" s="170">
        <f t="shared" si="15"/>
        <v>15.749999999999998</v>
      </c>
      <c r="G50" s="250">
        <v>0.7</v>
      </c>
      <c r="H50" s="171">
        <f t="shared" si="16"/>
        <v>0.7</v>
      </c>
      <c r="I50" s="249">
        <f t="shared" si="17"/>
        <v>0</v>
      </c>
      <c r="J50" s="170">
        <f t="shared" si="17"/>
        <v>0</v>
      </c>
      <c r="K50" s="252"/>
      <c r="L50" s="172">
        <f t="shared" si="18"/>
        <v>0</v>
      </c>
      <c r="M50" s="249">
        <f t="shared" si="19"/>
        <v>0</v>
      </c>
      <c r="N50" s="170">
        <f t="shared" si="20"/>
        <v>5.625</v>
      </c>
      <c r="O50" s="250">
        <v>0.25</v>
      </c>
      <c r="P50" s="172">
        <f t="shared" si="21"/>
        <v>0.25</v>
      </c>
      <c r="Q50" s="251">
        <f t="shared" si="22"/>
        <v>0</v>
      </c>
      <c r="R50" s="173">
        <f t="shared" si="23"/>
        <v>1.125</v>
      </c>
      <c r="S50" s="250">
        <v>0.05</v>
      </c>
      <c r="T50" s="171">
        <f t="shared" si="24"/>
        <v>0.05</v>
      </c>
      <c r="U50" s="256"/>
      <c r="V50" s="170">
        <v>22.5</v>
      </c>
      <c r="W50" s="250">
        <v>0.2</v>
      </c>
      <c r="X50" s="257">
        <f t="shared" si="31"/>
        <v>0</v>
      </c>
      <c r="Y50" s="170">
        <f t="shared" si="26"/>
        <v>27</v>
      </c>
      <c r="Z50" s="170">
        <f t="shared" si="27"/>
        <v>27</v>
      </c>
      <c r="AA50" s="407">
        <f t="shared" si="28"/>
        <v>0</v>
      </c>
      <c r="AB50" s="194"/>
    </row>
    <row r="51" spans="1:28" s="278" customFormat="1" x14ac:dyDescent="0.25">
      <c r="A51" s="200">
        <v>202150</v>
      </c>
      <c r="B51" s="313" t="s">
        <v>16050</v>
      </c>
      <c r="C51" s="248"/>
      <c r="D51" s="247" t="s">
        <v>2</v>
      </c>
      <c r="E51" s="249">
        <f t="shared" si="15"/>
        <v>0</v>
      </c>
      <c r="F51" s="170">
        <f t="shared" si="15"/>
        <v>14.580999999999998</v>
      </c>
      <c r="G51" s="250">
        <v>0.7</v>
      </c>
      <c r="H51" s="171">
        <f t="shared" si="16"/>
        <v>0.7</v>
      </c>
      <c r="I51" s="249">
        <f t="shared" si="17"/>
        <v>0</v>
      </c>
      <c r="J51" s="170">
        <f t="shared" si="17"/>
        <v>0</v>
      </c>
      <c r="K51" s="252"/>
      <c r="L51" s="172">
        <f t="shared" si="18"/>
        <v>0</v>
      </c>
      <c r="M51" s="249">
        <f t="shared" si="19"/>
        <v>0</v>
      </c>
      <c r="N51" s="170">
        <f t="shared" si="20"/>
        <v>5.2074999999999996</v>
      </c>
      <c r="O51" s="250">
        <v>0.25</v>
      </c>
      <c r="P51" s="172">
        <f t="shared" si="21"/>
        <v>0.25</v>
      </c>
      <c r="Q51" s="251">
        <f t="shared" si="22"/>
        <v>0</v>
      </c>
      <c r="R51" s="173">
        <f t="shared" si="23"/>
        <v>1.0414999999999999</v>
      </c>
      <c r="S51" s="250">
        <v>0.05</v>
      </c>
      <c r="T51" s="171">
        <f t="shared" si="24"/>
        <v>0.05</v>
      </c>
      <c r="U51" s="256"/>
      <c r="V51" s="170">
        <v>20.83</v>
      </c>
      <c r="W51" s="250">
        <v>0.2</v>
      </c>
      <c r="X51" s="257">
        <f t="shared" si="31"/>
        <v>0</v>
      </c>
      <c r="Y51" s="170">
        <f t="shared" si="26"/>
        <v>24.995999999999999</v>
      </c>
      <c r="Z51" s="170">
        <f t="shared" si="27"/>
        <v>25</v>
      </c>
      <c r="AA51" s="407">
        <f t="shared" si="28"/>
        <v>0</v>
      </c>
      <c r="AB51" s="194"/>
    </row>
    <row r="52" spans="1:28" s="278" customFormat="1" x14ac:dyDescent="0.25">
      <c r="A52" s="200">
        <v>202155</v>
      </c>
      <c r="B52" s="313" t="s">
        <v>19002</v>
      </c>
      <c r="C52" s="248"/>
      <c r="D52" s="247" t="s">
        <v>2</v>
      </c>
      <c r="E52" s="249">
        <f t="shared" si="15"/>
        <v>9.2104999999999997</v>
      </c>
      <c r="F52" s="170">
        <f t="shared" si="15"/>
        <v>9.424183600000001</v>
      </c>
      <c r="G52" s="250">
        <v>0.65</v>
      </c>
      <c r="H52" s="171">
        <f t="shared" si="16"/>
        <v>0.65</v>
      </c>
      <c r="I52" s="249">
        <f t="shared" si="17"/>
        <v>0</v>
      </c>
      <c r="J52" s="170">
        <f t="shared" si="17"/>
        <v>0</v>
      </c>
      <c r="K52" s="252"/>
      <c r="L52" s="172">
        <f t="shared" si="18"/>
        <v>0</v>
      </c>
      <c r="M52" s="249">
        <f t="shared" si="19"/>
        <v>4.2509999999999994</v>
      </c>
      <c r="N52" s="170">
        <f t="shared" si="20"/>
        <v>4.3496231999999999</v>
      </c>
      <c r="O52" s="250">
        <v>0.3</v>
      </c>
      <c r="P52" s="172">
        <f t="shared" si="21"/>
        <v>0.3</v>
      </c>
      <c r="Q52" s="251">
        <f t="shared" si="22"/>
        <v>0.70850000000000002</v>
      </c>
      <c r="R52" s="173">
        <f t="shared" si="23"/>
        <v>0.72493720000000006</v>
      </c>
      <c r="S52" s="250">
        <v>0.05</v>
      </c>
      <c r="T52" s="171">
        <f t="shared" si="24"/>
        <v>0.05</v>
      </c>
      <c r="U52" s="256">
        <v>14.17</v>
      </c>
      <c r="V52" s="170">
        <f>SUM(E52*1.0235,I52*1.0175,M52*1.0245,Q52*1.0115)</f>
        <v>14.498744</v>
      </c>
      <c r="W52" s="250">
        <v>0.2</v>
      </c>
      <c r="X52" s="257">
        <f t="shared" si="31"/>
        <v>17.004000000000001</v>
      </c>
      <c r="Y52" s="170">
        <f t="shared" si="26"/>
        <v>17.3984928</v>
      </c>
      <c r="Z52" s="170">
        <f t="shared" si="27"/>
        <v>18</v>
      </c>
      <c r="AA52" s="407">
        <f t="shared" si="28"/>
        <v>0</v>
      </c>
      <c r="AB52" s="194"/>
    </row>
    <row r="53" spans="1:28" s="278" customFormat="1" x14ac:dyDescent="0.25">
      <c r="A53" s="200">
        <v>202155</v>
      </c>
      <c r="B53" s="313" t="s">
        <v>19003</v>
      </c>
      <c r="C53" s="248"/>
      <c r="D53" s="247" t="s">
        <v>2</v>
      </c>
      <c r="E53" s="249">
        <f t="shared" si="15"/>
        <v>7.5</v>
      </c>
      <c r="F53" s="170">
        <f t="shared" si="15"/>
        <v>7.6743750000000013</v>
      </c>
      <c r="G53" s="250">
        <v>0.6</v>
      </c>
      <c r="H53" s="171">
        <f t="shared" si="16"/>
        <v>0.6</v>
      </c>
      <c r="I53" s="249">
        <f t="shared" si="17"/>
        <v>0</v>
      </c>
      <c r="J53" s="170">
        <f t="shared" si="17"/>
        <v>0</v>
      </c>
      <c r="K53" s="252"/>
      <c r="L53" s="172">
        <f t="shared" si="18"/>
        <v>0</v>
      </c>
      <c r="M53" s="249">
        <f t="shared" si="19"/>
        <v>4.375</v>
      </c>
      <c r="N53" s="170">
        <f t="shared" si="20"/>
        <v>4.4767187500000007</v>
      </c>
      <c r="O53" s="250">
        <v>0.35</v>
      </c>
      <c r="P53" s="172">
        <f t="shared" si="21"/>
        <v>0.35</v>
      </c>
      <c r="Q53" s="251">
        <f t="shared" si="22"/>
        <v>0.625</v>
      </c>
      <c r="R53" s="173">
        <f t="shared" si="23"/>
        <v>0.63953125000000011</v>
      </c>
      <c r="S53" s="250">
        <v>0.05</v>
      </c>
      <c r="T53" s="171">
        <f t="shared" si="24"/>
        <v>0.05</v>
      </c>
      <c r="U53" s="256">
        <f>15/1.2</f>
        <v>12.5</v>
      </c>
      <c r="V53" s="170">
        <f>SUM(E53*1.0235,I53*1.0175,M53*1.0245,Q53*1.0115)</f>
        <v>12.790625000000002</v>
      </c>
      <c r="W53" s="250">
        <v>0.2</v>
      </c>
      <c r="X53" s="257">
        <v>15</v>
      </c>
      <c r="Y53" s="170">
        <f t="shared" si="26"/>
        <v>15.348750000000003</v>
      </c>
      <c r="Z53" s="170">
        <f t="shared" si="27"/>
        <v>16</v>
      </c>
      <c r="AA53" s="407">
        <f t="shared" si="28"/>
        <v>0</v>
      </c>
      <c r="AB53" s="194"/>
    </row>
    <row r="54" spans="1:28" s="278" customFormat="1" x14ac:dyDescent="0.25">
      <c r="A54" s="200">
        <v>202155</v>
      </c>
      <c r="B54" s="313" t="s">
        <v>19004</v>
      </c>
      <c r="C54" s="248"/>
      <c r="D54" s="247" t="s">
        <v>2</v>
      </c>
      <c r="E54" s="249">
        <f t="shared" si="15"/>
        <v>7.0000200000000001</v>
      </c>
      <c r="F54" s="170">
        <f t="shared" si="15"/>
        <v>7.1627704650000004</v>
      </c>
      <c r="G54" s="250">
        <v>0.6</v>
      </c>
      <c r="H54" s="171">
        <f t="shared" si="16"/>
        <v>0.6</v>
      </c>
      <c r="I54" s="249">
        <f t="shared" si="17"/>
        <v>0</v>
      </c>
      <c r="J54" s="170">
        <f t="shared" si="17"/>
        <v>0</v>
      </c>
      <c r="K54" s="252"/>
      <c r="L54" s="172">
        <f t="shared" si="18"/>
        <v>0</v>
      </c>
      <c r="M54" s="249">
        <f t="shared" si="19"/>
        <v>4.0833449999999996</v>
      </c>
      <c r="N54" s="170">
        <f t="shared" si="20"/>
        <v>4.1782827712500001</v>
      </c>
      <c r="O54" s="250">
        <v>0.35</v>
      </c>
      <c r="P54" s="172">
        <f t="shared" si="21"/>
        <v>0.35</v>
      </c>
      <c r="Q54" s="251">
        <f t="shared" si="22"/>
        <v>0.58333500000000005</v>
      </c>
      <c r="R54" s="173">
        <f t="shared" si="23"/>
        <v>0.59689753875000007</v>
      </c>
      <c r="S54" s="250">
        <v>0.05</v>
      </c>
      <c r="T54" s="171">
        <f t="shared" si="24"/>
        <v>0.05</v>
      </c>
      <c r="U54" s="256">
        <v>11.666700000000001</v>
      </c>
      <c r="V54" s="170">
        <f>SUM(E54*1.0235,I54*1.0175,M54*1.0245,Q54*1.0115)</f>
        <v>11.937950775000001</v>
      </c>
      <c r="W54" s="250">
        <v>0.2</v>
      </c>
      <c r="X54" s="257">
        <f t="shared" ref="X54:X62" si="32">U54+U54*W54</f>
        <v>14.00004</v>
      </c>
      <c r="Y54" s="170">
        <f t="shared" si="26"/>
        <v>14.325540930000001</v>
      </c>
      <c r="Z54" s="170">
        <f t="shared" si="27"/>
        <v>15</v>
      </c>
      <c r="AA54" s="407">
        <f t="shared" si="28"/>
        <v>0</v>
      </c>
      <c r="AB54" s="194"/>
    </row>
    <row r="55" spans="1:28" s="278" customFormat="1" ht="21" x14ac:dyDescent="0.25">
      <c r="A55" s="200">
        <v>202156</v>
      </c>
      <c r="B55" s="255" t="s">
        <v>16051</v>
      </c>
      <c r="C55" s="248"/>
      <c r="D55" s="247" t="s">
        <v>2</v>
      </c>
      <c r="E55" s="249">
        <f t="shared" si="15"/>
        <v>0</v>
      </c>
      <c r="F55" s="170">
        <f t="shared" si="15"/>
        <v>110.831</v>
      </c>
      <c r="G55" s="250">
        <v>0.7</v>
      </c>
      <c r="H55" s="171">
        <f t="shared" si="16"/>
        <v>0.7</v>
      </c>
      <c r="I55" s="249">
        <f t="shared" si="17"/>
        <v>0</v>
      </c>
      <c r="J55" s="170">
        <f t="shared" si="17"/>
        <v>0</v>
      </c>
      <c r="K55" s="252"/>
      <c r="L55" s="172">
        <f t="shared" si="18"/>
        <v>0</v>
      </c>
      <c r="M55" s="249">
        <f t="shared" si="19"/>
        <v>0</v>
      </c>
      <c r="N55" s="170">
        <f t="shared" si="20"/>
        <v>39.582500000000003</v>
      </c>
      <c r="O55" s="250">
        <v>0.25</v>
      </c>
      <c r="P55" s="172">
        <f t="shared" si="21"/>
        <v>0.25</v>
      </c>
      <c r="Q55" s="251">
        <f t="shared" si="22"/>
        <v>0</v>
      </c>
      <c r="R55" s="173">
        <f t="shared" si="23"/>
        <v>7.916500000000001</v>
      </c>
      <c r="S55" s="250">
        <v>0.05</v>
      </c>
      <c r="T55" s="171">
        <f t="shared" si="24"/>
        <v>0.05</v>
      </c>
      <c r="U55" s="256"/>
      <c r="V55" s="170">
        <v>158.33000000000001</v>
      </c>
      <c r="W55" s="250">
        <v>0.2</v>
      </c>
      <c r="X55" s="257">
        <f t="shared" si="32"/>
        <v>0</v>
      </c>
      <c r="Y55" s="170">
        <f t="shared" si="26"/>
        <v>189.99600000000001</v>
      </c>
      <c r="Z55" s="170">
        <f t="shared" si="27"/>
        <v>190</v>
      </c>
      <c r="AA55" s="407">
        <f t="shared" si="28"/>
        <v>0</v>
      </c>
      <c r="AB55" s="194"/>
    </row>
    <row r="56" spans="1:28" s="278" customFormat="1" ht="21" x14ac:dyDescent="0.25">
      <c r="A56" s="200">
        <v>202156</v>
      </c>
      <c r="B56" s="255" t="s">
        <v>16052</v>
      </c>
      <c r="C56" s="248"/>
      <c r="D56" s="247" t="s">
        <v>2</v>
      </c>
      <c r="E56" s="249">
        <f t="shared" ref="E56:F87" si="33">U56*G56</f>
        <v>0</v>
      </c>
      <c r="F56" s="170">
        <f t="shared" si="33"/>
        <v>105</v>
      </c>
      <c r="G56" s="250">
        <v>0.7</v>
      </c>
      <c r="H56" s="171">
        <f t="shared" si="16"/>
        <v>0.7</v>
      </c>
      <c r="I56" s="249">
        <f t="shared" ref="I56:J87" si="34">U56*K56</f>
        <v>0</v>
      </c>
      <c r="J56" s="170">
        <f t="shared" si="34"/>
        <v>0</v>
      </c>
      <c r="K56" s="252"/>
      <c r="L56" s="172">
        <f t="shared" si="18"/>
        <v>0</v>
      </c>
      <c r="M56" s="249">
        <f t="shared" si="19"/>
        <v>0</v>
      </c>
      <c r="N56" s="170">
        <f t="shared" si="20"/>
        <v>37.5</v>
      </c>
      <c r="O56" s="250">
        <v>0.25</v>
      </c>
      <c r="P56" s="172">
        <f t="shared" si="21"/>
        <v>0.25</v>
      </c>
      <c r="Q56" s="251">
        <f t="shared" si="22"/>
        <v>0</v>
      </c>
      <c r="R56" s="173">
        <f t="shared" si="23"/>
        <v>7.5</v>
      </c>
      <c r="S56" s="250">
        <v>0.05</v>
      </c>
      <c r="T56" s="171">
        <f t="shared" si="24"/>
        <v>0.05</v>
      </c>
      <c r="U56" s="256"/>
      <c r="V56" s="170">
        <v>150</v>
      </c>
      <c r="W56" s="250">
        <v>0.2</v>
      </c>
      <c r="X56" s="257">
        <f t="shared" si="32"/>
        <v>0</v>
      </c>
      <c r="Y56" s="170">
        <f t="shared" si="26"/>
        <v>180</v>
      </c>
      <c r="Z56" s="170">
        <f t="shared" si="27"/>
        <v>180</v>
      </c>
      <c r="AA56" s="407">
        <f t="shared" si="28"/>
        <v>0</v>
      </c>
      <c r="AB56" s="194"/>
    </row>
    <row r="57" spans="1:28" s="278" customFormat="1" x14ac:dyDescent="0.25">
      <c r="A57" s="200">
        <v>202156</v>
      </c>
      <c r="B57" s="313" t="s">
        <v>16053</v>
      </c>
      <c r="C57" s="248"/>
      <c r="D57" s="247" t="s">
        <v>2</v>
      </c>
      <c r="E57" s="249">
        <f t="shared" si="33"/>
        <v>0</v>
      </c>
      <c r="F57" s="170">
        <f t="shared" si="33"/>
        <v>99.165499999999994</v>
      </c>
      <c r="G57" s="250">
        <v>0.7</v>
      </c>
      <c r="H57" s="171">
        <f t="shared" si="16"/>
        <v>0.7</v>
      </c>
      <c r="I57" s="249">
        <f t="shared" si="34"/>
        <v>0</v>
      </c>
      <c r="J57" s="170">
        <f t="shared" si="34"/>
        <v>0</v>
      </c>
      <c r="K57" s="252"/>
      <c r="L57" s="172">
        <f t="shared" si="18"/>
        <v>0</v>
      </c>
      <c r="M57" s="249">
        <f t="shared" si="19"/>
        <v>0</v>
      </c>
      <c r="N57" s="170">
        <f t="shared" si="20"/>
        <v>35.416249999999998</v>
      </c>
      <c r="O57" s="250">
        <v>0.25</v>
      </c>
      <c r="P57" s="172">
        <f t="shared" si="21"/>
        <v>0.25</v>
      </c>
      <c r="Q57" s="251">
        <f t="shared" si="22"/>
        <v>0</v>
      </c>
      <c r="R57" s="173">
        <f t="shared" si="23"/>
        <v>7.0832499999999996</v>
      </c>
      <c r="S57" s="250">
        <v>0.05</v>
      </c>
      <c r="T57" s="171">
        <f t="shared" si="24"/>
        <v>0.05</v>
      </c>
      <c r="U57" s="256"/>
      <c r="V57" s="170">
        <v>141.66499999999999</v>
      </c>
      <c r="W57" s="250">
        <v>0.2</v>
      </c>
      <c r="X57" s="257">
        <f t="shared" si="32"/>
        <v>0</v>
      </c>
      <c r="Y57" s="170">
        <f t="shared" si="26"/>
        <v>169.99799999999999</v>
      </c>
      <c r="Z57" s="170">
        <f t="shared" si="27"/>
        <v>170</v>
      </c>
      <c r="AA57" s="407">
        <f t="shared" si="28"/>
        <v>0</v>
      </c>
      <c r="AB57" s="194"/>
    </row>
    <row r="58" spans="1:28" s="278" customFormat="1" x14ac:dyDescent="0.25">
      <c r="A58" s="200">
        <v>202165</v>
      </c>
      <c r="B58" s="313" t="s">
        <v>9</v>
      </c>
      <c r="C58" s="248"/>
      <c r="D58" s="247" t="s">
        <v>2</v>
      </c>
      <c r="E58" s="249">
        <f t="shared" si="33"/>
        <v>6.6640000000000006</v>
      </c>
      <c r="F58" s="170">
        <f t="shared" si="33"/>
        <v>6.8219368000000005</v>
      </c>
      <c r="G58" s="250">
        <v>0.8</v>
      </c>
      <c r="H58" s="171">
        <f t="shared" si="16"/>
        <v>0.8</v>
      </c>
      <c r="I58" s="249">
        <f t="shared" si="34"/>
        <v>0</v>
      </c>
      <c r="J58" s="170">
        <f t="shared" si="34"/>
        <v>0</v>
      </c>
      <c r="K58" s="252"/>
      <c r="L58" s="172">
        <f t="shared" si="18"/>
        <v>0</v>
      </c>
      <c r="M58" s="249">
        <f t="shared" si="19"/>
        <v>1.6660000000000001</v>
      </c>
      <c r="N58" s="170">
        <f t="shared" si="20"/>
        <v>1.7054842000000001</v>
      </c>
      <c r="O58" s="250">
        <v>0.2</v>
      </c>
      <c r="P58" s="172">
        <f t="shared" si="21"/>
        <v>0.2</v>
      </c>
      <c r="Q58" s="251">
        <f t="shared" si="22"/>
        <v>0</v>
      </c>
      <c r="R58" s="173">
        <f t="shared" si="23"/>
        <v>0</v>
      </c>
      <c r="S58" s="252"/>
      <c r="T58" s="171">
        <f t="shared" si="24"/>
        <v>0</v>
      </c>
      <c r="U58" s="256">
        <v>8.33</v>
      </c>
      <c r="V58" s="170">
        <f>SUM(E58*1.0235,I58*1.0175,M58*1.0245,Q58*1.0115)</f>
        <v>8.5274210000000004</v>
      </c>
      <c r="W58" s="250">
        <v>0.2</v>
      </c>
      <c r="X58" s="257">
        <f t="shared" si="32"/>
        <v>9.9960000000000004</v>
      </c>
      <c r="Y58" s="170">
        <f t="shared" si="26"/>
        <v>10.232905199999999</v>
      </c>
      <c r="Z58" s="170">
        <f t="shared" si="27"/>
        <v>11</v>
      </c>
      <c r="AA58" s="407">
        <f t="shared" si="28"/>
        <v>0</v>
      </c>
      <c r="AB58" s="194"/>
    </row>
    <row r="59" spans="1:28" s="278" customFormat="1" x14ac:dyDescent="0.25">
      <c r="A59" s="200">
        <v>202170</v>
      </c>
      <c r="B59" s="313" t="s">
        <v>16054</v>
      </c>
      <c r="C59" s="248"/>
      <c r="D59" s="247" t="s">
        <v>2</v>
      </c>
      <c r="E59" s="249">
        <f t="shared" si="33"/>
        <v>0</v>
      </c>
      <c r="F59" s="170">
        <f t="shared" si="33"/>
        <v>6.5</v>
      </c>
      <c r="G59" s="250">
        <v>0.65</v>
      </c>
      <c r="H59" s="171">
        <f t="shared" si="16"/>
        <v>0.65</v>
      </c>
      <c r="I59" s="249">
        <f t="shared" si="34"/>
        <v>0</v>
      </c>
      <c r="J59" s="170">
        <f t="shared" si="34"/>
        <v>0</v>
      </c>
      <c r="K59" s="252"/>
      <c r="L59" s="172">
        <f t="shared" si="18"/>
        <v>0</v>
      </c>
      <c r="M59" s="249">
        <f t="shared" si="19"/>
        <v>0</v>
      </c>
      <c r="N59" s="170">
        <f t="shared" si="20"/>
        <v>3</v>
      </c>
      <c r="O59" s="250">
        <v>0.3</v>
      </c>
      <c r="P59" s="172">
        <f t="shared" si="21"/>
        <v>0.3</v>
      </c>
      <c r="Q59" s="251">
        <f t="shared" si="22"/>
        <v>0</v>
      </c>
      <c r="R59" s="173">
        <f t="shared" si="23"/>
        <v>0.5</v>
      </c>
      <c r="S59" s="250">
        <v>0.05</v>
      </c>
      <c r="T59" s="171">
        <f t="shared" si="24"/>
        <v>0.05</v>
      </c>
      <c r="U59" s="256"/>
      <c r="V59" s="170">
        <v>10</v>
      </c>
      <c r="W59" s="250">
        <v>0.2</v>
      </c>
      <c r="X59" s="257">
        <f t="shared" si="32"/>
        <v>0</v>
      </c>
      <c r="Y59" s="170">
        <f t="shared" si="26"/>
        <v>12</v>
      </c>
      <c r="Z59" s="170">
        <f t="shared" si="27"/>
        <v>12</v>
      </c>
      <c r="AA59" s="407">
        <f t="shared" si="28"/>
        <v>0</v>
      </c>
      <c r="AB59" s="194"/>
    </row>
    <row r="60" spans="1:28" s="278" customFormat="1" x14ac:dyDescent="0.25">
      <c r="A60" s="200">
        <v>202170</v>
      </c>
      <c r="B60" s="313" t="s">
        <v>16055</v>
      </c>
      <c r="C60" s="248"/>
      <c r="D60" s="247" t="s">
        <v>2</v>
      </c>
      <c r="E60" s="249">
        <f t="shared" si="33"/>
        <v>0</v>
      </c>
      <c r="F60" s="170">
        <f t="shared" si="33"/>
        <v>5.2</v>
      </c>
      <c r="G60" s="250">
        <v>0.65</v>
      </c>
      <c r="H60" s="171">
        <f t="shared" si="16"/>
        <v>0.65</v>
      </c>
      <c r="I60" s="249">
        <f t="shared" si="34"/>
        <v>0</v>
      </c>
      <c r="J60" s="170">
        <f t="shared" si="34"/>
        <v>0</v>
      </c>
      <c r="K60" s="252"/>
      <c r="L60" s="172">
        <f t="shared" si="18"/>
        <v>0</v>
      </c>
      <c r="M60" s="249">
        <f t="shared" si="19"/>
        <v>0</v>
      </c>
      <c r="N60" s="170">
        <f t="shared" si="20"/>
        <v>2.4</v>
      </c>
      <c r="O60" s="250">
        <v>0.3</v>
      </c>
      <c r="P60" s="172">
        <f t="shared" si="21"/>
        <v>0.3</v>
      </c>
      <c r="Q60" s="251">
        <f t="shared" si="22"/>
        <v>0</v>
      </c>
      <c r="R60" s="173">
        <f t="shared" si="23"/>
        <v>0.4</v>
      </c>
      <c r="S60" s="250">
        <v>0.05</v>
      </c>
      <c r="T60" s="171">
        <f t="shared" si="24"/>
        <v>0.05</v>
      </c>
      <c r="U60" s="256"/>
      <c r="V60" s="170">
        <v>8</v>
      </c>
      <c r="W60" s="250">
        <v>0.2</v>
      </c>
      <c r="X60" s="257">
        <f t="shared" si="32"/>
        <v>0</v>
      </c>
      <c r="Y60" s="170">
        <f t="shared" si="26"/>
        <v>9.6</v>
      </c>
      <c r="Z60" s="170">
        <f t="shared" si="27"/>
        <v>10</v>
      </c>
      <c r="AA60" s="407">
        <f t="shared" si="28"/>
        <v>0</v>
      </c>
      <c r="AB60" s="194"/>
    </row>
    <row r="61" spans="1:28" s="278" customFormat="1" x14ac:dyDescent="0.25">
      <c r="A61" s="200">
        <v>202180</v>
      </c>
      <c r="B61" s="313" t="s">
        <v>14450</v>
      </c>
      <c r="C61" s="248"/>
      <c r="D61" s="247" t="s">
        <v>2</v>
      </c>
      <c r="E61" s="249">
        <f t="shared" si="33"/>
        <v>0.11549999999999999</v>
      </c>
      <c r="F61" s="170">
        <f t="shared" si="33"/>
        <v>0.11703614999999999</v>
      </c>
      <c r="G61" s="250">
        <v>0.15</v>
      </c>
      <c r="H61" s="171">
        <f t="shared" si="16"/>
        <v>0.15</v>
      </c>
      <c r="I61" s="249">
        <f t="shared" si="34"/>
        <v>0</v>
      </c>
      <c r="J61" s="170">
        <f t="shared" si="34"/>
        <v>0</v>
      </c>
      <c r="K61" s="252"/>
      <c r="L61" s="172">
        <f t="shared" si="18"/>
        <v>0</v>
      </c>
      <c r="M61" s="249">
        <f t="shared" si="19"/>
        <v>0</v>
      </c>
      <c r="N61" s="170">
        <f t="shared" si="20"/>
        <v>0</v>
      </c>
      <c r="O61" s="250"/>
      <c r="P61" s="172">
        <f t="shared" si="21"/>
        <v>0</v>
      </c>
      <c r="Q61" s="251">
        <f t="shared" si="22"/>
        <v>0.65449999999999997</v>
      </c>
      <c r="R61" s="173">
        <f t="shared" si="23"/>
        <v>0.66320484999999996</v>
      </c>
      <c r="S61" s="250">
        <v>0.85</v>
      </c>
      <c r="T61" s="171">
        <f t="shared" si="24"/>
        <v>0.85</v>
      </c>
      <c r="U61" s="256">
        <v>0.77</v>
      </c>
      <c r="V61" s="170">
        <f t="shared" ref="V61:V124" si="35">SUM(E61*1.0235,I61*1.0175,M61*1.0245,Q61*1.0115)</f>
        <v>0.78024099999999996</v>
      </c>
      <c r="W61" s="250">
        <v>0.3</v>
      </c>
      <c r="X61" s="257">
        <f t="shared" si="32"/>
        <v>1.0009999999999999</v>
      </c>
      <c r="Y61" s="170">
        <f t="shared" si="26"/>
        <v>1.0143133</v>
      </c>
      <c r="Z61" s="170">
        <f>IF(Y61=0, 0, IF(Y61&lt;10, _xlfn.CEILING.MATH(Y61,0.05), IF(Y61&lt;100, _xlfn.CEILING.MATH(Y61,1),IF(Y61&lt;1000, _xlfn.CEILING.MATH(Y61,5), IF(Y61&lt;10000, _xlfn.CEILING.MATH(Y61, 25), IF(Y61&lt;100000, _xlfn.CEILING.MATH(Y61,250), IF(Y61&lt;1000000, _xlfn.CEILING.MATH(Y61,500), 0)))))))</f>
        <v>1.05</v>
      </c>
      <c r="AA61" s="407">
        <f t="shared" si="28"/>
        <v>0</v>
      </c>
      <c r="AB61" s="194"/>
    </row>
    <row r="62" spans="1:28" s="278" customFormat="1" x14ac:dyDescent="0.25">
      <c r="A62" s="200">
        <v>202190</v>
      </c>
      <c r="B62" s="313" t="s">
        <v>19005</v>
      </c>
      <c r="C62" s="248"/>
      <c r="D62" s="247" t="s">
        <v>2</v>
      </c>
      <c r="E62" s="249">
        <f t="shared" si="33"/>
        <v>10.57694</v>
      </c>
      <c r="F62" s="170">
        <f t="shared" si="33"/>
        <v>10.830257713000002</v>
      </c>
      <c r="G62" s="250">
        <v>0.55000000000000004</v>
      </c>
      <c r="H62" s="171">
        <f t="shared" si="16"/>
        <v>0.55000000000000004</v>
      </c>
      <c r="I62" s="249">
        <f t="shared" si="34"/>
        <v>0</v>
      </c>
      <c r="J62" s="170">
        <f t="shared" si="34"/>
        <v>0</v>
      </c>
      <c r="K62" s="252"/>
      <c r="L62" s="172">
        <f t="shared" si="18"/>
        <v>0</v>
      </c>
      <c r="M62" s="249">
        <f t="shared" si="19"/>
        <v>8.6538599999999999</v>
      </c>
      <c r="N62" s="170">
        <f t="shared" si="20"/>
        <v>8.8611199470000006</v>
      </c>
      <c r="O62" s="250">
        <v>0.45</v>
      </c>
      <c r="P62" s="172">
        <f t="shared" si="21"/>
        <v>0.45</v>
      </c>
      <c r="Q62" s="251">
        <f t="shared" si="22"/>
        <v>0</v>
      </c>
      <c r="R62" s="173">
        <f t="shared" si="23"/>
        <v>0</v>
      </c>
      <c r="S62" s="252"/>
      <c r="T62" s="171">
        <f t="shared" si="24"/>
        <v>0</v>
      </c>
      <c r="U62" s="256">
        <v>19.230799999999999</v>
      </c>
      <c r="V62" s="170">
        <f t="shared" si="35"/>
        <v>19.691377660000001</v>
      </c>
      <c r="W62" s="258">
        <v>0.3</v>
      </c>
      <c r="X62" s="257">
        <f t="shared" si="32"/>
        <v>25.000039999999998</v>
      </c>
      <c r="Y62" s="170">
        <f t="shared" si="26"/>
        <v>25.598790958000002</v>
      </c>
      <c r="Z62" s="170">
        <f>IF(Y62=0, 0, IF(Y62&lt;10, _xlfn.CEILING.MATH(Y62,1), IF(Y62&lt;100, _xlfn.CEILING.MATH(Y62,1),IF(Y62&lt;1000, _xlfn.CEILING.MATH(Y62,5), IF(Y62&lt;10000, _xlfn.CEILING.MATH(Y62, 25), IF(Y62&lt;100000, _xlfn.CEILING.MATH(Y62,250), IF(Y62&lt;1000000, _xlfn.CEILING.MATH(Y62,500), 0)))))))</f>
        <v>26</v>
      </c>
      <c r="AA62" s="407">
        <f t="shared" si="28"/>
        <v>0</v>
      </c>
      <c r="AB62" s="194"/>
    </row>
    <row r="63" spans="1:28" s="278" customFormat="1" x14ac:dyDescent="0.25">
      <c r="A63" s="200">
        <v>202190</v>
      </c>
      <c r="B63" s="313" t="s">
        <v>19006</v>
      </c>
      <c r="C63" s="248"/>
      <c r="D63" s="247" t="s">
        <v>2</v>
      </c>
      <c r="E63" s="249">
        <f t="shared" si="33"/>
        <v>14.807692307692308</v>
      </c>
      <c r="F63" s="170">
        <f t="shared" si="33"/>
        <v>15.16233653846154</v>
      </c>
      <c r="G63" s="250">
        <v>0.55000000000000004</v>
      </c>
      <c r="H63" s="171">
        <f t="shared" si="16"/>
        <v>0.55000000000000004</v>
      </c>
      <c r="I63" s="249">
        <f t="shared" si="34"/>
        <v>0</v>
      </c>
      <c r="J63" s="170">
        <f t="shared" si="34"/>
        <v>0</v>
      </c>
      <c r="K63" s="252"/>
      <c r="L63" s="172">
        <f t="shared" si="18"/>
        <v>0</v>
      </c>
      <c r="M63" s="249">
        <f t="shared" si="19"/>
        <v>12.115384615384615</v>
      </c>
      <c r="N63" s="170">
        <f t="shared" si="20"/>
        <v>12.405548076923077</v>
      </c>
      <c r="O63" s="250">
        <v>0.45</v>
      </c>
      <c r="P63" s="172">
        <f t="shared" si="21"/>
        <v>0.45</v>
      </c>
      <c r="Q63" s="251">
        <f t="shared" si="22"/>
        <v>0</v>
      </c>
      <c r="R63" s="173">
        <f t="shared" si="23"/>
        <v>0</v>
      </c>
      <c r="S63" s="252"/>
      <c r="T63" s="171">
        <f t="shared" si="24"/>
        <v>0</v>
      </c>
      <c r="U63" s="256">
        <f>X63/1.3</f>
        <v>26.923076923076923</v>
      </c>
      <c r="V63" s="170">
        <f t="shared" si="35"/>
        <v>27.567884615384617</v>
      </c>
      <c r="W63" s="258">
        <v>0.3</v>
      </c>
      <c r="X63" s="257">
        <v>35</v>
      </c>
      <c r="Y63" s="170">
        <f t="shared" si="26"/>
        <v>35.838250000000002</v>
      </c>
      <c r="Z63" s="170">
        <f>IF(Y63=0, 0, IF(Y63&lt;10, _xlfn.CEILING.MATH(Y63,1), IF(Y63&lt;100, _xlfn.CEILING.MATH(Y63,1),IF(Y63&lt;1000, _xlfn.CEILING.MATH(Y63,5), IF(Y63&lt;10000, _xlfn.CEILING.MATH(Y63, 25), IF(Y63&lt;100000, _xlfn.CEILING.MATH(Y63,250), IF(Y63&lt;1000000, _xlfn.CEILING.MATH(Y63,500), 0)))))))</f>
        <v>36</v>
      </c>
      <c r="AA63" s="407">
        <f t="shared" si="28"/>
        <v>0</v>
      </c>
      <c r="AB63" s="194"/>
    </row>
    <row r="64" spans="1:28" s="278" customFormat="1" x14ac:dyDescent="0.25">
      <c r="A64" s="200">
        <v>202190</v>
      </c>
      <c r="B64" s="313" t="s">
        <v>19007</v>
      </c>
      <c r="C64" s="248"/>
      <c r="D64" s="247" t="s">
        <v>2</v>
      </c>
      <c r="E64" s="249">
        <f t="shared" si="33"/>
        <v>21.153846153846153</v>
      </c>
      <c r="F64" s="170">
        <f t="shared" si="33"/>
        <v>21.660480769230773</v>
      </c>
      <c r="G64" s="250">
        <v>0.55000000000000004</v>
      </c>
      <c r="H64" s="171">
        <f t="shared" si="16"/>
        <v>0.55000000000000004</v>
      </c>
      <c r="I64" s="249">
        <f t="shared" si="34"/>
        <v>0</v>
      </c>
      <c r="J64" s="170">
        <f t="shared" si="34"/>
        <v>0</v>
      </c>
      <c r="K64" s="252"/>
      <c r="L64" s="172">
        <f t="shared" si="18"/>
        <v>0</v>
      </c>
      <c r="M64" s="249">
        <f t="shared" si="19"/>
        <v>17.307692307692307</v>
      </c>
      <c r="N64" s="170">
        <f t="shared" si="20"/>
        <v>17.72221153846154</v>
      </c>
      <c r="O64" s="250">
        <v>0.45</v>
      </c>
      <c r="P64" s="172">
        <f t="shared" si="21"/>
        <v>0.45</v>
      </c>
      <c r="Q64" s="251">
        <f t="shared" si="22"/>
        <v>0</v>
      </c>
      <c r="R64" s="173">
        <f t="shared" si="23"/>
        <v>0</v>
      </c>
      <c r="S64" s="252"/>
      <c r="T64" s="171">
        <f t="shared" si="24"/>
        <v>0</v>
      </c>
      <c r="U64" s="256">
        <f>X64/1.3</f>
        <v>38.46153846153846</v>
      </c>
      <c r="V64" s="170">
        <f t="shared" si="35"/>
        <v>39.382692307692309</v>
      </c>
      <c r="W64" s="258">
        <v>0.3</v>
      </c>
      <c r="X64" s="257">
        <v>50</v>
      </c>
      <c r="Y64" s="170">
        <f t="shared" si="26"/>
        <v>51.197500000000005</v>
      </c>
      <c r="Z64" s="170">
        <f>IF(Y64=0, 0, IF(Y64&lt;10, _xlfn.CEILING.MATH(Y64,1), IF(Y64&lt;100, _xlfn.CEILING.MATH(Y64,1),IF(Y64&lt;1000, _xlfn.CEILING.MATH(Y64,5), IF(Y64&lt;10000, _xlfn.CEILING.MATH(Y64, 25), IF(Y64&lt;100000, _xlfn.CEILING.MATH(Y64,250), IF(Y64&lt;1000000, _xlfn.CEILING.MATH(Y64,500), 0)))))))</f>
        <v>52</v>
      </c>
      <c r="AA64" s="407">
        <f t="shared" si="28"/>
        <v>0</v>
      </c>
      <c r="AB64" s="194"/>
    </row>
    <row r="65" spans="1:28" s="278" customFormat="1" x14ac:dyDescent="0.25">
      <c r="A65" s="200">
        <v>202190</v>
      </c>
      <c r="B65" s="313" t="s">
        <v>19008</v>
      </c>
      <c r="C65" s="248"/>
      <c r="D65" s="247" t="s">
        <v>2</v>
      </c>
      <c r="E65" s="249">
        <f t="shared" si="33"/>
        <v>31.730769230769234</v>
      </c>
      <c r="F65" s="170">
        <f t="shared" si="33"/>
        <v>32.49072115384616</v>
      </c>
      <c r="G65" s="250">
        <v>0.55000000000000004</v>
      </c>
      <c r="H65" s="171">
        <f t="shared" si="16"/>
        <v>0.55000000000000004</v>
      </c>
      <c r="I65" s="249">
        <f t="shared" si="34"/>
        <v>0</v>
      </c>
      <c r="J65" s="170">
        <f t="shared" si="34"/>
        <v>0</v>
      </c>
      <c r="K65" s="252"/>
      <c r="L65" s="172">
        <f t="shared" si="18"/>
        <v>0</v>
      </c>
      <c r="M65" s="249">
        <f t="shared" si="19"/>
        <v>25.961538461538463</v>
      </c>
      <c r="N65" s="170">
        <f t="shared" si="20"/>
        <v>26.583317307692308</v>
      </c>
      <c r="O65" s="250">
        <v>0.45</v>
      </c>
      <c r="P65" s="172">
        <f t="shared" si="21"/>
        <v>0.45</v>
      </c>
      <c r="Q65" s="251">
        <f t="shared" si="22"/>
        <v>0</v>
      </c>
      <c r="R65" s="173">
        <f t="shared" si="23"/>
        <v>0</v>
      </c>
      <c r="S65" s="252"/>
      <c r="T65" s="171">
        <f t="shared" si="24"/>
        <v>0</v>
      </c>
      <c r="U65" s="256">
        <f>X65/1.3</f>
        <v>57.692307692307693</v>
      </c>
      <c r="V65" s="170">
        <f t="shared" si="35"/>
        <v>59.074038461538464</v>
      </c>
      <c r="W65" s="258">
        <v>0.3</v>
      </c>
      <c r="X65" s="257">
        <v>75</v>
      </c>
      <c r="Y65" s="170">
        <f t="shared" si="26"/>
        <v>76.796250000000001</v>
      </c>
      <c r="Z65" s="170">
        <f>IF(Y65=0, 0, IF(Y65&lt;10, _xlfn.CEILING.MATH(Y65,1), IF(Y65&lt;100, _xlfn.CEILING.MATH(Y65,1),IF(Y65&lt;1000, _xlfn.CEILING.MATH(Y65,5), IF(Y65&lt;10000, _xlfn.CEILING.MATH(Y65, 25), IF(Y65&lt;100000, _xlfn.CEILING.MATH(Y65,250), IF(Y65&lt;1000000, _xlfn.CEILING.MATH(Y65,500), 0)))))))</f>
        <v>77</v>
      </c>
      <c r="AA65" s="407">
        <f t="shared" si="28"/>
        <v>0</v>
      </c>
      <c r="AB65" s="194"/>
    </row>
    <row r="66" spans="1:28" s="278" customFormat="1" x14ac:dyDescent="0.25">
      <c r="A66" s="200">
        <v>202190</v>
      </c>
      <c r="B66" s="313" t="s">
        <v>19009</v>
      </c>
      <c r="C66" s="248"/>
      <c r="D66" s="247" t="s">
        <v>2</v>
      </c>
      <c r="E66" s="249">
        <f t="shared" si="33"/>
        <v>38.07692307692308</v>
      </c>
      <c r="F66" s="170">
        <f t="shared" si="33"/>
        <v>38.988865384615394</v>
      </c>
      <c r="G66" s="250">
        <v>0.55000000000000004</v>
      </c>
      <c r="H66" s="171">
        <f t="shared" si="16"/>
        <v>0.55000000000000004</v>
      </c>
      <c r="I66" s="249">
        <f t="shared" si="34"/>
        <v>0</v>
      </c>
      <c r="J66" s="170">
        <f t="shared" si="34"/>
        <v>0</v>
      </c>
      <c r="K66" s="252"/>
      <c r="L66" s="172">
        <f t="shared" si="18"/>
        <v>0</v>
      </c>
      <c r="M66" s="249">
        <f t="shared" si="19"/>
        <v>31.153846153846153</v>
      </c>
      <c r="N66" s="170">
        <f t="shared" si="20"/>
        <v>31.899980769230773</v>
      </c>
      <c r="O66" s="250">
        <v>0.45</v>
      </c>
      <c r="P66" s="172">
        <f t="shared" si="21"/>
        <v>0.45</v>
      </c>
      <c r="Q66" s="251">
        <f t="shared" si="22"/>
        <v>0</v>
      </c>
      <c r="R66" s="173">
        <f t="shared" si="23"/>
        <v>0</v>
      </c>
      <c r="S66" s="252"/>
      <c r="T66" s="171">
        <f t="shared" si="24"/>
        <v>0</v>
      </c>
      <c r="U66" s="256">
        <f>X66/1.3</f>
        <v>69.230769230769226</v>
      </c>
      <c r="V66" s="170">
        <f t="shared" si="35"/>
        <v>70.88884615384616</v>
      </c>
      <c r="W66" s="258">
        <v>0.3</v>
      </c>
      <c r="X66" s="257">
        <v>90</v>
      </c>
      <c r="Y66" s="170">
        <f t="shared" si="26"/>
        <v>92.155500000000018</v>
      </c>
      <c r="Z66" s="170">
        <f>IF(Y66=0, 0, IF(Y66&lt;10, _xlfn.CEILING.MATH(Y66,1), IF(Y66&lt;100, _xlfn.CEILING.MATH(Y66,1),IF(Y66&lt;1000, _xlfn.CEILING.MATH(Y66,5), IF(Y66&lt;10000, _xlfn.CEILING.MATH(Y66, 25), IF(Y66&lt;100000, _xlfn.CEILING.MATH(Y66,250), IF(Y66&lt;1000000, _xlfn.CEILING.MATH(Y66,500), 0)))))))</f>
        <v>93</v>
      </c>
      <c r="AA66" s="407">
        <f t="shared" si="28"/>
        <v>0</v>
      </c>
      <c r="AB66" s="194"/>
    </row>
    <row r="67" spans="1:28" s="278" customFormat="1" x14ac:dyDescent="0.25">
      <c r="A67" s="200">
        <v>202200</v>
      </c>
      <c r="B67" s="313" t="s">
        <v>14451</v>
      </c>
      <c r="C67" s="248"/>
      <c r="D67" s="247" t="s">
        <v>2</v>
      </c>
      <c r="E67" s="249">
        <f t="shared" si="33"/>
        <v>0.23099999999999998</v>
      </c>
      <c r="F67" s="170">
        <f t="shared" si="33"/>
        <v>0.23407229999999998</v>
      </c>
      <c r="G67" s="250">
        <v>0.15</v>
      </c>
      <c r="H67" s="171">
        <f t="shared" si="16"/>
        <v>0.15</v>
      </c>
      <c r="I67" s="249">
        <f t="shared" si="34"/>
        <v>0</v>
      </c>
      <c r="J67" s="170">
        <f t="shared" si="34"/>
        <v>0</v>
      </c>
      <c r="K67" s="252"/>
      <c r="L67" s="172">
        <f t="shared" si="18"/>
        <v>0</v>
      </c>
      <c r="M67" s="249">
        <f t="shared" si="19"/>
        <v>0</v>
      </c>
      <c r="N67" s="170">
        <f t="shared" si="20"/>
        <v>0</v>
      </c>
      <c r="O67" s="250"/>
      <c r="P67" s="172">
        <f t="shared" si="21"/>
        <v>0</v>
      </c>
      <c r="Q67" s="251">
        <f t="shared" si="22"/>
        <v>1.3089999999999999</v>
      </c>
      <c r="R67" s="173">
        <f t="shared" si="23"/>
        <v>1.3264096999999999</v>
      </c>
      <c r="S67" s="250">
        <v>0.85</v>
      </c>
      <c r="T67" s="171">
        <f t="shared" si="24"/>
        <v>0.85</v>
      </c>
      <c r="U67" s="256">
        <v>1.54</v>
      </c>
      <c r="V67" s="170">
        <f t="shared" si="35"/>
        <v>1.5604819999999999</v>
      </c>
      <c r="W67" s="250">
        <v>0.3</v>
      </c>
      <c r="X67" s="257">
        <f>U67+U67*W67</f>
        <v>2.0019999999999998</v>
      </c>
      <c r="Y67" s="170">
        <f t="shared" si="26"/>
        <v>2.0286265999999999</v>
      </c>
      <c r="Z67" s="170">
        <f>IF(Y67=0, 0, IF(Y67&lt;10, _xlfn.CEILING.MATH(Y67,0.05), IF(Y67&lt;100, _xlfn.CEILING.MATH(Y67,1),IF(Y67&lt;1000, _xlfn.CEILING.MATH(Y67,5), IF(Y67&lt;10000, _xlfn.CEILING.MATH(Y67, 25), IF(Y67&lt;100000, _xlfn.CEILING.MATH(Y67,250), IF(Y67&lt;1000000, _xlfn.CEILING.MATH(Y67,500), 0)))))))</f>
        <v>2.0500000000000003</v>
      </c>
      <c r="AA67" s="407">
        <f t="shared" si="28"/>
        <v>0</v>
      </c>
      <c r="AB67" s="194"/>
    </row>
    <row r="68" spans="1:28" s="278" customFormat="1" x14ac:dyDescent="0.25">
      <c r="A68" s="200">
        <v>202250</v>
      </c>
      <c r="B68" s="313" t="s">
        <v>10</v>
      </c>
      <c r="C68" s="248"/>
      <c r="D68" s="247" t="s">
        <v>11</v>
      </c>
      <c r="E68" s="249">
        <f t="shared" si="33"/>
        <v>90</v>
      </c>
      <c r="F68" s="170">
        <f t="shared" si="33"/>
        <v>92.124000000000009</v>
      </c>
      <c r="G68" s="250">
        <v>0.9</v>
      </c>
      <c r="H68" s="171">
        <f t="shared" si="16"/>
        <v>0.9</v>
      </c>
      <c r="I68" s="249">
        <f t="shared" si="34"/>
        <v>0</v>
      </c>
      <c r="J68" s="170">
        <f t="shared" si="34"/>
        <v>0</v>
      </c>
      <c r="K68" s="252"/>
      <c r="L68" s="172">
        <f t="shared" si="18"/>
        <v>0</v>
      </c>
      <c r="M68" s="249">
        <f t="shared" si="19"/>
        <v>10</v>
      </c>
      <c r="N68" s="170">
        <f t="shared" si="20"/>
        <v>10.236000000000002</v>
      </c>
      <c r="O68" s="250">
        <v>0.1</v>
      </c>
      <c r="P68" s="172">
        <f t="shared" si="21"/>
        <v>0.1</v>
      </c>
      <c r="Q68" s="251">
        <f t="shared" si="22"/>
        <v>0</v>
      </c>
      <c r="R68" s="173">
        <f t="shared" si="23"/>
        <v>0</v>
      </c>
      <c r="S68" s="252"/>
      <c r="T68" s="171">
        <f t="shared" si="24"/>
        <v>0</v>
      </c>
      <c r="U68" s="256">
        <v>100</v>
      </c>
      <c r="V68" s="170">
        <f t="shared" si="35"/>
        <v>102.36000000000001</v>
      </c>
      <c r="W68" s="258">
        <v>0.2</v>
      </c>
      <c r="X68" s="257">
        <f>U68+U68*W68</f>
        <v>120</v>
      </c>
      <c r="Y68" s="170">
        <f t="shared" si="26"/>
        <v>122.83200000000001</v>
      </c>
      <c r="Z68" s="170">
        <f t="shared" ref="Z68:Z131" si="36">IF(Y68=0, 0, IF(Y68&lt;10, _xlfn.CEILING.MATH(Y68,1), IF(Y68&lt;100, _xlfn.CEILING.MATH(Y68,1),IF(Y68&lt;1000, _xlfn.CEILING.MATH(Y68,5), IF(Y68&lt;10000, _xlfn.CEILING.MATH(Y68, 25), IF(Y68&lt;100000, _xlfn.CEILING.MATH(Y68,250), IF(Y68&lt;1000000, _xlfn.CEILING.MATH(Y68,500), 0)))))))</f>
        <v>125</v>
      </c>
      <c r="AA68" s="407">
        <f t="shared" si="28"/>
        <v>0</v>
      </c>
      <c r="AB68" s="194"/>
    </row>
    <row r="69" spans="1:28" s="278" customFormat="1" x14ac:dyDescent="0.25">
      <c r="A69" s="200">
        <v>202255</v>
      </c>
      <c r="B69" s="313" t="s">
        <v>19010</v>
      </c>
      <c r="C69" s="248"/>
      <c r="D69" s="247" t="s">
        <v>11</v>
      </c>
      <c r="E69" s="249">
        <f t="shared" si="33"/>
        <v>23.846000000000004</v>
      </c>
      <c r="F69" s="170">
        <f t="shared" si="33"/>
        <v>24.177459400000007</v>
      </c>
      <c r="G69" s="250">
        <v>0.2</v>
      </c>
      <c r="H69" s="171">
        <f t="shared" si="16"/>
        <v>0.2</v>
      </c>
      <c r="I69" s="249">
        <f t="shared" si="34"/>
        <v>0</v>
      </c>
      <c r="J69" s="170">
        <f t="shared" si="34"/>
        <v>0</v>
      </c>
      <c r="K69" s="252"/>
      <c r="L69" s="172">
        <f t="shared" si="18"/>
        <v>0</v>
      </c>
      <c r="M69" s="249">
        <f t="shared" si="19"/>
        <v>0</v>
      </c>
      <c r="N69" s="170">
        <f t="shared" si="20"/>
        <v>0</v>
      </c>
      <c r="O69" s="252"/>
      <c r="P69" s="172">
        <f t="shared" si="21"/>
        <v>0</v>
      </c>
      <c r="Q69" s="251">
        <f t="shared" si="22"/>
        <v>95.384000000000015</v>
      </c>
      <c r="R69" s="173">
        <f t="shared" si="23"/>
        <v>96.709837600000029</v>
      </c>
      <c r="S69" s="250">
        <v>0.8</v>
      </c>
      <c r="T69" s="171">
        <f t="shared" si="24"/>
        <v>0.8</v>
      </c>
      <c r="U69" s="256">
        <v>119.23</v>
      </c>
      <c r="V69" s="170">
        <f t="shared" si="35"/>
        <v>120.88729700000003</v>
      </c>
      <c r="W69" s="258">
        <v>0.3</v>
      </c>
      <c r="X69" s="257">
        <f>U69+U69*W69</f>
        <v>154.999</v>
      </c>
      <c r="Y69" s="170">
        <f t="shared" si="26"/>
        <v>157.15348610000004</v>
      </c>
      <c r="Z69" s="170">
        <f t="shared" si="36"/>
        <v>160</v>
      </c>
      <c r="AA69" s="407">
        <f t="shared" si="28"/>
        <v>0</v>
      </c>
      <c r="AB69" s="194"/>
    </row>
    <row r="70" spans="1:28" s="278" customFormat="1" x14ac:dyDescent="0.25">
      <c r="A70" s="200">
        <v>202270</v>
      </c>
      <c r="B70" s="313" t="s">
        <v>19011</v>
      </c>
      <c r="C70" s="248"/>
      <c r="D70" s="247" t="s">
        <v>11</v>
      </c>
      <c r="E70" s="249">
        <f t="shared" si="33"/>
        <v>406.25</v>
      </c>
      <c r="F70" s="170">
        <f t="shared" si="33"/>
        <v>415.41093749999999</v>
      </c>
      <c r="G70" s="250">
        <v>0.65</v>
      </c>
      <c r="H70" s="171">
        <f t="shared" si="16"/>
        <v>0.65</v>
      </c>
      <c r="I70" s="249">
        <f t="shared" si="34"/>
        <v>0</v>
      </c>
      <c r="J70" s="170">
        <f t="shared" si="34"/>
        <v>0</v>
      </c>
      <c r="K70" s="252"/>
      <c r="L70" s="172">
        <f t="shared" si="18"/>
        <v>0</v>
      </c>
      <c r="M70" s="249">
        <f t="shared" si="19"/>
        <v>156.25</v>
      </c>
      <c r="N70" s="170">
        <f t="shared" si="20"/>
        <v>159.7734375</v>
      </c>
      <c r="O70" s="250">
        <v>0.25</v>
      </c>
      <c r="P70" s="172">
        <f t="shared" si="21"/>
        <v>0.25</v>
      </c>
      <c r="Q70" s="251">
        <f t="shared" si="22"/>
        <v>62.5</v>
      </c>
      <c r="R70" s="173">
        <f t="shared" si="23"/>
        <v>63.909375000000004</v>
      </c>
      <c r="S70" s="250">
        <v>0.1</v>
      </c>
      <c r="T70" s="171">
        <f t="shared" si="24"/>
        <v>0.1</v>
      </c>
      <c r="U70" s="256">
        <f>750/1.2</f>
        <v>625</v>
      </c>
      <c r="V70" s="170">
        <f t="shared" si="35"/>
        <v>639.09375</v>
      </c>
      <c r="W70" s="258">
        <v>0.2</v>
      </c>
      <c r="X70" s="257">
        <v>750</v>
      </c>
      <c r="Y70" s="170">
        <f t="shared" si="26"/>
        <v>766.91250000000002</v>
      </c>
      <c r="Z70" s="170">
        <f t="shared" si="36"/>
        <v>770</v>
      </c>
      <c r="AA70" s="407">
        <f t="shared" si="28"/>
        <v>0</v>
      </c>
      <c r="AB70" s="194"/>
    </row>
    <row r="71" spans="1:28" s="278" customFormat="1" x14ac:dyDescent="0.25">
      <c r="A71" s="200">
        <v>202270</v>
      </c>
      <c r="B71" s="313" t="s">
        <v>19012</v>
      </c>
      <c r="C71" s="248"/>
      <c r="D71" s="247" t="s">
        <v>11</v>
      </c>
      <c r="E71" s="249">
        <f t="shared" si="33"/>
        <v>270.83335499999998</v>
      </c>
      <c r="F71" s="170">
        <f t="shared" si="33"/>
        <v>276.94064715525002</v>
      </c>
      <c r="G71" s="250">
        <v>0.65</v>
      </c>
      <c r="H71" s="171">
        <f t="shared" si="16"/>
        <v>0.65</v>
      </c>
      <c r="I71" s="249">
        <f t="shared" si="34"/>
        <v>0</v>
      </c>
      <c r="J71" s="170">
        <f t="shared" si="34"/>
        <v>0</v>
      </c>
      <c r="K71" s="252"/>
      <c r="L71" s="172">
        <f t="shared" si="18"/>
        <v>0</v>
      </c>
      <c r="M71" s="249">
        <f t="shared" si="19"/>
        <v>104.166675</v>
      </c>
      <c r="N71" s="170">
        <f t="shared" si="20"/>
        <v>106.51563352125</v>
      </c>
      <c r="O71" s="250">
        <v>0.25</v>
      </c>
      <c r="P71" s="172">
        <f t="shared" si="21"/>
        <v>0.25</v>
      </c>
      <c r="Q71" s="251">
        <f t="shared" si="22"/>
        <v>41.666670000000003</v>
      </c>
      <c r="R71" s="173">
        <f t="shared" si="23"/>
        <v>42.606253408500002</v>
      </c>
      <c r="S71" s="250">
        <v>0.1</v>
      </c>
      <c r="T71" s="171">
        <f t="shared" si="24"/>
        <v>0.1</v>
      </c>
      <c r="U71" s="256">
        <v>416.66669999999999</v>
      </c>
      <c r="V71" s="170">
        <f t="shared" si="35"/>
        <v>426.06253408499998</v>
      </c>
      <c r="W71" s="258">
        <v>0.2</v>
      </c>
      <c r="X71" s="257">
        <f t="shared" ref="X71:X134" si="37">U71+U71*W71</f>
        <v>500.00004000000001</v>
      </c>
      <c r="Y71" s="170">
        <f t="shared" si="26"/>
        <v>511.27504090199994</v>
      </c>
      <c r="Z71" s="170">
        <f t="shared" si="36"/>
        <v>515</v>
      </c>
      <c r="AA71" s="407">
        <f t="shared" si="28"/>
        <v>0</v>
      </c>
      <c r="AB71" s="194"/>
    </row>
    <row r="72" spans="1:28" s="278" customFormat="1" x14ac:dyDescent="0.25">
      <c r="A72" s="200">
        <v>202275</v>
      </c>
      <c r="B72" s="313" t="s">
        <v>19013</v>
      </c>
      <c r="C72" s="248"/>
      <c r="D72" s="247" t="s">
        <v>11</v>
      </c>
      <c r="E72" s="249">
        <f t="shared" si="33"/>
        <v>75.000250000000008</v>
      </c>
      <c r="F72" s="170">
        <f t="shared" si="33"/>
        <v>76.594005312500016</v>
      </c>
      <c r="G72" s="250">
        <v>0.65</v>
      </c>
      <c r="H72" s="171">
        <f t="shared" si="16"/>
        <v>0.65</v>
      </c>
      <c r="I72" s="249">
        <f t="shared" si="34"/>
        <v>0</v>
      </c>
      <c r="J72" s="170">
        <f t="shared" si="34"/>
        <v>0</v>
      </c>
      <c r="K72" s="252"/>
      <c r="L72" s="172">
        <f t="shared" si="18"/>
        <v>0</v>
      </c>
      <c r="M72" s="249">
        <f t="shared" si="19"/>
        <v>17.307749999999999</v>
      </c>
      <c r="N72" s="170">
        <f t="shared" si="20"/>
        <v>17.675539687500002</v>
      </c>
      <c r="O72" s="252">
        <v>0.15</v>
      </c>
      <c r="P72" s="172">
        <f t="shared" si="21"/>
        <v>0.15</v>
      </c>
      <c r="Q72" s="251">
        <f t="shared" si="22"/>
        <v>23.077000000000002</v>
      </c>
      <c r="R72" s="173">
        <f t="shared" si="23"/>
        <v>23.567386250000006</v>
      </c>
      <c r="S72" s="250">
        <v>0.2</v>
      </c>
      <c r="T72" s="171">
        <f t="shared" si="24"/>
        <v>0.2</v>
      </c>
      <c r="U72" s="256">
        <v>115.38500000000001</v>
      </c>
      <c r="V72" s="170">
        <f t="shared" si="35"/>
        <v>117.83693125000002</v>
      </c>
      <c r="W72" s="258">
        <v>0.3</v>
      </c>
      <c r="X72" s="257">
        <f t="shared" si="37"/>
        <v>150.00049999999999</v>
      </c>
      <c r="Y72" s="170">
        <f t="shared" si="26"/>
        <v>153.18801062500003</v>
      </c>
      <c r="Z72" s="170">
        <f t="shared" si="36"/>
        <v>155</v>
      </c>
      <c r="AA72" s="407">
        <f t="shared" si="28"/>
        <v>0</v>
      </c>
      <c r="AB72" s="194"/>
    </row>
    <row r="73" spans="1:28" s="278" customFormat="1" x14ac:dyDescent="0.25">
      <c r="A73" s="200">
        <v>202280</v>
      </c>
      <c r="B73" s="313" t="s">
        <v>14495</v>
      </c>
      <c r="C73" s="248"/>
      <c r="D73" s="247" t="s">
        <v>11</v>
      </c>
      <c r="E73" s="249">
        <f t="shared" si="33"/>
        <v>201.92250000000001</v>
      </c>
      <c r="F73" s="170">
        <f t="shared" si="33"/>
        <v>206.19316087499999</v>
      </c>
      <c r="G73" s="250">
        <v>0.75</v>
      </c>
      <c r="H73" s="171">
        <f t="shared" si="16"/>
        <v>0.75</v>
      </c>
      <c r="I73" s="249">
        <f t="shared" si="34"/>
        <v>0</v>
      </c>
      <c r="J73" s="170">
        <f t="shared" si="34"/>
        <v>0</v>
      </c>
      <c r="K73" s="252"/>
      <c r="L73" s="172">
        <f t="shared" si="18"/>
        <v>0</v>
      </c>
      <c r="M73" s="249">
        <f t="shared" si="19"/>
        <v>13.461500000000001</v>
      </c>
      <c r="N73" s="170">
        <f t="shared" si="20"/>
        <v>13.746210725000001</v>
      </c>
      <c r="O73" s="252">
        <v>0.05</v>
      </c>
      <c r="P73" s="172">
        <f t="shared" si="21"/>
        <v>0.05</v>
      </c>
      <c r="Q73" s="251">
        <f t="shared" si="22"/>
        <v>53.846000000000004</v>
      </c>
      <c r="R73" s="173">
        <f t="shared" si="23"/>
        <v>54.984842900000004</v>
      </c>
      <c r="S73" s="250">
        <v>0.2</v>
      </c>
      <c r="T73" s="171">
        <f t="shared" si="24"/>
        <v>0.2</v>
      </c>
      <c r="U73" s="256">
        <v>269.23</v>
      </c>
      <c r="V73" s="170">
        <f t="shared" si="35"/>
        <v>274.92421450000001</v>
      </c>
      <c r="W73" s="258">
        <v>0.3</v>
      </c>
      <c r="X73" s="257">
        <f t="shared" si="37"/>
        <v>349.99900000000002</v>
      </c>
      <c r="Y73" s="170">
        <f t="shared" si="26"/>
        <v>357.40147885000005</v>
      </c>
      <c r="Z73" s="170">
        <f t="shared" si="36"/>
        <v>360</v>
      </c>
      <c r="AA73" s="407">
        <f t="shared" si="28"/>
        <v>0</v>
      </c>
      <c r="AB73" s="194"/>
    </row>
    <row r="74" spans="1:28" s="278" customFormat="1" x14ac:dyDescent="0.25">
      <c r="A74" s="200">
        <v>202290</v>
      </c>
      <c r="B74" s="313" t="s">
        <v>14496</v>
      </c>
      <c r="C74" s="248"/>
      <c r="D74" s="247" t="s">
        <v>11</v>
      </c>
      <c r="E74" s="249">
        <f t="shared" si="33"/>
        <v>369.23099999999999</v>
      </c>
      <c r="F74" s="170">
        <f t="shared" si="33"/>
        <v>377.57562059999998</v>
      </c>
      <c r="G74" s="250">
        <v>0.6</v>
      </c>
      <c r="H74" s="171">
        <f t="shared" si="16"/>
        <v>0.6</v>
      </c>
      <c r="I74" s="249">
        <f t="shared" si="34"/>
        <v>0</v>
      </c>
      <c r="J74" s="170">
        <f t="shared" si="34"/>
        <v>0</v>
      </c>
      <c r="K74" s="252"/>
      <c r="L74" s="172">
        <f t="shared" si="18"/>
        <v>0</v>
      </c>
      <c r="M74" s="249">
        <f t="shared" si="19"/>
        <v>184.6155</v>
      </c>
      <c r="N74" s="170">
        <f t="shared" si="20"/>
        <v>188.78781029999999</v>
      </c>
      <c r="O74" s="252">
        <v>0.3</v>
      </c>
      <c r="P74" s="172">
        <f t="shared" si="21"/>
        <v>0.3</v>
      </c>
      <c r="Q74" s="251">
        <f t="shared" si="22"/>
        <v>61.538499999999999</v>
      </c>
      <c r="R74" s="173">
        <f t="shared" si="23"/>
        <v>62.929270099999997</v>
      </c>
      <c r="S74" s="250">
        <v>0.1</v>
      </c>
      <c r="T74" s="171">
        <f t="shared" si="24"/>
        <v>0.1</v>
      </c>
      <c r="U74" s="256">
        <v>615.38499999999999</v>
      </c>
      <c r="V74" s="170">
        <f t="shared" si="35"/>
        <v>629.29270099999997</v>
      </c>
      <c r="W74" s="258">
        <v>0.3</v>
      </c>
      <c r="X74" s="257">
        <f t="shared" si="37"/>
        <v>800.00049999999999</v>
      </c>
      <c r="Y74" s="170">
        <f t="shared" si="26"/>
        <v>818.08051130000001</v>
      </c>
      <c r="Z74" s="170">
        <f t="shared" si="36"/>
        <v>820</v>
      </c>
      <c r="AA74" s="407">
        <f t="shared" si="28"/>
        <v>0</v>
      </c>
      <c r="AB74" s="194"/>
    </row>
    <row r="75" spans="1:28" s="278" customFormat="1" x14ac:dyDescent="0.25">
      <c r="A75" s="200">
        <v>202290</v>
      </c>
      <c r="B75" s="313" t="s">
        <v>14497</v>
      </c>
      <c r="C75" s="248"/>
      <c r="D75" s="247" t="s">
        <v>11</v>
      </c>
      <c r="E75" s="249">
        <f t="shared" si="33"/>
        <v>307.69200000000001</v>
      </c>
      <c r="F75" s="170">
        <f t="shared" si="33"/>
        <v>314.18430120000005</v>
      </c>
      <c r="G75" s="250">
        <v>0.8</v>
      </c>
      <c r="H75" s="171">
        <f t="shared" si="16"/>
        <v>0.8</v>
      </c>
      <c r="I75" s="249">
        <f t="shared" si="34"/>
        <v>0</v>
      </c>
      <c r="J75" s="170">
        <f t="shared" si="34"/>
        <v>0</v>
      </c>
      <c r="K75" s="252"/>
      <c r="L75" s="172">
        <f t="shared" si="18"/>
        <v>0</v>
      </c>
      <c r="M75" s="249">
        <f t="shared" si="19"/>
        <v>0</v>
      </c>
      <c r="N75" s="170">
        <f t="shared" si="20"/>
        <v>0</v>
      </c>
      <c r="O75" s="252"/>
      <c r="P75" s="172">
        <f t="shared" si="21"/>
        <v>0</v>
      </c>
      <c r="Q75" s="251">
        <f t="shared" si="22"/>
        <v>76.923000000000002</v>
      </c>
      <c r="R75" s="173">
        <f t="shared" si="23"/>
        <v>78.546075300000012</v>
      </c>
      <c r="S75" s="250">
        <v>0.2</v>
      </c>
      <c r="T75" s="171">
        <f t="shared" si="24"/>
        <v>0.2</v>
      </c>
      <c r="U75" s="256">
        <v>384.61500000000001</v>
      </c>
      <c r="V75" s="170">
        <f t="shared" si="35"/>
        <v>392.73037650000003</v>
      </c>
      <c r="W75" s="258">
        <v>0.3</v>
      </c>
      <c r="X75" s="257">
        <f t="shared" si="37"/>
        <v>499.99950000000001</v>
      </c>
      <c r="Y75" s="170">
        <f t="shared" si="26"/>
        <v>510.54948945000007</v>
      </c>
      <c r="Z75" s="170">
        <f t="shared" si="36"/>
        <v>515</v>
      </c>
      <c r="AA75" s="407">
        <f t="shared" si="28"/>
        <v>0</v>
      </c>
      <c r="AB75" s="194"/>
    </row>
    <row r="76" spans="1:28" s="278" customFormat="1" x14ac:dyDescent="0.25">
      <c r="A76" s="200">
        <v>202290</v>
      </c>
      <c r="B76" s="313" t="s">
        <v>14498</v>
      </c>
      <c r="C76" s="248"/>
      <c r="D76" s="247" t="s">
        <v>11</v>
      </c>
      <c r="E76" s="249">
        <f t="shared" si="33"/>
        <v>553.84500000000003</v>
      </c>
      <c r="F76" s="170">
        <f t="shared" si="33"/>
        <v>566.361897</v>
      </c>
      <c r="G76" s="250">
        <v>0.6</v>
      </c>
      <c r="H76" s="171">
        <f t="shared" si="16"/>
        <v>0.6</v>
      </c>
      <c r="I76" s="249">
        <f t="shared" si="34"/>
        <v>0</v>
      </c>
      <c r="J76" s="170">
        <f t="shared" si="34"/>
        <v>0</v>
      </c>
      <c r="K76" s="252"/>
      <c r="L76" s="172">
        <f t="shared" si="18"/>
        <v>0</v>
      </c>
      <c r="M76" s="249">
        <f t="shared" si="19"/>
        <v>276.92250000000001</v>
      </c>
      <c r="N76" s="170">
        <f t="shared" si="20"/>
        <v>283.1809485</v>
      </c>
      <c r="O76" s="250">
        <v>0.3</v>
      </c>
      <c r="P76" s="172">
        <f t="shared" si="21"/>
        <v>0.3</v>
      </c>
      <c r="Q76" s="251">
        <f t="shared" si="22"/>
        <v>92.307500000000005</v>
      </c>
      <c r="R76" s="173">
        <f t="shared" si="23"/>
        <v>94.393649500000009</v>
      </c>
      <c r="S76" s="250">
        <v>0.1</v>
      </c>
      <c r="T76" s="171">
        <f t="shared" si="24"/>
        <v>0.1</v>
      </c>
      <c r="U76" s="256">
        <v>923.07500000000005</v>
      </c>
      <c r="V76" s="170">
        <f t="shared" si="35"/>
        <v>943.93649500000004</v>
      </c>
      <c r="W76" s="258">
        <v>0.3</v>
      </c>
      <c r="X76" s="257">
        <f t="shared" si="37"/>
        <v>1199.9974999999999</v>
      </c>
      <c r="Y76" s="170">
        <f t="shared" si="26"/>
        <v>1227.1174435</v>
      </c>
      <c r="Z76" s="170">
        <f t="shared" si="36"/>
        <v>1250</v>
      </c>
      <c r="AA76" s="407">
        <f t="shared" si="28"/>
        <v>0</v>
      </c>
      <c r="AB76" s="194"/>
    </row>
    <row r="77" spans="1:28" s="278" customFormat="1" x14ac:dyDescent="0.25">
      <c r="A77" s="200">
        <v>202290</v>
      </c>
      <c r="B77" s="313" t="s">
        <v>14499</v>
      </c>
      <c r="C77" s="248"/>
      <c r="D77" s="247" t="s">
        <v>11</v>
      </c>
      <c r="E77" s="249">
        <f t="shared" si="33"/>
        <v>761.53740000000005</v>
      </c>
      <c r="F77" s="170">
        <f t="shared" si="33"/>
        <v>778.74814523999987</v>
      </c>
      <c r="G77" s="250">
        <v>0.6</v>
      </c>
      <c r="H77" s="171">
        <f t="shared" si="16"/>
        <v>0.6</v>
      </c>
      <c r="I77" s="249">
        <f t="shared" si="34"/>
        <v>0</v>
      </c>
      <c r="J77" s="170">
        <f t="shared" si="34"/>
        <v>0</v>
      </c>
      <c r="K77" s="252"/>
      <c r="L77" s="172">
        <f t="shared" si="18"/>
        <v>0</v>
      </c>
      <c r="M77" s="249">
        <f t="shared" si="19"/>
        <v>380.76870000000002</v>
      </c>
      <c r="N77" s="170">
        <f t="shared" si="20"/>
        <v>389.37407261999994</v>
      </c>
      <c r="O77" s="250">
        <v>0.3</v>
      </c>
      <c r="P77" s="172">
        <f t="shared" si="21"/>
        <v>0.3</v>
      </c>
      <c r="Q77" s="251">
        <f t="shared" si="22"/>
        <v>126.92290000000001</v>
      </c>
      <c r="R77" s="173">
        <f t="shared" si="23"/>
        <v>129.79135754000001</v>
      </c>
      <c r="S77" s="250">
        <v>0.1</v>
      </c>
      <c r="T77" s="171">
        <f t="shared" si="24"/>
        <v>0.1</v>
      </c>
      <c r="U77" s="256">
        <v>1269.229</v>
      </c>
      <c r="V77" s="170">
        <f t="shared" si="35"/>
        <v>1297.9135753999999</v>
      </c>
      <c r="W77" s="258">
        <v>0.3</v>
      </c>
      <c r="X77" s="257">
        <f t="shared" si="37"/>
        <v>1649.9977000000001</v>
      </c>
      <c r="Y77" s="170">
        <f t="shared" si="26"/>
        <v>1687.28764802</v>
      </c>
      <c r="Z77" s="170">
        <f t="shared" si="36"/>
        <v>1700</v>
      </c>
      <c r="AA77" s="407">
        <f t="shared" si="28"/>
        <v>0</v>
      </c>
      <c r="AB77" s="194"/>
    </row>
    <row r="78" spans="1:28" s="278" customFormat="1" x14ac:dyDescent="0.25">
      <c r="A78" s="200">
        <v>202295</v>
      </c>
      <c r="B78" s="313" t="s">
        <v>14500</v>
      </c>
      <c r="C78" s="248"/>
      <c r="D78" s="247" t="s">
        <v>11</v>
      </c>
      <c r="E78" s="249">
        <f t="shared" si="33"/>
        <v>270.83550000000002</v>
      </c>
      <c r="F78" s="170">
        <f t="shared" si="33"/>
        <v>277.29492667500006</v>
      </c>
      <c r="G78" s="250">
        <v>0.65</v>
      </c>
      <c r="H78" s="171">
        <f t="shared" si="16"/>
        <v>0.65</v>
      </c>
      <c r="I78" s="249">
        <f t="shared" si="34"/>
        <v>0</v>
      </c>
      <c r="J78" s="170">
        <f t="shared" si="34"/>
        <v>0</v>
      </c>
      <c r="K78" s="252"/>
      <c r="L78" s="172">
        <f t="shared" si="18"/>
        <v>0</v>
      </c>
      <c r="M78" s="249">
        <f t="shared" si="19"/>
        <v>145.83449999999999</v>
      </c>
      <c r="N78" s="170">
        <f t="shared" si="20"/>
        <v>149.31265282500001</v>
      </c>
      <c r="O78" s="250">
        <v>0.35</v>
      </c>
      <c r="P78" s="172">
        <f t="shared" si="21"/>
        <v>0.35</v>
      </c>
      <c r="Q78" s="251">
        <f t="shared" si="22"/>
        <v>0</v>
      </c>
      <c r="R78" s="173">
        <f t="shared" si="23"/>
        <v>0</v>
      </c>
      <c r="S78" s="252"/>
      <c r="T78" s="171">
        <f t="shared" si="24"/>
        <v>0</v>
      </c>
      <c r="U78" s="256">
        <v>416.67</v>
      </c>
      <c r="V78" s="170">
        <f t="shared" si="35"/>
        <v>426.60757950000004</v>
      </c>
      <c r="W78" s="258">
        <v>0.2</v>
      </c>
      <c r="X78" s="257">
        <f t="shared" si="37"/>
        <v>500.00400000000002</v>
      </c>
      <c r="Y78" s="170">
        <f t="shared" si="26"/>
        <v>511.92909540000005</v>
      </c>
      <c r="Z78" s="170">
        <f t="shared" si="36"/>
        <v>515</v>
      </c>
      <c r="AA78" s="407">
        <f t="shared" si="28"/>
        <v>0</v>
      </c>
      <c r="AB78" s="194"/>
    </row>
    <row r="79" spans="1:28" s="278" customFormat="1" x14ac:dyDescent="0.25">
      <c r="A79" s="200">
        <v>202296</v>
      </c>
      <c r="B79" s="313" t="s">
        <v>14501</v>
      </c>
      <c r="C79" s="248"/>
      <c r="D79" s="247" t="s">
        <v>11</v>
      </c>
      <c r="E79" s="249">
        <f t="shared" si="33"/>
        <v>323.07600000000002</v>
      </c>
      <c r="F79" s="170">
        <f t="shared" si="33"/>
        <v>329.9575188</v>
      </c>
      <c r="G79" s="250">
        <v>0.6</v>
      </c>
      <c r="H79" s="171">
        <f t="shared" si="16"/>
        <v>0.6</v>
      </c>
      <c r="I79" s="249">
        <f t="shared" si="34"/>
        <v>0</v>
      </c>
      <c r="J79" s="170">
        <f t="shared" si="34"/>
        <v>0</v>
      </c>
      <c r="K79" s="252"/>
      <c r="L79" s="172">
        <f t="shared" si="18"/>
        <v>0</v>
      </c>
      <c r="M79" s="249">
        <f t="shared" si="19"/>
        <v>107.69200000000001</v>
      </c>
      <c r="N79" s="170">
        <f t="shared" si="20"/>
        <v>109.98583960000002</v>
      </c>
      <c r="O79" s="250">
        <v>0.2</v>
      </c>
      <c r="P79" s="172">
        <f t="shared" si="21"/>
        <v>0.2</v>
      </c>
      <c r="Q79" s="251">
        <f t="shared" si="22"/>
        <v>107.69200000000001</v>
      </c>
      <c r="R79" s="173">
        <f t="shared" si="23"/>
        <v>109.98583960000002</v>
      </c>
      <c r="S79" s="250">
        <v>0.2</v>
      </c>
      <c r="T79" s="171">
        <f t="shared" si="24"/>
        <v>0.2</v>
      </c>
      <c r="U79" s="256">
        <v>538.46</v>
      </c>
      <c r="V79" s="170">
        <f t="shared" si="35"/>
        <v>549.92919800000004</v>
      </c>
      <c r="W79" s="258">
        <v>0.3</v>
      </c>
      <c r="X79" s="257">
        <f t="shared" si="37"/>
        <v>699.99800000000005</v>
      </c>
      <c r="Y79" s="170">
        <f t="shared" si="26"/>
        <v>714.9079574000001</v>
      </c>
      <c r="Z79" s="170">
        <f t="shared" si="36"/>
        <v>715</v>
      </c>
      <c r="AA79" s="407">
        <f t="shared" si="28"/>
        <v>0</v>
      </c>
      <c r="AB79" s="194"/>
    </row>
    <row r="80" spans="1:28" s="278" customFormat="1" x14ac:dyDescent="0.25">
      <c r="A80" s="200">
        <v>202305</v>
      </c>
      <c r="B80" s="313" t="s">
        <v>14502</v>
      </c>
      <c r="C80" s="248"/>
      <c r="D80" s="247" t="s">
        <v>11</v>
      </c>
      <c r="E80" s="249">
        <f t="shared" si="33"/>
        <v>583.33100000000002</v>
      </c>
      <c r="F80" s="170">
        <f t="shared" si="33"/>
        <v>597.21427779999999</v>
      </c>
      <c r="G80" s="250">
        <v>0.7</v>
      </c>
      <c r="H80" s="171">
        <f t="shared" si="16"/>
        <v>0.7</v>
      </c>
      <c r="I80" s="249">
        <f t="shared" si="34"/>
        <v>0</v>
      </c>
      <c r="J80" s="170">
        <f t="shared" si="34"/>
        <v>0</v>
      </c>
      <c r="K80" s="252"/>
      <c r="L80" s="172">
        <f t="shared" si="18"/>
        <v>0</v>
      </c>
      <c r="M80" s="249">
        <f t="shared" si="19"/>
        <v>249.999</v>
      </c>
      <c r="N80" s="170">
        <f t="shared" si="20"/>
        <v>255.9489762</v>
      </c>
      <c r="O80" s="250">
        <v>0.3</v>
      </c>
      <c r="P80" s="172">
        <f t="shared" si="21"/>
        <v>0.3</v>
      </c>
      <c r="Q80" s="251">
        <f t="shared" si="22"/>
        <v>0</v>
      </c>
      <c r="R80" s="173">
        <f t="shared" si="23"/>
        <v>0</v>
      </c>
      <c r="S80" s="252"/>
      <c r="T80" s="171">
        <f t="shared" si="24"/>
        <v>0</v>
      </c>
      <c r="U80" s="256">
        <v>833.33</v>
      </c>
      <c r="V80" s="170">
        <f t="shared" si="35"/>
        <v>853.16325400000005</v>
      </c>
      <c r="W80" s="258">
        <v>0.2</v>
      </c>
      <c r="X80" s="257">
        <f t="shared" si="37"/>
        <v>999.99600000000009</v>
      </c>
      <c r="Y80" s="170">
        <f t="shared" si="26"/>
        <v>1023.7959048</v>
      </c>
      <c r="Z80" s="170">
        <f t="shared" si="36"/>
        <v>1025</v>
      </c>
      <c r="AA80" s="407">
        <f t="shared" si="28"/>
        <v>0</v>
      </c>
      <c r="AB80" s="194"/>
    </row>
    <row r="81" spans="1:28" s="278" customFormat="1" x14ac:dyDescent="0.25">
      <c r="A81" s="200">
        <v>202310</v>
      </c>
      <c r="B81" s="313" t="s">
        <v>19014</v>
      </c>
      <c r="C81" s="248"/>
      <c r="D81" s="247" t="s">
        <v>11</v>
      </c>
      <c r="E81" s="249">
        <f t="shared" si="33"/>
        <v>346.15499999999997</v>
      </c>
      <c r="F81" s="170">
        <f t="shared" si="33"/>
        <v>353.56271699999996</v>
      </c>
      <c r="G81" s="250">
        <v>0.5</v>
      </c>
      <c r="H81" s="171">
        <f t="shared" si="16"/>
        <v>0.5</v>
      </c>
      <c r="I81" s="249">
        <f t="shared" si="34"/>
        <v>0</v>
      </c>
      <c r="J81" s="170">
        <f t="shared" si="34"/>
        <v>0</v>
      </c>
      <c r="K81" s="252"/>
      <c r="L81" s="172">
        <f t="shared" si="18"/>
        <v>0</v>
      </c>
      <c r="M81" s="249">
        <f t="shared" si="19"/>
        <v>207.69299999999998</v>
      </c>
      <c r="N81" s="170">
        <f t="shared" si="20"/>
        <v>212.13763019999996</v>
      </c>
      <c r="O81" s="250">
        <v>0.3</v>
      </c>
      <c r="P81" s="172">
        <f t="shared" si="21"/>
        <v>0.3</v>
      </c>
      <c r="Q81" s="251">
        <f t="shared" si="22"/>
        <v>138.46199999999999</v>
      </c>
      <c r="R81" s="173">
        <f t="shared" si="23"/>
        <v>141.4250868</v>
      </c>
      <c r="S81" s="250">
        <v>0.2</v>
      </c>
      <c r="T81" s="171">
        <f t="shared" si="24"/>
        <v>0.2</v>
      </c>
      <c r="U81" s="256">
        <v>692.31</v>
      </c>
      <c r="V81" s="170">
        <f t="shared" si="35"/>
        <v>707.12543399999993</v>
      </c>
      <c r="W81" s="258">
        <v>0.3</v>
      </c>
      <c r="X81" s="257">
        <f t="shared" si="37"/>
        <v>900.00299999999993</v>
      </c>
      <c r="Y81" s="170">
        <f t="shared" si="26"/>
        <v>919.26306419999992</v>
      </c>
      <c r="Z81" s="170">
        <f t="shared" si="36"/>
        <v>920</v>
      </c>
      <c r="AA81" s="407">
        <f t="shared" si="28"/>
        <v>0</v>
      </c>
      <c r="AB81" s="194"/>
    </row>
    <row r="82" spans="1:28" s="278" customFormat="1" x14ac:dyDescent="0.25">
      <c r="A82" s="200">
        <v>202310</v>
      </c>
      <c r="B82" s="313" t="s">
        <v>19015</v>
      </c>
      <c r="C82" s="248"/>
      <c r="D82" s="247" t="s">
        <v>11</v>
      </c>
      <c r="E82" s="249">
        <f t="shared" si="33"/>
        <v>276.92099999999999</v>
      </c>
      <c r="F82" s="170">
        <f t="shared" si="33"/>
        <v>283.17941460000003</v>
      </c>
      <c r="G82" s="250">
        <v>0.6</v>
      </c>
      <c r="H82" s="171">
        <f t="shared" si="16"/>
        <v>0.6</v>
      </c>
      <c r="I82" s="249">
        <f t="shared" si="34"/>
        <v>0</v>
      </c>
      <c r="J82" s="170">
        <f t="shared" si="34"/>
        <v>0</v>
      </c>
      <c r="K82" s="252"/>
      <c r="L82" s="172">
        <f t="shared" si="18"/>
        <v>0</v>
      </c>
      <c r="M82" s="249">
        <f t="shared" si="19"/>
        <v>138.4605</v>
      </c>
      <c r="N82" s="170">
        <f t="shared" si="20"/>
        <v>141.58970730000001</v>
      </c>
      <c r="O82" s="250">
        <v>0.3</v>
      </c>
      <c r="P82" s="172">
        <f t="shared" si="21"/>
        <v>0.3</v>
      </c>
      <c r="Q82" s="251">
        <f t="shared" si="22"/>
        <v>46.153500000000008</v>
      </c>
      <c r="R82" s="173">
        <f t="shared" si="23"/>
        <v>47.196569100000005</v>
      </c>
      <c r="S82" s="250">
        <v>0.1</v>
      </c>
      <c r="T82" s="171">
        <f t="shared" si="24"/>
        <v>0.1</v>
      </c>
      <c r="U82" s="256">
        <v>461.53500000000003</v>
      </c>
      <c r="V82" s="170">
        <f t="shared" si="35"/>
        <v>471.96569100000005</v>
      </c>
      <c r="W82" s="258">
        <v>0.3</v>
      </c>
      <c r="X82" s="257">
        <f t="shared" si="37"/>
        <v>599.99549999999999</v>
      </c>
      <c r="Y82" s="170">
        <f t="shared" si="26"/>
        <v>613.55539830000009</v>
      </c>
      <c r="Z82" s="170">
        <f t="shared" si="36"/>
        <v>615</v>
      </c>
      <c r="AA82" s="407">
        <f t="shared" si="28"/>
        <v>0</v>
      </c>
      <c r="AB82" s="194"/>
    </row>
    <row r="83" spans="1:28" s="278" customFormat="1" x14ac:dyDescent="0.25">
      <c r="A83" s="200">
        <v>202315</v>
      </c>
      <c r="B83" s="313" t="s">
        <v>19016</v>
      </c>
      <c r="C83" s="248"/>
      <c r="D83" s="247" t="s">
        <v>11</v>
      </c>
      <c r="E83" s="249">
        <f t="shared" si="33"/>
        <v>480</v>
      </c>
      <c r="F83" s="170">
        <f t="shared" si="33"/>
        <v>491.40000000000003</v>
      </c>
      <c r="G83" s="250">
        <v>0.75</v>
      </c>
      <c r="H83" s="171">
        <f t="shared" si="16"/>
        <v>0.75</v>
      </c>
      <c r="I83" s="249">
        <f t="shared" si="34"/>
        <v>0</v>
      </c>
      <c r="J83" s="170">
        <f t="shared" si="34"/>
        <v>0</v>
      </c>
      <c r="K83" s="252"/>
      <c r="L83" s="172">
        <f t="shared" si="18"/>
        <v>0</v>
      </c>
      <c r="M83" s="249">
        <f t="shared" si="19"/>
        <v>160</v>
      </c>
      <c r="N83" s="170">
        <f t="shared" si="20"/>
        <v>163.80000000000001</v>
      </c>
      <c r="O83" s="250">
        <v>0.25</v>
      </c>
      <c r="P83" s="172">
        <f t="shared" si="21"/>
        <v>0.25</v>
      </c>
      <c r="Q83" s="251">
        <f t="shared" si="22"/>
        <v>0</v>
      </c>
      <c r="R83" s="173">
        <f t="shared" si="23"/>
        <v>0</v>
      </c>
      <c r="S83" s="252"/>
      <c r="T83" s="171">
        <f t="shared" si="24"/>
        <v>0</v>
      </c>
      <c r="U83" s="256">
        <v>640</v>
      </c>
      <c r="V83" s="170">
        <f t="shared" si="35"/>
        <v>655.20000000000005</v>
      </c>
      <c r="W83" s="258">
        <v>0.25</v>
      </c>
      <c r="X83" s="257">
        <f t="shared" si="37"/>
        <v>800</v>
      </c>
      <c r="Y83" s="170">
        <f t="shared" si="26"/>
        <v>819</v>
      </c>
      <c r="Z83" s="170">
        <f t="shared" si="36"/>
        <v>820</v>
      </c>
      <c r="AA83" s="407">
        <f t="shared" si="28"/>
        <v>0</v>
      </c>
      <c r="AB83" s="194"/>
    </row>
    <row r="84" spans="1:28" s="278" customFormat="1" x14ac:dyDescent="0.25">
      <c r="A84" s="200">
        <v>202325</v>
      </c>
      <c r="B84" s="313" t="s">
        <v>19017</v>
      </c>
      <c r="C84" s="248"/>
      <c r="D84" s="247" t="s">
        <v>11</v>
      </c>
      <c r="E84" s="249">
        <f t="shared" si="33"/>
        <v>215.38299999999998</v>
      </c>
      <c r="F84" s="170">
        <f t="shared" si="33"/>
        <v>220.50911539999998</v>
      </c>
      <c r="G84" s="250">
        <v>0.7</v>
      </c>
      <c r="H84" s="171">
        <f t="shared" si="16"/>
        <v>0.7</v>
      </c>
      <c r="I84" s="249">
        <f t="shared" si="34"/>
        <v>0</v>
      </c>
      <c r="J84" s="170">
        <f t="shared" si="34"/>
        <v>0</v>
      </c>
      <c r="K84" s="252"/>
      <c r="L84" s="172">
        <f t="shared" si="18"/>
        <v>0</v>
      </c>
      <c r="M84" s="249">
        <f t="shared" si="19"/>
        <v>92.307000000000002</v>
      </c>
      <c r="N84" s="170">
        <f t="shared" si="20"/>
        <v>94.503906599999993</v>
      </c>
      <c r="O84" s="250">
        <v>0.3</v>
      </c>
      <c r="P84" s="172">
        <f t="shared" si="21"/>
        <v>0.3</v>
      </c>
      <c r="Q84" s="251">
        <f t="shared" si="22"/>
        <v>0</v>
      </c>
      <c r="R84" s="173">
        <f t="shared" si="23"/>
        <v>0</v>
      </c>
      <c r="S84" s="252"/>
      <c r="T84" s="171">
        <f t="shared" si="24"/>
        <v>0</v>
      </c>
      <c r="U84" s="256">
        <v>307.69</v>
      </c>
      <c r="V84" s="170">
        <f t="shared" si="35"/>
        <v>315.01302199999998</v>
      </c>
      <c r="W84" s="258">
        <v>0.3</v>
      </c>
      <c r="X84" s="257">
        <f t="shared" si="37"/>
        <v>399.99700000000001</v>
      </c>
      <c r="Y84" s="170">
        <f t="shared" si="26"/>
        <v>409.51692859999997</v>
      </c>
      <c r="Z84" s="170">
        <f t="shared" si="36"/>
        <v>410</v>
      </c>
      <c r="AA84" s="407">
        <f t="shared" si="28"/>
        <v>0</v>
      </c>
      <c r="AB84" s="194"/>
    </row>
    <row r="85" spans="1:28" s="278" customFormat="1" x14ac:dyDescent="0.25">
      <c r="A85" s="200">
        <v>202325</v>
      </c>
      <c r="B85" s="313" t="s">
        <v>19018</v>
      </c>
      <c r="C85" s="248"/>
      <c r="D85" s="247" t="s">
        <v>11</v>
      </c>
      <c r="E85" s="249">
        <f t="shared" si="33"/>
        <v>161.53899999999999</v>
      </c>
      <c r="F85" s="170">
        <f t="shared" si="33"/>
        <v>165.38362819999998</v>
      </c>
      <c r="G85" s="250">
        <v>0.7</v>
      </c>
      <c r="H85" s="171">
        <f t="shared" si="16"/>
        <v>0.7</v>
      </c>
      <c r="I85" s="249">
        <f t="shared" si="34"/>
        <v>0</v>
      </c>
      <c r="J85" s="170">
        <f t="shared" si="34"/>
        <v>0</v>
      </c>
      <c r="K85" s="252"/>
      <c r="L85" s="172">
        <f t="shared" si="18"/>
        <v>0</v>
      </c>
      <c r="M85" s="249">
        <f t="shared" si="19"/>
        <v>69.230999999999995</v>
      </c>
      <c r="N85" s="170">
        <f t="shared" si="20"/>
        <v>70.878697799999983</v>
      </c>
      <c r="O85" s="250">
        <v>0.3</v>
      </c>
      <c r="P85" s="172">
        <f t="shared" si="21"/>
        <v>0.3</v>
      </c>
      <c r="Q85" s="251">
        <f t="shared" si="22"/>
        <v>0</v>
      </c>
      <c r="R85" s="173">
        <f t="shared" si="23"/>
        <v>0</v>
      </c>
      <c r="S85" s="252"/>
      <c r="T85" s="171">
        <f t="shared" si="24"/>
        <v>0</v>
      </c>
      <c r="U85" s="256">
        <v>230.77</v>
      </c>
      <c r="V85" s="170">
        <f t="shared" si="35"/>
        <v>236.26232599999997</v>
      </c>
      <c r="W85" s="258">
        <v>0.3</v>
      </c>
      <c r="X85" s="257">
        <f t="shared" si="37"/>
        <v>300.00099999999998</v>
      </c>
      <c r="Y85" s="170">
        <f t="shared" si="26"/>
        <v>307.14102379999997</v>
      </c>
      <c r="Z85" s="170">
        <f t="shared" si="36"/>
        <v>310</v>
      </c>
      <c r="AA85" s="407">
        <f t="shared" si="28"/>
        <v>0</v>
      </c>
      <c r="AB85" s="194"/>
    </row>
    <row r="86" spans="1:28" s="278" customFormat="1" x14ac:dyDescent="0.25">
      <c r="A86" s="200">
        <v>202330</v>
      </c>
      <c r="B86" s="313" t="s">
        <v>14503</v>
      </c>
      <c r="C86" s="248"/>
      <c r="D86" s="247" t="s">
        <v>11</v>
      </c>
      <c r="E86" s="249">
        <f t="shared" si="33"/>
        <v>107.69149999999999</v>
      </c>
      <c r="F86" s="170">
        <f t="shared" si="33"/>
        <v>109.97455979999999</v>
      </c>
      <c r="G86" s="250">
        <v>0.7</v>
      </c>
      <c r="H86" s="171">
        <f t="shared" si="16"/>
        <v>0.7</v>
      </c>
      <c r="I86" s="249">
        <f t="shared" si="34"/>
        <v>0</v>
      </c>
      <c r="J86" s="170">
        <f t="shared" si="34"/>
        <v>0</v>
      </c>
      <c r="K86" s="252"/>
      <c r="L86" s="172">
        <f t="shared" si="18"/>
        <v>0</v>
      </c>
      <c r="M86" s="249">
        <f t="shared" si="19"/>
        <v>15.384500000000001</v>
      </c>
      <c r="N86" s="170">
        <f t="shared" si="20"/>
        <v>15.710651400000001</v>
      </c>
      <c r="O86" s="250">
        <v>0.1</v>
      </c>
      <c r="P86" s="172">
        <f t="shared" si="21"/>
        <v>0.1</v>
      </c>
      <c r="Q86" s="251">
        <f t="shared" si="22"/>
        <v>30.769000000000002</v>
      </c>
      <c r="R86" s="173">
        <f t="shared" si="23"/>
        <v>31.421302800000003</v>
      </c>
      <c r="S86" s="250">
        <v>0.2</v>
      </c>
      <c r="T86" s="171">
        <f t="shared" si="24"/>
        <v>0.2</v>
      </c>
      <c r="U86" s="256">
        <v>153.845</v>
      </c>
      <c r="V86" s="170">
        <f t="shared" si="35"/>
        <v>157.106514</v>
      </c>
      <c r="W86" s="258">
        <v>0.3</v>
      </c>
      <c r="X86" s="257">
        <f t="shared" si="37"/>
        <v>199.99850000000001</v>
      </c>
      <c r="Y86" s="170">
        <f t="shared" si="26"/>
        <v>204.2384682</v>
      </c>
      <c r="Z86" s="170">
        <f t="shared" si="36"/>
        <v>205</v>
      </c>
      <c r="AA86" s="407">
        <f t="shared" si="28"/>
        <v>0</v>
      </c>
      <c r="AB86" s="194"/>
    </row>
    <row r="87" spans="1:28" s="278" customFormat="1" x14ac:dyDescent="0.25">
      <c r="A87" s="200">
        <v>202335</v>
      </c>
      <c r="B87" s="313" t="s">
        <v>14504</v>
      </c>
      <c r="C87" s="248"/>
      <c r="D87" s="247" t="s">
        <v>11</v>
      </c>
      <c r="E87" s="249">
        <f t="shared" si="33"/>
        <v>637.5</v>
      </c>
      <c r="F87" s="170">
        <f t="shared" si="33"/>
        <v>652.57687500000009</v>
      </c>
      <c r="G87" s="250">
        <v>0.85</v>
      </c>
      <c r="H87" s="171">
        <f t="shared" si="16"/>
        <v>0.85</v>
      </c>
      <c r="I87" s="249">
        <f t="shared" si="34"/>
        <v>0</v>
      </c>
      <c r="J87" s="170">
        <f t="shared" si="34"/>
        <v>0</v>
      </c>
      <c r="K87" s="252"/>
      <c r="L87" s="172">
        <f t="shared" si="18"/>
        <v>0</v>
      </c>
      <c r="M87" s="249">
        <f t="shared" si="19"/>
        <v>112.5</v>
      </c>
      <c r="N87" s="170">
        <f t="shared" si="20"/>
        <v>115.16062500000001</v>
      </c>
      <c r="O87" s="250">
        <v>0.15</v>
      </c>
      <c r="P87" s="172">
        <f t="shared" si="21"/>
        <v>0.15</v>
      </c>
      <c r="Q87" s="251">
        <f t="shared" si="22"/>
        <v>0</v>
      </c>
      <c r="R87" s="173">
        <f t="shared" si="23"/>
        <v>0</v>
      </c>
      <c r="S87" s="252"/>
      <c r="T87" s="171">
        <f t="shared" si="24"/>
        <v>0</v>
      </c>
      <c r="U87" s="256">
        <v>750</v>
      </c>
      <c r="V87" s="170">
        <f t="shared" si="35"/>
        <v>767.73750000000007</v>
      </c>
      <c r="W87" s="258">
        <v>0.2</v>
      </c>
      <c r="X87" s="257">
        <f t="shared" si="37"/>
        <v>900</v>
      </c>
      <c r="Y87" s="170">
        <f t="shared" si="26"/>
        <v>921.28500000000008</v>
      </c>
      <c r="Z87" s="170">
        <f t="shared" si="36"/>
        <v>925</v>
      </c>
      <c r="AA87" s="407">
        <f t="shared" si="28"/>
        <v>0</v>
      </c>
      <c r="AB87" s="194"/>
    </row>
    <row r="88" spans="1:28" s="278" customFormat="1" x14ac:dyDescent="0.25">
      <c r="A88" s="200">
        <v>202340</v>
      </c>
      <c r="B88" s="255" t="s">
        <v>14505</v>
      </c>
      <c r="C88" s="248"/>
      <c r="D88" s="247" t="s">
        <v>11</v>
      </c>
      <c r="E88" s="249">
        <f t="shared" ref="E88:F119" si="38">U88*G88</f>
        <v>201.92250000000001</v>
      </c>
      <c r="F88" s="170">
        <f t="shared" si="38"/>
        <v>206.718159375</v>
      </c>
      <c r="G88" s="250">
        <v>0.75</v>
      </c>
      <c r="H88" s="171">
        <f t="shared" ref="H88:H151" si="39">G88</f>
        <v>0.75</v>
      </c>
      <c r="I88" s="249">
        <f t="shared" ref="I88:J119" si="40">U88*K88</f>
        <v>0</v>
      </c>
      <c r="J88" s="170">
        <f t="shared" si="40"/>
        <v>0</v>
      </c>
      <c r="K88" s="252"/>
      <c r="L88" s="172">
        <f t="shared" ref="L88:L151" si="41">K88</f>
        <v>0</v>
      </c>
      <c r="M88" s="249">
        <f t="shared" ref="M88:M151" si="42">U88*O88</f>
        <v>67.307500000000005</v>
      </c>
      <c r="N88" s="170">
        <f t="shared" ref="N88:N151" si="43">P88*V88</f>
        <v>68.906053125</v>
      </c>
      <c r="O88" s="250">
        <v>0.25</v>
      </c>
      <c r="P88" s="172">
        <f t="shared" ref="P88:P151" si="44">O88</f>
        <v>0.25</v>
      </c>
      <c r="Q88" s="251">
        <f t="shared" ref="Q88:Q151" si="45">U88*S88</f>
        <v>0</v>
      </c>
      <c r="R88" s="173">
        <f t="shared" ref="R88:R151" si="46">T88*V88</f>
        <v>0</v>
      </c>
      <c r="S88" s="250"/>
      <c r="T88" s="171">
        <f t="shared" ref="T88:T151" si="47">S88</f>
        <v>0</v>
      </c>
      <c r="U88" s="256">
        <v>269.23</v>
      </c>
      <c r="V88" s="170">
        <f t="shared" si="35"/>
        <v>275.6242125</v>
      </c>
      <c r="W88" s="250">
        <v>0.3</v>
      </c>
      <c r="X88" s="257">
        <f t="shared" si="37"/>
        <v>349.99900000000002</v>
      </c>
      <c r="Y88" s="170">
        <f t="shared" ref="Y88:Y151" si="48">IF(V88*(W88+1)=0,X88,V88*(W88+1))</f>
        <v>358.31147625</v>
      </c>
      <c r="Z88" s="170">
        <f t="shared" si="36"/>
        <v>360</v>
      </c>
      <c r="AA88" s="407">
        <f t="shared" ref="AA88:AA151" si="49">C88*Z88</f>
        <v>0</v>
      </c>
      <c r="AB88" s="194"/>
    </row>
    <row r="89" spans="1:28" s="278" customFormat="1" x14ac:dyDescent="0.25">
      <c r="A89" s="200">
        <v>202340</v>
      </c>
      <c r="B89" s="255" t="s">
        <v>14506</v>
      </c>
      <c r="C89" s="248"/>
      <c r="D89" s="247" t="s">
        <v>11</v>
      </c>
      <c r="E89" s="249">
        <f t="shared" si="38"/>
        <v>230.76922500000001</v>
      </c>
      <c r="F89" s="170">
        <f t="shared" si="38"/>
        <v>236.24999409374999</v>
      </c>
      <c r="G89" s="250">
        <v>0.75</v>
      </c>
      <c r="H89" s="171">
        <f t="shared" si="39"/>
        <v>0.75</v>
      </c>
      <c r="I89" s="249">
        <f t="shared" si="40"/>
        <v>0</v>
      </c>
      <c r="J89" s="170">
        <f t="shared" si="40"/>
        <v>0</v>
      </c>
      <c r="K89" s="252"/>
      <c r="L89" s="172">
        <f t="shared" si="41"/>
        <v>0</v>
      </c>
      <c r="M89" s="249">
        <f t="shared" si="42"/>
        <v>76.923074999999997</v>
      </c>
      <c r="N89" s="170">
        <f t="shared" si="43"/>
        <v>78.749998031250001</v>
      </c>
      <c r="O89" s="250">
        <v>0.25</v>
      </c>
      <c r="P89" s="172">
        <f t="shared" si="44"/>
        <v>0.25</v>
      </c>
      <c r="Q89" s="251">
        <f t="shared" si="45"/>
        <v>0</v>
      </c>
      <c r="R89" s="173">
        <f t="shared" si="46"/>
        <v>0</v>
      </c>
      <c r="S89" s="252"/>
      <c r="T89" s="171">
        <f t="shared" si="47"/>
        <v>0</v>
      </c>
      <c r="U89" s="256">
        <v>307.69229999999999</v>
      </c>
      <c r="V89" s="170">
        <f t="shared" si="35"/>
        <v>314.99999212500001</v>
      </c>
      <c r="W89" s="250">
        <v>0.3</v>
      </c>
      <c r="X89" s="257">
        <f t="shared" si="37"/>
        <v>399.99998999999997</v>
      </c>
      <c r="Y89" s="170">
        <f t="shared" si="48"/>
        <v>409.49998976250004</v>
      </c>
      <c r="Z89" s="170">
        <f t="shared" si="36"/>
        <v>410</v>
      </c>
      <c r="AA89" s="407">
        <f t="shared" si="49"/>
        <v>0</v>
      </c>
      <c r="AB89" s="194"/>
    </row>
    <row r="90" spans="1:28" s="278" customFormat="1" x14ac:dyDescent="0.25">
      <c r="A90" s="200">
        <v>202345</v>
      </c>
      <c r="B90" s="313" t="s">
        <v>14507</v>
      </c>
      <c r="C90" s="248"/>
      <c r="D90" s="247" t="s">
        <v>11</v>
      </c>
      <c r="E90" s="249">
        <f t="shared" si="38"/>
        <v>75</v>
      </c>
      <c r="F90" s="170">
        <f t="shared" si="38"/>
        <v>76.597499999999997</v>
      </c>
      <c r="G90" s="250">
        <v>0.6</v>
      </c>
      <c r="H90" s="171">
        <f t="shared" si="39"/>
        <v>0.6</v>
      </c>
      <c r="I90" s="249">
        <f t="shared" si="40"/>
        <v>0</v>
      </c>
      <c r="J90" s="170">
        <f t="shared" si="40"/>
        <v>0</v>
      </c>
      <c r="K90" s="252"/>
      <c r="L90" s="172">
        <f t="shared" si="41"/>
        <v>0</v>
      </c>
      <c r="M90" s="249">
        <f t="shared" si="42"/>
        <v>25</v>
      </c>
      <c r="N90" s="170">
        <f t="shared" si="43"/>
        <v>25.532499999999999</v>
      </c>
      <c r="O90" s="250">
        <v>0.2</v>
      </c>
      <c r="P90" s="172">
        <f t="shared" si="44"/>
        <v>0.2</v>
      </c>
      <c r="Q90" s="251">
        <f t="shared" si="45"/>
        <v>25</v>
      </c>
      <c r="R90" s="173">
        <f t="shared" si="46"/>
        <v>25.532499999999999</v>
      </c>
      <c r="S90" s="250">
        <v>0.2</v>
      </c>
      <c r="T90" s="171">
        <f t="shared" si="47"/>
        <v>0.2</v>
      </c>
      <c r="U90" s="256">
        <v>125</v>
      </c>
      <c r="V90" s="170">
        <f t="shared" si="35"/>
        <v>127.66249999999999</v>
      </c>
      <c r="W90" s="258">
        <v>0.2</v>
      </c>
      <c r="X90" s="257">
        <f t="shared" si="37"/>
        <v>150</v>
      </c>
      <c r="Y90" s="170">
        <f t="shared" si="48"/>
        <v>153.19499999999999</v>
      </c>
      <c r="Z90" s="170">
        <f t="shared" si="36"/>
        <v>155</v>
      </c>
      <c r="AA90" s="407">
        <f t="shared" si="49"/>
        <v>0</v>
      </c>
      <c r="AB90" s="194"/>
    </row>
    <row r="91" spans="1:28" s="278" customFormat="1" ht="14.4" thickBot="1" x14ac:dyDescent="0.3">
      <c r="A91" s="263">
        <v>202345</v>
      </c>
      <c r="B91" s="321" t="s">
        <v>19019</v>
      </c>
      <c r="C91" s="265"/>
      <c r="D91" s="264" t="s">
        <v>11</v>
      </c>
      <c r="E91" s="266">
        <f t="shared" si="38"/>
        <v>124.998</v>
      </c>
      <c r="F91" s="174">
        <f t="shared" si="38"/>
        <v>127.66045740000001</v>
      </c>
      <c r="G91" s="267">
        <v>0.6</v>
      </c>
      <c r="H91" s="268">
        <f t="shared" si="39"/>
        <v>0.6</v>
      </c>
      <c r="I91" s="266">
        <f t="shared" si="40"/>
        <v>0</v>
      </c>
      <c r="J91" s="174">
        <f t="shared" si="40"/>
        <v>0</v>
      </c>
      <c r="K91" s="408"/>
      <c r="L91" s="269">
        <f t="shared" si="41"/>
        <v>0</v>
      </c>
      <c r="M91" s="266">
        <f t="shared" si="42"/>
        <v>41.666000000000004</v>
      </c>
      <c r="N91" s="174">
        <f t="shared" si="43"/>
        <v>42.553485800000004</v>
      </c>
      <c r="O91" s="267">
        <v>0.2</v>
      </c>
      <c r="P91" s="269">
        <f t="shared" si="44"/>
        <v>0.2</v>
      </c>
      <c r="Q91" s="270">
        <f t="shared" si="45"/>
        <v>41.666000000000004</v>
      </c>
      <c r="R91" s="271">
        <f t="shared" si="46"/>
        <v>42.553485800000004</v>
      </c>
      <c r="S91" s="267">
        <v>0.2</v>
      </c>
      <c r="T91" s="268">
        <f t="shared" si="47"/>
        <v>0.2</v>
      </c>
      <c r="U91" s="409">
        <v>208.33</v>
      </c>
      <c r="V91" s="174">
        <f t="shared" si="35"/>
        <v>212.76742900000002</v>
      </c>
      <c r="W91" s="322">
        <v>0.2</v>
      </c>
      <c r="X91" s="274">
        <f t="shared" si="37"/>
        <v>249.99600000000001</v>
      </c>
      <c r="Y91" s="174">
        <f t="shared" si="48"/>
        <v>255.32091480000003</v>
      </c>
      <c r="Z91" s="174">
        <f t="shared" si="36"/>
        <v>260</v>
      </c>
      <c r="AA91" s="410">
        <f t="shared" si="49"/>
        <v>0</v>
      </c>
      <c r="AB91" s="194"/>
    </row>
    <row r="92" spans="1:28" s="278" customFormat="1" x14ac:dyDescent="0.25">
      <c r="A92" s="200">
        <v>202350</v>
      </c>
      <c r="B92" s="313" t="s">
        <v>14508</v>
      </c>
      <c r="C92" s="248"/>
      <c r="D92" s="247" t="s">
        <v>11</v>
      </c>
      <c r="E92" s="249">
        <f t="shared" si="38"/>
        <v>100.002</v>
      </c>
      <c r="F92" s="170">
        <f t="shared" si="38"/>
        <v>102.13204259999999</v>
      </c>
      <c r="G92" s="250">
        <v>0.6</v>
      </c>
      <c r="H92" s="171">
        <f t="shared" si="39"/>
        <v>0.6</v>
      </c>
      <c r="I92" s="249">
        <f t="shared" si="40"/>
        <v>0</v>
      </c>
      <c r="J92" s="170">
        <f t="shared" si="40"/>
        <v>0</v>
      </c>
      <c r="K92" s="252"/>
      <c r="L92" s="172">
        <f t="shared" si="41"/>
        <v>0</v>
      </c>
      <c r="M92" s="249">
        <f t="shared" si="42"/>
        <v>33.333999999999996</v>
      </c>
      <c r="N92" s="170">
        <f t="shared" si="43"/>
        <v>34.044014199999999</v>
      </c>
      <c r="O92" s="250">
        <v>0.2</v>
      </c>
      <c r="P92" s="172">
        <f t="shared" si="44"/>
        <v>0.2</v>
      </c>
      <c r="Q92" s="251">
        <f t="shared" si="45"/>
        <v>33.333999999999996</v>
      </c>
      <c r="R92" s="173">
        <f t="shared" si="46"/>
        <v>34.044014199999999</v>
      </c>
      <c r="S92" s="250">
        <v>0.2</v>
      </c>
      <c r="T92" s="171">
        <f t="shared" si="47"/>
        <v>0.2</v>
      </c>
      <c r="U92" s="256">
        <v>166.67</v>
      </c>
      <c r="V92" s="170">
        <f t="shared" si="35"/>
        <v>170.22007099999999</v>
      </c>
      <c r="W92" s="258">
        <v>0.2</v>
      </c>
      <c r="X92" s="257">
        <f t="shared" si="37"/>
        <v>200.00399999999999</v>
      </c>
      <c r="Y92" s="170">
        <f t="shared" si="48"/>
        <v>204.26408519999998</v>
      </c>
      <c r="Z92" s="170">
        <f t="shared" si="36"/>
        <v>205</v>
      </c>
      <c r="AA92" s="407">
        <f t="shared" si="49"/>
        <v>0</v>
      </c>
      <c r="AB92" s="194"/>
    </row>
    <row r="93" spans="1:28" s="278" customFormat="1" x14ac:dyDescent="0.25">
      <c r="A93" s="200">
        <v>202355</v>
      </c>
      <c r="B93" s="313" t="s">
        <v>19020</v>
      </c>
      <c r="C93" s="248"/>
      <c r="D93" s="247" t="s">
        <v>11</v>
      </c>
      <c r="E93" s="249">
        <f t="shared" si="38"/>
        <v>540</v>
      </c>
      <c r="F93" s="170">
        <f t="shared" si="38"/>
        <v>552.12300000000005</v>
      </c>
      <c r="G93" s="250">
        <v>0.75</v>
      </c>
      <c r="H93" s="171">
        <f t="shared" si="39"/>
        <v>0.75</v>
      </c>
      <c r="I93" s="249">
        <f t="shared" si="40"/>
        <v>0</v>
      </c>
      <c r="J93" s="170">
        <f t="shared" si="40"/>
        <v>0</v>
      </c>
      <c r="K93" s="252"/>
      <c r="L93" s="172">
        <f t="shared" si="41"/>
        <v>0</v>
      </c>
      <c r="M93" s="249">
        <f t="shared" si="42"/>
        <v>108</v>
      </c>
      <c r="N93" s="170">
        <f t="shared" si="43"/>
        <v>110.4246</v>
      </c>
      <c r="O93" s="250">
        <v>0.15</v>
      </c>
      <c r="P93" s="172">
        <f t="shared" si="44"/>
        <v>0.15</v>
      </c>
      <c r="Q93" s="251">
        <f t="shared" si="45"/>
        <v>72</v>
      </c>
      <c r="R93" s="173">
        <f t="shared" si="46"/>
        <v>73.616399999999999</v>
      </c>
      <c r="S93" s="250">
        <v>0.1</v>
      </c>
      <c r="T93" s="171">
        <f t="shared" si="47"/>
        <v>0.1</v>
      </c>
      <c r="U93" s="256">
        <v>720</v>
      </c>
      <c r="V93" s="170">
        <f t="shared" si="35"/>
        <v>736.16399999999999</v>
      </c>
      <c r="W93" s="258">
        <v>0.25</v>
      </c>
      <c r="X93" s="257">
        <f t="shared" si="37"/>
        <v>900</v>
      </c>
      <c r="Y93" s="170">
        <f t="shared" si="48"/>
        <v>920.20499999999993</v>
      </c>
      <c r="Z93" s="170">
        <f t="shared" si="36"/>
        <v>925</v>
      </c>
      <c r="AA93" s="407">
        <f t="shared" si="49"/>
        <v>0</v>
      </c>
      <c r="AB93" s="194"/>
    </row>
    <row r="94" spans="1:28" s="278" customFormat="1" x14ac:dyDescent="0.25">
      <c r="A94" s="200">
        <v>202355</v>
      </c>
      <c r="B94" s="313" t="s">
        <v>19021</v>
      </c>
      <c r="C94" s="248"/>
      <c r="D94" s="247" t="s">
        <v>11</v>
      </c>
      <c r="E94" s="249">
        <f t="shared" si="38"/>
        <v>750</v>
      </c>
      <c r="F94" s="170">
        <f t="shared" si="38"/>
        <v>766.83750000000009</v>
      </c>
      <c r="G94" s="250">
        <v>0.75</v>
      </c>
      <c r="H94" s="171">
        <f t="shared" si="39"/>
        <v>0.75</v>
      </c>
      <c r="I94" s="249">
        <f t="shared" si="40"/>
        <v>0</v>
      </c>
      <c r="J94" s="170">
        <f t="shared" si="40"/>
        <v>0</v>
      </c>
      <c r="K94" s="252"/>
      <c r="L94" s="172">
        <f t="shared" si="41"/>
        <v>0</v>
      </c>
      <c r="M94" s="249">
        <f t="shared" si="42"/>
        <v>150</v>
      </c>
      <c r="N94" s="170">
        <f t="shared" si="43"/>
        <v>153.36750000000001</v>
      </c>
      <c r="O94" s="250">
        <v>0.15</v>
      </c>
      <c r="P94" s="172">
        <f t="shared" si="44"/>
        <v>0.15</v>
      </c>
      <c r="Q94" s="251">
        <f t="shared" si="45"/>
        <v>100</v>
      </c>
      <c r="R94" s="173">
        <f t="shared" si="46"/>
        <v>102.245</v>
      </c>
      <c r="S94" s="250">
        <v>0.1</v>
      </c>
      <c r="T94" s="171">
        <f t="shared" si="47"/>
        <v>0.1</v>
      </c>
      <c r="U94" s="256">
        <v>1000</v>
      </c>
      <c r="V94" s="170">
        <f t="shared" si="35"/>
        <v>1022.45</v>
      </c>
      <c r="W94" s="258">
        <v>0.25</v>
      </c>
      <c r="X94" s="257">
        <f t="shared" si="37"/>
        <v>1250</v>
      </c>
      <c r="Y94" s="170">
        <f t="shared" si="48"/>
        <v>1278.0625</v>
      </c>
      <c r="Z94" s="170">
        <f t="shared" si="36"/>
        <v>1300</v>
      </c>
      <c r="AA94" s="407">
        <f t="shared" si="49"/>
        <v>0</v>
      </c>
      <c r="AB94" s="194"/>
    </row>
    <row r="95" spans="1:28" s="278" customFormat="1" x14ac:dyDescent="0.25">
      <c r="A95" s="200">
        <v>202365</v>
      </c>
      <c r="B95" s="313" t="s">
        <v>14509</v>
      </c>
      <c r="C95" s="248"/>
      <c r="D95" s="247" t="s">
        <v>11</v>
      </c>
      <c r="E95" s="249">
        <f t="shared" si="38"/>
        <v>35.419499999999999</v>
      </c>
      <c r="F95" s="170">
        <f t="shared" si="38"/>
        <v>36.257171174999996</v>
      </c>
      <c r="G95" s="250">
        <v>0.85</v>
      </c>
      <c r="H95" s="171">
        <f t="shared" si="39"/>
        <v>0.85</v>
      </c>
      <c r="I95" s="249">
        <f t="shared" si="40"/>
        <v>0</v>
      </c>
      <c r="J95" s="170">
        <f t="shared" si="40"/>
        <v>0</v>
      </c>
      <c r="K95" s="252"/>
      <c r="L95" s="172">
        <f t="shared" si="41"/>
        <v>0</v>
      </c>
      <c r="M95" s="249">
        <f t="shared" si="42"/>
        <v>6.2504999999999997</v>
      </c>
      <c r="N95" s="170">
        <f t="shared" si="43"/>
        <v>6.3983243249999999</v>
      </c>
      <c r="O95" s="250">
        <v>0.15</v>
      </c>
      <c r="P95" s="172">
        <f t="shared" si="44"/>
        <v>0.15</v>
      </c>
      <c r="Q95" s="251">
        <f t="shared" si="45"/>
        <v>0</v>
      </c>
      <c r="R95" s="173">
        <f t="shared" si="46"/>
        <v>0</v>
      </c>
      <c r="S95" s="252"/>
      <c r="T95" s="171">
        <f t="shared" si="47"/>
        <v>0</v>
      </c>
      <c r="U95" s="256">
        <v>41.67</v>
      </c>
      <c r="V95" s="170">
        <f t="shared" si="35"/>
        <v>42.655495500000001</v>
      </c>
      <c r="W95" s="258">
        <v>0.2</v>
      </c>
      <c r="X95" s="257">
        <f t="shared" si="37"/>
        <v>50.004000000000005</v>
      </c>
      <c r="Y95" s="170">
        <f t="shared" si="48"/>
        <v>51.186594599999999</v>
      </c>
      <c r="Z95" s="170">
        <f t="shared" si="36"/>
        <v>52</v>
      </c>
      <c r="AA95" s="407">
        <f t="shared" si="49"/>
        <v>0</v>
      </c>
      <c r="AB95" s="194"/>
    </row>
    <row r="96" spans="1:28" s="278" customFormat="1" x14ac:dyDescent="0.25">
      <c r="A96" s="200">
        <v>202370</v>
      </c>
      <c r="B96" s="313" t="s">
        <v>14510</v>
      </c>
      <c r="C96" s="248"/>
      <c r="D96" s="247" t="s">
        <v>11</v>
      </c>
      <c r="E96" s="249">
        <f t="shared" si="38"/>
        <v>161.53899999999999</v>
      </c>
      <c r="F96" s="170">
        <f t="shared" si="38"/>
        <v>165.17362749999998</v>
      </c>
      <c r="G96" s="250">
        <v>0.7</v>
      </c>
      <c r="H96" s="171">
        <f t="shared" si="39"/>
        <v>0.7</v>
      </c>
      <c r="I96" s="249">
        <f t="shared" si="40"/>
        <v>0</v>
      </c>
      <c r="J96" s="170">
        <f t="shared" si="40"/>
        <v>0</v>
      </c>
      <c r="K96" s="252"/>
      <c r="L96" s="172">
        <f t="shared" si="41"/>
        <v>0</v>
      </c>
      <c r="M96" s="249">
        <f t="shared" si="42"/>
        <v>46.154000000000003</v>
      </c>
      <c r="N96" s="170">
        <f t="shared" si="43"/>
        <v>47.192464999999999</v>
      </c>
      <c r="O96" s="250">
        <v>0.2</v>
      </c>
      <c r="P96" s="172">
        <f t="shared" si="44"/>
        <v>0.2</v>
      </c>
      <c r="Q96" s="251">
        <f t="shared" si="45"/>
        <v>23.077000000000002</v>
      </c>
      <c r="R96" s="173">
        <f t="shared" si="46"/>
        <v>23.596232499999999</v>
      </c>
      <c r="S96" s="250">
        <v>0.1</v>
      </c>
      <c r="T96" s="171">
        <f t="shared" si="47"/>
        <v>0.1</v>
      </c>
      <c r="U96" s="256">
        <v>230.77</v>
      </c>
      <c r="V96" s="170">
        <f t="shared" si="35"/>
        <v>235.96232499999999</v>
      </c>
      <c r="W96" s="258">
        <v>0.3</v>
      </c>
      <c r="X96" s="257">
        <f t="shared" si="37"/>
        <v>300.00099999999998</v>
      </c>
      <c r="Y96" s="170">
        <f t="shared" si="48"/>
        <v>306.75102249999998</v>
      </c>
      <c r="Z96" s="170">
        <f t="shared" si="36"/>
        <v>310</v>
      </c>
      <c r="AA96" s="407">
        <f t="shared" si="49"/>
        <v>0</v>
      </c>
      <c r="AB96" s="194"/>
    </row>
    <row r="97" spans="1:28" s="278" customFormat="1" x14ac:dyDescent="0.25">
      <c r="A97" s="200">
        <v>202370</v>
      </c>
      <c r="B97" s="313" t="s">
        <v>14511</v>
      </c>
      <c r="C97" s="248"/>
      <c r="D97" s="247" t="s">
        <v>11</v>
      </c>
      <c r="E97" s="249">
        <f t="shared" si="38"/>
        <v>296.15599999999995</v>
      </c>
      <c r="F97" s="170">
        <f t="shared" si="38"/>
        <v>302.81950999999998</v>
      </c>
      <c r="G97" s="250">
        <v>0.7</v>
      </c>
      <c r="H97" s="171">
        <f t="shared" si="39"/>
        <v>0.7</v>
      </c>
      <c r="I97" s="249">
        <f t="shared" si="40"/>
        <v>0</v>
      </c>
      <c r="J97" s="170">
        <f t="shared" si="40"/>
        <v>0</v>
      </c>
      <c r="K97" s="252"/>
      <c r="L97" s="172">
        <f t="shared" si="41"/>
        <v>0</v>
      </c>
      <c r="M97" s="249">
        <f t="shared" si="42"/>
        <v>84.616</v>
      </c>
      <c r="N97" s="170">
        <f t="shared" si="43"/>
        <v>86.519859999999994</v>
      </c>
      <c r="O97" s="250">
        <v>0.2</v>
      </c>
      <c r="P97" s="172">
        <f t="shared" si="44"/>
        <v>0.2</v>
      </c>
      <c r="Q97" s="251">
        <f t="shared" si="45"/>
        <v>42.308</v>
      </c>
      <c r="R97" s="173">
        <f t="shared" si="46"/>
        <v>43.259929999999997</v>
      </c>
      <c r="S97" s="250">
        <v>0.1</v>
      </c>
      <c r="T97" s="171">
        <f t="shared" si="47"/>
        <v>0.1</v>
      </c>
      <c r="U97" s="256">
        <v>423.08</v>
      </c>
      <c r="V97" s="170">
        <f t="shared" si="35"/>
        <v>432.59929999999997</v>
      </c>
      <c r="W97" s="258">
        <v>0.3</v>
      </c>
      <c r="X97" s="257">
        <f t="shared" si="37"/>
        <v>550.00400000000002</v>
      </c>
      <c r="Y97" s="170">
        <f t="shared" si="48"/>
        <v>562.37909000000002</v>
      </c>
      <c r="Z97" s="170">
        <f t="shared" si="36"/>
        <v>565</v>
      </c>
      <c r="AA97" s="407">
        <f t="shared" si="49"/>
        <v>0</v>
      </c>
      <c r="AB97" s="194"/>
    </row>
    <row r="98" spans="1:28" s="278" customFormat="1" x14ac:dyDescent="0.25">
      <c r="A98" s="200">
        <v>202380</v>
      </c>
      <c r="B98" s="313" t="s">
        <v>19022</v>
      </c>
      <c r="C98" s="248"/>
      <c r="D98" s="247" t="s">
        <v>11</v>
      </c>
      <c r="E98" s="249">
        <f t="shared" si="38"/>
        <v>125</v>
      </c>
      <c r="F98" s="170">
        <f t="shared" si="38"/>
        <v>127.67500000000001</v>
      </c>
      <c r="G98" s="250">
        <v>0.5</v>
      </c>
      <c r="H98" s="171">
        <f t="shared" si="39"/>
        <v>0.5</v>
      </c>
      <c r="I98" s="249">
        <f t="shared" si="40"/>
        <v>0</v>
      </c>
      <c r="J98" s="170">
        <f t="shared" si="40"/>
        <v>0</v>
      </c>
      <c r="K98" s="252"/>
      <c r="L98" s="172">
        <f t="shared" si="41"/>
        <v>0</v>
      </c>
      <c r="M98" s="249">
        <f t="shared" si="42"/>
        <v>75</v>
      </c>
      <c r="N98" s="170">
        <f t="shared" si="43"/>
        <v>76.605000000000004</v>
      </c>
      <c r="O98" s="250">
        <v>0.3</v>
      </c>
      <c r="P98" s="172">
        <f t="shared" si="44"/>
        <v>0.3</v>
      </c>
      <c r="Q98" s="251">
        <f t="shared" si="45"/>
        <v>50</v>
      </c>
      <c r="R98" s="173">
        <f t="shared" si="46"/>
        <v>51.070000000000007</v>
      </c>
      <c r="S98" s="250">
        <v>0.2</v>
      </c>
      <c r="T98" s="171">
        <f t="shared" si="47"/>
        <v>0.2</v>
      </c>
      <c r="U98" s="256">
        <v>250</v>
      </c>
      <c r="V98" s="170">
        <f t="shared" si="35"/>
        <v>255.35000000000002</v>
      </c>
      <c r="W98" s="258">
        <v>0.2</v>
      </c>
      <c r="X98" s="257">
        <f t="shared" si="37"/>
        <v>300</v>
      </c>
      <c r="Y98" s="170">
        <f t="shared" si="48"/>
        <v>306.42</v>
      </c>
      <c r="Z98" s="170">
        <f t="shared" si="36"/>
        <v>310</v>
      </c>
      <c r="AA98" s="407">
        <f t="shared" si="49"/>
        <v>0</v>
      </c>
      <c r="AB98" s="194"/>
    </row>
    <row r="99" spans="1:28" s="278" customFormat="1" x14ac:dyDescent="0.25">
      <c r="A99" s="200">
        <v>202380</v>
      </c>
      <c r="B99" s="313" t="s">
        <v>19023</v>
      </c>
      <c r="C99" s="248"/>
      <c r="D99" s="247" t="s">
        <v>11</v>
      </c>
      <c r="E99" s="249">
        <f t="shared" si="38"/>
        <v>166.66499999999999</v>
      </c>
      <c r="F99" s="170">
        <f t="shared" si="38"/>
        <v>170.23163099999999</v>
      </c>
      <c r="G99" s="250">
        <v>0.5</v>
      </c>
      <c r="H99" s="171">
        <f t="shared" si="39"/>
        <v>0.5</v>
      </c>
      <c r="I99" s="249">
        <f t="shared" si="40"/>
        <v>0</v>
      </c>
      <c r="J99" s="170">
        <f t="shared" si="40"/>
        <v>0</v>
      </c>
      <c r="K99" s="252"/>
      <c r="L99" s="172">
        <f t="shared" si="41"/>
        <v>0</v>
      </c>
      <c r="M99" s="249">
        <f t="shared" si="42"/>
        <v>99.998999999999995</v>
      </c>
      <c r="N99" s="170">
        <f t="shared" si="43"/>
        <v>102.13897859999999</v>
      </c>
      <c r="O99" s="250">
        <v>0.3</v>
      </c>
      <c r="P99" s="172">
        <f t="shared" si="44"/>
        <v>0.3</v>
      </c>
      <c r="Q99" s="251">
        <f t="shared" si="45"/>
        <v>66.665999999999997</v>
      </c>
      <c r="R99" s="173">
        <f t="shared" si="46"/>
        <v>68.092652400000006</v>
      </c>
      <c r="S99" s="250">
        <v>0.2</v>
      </c>
      <c r="T99" s="171">
        <f t="shared" si="47"/>
        <v>0.2</v>
      </c>
      <c r="U99" s="256">
        <v>333.33</v>
      </c>
      <c r="V99" s="170">
        <f t="shared" si="35"/>
        <v>340.46326199999999</v>
      </c>
      <c r="W99" s="258">
        <v>0.2</v>
      </c>
      <c r="X99" s="257">
        <f t="shared" si="37"/>
        <v>399.99599999999998</v>
      </c>
      <c r="Y99" s="170">
        <f t="shared" si="48"/>
        <v>408.55591439999995</v>
      </c>
      <c r="Z99" s="170">
        <f t="shared" si="36"/>
        <v>410</v>
      </c>
      <c r="AA99" s="407">
        <f t="shared" si="49"/>
        <v>0</v>
      </c>
      <c r="AB99" s="194"/>
    </row>
    <row r="100" spans="1:28" s="278" customFormat="1" x14ac:dyDescent="0.25">
      <c r="A100" s="200">
        <v>202382</v>
      </c>
      <c r="B100" s="313" t="s">
        <v>14512</v>
      </c>
      <c r="C100" s="248"/>
      <c r="D100" s="247" t="s">
        <v>11</v>
      </c>
      <c r="E100" s="249">
        <f t="shared" si="38"/>
        <v>375</v>
      </c>
      <c r="F100" s="170">
        <f t="shared" si="38"/>
        <v>383.17500000000007</v>
      </c>
      <c r="G100" s="250">
        <v>0.75</v>
      </c>
      <c r="H100" s="171">
        <f t="shared" si="39"/>
        <v>0.75</v>
      </c>
      <c r="I100" s="249">
        <f t="shared" si="40"/>
        <v>0</v>
      </c>
      <c r="J100" s="170">
        <f t="shared" si="40"/>
        <v>0</v>
      </c>
      <c r="K100" s="252"/>
      <c r="L100" s="172">
        <f t="shared" si="41"/>
        <v>0</v>
      </c>
      <c r="M100" s="249">
        <f t="shared" si="42"/>
        <v>50</v>
      </c>
      <c r="N100" s="170">
        <f t="shared" si="43"/>
        <v>51.090000000000011</v>
      </c>
      <c r="O100" s="250">
        <v>0.1</v>
      </c>
      <c r="P100" s="172">
        <f t="shared" si="44"/>
        <v>0.1</v>
      </c>
      <c r="Q100" s="251">
        <f t="shared" si="45"/>
        <v>75</v>
      </c>
      <c r="R100" s="173">
        <f t="shared" si="46"/>
        <v>76.635000000000005</v>
      </c>
      <c r="S100" s="250">
        <v>0.15</v>
      </c>
      <c r="T100" s="171">
        <f t="shared" si="47"/>
        <v>0.15</v>
      </c>
      <c r="U100" s="256">
        <v>500</v>
      </c>
      <c r="V100" s="170">
        <f t="shared" si="35"/>
        <v>510.90000000000009</v>
      </c>
      <c r="W100" s="258">
        <v>0.2</v>
      </c>
      <c r="X100" s="257">
        <f t="shared" si="37"/>
        <v>600</v>
      </c>
      <c r="Y100" s="170">
        <f t="shared" si="48"/>
        <v>613.08000000000004</v>
      </c>
      <c r="Z100" s="170">
        <f t="shared" si="36"/>
        <v>615</v>
      </c>
      <c r="AA100" s="407">
        <f t="shared" si="49"/>
        <v>0</v>
      </c>
      <c r="AB100" s="194"/>
    </row>
    <row r="101" spans="1:28" s="278" customFormat="1" x14ac:dyDescent="0.25">
      <c r="A101" s="200">
        <v>202385</v>
      </c>
      <c r="B101" s="313" t="s">
        <v>19024</v>
      </c>
      <c r="C101" s="248"/>
      <c r="D101" s="247" t="s">
        <v>11</v>
      </c>
      <c r="E101" s="249">
        <f t="shared" si="38"/>
        <v>375</v>
      </c>
      <c r="F101" s="170">
        <f t="shared" si="38"/>
        <v>383.17500000000007</v>
      </c>
      <c r="G101" s="250">
        <v>0.75</v>
      </c>
      <c r="H101" s="171">
        <f t="shared" si="39"/>
        <v>0.75</v>
      </c>
      <c r="I101" s="249">
        <f t="shared" si="40"/>
        <v>0</v>
      </c>
      <c r="J101" s="170">
        <f t="shared" si="40"/>
        <v>0</v>
      </c>
      <c r="K101" s="252"/>
      <c r="L101" s="172">
        <f t="shared" si="41"/>
        <v>0</v>
      </c>
      <c r="M101" s="249">
        <f t="shared" si="42"/>
        <v>50</v>
      </c>
      <c r="N101" s="170">
        <f t="shared" si="43"/>
        <v>51.090000000000011</v>
      </c>
      <c r="O101" s="250">
        <v>0.1</v>
      </c>
      <c r="P101" s="172">
        <f t="shared" si="44"/>
        <v>0.1</v>
      </c>
      <c r="Q101" s="251">
        <f t="shared" si="45"/>
        <v>75</v>
      </c>
      <c r="R101" s="173">
        <f t="shared" si="46"/>
        <v>76.635000000000005</v>
      </c>
      <c r="S101" s="250">
        <v>0.15</v>
      </c>
      <c r="T101" s="171">
        <f t="shared" si="47"/>
        <v>0.15</v>
      </c>
      <c r="U101" s="256">
        <v>500</v>
      </c>
      <c r="V101" s="170">
        <f t="shared" si="35"/>
        <v>510.90000000000009</v>
      </c>
      <c r="W101" s="258">
        <v>0.2</v>
      </c>
      <c r="X101" s="257">
        <f t="shared" si="37"/>
        <v>600</v>
      </c>
      <c r="Y101" s="170">
        <f t="shared" si="48"/>
        <v>613.08000000000004</v>
      </c>
      <c r="Z101" s="170">
        <f t="shared" si="36"/>
        <v>615</v>
      </c>
      <c r="AA101" s="407">
        <f t="shared" si="49"/>
        <v>0</v>
      </c>
      <c r="AB101" s="194"/>
    </row>
    <row r="102" spans="1:28" s="278" customFormat="1" x14ac:dyDescent="0.25">
      <c r="A102" s="200">
        <v>202385</v>
      </c>
      <c r="B102" s="313" t="s">
        <v>19025</v>
      </c>
      <c r="C102" s="248"/>
      <c r="D102" s="247" t="s">
        <v>11</v>
      </c>
      <c r="E102" s="249">
        <f t="shared" si="38"/>
        <v>249.9975</v>
      </c>
      <c r="F102" s="170">
        <f t="shared" si="38"/>
        <v>255.44744549999999</v>
      </c>
      <c r="G102" s="250">
        <v>0.75</v>
      </c>
      <c r="H102" s="171">
        <f t="shared" si="39"/>
        <v>0.75</v>
      </c>
      <c r="I102" s="249">
        <f t="shared" si="40"/>
        <v>0</v>
      </c>
      <c r="J102" s="170">
        <f t="shared" si="40"/>
        <v>0</v>
      </c>
      <c r="K102" s="250"/>
      <c r="L102" s="172">
        <f t="shared" si="41"/>
        <v>0</v>
      </c>
      <c r="M102" s="249">
        <f t="shared" si="42"/>
        <v>33.332999999999998</v>
      </c>
      <c r="N102" s="170">
        <f t="shared" si="43"/>
        <v>34.059659400000001</v>
      </c>
      <c r="O102" s="250">
        <v>0.1</v>
      </c>
      <c r="P102" s="172">
        <f t="shared" si="44"/>
        <v>0.1</v>
      </c>
      <c r="Q102" s="251">
        <f t="shared" si="45"/>
        <v>49.999499999999998</v>
      </c>
      <c r="R102" s="173">
        <f t="shared" si="46"/>
        <v>51.089489099999994</v>
      </c>
      <c r="S102" s="250">
        <v>0.15</v>
      </c>
      <c r="T102" s="171">
        <f t="shared" si="47"/>
        <v>0.15</v>
      </c>
      <c r="U102" s="256">
        <v>333.33</v>
      </c>
      <c r="V102" s="170">
        <f t="shared" si="35"/>
        <v>340.59659399999998</v>
      </c>
      <c r="W102" s="258">
        <v>0.2</v>
      </c>
      <c r="X102" s="257">
        <f t="shared" si="37"/>
        <v>399.99599999999998</v>
      </c>
      <c r="Y102" s="170">
        <f t="shared" si="48"/>
        <v>408.71591279999996</v>
      </c>
      <c r="Z102" s="170">
        <f t="shared" si="36"/>
        <v>410</v>
      </c>
      <c r="AA102" s="407">
        <f t="shared" si="49"/>
        <v>0</v>
      </c>
      <c r="AB102" s="194"/>
    </row>
    <row r="103" spans="1:28" s="278" customFormat="1" x14ac:dyDescent="0.25">
      <c r="A103" s="200">
        <v>202390</v>
      </c>
      <c r="B103" s="313" t="s">
        <v>14513</v>
      </c>
      <c r="C103" s="248"/>
      <c r="D103" s="247" t="s">
        <v>11</v>
      </c>
      <c r="E103" s="249">
        <f t="shared" si="38"/>
        <v>325</v>
      </c>
      <c r="F103" s="170">
        <f t="shared" si="38"/>
        <v>332.11750000000006</v>
      </c>
      <c r="G103" s="250">
        <v>0.65</v>
      </c>
      <c r="H103" s="171">
        <f t="shared" si="39"/>
        <v>0.65</v>
      </c>
      <c r="I103" s="249">
        <f t="shared" si="40"/>
        <v>0</v>
      </c>
      <c r="J103" s="170">
        <f t="shared" si="40"/>
        <v>0</v>
      </c>
      <c r="K103" s="252"/>
      <c r="L103" s="172">
        <f t="shared" si="41"/>
        <v>0</v>
      </c>
      <c r="M103" s="249">
        <f t="shared" si="42"/>
        <v>100</v>
      </c>
      <c r="N103" s="170">
        <f t="shared" si="43"/>
        <v>102.19000000000001</v>
      </c>
      <c r="O103" s="250">
        <v>0.2</v>
      </c>
      <c r="P103" s="172">
        <f t="shared" si="44"/>
        <v>0.2</v>
      </c>
      <c r="Q103" s="251">
        <f t="shared" si="45"/>
        <v>75</v>
      </c>
      <c r="R103" s="173">
        <f t="shared" si="46"/>
        <v>76.642499999999998</v>
      </c>
      <c r="S103" s="250">
        <v>0.15</v>
      </c>
      <c r="T103" s="171">
        <f t="shared" si="47"/>
        <v>0.15</v>
      </c>
      <c r="U103" s="256">
        <v>500</v>
      </c>
      <c r="V103" s="170">
        <f t="shared" si="35"/>
        <v>510.95000000000005</v>
      </c>
      <c r="W103" s="258">
        <v>0.2</v>
      </c>
      <c r="X103" s="257">
        <f t="shared" si="37"/>
        <v>600</v>
      </c>
      <c r="Y103" s="170">
        <f t="shared" si="48"/>
        <v>613.14</v>
      </c>
      <c r="Z103" s="170">
        <f t="shared" si="36"/>
        <v>615</v>
      </c>
      <c r="AA103" s="407">
        <f t="shared" si="49"/>
        <v>0</v>
      </c>
      <c r="AB103" s="194"/>
    </row>
    <row r="104" spans="1:28" s="278" customFormat="1" x14ac:dyDescent="0.25">
      <c r="A104" s="200">
        <v>202390</v>
      </c>
      <c r="B104" s="313" t="s">
        <v>14514</v>
      </c>
      <c r="C104" s="248"/>
      <c r="D104" s="247" t="s">
        <v>11</v>
      </c>
      <c r="E104" s="249">
        <f t="shared" si="38"/>
        <v>216.6645</v>
      </c>
      <c r="F104" s="170">
        <f t="shared" si="38"/>
        <v>221.40945255000003</v>
      </c>
      <c r="G104" s="250">
        <v>0.65</v>
      </c>
      <c r="H104" s="171">
        <f t="shared" si="39"/>
        <v>0.65</v>
      </c>
      <c r="I104" s="249">
        <f t="shared" si="40"/>
        <v>0</v>
      </c>
      <c r="J104" s="170">
        <f t="shared" si="40"/>
        <v>0</v>
      </c>
      <c r="K104" s="252"/>
      <c r="L104" s="172">
        <f t="shared" si="41"/>
        <v>0</v>
      </c>
      <c r="M104" s="249">
        <f t="shared" si="42"/>
        <v>66.665999999999997</v>
      </c>
      <c r="N104" s="170">
        <f t="shared" si="43"/>
        <v>68.125985400000005</v>
      </c>
      <c r="O104" s="250">
        <v>0.2</v>
      </c>
      <c r="P104" s="172">
        <f t="shared" si="44"/>
        <v>0.2</v>
      </c>
      <c r="Q104" s="251">
        <f t="shared" si="45"/>
        <v>49.999499999999998</v>
      </c>
      <c r="R104" s="173">
        <f t="shared" si="46"/>
        <v>51.09448905</v>
      </c>
      <c r="S104" s="250">
        <v>0.15</v>
      </c>
      <c r="T104" s="171">
        <f t="shared" si="47"/>
        <v>0.15</v>
      </c>
      <c r="U104" s="256">
        <v>333.33</v>
      </c>
      <c r="V104" s="170">
        <f t="shared" si="35"/>
        <v>340.62992700000001</v>
      </c>
      <c r="W104" s="258">
        <v>0.2</v>
      </c>
      <c r="X104" s="257">
        <f t="shared" si="37"/>
        <v>399.99599999999998</v>
      </c>
      <c r="Y104" s="170">
        <f t="shared" si="48"/>
        <v>408.7559124</v>
      </c>
      <c r="Z104" s="170">
        <f t="shared" si="36"/>
        <v>410</v>
      </c>
      <c r="AA104" s="407">
        <f t="shared" si="49"/>
        <v>0</v>
      </c>
      <c r="AB104" s="194"/>
    </row>
    <row r="105" spans="1:28" s="278" customFormat="1" x14ac:dyDescent="0.25">
      <c r="A105" s="200">
        <v>202395</v>
      </c>
      <c r="B105" s="313" t="s">
        <v>14515</v>
      </c>
      <c r="C105" s="248"/>
      <c r="D105" s="247" t="s">
        <v>11</v>
      </c>
      <c r="E105" s="249">
        <f t="shared" si="38"/>
        <v>312.75</v>
      </c>
      <c r="F105" s="170">
        <f t="shared" si="38"/>
        <v>319.56795</v>
      </c>
      <c r="G105" s="250">
        <v>0.75</v>
      </c>
      <c r="H105" s="171">
        <f t="shared" si="39"/>
        <v>0.75</v>
      </c>
      <c r="I105" s="249">
        <f t="shared" si="40"/>
        <v>0</v>
      </c>
      <c r="J105" s="170">
        <f t="shared" si="40"/>
        <v>0</v>
      </c>
      <c r="K105" s="252"/>
      <c r="L105" s="172">
        <f t="shared" si="41"/>
        <v>0</v>
      </c>
      <c r="M105" s="249">
        <f t="shared" si="42"/>
        <v>41.7</v>
      </c>
      <c r="N105" s="170">
        <f t="shared" si="43"/>
        <v>42.609059999999999</v>
      </c>
      <c r="O105" s="250">
        <v>0.1</v>
      </c>
      <c r="P105" s="172">
        <f t="shared" si="44"/>
        <v>0.1</v>
      </c>
      <c r="Q105" s="251">
        <f t="shared" si="45"/>
        <v>62.55</v>
      </c>
      <c r="R105" s="173">
        <f t="shared" si="46"/>
        <v>63.913589999999999</v>
      </c>
      <c r="S105" s="250">
        <v>0.15</v>
      </c>
      <c r="T105" s="171">
        <f t="shared" si="47"/>
        <v>0.15</v>
      </c>
      <c r="U105" s="256">
        <v>417</v>
      </c>
      <c r="V105" s="170">
        <f t="shared" si="35"/>
        <v>426.09059999999999</v>
      </c>
      <c r="W105" s="258">
        <v>0.2</v>
      </c>
      <c r="X105" s="257">
        <f t="shared" si="37"/>
        <v>500.4</v>
      </c>
      <c r="Y105" s="170">
        <f t="shared" si="48"/>
        <v>511.30871999999999</v>
      </c>
      <c r="Z105" s="170">
        <f t="shared" si="36"/>
        <v>515</v>
      </c>
      <c r="AA105" s="407">
        <f t="shared" si="49"/>
        <v>0</v>
      </c>
      <c r="AB105" s="194"/>
    </row>
    <row r="106" spans="1:28" s="278" customFormat="1" x14ac:dyDescent="0.25">
      <c r="A106" s="200">
        <v>202395</v>
      </c>
      <c r="B106" s="313" t="s">
        <v>14516</v>
      </c>
      <c r="C106" s="248"/>
      <c r="D106" s="247" t="s">
        <v>11</v>
      </c>
      <c r="E106" s="249">
        <f t="shared" si="38"/>
        <v>218.7525</v>
      </c>
      <c r="F106" s="170">
        <f t="shared" si="38"/>
        <v>223.52130450000001</v>
      </c>
      <c r="G106" s="250">
        <v>0.75</v>
      </c>
      <c r="H106" s="171">
        <f t="shared" si="39"/>
        <v>0.75</v>
      </c>
      <c r="I106" s="249">
        <f t="shared" si="40"/>
        <v>0</v>
      </c>
      <c r="J106" s="170">
        <f t="shared" si="40"/>
        <v>0</v>
      </c>
      <c r="K106" s="252"/>
      <c r="L106" s="172">
        <f t="shared" si="41"/>
        <v>0</v>
      </c>
      <c r="M106" s="249">
        <f t="shared" si="42"/>
        <v>29.167000000000002</v>
      </c>
      <c r="N106" s="170">
        <f t="shared" si="43"/>
        <v>29.802840600000003</v>
      </c>
      <c r="O106" s="250">
        <v>0.1</v>
      </c>
      <c r="P106" s="172">
        <f t="shared" si="44"/>
        <v>0.1</v>
      </c>
      <c r="Q106" s="251">
        <f t="shared" si="45"/>
        <v>43.750500000000002</v>
      </c>
      <c r="R106" s="173">
        <f t="shared" si="46"/>
        <v>44.704260900000001</v>
      </c>
      <c r="S106" s="250">
        <v>0.15</v>
      </c>
      <c r="T106" s="171">
        <f t="shared" si="47"/>
        <v>0.15</v>
      </c>
      <c r="U106" s="256">
        <v>291.67</v>
      </c>
      <c r="V106" s="170">
        <f t="shared" si="35"/>
        <v>298.02840600000002</v>
      </c>
      <c r="W106" s="258">
        <v>0.2</v>
      </c>
      <c r="X106" s="257">
        <f t="shared" si="37"/>
        <v>350.00400000000002</v>
      </c>
      <c r="Y106" s="170">
        <f t="shared" si="48"/>
        <v>357.63408720000001</v>
      </c>
      <c r="Z106" s="170">
        <f t="shared" si="36"/>
        <v>360</v>
      </c>
      <c r="AA106" s="407">
        <f t="shared" si="49"/>
        <v>0</v>
      </c>
      <c r="AB106" s="194"/>
    </row>
    <row r="107" spans="1:28" s="278" customFormat="1" x14ac:dyDescent="0.25">
      <c r="A107" s="200">
        <v>202400</v>
      </c>
      <c r="B107" s="313" t="s">
        <v>14517</v>
      </c>
      <c r="C107" s="248"/>
      <c r="D107" s="247" t="s">
        <v>11</v>
      </c>
      <c r="E107" s="249">
        <f t="shared" si="38"/>
        <v>85</v>
      </c>
      <c r="F107" s="170">
        <f t="shared" si="38"/>
        <v>87.010249999999999</v>
      </c>
      <c r="G107" s="250">
        <v>0.85</v>
      </c>
      <c r="H107" s="171">
        <f t="shared" si="39"/>
        <v>0.85</v>
      </c>
      <c r="I107" s="249">
        <f t="shared" si="40"/>
        <v>0</v>
      </c>
      <c r="J107" s="170">
        <f t="shared" si="40"/>
        <v>0</v>
      </c>
      <c r="K107" s="252"/>
      <c r="L107" s="172">
        <f t="shared" si="41"/>
        <v>0</v>
      </c>
      <c r="M107" s="249">
        <f t="shared" si="42"/>
        <v>15</v>
      </c>
      <c r="N107" s="170">
        <f t="shared" si="43"/>
        <v>15.354750000000001</v>
      </c>
      <c r="O107" s="250">
        <v>0.15</v>
      </c>
      <c r="P107" s="172">
        <f t="shared" si="44"/>
        <v>0.15</v>
      </c>
      <c r="Q107" s="251">
        <f t="shared" si="45"/>
        <v>0</v>
      </c>
      <c r="R107" s="173">
        <f t="shared" si="46"/>
        <v>0</v>
      </c>
      <c r="S107" s="252"/>
      <c r="T107" s="171">
        <f t="shared" si="47"/>
        <v>0</v>
      </c>
      <c r="U107" s="256">
        <v>100</v>
      </c>
      <c r="V107" s="170">
        <f t="shared" si="35"/>
        <v>102.36500000000001</v>
      </c>
      <c r="W107" s="258">
        <v>0.2</v>
      </c>
      <c r="X107" s="257">
        <f t="shared" si="37"/>
        <v>120</v>
      </c>
      <c r="Y107" s="170">
        <f t="shared" si="48"/>
        <v>122.83800000000001</v>
      </c>
      <c r="Z107" s="170">
        <f t="shared" si="36"/>
        <v>125</v>
      </c>
      <c r="AA107" s="407">
        <f t="shared" si="49"/>
        <v>0</v>
      </c>
      <c r="AB107" s="194"/>
    </row>
    <row r="108" spans="1:28" s="278" customFormat="1" x14ac:dyDescent="0.25">
      <c r="A108" s="200">
        <v>202405</v>
      </c>
      <c r="B108" s="313" t="s">
        <v>14518</v>
      </c>
      <c r="C108" s="248"/>
      <c r="D108" s="247" t="s">
        <v>11</v>
      </c>
      <c r="E108" s="249">
        <f t="shared" si="38"/>
        <v>85</v>
      </c>
      <c r="F108" s="170">
        <f t="shared" si="38"/>
        <v>87.010249999999999</v>
      </c>
      <c r="G108" s="250">
        <v>0.85</v>
      </c>
      <c r="H108" s="171">
        <f t="shared" si="39"/>
        <v>0.85</v>
      </c>
      <c r="I108" s="249">
        <f t="shared" si="40"/>
        <v>0</v>
      </c>
      <c r="J108" s="170">
        <f t="shared" si="40"/>
        <v>0</v>
      </c>
      <c r="K108" s="252"/>
      <c r="L108" s="172">
        <f t="shared" si="41"/>
        <v>0</v>
      </c>
      <c r="M108" s="249">
        <f t="shared" si="42"/>
        <v>15</v>
      </c>
      <c r="N108" s="170">
        <f t="shared" si="43"/>
        <v>15.354750000000001</v>
      </c>
      <c r="O108" s="250">
        <v>0.15</v>
      </c>
      <c r="P108" s="172">
        <f t="shared" si="44"/>
        <v>0.15</v>
      </c>
      <c r="Q108" s="251">
        <f t="shared" si="45"/>
        <v>0</v>
      </c>
      <c r="R108" s="173">
        <f t="shared" si="46"/>
        <v>0</v>
      </c>
      <c r="S108" s="252"/>
      <c r="T108" s="171">
        <f t="shared" si="47"/>
        <v>0</v>
      </c>
      <c r="U108" s="256">
        <v>100</v>
      </c>
      <c r="V108" s="170">
        <f t="shared" si="35"/>
        <v>102.36500000000001</v>
      </c>
      <c r="W108" s="258">
        <v>0.2</v>
      </c>
      <c r="X108" s="257">
        <f t="shared" si="37"/>
        <v>120</v>
      </c>
      <c r="Y108" s="170">
        <f t="shared" si="48"/>
        <v>122.83800000000001</v>
      </c>
      <c r="Z108" s="170">
        <f t="shared" si="36"/>
        <v>125</v>
      </c>
      <c r="AA108" s="407">
        <f t="shared" si="49"/>
        <v>0</v>
      </c>
      <c r="AB108" s="194"/>
    </row>
    <row r="109" spans="1:28" s="278" customFormat="1" x14ac:dyDescent="0.25">
      <c r="A109" s="200">
        <v>202410</v>
      </c>
      <c r="B109" s="313" t="s">
        <v>14519</v>
      </c>
      <c r="C109" s="248"/>
      <c r="D109" s="247" t="s">
        <v>11</v>
      </c>
      <c r="E109" s="249">
        <f t="shared" si="38"/>
        <v>85</v>
      </c>
      <c r="F109" s="170">
        <f t="shared" si="38"/>
        <v>87.010249999999999</v>
      </c>
      <c r="G109" s="250">
        <v>0.85</v>
      </c>
      <c r="H109" s="171">
        <f t="shared" si="39"/>
        <v>0.85</v>
      </c>
      <c r="I109" s="249">
        <f t="shared" si="40"/>
        <v>0</v>
      </c>
      <c r="J109" s="170">
        <f t="shared" si="40"/>
        <v>0</v>
      </c>
      <c r="K109" s="252"/>
      <c r="L109" s="172">
        <f t="shared" si="41"/>
        <v>0</v>
      </c>
      <c r="M109" s="249">
        <f t="shared" si="42"/>
        <v>15</v>
      </c>
      <c r="N109" s="170">
        <f t="shared" si="43"/>
        <v>15.354750000000001</v>
      </c>
      <c r="O109" s="250">
        <v>0.15</v>
      </c>
      <c r="P109" s="172">
        <f t="shared" si="44"/>
        <v>0.15</v>
      </c>
      <c r="Q109" s="251">
        <f t="shared" si="45"/>
        <v>0</v>
      </c>
      <c r="R109" s="173">
        <f t="shared" si="46"/>
        <v>0</v>
      </c>
      <c r="S109" s="252"/>
      <c r="T109" s="171">
        <f t="shared" si="47"/>
        <v>0</v>
      </c>
      <c r="U109" s="256">
        <v>100</v>
      </c>
      <c r="V109" s="170">
        <f t="shared" si="35"/>
        <v>102.36500000000001</v>
      </c>
      <c r="W109" s="258">
        <v>0.2</v>
      </c>
      <c r="X109" s="257">
        <f t="shared" si="37"/>
        <v>120</v>
      </c>
      <c r="Y109" s="170">
        <f t="shared" si="48"/>
        <v>122.83800000000001</v>
      </c>
      <c r="Z109" s="170">
        <f t="shared" si="36"/>
        <v>125</v>
      </c>
      <c r="AA109" s="407">
        <f t="shared" si="49"/>
        <v>0</v>
      </c>
      <c r="AB109" s="194"/>
    </row>
    <row r="110" spans="1:28" s="278" customFormat="1" x14ac:dyDescent="0.25">
      <c r="A110" s="200">
        <v>202410</v>
      </c>
      <c r="B110" s="313" t="s">
        <v>14520</v>
      </c>
      <c r="C110" s="248"/>
      <c r="D110" s="247" t="s">
        <v>11</v>
      </c>
      <c r="E110" s="249">
        <f t="shared" si="38"/>
        <v>63.75</v>
      </c>
      <c r="F110" s="170">
        <f t="shared" si="38"/>
        <v>65.257687500000003</v>
      </c>
      <c r="G110" s="250">
        <v>0.85</v>
      </c>
      <c r="H110" s="171">
        <f t="shared" si="39"/>
        <v>0.85</v>
      </c>
      <c r="I110" s="249">
        <f t="shared" si="40"/>
        <v>0</v>
      </c>
      <c r="J110" s="170">
        <f t="shared" si="40"/>
        <v>0</v>
      </c>
      <c r="K110" s="252"/>
      <c r="L110" s="172">
        <f t="shared" si="41"/>
        <v>0</v>
      </c>
      <c r="M110" s="249">
        <f t="shared" si="42"/>
        <v>11.25</v>
      </c>
      <c r="N110" s="170">
        <f t="shared" si="43"/>
        <v>11.5160625</v>
      </c>
      <c r="O110" s="250">
        <v>0.15</v>
      </c>
      <c r="P110" s="172">
        <f t="shared" si="44"/>
        <v>0.15</v>
      </c>
      <c r="Q110" s="251">
        <f t="shared" si="45"/>
        <v>0</v>
      </c>
      <c r="R110" s="173">
        <f t="shared" si="46"/>
        <v>0</v>
      </c>
      <c r="S110" s="252"/>
      <c r="T110" s="171">
        <f t="shared" si="47"/>
        <v>0</v>
      </c>
      <c r="U110" s="256">
        <v>75</v>
      </c>
      <c r="V110" s="170">
        <f t="shared" si="35"/>
        <v>76.773750000000007</v>
      </c>
      <c r="W110" s="258">
        <v>0.2</v>
      </c>
      <c r="X110" s="257">
        <f t="shared" si="37"/>
        <v>90</v>
      </c>
      <c r="Y110" s="170">
        <f t="shared" si="48"/>
        <v>92.128500000000003</v>
      </c>
      <c r="Z110" s="170">
        <f t="shared" si="36"/>
        <v>93</v>
      </c>
      <c r="AA110" s="407">
        <f t="shared" si="49"/>
        <v>0</v>
      </c>
      <c r="AB110" s="194"/>
    </row>
    <row r="111" spans="1:28" s="278" customFormat="1" x14ac:dyDescent="0.25">
      <c r="A111" s="200">
        <v>202415</v>
      </c>
      <c r="B111" s="313" t="s">
        <v>14521</v>
      </c>
      <c r="C111" s="248"/>
      <c r="D111" s="247" t="s">
        <v>11</v>
      </c>
      <c r="E111" s="249">
        <f t="shared" si="38"/>
        <v>85</v>
      </c>
      <c r="F111" s="170">
        <f t="shared" si="38"/>
        <v>87.010249999999999</v>
      </c>
      <c r="G111" s="250">
        <v>0.85</v>
      </c>
      <c r="H111" s="171">
        <f t="shared" si="39"/>
        <v>0.85</v>
      </c>
      <c r="I111" s="249">
        <f t="shared" si="40"/>
        <v>0</v>
      </c>
      <c r="J111" s="170">
        <f t="shared" si="40"/>
        <v>0</v>
      </c>
      <c r="K111" s="252"/>
      <c r="L111" s="172">
        <f t="shared" si="41"/>
        <v>0</v>
      </c>
      <c r="M111" s="249">
        <f t="shared" si="42"/>
        <v>15</v>
      </c>
      <c r="N111" s="170">
        <f t="shared" si="43"/>
        <v>15.354750000000001</v>
      </c>
      <c r="O111" s="250">
        <v>0.15</v>
      </c>
      <c r="P111" s="172">
        <f t="shared" si="44"/>
        <v>0.15</v>
      </c>
      <c r="Q111" s="251">
        <f t="shared" si="45"/>
        <v>0</v>
      </c>
      <c r="R111" s="173">
        <f t="shared" si="46"/>
        <v>0</v>
      </c>
      <c r="S111" s="252"/>
      <c r="T111" s="171">
        <f t="shared" si="47"/>
        <v>0</v>
      </c>
      <c r="U111" s="256">
        <v>100</v>
      </c>
      <c r="V111" s="170">
        <f t="shared" si="35"/>
        <v>102.36500000000001</v>
      </c>
      <c r="W111" s="258">
        <v>0.2</v>
      </c>
      <c r="X111" s="257">
        <f t="shared" si="37"/>
        <v>120</v>
      </c>
      <c r="Y111" s="170">
        <f t="shared" si="48"/>
        <v>122.83800000000001</v>
      </c>
      <c r="Z111" s="170">
        <f t="shared" si="36"/>
        <v>125</v>
      </c>
      <c r="AA111" s="407">
        <f t="shared" si="49"/>
        <v>0</v>
      </c>
      <c r="AB111" s="194"/>
    </row>
    <row r="112" spans="1:28" s="278" customFormat="1" x14ac:dyDescent="0.25">
      <c r="A112" s="200">
        <v>202415</v>
      </c>
      <c r="B112" s="313" t="s">
        <v>14522</v>
      </c>
      <c r="C112" s="248"/>
      <c r="D112" s="247" t="s">
        <v>11</v>
      </c>
      <c r="E112" s="249">
        <f t="shared" si="38"/>
        <v>63.75</v>
      </c>
      <c r="F112" s="170">
        <f t="shared" si="38"/>
        <v>65.257687500000003</v>
      </c>
      <c r="G112" s="250">
        <v>0.85</v>
      </c>
      <c r="H112" s="171">
        <f t="shared" si="39"/>
        <v>0.85</v>
      </c>
      <c r="I112" s="249">
        <f t="shared" si="40"/>
        <v>0</v>
      </c>
      <c r="J112" s="170">
        <f t="shared" si="40"/>
        <v>0</v>
      </c>
      <c r="K112" s="252"/>
      <c r="L112" s="172">
        <f t="shared" si="41"/>
        <v>0</v>
      </c>
      <c r="M112" s="249">
        <f t="shared" si="42"/>
        <v>11.25</v>
      </c>
      <c r="N112" s="170">
        <f t="shared" si="43"/>
        <v>11.5160625</v>
      </c>
      <c r="O112" s="250">
        <v>0.15</v>
      </c>
      <c r="P112" s="172">
        <f t="shared" si="44"/>
        <v>0.15</v>
      </c>
      <c r="Q112" s="251">
        <f t="shared" si="45"/>
        <v>0</v>
      </c>
      <c r="R112" s="173">
        <f t="shared" si="46"/>
        <v>0</v>
      </c>
      <c r="S112" s="252"/>
      <c r="T112" s="171">
        <f t="shared" si="47"/>
        <v>0</v>
      </c>
      <c r="U112" s="256">
        <v>75</v>
      </c>
      <c r="V112" s="170">
        <f t="shared" si="35"/>
        <v>76.773750000000007</v>
      </c>
      <c r="W112" s="258">
        <v>0.2</v>
      </c>
      <c r="X112" s="257">
        <f t="shared" si="37"/>
        <v>90</v>
      </c>
      <c r="Y112" s="170">
        <f t="shared" si="48"/>
        <v>92.128500000000003</v>
      </c>
      <c r="Z112" s="170">
        <f t="shared" si="36"/>
        <v>93</v>
      </c>
      <c r="AA112" s="407">
        <f t="shared" si="49"/>
        <v>0</v>
      </c>
      <c r="AB112" s="194"/>
    </row>
    <row r="113" spans="1:28" s="278" customFormat="1" x14ac:dyDescent="0.25">
      <c r="A113" s="200">
        <v>202420</v>
      </c>
      <c r="B113" s="313" t="s">
        <v>14523</v>
      </c>
      <c r="C113" s="248"/>
      <c r="D113" s="247" t="s">
        <v>11</v>
      </c>
      <c r="E113" s="249">
        <f t="shared" si="38"/>
        <v>85</v>
      </c>
      <c r="F113" s="170">
        <f t="shared" si="38"/>
        <v>87.010249999999999</v>
      </c>
      <c r="G113" s="250">
        <v>0.85</v>
      </c>
      <c r="H113" s="171">
        <f t="shared" si="39"/>
        <v>0.85</v>
      </c>
      <c r="I113" s="249">
        <f t="shared" si="40"/>
        <v>0</v>
      </c>
      <c r="J113" s="170">
        <f t="shared" si="40"/>
        <v>0</v>
      </c>
      <c r="K113" s="252"/>
      <c r="L113" s="172">
        <f t="shared" si="41"/>
        <v>0</v>
      </c>
      <c r="M113" s="249">
        <f t="shared" si="42"/>
        <v>15</v>
      </c>
      <c r="N113" s="170">
        <f t="shared" si="43"/>
        <v>15.354750000000001</v>
      </c>
      <c r="O113" s="250">
        <v>0.15</v>
      </c>
      <c r="P113" s="172">
        <f t="shared" si="44"/>
        <v>0.15</v>
      </c>
      <c r="Q113" s="251">
        <f t="shared" si="45"/>
        <v>0</v>
      </c>
      <c r="R113" s="173">
        <f t="shared" si="46"/>
        <v>0</v>
      </c>
      <c r="S113" s="252"/>
      <c r="T113" s="171">
        <f t="shared" si="47"/>
        <v>0</v>
      </c>
      <c r="U113" s="256">
        <v>100</v>
      </c>
      <c r="V113" s="170">
        <f t="shared" si="35"/>
        <v>102.36500000000001</v>
      </c>
      <c r="W113" s="258">
        <v>0.2</v>
      </c>
      <c r="X113" s="257">
        <f t="shared" si="37"/>
        <v>120</v>
      </c>
      <c r="Y113" s="170">
        <f t="shared" si="48"/>
        <v>122.83800000000001</v>
      </c>
      <c r="Z113" s="170">
        <f t="shared" si="36"/>
        <v>125</v>
      </c>
      <c r="AA113" s="407">
        <f t="shared" si="49"/>
        <v>0</v>
      </c>
      <c r="AB113" s="194"/>
    </row>
    <row r="114" spans="1:28" s="278" customFormat="1" x14ac:dyDescent="0.25">
      <c r="A114" s="200">
        <v>202420</v>
      </c>
      <c r="B114" s="313" t="s">
        <v>14524</v>
      </c>
      <c r="C114" s="248"/>
      <c r="D114" s="247" t="s">
        <v>11</v>
      </c>
      <c r="E114" s="249">
        <f t="shared" si="38"/>
        <v>63.75</v>
      </c>
      <c r="F114" s="170">
        <f t="shared" si="38"/>
        <v>65.257687500000003</v>
      </c>
      <c r="G114" s="250">
        <v>0.85</v>
      </c>
      <c r="H114" s="171">
        <f t="shared" si="39"/>
        <v>0.85</v>
      </c>
      <c r="I114" s="249">
        <f t="shared" si="40"/>
        <v>0</v>
      </c>
      <c r="J114" s="170">
        <f t="shared" si="40"/>
        <v>0</v>
      </c>
      <c r="K114" s="252"/>
      <c r="L114" s="172">
        <f t="shared" si="41"/>
        <v>0</v>
      </c>
      <c r="M114" s="249">
        <f t="shared" si="42"/>
        <v>11.25</v>
      </c>
      <c r="N114" s="170">
        <f t="shared" si="43"/>
        <v>11.5160625</v>
      </c>
      <c r="O114" s="250">
        <v>0.15</v>
      </c>
      <c r="P114" s="172">
        <f t="shared" si="44"/>
        <v>0.15</v>
      </c>
      <c r="Q114" s="251">
        <f t="shared" si="45"/>
        <v>0</v>
      </c>
      <c r="R114" s="173">
        <f t="shared" si="46"/>
        <v>0</v>
      </c>
      <c r="S114" s="252"/>
      <c r="T114" s="171">
        <f t="shared" si="47"/>
        <v>0</v>
      </c>
      <c r="U114" s="256">
        <v>75</v>
      </c>
      <c r="V114" s="170">
        <f t="shared" si="35"/>
        <v>76.773750000000007</v>
      </c>
      <c r="W114" s="258">
        <v>0.2</v>
      </c>
      <c r="X114" s="257">
        <f t="shared" si="37"/>
        <v>90</v>
      </c>
      <c r="Y114" s="170">
        <f t="shared" si="48"/>
        <v>92.128500000000003</v>
      </c>
      <c r="Z114" s="170">
        <f t="shared" si="36"/>
        <v>93</v>
      </c>
      <c r="AA114" s="407">
        <f t="shared" si="49"/>
        <v>0</v>
      </c>
      <c r="AB114" s="194"/>
    </row>
    <row r="115" spans="1:28" s="278" customFormat="1" ht="21" x14ac:dyDescent="0.25">
      <c r="A115" s="200">
        <v>202420</v>
      </c>
      <c r="B115" s="255" t="s">
        <v>19026</v>
      </c>
      <c r="C115" s="248"/>
      <c r="D115" s="247" t="s">
        <v>11</v>
      </c>
      <c r="E115" s="249">
        <f t="shared" si="38"/>
        <v>389.58305000000001</v>
      </c>
      <c r="F115" s="170">
        <f t="shared" si="38"/>
        <v>398.79668913250003</v>
      </c>
      <c r="G115" s="250">
        <v>0.85</v>
      </c>
      <c r="H115" s="171">
        <f t="shared" si="39"/>
        <v>0.85</v>
      </c>
      <c r="I115" s="249">
        <f t="shared" si="40"/>
        <v>0</v>
      </c>
      <c r="J115" s="170">
        <f t="shared" si="40"/>
        <v>0</v>
      </c>
      <c r="K115" s="252"/>
      <c r="L115" s="172">
        <f t="shared" si="41"/>
        <v>0</v>
      </c>
      <c r="M115" s="249">
        <f t="shared" si="42"/>
        <v>68.749949999999998</v>
      </c>
      <c r="N115" s="170">
        <f t="shared" si="43"/>
        <v>70.375886317500004</v>
      </c>
      <c r="O115" s="250">
        <v>0.15</v>
      </c>
      <c r="P115" s="172">
        <f t="shared" si="44"/>
        <v>0.15</v>
      </c>
      <c r="Q115" s="251">
        <f t="shared" si="45"/>
        <v>0</v>
      </c>
      <c r="R115" s="173">
        <f t="shared" si="46"/>
        <v>0</v>
      </c>
      <c r="S115" s="252"/>
      <c r="T115" s="171">
        <f t="shared" si="47"/>
        <v>0</v>
      </c>
      <c r="U115" s="256">
        <v>458.33300000000003</v>
      </c>
      <c r="V115" s="170">
        <f t="shared" si="35"/>
        <v>469.17257545000007</v>
      </c>
      <c r="W115" s="258">
        <v>0.2</v>
      </c>
      <c r="X115" s="257">
        <f t="shared" si="37"/>
        <v>549.9996000000001</v>
      </c>
      <c r="Y115" s="170">
        <f t="shared" si="48"/>
        <v>563.00709054000004</v>
      </c>
      <c r="Z115" s="170">
        <f t="shared" si="36"/>
        <v>565</v>
      </c>
      <c r="AA115" s="407">
        <f t="shared" si="49"/>
        <v>0</v>
      </c>
      <c r="AB115" s="194"/>
    </row>
    <row r="116" spans="1:28" s="278" customFormat="1" x14ac:dyDescent="0.25">
      <c r="A116" s="200">
        <v>202425</v>
      </c>
      <c r="B116" s="313" t="s">
        <v>19027</v>
      </c>
      <c r="C116" s="248"/>
      <c r="D116" s="247" t="s">
        <v>11</v>
      </c>
      <c r="E116" s="249">
        <f t="shared" si="38"/>
        <v>16.666</v>
      </c>
      <c r="F116" s="170">
        <f t="shared" si="38"/>
        <v>16.897657400000003</v>
      </c>
      <c r="G116" s="250">
        <v>0.2</v>
      </c>
      <c r="H116" s="171">
        <f t="shared" si="39"/>
        <v>0.2</v>
      </c>
      <c r="I116" s="249">
        <f t="shared" si="40"/>
        <v>0</v>
      </c>
      <c r="J116" s="170">
        <f t="shared" si="40"/>
        <v>0</v>
      </c>
      <c r="K116" s="252"/>
      <c r="L116" s="172">
        <f t="shared" si="41"/>
        <v>0</v>
      </c>
      <c r="M116" s="249">
        <f t="shared" si="42"/>
        <v>0</v>
      </c>
      <c r="N116" s="170">
        <f t="shared" si="43"/>
        <v>0</v>
      </c>
      <c r="O116" s="250"/>
      <c r="P116" s="172">
        <f t="shared" si="44"/>
        <v>0</v>
      </c>
      <c r="Q116" s="251">
        <f t="shared" si="45"/>
        <v>66.664000000000001</v>
      </c>
      <c r="R116" s="173">
        <f t="shared" si="46"/>
        <v>67.590629600000014</v>
      </c>
      <c r="S116" s="252">
        <v>0.8</v>
      </c>
      <c r="T116" s="171">
        <f t="shared" si="47"/>
        <v>0.8</v>
      </c>
      <c r="U116" s="256">
        <v>83.33</v>
      </c>
      <c r="V116" s="170">
        <f t="shared" si="35"/>
        <v>84.488287000000014</v>
      </c>
      <c r="W116" s="258">
        <v>0.2</v>
      </c>
      <c r="X116" s="257">
        <f t="shared" si="37"/>
        <v>99.995999999999995</v>
      </c>
      <c r="Y116" s="170">
        <f t="shared" si="48"/>
        <v>101.38594440000001</v>
      </c>
      <c r="Z116" s="170">
        <f t="shared" si="36"/>
        <v>105</v>
      </c>
      <c r="AA116" s="407">
        <f t="shared" si="49"/>
        <v>0</v>
      </c>
      <c r="AB116" s="194"/>
    </row>
    <row r="117" spans="1:28" s="278" customFormat="1" x14ac:dyDescent="0.25">
      <c r="A117" s="200">
        <v>202425</v>
      </c>
      <c r="B117" s="313" t="s">
        <v>19028</v>
      </c>
      <c r="C117" s="248"/>
      <c r="D117" s="247" t="s">
        <v>11</v>
      </c>
      <c r="E117" s="249">
        <f t="shared" si="38"/>
        <v>13.334000000000001</v>
      </c>
      <c r="F117" s="170">
        <f t="shared" si="38"/>
        <v>13.519342600000002</v>
      </c>
      <c r="G117" s="250">
        <v>0.2</v>
      </c>
      <c r="H117" s="171">
        <f t="shared" si="39"/>
        <v>0.2</v>
      </c>
      <c r="I117" s="249">
        <f t="shared" si="40"/>
        <v>0</v>
      </c>
      <c r="J117" s="170">
        <f t="shared" si="40"/>
        <v>0</v>
      </c>
      <c r="K117" s="252"/>
      <c r="L117" s="172">
        <f t="shared" si="41"/>
        <v>0</v>
      </c>
      <c r="M117" s="249">
        <f t="shared" si="42"/>
        <v>0</v>
      </c>
      <c r="N117" s="170">
        <f t="shared" si="43"/>
        <v>0</v>
      </c>
      <c r="O117" s="252"/>
      <c r="P117" s="172">
        <f t="shared" si="44"/>
        <v>0</v>
      </c>
      <c r="Q117" s="251">
        <f t="shared" si="45"/>
        <v>53.336000000000006</v>
      </c>
      <c r="R117" s="173">
        <f t="shared" si="46"/>
        <v>54.077370400000007</v>
      </c>
      <c r="S117" s="252">
        <v>0.8</v>
      </c>
      <c r="T117" s="171">
        <f t="shared" si="47"/>
        <v>0.8</v>
      </c>
      <c r="U117" s="256">
        <v>66.67</v>
      </c>
      <c r="V117" s="170">
        <f t="shared" si="35"/>
        <v>67.596713000000008</v>
      </c>
      <c r="W117" s="258">
        <v>0.2</v>
      </c>
      <c r="X117" s="257">
        <f t="shared" si="37"/>
        <v>80.004000000000005</v>
      </c>
      <c r="Y117" s="170">
        <f t="shared" si="48"/>
        <v>81.11605560000001</v>
      </c>
      <c r="Z117" s="170">
        <f t="shared" si="36"/>
        <v>82</v>
      </c>
      <c r="AA117" s="407">
        <f t="shared" si="49"/>
        <v>0</v>
      </c>
      <c r="AB117" s="194"/>
    </row>
    <row r="118" spans="1:28" s="278" customFormat="1" x14ac:dyDescent="0.25">
      <c r="A118" s="200">
        <v>202430</v>
      </c>
      <c r="B118" s="313" t="s">
        <v>14525</v>
      </c>
      <c r="C118" s="248"/>
      <c r="D118" s="247" t="s">
        <v>11</v>
      </c>
      <c r="E118" s="249">
        <f t="shared" si="38"/>
        <v>70.830500000000001</v>
      </c>
      <c r="F118" s="170">
        <f t="shared" si="38"/>
        <v>72.505641325000013</v>
      </c>
      <c r="G118" s="250">
        <v>0.85</v>
      </c>
      <c r="H118" s="171">
        <f t="shared" si="39"/>
        <v>0.85</v>
      </c>
      <c r="I118" s="249">
        <f t="shared" si="40"/>
        <v>0</v>
      </c>
      <c r="J118" s="170">
        <f t="shared" si="40"/>
        <v>0</v>
      </c>
      <c r="K118" s="252"/>
      <c r="L118" s="172">
        <f t="shared" si="41"/>
        <v>0</v>
      </c>
      <c r="M118" s="249">
        <f t="shared" si="42"/>
        <v>12.499499999999999</v>
      </c>
      <c r="N118" s="170">
        <f t="shared" si="43"/>
        <v>12.795113175000001</v>
      </c>
      <c r="O118" s="252">
        <v>0.15</v>
      </c>
      <c r="P118" s="172">
        <f t="shared" si="44"/>
        <v>0.15</v>
      </c>
      <c r="Q118" s="251">
        <f t="shared" si="45"/>
        <v>0</v>
      </c>
      <c r="R118" s="173">
        <f t="shared" si="46"/>
        <v>0</v>
      </c>
      <c r="S118" s="252"/>
      <c r="T118" s="171">
        <f t="shared" si="47"/>
        <v>0</v>
      </c>
      <c r="U118" s="256">
        <v>83.33</v>
      </c>
      <c r="V118" s="170">
        <f t="shared" si="35"/>
        <v>85.300754500000011</v>
      </c>
      <c r="W118" s="258">
        <v>0.2</v>
      </c>
      <c r="X118" s="257">
        <f t="shared" si="37"/>
        <v>99.995999999999995</v>
      </c>
      <c r="Y118" s="170">
        <f t="shared" si="48"/>
        <v>102.36090540000001</v>
      </c>
      <c r="Z118" s="170">
        <f t="shared" si="36"/>
        <v>105</v>
      </c>
      <c r="AA118" s="407">
        <f t="shared" si="49"/>
        <v>0</v>
      </c>
      <c r="AB118" s="194"/>
    </row>
    <row r="119" spans="1:28" s="278" customFormat="1" x14ac:dyDescent="0.25">
      <c r="A119" s="200">
        <v>202430</v>
      </c>
      <c r="B119" s="313" t="s">
        <v>14526</v>
      </c>
      <c r="C119" s="248"/>
      <c r="D119" s="247" t="s">
        <v>11</v>
      </c>
      <c r="E119" s="249">
        <f t="shared" si="38"/>
        <v>56.669499999999999</v>
      </c>
      <c r="F119" s="170">
        <f t="shared" si="38"/>
        <v>58.009733675</v>
      </c>
      <c r="G119" s="250">
        <v>0.85</v>
      </c>
      <c r="H119" s="171">
        <f t="shared" si="39"/>
        <v>0.85</v>
      </c>
      <c r="I119" s="249">
        <f t="shared" si="40"/>
        <v>0</v>
      </c>
      <c r="J119" s="170">
        <f t="shared" si="40"/>
        <v>0</v>
      </c>
      <c r="K119" s="252"/>
      <c r="L119" s="172">
        <f t="shared" si="41"/>
        <v>0</v>
      </c>
      <c r="M119" s="249">
        <f t="shared" si="42"/>
        <v>10.000500000000001</v>
      </c>
      <c r="N119" s="170">
        <f t="shared" si="43"/>
        <v>10.237011825</v>
      </c>
      <c r="O119" s="250">
        <v>0.15</v>
      </c>
      <c r="P119" s="172">
        <f t="shared" si="44"/>
        <v>0.15</v>
      </c>
      <c r="Q119" s="251">
        <f t="shared" si="45"/>
        <v>0</v>
      </c>
      <c r="R119" s="173">
        <f t="shared" si="46"/>
        <v>0</v>
      </c>
      <c r="S119" s="252"/>
      <c r="T119" s="171">
        <f t="shared" si="47"/>
        <v>0</v>
      </c>
      <c r="U119" s="256">
        <v>66.67</v>
      </c>
      <c r="V119" s="170">
        <f t="shared" si="35"/>
        <v>68.246745500000003</v>
      </c>
      <c r="W119" s="258">
        <v>0.2</v>
      </c>
      <c r="X119" s="257">
        <f t="shared" si="37"/>
        <v>80.004000000000005</v>
      </c>
      <c r="Y119" s="170">
        <f t="shared" si="48"/>
        <v>81.896094599999998</v>
      </c>
      <c r="Z119" s="170">
        <f t="shared" si="36"/>
        <v>82</v>
      </c>
      <c r="AA119" s="407">
        <f t="shared" si="49"/>
        <v>0</v>
      </c>
      <c r="AB119" s="194"/>
    </row>
    <row r="120" spans="1:28" s="278" customFormat="1" x14ac:dyDescent="0.25">
      <c r="A120" s="200">
        <v>202430</v>
      </c>
      <c r="B120" s="313" t="s">
        <v>18938</v>
      </c>
      <c r="C120" s="248"/>
      <c r="D120" s="247" t="s">
        <v>11</v>
      </c>
      <c r="E120" s="249">
        <f t="shared" ref="E120:F151" si="50">U120*G120</f>
        <v>46.044499999999999</v>
      </c>
      <c r="F120" s="170">
        <f t="shared" si="50"/>
        <v>47.133452425000002</v>
      </c>
      <c r="G120" s="250">
        <v>0.85</v>
      </c>
      <c r="H120" s="171">
        <f t="shared" si="39"/>
        <v>0.85</v>
      </c>
      <c r="I120" s="249">
        <f t="shared" ref="I120:J151" si="51">U120*K120</f>
        <v>0</v>
      </c>
      <c r="J120" s="170">
        <f t="shared" si="51"/>
        <v>0</v>
      </c>
      <c r="K120" s="252"/>
      <c r="L120" s="172">
        <f t="shared" si="41"/>
        <v>0</v>
      </c>
      <c r="M120" s="249">
        <f t="shared" si="42"/>
        <v>8.1255000000000006</v>
      </c>
      <c r="N120" s="170">
        <f t="shared" si="43"/>
        <v>8.3176680750000003</v>
      </c>
      <c r="O120" s="250">
        <v>0.15</v>
      </c>
      <c r="P120" s="172">
        <f t="shared" si="44"/>
        <v>0.15</v>
      </c>
      <c r="Q120" s="251">
        <f t="shared" si="45"/>
        <v>0</v>
      </c>
      <c r="R120" s="173">
        <f t="shared" si="46"/>
        <v>0</v>
      </c>
      <c r="S120" s="252"/>
      <c r="T120" s="171">
        <f t="shared" si="47"/>
        <v>0</v>
      </c>
      <c r="U120" s="256">
        <v>54.17</v>
      </c>
      <c r="V120" s="170">
        <f t="shared" si="35"/>
        <v>55.451120500000002</v>
      </c>
      <c r="W120" s="258">
        <v>0.2</v>
      </c>
      <c r="X120" s="257">
        <f t="shared" si="37"/>
        <v>65.004000000000005</v>
      </c>
      <c r="Y120" s="170">
        <f t="shared" si="48"/>
        <v>66.541344600000002</v>
      </c>
      <c r="Z120" s="170">
        <f t="shared" si="36"/>
        <v>67</v>
      </c>
      <c r="AA120" s="407">
        <f t="shared" si="49"/>
        <v>0</v>
      </c>
      <c r="AB120" s="194"/>
    </row>
    <row r="121" spans="1:28" s="278" customFormat="1" x14ac:dyDescent="0.25">
      <c r="A121" s="200">
        <v>202435</v>
      </c>
      <c r="B121" s="313" t="s">
        <v>19029</v>
      </c>
      <c r="C121" s="248"/>
      <c r="D121" s="247" t="s">
        <v>11</v>
      </c>
      <c r="E121" s="249">
        <f t="shared" si="50"/>
        <v>80</v>
      </c>
      <c r="F121" s="170">
        <f t="shared" si="50"/>
        <v>81.896000000000015</v>
      </c>
      <c r="G121" s="250">
        <v>0.8</v>
      </c>
      <c r="H121" s="171">
        <f t="shared" si="39"/>
        <v>0.8</v>
      </c>
      <c r="I121" s="249">
        <f t="shared" si="51"/>
        <v>0</v>
      </c>
      <c r="J121" s="170">
        <f t="shared" si="51"/>
        <v>0</v>
      </c>
      <c r="K121" s="252"/>
      <c r="L121" s="172">
        <f t="shared" si="41"/>
        <v>0</v>
      </c>
      <c r="M121" s="249">
        <f t="shared" si="42"/>
        <v>20</v>
      </c>
      <c r="N121" s="170">
        <f t="shared" si="43"/>
        <v>20.474000000000004</v>
      </c>
      <c r="O121" s="250">
        <v>0.2</v>
      </c>
      <c r="P121" s="172">
        <f t="shared" si="44"/>
        <v>0.2</v>
      </c>
      <c r="Q121" s="251">
        <f t="shared" si="45"/>
        <v>0</v>
      </c>
      <c r="R121" s="173">
        <f t="shared" si="46"/>
        <v>0</v>
      </c>
      <c r="S121" s="252"/>
      <c r="T121" s="171">
        <f t="shared" si="47"/>
        <v>0</v>
      </c>
      <c r="U121" s="256">
        <v>100</v>
      </c>
      <c r="V121" s="170">
        <f t="shared" si="35"/>
        <v>102.37</v>
      </c>
      <c r="W121" s="258">
        <v>0.2</v>
      </c>
      <c r="X121" s="257">
        <f t="shared" si="37"/>
        <v>120</v>
      </c>
      <c r="Y121" s="170">
        <f t="shared" si="48"/>
        <v>122.84399999999999</v>
      </c>
      <c r="Z121" s="170">
        <f t="shared" si="36"/>
        <v>125</v>
      </c>
      <c r="AA121" s="407">
        <f t="shared" si="49"/>
        <v>0</v>
      </c>
      <c r="AB121" s="194"/>
    </row>
    <row r="122" spans="1:28" s="278" customFormat="1" x14ac:dyDescent="0.25">
      <c r="A122" s="200">
        <v>202445</v>
      </c>
      <c r="B122" s="313" t="s">
        <v>19030</v>
      </c>
      <c r="C122" s="248"/>
      <c r="D122" s="247" t="s">
        <v>11</v>
      </c>
      <c r="E122" s="249">
        <f t="shared" si="50"/>
        <v>187.5</v>
      </c>
      <c r="F122" s="170">
        <f t="shared" si="50"/>
        <v>191.95312500000003</v>
      </c>
      <c r="G122" s="250">
        <v>0.75</v>
      </c>
      <c r="H122" s="171">
        <f t="shared" si="39"/>
        <v>0.75</v>
      </c>
      <c r="I122" s="249">
        <f t="shared" si="51"/>
        <v>0</v>
      </c>
      <c r="J122" s="170">
        <f t="shared" si="51"/>
        <v>0</v>
      </c>
      <c r="K122" s="252"/>
      <c r="L122" s="172">
        <f t="shared" si="41"/>
        <v>0</v>
      </c>
      <c r="M122" s="249">
        <f t="shared" si="42"/>
        <v>62.5</v>
      </c>
      <c r="N122" s="170">
        <f t="shared" si="43"/>
        <v>63.984375000000007</v>
      </c>
      <c r="O122" s="250">
        <v>0.25</v>
      </c>
      <c r="P122" s="172">
        <f t="shared" si="44"/>
        <v>0.25</v>
      </c>
      <c r="Q122" s="251">
        <f t="shared" si="45"/>
        <v>0</v>
      </c>
      <c r="R122" s="173">
        <f t="shared" si="46"/>
        <v>0</v>
      </c>
      <c r="S122" s="252"/>
      <c r="T122" s="171">
        <f t="shared" si="47"/>
        <v>0</v>
      </c>
      <c r="U122" s="256">
        <v>250</v>
      </c>
      <c r="V122" s="170">
        <f t="shared" si="35"/>
        <v>255.93750000000003</v>
      </c>
      <c r="W122" s="258">
        <v>0.2</v>
      </c>
      <c r="X122" s="257">
        <f t="shared" si="37"/>
        <v>300</v>
      </c>
      <c r="Y122" s="170">
        <f t="shared" si="48"/>
        <v>307.125</v>
      </c>
      <c r="Z122" s="170">
        <f t="shared" si="36"/>
        <v>310</v>
      </c>
      <c r="AA122" s="407">
        <f t="shared" si="49"/>
        <v>0</v>
      </c>
      <c r="AB122" s="194"/>
    </row>
    <row r="123" spans="1:28" s="278" customFormat="1" x14ac:dyDescent="0.25">
      <c r="A123" s="200">
        <v>202445</v>
      </c>
      <c r="B123" s="313" t="s">
        <v>19031</v>
      </c>
      <c r="C123" s="248"/>
      <c r="D123" s="247" t="s">
        <v>11</v>
      </c>
      <c r="E123" s="249">
        <f t="shared" si="50"/>
        <v>125.0025</v>
      </c>
      <c r="F123" s="170">
        <f t="shared" si="50"/>
        <v>127.971309375</v>
      </c>
      <c r="G123" s="250">
        <v>0.75</v>
      </c>
      <c r="H123" s="171">
        <f t="shared" si="39"/>
        <v>0.75</v>
      </c>
      <c r="I123" s="249">
        <f t="shared" si="51"/>
        <v>0</v>
      </c>
      <c r="J123" s="170">
        <f t="shared" si="51"/>
        <v>0</v>
      </c>
      <c r="K123" s="252"/>
      <c r="L123" s="172">
        <f t="shared" si="41"/>
        <v>0</v>
      </c>
      <c r="M123" s="249">
        <f t="shared" si="42"/>
        <v>41.667499999999997</v>
      </c>
      <c r="N123" s="170">
        <f t="shared" si="43"/>
        <v>42.657103124999999</v>
      </c>
      <c r="O123" s="250">
        <v>0.25</v>
      </c>
      <c r="P123" s="172">
        <f t="shared" si="44"/>
        <v>0.25</v>
      </c>
      <c r="Q123" s="251">
        <f t="shared" si="45"/>
        <v>0</v>
      </c>
      <c r="R123" s="173">
        <f t="shared" si="46"/>
        <v>0</v>
      </c>
      <c r="S123" s="252"/>
      <c r="T123" s="171">
        <f t="shared" si="47"/>
        <v>0</v>
      </c>
      <c r="U123" s="256">
        <v>166.67</v>
      </c>
      <c r="V123" s="170">
        <f t="shared" si="35"/>
        <v>170.6284125</v>
      </c>
      <c r="W123" s="258">
        <v>0.2</v>
      </c>
      <c r="X123" s="257">
        <f t="shared" si="37"/>
        <v>200.00399999999999</v>
      </c>
      <c r="Y123" s="170">
        <f t="shared" si="48"/>
        <v>204.75409499999998</v>
      </c>
      <c r="Z123" s="170">
        <f t="shared" si="36"/>
        <v>205</v>
      </c>
      <c r="AA123" s="407">
        <f t="shared" si="49"/>
        <v>0</v>
      </c>
      <c r="AB123" s="194"/>
    </row>
    <row r="124" spans="1:28" s="278" customFormat="1" x14ac:dyDescent="0.25">
      <c r="A124" s="200">
        <v>202450</v>
      </c>
      <c r="B124" s="313" t="s">
        <v>19032</v>
      </c>
      <c r="C124" s="248"/>
      <c r="D124" s="247" t="s">
        <v>11</v>
      </c>
      <c r="E124" s="249">
        <f t="shared" si="50"/>
        <v>74.997</v>
      </c>
      <c r="F124" s="170">
        <f t="shared" si="50"/>
        <v>76.766929200000021</v>
      </c>
      <c r="G124" s="250">
        <v>0.9</v>
      </c>
      <c r="H124" s="171">
        <f t="shared" si="39"/>
        <v>0.9</v>
      </c>
      <c r="I124" s="249">
        <f t="shared" si="51"/>
        <v>0</v>
      </c>
      <c r="J124" s="170">
        <f t="shared" si="51"/>
        <v>0</v>
      </c>
      <c r="K124" s="252"/>
      <c r="L124" s="172">
        <f t="shared" si="41"/>
        <v>0</v>
      </c>
      <c r="M124" s="249">
        <f t="shared" si="42"/>
        <v>8.3330000000000002</v>
      </c>
      <c r="N124" s="170">
        <f t="shared" si="43"/>
        <v>8.5296588000000018</v>
      </c>
      <c r="O124" s="250">
        <v>0.1</v>
      </c>
      <c r="P124" s="172">
        <f t="shared" si="44"/>
        <v>0.1</v>
      </c>
      <c r="Q124" s="251">
        <f t="shared" si="45"/>
        <v>0</v>
      </c>
      <c r="R124" s="173">
        <f t="shared" si="46"/>
        <v>0</v>
      </c>
      <c r="S124" s="252"/>
      <c r="T124" s="171">
        <f t="shared" si="47"/>
        <v>0</v>
      </c>
      <c r="U124" s="256">
        <v>83.33</v>
      </c>
      <c r="V124" s="170">
        <f t="shared" si="35"/>
        <v>85.296588000000014</v>
      </c>
      <c r="W124" s="258">
        <v>0.25</v>
      </c>
      <c r="X124" s="257">
        <f t="shared" si="37"/>
        <v>104.16249999999999</v>
      </c>
      <c r="Y124" s="170">
        <f t="shared" si="48"/>
        <v>106.62073500000002</v>
      </c>
      <c r="Z124" s="170">
        <f t="shared" si="36"/>
        <v>110</v>
      </c>
      <c r="AA124" s="407">
        <f t="shared" si="49"/>
        <v>0</v>
      </c>
      <c r="AB124" s="194"/>
    </row>
    <row r="125" spans="1:28" s="278" customFormat="1" x14ac:dyDescent="0.25">
      <c r="A125" s="200">
        <v>202450</v>
      </c>
      <c r="B125" s="313" t="s">
        <v>19033</v>
      </c>
      <c r="C125" s="248"/>
      <c r="D125" s="247" t="s">
        <v>11</v>
      </c>
      <c r="E125" s="249">
        <f t="shared" si="50"/>
        <v>60.003</v>
      </c>
      <c r="F125" s="170">
        <f t="shared" si="50"/>
        <v>61.419070800000007</v>
      </c>
      <c r="G125" s="250">
        <v>0.9</v>
      </c>
      <c r="H125" s="171">
        <f t="shared" si="39"/>
        <v>0.9</v>
      </c>
      <c r="I125" s="249">
        <f t="shared" si="51"/>
        <v>0</v>
      </c>
      <c r="J125" s="170">
        <f t="shared" si="51"/>
        <v>0</v>
      </c>
      <c r="K125" s="252"/>
      <c r="L125" s="172">
        <f t="shared" si="41"/>
        <v>0</v>
      </c>
      <c r="M125" s="249">
        <f t="shared" si="42"/>
        <v>6.6670000000000007</v>
      </c>
      <c r="N125" s="170">
        <f t="shared" si="43"/>
        <v>6.824341200000001</v>
      </c>
      <c r="O125" s="250">
        <v>0.1</v>
      </c>
      <c r="P125" s="172">
        <f t="shared" si="44"/>
        <v>0.1</v>
      </c>
      <c r="Q125" s="251">
        <f t="shared" si="45"/>
        <v>0</v>
      </c>
      <c r="R125" s="173">
        <f t="shared" si="46"/>
        <v>0</v>
      </c>
      <c r="S125" s="252"/>
      <c r="T125" s="171">
        <f t="shared" si="47"/>
        <v>0</v>
      </c>
      <c r="U125" s="256">
        <v>66.67</v>
      </c>
      <c r="V125" s="170">
        <f t="shared" ref="V125:V148" si="52">SUM(E125*1.0235,I125*1.0175,M125*1.0245,Q125*1.0115)</f>
        <v>68.243412000000006</v>
      </c>
      <c r="W125" s="258">
        <v>0.25</v>
      </c>
      <c r="X125" s="257">
        <f t="shared" si="37"/>
        <v>83.337500000000006</v>
      </c>
      <c r="Y125" s="170">
        <f t="shared" si="48"/>
        <v>85.304265000000015</v>
      </c>
      <c r="Z125" s="170">
        <f t="shared" si="36"/>
        <v>86</v>
      </c>
      <c r="AA125" s="407">
        <f t="shared" si="49"/>
        <v>0</v>
      </c>
      <c r="AB125" s="194"/>
    </row>
    <row r="126" spans="1:28" s="278" customFormat="1" x14ac:dyDescent="0.25">
      <c r="A126" s="200">
        <v>202450</v>
      </c>
      <c r="B126" s="313" t="s">
        <v>19034</v>
      </c>
      <c r="C126" s="248"/>
      <c r="D126" s="247" t="s">
        <v>11</v>
      </c>
      <c r="E126" s="249">
        <f t="shared" si="50"/>
        <v>36</v>
      </c>
      <c r="F126" s="170">
        <f t="shared" si="50"/>
        <v>36.849600000000002</v>
      </c>
      <c r="G126" s="250">
        <v>0.9</v>
      </c>
      <c r="H126" s="171">
        <f t="shared" si="39"/>
        <v>0.9</v>
      </c>
      <c r="I126" s="249">
        <f t="shared" si="51"/>
        <v>0</v>
      </c>
      <c r="J126" s="170">
        <f t="shared" si="51"/>
        <v>0</v>
      </c>
      <c r="K126" s="252"/>
      <c r="L126" s="172">
        <f t="shared" si="41"/>
        <v>0</v>
      </c>
      <c r="M126" s="249">
        <f t="shared" si="42"/>
        <v>4</v>
      </c>
      <c r="N126" s="170">
        <f t="shared" si="43"/>
        <v>4.0944000000000003</v>
      </c>
      <c r="O126" s="250">
        <v>0.1</v>
      </c>
      <c r="P126" s="172">
        <f t="shared" si="44"/>
        <v>0.1</v>
      </c>
      <c r="Q126" s="251">
        <f t="shared" si="45"/>
        <v>0</v>
      </c>
      <c r="R126" s="173">
        <f t="shared" si="46"/>
        <v>0</v>
      </c>
      <c r="S126" s="252"/>
      <c r="T126" s="171">
        <f t="shared" si="47"/>
        <v>0</v>
      </c>
      <c r="U126" s="256">
        <v>40</v>
      </c>
      <c r="V126" s="170">
        <f t="shared" si="52"/>
        <v>40.944000000000003</v>
      </c>
      <c r="W126" s="258">
        <v>0.25</v>
      </c>
      <c r="X126" s="257">
        <f t="shared" si="37"/>
        <v>50</v>
      </c>
      <c r="Y126" s="170">
        <f t="shared" si="48"/>
        <v>51.180000000000007</v>
      </c>
      <c r="Z126" s="170">
        <f t="shared" si="36"/>
        <v>52</v>
      </c>
      <c r="AA126" s="407">
        <f t="shared" si="49"/>
        <v>0</v>
      </c>
      <c r="AB126" s="194"/>
    </row>
    <row r="127" spans="1:28" s="278" customFormat="1" x14ac:dyDescent="0.25">
      <c r="A127" s="200">
        <v>202455</v>
      </c>
      <c r="B127" s="313" t="s">
        <v>14527</v>
      </c>
      <c r="C127" s="248"/>
      <c r="D127" s="247" t="s">
        <v>11</v>
      </c>
      <c r="E127" s="249">
        <f t="shared" si="50"/>
        <v>18.52</v>
      </c>
      <c r="F127" s="170">
        <f t="shared" si="50"/>
        <v>18.964480000000002</v>
      </c>
      <c r="G127" s="250">
        <v>0.5</v>
      </c>
      <c r="H127" s="171">
        <f t="shared" si="39"/>
        <v>0.5</v>
      </c>
      <c r="I127" s="249">
        <f t="shared" si="51"/>
        <v>0</v>
      </c>
      <c r="J127" s="170">
        <f t="shared" si="51"/>
        <v>0</v>
      </c>
      <c r="K127" s="252"/>
      <c r="L127" s="172">
        <f t="shared" si="41"/>
        <v>0</v>
      </c>
      <c r="M127" s="249">
        <f t="shared" si="42"/>
        <v>18.52</v>
      </c>
      <c r="N127" s="170">
        <f t="shared" si="43"/>
        <v>18.964480000000002</v>
      </c>
      <c r="O127" s="250">
        <v>0.5</v>
      </c>
      <c r="P127" s="172">
        <f t="shared" si="44"/>
        <v>0.5</v>
      </c>
      <c r="Q127" s="251">
        <f t="shared" si="45"/>
        <v>0</v>
      </c>
      <c r="R127" s="173">
        <f t="shared" si="46"/>
        <v>0</v>
      </c>
      <c r="S127" s="252"/>
      <c r="T127" s="171">
        <f t="shared" si="47"/>
        <v>0</v>
      </c>
      <c r="U127" s="256">
        <v>37.04</v>
      </c>
      <c r="V127" s="170">
        <f t="shared" si="52"/>
        <v>37.928960000000004</v>
      </c>
      <c r="W127" s="258">
        <v>0.35</v>
      </c>
      <c r="X127" s="257">
        <f t="shared" si="37"/>
        <v>50.003999999999998</v>
      </c>
      <c r="Y127" s="170">
        <f t="shared" si="48"/>
        <v>51.204096000000007</v>
      </c>
      <c r="Z127" s="170">
        <f t="shared" si="36"/>
        <v>52</v>
      </c>
      <c r="AA127" s="407">
        <f t="shared" si="49"/>
        <v>0</v>
      </c>
      <c r="AB127" s="194"/>
    </row>
    <row r="128" spans="1:28" s="278" customFormat="1" x14ac:dyDescent="0.25">
      <c r="A128" s="200">
        <v>202465</v>
      </c>
      <c r="B128" s="313" t="s">
        <v>14528</v>
      </c>
      <c r="C128" s="248"/>
      <c r="D128" s="247" t="s">
        <v>11</v>
      </c>
      <c r="E128" s="249">
        <f t="shared" si="50"/>
        <v>2.222</v>
      </c>
      <c r="F128" s="170">
        <f t="shared" si="50"/>
        <v>2.2528858</v>
      </c>
      <c r="G128" s="250">
        <v>0.2</v>
      </c>
      <c r="H128" s="171">
        <f t="shared" si="39"/>
        <v>0.2</v>
      </c>
      <c r="I128" s="249">
        <f t="shared" si="51"/>
        <v>0</v>
      </c>
      <c r="J128" s="170">
        <f t="shared" si="51"/>
        <v>0</v>
      </c>
      <c r="K128" s="252"/>
      <c r="L128" s="172">
        <f t="shared" si="41"/>
        <v>0</v>
      </c>
      <c r="M128" s="249">
        <f t="shared" si="42"/>
        <v>0</v>
      </c>
      <c r="N128" s="170">
        <f t="shared" si="43"/>
        <v>0</v>
      </c>
      <c r="O128" s="252"/>
      <c r="P128" s="172">
        <f t="shared" si="44"/>
        <v>0</v>
      </c>
      <c r="Q128" s="251">
        <f t="shared" si="45"/>
        <v>8.8879999999999999</v>
      </c>
      <c r="R128" s="173">
        <f t="shared" si="46"/>
        <v>9.0115432000000002</v>
      </c>
      <c r="S128" s="250">
        <v>0.8</v>
      </c>
      <c r="T128" s="171">
        <f t="shared" si="47"/>
        <v>0.8</v>
      </c>
      <c r="U128" s="256">
        <v>11.11</v>
      </c>
      <c r="V128" s="170">
        <f t="shared" si="52"/>
        <v>11.264429</v>
      </c>
      <c r="W128" s="258">
        <v>0.35</v>
      </c>
      <c r="X128" s="257">
        <f t="shared" si="37"/>
        <v>14.9985</v>
      </c>
      <c r="Y128" s="170">
        <f t="shared" si="48"/>
        <v>15.20697915</v>
      </c>
      <c r="Z128" s="170">
        <f t="shared" si="36"/>
        <v>16</v>
      </c>
      <c r="AA128" s="407">
        <f t="shared" si="49"/>
        <v>0</v>
      </c>
      <c r="AB128" s="194"/>
    </row>
    <row r="129" spans="1:28" s="278" customFormat="1" x14ac:dyDescent="0.25">
      <c r="A129" s="200">
        <v>202475</v>
      </c>
      <c r="B129" s="313" t="s">
        <v>19035</v>
      </c>
      <c r="C129" s="248"/>
      <c r="D129" s="247" t="s">
        <v>11</v>
      </c>
      <c r="E129" s="249">
        <f t="shared" si="50"/>
        <v>59.259000000000007</v>
      </c>
      <c r="F129" s="170">
        <f t="shared" si="50"/>
        <v>60.011589300000004</v>
      </c>
      <c r="G129" s="252">
        <v>0.1</v>
      </c>
      <c r="H129" s="171">
        <f t="shared" si="39"/>
        <v>0.1</v>
      </c>
      <c r="I129" s="249">
        <f t="shared" si="51"/>
        <v>0</v>
      </c>
      <c r="J129" s="170">
        <f t="shared" si="51"/>
        <v>0</v>
      </c>
      <c r="K129" s="252"/>
      <c r="L129" s="172">
        <f t="shared" si="41"/>
        <v>0</v>
      </c>
      <c r="M129" s="249">
        <f t="shared" si="42"/>
        <v>0</v>
      </c>
      <c r="N129" s="170">
        <f t="shared" si="43"/>
        <v>0</v>
      </c>
      <c r="O129" s="252"/>
      <c r="P129" s="172">
        <f t="shared" si="44"/>
        <v>0</v>
      </c>
      <c r="Q129" s="251">
        <f t="shared" si="45"/>
        <v>533.33100000000002</v>
      </c>
      <c r="R129" s="173">
        <f t="shared" si="46"/>
        <v>540.10430370000006</v>
      </c>
      <c r="S129" s="250">
        <v>0.9</v>
      </c>
      <c r="T129" s="171">
        <f t="shared" si="47"/>
        <v>0.9</v>
      </c>
      <c r="U129" s="256">
        <v>592.59</v>
      </c>
      <c r="V129" s="170">
        <f t="shared" si="52"/>
        <v>600.11589300000003</v>
      </c>
      <c r="W129" s="258">
        <v>0.35</v>
      </c>
      <c r="X129" s="257">
        <f t="shared" si="37"/>
        <v>799.99649999999997</v>
      </c>
      <c r="Y129" s="170">
        <f t="shared" si="48"/>
        <v>810.15645555000015</v>
      </c>
      <c r="Z129" s="170">
        <f t="shared" si="36"/>
        <v>815</v>
      </c>
      <c r="AA129" s="407">
        <f t="shared" si="49"/>
        <v>0</v>
      </c>
      <c r="AB129" s="194"/>
    </row>
    <row r="130" spans="1:28" s="278" customFormat="1" x14ac:dyDescent="0.25">
      <c r="A130" s="200">
        <v>202475</v>
      </c>
      <c r="B130" s="313" t="s">
        <v>19036</v>
      </c>
      <c r="C130" s="248"/>
      <c r="D130" s="247" t="s">
        <v>11</v>
      </c>
      <c r="E130" s="249">
        <f t="shared" si="50"/>
        <v>44.444500000000005</v>
      </c>
      <c r="F130" s="170">
        <f t="shared" si="50"/>
        <v>45.00894515000001</v>
      </c>
      <c r="G130" s="250">
        <v>0.1</v>
      </c>
      <c r="H130" s="171">
        <f t="shared" si="39"/>
        <v>0.1</v>
      </c>
      <c r="I130" s="249">
        <f t="shared" si="51"/>
        <v>0</v>
      </c>
      <c r="J130" s="170">
        <f t="shared" si="51"/>
        <v>0</v>
      </c>
      <c r="K130" s="252"/>
      <c r="L130" s="172">
        <f t="shared" si="41"/>
        <v>0</v>
      </c>
      <c r="M130" s="249">
        <f t="shared" si="42"/>
        <v>0</v>
      </c>
      <c r="N130" s="170">
        <f t="shared" si="43"/>
        <v>0</v>
      </c>
      <c r="O130" s="252"/>
      <c r="P130" s="172">
        <f t="shared" si="44"/>
        <v>0</v>
      </c>
      <c r="Q130" s="251">
        <f t="shared" si="45"/>
        <v>400.00049999999999</v>
      </c>
      <c r="R130" s="173">
        <f t="shared" si="46"/>
        <v>405.08050635000006</v>
      </c>
      <c r="S130" s="250">
        <v>0.9</v>
      </c>
      <c r="T130" s="171">
        <f t="shared" si="47"/>
        <v>0.9</v>
      </c>
      <c r="U130" s="256">
        <v>444.44499999999999</v>
      </c>
      <c r="V130" s="170">
        <f t="shared" si="52"/>
        <v>450.08945150000005</v>
      </c>
      <c r="W130" s="258">
        <v>0.35</v>
      </c>
      <c r="X130" s="257">
        <f t="shared" si="37"/>
        <v>600.00074999999993</v>
      </c>
      <c r="Y130" s="170">
        <f t="shared" si="48"/>
        <v>607.62075952500015</v>
      </c>
      <c r="Z130" s="170">
        <f t="shared" si="36"/>
        <v>610</v>
      </c>
      <c r="AA130" s="407">
        <f t="shared" si="49"/>
        <v>0</v>
      </c>
      <c r="AB130" s="194"/>
    </row>
    <row r="131" spans="1:28" s="278" customFormat="1" x14ac:dyDescent="0.25">
      <c r="A131" s="200">
        <v>202480</v>
      </c>
      <c r="B131" s="313" t="s">
        <v>19037</v>
      </c>
      <c r="C131" s="248"/>
      <c r="D131" s="247" t="s">
        <v>11</v>
      </c>
      <c r="E131" s="249">
        <f t="shared" si="50"/>
        <v>0</v>
      </c>
      <c r="F131" s="170">
        <f t="shared" si="50"/>
        <v>0</v>
      </c>
      <c r="G131" s="252"/>
      <c r="H131" s="171">
        <f t="shared" si="39"/>
        <v>0</v>
      </c>
      <c r="I131" s="249">
        <f t="shared" si="51"/>
        <v>0</v>
      </c>
      <c r="J131" s="170">
        <f t="shared" si="51"/>
        <v>0</v>
      </c>
      <c r="K131" s="252"/>
      <c r="L131" s="172">
        <f t="shared" si="41"/>
        <v>0</v>
      </c>
      <c r="M131" s="249">
        <f t="shared" si="42"/>
        <v>57.692</v>
      </c>
      <c r="N131" s="170">
        <f t="shared" si="43"/>
        <v>58.505457200000002</v>
      </c>
      <c r="O131" s="250">
        <v>0.2</v>
      </c>
      <c r="P131" s="172">
        <f t="shared" si="44"/>
        <v>0.2</v>
      </c>
      <c r="Q131" s="251">
        <f t="shared" si="45"/>
        <v>230.768</v>
      </c>
      <c r="R131" s="173">
        <f t="shared" si="46"/>
        <v>234.02182880000001</v>
      </c>
      <c r="S131" s="250">
        <v>0.8</v>
      </c>
      <c r="T131" s="171">
        <f t="shared" si="47"/>
        <v>0.8</v>
      </c>
      <c r="U131" s="256">
        <v>288.45999999999998</v>
      </c>
      <c r="V131" s="170">
        <f t="shared" si="52"/>
        <v>292.527286</v>
      </c>
      <c r="W131" s="258">
        <v>0.3</v>
      </c>
      <c r="X131" s="257">
        <f t="shared" si="37"/>
        <v>374.99799999999999</v>
      </c>
      <c r="Y131" s="170">
        <f t="shared" si="48"/>
        <v>380.28547180000004</v>
      </c>
      <c r="Z131" s="170">
        <f t="shared" si="36"/>
        <v>385</v>
      </c>
      <c r="AA131" s="407">
        <f t="shared" si="49"/>
        <v>0</v>
      </c>
      <c r="AB131" s="194"/>
    </row>
    <row r="132" spans="1:28" s="278" customFormat="1" x14ac:dyDescent="0.25">
      <c r="A132" s="200">
        <v>202480</v>
      </c>
      <c r="B132" s="313" t="s">
        <v>19038</v>
      </c>
      <c r="C132" s="248"/>
      <c r="D132" s="247" t="s">
        <v>11</v>
      </c>
      <c r="E132" s="249">
        <f t="shared" si="50"/>
        <v>0</v>
      </c>
      <c r="F132" s="170">
        <f t="shared" si="50"/>
        <v>0</v>
      </c>
      <c r="G132" s="252"/>
      <c r="H132" s="171">
        <f t="shared" si="39"/>
        <v>0</v>
      </c>
      <c r="I132" s="249">
        <f t="shared" si="51"/>
        <v>0</v>
      </c>
      <c r="J132" s="170">
        <f t="shared" si="51"/>
        <v>0</v>
      </c>
      <c r="K132" s="252"/>
      <c r="L132" s="172">
        <f t="shared" si="41"/>
        <v>0</v>
      </c>
      <c r="M132" s="249">
        <f t="shared" si="42"/>
        <v>89.23</v>
      </c>
      <c r="N132" s="170">
        <f t="shared" si="43"/>
        <v>90.488143000000008</v>
      </c>
      <c r="O132" s="250">
        <v>0.2</v>
      </c>
      <c r="P132" s="172">
        <f t="shared" si="44"/>
        <v>0.2</v>
      </c>
      <c r="Q132" s="251">
        <f t="shared" si="45"/>
        <v>356.92</v>
      </c>
      <c r="R132" s="173">
        <f t="shared" si="46"/>
        <v>361.95257200000003</v>
      </c>
      <c r="S132" s="250">
        <v>0.8</v>
      </c>
      <c r="T132" s="171">
        <f t="shared" si="47"/>
        <v>0.8</v>
      </c>
      <c r="U132" s="256">
        <f>446.15</f>
        <v>446.15</v>
      </c>
      <c r="V132" s="170">
        <f t="shared" si="52"/>
        <v>452.44071500000001</v>
      </c>
      <c r="W132" s="258">
        <v>0.3</v>
      </c>
      <c r="X132" s="257">
        <f t="shared" si="37"/>
        <v>579.995</v>
      </c>
      <c r="Y132" s="170">
        <f t="shared" si="48"/>
        <v>588.17292950000001</v>
      </c>
      <c r="Z132" s="170">
        <f t="shared" ref="Z132:Z149" si="53">IF(Y132=0, 0, IF(Y132&lt;10, _xlfn.CEILING.MATH(Y132,1), IF(Y132&lt;100, _xlfn.CEILING.MATH(Y132,1),IF(Y132&lt;1000, _xlfn.CEILING.MATH(Y132,5), IF(Y132&lt;10000, _xlfn.CEILING.MATH(Y132, 25), IF(Y132&lt;100000, _xlfn.CEILING.MATH(Y132,250), IF(Y132&lt;1000000, _xlfn.CEILING.MATH(Y132,500), 0)))))))</f>
        <v>590</v>
      </c>
      <c r="AA132" s="407">
        <f t="shared" si="49"/>
        <v>0</v>
      </c>
      <c r="AB132" s="194"/>
    </row>
    <row r="133" spans="1:28" s="278" customFormat="1" x14ac:dyDescent="0.25">
      <c r="A133" s="200">
        <v>202480</v>
      </c>
      <c r="B133" s="313" t="s">
        <v>19039</v>
      </c>
      <c r="C133" s="248"/>
      <c r="D133" s="247" t="s">
        <v>11</v>
      </c>
      <c r="E133" s="249">
        <f t="shared" si="50"/>
        <v>0</v>
      </c>
      <c r="F133" s="170">
        <f t="shared" si="50"/>
        <v>0</v>
      </c>
      <c r="G133" s="252"/>
      <c r="H133" s="171">
        <f t="shared" si="39"/>
        <v>0</v>
      </c>
      <c r="I133" s="249">
        <f t="shared" si="51"/>
        <v>0</v>
      </c>
      <c r="J133" s="170">
        <f t="shared" si="51"/>
        <v>0</v>
      </c>
      <c r="K133" s="252"/>
      <c r="L133" s="172">
        <f t="shared" si="41"/>
        <v>0</v>
      </c>
      <c r="M133" s="249">
        <f t="shared" si="42"/>
        <v>111.53800000000001</v>
      </c>
      <c r="N133" s="170">
        <f t="shared" si="43"/>
        <v>113.11068580000001</v>
      </c>
      <c r="O133" s="250">
        <v>0.2</v>
      </c>
      <c r="P133" s="172">
        <f t="shared" si="44"/>
        <v>0.2</v>
      </c>
      <c r="Q133" s="251">
        <f t="shared" si="45"/>
        <v>446.15200000000004</v>
      </c>
      <c r="R133" s="173">
        <f t="shared" si="46"/>
        <v>452.44274320000005</v>
      </c>
      <c r="S133" s="250">
        <v>0.8</v>
      </c>
      <c r="T133" s="171">
        <f t="shared" si="47"/>
        <v>0.8</v>
      </c>
      <c r="U133" s="256">
        <v>557.69000000000005</v>
      </c>
      <c r="V133" s="170">
        <f t="shared" si="52"/>
        <v>565.55342900000005</v>
      </c>
      <c r="W133" s="258">
        <v>0.3</v>
      </c>
      <c r="X133" s="257">
        <f t="shared" si="37"/>
        <v>724.99700000000007</v>
      </c>
      <c r="Y133" s="170">
        <f t="shared" si="48"/>
        <v>735.21945770000013</v>
      </c>
      <c r="Z133" s="170">
        <f t="shared" si="53"/>
        <v>740</v>
      </c>
      <c r="AA133" s="407">
        <f t="shared" si="49"/>
        <v>0</v>
      </c>
      <c r="AB133" s="194"/>
    </row>
    <row r="134" spans="1:28" s="278" customFormat="1" x14ac:dyDescent="0.25">
      <c r="A134" s="200">
        <v>202480</v>
      </c>
      <c r="B134" s="313" t="s">
        <v>19040</v>
      </c>
      <c r="C134" s="248"/>
      <c r="D134" s="247" t="s">
        <v>11</v>
      </c>
      <c r="E134" s="249">
        <f t="shared" si="50"/>
        <v>0</v>
      </c>
      <c r="F134" s="170">
        <f t="shared" si="50"/>
        <v>0</v>
      </c>
      <c r="G134" s="252"/>
      <c r="H134" s="171">
        <f t="shared" si="39"/>
        <v>0</v>
      </c>
      <c r="I134" s="249">
        <f t="shared" si="51"/>
        <v>0</v>
      </c>
      <c r="J134" s="170">
        <f t="shared" si="51"/>
        <v>0</v>
      </c>
      <c r="K134" s="252"/>
      <c r="L134" s="172">
        <f t="shared" si="41"/>
        <v>0</v>
      </c>
      <c r="M134" s="249">
        <f t="shared" si="42"/>
        <v>116.154</v>
      </c>
      <c r="N134" s="170">
        <f t="shared" si="43"/>
        <v>117.7917714</v>
      </c>
      <c r="O134" s="250">
        <v>0.2</v>
      </c>
      <c r="P134" s="172">
        <f t="shared" si="44"/>
        <v>0.2</v>
      </c>
      <c r="Q134" s="251">
        <f t="shared" si="45"/>
        <v>464.61599999999999</v>
      </c>
      <c r="R134" s="173">
        <f t="shared" si="46"/>
        <v>471.16708560000001</v>
      </c>
      <c r="S134" s="250">
        <v>0.8</v>
      </c>
      <c r="T134" s="171">
        <f t="shared" si="47"/>
        <v>0.8</v>
      </c>
      <c r="U134" s="256">
        <v>580.77</v>
      </c>
      <c r="V134" s="170">
        <f t="shared" si="52"/>
        <v>588.95885699999997</v>
      </c>
      <c r="W134" s="258">
        <v>0.3</v>
      </c>
      <c r="X134" s="257">
        <f t="shared" si="37"/>
        <v>755.00099999999998</v>
      </c>
      <c r="Y134" s="170">
        <f t="shared" si="48"/>
        <v>765.64651409999999</v>
      </c>
      <c r="Z134" s="170">
        <f t="shared" si="53"/>
        <v>770</v>
      </c>
      <c r="AA134" s="407">
        <f t="shared" si="49"/>
        <v>0</v>
      </c>
      <c r="AB134" s="194"/>
    </row>
    <row r="135" spans="1:28" s="278" customFormat="1" x14ac:dyDescent="0.25">
      <c r="A135" s="200">
        <v>202500</v>
      </c>
      <c r="B135" s="313" t="s">
        <v>19041</v>
      </c>
      <c r="C135" s="248"/>
      <c r="D135" s="247" t="s">
        <v>11</v>
      </c>
      <c r="E135" s="249">
        <f t="shared" si="50"/>
        <v>85.001999999999995</v>
      </c>
      <c r="F135" s="170">
        <f t="shared" si="50"/>
        <v>87.033547799999994</v>
      </c>
      <c r="G135" s="250">
        <v>0.6</v>
      </c>
      <c r="H135" s="171">
        <f t="shared" si="39"/>
        <v>0.6</v>
      </c>
      <c r="I135" s="249">
        <f t="shared" si="51"/>
        <v>0</v>
      </c>
      <c r="J135" s="170">
        <f t="shared" si="51"/>
        <v>0</v>
      </c>
      <c r="K135" s="252"/>
      <c r="L135" s="172">
        <f t="shared" si="41"/>
        <v>0</v>
      </c>
      <c r="M135" s="249">
        <f t="shared" si="42"/>
        <v>56.667999999999999</v>
      </c>
      <c r="N135" s="170">
        <f t="shared" si="43"/>
        <v>58.022365200000003</v>
      </c>
      <c r="O135" s="250">
        <v>0.4</v>
      </c>
      <c r="P135" s="172">
        <f t="shared" si="44"/>
        <v>0.4</v>
      </c>
      <c r="Q135" s="251">
        <f t="shared" si="45"/>
        <v>0</v>
      </c>
      <c r="R135" s="173">
        <f t="shared" si="46"/>
        <v>0</v>
      </c>
      <c r="S135" s="252"/>
      <c r="T135" s="171">
        <f t="shared" si="47"/>
        <v>0</v>
      </c>
      <c r="U135" s="256">
        <v>141.66999999999999</v>
      </c>
      <c r="V135" s="170">
        <f t="shared" si="52"/>
        <v>145.055913</v>
      </c>
      <c r="W135" s="258">
        <v>0.2</v>
      </c>
      <c r="X135" s="257">
        <f t="shared" ref="X135:X153" si="54">U135+U135*W135</f>
        <v>170.00399999999999</v>
      </c>
      <c r="Y135" s="170">
        <f t="shared" si="48"/>
        <v>174.06709559999999</v>
      </c>
      <c r="Z135" s="170">
        <f t="shared" si="53"/>
        <v>175</v>
      </c>
      <c r="AA135" s="407">
        <f t="shared" si="49"/>
        <v>0</v>
      </c>
      <c r="AB135" s="194"/>
    </row>
    <row r="136" spans="1:28" s="278" customFormat="1" x14ac:dyDescent="0.25">
      <c r="A136" s="200">
        <v>202500</v>
      </c>
      <c r="B136" s="255" t="s">
        <v>19042</v>
      </c>
      <c r="C136" s="248"/>
      <c r="D136" s="247" t="s">
        <v>11</v>
      </c>
      <c r="E136" s="249">
        <f t="shared" si="50"/>
        <v>75</v>
      </c>
      <c r="F136" s="170">
        <f t="shared" si="50"/>
        <v>76.792500000000004</v>
      </c>
      <c r="G136" s="250">
        <v>0.6</v>
      </c>
      <c r="H136" s="171">
        <f t="shared" si="39"/>
        <v>0.6</v>
      </c>
      <c r="I136" s="249">
        <f t="shared" si="51"/>
        <v>0</v>
      </c>
      <c r="J136" s="170">
        <f t="shared" si="51"/>
        <v>0</v>
      </c>
      <c r="K136" s="252"/>
      <c r="L136" s="172">
        <f t="shared" si="41"/>
        <v>0</v>
      </c>
      <c r="M136" s="249">
        <f t="shared" si="42"/>
        <v>50</v>
      </c>
      <c r="N136" s="170">
        <f t="shared" si="43"/>
        <v>51.195000000000007</v>
      </c>
      <c r="O136" s="250">
        <v>0.4</v>
      </c>
      <c r="P136" s="172">
        <f t="shared" si="44"/>
        <v>0.4</v>
      </c>
      <c r="Q136" s="251">
        <f t="shared" si="45"/>
        <v>0</v>
      </c>
      <c r="R136" s="173">
        <f t="shared" si="46"/>
        <v>0</v>
      </c>
      <c r="S136" s="250"/>
      <c r="T136" s="171">
        <f t="shared" si="47"/>
        <v>0</v>
      </c>
      <c r="U136" s="256">
        <v>125</v>
      </c>
      <c r="V136" s="170">
        <f t="shared" si="52"/>
        <v>127.98750000000001</v>
      </c>
      <c r="W136" s="250">
        <v>0.2</v>
      </c>
      <c r="X136" s="257">
        <f t="shared" si="54"/>
        <v>150</v>
      </c>
      <c r="Y136" s="170">
        <f t="shared" si="48"/>
        <v>153.58500000000001</v>
      </c>
      <c r="Z136" s="170">
        <f t="shared" si="53"/>
        <v>155</v>
      </c>
      <c r="AA136" s="407">
        <f t="shared" si="49"/>
        <v>0</v>
      </c>
      <c r="AB136" s="194"/>
    </row>
    <row r="137" spans="1:28" s="278" customFormat="1" ht="14.4" thickBot="1" x14ac:dyDescent="0.3">
      <c r="A137" s="263">
        <v>202505</v>
      </c>
      <c r="B137" s="327" t="s">
        <v>19043</v>
      </c>
      <c r="C137" s="265"/>
      <c r="D137" s="264" t="s">
        <v>11</v>
      </c>
      <c r="E137" s="266">
        <f t="shared" si="50"/>
        <v>433.33549999999997</v>
      </c>
      <c r="F137" s="174">
        <f t="shared" si="50"/>
        <v>443.67055167499996</v>
      </c>
      <c r="G137" s="267">
        <v>0.65</v>
      </c>
      <c r="H137" s="268">
        <f t="shared" si="39"/>
        <v>0.65</v>
      </c>
      <c r="I137" s="266">
        <f t="shared" si="51"/>
        <v>0</v>
      </c>
      <c r="J137" s="174">
        <f t="shared" si="51"/>
        <v>0</v>
      </c>
      <c r="K137" s="408"/>
      <c r="L137" s="269">
        <f t="shared" si="41"/>
        <v>0</v>
      </c>
      <c r="M137" s="266">
        <f t="shared" si="42"/>
        <v>233.33449999999996</v>
      </c>
      <c r="N137" s="174">
        <f t="shared" si="43"/>
        <v>238.89952782499995</v>
      </c>
      <c r="O137" s="267">
        <v>0.35</v>
      </c>
      <c r="P137" s="269">
        <f t="shared" si="44"/>
        <v>0.35</v>
      </c>
      <c r="Q137" s="270">
        <f t="shared" si="45"/>
        <v>0</v>
      </c>
      <c r="R137" s="271">
        <f t="shared" si="46"/>
        <v>0</v>
      </c>
      <c r="S137" s="408"/>
      <c r="T137" s="268">
        <f t="shared" si="47"/>
        <v>0</v>
      </c>
      <c r="U137" s="409">
        <v>666.67</v>
      </c>
      <c r="V137" s="174">
        <f t="shared" si="52"/>
        <v>682.57007949999991</v>
      </c>
      <c r="W137" s="267">
        <v>0.2</v>
      </c>
      <c r="X137" s="274">
        <f t="shared" si="54"/>
        <v>800.00399999999991</v>
      </c>
      <c r="Y137" s="174">
        <f t="shared" si="48"/>
        <v>819.08409539999991</v>
      </c>
      <c r="Z137" s="174">
        <f t="shared" si="53"/>
        <v>820</v>
      </c>
      <c r="AA137" s="410">
        <f t="shared" si="49"/>
        <v>0</v>
      </c>
      <c r="AB137" s="194"/>
    </row>
    <row r="138" spans="1:28" s="278" customFormat="1" x14ac:dyDescent="0.25">
      <c r="A138" s="200">
        <v>202505</v>
      </c>
      <c r="B138" s="313" t="s">
        <v>19044</v>
      </c>
      <c r="C138" s="248"/>
      <c r="D138" s="247" t="s">
        <v>11</v>
      </c>
      <c r="E138" s="249">
        <f t="shared" si="50"/>
        <v>379.16450000000003</v>
      </c>
      <c r="F138" s="170">
        <f t="shared" si="50"/>
        <v>388.20757332500006</v>
      </c>
      <c r="G138" s="250">
        <v>0.65</v>
      </c>
      <c r="H138" s="171">
        <f t="shared" si="39"/>
        <v>0.65</v>
      </c>
      <c r="I138" s="249">
        <f t="shared" si="51"/>
        <v>0</v>
      </c>
      <c r="J138" s="170">
        <f t="shared" si="51"/>
        <v>0</v>
      </c>
      <c r="K138" s="252"/>
      <c r="L138" s="172">
        <f t="shared" si="41"/>
        <v>0</v>
      </c>
      <c r="M138" s="249">
        <f t="shared" si="42"/>
        <v>204.16550000000001</v>
      </c>
      <c r="N138" s="170">
        <f t="shared" si="43"/>
        <v>209.03484717500001</v>
      </c>
      <c r="O138" s="250">
        <v>0.35</v>
      </c>
      <c r="P138" s="172">
        <f t="shared" si="44"/>
        <v>0.35</v>
      </c>
      <c r="Q138" s="251">
        <f t="shared" si="45"/>
        <v>0</v>
      </c>
      <c r="R138" s="173">
        <f t="shared" si="46"/>
        <v>0</v>
      </c>
      <c r="S138" s="252"/>
      <c r="T138" s="171">
        <f t="shared" si="47"/>
        <v>0</v>
      </c>
      <c r="U138" s="256">
        <v>583.33000000000004</v>
      </c>
      <c r="V138" s="170">
        <f t="shared" si="52"/>
        <v>597.24242050000009</v>
      </c>
      <c r="W138" s="258">
        <v>0.2</v>
      </c>
      <c r="X138" s="257">
        <f t="shared" si="54"/>
        <v>699.99600000000009</v>
      </c>
      <c r="Y138" s="170">
        <f t="shared" si="48"/>
        <v>716.69090460000007</v>
      </c>
      <c r="Z138" s="170">
        <f t="shared" si="53"/>
        <v>720</v>
      </c>
      <c r="AA138" s="407">
        <f t="shared" si="49"/>
        <v>0</v>
      </c>
      <c r="AB138" s="194"/>
    </row>
    <row r="139" spans="1:28" s="278" customFormat="1" x14ac:dyDescent="0.25">
      <c r="A139" s="200">
        <v>202505</v>
      </c>
      <c r="B139" s="313" t="s">
        <v>19045</v>
      </c>
      <c r="C139" s="248"/>
      <c r="D139" s="247" t="s">
        <v>11</v>
      </c>
      <c r="E139" s="249">
        <f t="shared" si="50"/>
        <v>325</v>
      </c>
      <c r="F139" s="170">
        <f t="shared" si="50"/>
        <v>332.75125000000003</v>
      </c>
      <c r="G139" s="250">
        <v>0.65</v>
      </c>
      <c r="H139" s="171">
        <f t="shared" si="39"/>
        <v>0.65</v>
      </c>
      <c r="I139" s="249">
        <f t="shared" si="51"/>
        <v>0</v>
      </c>
      <c r="J139" s="170">
        <f t="shared" si="51"/>
        <v>0</v>
      </c>
      <c r="K139" s="252"/>
      <c r="L139" s="172">
        <f t="shared" si="41"/>
        <v>0</v>
      </c>
      <c r="M139" s="249">
        <f t="shared" si="42"/>
        <v>175</v>
      </c>
      <c r="N139" s="170">
        <f t="shared" si="43"/>
        <v>179.17375000000001</v>
      </c>
      <c r="O139" s="250">
        <v>0.35</v>
      </c>
      <c r="P139" s="172">
        <f t="shared" si="44"/>
        <v>0.35</v>
      </c>
      <c r="Q139" s="251">
        <f t="shared" si="45"/>
        <v>0</v>
      </c>
      <c r="R139" s="173">
        <f t="shared" si="46"/>
        <v>0</v>
      </c>
      <c r="S139" s="252"/>
      <c r="T139" s="171">
        <f t="shared" si="47"/>
        <v>0</v>
      </c>
      <c r="U139" s="256">
        <v>500</v>
      </c>
      <c r="V139" s="170">
        <f t="shared" si="52"/>
        <v>511.92500000000007</v>
      </c>
      <c r="W139" s="258">
        <v>0.2</v>
      </c>
      <c r="X139" s="257">
        <f t="shared" si="54"/>
        <v>600</v>
      </c>
      <c r="Y139" s="170">
        <f t="shared" si="48"/>
        <v>614.31000000000006</v>
      </c>
      <c r="Z139" s="170">
        <f t="shared" si="53"/>
        <v>615</v>
      </c>
      <c r="AA139" s="407">
        <f t="shared" si="49"/>
        <v>0</v>
      </c>
      <c r="AB139" s="194"/>
    </row>
    <row r="140" spans="1:28" s="278" customFormat="1" x14ac:dyDescent="0.25">
      <c r="A140" s="200">
        <v>202650</v>
      </c>
      <c r="B140" s="313" t="s">
        <v>19046</v>
      </c>
      <c r="C140" s="248"/>
      <c r="D140" s="247" t="s">
        <v>11</v>
      </c>
      <c r="E140" s="249">
        <f t="shared" si="50"/>
        <v>44.444000000000003</v>
      </c>
      <c r="F140" s="170">
        <f t="shared" si="50"/>
        <v>45.061771600000014</v>
      </c>
      <c r="G140" s="250">
        <v>0.2</v>
      </c>
      <c r="H140" s="171">
        <f t="shared" si="39"/>
        <v>0.2</v>
      </c>
      <c r="I140" s="249">
        <f t="shared" si="51"/>
        <v>0</v>
      </c>
      <c r="J140" s="170">
        <f t="shared" si="51"/>
        <v>0</v>
      </c>
      <c r="K140" s="250"/>
      <c r="L140" s="172">
        <f t="shared" si="41"/>
        <v>0</v>
      </c>
      <c r="M140" s="249">
        <f t="shared" si="42"/>
        <v>0</v>
      </c>
      <c r="N140" s="170">
        <f t="shared" si="43"/>
        <v>0</v>
      </c>
      <c r="O140" s="250"/>
      <c r="P140" s="172">
        <f t="shared" si="44"/>
        <v>0</v>
      </c>
      <c r="Q140" s="251">
        <f t="shared" si="45"/>
        <v>177.77600000000001</v>
      </c>
      <c r="R140" s="173">
        <f t="shared" si="46"/>
        <v>180.24708640000006</v>
      </c>
      <c r="S140" s="250">
        <v>0.8</v>
      </c>
      <c r="T140" s="171">
        <f t="shared" si="47"/>
        <v>0.8</v>
      </c>
      <c r="U140" s="256">
        <v>222.22</v>
      </c>
      <c r="V140" s="170">
        <f t="shared" si="52"/>
        <v>225.30885800000004</v>
      </c>
      <c r="W140" s="258">
        <v>0.35</v>
      </c>
      <c r="X140" s="257">
        <f t="shared" si="54"/>
        <v>299.99700000000001</v>
      </c>
      <c r="Y140" s="170">
        <f t="shared" si="48"/>
        <v>304.16695830000009</v>
      </c>
      <c r="Z140" s="170">
        <f t="shared" si="53"/>
        <v>305</v>
      </c>
      <c r="AA140" s="407">
        <f t="shared" si="49"/>
        <v>0</v>
      </c>
      <c r="AB140" s="194"/>
    </row>
    <row r="141" spans="1:28" s="278" customFormat="1" x14ac:dyDescent="0.25">
      <c r="A141" s="200">
        <v>202650</v>
      </c>
      <c r="B141" s="313" t="s">
        <v>19047</v>
      </c>
      <c r="C141" s="248"/>
      <c r="D141" s="247" t="s">
        <v>11</v>
      </c>
      <c r="E141" s="249">
        <f t="shared" si="50"/>
        <v>25.184600000000003</v>
      </c>
      <c r="F141" s="170">
        <f t="shared" si="50"/>
        <v>25.534665940000007</v>
      </c>
      <c r="G141" s="250">
        <v>0.2</v>
      </c>
      <c r="H141" s="171">
        <f t="shared" si="39"/>
        <v>0.2</v>
      </c>
      <c r="I141" s="249">
        <f t="shared" si="51"/>
        <v>0</v>
      </c>
      <c r="J141" s="170">
        <f t="shared" si="51"/>
        <v>0</v>
      </c>
      <c r="K141" s="252"/>
      <c r="L141" s="172">
        <f t="shared" si="41"/>
        <v>0</v>
      </c>
      <c r="M141" s="249">
        <f t="shared" si="42"/>
        <v>0</v>
      </c>
      <c r="N141" s="170">
        <f t="shared" si="43"/>
        <v>0</v>
      </c>
      <c r="O141" s="252"/>
      <c r="P141" s="172">
        <f t="shared" si="44"/>
        <v>0</v>
      </c>
      <c r="Q141" s="251">
        <f t="shared" si="45"/>
        <v>100.73840000000001</v>
      </c>
      <c r="R141" s="173">
        <f t="shared" si="46"/>
        <v>102.13866376000003</v>
      </c>
      <c r="S141" s="250">
        <v>0.8</v>
      </c>
      <c r="T141" s="171">
        <f t="shared" si="47"/>
        <v>0.8</v>
      </c>
      <c r="U141" s="256">
        <v>125.923</v>
      </c>
      <c r="V141" s="170">
        <f t="shared" si="52"/>
        <v>127.67332970000002</v>
      </c>
      <c r="W141" s="258">
        <v>0.35</v>
      </c>
      <c r="X141" s="257">
        <f t="shared" si="54"/>
        <v>169.99605</v>
      </c>
      <c r="Y141" s="170">
        <f t="shared" si="48"/>
        <v>172.35899509500004</v>
      </c>
      <c r="Z141" s="170">
        <f t="shared" si="53"/>
        <v>175</v>
      </c>
      <c r="AA141" s="407">
        <f t="shared" si="49"/>
        <v>0</v>
      </c>
      <c r="AB141" s="194"/>
    </row>
    <row r="142" spans="1:28" s="278" customFormat="1" x14ac:dyDescent="0.25">
      <c r="A142" s="200">
        <v>202655</v>
      </c>
      <c r="B142" s="313" t="s">
        <v>14529</v>
      </c>
      <c r="C142" s="248"/>
      <c r="D142" s="247" t="s">
        <v>11</v>
      </c>
      <c r="E142" s="249">
        <f t="shared" si="50"/>
        <v>20.740000000000002</v>
      </c>
      <c r="F142" s="170">
        <f t="shared" si="50"/>
        <v>21.028286000000005</v>
      </c>
      <c r="G142" s="250">
        <v>0.2</v>
      </c>
      <c r="H142" s="171">
        <f t="shared" si="39"/>
        <v>0.2</v>
      </c>
      <c r="I142" s="249">
        <f t="shared" si="51"/>
        <v>0</v>
      </c>
      <c r="J142" s="170">
        <f t="shared" si="51"/>
        <v>0</v>
      </c>
      <c r="K142" s="252"/>
      <c r="L142" s="172">
        <f t="shared" si="41"/>
        <v>0</v>
      </c>
      <c r="M142" s="249">
        <f t="shared" si="42"/>
        <v>0</v>
      </c>
      <c r="N142" s="170">
        <f t="shared" si="43"/>
        <v>0</v>
      </c>
      <c r="O142" s="252"/>
      <c r="P142" s="172">
        <f t="shared" si="44"/>
        <v>0</v>
      </c>
      <c r="Q142" s="251">
        <f t="shared" si="45"/>
        <v>82.960000000000008</v>
      </c>
      <c r="R142" s="173">
        <f t="shared" si="46"/>
        <v>84.11314400000002</v>
      </c>
      <c r="S142" s="250">
        <v>0.8</v>
      </c>
      <c r="T142" s="171">
        <f t="shared" si="47"/>
        <v>0.8</v>
      </c>
      <c r="U142" s="256">
        <v>103.7</v>
      </c>
      <c r="V142" s="170">
        <f t="shared" si="52"/>
        <v>105.14143000000001</v>
      </c>
      <c r="W142" s="258">
        <v>0.35</v>
      </c>
      <c r="X142" s="257">
        <f t="shared" si="54"/>
        <v>139.995</v>
      </c>
      <c r="Y142" s="170">
        <f t="shared" si="48"/>
        <v>141.94093050000004</v>
      </c>
      <c r="Z142" s="170">
        <f t="shared" si="53"/>
        <v>145</v>
      </c>
      <c r="AA142" s="407">
        <f t="shared" si="49"/>
        <v>0</v>
      </c>
      <c r="AB142" s="194"/>
    </row>
    <row r="143" spans="1:28" s="278" customFormat="1" x14ac:dyDescent="0.25">
      <c r="A143" s="200">
        <v>202655</v>
      </c>
      <c r="B143" s="313" t="s">
        <v>14530</v>
      </c>
      <c r="C143" s="248"/>
      <c r="D143" s="247" t="s">
        <v>11</v>
      </c>
      <c r="E143" s="249">
        <f t="shared" si="50"/>
        <v>17.778000000000002</v>
      </c>
      <c r="F143" s="170">
        <f t="shared" si="50"/>
        <v>18.025114200000004</v>
      </c>
      <c r="G143" s="250">
        <v>0.2</v>
      </c>
      <c r="H143" s="171">
        <f t="shared" si="39"/>
        <v>0.2</v>
      </c>
      <c r="I143" s="249">
        <f t="shared" si="51"/>
        <v>0</v>
      </c>
      <c r="J143" s="170">
        <f t="shared" si="51"/>
        <v>0</v>
      </c>
      <c r="K143" s="252"/>
      <c r="L143" s="172">
        <f t="shared" si="41"/>
        <v>0</v>
      </c>
      <c r="M143" s="249">
        <f t="shared" si="42"/>
        <v>0</v>
      </c>
      <c r="N143" s="170">
        <f t="shared" si="43"/>
        <v>0</v>
      </c>
      <c r="O143" s="252"/>
      <c r="P143" s="172">
        <f t="shared" si="44"/>
        <v>0</v>
      </c>
      <c r="Q143" s="251">
        <f t="shared" si="45"/>
        <v>71.112000000000009</v>
      </c>
      <c r="R143" s="173">
        <f t="shared" si="46"/>
        <v>72.100456800000018</v>
      </c>
      <c r="S143" s="250">
        <v>0.8</v>
      </c>
      <c r="T143" s="171">
        <f t="shared" si="47"/>
        <v>0.8</v>
      </c>
      <c r="U143" s="256">
        <v>88.89</v>
      </c>
      <c r="V143" s="170">
        <f t="shared" si="52"/>
        <v>90.125571000000022</v>
      </c>
      <c r="W143" s="258">
        <v>0.35</v>
      </c>
      <c r="X143" s="257">
        <f t="shared" si="54"/>
        <v>120.00149999999999</v>
      </c>
      <c r="Y143" s="170">
        <f t="shared" si="48"/>
        <v>121.66952085000004</v>
      </c>
      <c r="Z143" s="170">
        <f t="shared" si="53"/>
        <v>125</v>
      </c>
      <c r="AA143" s="407">
        <f t="shared" si="49"/>
        <v>0</v>
      </c>
      <c r="AB143" s="194"/>
    </row>
    <row r="144" spans="1:28" s="278" customFormat="1" x14ac:dyDescent="0.25">
      <c r="A144" s="200">
        <v>206660</v>
      </c>
      <c r="B144" s="313" t="s">
        <v>14531</v>
      </c>
      <c r="C144" s="248"/>
      <c r="D144" s="247" t="s">
        <v>11</v>
      </c>
      <c r="E144" s="249">
        <f t="shared" si="50"/>
        <v>29.630000000000003</v>
      </c>
      <c r="F144" s="170">
        <f t="shared" si="50"/>
        <v>30.041857000000007</v>
      </c>
      <c r="G144" s="250">
        <v>0.2</v>
      </c>
      <c r="H144" s="171">
        <f t="shared" si="39"/>
        <v>0.2</v>
      </c>
      <c r="I144" s="249">
        <f t="shared" si="51"/>
        <v>0</v>
      </c>
      <c r="J144" s="170">
        <f t="shared" si="51"/>
        <v>0</v>
      </c>
      <c r="K144" s="252"/>
      <c r="L144" s="172">
        <f t="shared" si="41"/>
        <v>0</v>
      </c>
      <c r="M144" s="249">
        <f t="shared" si="42"/>
        <v>0</v>
      </c>
      <c r="N144" s="170">
        <f t="shared" si="43"/>
        <v>0</v>
      </c>
      <c r="O144" s="252"/>
      <c r="P144" s="172">
        <f t="shared" si="44"/>
        <v>0</v>
      </c>
      <c r="Q144" s="251">
        <f t="shared" si="45"/>
        <v>118.52000000000001</v>
      </c>
      <c r="R144" s="173">
        <f t="shared" si="46"/>
        <v>120.16742800000003</v>
      </c>
      <c r="S144" s="250">
        <v>0.8</v>
      </c>
      <c r="T144" s="171">
        <f t="shared" si="47"/>
        <v>0.8</v>
      </c>
      <c r="U144" s="256">
        <v>148.15</v>
      </c>
      <c r="V144" s="170">
        <f t="shared" si="52"/>
        <v>150.20928500000002</v>
      </c>
      <c r="W144" s="258">
        <v>0.35</v>
      </c>
      <c r="X144" s="257">
        <f t="shared" si="54"/>
        <v>200.0025</v>
      </c>
      <c r="Y144" s="170">
        <f t="shared" si="48"/>
        <v>202.78253475000005</v>
      </c>
      <c r="Z144" s="170">
        <f t="shared" si="53"/>
        <v>205</v>
      </c>
      <c r="AA144" s="407">
        <f t="shared" si="49"/>
        <v>0</v>
      </c>
      <c r="AB144" s="194"/>
    </row>
    <row r="145" spans="1:28" s="278" customFormat="1" x14ac:dyDescent="0.25">
      <c r="A145" s="200">
        <v>206660</v>
      </c>
      <c r="B145" s="313" t="s">
        <v>19048</v>
      </c>
      <c r="C145" s="248"/>
      <c r="D145" s="247" t="s">
        <v>11</v>
      </c>
      <c r="E145" s="249">
        <f t="shared" si="50"/>
        <v>22.222000000000001</v>
      </c>
      <c r="F145" s="170">
        <f t="shared" si="50"/>
        <v>22.530885800000007</v>
      </c>
      <c r="G145" s="250">
        <v>0.2</v>
      </c>
      <c r="H145" s="171">
        <f t="shared" si="39"/>
        <v>0.2</v>
      </c>
      <c r="I145" s="249">
        <f t="shared" si="51"/>
        <v>0</v>
      </c>
      <c r="J145" s="170">
        <f t="shared" si="51"/>
        <v>0</v>
      </c>
      <c r="K145" s="252"/>
      <c r="L145" s="172">
        <f t="shared" si="41"/>
        <v>0</v>
      </c>
      <c r="M145" s="249">
        <f t="shared" si="42"/>
        <v>0</v>
      </c>
      <c r="N145" s="170">
        <f t="shared" si="43"/>
        <v>0</v>
      </c>
      <c r="O145" s="252"/>
      <c r="P145" s="172">
        <f t="shared" si="44"/>
        <v>0</v>
      </c>
      <c r="Q145" s="251">
        <f t="shared" si="45"/>
        <v>88.888000000000005</v>
      </c>
      <c r="R145" s="173">
        <f t="shared" si="46"/>
        <v>90.123543200000029</v>
      </c>
      <c r="S145" s="250">
        <v>0.8</v>
      </c>
      <c r="T145" s="171">
        <f t="shared" si="47"/>
        <v>0.8</v>
      </c>
      <c r="U145" s="256">
        <v>111.11</v>
      </c>
      <c r="V145" s="170">
        <f t="shared" si="52"/>
        <v>112.65442900000002</v>
      </c>
      <c r="W145" s="258">
        <v>0.35</v>
      </c>
      <c r="X145" s="257">
        <f t="shared" si="54"/>
        <v>149.99850000000001</v>
      </c>
      <c r="Y145" s="170">
        <f t="shared" si="48"/>
        <v>152.08347915000004</v>
      </c>
      <c r="Z145" s="170">
        <f t="shared" si="53"/>
        <v>155</v>
      </c>
      <c r="AA145" s="407">
        <f t="shared" si="49"/>
        <v>0</v>
      </c>
      <c r="AB145" s="194"/>
    </row>
    <row r="146" spans="1:28" s="278" customFormat="1" x14ac:dyDescent="0.25">
      <c r="A146" s="200">
        <v>202685</v>
      </c>
      <c r="B146" s="313" t="s">
        <v>19049</v>
      </c>
      <c r="C146" s="248"/>
      <c r="D146" s="247" t="s">
        <v>2</v>
      </c>
      <c r="E146" s="249">
        <f t="shared" si="50"/>
        <v>0.55000000000000004</v>
      </c>
      <c r="F146" s="170">
        <f t="shared" si="50"/>
        <v>0.55698500000000006</v>
      </c>
      <c r="G146" s="250">
        <v>0.1</v>
      </c>
      <c r="H146" s="171">
        <f t="shared" si="39"/>
        <v>0.1</v>
      </c>
      <c r="I146" s="249">
        <f t="shared" si="51"/>
        <v>0</v>
      </c>
      <c r="J146" s="170">
        <f t="shared" si="51"/>
        <v>0</v>
      </c>
      <c r="K146" s="252"/>
      <c r="L146" s="172">
        <f t="shared" si="41"/>
        <v>0</v>
      </c>
      <c r="M146" s="249">
        <f t="shared" si="42"/>
        <v>0</v>
      </c>
      <c r="N146" s="170">
        <f t="shared" si="43"/>
        <v>0</v>
      </c>
      <c r="O146" s="252"/>
      <c r="P146" s="172">
        <f t="shared" si="44"/>
        <v>0</v>
      </c>
      <c r="Q146" s="251">
        <f t="shared" si="45"/>
        <v>4.95</v>
      </c>
      <c r="R146" s="173">
        <f t="shared" si="46"/>
        <v>5.0128650000000006</v>
      </c>
      <c r="S146" s="250">
        <v>0.9</v>
      </c>
      <c r="T146" s="171">
        <f t="shared" si="47"/>
        <v>0.9</v>
      </c>
      <c r="U146" s="256">
        <v>5.5</v>
      </c>
      <c r="V146" s="170">
        <f t="shared" si="52"/>
        <v>5.5698500000000006</v>
      </c>
      <c r="W146" s="258">
        <v>0.3</v>
      </c>
      <c r="X146" s="257">
        <f t="shared" si="54"/>
        <v>7.15</v>
      </c>
      <c r="Y146" s="170">
        <f t="shared" si="48"/>
        <v>7.2408050000000008</v>
      </c>
      <c r="Z146" s="170">
        <f t="shared" si="53"/>
        <v>8</v>
      </c>
      <c r="AA146" s="407">
        <f t="shared" si="49"/>
        <v>0</v>
      </c>
      <c r="AB146" s="194"/>
    </row>
    <row r="147" spans="1:28" s="278" customFormat="1" x14ac:dyDescent="0.25">
      <c r="A147" s="200">
        <v>202685</v>
      </c>
      <c r="B147" s="313" t="s">
        <v>19050</v>
      </c>
      <c r="C147" s="248"/>
      <c r="D147" s="247" t="s">
        <v>2</v>
      </c>
      <c r="E147" s="249">
        <f t="shared" si="50"/>
        <v>0.4</v>
      </c>
      <c r="F147" s="170">
        <f t="shared" si="50"/>
        <v>0.40508000000000011</v>
      </c>
      <c r="G147" s="250">
        <v>0.1</v>
      </c>
      <c r="H147" s="171">
        <f t="shared" si="39"/>
        <v>0.1</v>
      </c>
      <c r="I147" s="249">
        <f t="shared" si="51"/>
        <v>0</v>
      </c>
      <c r="J147" s="170">
        <f t="shared" si="51"/>
        <v>0</v>
      </c>
      <c r="K147" s="252"/>
      <c r="L147" s="172">
        <f t="shared" si="41"/>
        <v>0</v>
      </c>
      <c r="M147" s="249">
        <f t="shared" si="42"/>
        <v>0</v>
      </c>
      <c r="N147" s="170">
        <f t="shared" si="43"/>
        <v>0</v>
      </c>
      <c r="O147" s="252"/>
      <c r="P147" s="172">
        <f t="shared" si="44"/>
        <v>0</v>
      </c>
      <c r="Q147" s="251">
        <f t="shared" si="45"/>
        <v>3.6</v>
      </c>
      <c r="R147" s="173">
        <f t="shared" si="46"/>
        <v>3.6457200000000007</v>
      </c>
      <c r="S147" s="250">
        <v>0.9</v>
      </c>
      <c r="T147" s="171">
        <f t="shared" si="47"/>
        <v>0.9</v>
      </c>
      <c r="U147" s="256">
        <v>4</v>
      </c>
      <c r="V147" s="170">
        <f t="shared" si="52"/>
        <v>4.0508000000000006</v>
      </c>
      <c r="W147" s="258">
        <v>0.3</v>
      </c>
      <c r="X147" s="257">
        <f t="shared" si="54"/>
        <v>5.2</v>
      </c>
      <c r="Y147" s="170">
        <f t="shared" si="48"/>
        <v>5.2660400000000012</v>
      </c>
      <c r="Z147" s="170">
        <f t="shared" si="53"/>
        <v>6</v>
      </c>
      <c r="AA147" s="407">
        <f t="shared" si="49"/>
        <v>0</v>
      </c>
      <c r="AB147" s="194"/>
    </row>
    <row r="148" spans="1:28" s="278" customFormat="1" x14ac:dyDescent="0.25">
      <c r="A148" s="200">
        <v>202685</v>
      </c>
      <c r="B148" s="313" t="s">
        <v>19051</v>
      </c>
      <c r="C148" s="248"/>
      <c r="D148" s="247" t="s">
        <v>2</v>
      </c>
      <c r="E148" s="249">
        <f t="shared" si="50"/>
        <v>0.28849999999999998</v>
      </c>
      <c r="F148" s="170">
        <f t="shared" si="50"/>
        <v>0.29216395000000001</v>
      </c>
      <c r="G148" s="250">
        <v>0.1</v>
      </c>
      <c r="H148" s="171">
        <f t="shared" si="39"/>
        <v>0.1</v>
      </c>
      <c r="I148" s="249">
        <f t="shared" si="51"/>
        <v>0</v>
      </c>
      <c r="J148" s="170">
        <f t="shared" si="51"/>
        <v>0</v>
      </c>
      <c r="K148" s="252"/>
      <c r="L148" s="172">
        <f t="shared" si="41"/>
        <v>0</v>
      </c>
      <c r="M148" s="249">
        <f t="shared" si="42"/>
        <v>0</v>
      </c>
      <c r="N148" s="170">
        <f t="shared" si="43"/>
        <v>0</v>
      </c>
      <c r="O148" s="252"/>
      <c r="P148" s="172">
        <f t="shared" si="44"/>
        <v>0</v>
      </c>
      <c r="Q148" s="251">
        <f t="shared" si="45"/>
        <v>2.5964999999999998</v>
      </c>
      <c r="R148" s="173">
        <f t="shared" si="46"/>
        <v>2.62947555</v>
      </c>
      <c r="S148" s="250">
        <v>0.9</v>
      </c>
      <c r="T148" s="171">
        <f t="shared" si="47"/>
        <v>0.9</v>
      </c>
      <c r="U148" s="256">
        <v>2.8849999999999998</v>
      </c>
      <c r="V148" s="170">
        <f t="shared" si="52"/>
        <v>2.9216394999999999</v>
      </c>
      <c r="W148" s="258">
        <v>0.3</v>
      </c>
      <c r="X148" s="257">
        <f t="shared" si="54"/>
        <v>3.7504999999999997</v>
      </c>
      <c r="Y148" s="170">
        <f t="shared" si="48"/>
        <v>3.7981313500000002</v>
      </c>
      <c r="Z148" s="170">
        <f t="shared" si="53"/>
        <v>4</v>
      </c>
      <c r="AA148" s="407">
        <f t="shared" si="49"/>
        <v>0</v>
      </c>
      <c r="AB148" s="194"/>
    </row>
    <row r="149" spans="1:28" s="278" customFormat="1" x14ac:dyDescent="0.25">
      <c r="A149" s="200">
        <v>202750</v>
      </c>
      <c r="B149" s="313" t="s">
        <v>19052</v>
      </c>
      <c r="C149" s="248"/>
      <c r="D149" s="247" t="s">
        <v>2</v>
      </c>
      <c r="E149" s="249">
        <f t="shared" si="50"/>
        <v>4.0625</v>
      </c>
      <c r="F149" s="170">
        <f t="shared" si="50"/>
        <v>5.416666666666667</v>
      </c>
      <c r="G149" s="250">
        <v>0.65</v>
      </c>
      <c r="H149" s="171">
        <f t="shared" si="39"/>
        <v>0.65</v>
      </c>
      <c r="I149" s="249">
        <f t="shared" si="51"/>
        <v>0</v>
      </c>
      <c r="J149" s="170">
        <f t="shared" si="51"/>
        <v>0</v>
      </c>
      <c r="K149" s="252"/>
      <c r="L149" s="172">
        <f t="shared" si="41"/>
        <v>0</v>
      </c>
      <c r="M149" s="249">
        <f t="shared" si="42"/>
        <v>2.1875</v>
      </c>
      <c r="N149" s="170">
        <f t="shared" si="43"/>
        <v>2.9166666666666665</v>
      </c>
      <c r="O149" s="250">
        <v>0.35</v>
      </c>
      <c r="P149" s="172">
        <f t="shared" si="44"/>
        <v>0.35</v>
      </c>
      <c r="Q149" s="251">
        <f t="shared" si="45"/>
        <v>0</v>
      </c>
      <c r="R149" s="173">
        <f t="shared" si="46"/>
        <v>0</v>
      </c>
      <c r="S149" s="250"/>
      <c r="T149" s="171">
        <f t="shared" si="47"/>
        <v>0</v>
      </c>
      <c r="U149" s="256">
        <v>6.25</v>
      </c>
      <c r="V149" s="170">
        <f>10/1.2</f>
        <v>8.3333333333333339</v>
      </c>
      <c r="W149" s="250">
        <v>0.2</v>
      </c>
      <c r="X149" s="257">
        <f t="shared" si="54"/>
        <v>7.5</v>
      </c>
      <c r="Y149" s="170">
        <f t="shared" si="48"/>
        <v>10</v>
      </c>
      <c r="Z149" s="170">
        <f t="shared" si="53"/>
        <v>10</v>
      </c>
      <c r="AA149" s="407">
        <f t="shared" si="49"/>
        <v>0</v>
      </c>
      <c r="AB149" s="194"/>
    </row>
    <row r="150" spans="1:28" s="278" customFormat="1" x14ac:dyDescent="0.25">
      <c r="A150" s="200">
        <v>202750</v>
      </c>
      <c r="B150" s="313" t="s">
        <v>19053</v>
      </c>
      <c r="C150" s="248"/>
      <c r="D150" s="247" t="s">
        <v>2</v>
      </c>
      <c r="E150" s="249">
        <f t="shared" si="50"/>
        <v>3.3592000000000004</v>
      </c>
      <c r="F150" s="170">
        <f t="shared" si="50"/>
        <v>3.5208333333333335</v>
      </c>
      <c r="G150" s="250">
        <v>0.65</v>
      </c>
      <c r="H150" s="171">
        <f t="shared" si="39"/>
        <v>0.65</v>
      </c>
      <c r="I150" s="249">
        <f t="shared" si="51"/>
        <v>0</v>
      </c>
      <c r="J150" s="170">
        <f t="shared" si="51"/>
        <v>0</v>
      </c>
      <c r="K150" s="252"/>
      <c r="L150" s="172">
        <f t="shared" si="41"/>
        <v>0</v>
      </c>
      <c r="M150" s="249">
        <f t="shared" si="42"/>
        <v>1.8088</v>
      </c>
      <c r="N150" s="170">
        <f t="shared" si="43"/>
        <v>1.8958333333333333</v>
      </c>
      <c r="O150" s="250">
        <v>0.35</v>
      </c>
      <c r="P150" s="172">
        <f t="shared" si="44"/>
        <v>0.35</v>
      </c>
      <c r="Q150" s="251">
        <f t="shared" si="45"/>
        <v>0</v>
      </c>
      <c r="R150" s="173">
        <f t="shared" si="46"/>
        <v>0</v>
      </c>
      <c r="S150" s="250"/>
      <c r="T150" s="171">
        <f t="shared" si="47"/>
        <v>0</v>
      </c>
      <c r="U150" s="256">
        <v>5.1680000000000001</v>
      </c>
      <c r="V150" s="170">
        <f>6.5/1.2</f>
        <v>5.416666666666667</v>
      </c>
      <c r="W150" s="250">
        <v>0.2</v>
      </c>
      <c r="X150" s="257">
        <f t="shared" si="54"/>
        <v>6.2016</v>
      </c>
      <c r="Y150" s="170">
        <f t="shared" si="48"/>
        <v>6.5</v>
      </c>
      <c r="Z150" s="170">
        <f>IF(Y150=0, 0, IF(Y150&lt;10, _xlfn.CEILING.MATH(Y150,0.05), IF(Y150&lt;100, _xlfn.CEILING.MATH(Y150,1),IF(Y150&lt;1000, _xlfn.CEILING.MATH(Y150,5), IF(Y150&lt;10000, _xlfn.CEILING.MATH(Y150, 25), IF(Y150&lt;100000, _xlfn.CEILING.MATH(Y150,250), IF(Y150&lt;1000000, _xlfn.CEILING.MATH(Y150,500), 0)))))))</f>
        <v>6.5</v>
      </c>
      <c r="AA150" s="407">
        <f t="shared" si="49"/>
        <v>0</v>
      </c>
      <c r="AB150" s="194"/>
    </row>
    <row r="151" spans="1:28" s="278" customFormat="1" x14ac:dyDescent="0.25">
      <c r="A151" s="200">
        <v>202767</v>
      </c>
      <c r="B151" s="313" t="s">
        <v>19054</v>
      </c>
      <c r="C151" s="248"/>
      <c r="D151" s="247" t="s">
        <v>2</v>
      </c>
      <c r="E151" s="249">
        <f t="shared" si="50"/>
        <v>4.3354999999999997</v>
      </c>
      <c r="F151" s="170">
        <f t="shared" si="50"/>
        <v>4.4389016750000003</v>
      </c>
      <c r="G151" s="250">
        <v>0.65</v>
      </c>
      <c r="H151" s="171">
        <f t="shared" si="39"/>
        <v>0.65</v>
      </c>
      <c r="I151" s="249">
        <f t="shared" si="51"/>
        <v>0</v>
      </c>
      <c r="J151" s="170">
        <f t="shared" si="51"/>
        <v>0</v>
      </c>
      <c r="K151" s="252"/>
      <c r="L151" s="172">
        <f t="shared" si="41"/>
        <v>0</v>
      </c>
      <c r="M151" s="249">
        <f t="shared" si="42"/>
        <v>2.3344999999999998</v>
      </c>
      <c r="N151" s="170">
        <f t="shared" si="43"/>
        <v>2.3901778249999999</v>
      </c>
      <c r="O151" s="250">
        <v>0.35</v>
      </c>
      <c r="P151" s="172">
        <f t="shared" si="44"/>
        <v>0.35</v>
      </c>
      <c r="Q151" s="251">
        <f t="shared" si="45"/>
        <v>0</v>
      </c>
      <c r="R151" s="173">
        <f t="shared" si="46"/>
        <v>0</v>
      </c>
      <c r="S151" s="250"/>
      <c r="T151" s="171">
        <f t="shared" si="47"/>
        <v>0</v>
      </c>
      <c r="U151" s="256">
        <v>6.67</v>
      </c>
      <c r="V151" s="170">
        <f>SUM(E151*1.0235,I151*1.0175,M151*1.0245,Q151*1.0115)</f>
        <v>6.8290794999999997</v>
      </c>
      <c r="W151" s="250">
        <v>0.2</v>
      </c>
      <c r="X151" s="257">
        <f t="shared" si="54"/>
        <v>8.0039999999999996</v>
      </c>
      <c r="Y151" s="170">
        <f t="shared" si="48"/>
        <v>8.1948954000000001</v>
      </c>
      <c r="Z151" s="170">
        <f t="shared" ref="Z151:Z169" si="55">IF(Y151=0, 0, IF(Y151&lt;10, _xlfn.CEILING.MATH(Y151,1), IF(Y151&lt;100, _xlfn.CEILING.MATH(Y151,1),IF(Y151&lt;1000, _xlfn.CEILING.MATH(Y151,5), IF(Y151&lt;10000, _xlfn.CEILING.MATH(Y151, 25), IF(Y151&lt;100000, _xlfn.CEILING.MATH(Y151,250), IF(Y151&lt;1000000, _xlfn.CEILING.MATH(Y151,500), 0)))))))</f>
        <v>9</v>
      </c>
      <c r="AA151" s="407">
        <f t="shared" si="49"/>
        <v>0</v>
      </c>
      <c r="AB151" s="194"/>
    </row>
    <row r="152" spans="1:28" s="278" customFormat="1" x14ac:dyDescent="0.25">
      <c r="A152" s="200">
        <v>202767</v>
      </c>
      <c r="B152" s="313" t="s">
        <v>19055</v>
      </c>
      <c r="C152" s="248"/>
      <c r="D152" s="247" t="s">
        <v>2</v>
      </c>
      <c r="E152" s="249">
        <f t="shared" ref="E152:F172" si="56">U152*G152</f>
        <v>3.2493499999999997</v>
      </c>
      <c r="F152" s="170">
        <f t="shared" si="56"/>
        <v>3.3268469975000001</v>
      </c>
      <c r="G152" s="250">
        <v>0.65</v>
      </c>
      <c r="H152" s="171">
        <f t="shared" ref="H152:H172" si="57">G152</f>
        <v>0.65</v>
      </c>
      <c r="I152" s="249">
        <f t="shared" ref="I152:J172" si="58">U152*K152</f>
        <v>0</v>
      </c>
      <c r="J152" s="170">
        <f t="shared" si="58"/>
        <v>0</v>
      </c>
      <c r="K152" s="252"/>
      <c r="L152" s="172">
        <f t="shared" ref="L152:L172" si="59">K152</f>
        <v>0</v>
      </c>
      <c r="M152" s="249">
        <f t="shared" ref="M152:M172" si="60">U152*O152</f>
        <v>1.7496499999999997</v>
      </c>
      <c r="N152" s="170">
        <f t="shared" ref="N152:N172" si="61">P152*V152</f>
        <v>1.7913791524999998</v>
      </c>
      <c r="O152" s="250">
        <v>0.35</v>
      </c>
      <c r="P152" s="172">
        <f t="shared" ref="P152:P172" si="62">O152</f>
        <v>0.35</v>
      </c>
      <c r="Q152" s="251">
        <f t="shared" ref="Q152:Q172" si="63">U152*S152</f>
        <v>0</v>
      </c>
      <c r="R152" s="173">
        <f t="shared" ref="R152:R172" si="64">T152*V152</f>
        <v>0</v>
      </c>
      <c r="S152" s="250"/>
      <c r="T152" s="171">
        <f t="shared" ref="T152:T172" si="65">S152</f>
        <v>0</v>
      </c>
      <c r="U152" s="256">
        <v>4.9989999999999997</v>
      </c>
      <c r="V152" s="170">
        <f>SUM(E152*1.0235,I152*1.0175,M152*1.0245,Q152*1.0115)</f>
        <v>5.1182261499999999</v>
      </c>
      <c r="W152" s="250">
        <v>0.2</v>
      </c>
      <c r="X152" s="257">
        <f t="shared" si="54"/>
        <v>5.9987999999999992</v>
      </c>
      <c r="Y152" s="170">
        <f t="shared" ref="Y152:Y172" si="66">IF(V152*(W152+1)=0,X152,V152*(W152+1))</f>
        <v>6.1418713799999995</v>
      </c>
      <c r="Z152" s="170">
        <f t="shared" si="55"/>
        <v>7</v>
      </c>
      <c r="AA152" s="407">
        <f t="shared" ref="AA152:AA172" si="67">C152*Z152</f>
        <v>0</v>
      </c>
      <c r="AB152" s="194"/>
    </row>
    <row r="153" spans="1:28" s="278" customFormat="1" x14ac:dyDescent="0.25">
      <c r="A153" s="200">
        <v>202770</v>
      </c>
      <c r="B153" s="313" t="s">
        <v>14532</v>
      </c>
      <c r="C153" s="248"/>
      <c r="D153" s="247" t="s">
        <v>2</v>
      </c>
      <c r="E153" s="249">
        <f t="shared" si="56"/>
        <v>6</v>
      </c>
      <c r="F153" s="170">
        <f t="shared" si="56"/>
        <v>9</v>
      </c>
      <c r="G153" s="250">
        <v>0.6</v>
      </c>
      <c r="H153" s="171">
        <f t="shared" si="57"/>
        <v>0.6</v>
      </c>
      <c r="I153" s="249">
        <f t="shared" si="58"/>
        <v>0</v>
      </c>
      <c r="J153" s="170">
        <f t="shared" si="58"/>
        <v>0</v>
      </c>
      <c r="K153" s="252"/>
      <c r="L153" s="172">
        <f t="shared" si="59"/>
        <v>0</v>
      </c>
      <c r="M153" s="249">
        <f t="shared" si="60"/>
        <v>4</v>
      </c>
      <c r="N153" s="170">
        <f t="shared" si="61"/>
        <v>6</v>
      </c>
      <c r="O153" s="250">
        <v>0.4</v>
      </c>
      <c r="P153" s="172">
        <f t="shared" si="62"/>
        <v>0.4</v>
      </c>
      <c r="Q153" s="251">
        <f t="shared" si="63"/>
        <v>0</v>
      </c>
      <c r="R153" s="173">
        <f t="shared" si="64"/>
        <v>0</v>
      </c>
      <c r="S153" s="250"/>
      <c r="T153" s="171">
        <f t="shared" si="65"/>
        <v>0</v>
      </c>
      <c r="U153" s="256">
        <v>10</v>
      </c>
      <c r="V153" s="170">
        <f>18/1.2</f>
        <v>15</v>
      </c>
      <c r="W153" s="250">
        <v>0.2</v>
      </c>
      <c r="X153" s="257">
        <f t="shared" si="54"/>
        <v>12</v>
      </c>
      <c r="Y153" s="170">
        <f t="shared" si="66"/>
        <v>18</v>
      </c>
      <c r="Z153" s="170">
        <f t="shared" si="55"/>
        <v>18</v>
      </c>
      <c r="AA153" s="407">
        <f t="shared" si="67"/>
        <v>0</v>
      </c>
      <c r="AB153" s="194"/>
    </row>
    <row r="154" spans="1:28" s="278" customFormat="1" x14ac:dyDescent="0.25">
      <c r="A154" s="200">
        <v>202770</v>
      </c>
      <c r="B154" s="313" t="s">
        <v>14533</v>
      </c>
      <c r="C154" s="248"/>
      <c r="D154" s="247" t="s">
        <v>2</v>
      </c>
      <c r="E154" s="249">
        <f t="shared" si="56"/>
        <v>3.4979999999999998</v>
      </c>
      <c r="F154" s="170">
        <f t="shared" si="56"/>
        <v>7.0000000000000009</v>
      </c>
      <c r="G154" s="250">
        <v>0.6</v>
      </c>
      <c r="H154" s="171">
        <f t="shared" si="57"/>
        <v>0.6</v>
      </c>
      <c r="I154" s="249">
        <f t="shared" si="58"/>
        <v>0</v>
      </c>
      <c r="J154" s="170">
        <f t="shared" si="58"/>
        <v>0</v>
      </c>
      <c r="K154" s="252"/>
      <c r="L154" s="172">
        <f t="shared" si="59"/>
        <v>0</v>
      </c>
      <c r="M154" s="249">
        <f t="shared" si="60"/>
        <v>2.3320000000000003</v>
      </c>
      <c r="N154" s="170">
        <f t="shared" si="61"/>
        <v>4.666666666666667</v>
      </c>
      <c r="O154" s="250">
        <v>0.4</v>
      </c>
      <c r="P154" s="172">
        <f t="shared" si="62"/>
        <v>0.4</v>
      </c>
      <c r="Q154" s="251">
        <f t="shared" si="63"/>
        <v>0</v>
      </c>
      <c r="R154" s="173">
        <f t="shared" si="64"/>
        <v>0</v>
      </c>
      <c r="S154" s="250"/>
      <c r="T154" s="171">
        <f t="shared" si="65"/>
        <v>0</v>
      </c>
      <c r="U154" s="256">
        <v>5.83</v>
      </c>
      <c r="V154" s="170">
        <f>14/1.2</f>
        <v>11.666666666666668</v>
      </c>
      <c r="W154" s="250">
        <v>0.2</v>
      </c>
      <c r="X154" s="257">
        <v>9</v>
      </c>
      <c r="Y154" s="170">
        <f t="shared" si="66"/>
        <v>14.000000000000002</v>
      </c>
      <c r="Z154" s="170">
        <f t="shared" si="55"/>
        <v>14</v>
      </c>
      <c r="AA154" s="407">
        <f t="shared" si="67"/>
        <v>0</v>
      </c>
      <c r="AB154" s="194"/>
    </row>
    <row r="155" spans="1:28" s="278" customFormat="1" x14ac:dyDescent="0.25">
      <c r="A155" s="200">
        <v>202770</v>
      </c>
      <c r="B155" s="313" t="s">
        <v>14534</v>
      </c>
      <c r="C155" s="248"/>
      <c r="D155" s="247" t="s">
        <v>2</v>
      </c>
      <c r="E155" s="249">
        <f t="shared" si="56"/>
        <v>4.0019999999999998</v>
      </c>
      <c r="F155" s="170">
        <f t="shared" si="56"/>
        <v>6</v>
      </c>
      <c r="G155" s="250">
        <v>0.6</v>
      </c>
      <c r="H155" s="171">
        <f t="shared" si="57"/>
        <v>0.6</v>
      </c>
      <c r="I155" s="249">
        <f t="shared" si="58"/>
        <v>0</v>
      </c>
      <c r="J155" s="170">
        <f t="shared" si="58"/>
        <v>0</v>
      </c>
      <c r="K155" s="252"/>
      <c r="L155" s="172">
        <f t="shared" si="59"/>
        <v>0</v>
      </c>
      <c r="M155" s="249">
        <f t="shared" si="60"/>
        <v>2.6680000000000001</v>
      </c>
      <c r="N155" s="170">
        <f t="shared" si="61"/>
        <v>4</v>
      </c>
      <c r="O155" s="250">
        <v>0.4</v>
      </c>
      <c r="P155" s="172">
        <f t="shared" si="62"/>
        <v>0.4</v>
      </c>
      <c r="Q155" s="251">
        <f t="shared" si="63"/>
        <v>0</v>
      </c>
      <c r="R155" s="173">
        <f t="shared" si="64"/>
        <v>0</v>
      </c>
      <c r="S155" s="250"/>
      <c r="T155" s="171">
        <f t="shared" si="65"/>
        <v>0</v>
      </c>
      <c r="U155" s="256">
        <v>6.67</v>
      </c>
      <c r="V155" s="170">
        <f>12/1.2</f>
        <v>10</v>
      </c>
      <c r="W155" s="250">
        <v>0.2</v>
      </c>
      <c r="X155" s="257">
        <f t="shared" ref="X155:X172" si="68">U155+U155*W155</f>
        <v>8.0039999999999996</v>
      </c>
      <c r="Y155" s="170">
        <f t="shared" si="66"/>
        <v>12</v>
      </c>
      <c r="Z155" s="170">
        <f t="shared" si="55"/>
        <v>12</v>
      </c>
      <c r="AA155" s="407">
        <f t="shared" si="67"/>
        <v>0</v>
      </c>
      <c r="AB155" s="194"/>
    </row>
    <row r="156" spans="1:28" s="278" customFormat="1" x14ac:dyDescent="0.25">
      <c r="A156" s="200">
        <v>202805</v>
      </c>
      <c r="B156" s="313" t="s">
        <v>19056</v>
      </c>
      <c r="C156" s="248"/>
      <c r="D156" s="247" t="s">
        <v>11</v>
      </c>
      <c r="E156" s="249">
        <f t="shared" si="56"/>
        <v>283.33560000000006</v>
      </c>
      <c r="F156" s="170">
        <f t="shared" si="56"/>
        <v>290.08465399200009</v>
      </c>
      <c r="G156" s="250">
        <v>0.68</v>
      </c>
      <c r="H156" s="171">
        <f t="shared" si="57"/>
        <v>0.68</v>
      </c>
      <c r="I156" s="249">
        <f t="shared" si="58"/>
        <v>0</v>
      </c>
      <c r="J156" s="170">
        <f t="shared" si="58"/>
        <v>0</v>
      </c>
      <c r="K156" s="252"/>
      <c r="L156" s="172">
        <f t="shared" si="59"/>
        <v>0</v>
      </c>
      <c r="M156" s="249">
        <f t="shared" si="60"/>
        <v>133.33440000000002</v>
      </c>
      <c r="N156" s="170">
        <f t="shared" si="61"/>
        <v>136.51042540800003</v>
      </c>
      <c r="O156" s="250">
        <v>0.32</v>
      </c>
      <c r="P156" s="172">
        <f t="shared" si="62"/>
        <v>0.32</v>
      </c>
      <c r="Q156" s="251">
        <f t="shared" si="63"/>
        <v>0</v>
      </c>
      <c r="R156" s="173">
        <f t="shared" si="64"/>
        <v>0</v>
      </c>
      <c r="S156" s="252"/>
      <c r="T156" s="171">
        <f t="shared" si="65"/>
        <v>0</v>
      </c>
      <c r="U156" s="256">
        <v>416.67</v>
      </c>
      <c r="V156" s="170">
        <f t="shared" ref="V156:V168" si="69">SUM(E156*1.0235,I156*1.0175,M156*1.0245,Q156*1.0115)</f>
        <v>426.59507940000009</v>
      </c>
      <c r="W156" s="258">
        <v>0.2</v>
      </c>
      <c r="X156" s="257">
        <f t="shared" si="68"/>
        <v>500.00400000000002</v>
      </c>
      <c r="Y156" s="170">
        <f t="shared" si="66"/>
        <v>511.91409528000008</v>
      </c>
      <c r="Z156" s="170">
        <f t="shared" si="55"/>
        <v>515</v>
      </c>
      <c r="AA156" s="407">
        <f t="shared" si="67"/>
        <v>0</v>
      </c>
      <c r="AB156" s="194"/>
    </row>
    <row r="157" spans="1:28" s="278" customFormat="1" x14ac:dyDescent="0.25">
      <c r="A157" s="200">
        <v>202805</v>
      </c>
      <c r="B157" s="313" t="s">
        <v>19057</v>
      </c>
      <c r="C157" s="248"/>
      <c r="D157" s="247" t="s">
        <v>11</v>
      </c>
      <c r="E157" s="249">
        <f t="shared" si="56"/>
        <v>170</v>
      </c>
      <c r="F157" s="170">
        <f t="shared" si="56"/>
        <v>174.04939999999999</v>
      </c>
      <c r="G157" s="250">
        <v>0.68</v>
      </c>
      <c r="H157" s="171">
        <f t="shared" si="57"/>
        <v>0.68</v>
      </c>
      <c r="I157" s="249">
        <f t="shared" si="58"/>
        <v>0</v>
      </c>
      <c r="J157" s="170">
        <f t="shared" si="58"/>
        <v>0</v>
      </c>
      <c r="K157" s="252"/>
      <c r="L157" s="172">
        <f t="shared" si="59"/>
        <v>0</v>
      </c>
      <c r="M157" s="249">
        <f t="shared" si="60"/>
        <v>80</v>
      </c>
      <c r="N157" s="170">
        <f t="shared" si="61"/>
        <v>81.905599999999993</v>
      </c>
      <c r="O157" s="250">
        <v>0.32</v>
      </c>
      <c r="P157" s="172">
        <f t="shared" si="62"/>
        <v>0.32</v>
      </c>
      <c r="Q157" s="251">
        <f t="shared" si="63"/>
        <v>0</v>
      </c>
      <c r="R157" s="173">
        <f t="shared" si="64"/>
        <v>0</v>
      </c>
      <c r="S157" s="252"/>
      <c r="T157" s="171">
        <f t="shared" si="65"/>
        <v>0</v>
      </c>
      <c r="U157" s="256">
        <v>250</v>
      </c>
      <c r="V157" s="170">
        <f t="shared" si="69"/>
        <v>255.95499999999998</v>
      </c>
      <c r="W157" s="258">
        <v>0.2</v>
      </c>
      <c r="X157" s="257">
        <f t="shared" si="68"/>
        <v>300</v>
      </c>
      <c r="Y157" s="170">
        <f t="shared" si="66"/>
        <v>307.14599999999996</v>
      </c>
      <c r="Z157" s="170">
        <f t="shared" si="55"/>
        <v>310</v>
      </c>
      <c r="AA157" s="407">
        <f t="shared" si="67"/>
        <v>0</v>
      </c>
      <c r="AB157" s="194"/>
    </row>
    <row r="158" spans="1:28" s="278" customFormat="1" x14ac:dyDescent="0.25">
      <c r="A158" s="200">
        <v>202810</v>
      </c>
      <c r="B158" s="313" t="s">
        <v>14535</v>
      </c>
      <c r="C158" s="248"/>
      <c r="D158" s="247" t="s">
        <v>11</v>
      </c>
      <c r="E158" s="249">
        <f t="shared" si="56"/>
        <v>277.77749999999997</v>
      </c>
      <c r="F158" s="170">
        <f t="shared" si="56"/>
        <v>281.80527375000003</v>
      </c>
      <c r="G158" s="250">
        <v>0.25</v>
      </c>
      <c r="H158" s="171">
        <f t="shared" si="57"/>
        <v>0.25</v>
      </c>
      <c r="I158" s="249">
        <f t="shared" si="58"/>
        <v>0</v>
      </c>
      <c r="J158" s="170">
        <f t="shared" si="58"/>
        <v>0</v>
      </c>
      <c r="K158" s="252"/>
      <c r="L158" s="172">
        <f t="shared" si="59"/>
        <v>0</v>
      </c>
      <c r="M158" s="249">
        <f t="shared" si="60"/>
        <v>0</v>
      </c>
      <c r="N158" s="170">
        <f t="shared" si="61"/>
        <v>0</v>
      </c>
      <c r="O158" s="252"/>
      <c r="P158" s="172">
        <f t="shared" si="62"/>
        <v>0</v>
      </c>
      <c r="Q158" s="251">
        <f t="shared" si="63"/>
        <v>833.33249999999998</v>
      </c>
      <c r="R158" s="173">
        <f t="shared" si="64"/>
        <v>845.41582125000014</v>
      </c>
      <c r="S158" s="250">
        <v>0.75</v>
      </c>
      <c r="T158" s="171">
        <f t="shared" si="65"/>
        <v>0.75</v>
      </c>
      <c r="U158" s="256">
        <v>1111.1099999999999</v>
      </c>
      <c r="V158" s="170">
        <f t="shared" si="69"/>
        <v>1127.2210950000001</v>
      </c>
      <c r="W158" s="258">
        <v>0.35</v>
      </c>
      <c r="X158" s="257">
        <f t="shared" si="68"/>
        <v>1499.9984999999999</v>
      </c>
      <c r="Y158" s="170">
        <f t="shared" si="66"/>
        <v>1521.7484782500003</v>
      </c>
      <c r="Z158" s="170">
        <f t="shared" si="55"/>
        <v>1525</v>
      </c>
      <c r="AA158" s="407">
        <f t="shared" si="67"/>
        <v>0</v>
      </c>
      <c r="AB158" s="194"/>
    </row>
    <row r="159" spans="1:28" s="278" customFormat="1" x14ac:dyDescent="0.25">
      <c r="A159" s="200">
        <v>202810</v>
      </c>
      <c r="B159" s="313" t="s">
        <v>14536</v>
      </c>
      <c r="C159" s="248"/>
      <c r="D159" s="247" t="s">
        <v>11</v>
      </c>
      <c r="E159" s="249">
        <f t="shared" si="56"/>
        <v>148.14750000000001</v>
      </c>
      <c r="F159" s="170">
        <f t="shared" si="56"/>
        <v>150.29563875000002</v>
      </c>
      <c r="G159" s="250">
        <v>0.25</v>
      </c>
      <c r="H159" s="171">
        <f t="shared" si="57"/>
        <v>0.25</v>
      </c>
      <c r="I159" s="249">
        <f t="shared" si="58"/>
        <v>0</v>
      </c>
      <c r="J159" s="170">
        <f t="shared" si="58"/>
        <v>0</v>
      </c>
      <c r="K159" s="252"/>
      <c r="L159" s="172">
        <f t="shared" si="59"/>
        <v>0</v>
      </c>
      <c r="M159" s="249">
        <f t="shared" si="60"/>
        <v>0</v>
      </c>
      <c r="N159" s="170">
        <f t="shared" si="61"/>
        <v>0</v>
      </c>
      <c r="O159" s="252"/>
      <c r="P159" s="172">
        <f t="shared" si="62"/>
        <v>0</v>
      </c>
      <c r="Q159" s="251">
        <f t="shared" si="63"/>
        <v>444.4425</v>
      </c>
      <c r="R159" s="173">
        <f t="shared" si="64"/>
        <v>450.88691625000007</v>
      </c>
      <c r="S159" s="250">
        <v>0.75</v>
      </c>
      <c r="T159" s="171">
        <f t="shared" si="65"/>
        <v>0.75</v>
      </c>
      <c r="U159" s="256">
        <v>592.59</v>
      </c>
      <c r="V159" s="170">
        <f t="shared" si="69"/>
        <v>601.18255500000009</v>
      </c>
      <c r="W159" s="258">
        <v>0.35</v>
      </c>
      <c r="X159" s="257">
        <f t="shared" si="68"/>
        <v>799.99649999999997</v>
      </c>
      <c r="Y159" s="170">
        <f t="shared" si="66"/>
        <v>811.59644925000021</v>
      </c>
      <c r="Z159" s="170">
        <f t="shared" si="55"/>
        <v>815</v>
      </c>
      <c r="AA159" s="407">
        <f t="shared" si="67"/>
        <v>0</v>
      </c>
      <c r="AB159" s="194"/>
    </row>
    <row r="160" spans="1:28" s="278" customFormat="1" x14ac:dyDescent="0.25">
      <c r="A160" s="200">
        <v>202812</v>
      </c>
      <c r="B160" s="313" t="s">
        <v>14537</v>
      </c>
      <c r="C160" s="248"/>
      <c r="D160" s="247" t="s">
        <v>11</v>
      </c>
      <c r="E160" s="249">
        <f t="shared" si="56"/>
        <v>270.83550000000002</v>
      </c>
      <c r="F160" s="170">
        <f t="shared" si="56"/>
        <v>277.29492667500006</v>
      </c>
      <c r="G160" s="250">
        <v>0.65</v>
      </c>
      <c r="H160" s="171">
        <f t="shared" si="57"/>
        <v>0.65</v>
      </c>
      <c r="I160" s="249">
        <f t="shared" si="58"/>
        <v>0</v>
      </c>
      <c r="J160" s="170">
        <f t="shared" si="58"/>
        <v>0</v>
      </c>
      <c r="K160" s="252"/>
      <c r="L160" s="172">
        <f t="shared" si="59"/>
        <v>0</v>
      </c>
      <c r="M160" s="249">
        <f t="shared" si="60"/>
        <v>145.83449999999999</v>
      </c>
      <c r="N160" s="170">
        <f t="shared" si="61"/>
        <v>149.31265282500001</v>
      </c>
      <c r="O160" s="250">
        <v>0.35</v>
      </c>
      <c r="P160" s="172">
        <f t="shared" si="62"/>
        <v>0.35</v>
      </c>
      <c r="Q160" s="251">
        <f t="shared" si="63"/>
        <v>0</v>
      </c>
      <c r="R160" s="173">
        <f t="shared" si="64"/>
        <v>0</v>
      </c>
      <c r="S160" s="252"/>
      <c r="T160" s="171">
        <f t="shared" si="65"/>
        <v>0</v>
      </c>
      <c r="U160" s="256">
        <v>416.67</v>
      </c>
      <c r="V160" s="170">
        <f t="shared" si="69"/>
        <v>426.60757950000004</v>
      </c>
      <c r="W160" s="258">
        <v>0.2</v>
      </c>
      <c r="X160" s="257">
        <f t="shared" si="68"/>
        <v>500.00400000000002</v>
      </c>
      <c r="Y160" s="170">
        <f t="shared" si="66"/>
        <v>511.92909540000005</v>
      </c>
      <c r="Z160" s="170">
        <f t="shared" si="55"/>
        <v>515</v>
      </c>
      <c r="AA160" s="407">
        <f t="shared" si="67"/>
        <v>0</v>
      </c>
      <c r="AB160" s="194"/>
    </row>
    <row r="161" spans="1:28" s="278" customFormat="1" x14ac:dyDescent="0.25">
      <c r="A161" s="200">
        <v>202815</v>
      </c>
      <c r="B161" s="313" t="s">
        <v>19058</v>
      </c>
      <c r="C161" s="248"/>
      <c r="D161" s="247" t="s">
        <v>11</v>
      </c>
      <c r="E161" s="249">
        <f t="shared" si="56"/>
        <v>141.66440000000003</v>
      </c>
      <c r="F161" s="170">
        <f t="shared" si="56"/>
        <v>145.03884600800006</v>
      </c>
      <c r="G161" s="250">
        <v>0.68</v>
      </c>
      <c r="H161" s="171">
        <f t="shared" si="57"/>
        <v>0.68</v>
      </c>
      <c r="I161" s="249">
        <f t="shared" si="58"/>
        <v>0</v>
      </c>
      <c r="J161" s="170">
        <f t="shared" si="58"/>
        <v>0</v>
      </c>
      <c r="K161" s="252"/>
      <c r="L161" s="172">
        <f t="shared" si="59"/>
        <v>0</v>
      </c>
      <c r="M161" s="249">
        <f t="shared" si="60"/>
        <v>66.665600000000012</v>
      </c>
      <c r="N161" s="170">
        <f t="shared" si="61"/>
        <v>68.253574592000021</v>
      </c>
      <c r="O161" s="250">
        <v>0.32</v>
      </c>
      <c r="P161" s="172">
        <f t="shared" si="62"/>
        <v>0.32</v>
      </c>
      <c r="Q161" s="251">
        <f t="shared" si="63"/>
        <v>0</v>
      </c>
      <c r="R161" s="173">
        <f t="shared" si="64"/>
        <v>0</v>
      </c>
      <c r="S161" s="252"/>
      <c r="T161" s="171">
        <f t="shared" si="65"/>
        <v>0</v>
      </c>
      <c r="U161" s="256">
        <v>208.33</v>
      </c>
      <c r="V161" s="170">
        <f t="shared" si="69"/>
        <v>213.29242060000007</v>
      </c>
      <c r="W161" s="258">
        <v>0.2</v>
      </c>
      <c r="X161" s="257">
        <f t="shared" si="68"/>
        <v>249.99600000000001</v>
      </c>
      <c r="Y161" s="170">
        <f t="shared" si="66"/>
        <v>255.95090472000007</v>
      </c>
      <c r="Z161" s="170">
        <f t="shared" si="55"/>
        <v>260</v>
      </c>
      <c r="AA161" s="407">
        <f t="shared" si="67"/>
        <v>0</v>
      </c>
      <c r="AB161" s="194"/>
    </row>
    <row r="162" spans="1:28" s="278" customFormat="1" x14ac:dyDescent="0.25">
      <c r="A162" s="200">
        <v>202815</v>
      </c>
      <c r="B162" s="313" t="s">
        <v>19059</v>
      </c>
      <c r="C162" s="248"/>
      <c r="D162" s="247" t="s">
        <v>11</v>
      </c>
      <c r="E162" s="249">
        <f t="shared" si="56"/>
        <v>113.3356</v>
      </c>
      <c r="F162" s="170">
        <f t="shared" si="56"/>
        <v>116.03525399200001</v>
      </c>
      <c r="G162" s="250">
        <v>0.68</v>
      </c>
      <c r="H162" s="171">
        <f t="shared" si="57"/>
        <v>0.68</v>
      </c>
      <c r="I162" s="249">
        <f t="shared" si="58"/>
        <v>0</v>
      </c>
      <c r="J162" s="170">
        <f t="shared" si="58"/>
        <v>0</v>
      </c>
      <c r="K162" s="252"/>
      <c r="L162" s="172">
        <f t="shared" si="59"/>
        <v>0</v>
      </c>
      <c r="M162" s="249">
        <f t="shared" si="60"/>
        <v>53.334399999999995</v>
      </c>
      <c r="N162" s="170">
        <f t="shared" si="61"/>
        <v>54.604825407999996</v>
      </c>
      <c r="O162" s="250">
        <v>0.32</v>
      </c>
      <c r="P162" s="172">
        <f t="shared" si="62"/>
        <v>0.32</v>
      </c>
      <c r="Q162" s="251">
        <f t="shared" si="63"/>
        <v>0</v>
      </c>
      <c r="R162" s="173">
        <f t="shared" si="64"/>
        <v>0</v>
      </c>
      <c r="S162" s="252"/>
      <c r="T162" s="171">
        <f t="shared" si="65"/>
        <v>0</v>
      </c>
      <c r="U162" s="256">
        <v>166.67</v>
      </c>
      <c r="V162" s="170">
        <f t="shared" si="69"/>
        <v>170.64007939999999</v>
      </c>
      <c r="W162" s="258">
        <v>0.2</v>
      </c>
      <c r="X162" s="257">
        <f t="shared" si="68"/>
        <v>200.00399999999999</v>
      </c>
      <c r="Y162" s="170">
        <f t="shared" si="66"/>
        <v>204.76809527999998</v>
      </c>
      <c r="Z162" s="170">
        <f t="shared" si="55"/>
        <v>205</v>
      </c>
      <c r="AA162" s="407">
        <f t="shared" si="67"/>
        <v>0</v>
      </c>
      <c r="AB162" s="194"/>
    </row>
    <row r="163" spans="1:28" s="278" customFormat="1" x14ac:dyDescent="0.25">
      <c r="A163" s="200">
        <v>202820</v>
      </c>
      <c r="B163" s="313" t="s">
        <v>14538</v>
      </c>
      <c r="C163" s="248"/>
      <c r="D163" s="247" t="s">
        <v>11</v>
      </c>
      <c r="E163" s="249">
        <f t="shared" si="56"/>
        <v>600</v>
      </c>
      <c r="F163" s="170">
        <f t="shared" si="56"/>
        <v>612.78</v>
      </c>
      <c r="G163" s="250">
        <v>0.6</v>
      </c>
      <c r="H163" s="171">
        <f t="shared" si="57"/>
        <v>0.6</v>
      </c>
      <c r="I163" s="249">
        <f t="shared" si="58"/>
        <v>0</v>
      </c>
      <c r="J163" s="170">
        <f t="shared" si="58"/>
        <v>0</v>
      </c>
      <c r="K163" s="252"/>
      <c r="L163" s="172">
        <f t="shared" si="59"/>
        <v>0</v>
      </c>
      <c r="M163" s="249">
        <f t="shared" si="60"/>
        <v>200</v>
      </c>
      <c r="N163" s="170">
        <f t="shared" si="61"/>
        <v>204.26</v>
      </c>
      <c r="O163" s="250">
        <v>0.2</v>
      </c>
      <c r="P163" s="172">
        <f t="shared" si="62"/>
        <v>0.2</v>
      </c>
      <c r="Q163" s="251">
        <f t="shared" si="63"/>
        <v>200</v>
      </c>
      <c r="R163" s="173">
        <f t="shared" si="64"/>
        <v>204.26</v>
      </c>
      <c r="S163" s="250">
        <v>0.2</v>
      </c>
      <c r="T163" s="171">
        <f t="shared" si="65"/>
        <v>0.2</v>
      </c>
      <c r="U163" s="256">
        <v>1000</v>
      </c>
      <c r="V163" s="170">
        <f t="shared" si="69"/>
        <v>1021.3</v>
      </c>
      <c r="W163" s="258">
        <v>0.25</v>
      </c>
      <c r="X163" s="257">
        <f t="shared" si="68"/>
        <v>1250</v>
      </c>
      <c r="Y163" s="170">
        <f t="shared" si="66"/>
        <v>1276.625</v>
      </c>
      <c r="Z163" s="170">
        <f t="shared" si="55"/>
        <v>1300</v>
      </c>
      <c r="AA163" s="407">
        <f t="shared" si="67"/>
        <v>0</v>
      </c>
      <c r="AB163" s="194"/>
    </row>
    <row r="164" spans="1:28" s="278" customFormat="1" x14ac:dyDescent="0.25">
      <c r="A164" s="200">
        <v>202820</v>
      </c>
      <c r="B164" s="313" t="s">
        <v>14539</v>
      </c>
      <c r="C164" s="248"/>
      <c r="D164" s="247" t="s">
        <v>11</v>
      </c>
      <c r="E164" s="249">
        <f t="shared" si="56"/>
        <v>336</v>
      </c>
      <c r="F164" s="170">
        <f t="shared" si="56"/>
        <v>343.15679999999998</v>
      </c>
      <c r="G164" s="250">
        <v>0.6</v>
      </c>
      <c r="H164" s="171">
        <f t="shared" si="57"/>
        <v>0.6</v>
      </c>
      <c r="I164" s="249">
        <f t="shared" si="58"/>
        <v>0</v>
      </c>
      <c r="J164" s="170">
        <f t="shared" si="58"/>
        <v>0</v>
      </c>
      <c r="K164" s="252"/>
      <c r="L164" s="172">
        <f t="shared" si="59"/>
        <v>0</v>
      </c>
      <c r="M164" s="249">
        <f t="shared" si="60"/>
        <v>112</v>
      </c>
      <c r="N164" s="170">
        <f t="shared" si="61"/>
        <v>114.38560000000001</v>
      </c>
      <c r="O164" s="250">
        <v>0.2</v>
      </c>
      <c r="P164" s="172">
        <f t="shared" si="62"/>
        <v>0.2</v>
      </c>
      <c r="Q164" s="251">
        <f t="shared" si="63"/>
        <v>112</v>
      </c>
      <c r="R164" s="173">
        <f t="shared" si="64"/>
        <v>114.38560000000001</v>
      </c>
      <c r="S164" s="250">
        <v>0.2</v>
      </c>
      <c r="T164" s="171">
        <f t="shared" si="65"/>
        <v>0.2</v>
      </c>
      <c r="U164" s="256">
        <v>560</v>
      </c>
      <c r="V164" s="170">
        <f t="shared" si="69"/>
        <v>571.928</v>
      </c>
      <c r="W164" s="258">
        <v>0.25</v>
      </c>
      <c r="X164" s="257">
        <f t="shared" si="68"/>
        <v>700</v>
      </c>
      <c r="Y164" s="170">
        <f t="shared" si="66"/>
        <v>714.91</v>
      </c>
      <c r="Z164" s="170">
        <f t="shared" si="55"/>
        <v>715</v>
      </c>
      <c r="AA164" s="407">
        <f t="shared" si="67"/>
        <v>0</v>
      </c>
      <c r="AB164" s="194"/>
    </row>
    <row r="165" spans="1:28" s="278" customFormat="1" x14ac:dyDescent="0.25">
      <c r="A165" s="200">
        <v>202825</v>
      </c>
      <c r="B165" s="313" t="s">
        <v>14540</v>
      </c>
      <c r="C165" s="248"/>
      <c r="D165" s="247" t="s">
        <v>11</v>
      </c>
      <c r="E165" s="249">
        <f t="shared" si="56"/>
        <v>700</v>
      </c>
      <c r="F165" s="170">
        <f t="shared" si="56"/>
        <v>716.66</v>
      </c>
      <c r="G165" s="250">
        <v>0.7</v>
      </c>
      <c r="H165" s="171">
        <f t="shared" si="57"/>
        <v>0.7</v>
      </c>
      <c r="I165" s="249">
        <f t="shared" si="58"/>
        <v>0</v>
      </c>
      <c r="J165" s="170">
        <f t="shared" si="58"/>
        <v>0</v>
      </c>
      <c r="K165" s="252"/>
      <c r="L165" s="172">
        <f t="shared" si="59"/>
        <v>0</v>
      </c>
      <c r="M165" s="249">
        <f t="shared" si="60"/>
        <v>300</v>
      </c>
      <c r="N165" s="170">
        <f t="shared" si="61"/>
        <v>307.14</v>
      </c>
      <c r="O165" s="250">
        <v>0.3</v>
      </c>
      <c r="P165" s="172">
        <f t="shared" si="62"/>
        <v>0.3</v>
      </c>
      <c r="Q165" s="251">
        <f t="shared" si="63"/>
        <v>0</v>
      </c>
      <c r="R165" s="173">
        <f t="shared" si="64"/>
        <v>0</v>
      </c>
      <c r="S165" s="252"/>
      <c r="T165" s="171">
        <f t="shared" si="65"/>
        <v>0</v>
      </c>
      <c r="U165" s="256">
        <v>1000</v>
      </c>
      <c r="V165" s="170">
        <f t="shared" si="69"/>
        <v>1023.8</v>
      </c>
      <c r="W165" s="258">
        <v>0.2</v>
      </c>
      <c r="X165" s="257">
        <f t="shared" si="68"/>
        <v>1200</v>
      </c>
      <c r="Y165" s="170">
        <f t="shared" si="66"/>
        <v>1228.56</v>
      </c>
      <c r="Z165" s="170">
        <f t="shared" si="55"/>
        <v>1250</v>
      </c>
      <c r="AA165" s="407">
        <f t="shared" si="67"/>
        <v>0</v>
      </c>
      <c r="AB165" s="194"/>
    </row>
    <row r="166" spans="1:28" s="278" customFormat="1" x14ac:dyDescent="0.25">
      <c r="A166" s="200">
        <v>202825</v>
      </c>
      <c r="B166" s="313" t="s">
        <v>14541</v>
      </c>
      <c r="C166" s="248"/>
      <c r="D166" s="247" t="s">
        <v>11</v>
      </c>
      <c r="E166" s="249">
        <f t="shared" si="56"/>
        <v>466.66668999999996</v>
      </c>
      <c r="F166" s="170">
        <f t="shared" si="56"/>
        <v>477.77335722199996</v>
      </c>
      <c r="G166" s="250">
        <v>0.7</v>
      </c>
      <c r="H166" s="171">
        <f t="shared" si="57"/>
        <v>0.7</v>
      </c>
      <c r="I166" s="249">
        <f t="shared" si="58"/>
        <v>0</v>
      </c>
      <c r="J166" s="170">
        <f t="shared" si="58"/>
        <v>0</v>
      </c>
      <c r="K166" s="252"/>
      <c r="L166" s="172">
        <f t="shared" si="59"/>
        <v>0</v>
      </c>
      <c r="M166" s="249">
        <f t="shared" si="60"/>
        <v>200.00001</v>
      </c>
      <c r="N166" s="170">
        <f t="shared" si="61"/>
        <v>204.76001023800001</v>
      </c>
      <c r="O166" s="250">
        <v>0.3</v>
      </c>
      <c r="P166" s="172">
        <f t="shared" si="62"/>
        <v>0.3</v>
      </c>
      <c r="Q166" s="251">
        <f t="shared" si="63"/>
        <v>0</v>
      </c>
      <c r="R166" s="173">
        <f t="shared" si="64"/>
        <v>0</v>
      </c>
      <c r="S166" s="252"/>
      <c r="T166" s="171">
        <f t="shared" si="65"/>
        <v>0</v>
      </c>
      <c r="U166" s="256">
        <v>666.66669999999999</v>
      </c>
      <c r="V166" s="170">
        <f t="shared" si="69"/>
        <v>682.53336746000002</v>
      </c>
      <c r="W166" s="258">
        <v>0.2</v>
      </c>
      <c r="X166" s="257">
        <f t="shared" si="68"/>
        <v>800.00004000000001</v>
      </c>
      <c r="Y166" s="170">
        <f t="shared" si="66"/>
        <v>819.04004095200003</v>
      </c>
      <c r="Z166" s="170">
        <f t="shared" si="55"/>
        <v>820</v>
      </c>
      <c r="AA166" s="407">
        <f t="shared" si="67"/>
        <v>0</v>
      </c>
      <c r="AB166" s="194"/>
    </row>
    <row r="167" spans="1:28" s="278" customFormat="1" x14ac:dyDescent="0.25">
      <c r="A167" s="200">
        <v>202850</v>
      </c>
      <c r="B167" s="313" t="s">
        <v>14542</v>
      </c>
      <c r="C167" s="248"/>
      <c r="D167" s="247" t="s">
        <v>2</v>
      </c>
      <c r="E167" s="249">
        <f t="shared" si="56"/>
        <v>18.33315</v>
      </c>
      <c r="F167" s="170">
        <f t="shared" si="56"/>
        <v>18.7465625325</v>
      </c>
      <c r="G167" s="250">
        <v>0.55000000000000004</v>
      </c>
      <c r="H167" s="171">
        <f t="shared" si="57"/>
        <v>0.55000000000000004</v>
      </c>
      <c r="I167" s="249">
        <f t="shared" si="58"/>
        <v>6.6665999999999999</v>
      </c>
      <c r="J167" s="170">
        <f t="shared" si="58"/>
        <v>6.8169318300000006</v>
      </c>
      <c r="K167" s="252">
        <v>0.2</v>
      </c>
      <c r="L167" s="172">
        <f t="shared" si="59"/>
        <v>0.2</v>
      </c>
      <c r="M167" s="249">
        <f t="shared" si="60"/>
        <v>8.3332499999999996</v>
      </c>
      <c r="N167" s="170">
        <f t="shared" si="61"/>
        <v>8.5211647875000001</v>
      </c>
      <c r="O167" s="250">
        <v>0.25</v>
      </c>
      <c r="P167" s="172">
        <f t="shared" si="62"/>
        <v>0.25</v>
      </c>
      <c r="Q167" s="251">
        <f t="shared" si="63"/>
        <v>0</v>
      </c>
      <c r="R167" s="173">
        <f t="shared" si="64"/>
        <v>0</v>
      </c>
      <c r="S167" s="252"/>
      <c r="T167" s="171">
        <f t="shared" si="65"/>
        <v>0</v>
      </c>
      <c r="U167" s="256">
        <v>33.332999999999998</v>
      </c>
      <c r="V167" s="170">
        <f t="shared" si="69"/>
        <v>34.08465915</v>
      </c>
      <c r="W167" s="258">
        <v>0.2</v>
      </c>
      <c r="X167" s="257">
        <f t="shared" si="68"/>
        <v>39.999600000000001</v>
      </c>
      <c r="Y167" s="170">
        <f t="shared" si="66"/>
        <v>40.901590980000002</v>
      </c>
      <c r="Z167" s="170">
        <f t="shared" si="55"/>
        <v>41</v>
      </c>
      <c r="AA167" s="407">
        <f t="shared" si="67"/>
        <v>0</v>
      </c>
      <c r="AB167" s="194"/>
    </row>
    <row r="168" spans="1:28" s="278" customFormat="1" x14ac:dyDescent="0.25">
      <c r="A168" s="200">
        <v>202850</v>
      </c>
      <c r="B168" s="313" t="s">
        <v>14543</v>
      </c>
      <c r="C168" s="248"/>
      <c r="D168" s="247" t="s">
        <v>2</v>
      </c>
      <c r="E168" s="249">
        <f t="shared" si="56"/>
        <v>16.041685000000001</v>
      </c>
      <c r="F168" s="170">
        <f t="shared" si="56"/>
        <v>16.403424996750001</v>
      </c>
      <c r="G168" s="250">
        <v>0.55000000000000004</v>
      </c>
      <c r="H168" s="171">
        <f t="shared" si="57"/>
        <v>0.55000000000000004</v>
      </c>
      <c r="I168" s="249">
        <f t="shared" si="58"/>
        <v>5.8333399999999997</v>
      </c>
      <c r="J168" s="170">
        <f t="shared" si="58"/>
        <v>5.9648818170000002</v>
      </c>
      <c r="K168" s="250">
        <v>0.2</v>
      </c>
      <c r="L168" s="172">
        <f t="shared" si="59"/>
        <v>0.2</v>
      </c>
      <c r="M168" s="249">
        <f t="shared" si="60"/>
        <v>7.2916749999999997</v>
      </c>
      <c r="N168" s="170">
        <f t="shared" si="61"/>
        <v>7.4561022712499998</v>
      </c>
      <c r="O168" s="250">
        <v>0.25</v>
      </c>
      <c r="P168" s="172">
        <f t="shared" si="62"/>
        <v>0.25</v>
      </c>
      <c r="Q168" s="251">
        <f t="shared" si="63"/>
        <v>0</v>
      </c>
      <c r="R168" s="173">
        <f t="shared" si="64"/>
        <v>0</v>
      </c>
      <c r="S168" s="252"/>
      <c r="T168" s="171">
        <f t="shared" si="65"/>
        <v>0</v>
      </c>
      <c r="U168" s="256">
        <v>29.166699999999999</v>
      </c>
      <c r="V168" s="170">
        <f t="shared" si="69"/>
        <v>29.824409084999999</v>
      </c>
      <c r="W168" s="258">
        <v>0.2</v>
      </c>
      <c r="X168" s="257">
        <f t="shared" si="68"/>
        <v>35.000039999999998</v>
      </c>
      <c r="Y168" s="170">
        <f t="shared" si="66"/>
        <v>35.789290901999998</v>
      </c>
      <c r="Z168" s="170">
        <f t="shared" si="55"/>
        <v>36</v>
      </c>
      <c r="AA168" s="407">
        <f t="shared" si="67"/>
        <v>0</v>
      </c>
      <c r="AB168" s="194"/>
    </row>
    <row r="169" spans="1:28" s="278" customFormat="1" x14ac:dyDescent="0.25">
      <c r="A169" s="200">
        <v>202900</v>
      </c>
      <c r="B169" s="313" t="s">
        <v>16056</v>
      </c>
      <c r="C169" s="248"/>
      <c r="D169" s="247" t="s">
        <v>2</v>
      </c>
      <c r="E169" s="249">
        <f t="shared" si="56"/>
        <v>0</v>
      </c>
      <c r="F169" s="170">
        <f t="shared" si="56"/>
        <v>2.2300400000000002</v>
      </c>
      <c r="G169" s="250">
        <v>0.78800000000000003</v>
      </c>
      <c r="H169" s="171">
        <f t="shared" si="57"/>
        <v>0.78800000000000003</v>
      </c>
      <c r="I169" s="249">
        <f t="shared" si="58"/>
        <v>0</v>
      </c>
      <c r="J169" s="170">
        <f t="shared" si="58"/>
        <v>0.29998000000000002</v>
      </c>
      <c r="K169" s="250">
        <v>0.106</v>
      </c>
      <c r="L169" s="172">
        <f t="shared" si="59"/>
        <v>0.106</v>
      </c>
      <c r="M169" s="249">
        <f t="shared" si="60"/>
        <v>0</v>
      </c>
      <c r="N169" s="170">
        <f t="shared" si="61"/>
        <v>0.29998000000000002</v>
      </c>
      <c r="O169" s="250">
        <v>0.106</v>
      </c>
      <c r="P169" s="172">
        <f t="shared" si="62"/>
        <v>0.106</v>
      </c>
      <c r="Q169" s="251">
        <f t="shared" si="63"/>
        <v>0</v>
      </c>
      <c r="R169" s="173">
        <f t="shared" si="64"/>
        <v>0</v>
      </c>
      <c r="S169" s="252"/>
      <c r="T169" s="171">
        <f t="shared" si="65"/>
        <v>0</v>
      </c>
      <c r="U169" s="256"/>
      <c r="V169" s="170">
        <v>2.83</v>
      </c>
      <c r="W169" s="258">
        <v>0.2</v>
      </c>
      <c r="X169" s="257">
        <f t="shared" si="68"/>
        <v>0</v>
      </c>
      <c r="Y169" s="170">
        <f t="shared" si="66"/>
        <v>3.3959999999999999</v>
      </c>
      <c r="Z169" s="170">
        <f t="shared" si="55"/>
        <v>4</v>
      </c>
      <c r="AA169" s="407">
        <f t="shared" si="67"/>
        <v>0</v>
      </c>
      <c r="AB169" s="194"/>
    </row>
    <row r="170" spans="1:28" s="278" customFormat="1" x14ac:dyDescent="0.25">
      <c r="A170" s="200">
        <v>202901</v>
      </c>
      <c r="B170" s="313" t="s">
        <v>16057</v>
      </c>
      <c r="C170" s="248"/>
      <c r="D170" s="247" t="s">
        <v>2</v>
      </c>
      <c r="E170" s="249">
        <f t="shared" si="56"/>
        <v>0</v>
      </c>
      <c r="F170" s="170">
        <f t="shared" si="56"/>
        <v>89.993200000000002</v>
      </c>
      <c r="G170" s="250">
        <v>0.49719999999999998</v>
      </c>
      <c r="H170" s="171">
        <f t="shared" si="57"/>
        <v>0.49719999999999998</v>
      </c>
      <c r="I170" s="249">
        <f t="shared" si="58"/>
        <v>0</v>
      </c>
      <c r="J170" s="170">
        <f t="shared" si="58"/>
        <v>53.9923</v>
      </c>
      <c r="K170" s="250">
        <v>0.29830000000000001</v>
      </c>
      <c r="L170" s="172">
        <f t="shared" si="59"/>
        <v>0.29830000000000001</v>
      </c>
      <c r="M170" s="249">
        <f t="shared" si="60"/>
        <v>0</v>
      </c>
      <c r="N170" s="170">
        <f t="shared" si="61"/>
        <v>36.996400000000001</v>
      </c>
      <c r="O170" s="250">
        <v>0.2044</v>
      </c>
      <c r="P170" s="172">
        <f t="shared" si="62"/>
        <v>0.2044</v>
      </c>
      <c r="Q170" s="251">
        <f t="shared" si="63"/>
        <v>0</v>
      </c>
      <c r="R170" s="173">
        <f t="shared" si="64"/>
        <v>0</v>
      </c>
      <c r="S170" s="252"/>
      <c r="T170" s="171">
        <f t="shared" si="65"/>
        <v>0</v>
      </c>
      <c r="U170" s="256"/>
      <c r="V170" s="170">
        <v>181</v>
      </c>
      <c r="W170" s="258">
        <v>0.2</v>
      </c>
      <c r="X170" s="257">
        <f t="shared" si="68"/>
        <v>0</v>
      </c>
      <c r="Y170" s="170">
        <f t="shared" si="66"/>
        <v>217.2</v>
      </c>
      <c r="Z170" s="170">
        <f>IF(Y170=0, 0, IF(Y170&lt;10, _xlfn.CEILING.MATH(Y170,1), IF(Y170&lt;100, _xlfn.CEILING.MATH(Y170,1),IF(Y170&lt;1000, _xlfn.CEILING.MATH(Y170,1), IF(Y170&lt;10000, _xlfn.CEILING.MATH(Y170, 25), IF(Y170&lt;100000, _xlfn.CEILING.MATH(Y170,250), IF(Y170&lt;1000000, _xlfn.CEILING.MATH(Y170,500), 0)))))))</f>
        <v>218</v>
      </c>
      <c r="AA170" s="407">
        <f t="shared" si="67"/>
        <v>0</v>
      </c>
      <c r="AB170" s="194"/>
    </row>
    <row r="171" spans="1:28" s="278" customFormat="1" x14ac:dyDescent="0.25">
      <c r="A171" s="200">
        <v>202903</v>
      </c>
      <c r="B171" s="313" t="s">
        <v>16058</v>
      </c>
      <c r="C171" s="248"/>
      <c r="D171" s="247" t="s">
        <v>7</v>
      </c>
      <c r="E171" s="249">
        <f t="shared" si="56"/>
        <v>0</v>
      </c>
      <c r="F171" s="170">
        <f t="shared" si="56"/>
        <v>108.62776499999998</v>
      </c>
      <c r="G171" s="250">
        <v>0.84099999999999997</v>
      </c>
      <c r="H171" s="171">
        <f t="shared" si="57"/>
        <v>0.84099999999999997</v>
      </c>
      <c r="I171" s="249">
        <f t="shared" si="58"/>
        <v>0</v>
      </c>
      <c r="J171" s="170">
        <f t="shared" si="58"/>
        <v>0</v>
      </c>
      <c r="K171" s="250"/>
      <c r="L171" s="172">
        <f t="shared" si="59"/>
        <v>0</v>
      </c>
      <c r="M171" s="249">
        <f t="shared" si="60"/>
        <v>0</v>
      </c>
      <c r="N171" s="170">
        <f t="shared" si="61"/>
        <v>20.537234999999999</v>
      </c>
      <c r="O171" s="250">
        <v>0.159</v>
      </c>
      <c r="P171" s="172">
        <f t="shared" si="62"/>
        <v>0.159</v>
      </c>
      <c r="Q171" s="251">
        <f t="shared" si="63"/>
        <v>0</v>
      </c>
      <c r="R171" s="173">
        <f t="shared" si="64"/>
        <v>0</v>
      </c>
      <c r="S171" s="252"/>
      <c r="T171" s="171">
        <f t="shared" si="65"/>
        <v>0</v>
      </c>
      <c r="U171" s="256"/>
      <c r="V171" s="170">
        <v>129.16499999999999</v>
      </c>
      <c r="W171" s="258">
        <v>0.2</v>
      </c>
      <c r="X171" s="257">
        <f t="shared" si="68"/>
        <v>0</v>
      </c>
      <c r="Y171" s="170">
        <f t="shared" si="66"/>
        <v>154.99799999999999</v>
      </c>
      <c r="Z171" s="170">
        <f>IF(Y171=0, 0, IF(Y171&lt;10, _xlfn.CEILING.MATH(Y171,1), IF(Y171&lt;100, _xlfn.CEILING.MATH(Y171,1),IF(Y171&lt;1000, _xlfn.CEILING.MATH(Y171,5), IF(Y171&lt;10000, _xlfn.CEILING.MATH(Y171, 25), IF(Y171&lt;100000, _xlfn.CEILING.MATH(Y171,250), IF(Y171&lt;1000000, _xlfn.CEILING.MATH(Y171,500), 0)))))))</f>
        <v>155</v>
      </c>
      <c r="AA171" s="407">
        <f t="shared" si="67"/>
        <v>0</v>
      </c>
      <c r="AB171" s="194"/>
    </row>
    <row r="172" spans="1:28" s="278" customFormat="1" x14ac:dyDescent="0.25">
      <c r="A172" s="200">
        <v>202910</v>
      </c>
      <c r="B172" s="313" t="s">
        <v>16059</v>
      </c>
      <c r="C172" s="248"/>
      <c r="D172" s="247" t="s">
        <v>2</v>
      </c>
      <c r="E172" s="249">
        <f t="shared" si="56"/>
        <v>0</v>
      </c>
      <c r="F172" s="170">
        <f t="shared" si="56"/>
        <v>189.99269999999999</v>
      </c>
      <c r="G172" s="250">
        <v>0.50129999999999997</v>
      </c>
      <c r="H172" s="171">
        <f t="shared" si="57"/>
        <v>0.50129999999999997</v>
      </c>
      <c r="I172" s="249">
        <f t="shared" si="58"/>
        <v>0</v>
      </c>
      <c r="J172" s="170">
        <f t="shared" si="58"/>
        <v>114.00320000000001</v>
      </c>
      <c r="K172" s="250">
        <v>0.30080000000000001</v>
      </c>
      <c r="L172" s="172">
        <f t="shared" si="59"/>
        <v>0.30080000000000001</v>
      </c>
      <c r="M172" s="249">
        <f t="shared" si="60"/>
        <v>0</v>
      </c>
      <c r="N172" s="170">
        <f t="shared" si="61"/>
        <v>75.004099999999994</v>
      </c>
      <c r="O172" s="250">
        <v>0.19789999999999999</v>
      </c>
      <c r="P172" s="172">
        <f t="shared" si="62"/>
        <v>0.19789999999999999</v>
      </c>
      <c r="Q172" s="251">
        <f t="shared" si="63"/>
        <v>0</v>
      </c>
      <c r="R172" s="173">
        <f t="shared" si="64"/>
        <v>0</v>
      </c>
      <c r="S172" s="252"/>
      <c r="T172" s="171">
        <f t="shared" si="65"/>
        <v>0</v>
      </c>
      <c r="U172" s="256"/>
      <c r="V172" s="170">
        <v>379</v>
      </c>
      <c r="W172" s="258">
        <v>0.2</v>
      </c>
      <c r="X172" s="257">
        <f t="shared" si="68"/>
        <v>0</v>
      </c>
      <c r="Y172" s="170">
        <f t="shared" si="66"/>
        <v>454.8</v>
      </c>
      <c r="Z172" s="170">
        <f>IF(Y172=0, 0, IF(Y172&lt;10, _xlfn.CEILING.MATH(Y172,1), IF(Y172&lt;100, _xlfn.CEILING.MATH(Y172,1),IF(Y172&lt;1000, _xlfn.CEILING.MATH(Y172,1), IF(Y172&lt;10000, _xlfn.CEILING.MATH(Y172, 25), IF(Y172&lt;100000, _xlfn.CEILING.MATH(Y172,250), IF(Y172&lt;1000000, _xlfn.CEILING.MATH(Y172,500), 0)))))))</f>
        <v>455</v>
      </c>
      <c r="AA172" s="407">
        <f t="shared" si="67"/>
        <v>0</v>
      </c>
      <c r="AB172" s="194"/>
    </row>
    <row r="173" spans="1:28" s="278" customFormat="1" x14ac:dyDescent="0.25">
      <c r="A173" s="195" t="s">
        <v>14544</v>
      </c>
      <c r="B173" s="317" t="s">
        <v>14545</v>
      </c>
      <c r="C173" s="241"/>
      <c r="D173" s="242"/>
      <c r="E173" s="243"/>
      <c r="F173" s="244"/>
      <c r="G173" s="245"/>
      <c r="H173" s="246"/>
      <c r="I173" s="243"/>
      <c r="J173" s="244"/>
      <c r="K173" s="245"/>
      <c r="L173" s="246"/>
      <c r="M173" s="243"/>
      <c r="N173" s="244"/>
      <c r="O173" s="245"/>
      <c r="P173" s="246"/>
      <c r="Q173" s="243"/>
      <c r="R173" s="244"/>
      <c r="S173" s="245"/>
      <c r="T173" s="246"/>
      <c r="U173" s="246"/>
      <c r="V173" s="246"/>
      <c r="W173" s="246"/>
      <c r="X173" s="246"/>
      <c r="Y173" s="244"/>
      <c r="Z173" s="244"/>
      <c r="AA173" s="406"/>
      <c r="AB173" s="194"/>
    </row>
    <row r="174" spans="1:28" s="278" customFormat="1" x14ac:dyDescent="0.25">
      <c r="A174" s="200">
        <v>203010</v>
      </c>
      <c r="B174" s="313" t="s">
        <v>19060</v>
      </c>
      <c r="C174" s="248"/>
      <c r="D174" s="247" t="s">
        <v>4</v>
      </c>
      <c r="E174" s="249">
        <f>U174*G174</f>
        <v>0</v>
      </c>
      <c r="F174" s="170">
        <f>V174*H174</f>
        <v>0</v>
      </c>
      <c r="G174" s="250"/>
      <c r="H174" s="171">
        <f>G174</f>
        <v>0</v>
      </c>
      <c r="I174" s="249">
        <f>U174*K174</f>
        <v>0</v>
      </c>
      <c r="J174" s="170">
        <f>V174*L174</f>
        <v>0</v>
      </c>
      <c r="K174" s="250"/>
      <c r="L174" s="172">
        <f>K174</f>
        <v>0</v>
      </c>
      <c r="M174" s="249">
        <f>U174*O174</f>
        <v>0</v>
      </c>
      <c r="N174" s="170">
        <f>P174*V174</f>
        <v>0</v>
      </c>
      <c r="O174" s="250"/>
      <c r="P174" s="172">
        <f>O174</f>
        <v>0</v>
      </c>
      <c r="Q174" s="251">
        <f>U174*S174</f>
        <v>0</v>
      </c>
      <c r="R174" s="173">
        <f>T174*V174</f>
        <v>0</v>
      </c>
      <c r="S174" s="250"/>
      <c r="T174" s="171">
        <f>S174</f>
        <v>0</v>
      </c>
      <c r="U174" s="253"/>
      <c r="V174" s="170">
        <f>SUM(E174*1.0235,I174*1.0175,M174*1.0245,Q174*1.0115)</f>
        <v>0</v>
      </c>
      <c r="W174" s="250"/>
      <c r="X174" s="254"/>
      <c r="Y174" s="170">
        <f>IF(V174*(W174+1)=0,X174,V174*(W174+1))</f>
        <v>0</v>
      </c>
      <c r="Z174" s="170">
        <f>IF(Y174=0, 0, IF(Y174&lt;10, _xlfn.CEILING.MATH(Y174,1), IF(Y174&lt;100, _xlfn.CEILING.MATH(Y174,1),IF(Y174&lt;1000, _xlfn.CEILING.MATH(Y174,5), IF(Y174&lt;10000, _xlfn.CEILING.MATH(Y174, 25), IF(Y174&lt;100000, _xlfn.CEILING.MATH(Y174,250), IF(Y174&lt;1000000, _xlfn.CEILING.MATH(Y174,500), 0)))))))</f>
        <v>0</v>
      </c>
      <c r="AA174" s="407">
        <f>C174*Z174</f>
        <v>0</v>
      </c>
      <c r="AB174" s="194"/>
    </row>
    <row r="175" spans="1:28" s="278" customFormat="1" x14ac:dyDescent="0.25">
      <c r="A175" s="195" t="s">
        <v>14546</v>
      </c>
      <c r="B175" s="317" t="s">
        <v>14547</v>
      </c>
      <c r="C175" s="241"/>
      <c r="D175" s="242"/>
      <c r="E175" s="243"/>
      <c r="F175" s="244"/>
      <c r="G175" s="245"/>
      <c r="H175" s="246"/>
      <c r="I175" s="243"/>
      <c r="J175" s="244"/>
      <c r="K175" s="245"/>
      <c r="L175" s="246"/>
      <c r="M175" s="243"/>
      <c r="N175" s="244"/>
      <c r="O175" s="245"/>
      <c r="P175" s="246"/>
      <c r="Q175" s="243"/>
      <c r="R175" s="244"/>
      <c r="S175" s="245"/>
      <c r="T175" s="246"/>
      <c r="U175" s="246"/>
      <c r="V175" s="246"/>
      <c r="W175" s="246"/>
      <c r="X175" s="246"/>
      <c r="Y175" s="244"/>
      <c r="Z175" s="244"/>
      <c r="AA175" s="406"/>
      <c r="AB175" s="194"/>
    </row>
    <row r="176" spans="1:28" s="278" customFormat="1" x14ac:dyDescent="0.25">
      <c r="A176" s="200">
        <v>204005</v>
      </c>
      <c r="B176" s="313" t="s">
        <v>19061</v>
      </c>
      <c r="C176" s="248"/>
      <c r="D176" s="247" t="s">
        <v>3</v>
      </c>
      <c r="E176" s="249">
        <f t="shared" ref="E176:F188" si="70">U176*G176</f>
        <v>45</v>
      </c>
      <c r="F176" s="170">
        <f t="shared" si="70"/>
        <v>46.02375</v>
      </c>
      <c r="G176" s="250">
        <v>0.45</v>
      </c>
      <c r="H176" s="171">
        <f t="shared" ref="H176:H188" si="71">G176</f>
        <v>0.45</v>
      </c>
      <c r="I176" s="249">
        <f t="shared" ref="I176:J188" si="72">U176*K176</f>
        <v>0</v>
      </c>
      <c r="J176" s="170">
        <f t="shared" si="72"/>
        <v>0</v>
      </c>
      <c r="K176" s="252"/>
      <c r="L176" s="172">
        <f t="shared" ref="L176:L188" si="73">K176</f>
        <v>0</v>
      </c>
      <c r="M176" s="249">
        <f t="shared" ref="M176:M188" si="74">U176*O176</f>
        <v>45</v>
      </c>
      <c r="N176" s="170">
        <f t="shared" ref="N176:N188" si="75">P176*V176</f>
        <v>46.02375</v>
      </c>
      <c r="O176" s="250">
        <v>0.45</v>
      </c>
      <c r="P176" s="172">
        <f t="shared" ref="P176:P188" si="76">O176</f>
        <v>0.45</v>
      </c>
      <c r="Q176" s="251">
        <f t="shared" ref="Q176:Q188" si="77">U176*S176</f>
        <v>10</v>
      </c>
      <c r="R176" s="173">
        <f t="shared" ref="R176:R188" si="78">T176*V176</f>
        <v>10.227499999999999</v>
      </c>
      <c r="S176" s="250">
        <v>0.1</v>
      </c>
      <c r="T176" s="171">
        <f t="shared" ref="T176:T188" si="79">S176</f>
        <v>0.1</v>
      </c>
      <c r="U176" s="256">
        <v>100</v>
      </c>
      <c r="V176" s="170">
        <f t="shared" ref="V176:V188" si="80">SUM(E176*1.0235,I176*1.0175,M176*1.0245,Q176*1.0115)</f>
        <v>102.27499999999999</v>
      </c>
      <c r="W176" s="258">
        <v>0.2</v>
      </c>
      <c r="X176" s="257">
        <f>U176+U176*W176</f>
        <v>120</v>
      </c>
      <c r="Y176" s="170">
        <f t="shared" ref="Y176:Y188" si="81">IF(V176*(W176+1)=0,X176,V176*(W176+1))</f>
        <v>122.72999999999999</v>
      </c>
      <c r="Z176" s="170">
        <f t="shared" ref="Z176:Z188" si="82">IF(Y176=0, 0, IF(Y176&lt;10, _xlfn.CEILING.MATH(Y176,1), IF(Y176&lt;100, _xlfn.CEILING.MATH(Y176,1),IF(Y176&lt;1000, _xlfn.CEILING.MATH(Y176,5), IF(Y176&lt;10000, _xlfn.CEILING.MATH(Y176, 25), IF(Y176&lt;100000, _xlfn.CEILING.MATH(Y176,250), IF(Y176&lt;1000000, _xlfn.CEILING.MATH(Y176,500), 0)))))))</f>
        <v>125</v>
      </c>
      <c r="AA176" s="407">
        <f t="shared" ref="AA176:AA188" si="83">C176*Z176</f>
        <v>0</v>
      </c>
      <c r="AB176" s="194"/>
    </row>
    <row r="177" spans="1:28" s="278" customFormat="1" x14ac:dyDescent="0.25">
      <c r="A177" s="200">
        <v>204005</v>
      </c>
      <c r="B177" s="313" t="s">
        <v>14548</v>
      </c>
      <c r="C177" s="248"/>
      <c r="D177" s="247" t="s">
        <v>3</v>
      </c>
      <c r="E177" s="249">
        <f t="shared" si="70"/>
        <v>26.249985000000002</v>
      </c>
      <c r="F177" s="170">
        <f t="shared" si="70"/>
        <v>26.847172158750002</v>
      </c>
      <c r="G177" s="250">
        <v>0.45</v>
      </c>
      <c r="H177" s="171">
        <f t="shared" si="71"/>
        <v>0.45</v>
      </c>
      <c r="I177" s="249">
        <f t="shared" si="72"/>
        <v>0</v>
      </c>
      <c r="J177" s="170">
        <f t="shared" si="72"/>
        <v>0</v>
      </c>
      <c r="K177" s="252"/>
      <c r="L177" s="172">
        <f t="shared" si="73"/>
        <v>0</v>
      </c>
      <c r="M177" s="249">
        <f t="shared" si="74"/>
        <v>26.249985000000002</v>
      </c>
      <c r="N177" s="170">
        <f t="shared" si="75"/>
        <v>26.847172158750002</v>
      </c>
      <c r="O177" s="250">
        <v>0.45</v>
      </c>
      <c r="P177" s="172">
        <f t="shared" si="76"/>
        <v>0.45</v>
      </c>
      <c r="Q177" s="251">
        <f t="shared" si="77"/>
        <v>5.8333300000000001</v>
      </c>
      <c r="R177" s="173">
        <f t="shared" si="78"/>
        <v>5.9660382575000011</v>
      </c>
      <c r="S177" s="250">
        <v>0.1</v>
      </c>
      <c r="T177" s="171">
        <f t="shared" si="79"/>
        <v>0.1</v>
      </c>
      <c r="U177" s="256">
        <v>58.333300000000001</v>
      </c>
      <c r="V177" s="170">
        <f t="shared" si="80"/>
        <v>59.660382575000007</v>
      </c>
      <c r="W177" s="258">
        <v>0.2</v>
      </c>
      <c r="X177" s="257">
        <f>U177+U177*W177</f>
        <v>69.999960000000002</v>
      </c>
      <c r="Y177" s="170">
        <f t="shared" si="81"/>
        <v>71.592459090000006</v>
      </c>
      <c r="Z177" s="170">
        <f t="shared" si="82"/>
        <v>72</v>
      </c>
      <c r="AA177" s="407">
        <f t="shared" si="83"/>
        <v>0</v>
      </c>
      <c r="AB177" s="194"/>
    </row>
    <row r="178" spans="1:28" s="278" customFormat="1" x14ac:dyDescent="0.25">
      <c r="A178" s="200">
        <v>204005</v>
      </c>
      <c r="B178" s="313" t="s">
        <v>14549</v>
      </c>
      <c r="C178" s="248"/>
      <c r="D178" s="247" t="s">
        <v>3</v>
      </c>
      <c r="E178" s="249">
        <f t="shared" si="70"/>
        <v>22.5</v>
      </c>
      <c r="F178" s="170">
        <f t="shared" si="70"/>
        <v>23.011875</v>
      </c>
      <c r="G178" s="250">
        <v>0.45</v>
      </c>
      <c r="H178" s="171">
        <f t="shared" si="71"/>
        <v>0.45</v>
      </c>
      <c r="I178" s="249">
        <f t="shared" si="72"/>
        <v>0</v>
      </c>
      <c r="J178" s="170">
        <f t="shared" si="72"/>
        <v>0</v>
      </c>
      <c r="K178" s="252"/>
      <c r="L178" s="172">
        <f t="shared" si="73"/>
        <v>0</v>
      </c>
      <c r="M178" s="249">
        <f t="shared" si="74"/>
        <v>22.5</v>
      </c>
      <c r="N178" s="170">
        <f t="shared" si="75"/>
        <v>23.011875</v>
      </c>
      <c r="O178" s="250">
        <v>0.45</v>
      </c>
      <c r="P178" s="172">
        <f t="shared" si="76"/>
        <v>0.45</v>
      </c>
      <c r="Q178" s="251">
        <f t="shared" si="77"/>
        <v>5</v>
      </c>
      <c r="R178" s="173">
        <f t="shared" si="78"/>
        <v>5.1137499999999996</v>
      </c>
      <c r="S178" s="250">
        <v>0.1</v>
      </c>
      <c r="T178" s="171">
        <f t="shared" si="79"/>
        <v>0.1</v>
      </c>
      <c r="U178" s="256">
        <v>50</v>
      </c>
      <c r="V178" s="170">
        <f t="shared" si="80"/>
        <v>51.137499999999996</v>
      </c>
      <c r="W178" s="258">
        <v>0.2</v>
      </c>
      <c r="X178" s="257">
        <f>U178+U178*W178</f>
        <v>60</v>
      </c>
      <c r="Y178" s="170">
        <f t="shared" si="81"/>
        <v>61.364999999999995</v>
      </c>
      <c r="Z178" s="170">
        <f t="shared" si="82"/>
        <v>62</v>
      </c>
      <c r="AA178" s="407">
        <f t="shared" si="83"/>
        <v>0</v>
      </c>
      <c r="AB178" s="194"/>
    </row>
    <row r="179" spans="1:28" s="278" customFormat="1" x14ac:dyDescent="0.25">
      <c r="A179" s="200">
        <v>204005</v>
      </c>
      <c r="B179" s="313" t="s">
        <v>14550</v>
      </c>
      <c r="C179" s="248"/>
      <c r="D179" s="247" t="s">
        <v>3</v>
      </c>
      <c r="E179" s="249">
        <f t="shared" si="70"/>
        <v>18.750015000000001</v>
      </c>
      <c r="F179" s="170">
        <f t="shared" si="70"/>
        <v>19.176577841250005</v>
      </c>
      <c r="G179" s="250">
        <v>0.45</v>
      </c>
      <c r="H179" s="171">
        <f t="shared" si="71"/>
        <v>0.45</v>
      </c>
      <c r="I179" s="249">
        <f t="shared" si="72"/>
        <v>0</v>
      </c>
      <c r="J179" s="170">
        <f t="shared" si="72"/>
        <v>0</v>
      </c>
      <c r="K179" s="252"/>
      <c r="L179" s="172">
        <f t="shared" si="73"/>
        <v>0</v>
      </c>
      <c r="M179" s="249">
        <f t="shared" si="74"/>
        <v>18.750015000000001</v>
      </c>
      <c r="N179" s="170">
        <f t="shared" si="75"/>
        <v>19.176577841250005</v>
      </c>
      <c r="O179" s="250">
        <v>0.45</v>
      </c>
      <c r="P179" s="172">
        <f t="shared" si="76"/>
        <v>0.45</v>
      </c>
      <c r="Q179" s="251">
        <f t="shared" si="77"/>
        <v>4.1666699999999999</v>
      </c>
      <c r="R179" s="173">
        <f t="shared" si="78"/>
        <v>4.2614617425000008</v>
      </c>
      <c r="S179" s="250">
        <v>0.1</v>
      </c>
      <c r="T179" s="171">
        <f t="shared" si="79"/>
        <v>0.1</v>
      </c>
      <c r="U179" s="256">
        <v>41.666699999999999</v>
      </c>
      <c r="V179" s="170">
        <f t="shared" si="80"/>
        <v>42.614617425000006</v>
      </c>
      <c r="W179" s="258">
        <v>0.2</v>
      </c>
      <c r="X179" s="257">
        <f>U179+U179*W179</f>
        <v>50.000039999999998</v>
      </c>
      <c r="Y179" s="170">
        <f t="shared" si="81"/>
        <v>51.137540910000006</v>
      </c>
      <c r="Z179" s="170">
        <f t="shared" si="82"/>
        <v>52</v>
      </c>
      <c r="AA179" s="407">
        <f t="shared" si="83"/>
        <v>0</v>
      </c>
      <c r="AB179" s="194"/>
    </row>
    <row r="180" spans="1:28" s="278" customFormat="1" x14ac:dyDescent="0.25">
      <c r="A180" s="200">
        <v>204010</v>
      </c>
      <c r="B180" s="313" t="s">
        <v>19062</v>
      </c>
      <c r="C180" s="248"/>
      <c r="D180" s="247" t="s">
        <v>3</v>
      </c>
      <c r="E180" s="249">
        <f t="shared" si="70"/>
        <v>18.75</v>
      </c>
      <c r="F180" s="170">
        <f t="shared" si="70"/>
        <v>19.180312500000003</v>
      </c>
      <c r="G180" s="250">
        <v>0.25</v>
      </c>
      <c r="H180" s="171">
        <f t="shared" si="71"/>
        <v>0.25</v>
      </c>
      <c r="I180" s="249">
        <f t="shared" si="72"/>
        <v>0</v>
      </c>
      <c r="J180" s="170">
        <f t="shared" si="72"/>
        <v>0</v>
      </c>
      <c r="K180" s="252"/>
      <c r="L180" s="172">
        <f t="shared" si="73"/>
        <v>0</v>
      </c>
      <c r="M180" s="249">
        <f t="shared" si="74"/>
        <v>48.75</v>
      </c>
      <c r="N180" s="170">
        <f t="shared" si="75"/>
        <v>49.868812500000011</v>
      </c>
      <c r="O180" s="250">
        <v>0.65</v>
      </c>
      <c r="P180" s="172">
        <f t="shared" si="76"/>
        <v>0.65</v>
      </c>
      <c r="Q180" s="251">
        <f t="shared" si="77"/>
        <v>7.5</v>
      </c>
      <c r="R180" s="173">
        <f t="shared" si="78"/>
        <v>7.6721250000000012</v>
      </c>
      <c r="S180" s="250">
        <v>0.1</v>
      </c>
      <c r="T180" s="171">
        <f t="shared" si="79"/>
        <v>0.1</v>
      </c>
      <c r="U180" s="256">
        <v>75</v>
      </c>
      <c r="V180" s="170">
        <f t="shared" si="80"/>
        <v>76.721250000000012</v>
      </c>
      <c r="W180" s="258">
        <v>0.2</v>
      </c>
      <c r="X180" s="257">
        <f>U180+U180*W180</f>
        <v>90</v>
      </c>
      <c r="Y180" s="170">
        <f t="shared" si="81"/>
        <v>92.065500000000014</v>
      </c>
      <c r="Z180" s="170">
        <f t="shared" si="82"/>
        <v>93</v>
      </c>
      <c r="AA180" s="407">
        <f t="shared" si="83"/>
        <v>0</v>
      </c>
      <c r="AB180" s="194"/>
    </row>
    <row r="181" spans="1:28" s="278" customFormat="1" x14ac:dyDescent="0.25">
      <c r="A181" s="200">
        <v>204010</v>
      </c>
      <c r="B181" s="313" t="s">
        <v>14551</v>
      </c>
      <c r="C181" s="248"/>
      <c r="D181" s="247" t="s">
        <v>3</v>
      </c>
      <c r="E181" s="249">
        <f t="shared" si="70"/>
        <v>21.250000000000004</v>
      </c>
      <c r="F181" s="170">
        <f t="shared" si="70"/>
        <v>21.736625000000004</v>
      </c>
      <c r="G181" s="250">
        <v>0.3</v>
      </c>
      <c r="H181" s="171">
        <f t="shared" si="71"/>
        <v>0.3</v>
      </c>
      <c r="I181" s="249">
        <f t="shared" si="72"/>
        <v>0</v>
      </c>
      <c r="J181" s="170">
        <f t="shared" si="72"/>
        <v>0</v>
      </c>
      <c r="K181" s="252"/>
      <c r="L181" s="172">
        <f t="shared" si="73"/>
        <v>0</v>
      </c>
      <c r="M181" s="249">
        <f t="shared" si="74"/>
        <v>42.500000000000007</v>
      </c>
      <c r="N181" s="170">
        <f t="shared" si="75"/>
        <v>43.473250000000007</v>
      </c>
      <c r="O181" s="250">
        <v>0.6</v>
      </c>
      <c r="P181" s="172">
        <f t="shared" si="76"/>
        <v>0.6</v>
      </c>
      <c r="Q181" s="251">
        <f t="shared" si="77"/>
        <v>7.0833333333333348</v>
      </c>
      <c r="R181" s="173">
        <f t="shared" si="78"/>
        <v>7.2455416666666679</v>
      </c>
      <c r="S181" s="250">
        <v>0.1</v>
      </c>
      <c r="T181" s="171">
        <f t="shared" si="79"/>
        <v>0.1</v>
      </c>
      <c r="U181" s="256">
        <f>85/1.2</f>
        <v>70.833333333333343</v>
      </c>
      <c r="V181" s="170">
        <f t="shared" si="80"/>
        <v>72.455416666666679</v>
      </c>
      <c r="W181" s="258">
        <v>0.2</v>
      </c>
      <c r="X181" s="257">
        <v>85</v>
      </c>
      <c r="Y181" s="170">
        <f t="shared" si="81"/>
        <v>86.946500000000015</v>
      </c>
      <c r="Z181" s="170">
        <f t="shared" si="82"/>
        <v>87</v>
      </c>
      <c r="AA181" s="407">
        <f t="shared" si="83"/>
        <v>0</v>
      </c>
      <c r="AB181" s="194"/>
    </row>
    <row r="182" spans="1:28" s="278" customFormat="1" x14ac:dyDescent="0.25">
      <c r="A182" s="200">
        <v>204020</v>
      </c>
      <c r="B182" s="313" t="s">
        <v>19063</v>
      </c>
      <c r="C182" s="248"/>
      <c r="D182" s="247" t="s">
        <v>3</v>
      </c>
      <c r="E182" s="249">
        <f t="shared" si="70"/>
        <v>17.498999999999999</v>
      </c>
      <c r="F182" s="170">
        <f t="shared" si="70"/>
        <v>17.8997271</v>
      </c>
      <c r="G182" s="250">
        <v>0.3</v>
      </c>
      <c r="H182" s="171">
        <f t="shared" si="71"/>
        <v>0.3</v>
      </c>
      <c r="I182" s="249">
        <f t="shared" si="72"/>
        <v>0</v>
      </c>
      <c r="J182" s="170">
        <f t="shared" si="72"/>
        <v>0</v>
      </c>
      <c r="K182" s="252"/>
      <c r="L182" s="172">
        <f t="shared" si="73"/>
        <v>0</v>
      </c>
      <c r="M182" s="249">
        <f t="shared" si="74"/>
        <v>34.997999999999998</v>
      </c>
      <c r="N182" s="170">
        <f t="shared" si="75"/>
        <v>35.7994542</v>
      </c>
      <c r="O182" s="250">
        <v>0.6</v>
      </c>
      <c r="P182" s="172">
        <f t="shared" si="76"/>
        <v>0.6</v>
      </c>
      <c r="Q182" s="251">
        <f t="shared" si="77"/>
        <v>5.8330000000000002</v>
      </c>
      <c r="R182" s="173">
        <f t="shared" si="78"/>
        <v>5.9665756999999999</v>
      </c>
      <c r="S182" s="250">
        <v>0.1</v>
      </c>
      <c r="T182" s="171">
        <f t="shared" si="79"/>
        <v>0.1</v>
      </c>
      <c r="U182" s="256">
        <v>58.33</v>
      </c>
      <c r="V182" s="170">
        <f t="shared" si="80"/>
        <v>59.665756999999999</v>
      </c>
      <c r="W182" s="258">
        <v>0.2</v>
      </c>
      <c r="X182" s="257">
        <f t="shared" ref="X182:X188" si="84">U182+U182*W182</f>
        <v>69.995999999999995</v>
      </c>
      <c r="Y182" s="170">
        <f t="shared" si="81"/>
        <v>71.598908399999999</v>
      </c>
      <c r="Z182" s="170">
        <f t="shared" si="82"/>
        <v>72</v>
      </c>
      <c r="AA182" s="407">
        <f t="shared" si="83"/>
        <v>0</v>
      </c>
      <c r="AB182" s="194"/>
    </row>
    <row r="183" spans="1:28" s="278" customFormat="1" x14ac:dyDescent="0.25">
      <c r="A183" s="200">
        <v>204020</v>
      </c>
      <c r="B183" s="313" t="s">
        <v>19064</v>
      </c>
      <c r="C183" s="248"/>
      <c r="D183" s="247" t="s">
        <v>3</v>
      </c>
      <c r="E183" s="249">
        <f t="shared" si="70"/>
        <v>14.5845</v>
      </c>
      <c r="F183" s="170">
        <f t="shared" si="70"/>
        <v>14.927235749999999</v>
      </c>
      <c r="G183" s="250">
        <v>0.35</v>
      </c>
      <c r="H183" s="171">
        <f t="shared" si="71"/>
        <v>0.35</v>
      </c>
      <c r="I183" s="249">
        <f t="shared" si="72"/>
        <v>0</v>
      </c>
      <c r="J183" s="170">
        <f t="shared" si="72"/>
        <v>0</v>
      </c>
      <c r="K183" s="250"/>
      <c r="L183" s="172">
        <f t="shared" si="73"/>
        <v>0</v>
      </c>
      <c r="M183" s="249">
        <f t="shared" si="74"/>
        <v>25.001999999999999</v>
      </c>
      <c r="N183" s="170">
        <f t="shared" si="75"/>
        <v>25.589547</v>
      </c>
      <c r="O183" s="250">
        <v>0.6</v>
      </c>
      <c r="P183" s="172">
        <f t="shared" si="76"/>
        <v>0.6</v>
      </c>
      <c r="Q183" s="251">
        <f t="shared" si="77"/>
        <v>2.0835000000000004</v>
      </c>
      <c r="R183" s="173">
        <f t="shared" si="78"/>
        <v>2.1324622500000001</v>
      </c>
      <c r="S183" s="250">
        <v>0.05</v>
      </c>
      <c r="T183" s="171">
        <f t="shared" si="79"/>
        <v>0.05</v>
      </c>
      <c r="U183" s="256">
        <v>41.67</v>
      </c>
      <c r="V183" s="170">
        <f t="shared" si="80"/>
        <v>42.649245000000001</v>
      </c>
      <c r="W183" s="258">
        <v>0.2</v>
      </c>
      <c r="X183" s="257">
        <f t="shared" si="84"/>
        <v>50.004000000000005</v>
      </c>
      <c r="Y183" s="170">
        <f t="shared" si="81"/>
        <v>51.179093999999999</v>
      </c>
      <c r="Z183" s="170">
        <f t="shared" si="82"/>
        <v>52</v>
      </c>
      <c r="AA183" s="407">
        <f t="shared" si="83"/>
        <v>0</v>
      </c>
      <c r="AB183" s="194"/>
    </row>
    <row r="184" spans="1:28" s="278" customFormat="1" ht="14.4" thickBot="1" x14ac:dyDescent="0.3">
      <c r="A184" s="263">
        <v>204025</v>
      </c>
      <c r="B184" s="321" t="s">
        <v>19065</v>
      </c>
      <c r="C184" s="265"/>
      <c r="D184" s="264" t="s">
        <v>3</v>
      </c>
      <c r="E184" s="266">
        <f t="shared" si="70"/>
        <v>23.333345000000001</v>
      </c>
      <c r="F184" s="174">
        <f t="shared" si="70"/>
        <v>23.8816786075</v>
      </c>
      <c r="G184" s="267">
        <v>0.35</v>
      </c>
      <c r="H184" s="268">
        <f t="shared" si="71"/>
        <v>0.35</v>
      </c>
      <c r="I184" s="266">
        <f t="shared" si="72"/>
        <v>0</v>
      </c>
      <c r="J184" s="174">
        <f t="shared" si="72"/>
        <v>0</v>
      </c>
      <c r="K184" s="408"/>
      <c r="L184" s="269">
        <f t="shared" si="73"/>
        <v>0</v>
      </c>
      <c r="M184" s="266">
        <f t="shared" si="74"/>
        <v>40.000019999999999</v>
      </c>
      <c r="N184" s="174">
        <f t="shared" si="75"/>
        <v>40.94002047</v>
      </c>
      <c r="O184" s="267">
        <v>0.6</v>
      </c>
      <c r="P184" s="269">
        <f t="shared" si="76"/>
        <v>0.6</v>
      </c>
      <c r="Q184" s="270">
        <f t="shared" si="77"/>
        <v>3.3333350000000004</v>
      </c>
      <c r="R184" s="271">
        <f t="shared" si="78"/>
        <v>3.4116683725000003</v>
      </c>
      <c r="S184" s="267">
        <v>0.05</v>
      </c>
      <c r="T184" s="268">
        <f t="shared" si="79"/>
        <v>0.05</v>
      </c>
      <c r="U184" s="409">
        <v>66.666700000000006</v>
      </c>
      <c r="V184" s="174">
        <f t="shared" si="80"/>
        <v>68.233367450000003</v>
      </c>
      <c r="W184" s="322">
        <v>0.2</v>
      </c>
      <c r="X184" s="274">
        <f t="shared" si="84"/>
        <v>80.000040000000013</v>
      </c>
      <c r="Y184" s="174">
        <f t="shared" si="81"/>
        <v>81.880040940000001</v>
      </c>
      <c r="Z184" s="174">
        <f t="shared" si="82"/>
        <v>82</v>
      </c>
      <c r="AA184" s="410">
        <f t="shared" si="83"/>
        <v>0</v>
      </c>
      <c r="AB184" s="194"/>
    </row>
    <row r="185" spans="1:28" s="278" customFormat="1" x14ac:dyDescent="0.25">
      <c r="A185" s="200">
        <v>204025</v>
      </c>
      <c r="B185" s="255" t="s">
        <v>19066</v>
      </c>
      <c r="C185" s="248"/>
      <c r="D185" s="247" t="s">
        <v>3</v>
      </c>
      <c r="E185" s="249">
        <f t="shared" si="70"/>
        <v>17.5</v>
      </c>
      <c r="F185" s="170">
        <f t="shared" si="70"/>
        <v>17.911249999999999</v>
      </c>
      <c r="G185" s="250">
        <v>0.35</v>
      </c>
      <c r="H185" s="171">
        <f t="shared" si="71"/>
        <v>0.35</v>
      </c>
      <c r="I185" s="249">
        <f t="shared" si="72"/>
        <v>0</v>
      </c>
      <c r="J185" s="170">
        <f t="shared" si="72"/>
        <v>0</v>
      </c>
      <c r="K185" s="252"/>
      <c r="L185" s="172">
        <f t="shared" si="73"/>
        <v>0</v>
      </c>
      <c r="M185" s="249">
        <f t="shared" si="74"/>
        <v>30</v>
      </c>
      <c r="N185" s="170">
        <f t="shared" si="75"/>
        <v>30.705000000000002</v>
      </c>
      <c r="O185" s="250">
        <v>0.6</v>
      </c>
      <c r="P185" s="172">
        <f t="shared" si="76"/>
        <v>0.6</v>
      </c>
      <c r="Q185" s="251">
        <f t="shared" si="77"/>
        <v>2.5</v>
      </c>
      <c r="R185" s="173">
        <f t="shared" si="78"/>
        <v>2.5587500000000003</v>
      </c>
      <c r="S185" s="250">
        <v>0.05</v>
      </c>
      <c r="T185" s="171">
        <f t="shared" si="79"/>
        <v>0.05</v>
      </c>
      <c r="U185" s="256">
        <v>50</v>
      </c>
      <c r="V185" s="170">
        <f t="shared" si="80"/>
        <v>51.175000000000004</v>
      </c>
      <c r="W185" s="250">
        <v>0.2</v>
      </c>
      <c r="X185" s="257">
        <f t="shared" si="84"/>
        <v>60</v>
      </c>
      <c r="Y185" s="170">
        <f t="shared" si="81"/>
        <v>61.410000000000004</v>
      </c>
      <c r="Z185" s="170">
        <f t="shared" si="82"/>
        <v>62</v>
      </c>
      <c r="AA185" s="407">
        <f t="shared" si="83"/>
        <v>0</v>
      </c>
      <c r="AB185" s="194"/>
    </row>
    <row r="186" spans="1:28" s="278" customFormat="1" x14ac:dyDescent="0.25">
      <c r="A186" s="200">
        <v>204030</v>
      </c>
      <c r="B186" s="255" t="s">
        <v>14552</v>
      </c>
      <c r="C186" s="248"/>
      <c r="D186" s="247" t="s">
        <v>3</v>
      </c>
      <c r="E186" s="249">
        <f t="shared" si="70"/>
        <v>3.7484999999999999</v>
      </c>
      <c r="F186" s="170">
        <f t="shared" si="70"/>
        <v>3.8362149000000003</v>
      </c>
      <c r="G186" s="250">
        <v>0.45</v>
      </c>
      <c r="H186" s="171">
        <f t="shared" si="71"/>
        <v>0.45</v>
      </c>
      <c r="I186" s="249">
        <f t="shared" si="72"/>
        <v>0</v>
      </c>
      <c r="J186" s="170">
        <f t="shared" si="72"/>
        <v>0</v>
      </c>
      <c r="K186" s="252"/>
      <c r="L186" s="172">
        <f t="shared" si="73"/>
        <v>0</v>
      </c>
      <c r="M186" s="249">
        <f t="shared" si="74"/>
        <v>4.165</v>
      </c>
      <c r="N186" s="170">
        <f t="shared" si="75"/>
        <v>4.2624610000000001</v>
      </c>
      <c r="O186" s="250">
        <v>0.5</v>
      </c>
      <c r="P186" s="172">
        <f t="shared" si="76"/>
        <v>0.5</v>
      </c>
      <c r="Q186" s="251">
        <f t="shared" si="77"/>
        <v>0.41650000000000004</v>
      </c>
      <c r="R186" s="173">
        <f t="shared" si="78"/>
        <v>0.42624610000000002</v>
      </c>
      <c r="S186" s="252">
        <v>0.05</v>
      </c>
      <c r="T186" s="171">
        <f t="shared" si="79"/>
        <v>0.05</v>
      </c>
      <c r="U186" s="256">
        <v>8.33</v>
      </c>
      <c r="V186" s="170">
        <f t="shared" si="80"/>
        <v>8.5249220000000001</v>
      </c>
      <c r="W186" s="250">
        <v>0.2</v>
      </c>
      <c r="X186" s="257">
        <f t="shared" si="84"/>
        <v>9.9960000000000004</v>
      </c>
      <c r="Y186" s="170">
        <f t="shared" si="81"/>
        <v>10.229906399999999</v>
      </c>
      <c r="Z186" s="170">
        <f t="shared" si="82"/>
        <v>11</v>
      </c>
      <c r="AA186" s="407">
        <f t="shared" si="83"/>
        <v>0</v>
      </c>
      <c r="AB186" s="194"/>
    </row>
    <row r="187" spans="1:28" s="278" customFormat="1" x14ac:dyDescent="0.25">
      <c r="A187" s="200">
        <v>204130</v>
      </c>
      <c r="B187" s="313" t="s">
        <v>19067</v>
      </c>
      <c r="C187" s="248"/>
      <c r="D187" s="247" t="s">
        <v>3</v>
      </c>
      <c r="E187" s="249">
        <f t="shared" si="70"/>
        <v>33.332000000000001</v>
      </c>
      <c r="F187" s="170">
        <f t="shared" si="70"/>
        <v>34.113635400000007</v>
      </c>
      <c r="G187" s="250">
        <v>0.4</v>
      </c>
      <c r="H187" s="171">
        <f t="shared" si="71"/>
        <v>0.4</v>
      </c>
      <c r="I187" s="249">
        <f t="shared" si="72"/>
        <v>0</v>
      </c>
      <c r="J187" s="170">
        <f t="shared" si="72"/>
        <v>0</v>
      </c>
      <c r="K187" s="252"/>
      <c r="L187" s="172">
        <f t="shared" si="73"/>
        <v>0</v>
      </c>
      <c r="M187" s="249">
        <f t="shared" si="74"/>
        <v>45.831500000000005</v>
      </c>
      <c r="N187" s="170">
        <f t="shared" si="75"/>
        <v>46.906248675000008</v>
      </c>
      <c r="O187" s="250">
        <v>0.55000000000000004</v>
      </c>
      <c r="P187" s="172">
        <f t="shared" si="76"/>
        <v>0.55000000000000004</v>
      </c>
      <c r="Q187" s="251">
        <f t="shared" si="77"/>
        <v>4.1665000000000001</v>
      </c>
      <c r="R187" s="173">
        <f t="shared" si="78"/>
        <v>4.2642044250000009</v>
      </c>
      <c r="S187" s="250">
        <v>0.05</v>
      </c>
      <c r="T187" s="171">
        <f t="shared" si="79"/>
        <v>0.05</v>
      </c>
      <c r="U187" s="256">
        <v>83.33</v>
      </c>
      <c r="V187" s="170">
        <f t="shared" si="80"/>
        <v>85.28408850000001</v>
      </c>
      <c r="W187" s="258">
        <v>0.2</v>
      </c>
      <c r="X187" s="257">
        <f t="shared" si="84"/>
        <v>99.995999999999995</v>
      </c>
      <c r="Y187" s="170">
        <f t="shared" si="81"/>
        <v>102.34090620000001</v>
      </c>
      <c r="Z187" s="170">
        <f t="shared" si="82"/>
        <v>105</v>
      </c>
      <c r="AA187" s="407">
        <f t="shared" si="83"/>
        <v>0</v>
      </c>
      <c r="AB187" s="194"/>
    </row>
    <row r="188" spans="1:28" s="278" customFormat="1" x14ac:dyDescent="0.25">
      <c r="A188" s="200">
        <v>204130</v>
      </c>
      <c r="B188" s="313" t="s">
        <v>19068</v>
      </c>
      <c r="C188" s="248"/>
      <c r="D188" s="247" t="s">
        <v>3</v>
      </c>
      <c r="E188" s="249">
        <f t="shared" si="70"/>
        <v>16.668000000000003</v>
      </c>
      <c r="F188" s="170">
        <f t="shared" si="70"/>
        <v>17.058864600000003</v>
      </c>
      <c r="G188" s="250">
        <v>0.4</v>
      </c>
      <c r="H188" s="171">
        <f t="shared" si="71"/>
        <v>0.4</v>
      </c>
      <c r="I188" s="249">
        <f t="shared" si="72"/>
        <v>0</v>
      </c>
      <c r="J188" s="170">
        <f t="shared" si="72"/>
        <v>0</v>
      </c>
      <c r="K188" s="252"/>
      <c r="L188" s="172">
        <f t="shared" si="73"/>
        <v>0</v>
      </c>
      <c r="M188" s="249">
        <f t="shared" si="74"/>
        <v>22.918500000000002</v>
      </c>
      <c r="N188" s="170">
        <f t="shared" si="75"/>
        <v>23.455938825000008</v>
      </c>
      <c r="O188" s="250">
        <v>0.55000000000000004</v>
      </c>
      <c r="P188" s="172">
        <f t="shared" si="76"/>
        <v>0.55000000000000004</v>
      </c>
      <c r="Q188" s="251">
        <f t="shared" si="77"/>
        <v>2.0835000000000004</v>
      </c>
      <c r="R188" s="173">
        <f t="shared" si="78"/>
        <v>2.1323580750000004</v>
      </c>
      <c r="S188" s="250">
        <v>0.05</v>
      </c>
      <c r="T188" s="171">
        <f t="shared" si="79"/>
        <v>0.05</v>
      </c>
      <c r="U188" s="256">
        <v>41.67</v>
      </c>
      <c r="V188" s="170">
        <f t="shared" si="80"/>
        <v>42.64716150000001</v>
      </c>
      <c r="W188" s="258">
        <v>0.2</v>
      </c>
      <c r="X188" s="257">
        <f t="shared" si="84"/>
        <v>50.004000000000005</v>
      </c>
      <c r="Y188" s="170">
        <f t="shared" si="81"/>
        <v>51.176593800000013</v>
      </c>
      <c r="Z188" s="170">
        <f t="shared" si="82"/>
        <v>52</v>
      </c>
      <c r="AA188" s="407">
        <f t="shared" si="83"/>
        <v>0</v>
      </c>
      <c r="AB188" s="194"/>
    </row>
    <row r="189" spans="1:28" s="278" customFormat="1" x14ac:dyDescent="0.25">
      <c r="A189" s="195" t="s">
        <v>14553</v>
      </c>
      <c r="B189" s="317" t="s">
        <v>14554</v>
      </c>
      <c r="C189" s="241"/>
      <c r="D189" s="242"/>
      <c r="E189" s="243"/>
      <c r="F189" s="244"/>
      <c r="G189" s="245"/>
      <c r="H189" s="246"/>
      <c r="I189" s="243"/>
      <c r="J189" s="244"/>
      <c r="K189" s="245"/>
      <c r="L189" s="246"/>
      <c r="M189" s="243"/>
      <c r="N189" s="244"/>
      <c r="O189" s="245"/>
      <c r="P189" s="246"/>
      <c r="Q189" s="243"/>
      <c r="R189" s="244"/>
      <c r="S189" s="245"/>
      <c r="T189" s="246"/>
      <c r="U189" s="246"/>
      <c r="V189" s="246"/>
      <c r="W189" s="246"/>
      <c r="X189" s="246"/>
      <c r="Y189" s="244"/>
      <c r="Z189" s="244"/>
      <c r="AA189" s="406"/>
      <c r="AB189" s="194"/>
    </row>
    <row r="190" spans="1:28" s="278" customFormat="1" x14ac:dyDescent="0.25">
      <c r="A190" s="200">
        <v>205010</v>
      </c>
      <c r="B190" s="313" t="s">
        <v>19069</v>
      </c>
      <c r="C190" s="248"/>
      <c r="D190" s="247" t="s">
        <v>3</v>
      </c>
      <c r="E190" s="249">
        <f t="shared" ref="E190:F195" si="85">U190*G190</f>
        <v>15</v>
      </c>
      <c r="F190" s="170">
        <f t="shared" si="85"/>
        <v>15.351750000000003</v>
      </c>
      <c r="G190" s="250">
        <v>0.4</v>
      </c>
      <c r="H190" s="171">
        <f t="shared" ref="H190:H195" si="86">G190</f>
        <v>0.4</v>
      </c>
      <c r="I190" s="249">
        <f t="shared" ref="I190:J195" si="87">U190*K190</f>
        <v>0</v>
      </c>
      <c r="J190" s="170">
        <f t="shared" si="87"/>
        <v>0</v>
      </c>
      <c r="K190" s="252"/>
      <c r="L190" s="172">
        <f t="shared" ref="L190:L195" si="88">K190</f>
        <v>0</v>
      </c>
      <c r="M190" s="249">
        <f t="shared" ref="M190:M195" si="89">U190*O190</f>
        <v>20.625</v>
      </c>
      <c r="N190" s="170">
        <f t="shared" ref="N190:N195" si="90">P190*V190</f>
        <v>21.108656250000003</v>
      </c>
      <c r="O190" s="250">
        <v>0.55000000000000004</v>
      </c>
      <c r="P190" s="172">
        <f t="shared" ref="P190:P195" si="91">O190</f>
        <v>0.55000000000000004</v>
      </c>
      <c r="Q190" s="251">
        <f t="shared" ref="Q190:Q195" si="92">U190*S190</f>
        <v>1.875</v>
      </c>
      <c r="R190" s="173">
        <f t="shared" ref="R190:R195" si="93">T190*V190</f>
        <v>1.9189687500000003</v>
      </c>
      <c r="S190" s="250">
        <v>0.05</v>
      </c>
      <c r="T190" s="171">
        <f t="shared" ref="T190:T195" si="94">S190</f>
        <v>0.05</v>
      </c>
      <c r="U190" s="256">
        <v>37.5</v>
      </c>
      <c r="V190" s="170">
        <f t="shared" ref="V190:V195" si="95">SUM(E190*1.0235,I190*1.0175,M190*1.0245,Q190*1.0115)</f>
        <v>38.379375000000003</v>
      </c>
      <c r="W190" s="258">
        <v>0.2</v>
      </c>
      <c r="X190" s="257">
        <f t="shared" ref="X190:X195" si="96">U190+U190*W190</f>
        <v>45</v>
      </c>
      <c r="Y190" s="170">
        <f t="shared" ref="Y190:Y195" si="97">IF(V190*(W190+1)=0,X190,V190*(W190+1))</f>
        <v>46.055250000000001</v>
      </c>
      <c r="Z190" s="170">
        <f t="shared" ref="Z190:Z195" si="98">IF(Y190=0, 0, IF(Y190&lt;10, _xlfn.CEILING.MATH(Y190,1), IF(Y190&lt;100, _xlfn.CEILING.MATH(Y190,1),IF(Y190&lt;1000, _xlfn.CEILING.MATH(Y190,5), IF(Y190&lt;10000, _xlfn.CEILING.MATH(Y190, 25), IF(Y190&lt;100000, _xlfn.CEILING.MATH(Y190,250), IF(Y190&lt;1000000, _xlfn.CEILING.MATH(Y190,500), 0)))))))</f>
        <v>47</v>
      </c>
      <c r="AA190" s="407">
        <f t="shared" ref="AA190:AA195" si="99">C190*Z190</f>
        <v>0</v>
      </c>
      <c r="AB190" s="194"/>
    </row>
    <row r="191" spans="1:28" s="278" customFormat="1" x14ac:dyDescent="0.25">
      <c r="A191" s="200">
        <v>205010</v>
      </c>
      <c r="B191" s="313" t="s">
        <v>19070</v>
      </c>
      <c r="C191" s="248"/>
      <c r="D191" s="247" t="s">
        <v>3</v>
      </c>
      <c r="E191" s="249">
        <f t="shared" si="85"/>
        <v>13.332000000000001</v>
      </c>
      <c r="F191" s="170">
        <f t="shared" si="85"/>
        <v>13.644635400000002</v>
      </c>
      <c r="G191" s="250">
        <v>0.4</v>
      </c>
      <c r="H191" s="171">
        <f t="shared" si="86"/>
        <v>0.4</v>
      </c>
      <c r="I191" s="249">
        <f t="shared" si="87"/>
        <v>0</v>
      </c>
      <c r="J191" s="170">
        <f t="shared" si="87"/>
        <v>0</v>
      </c>
      <c r="K191" s="252"/>
      <c r="L191" s="172">
        <f t="shared" si="88"/>
        <v>0</v>
      </c>
      <c r="M191" s="249">
        <f t="shared" si="89"/>
        <v>18.331500000000002</v>
      </c>
      <c r="N191" s="170">
        <f t="shared" si="90"/>
        <v>18.761373675000005</v>
      </c>
      <c r="O191" s="250">
        <v>0.55000000000000004</v>
      </c>
      <c r="P191" s="172">
        <f t="shared" si="91"/>
        <v>0.55000000000000004</v>
      </c>
      <c r="Q191" s="251">
        <f t="shared" si="92"/>
        <v>1.6665000000000001</v>
      </c>
      <c r="R191" s="173">
        <f t="shared" si="93"/>
        <v>1.7055794250000003</v>
      </c>
      <c r="S191" s="250">
        <v>0.05</v>
      </c>
      <c r="T191" s="171">
        <f t="shared" si="94"/>
        <v>0.05</v>
      </c>
      <c r="U191" s="256">
        <v>33.33</v>
      </c>
      <c r="V191" s="170">
        <f t="shared" si="95"/>
        <v>34.111588500000003</v>
      </c>
      <c r="W191" s="258">
        <v>0.2</v>
      </c>
      <c r="X191" s="257">
        <f t="shared" si="96"/>
        <v>39.995999999999995</v>
      </c>
      <c r="Y191" s="170">
        <f t="shared" si="97"/>
        <v>40.933906200000003</v>
      </c>
      <c r="Z191" s="170">
        <f t="shared" si="98"/>
        <v>41</v>
      </c>
      <c r="AA191" s="407">
        <f t="shared" si="99"/>
        <v>0</v>
      </c>
      <c r="AB191" s="194"/>
    </row>
    <row r="192" spans="1:28" s="278" customFormat="1" x14ac:dyDescent="0.25">
      <c r="A192" s="200">
        <v>205010</v>
      </c>
      <c r="B192" s="313" t="s">
        <v>19071</v>
      </c>
      <c r="C192" s="248"/>
      <c r="D192" s="247" t="s">
        <v>3</v>
      </c>
      <c r="E192" s="249">
        <f t="shared" si="85"/>
        <v>11.668000000000001</v>
      </c>
      <c r="F192" s="170">
        <f t="shared" si="85"/>
        <v>11.941614600000001</v>
      </c>
      <c r="G192" s="250">
        <v>0.4</v>
      </c>
      <c r="H192" s="171">
        <f t="shared" si="86"/>
        <v>0.4</v>
      </c>
      <c r="I192" s="249">
        <f t="shared" si="87"/>
        <v>0</v>
      </c>
      <c r="J192" s="170">
        <f t="shared" si="87"/>
        <v>0</v>
      </c>
      <c r="K192" s="252"/>
      <c r="L192" s="172">
        <f t="shared" si="88"/>
        <v>0</v>
      </c>
      <c r="M192" s="249">
        <f t="shared" si="89"/>
        <v>16.043500000000002</v>
      </c>
      <c r="N192" s="170">
        <f t="shared" si="90"/>
        <v>16.419720075000001</v>
      </c>
      <c r="O192" s="250">
        <v>0.55000000000000004</v>
      </c>
      <c r="P192" s="172">
        <f t="shared" si="91"/>
        <v>0.55000000000000004</v>
      </c>
      <c r="Q192" s="251">
        <f t="shared" si="92"/>
        <v>1.4585000000000001</v>
      </c>
      <c r="R192" s="173">
        <f t="shared" si="93"/>
        <v>1.4927018250000001</v>
      </c>
      <c r="S192" s="250">
        <v>0.05</v>
      </c>
      <c r="T192" s="171">
        <f t="shared" si="94"/>
        <v>0.05</v>
      </c>
      <c r="U192" s="256">
        <v>29.17</v>
      </c>
      <c r="V192" s="170">
        <f t="shared" si="95"/>
        <v>29.854036499999999</v>
      </c>
      <c r="W192" s="258">
        <v>0.2</v>
      </c>
      <c r="X192" s="257">
        <f t="shared" si="96"/>
        <v>35.004000000000005</v>
      </c>
      <c r="Y192" s="170">
        <f t="shared" si="97"/>
        <v>35.824843799999996</v>
      </c>
      <c r="Z192" s="170">
        <f t="shared" si="98"/>
        <v>36</v>
      </c>
      <c r="AA192" s="407">
        <f t="shared" si="99"/>
        <v>0</v>
      </c>
      <c r="AB192" s="194"/>
    </row>
    <row r="193" spans="1:28" s="278" customFormat="1" x14ac:dyDescent="0.25">
      <c r="A193" s="200">
        <v>205020</v>
      </c>
      <c r="B193" s="313" t="s">
        <v>19072</v>
      </c>
      <c r="C193" s="248"/>
      <c r="D193" s="247" t="s">
        <v>3</v>
      </c>
      <c r="E193" s="249">
        <f t="shared" si="85"/>
        <v>11.668000000000001</v>
      </c>
      <c r="F193" s="170">
        <f t="shared" si="85"/>
        <v>11.941614600000001</v>
      </c>
      <c r="G193" s="250">
        <v>0.4</v>
      </c>
      <c r="H193" s="171">
        <f t="shared" si="86"/>
        <v>0.4</v>
      </c>
      <c r="I193" s="249">
        <f t="shared" si="87"/>
        <v>0</v>
      </c>
      <c r="J193" s="170">
        <f t="shared" si="87"/>
        <v>0</v>
      </c>
      <c r="K193" s="252"/>
      <c r="L193" s="172">
        <f t="shared" si="88"/>
        <v>0</v>
      </c>
      <c r="M193" s="249">
        <f t="shared" si="89"/>
        <v>16.043500000000002</v>
      </c>
      <c r="N193" s="170">
        <f t="shared" si="90"/>
        <v>16.419720075000001</v>
      </c>
      <c r="O193" s="250">
        <v>0.55000000000000004</v>
      </c>
      <c r="P193" s="172">
        <f t="shared" si="91"/>
        <v>0.55000000000000004</v>
      </c>
      <c r="Q193" s="251">
        <f t="shared" si="92"/>
        <v>1.4585000000000001</v>
      </c>
      <c r="R193" s="173">
        <f t="shared" si="93"/>
        <v>1.4927018250000001</v>
      </c>
      <c r="S193" s="250">
        <v>0.05</v>
      </c>
      <c r="T193" s="171">
        <f t="shared" si="94"/>
        <v>0.05</v>
      </c>
      <c r="U193" s="256">
        <v>29.17</v>
      </c>
      <c r="V193" s="170">
        <f t="shared" si="95"/>
        <v>29.854036499999999</v>
      </c>
      <c r="W193" s="258">
        <v>0.2</v>
      </c>
      <c r="X193" s="257">
        <f t="shared" si="96"/>
        <v>35.004000000000005</v>
      </c>
      <c r="Y193" s="170">
        <f t="shared" si="97"/>
        <v>35.824843799999996</v>
      </c>
      <c r="Z193" s="170">
        <f t="shared" si="98"/>
        <v>36</v>
      </c>
      <c r="AA193" s="407">
        <f t="shared" si="99"/>
        <v>0</v>
      </c>
      <c r="AB193" s="194"/>
    </row>
    <row r="194" spans="1:28" s="278" customFormat="1" x14ac:dyDescent="0.25">
      <c r="A194" s="200">
        <v>205020</v>
      </c>
      <c r="B194" s="313" t="s">
        <v>19073</v>
      </c>
      <c r="C194" s="248"/>
      <c r="D194" s="247" t="s">
        <v>3</v>
      </c>
      <c r="E194" s="249">
        <f t="shared" si="85"/>
        <v>11.665499999999998</v>
      </c>
      <c r="F194" s="170">
        <f t="shared" si="85"/>
        <v>11.939639249999997</v>
      </c>
      <c r="G194" s="250">
        <v>0.35</v>
      </c>
      <c r="H194" s="171">
        <f t="shared" si="86"/>
        <v>0.35</v>
      </c>
      <c r="I194" s="249">
        <f t="shared" si="87"/>
        <v>0</v>
      </c>
      <c r="J194" s="170">
        <f t="shared" si="87"/>
        <v>0</v>
      </c>
      <c r="K194" s="252"/>
      <c r="L194" s="172">
        <f t="shared" si="88"/>
        <v>0</v>
      </c>
      <c r="M194" s="249">
        <f t="shared" si="89"/>
        <v>19.997999999999998</v>
      </c>
      <c r="N194" s="170">
        <f t="shared" si="90"/>
        <v>20.467952999999998</v>
      </c>
      <c r="O194" s="250">
        <v>0.6</v>
      </c>
      <c r="P194" s="172">
        <f t="shared" si="91"/>
        <v>0.6</v>
      </c>
      <c r="Q194" s="251">
        <f t="shared" si="92"/>
        <v>1.6665000000000001</v>
      </c>
      <c r="R194" s="173">
        <f t="shared" si="93"/>
        <v>1.7056627499999999</v>
      </c>
      <c r="S194" s="250">
        <v>0.05</v>
      </c>
      <c r="T194" s="171">
        <f t="shared" si="94"/>
        <v>0.05</v>
      </c>
      <c r="U194" s="256">
        <v>33.33</v>
      </c>
      <c r="V194" s="170">
        <f t="shared" si="95"/>
        <v>34.113254999999995</v>
      </c>
      <c r="W194" s="258">
        <v>0.2</v>
      </c>
      <c r="X194" s="257">
        <f t="shared" si="96"/>
        <v>39.995999999999995</v>
      </c>
      <c r="Y194" s="170">
        <f t="shared" si="97"/>
        <v>40.935905999999996</v>
      </c>
      <c r="Z194" s="170">
        <f t="shared" si="98"/>
        <v>41</v>
      </c>
      <c r="AA194" s="407">
        <f t="shared" si="99"/>
        <v>0</v>
      </c>
      <c r="AB194" s="194"/>
    </row>
    <row r="195" spans="1:28" s="278" customFormat="1" x14ac:dyDescent="0.25">
      <c r="A195" s="200">
        <v>205020</v>
      </c>
      <c r="B195" s="313" t="s">
        <v>19074</v>
      </c>
      <c r="C195" s="248"/>
      <c r="D195" s="247" t="s">
        <v>3</v>
      </c>
      <c r="E195" s="249">
        <f t="shared" si="85"/>
        <v>12.500999999999999</v>
      </c>
      <c r="F195" s="170">
        <f t="shared" si="85"/>
        <v>12.795398550000002</v>
      </c>
      <c r="G195" s="250">
        <v>0.3</v>
      </c>
      <c r="H195" s="171">
        <f t="shared" si="86"/>
        <v>0.3</v>
      </c>
      <c r="I195" s="249">
        <f t="shared" si="87"/>
        <v>0</v>
      </c>
      <c r="J195" s="170">
        <f t="shared" si="87"/>
        <v>0</v>
      </c>
      <c r="K195" s="252"/>
      <c r="L195" s="172">
        <f t="shared" si="88"/>
        <v>0</v>
      </c>
      <c r="M195" s="249">
        <f t="shared" si="89"/>
        <v>27.085500000000003</v>
      </c>
      <c r="N195" s="170">
        <f t="shared" si="90"/>
        <v>27.723363525000003</v>
      </c>
      <c r="O195" s="250">
        <v>0.65</v>
      </c>
      <c r="P195" s="172">
        <f t="shared" si="91"/>
        <v>0.65</v>
      </c>
      <c r="Q195" s="251">
        <f t="shared" si="92"/>
        <v>2.0835000000000004</v>
      </c>
      <c r="R195" s="173">
        <f t="shared" si="93"/>
        <v>2.1325664250000003</v>
      </c>
      <c r="S195" s="250">
        <v>0.05</v>
      </c>
      <c r="T195" s="171">
        <f t="shared" si="94"/>
        <v>0.05</v>
      </c>
      <c r="U195" s="256">
        <v>41.67</v>
      </c>
      <c r="V195" s="170">
        <f t="shared" si="95"/>
        <v>42.651328500000005</v>
      </c>
      <c r="W195" s="258">
        <v>0.2</v>
      </c>
      <c r="X195" s="257">
        <f t="shared" si="96"/>
        <v>50.004000000000005</v>
      </c>
      <c r="Y195" s="170">
        <f t="shared" si="97"/>
        <v>51.181594200000006</v>
      </c>
      <c r="Z195" s="170">
        <f t="shared" si="98"/>
        <v>52</v>
      </c>
      <c r="AA195" s="407">
        <f t="shared" si="99"/>
        <v>0</v>
      </c>
      <c r="AB195" s="194"/>
    </row>
    <row r="196" spans="1:28" s="278" customFormat="1" x14ac:dyDescent="0.25">
      <c r="A196" s="195" t="s">
        <v>14555</v>
      </c>
      <c r="B196" s="317" t="s">
        <v>14556</v>
      </c>
      <c r="C196" s="241"/>
      <c r="D196" s="242"/>
      <c r="E196" s="243"/>
      <c r="F196" s="244"/>
      <c r="G196" s="245"/>
      <c r="H196" s="246"/>
      <c r="I196" s="243"/>
      <c r="J196" s="244"/>
      <c r="K196" s="245"/>
      <c r="L196" s="246"/>
      <c r="M196" s="243"/>
      <c r="N196" s="244"/>
      <c r="O196" s="245"/>
      <c r="P196" s="246"/>
      <c r="Q196" s="243"/>
      <c r="R196" s="244"/>
      <c r="S196" s="245"/>
      <c r="T196" s="246"/>
      <c r="U196" s="246"/>
      <c r="V196" s="246"/>
      <c r="W196" s="246"/>
      <c r="X196" s="246"/>
      <c r="Y196" s="244"/>
      <c r="Z196" s="244"/>
      <c r="AA196" s="406"/>
      <c r="AB196" s="194"/>
    </row>
    <row r="197" spans="1:28" s="278" customFormat="1" x14ac:dyDescent="0.25">
      <c r="A197" s="200">
        <v>207010</v>
      </c>
      <c r="B197" s="313" t="s">
        <v>19075</v>
      </c>
      <c r="C197" s="248"/>
      <c r="D197" s="247" t="s">
        <v>1</v>
      </c>
      <c r="E197" s="249">
        <f t="shared" ref="E197:F202" si="100">U197*G197</f>
        <v>0.49950000000000006</v>
      </c>
      <c r="F197" s="170">
        <f t="shared" si="100"/>
        <v>0.5106388500000002</v>
      </c>
      <c r="G197" s="250">
        <v>0.45</v>
      </c>
      <c r="H197" s="171">
        <f t="shared" ref="H197:H202" si="101">G197</f>
        <v>0.45</v>
      </c>
      <c r="I197" s="249">
        <f t="shared" ref="I197:J202" si="102">U197*K197</f>
        <v>0.27750000000000002</v>
      </c>
      <c r="J197" s="170">
        <f t="shared" si="102"/>
        <v>0.28368825000000009</v>
      </c>
      <c r="K197" s="252">
        <v>0.25</v>
      </c>
      <c r="L197" s="172">
        <f t="shared" ref="L197:L202" si="103">K197</f>
        <v>0.25</v>
      </c>
      <c r="M197" s="249">
        <f t="shared" ref="M197:M202" si="104">U197*O197</f>
        <v>0.33300000000000002</v>
      </c>
      <c r="N197" s="170">
        <f t="shared" ref="N197:N202" si="105">P197*V197</f>
        <v>0.34042590000000011</v>
      </c>
      <c r="O197" s="250">
        <v>0.3</v>
      </c>
      <c r="P197" s="172">
        <f t="shared" ref="P197:P202" si="106">O197</f>
        <v>0.3</v>
      </c>
      <c r="Q197" s="251">
        <f t="shared" ref="Q197:Q202" si="107">U197*S197</f>
        <v>0</v>
      </c>
      <c r="R197" s="173">
        <f t="shared" ref="R197:R202" si="108">T197*V197</f>
        <v>0</v>
      </c>
      <c r="S197" s="250"/>
      <c r="T197" s="171">
        <f t="shared" ref="T197:T202" si="109">S197</f>
        <v>0</v>
      </c>
      <c r="U197" s="256">
        <v>1.1100000000000001</v>
      </c>
      <c r="V197" s="170">
        <f>SUM(E197*1.0235,I197*1.0175,M197*1.0245,Q197*1.0115)</f>
        <v>1.1347530000000003</v>
      </c>
      <c r="W197" s="250">
        <v>0.2</v>
      </c>
      <c r="X197" s="257">
        <f>U197+U197*W197</f>
        <v>1.3320000000000001</v>
      </c>
      <c r="Y197" s="170">
        <f>IF(V197*(W197+1)=0,X197,V197*(W197+1))</f>
        <v>1.3617036000000005</v>
      </c>
      <c r="Z197" s="170">
        <f>IF(Y197=0, 0, IF(Y197&lt;10, _xlfn.CEILING.MATH(Y197,0.05), IF(Y197&lt;100, _xlfn.CEILING.MATH(Y197,1),IF(Y197&lt;1000, _xlfn.CEILING.MATH(Y197,5), IF(Y197&lt;10000, _xlfn.CEILING.MATH(Y197, 25), IF(Y197&lt;100000, _xlfn.CEILING.MATH(Y197,250), IF(Y197&lt;1000000, _xlfn.CEILING.MATH(Y197,500), 0)))))))</f>
        <v>1.4000000000000001</v>
      </c>
      <c r="AA197" s="407">
        <f t="shared" ref="AA197:AA202" si="110">C197*Z197</f>
        <v>0</v>
      </c>
      <c r="AB197" s="194"/>
    </row>
    <row r="198" spans="1:28" s="278" customFormat="1" x14ac:dyDescent="0.25">
      <c r="A198" s="200">
        <v>207010</v>
      </c>
      <c r="B198" s="313" t="s">
        <v>19076</v>
      </c>
      <c r="C198" s="248"/>
      <c r="D198" s="247" t="s">
        <v>1</v>
      </c>
      <c r="E198" s="249">
        <f t="shared" si="100"/>
        <v>0.5625</v>
      </c>
      <c r="F198" s="170">
        <f t="shared" si="100"/>
        <v>0.57504375000000008</v>
      </c>
      <c r="G198" s="250">
        <v>0.45</v>
      </c>
      <c r="H198" s="171">
        <f t="shared" si="101"/>
        <v>0.45</v>
      </c>
      <c r="I198" s="249">
        <f t="shared" si="102"/>
        <v>0.3125</v>
      </c>
      <c r="J198" s="170">
        <f t="shared" si="102"/>
        <v>0.31946875000000002</v>
      </c>
      <c r="K198" s="252">
        <v>0.25</v>
      </c>
      <c r="L198" s="172">
        <f t="shared" si="103"/>
        <v>0.25</v>
      </c>
      <c r="M198" s="249">
        <f t="shared" si="104"/>
        <v>0.375</v>
      </c>
      <c r="N198" s="170">
        <f t="shared" si="105"/>
        <v>0.38336249999999999</v>
      </c>
      <c r="O198" s="250">
        <v>0.3</v>
      </c>
      <c r="P198" s="172">
        <f t="shared" si="106"/>
        <v>0.3</v>
      </c>
      <c r="Q198" s="251">
        <f t="shared" si="107"/>
        <v>0</v>
      </c>
      <c r="R198" s="173">
        <f t="shared" si="108"/>
        <v>0</v>
      </c>
      <c r="S198" s="250"/>
      <c r="T198" s="171">
        <f t="shared" si="109"/>
        <v>0</v>
      </c>
      <c r="U198" s="256">
        <v>1.25</v>
      </c>
      <c r="V198" s="170">
        <f>SUM(E198*1.0235,I198*1.0175,M198*1.0245,Q198*1.0115)</f>
        <v>1.2778750000000001</v>
      </c>
      <c r="W198" s="250">
        <v>0.2</v>
      </c>
      <c r="X198" s="257">
        <f>U198+U198*W198</f>
        <v>1.5</v>
      </c>
      <c r="Y198" s="170">
        <f>IF(V198*(W198+1)=0,X198,V198*(W198+1))</f>
        <v>1.53345</v>
      </c>
      <c r="Z198" s="170">
        <f>IF(Y198=0, 0, IF(Y198&lt;10, _xlfn.CEILING.MATH(Y198,0.1), IF(Y198&lt;100, _xlfn.CEILING.MATH(Y198,1),IF(Y198&lt;1000, _xlfn.CEILING.MATH(Y198,5), IF(Y198&lt;10000, _xlfn.CEILING.MATH(Y198, 25), IF(Y198&lt;100000, _xlfn.CEILING.MATH(Y198,250), IF(Y198&lt;1000000, _xlfn.CEILING.MATH(Y198,500), 0)))))))</f>
        <v>1.6</v>
      </c>
      <c r="AA198" s="407">
        <f t="shared" si="110"/>
        <v>0</v>
      </c>
      <c r="AB198" s="194"/>
    </row>
    <row r="199" spans="1:28" s="278" customFormat="1" x14ac:dyDescent="0.25">
      <c r="A199" s="200">
        <v>207010</v>
      </c>
      <c r="B199" s="313" t="s">
        <v>14557</v>
      </c>
      <c r="C199" s="248"/>
      <c r="D199" s="247" t="s">
        <v>1</v>
      </c>
      <c r="E199" s="249">
        <f t="shared" si="100"/>
        <v>0.67500000000000004</v>
      </c>
      <c r="F199" s="170">
        <f t="shared" si="100"/>
        <v>0.69005249999999996</v>
      </c>
      <c r="G199" s="250">
        <v>0.45</v>
      </c>
      <c r="H199" s="171">
        <f t="shared" si="101"/>
        <v>0.45</v>
      </c>
      <c r="I199" s="249">
        <f t="shared" si="102"/>
        <v>0.375</v>
      </c>
      <c r="J199" s="170">
        <f t="shared" si="102"/>
        <v>0.38336249999999999</v>
      </c>
      <c r="K199" s="252">
        <v>0.25</v>
      </c>
      <c r="L199" s="172">
        <f t="shared" si="103"/>
        <v>0.25</v>
      </c>
      <c r="M199" s="249">
        <f t="shared" si="104"/>
        <v>0.44999999999999996</v>
      </c>
      <c r="N199" s="170">
        <f t="shared" si="105"/>
        <v>0.46003499999999997</v>
      </c>
      <c r="O199" s="250">
        <v>0.3</v>
      </c>
      <c r="P199" s="172">
        <f t="shared" si="106"/>
        <v>0.3</v>
      </c>
      <c r="Q199" s="251">
        <f t="shared" si="107"/>
        <v>0</v>
      </c>
      <c r="R199" s="173">
        <f t="shared" si="108"/>
        <v>0</v>
      </c>
      <c r="S199" s="250"/>
      <c r="T199" s="171">
        <f t="shared" si="109"/>
        <v>0</v>
      </c>
      <c r="U199" s="256">
        <v>1.5</v>
      </c>
      <c r="V199" s="170">
        <f>SUM(E199*1.0235,I199*1.0175,M199*1.0245,Q199*1.0115)</f>
        <v>1.53345</v>
      </c>
      <c r="W199" s="250">
        <v>0.2</v>
      </c>
      <c r="X199" s="257">
        <f>U199+U199*W199</f>
        <v>1.8</v>
      </c>
      <c r="Y199" s="170">
        <f>IF(V199*(W199+1)=0,X199,V199*(W199+1))</f>
        <v>1.8401399999999999</v>
      </c>
      <c r="Z199" s="170">
        <f>IF(Y199=0, 0, IF(Y199&lt;10, _xlfn.CEILING.MATH(Y199,1), IF(Y199&lt;100, _xlfn.CEILING.MATH(Y199,1),IF(Y199&lt;1000, _xlfn.CEILING.MATH(Y199,5), IF(Y199&lt;10000, _xlfn.CEILING.MATH(Y199, 25), IF(Y199&lt;100000, _xlfn.CEILING.MATH(Y199,250), IF(Y199&lt;1000000, _xlfn.CEILING.MATH(Y199,500), 0)))))))</f>
        <v>2</v>
      </c>
      <c r="AA199" s="407">
        <f t="shared" si="110"/>
        <v>0</v>
      </c>
      <c r="AB199" s="194"/>
    </row>
    <row r="200" spans="1:28" s="278" customFormat="1" x14ac:dyDescent="0.25">
      <c r="A200" s="200">
        <v>207010</v>
      </c>
      <c r="B200" s="313" t="s">
        <v>14558</v>
      </c>
      <c r="C200" s="248"/>
      <c r="D200" s="247" t="s">
        <v>1</v>
      </c>
      <c r="E200" s="249">
        <f t="shared" si="100"/>
        <v>0.76859999999999995</v>
      </c>
      <c r="F200" s="170">
        <f t="shared" si="100"/>
        <v>0.78573978000000011</v>
      </c>
      <c r="G200" s="250">
        <v>0.45</v>
      </c>
      <c r="H200" s="171">
        <f t="shared" si="101"/>
        <v>0.45</v>
      </c>
      <c r="I200" s="249">
        <f t="shared" si="102"/>
        <v>0.42699999999999999</v>
      </c>
      <c r="J200" s="170">
        <f t="shared" si="102"/>
        <v>0.43652210000000002</v>
      </c>
      <c r="K200" s="252">
        <v>0.25</v>
      </c>
      <c r="L200" s="172">
        <f t="shared" si="103"/>
        <v>0.25</v>
      </c>
      <c r="M200" s="249">
        <f t="shared" si="104"/>
        <v>0.51239999999999997</v>
      </c>
      <c r="N200" s="170">
        <f t="shared" si="105"/>
        <v>0.52382651999999996</v>
      </c>
      <c r="O200" s="250">
        <v>0.3</v>
      </c>
      <c r="P200" s="172">
        <f t="shared" si="106"/>
        <v>0.3</v>
      </c>
      <c r="Q200" s="251">
        <f t="shared" si="107"/>
        <v>0</v>
      </c>
      <c r="R200" s="173">
        <f t="shared" si="108"/>
        <v>0</v>
      </c>
      <c r="S200" s="250"/>
      <c r="T200" s="171">
        <f t="shared" si="109"/>
        <v>0</v>
      </c>
      <c r="U200" s="256">
        <v>1.708</v>
      </c>
      <c r="V200" s="170">
        <f>SUM(E200*1.0235,I200*1.0175,M200*1.0245,Q200*1.0115)</f>
        <v>1.7460884000000001</v>
      </c>
      <c r="W200" s="250">
        <v>0.2</v>
      </c>
      <c r="X200" s="257">
        <f>U200+U200*W200</f>
        <v>2.0495999999999999</v>
      </c>
      <c r="Y200" s="170">
        <f>IF(V200*(W200+1)=0,X200,V200*(W200+1))</f>
        <v>2.0953060799999998</v>
      </c>
      <c r="Z200" s="170">
        <f>IF(Y200=0, 0, IF(Y200&lt;10, _xlfn.CEILING.MATH(Y200,0.05), IF(Y200&lt;100, _xlfn.CEILING.MATH(Y200,1),IF(Y200&lt;1000, _xlfn.CEILING.MATH(Y200,5), IF(Y200&lt;10000, _xlfn.CEILING.MATH(Y200, 25), IF(Y200&lt;100000, _xlfn.CEILING.MATH(Y200,250), IF(Y200&lt;1000000, _xlfn.CEILING.MATH(Y200,500), 0)))))))</f>
        <v>2.1</v>
      </c>
      <c r="AA200" s="407">
        <f t="shared" si="110"/>
        <v>0</v>
      </c>
      <c r="AB200" s="194"/>
    </row>
    <row r="201" spans="1:28" s="278" customFormat="1" x14ac:dyDescent="0.25">
      <c r="A201" s="200">
        <v>207020</v>
      </c>
      <c r="B201" s="313" t="s">
        <v>16060</v>
      </c>
      <c r="C201" s="248"/>
      <c r="D201" s="247" t="s">
        <v>1</v>
      </c>
      <c r="E201" s="249">
        <f t="shared" si="100"/>
        <v>0</v>
      </c>
      <c r="F201" s="170">
        <f t="shared" si="100"/>
        <v>6.25</v>
      </c>
      <c r="G201" s="250">
        <v>0.5</v>
      </c>
      <c r="H201" s="171">
        <f t="shared" si="101"/>
        <v>0.5</v>
      </c>
      <c r="I201" s="249">
        <f t="shared" si="102"/>
        <v>0</v>
      </c>
      <c r="J201" s="170">
        <f t="shared" si="102"/>
        <v>2.5</v>
      </c>
      <c r="K201" s="252">
        <v>0.2</v>
      </c>
      <c r="L201" s="172">
        <f t="shared" si="103"/>
        <v>0.2</v>
      </c>
      <c r="M201" s="249">
        <f t="shared" si="104"/>
        <v>0</v>
      </c>
      <c r="N201" s="170">
        <f t="shared" si="105"/>
        <v>3.75</v>
      </c>
      <c r="O201" s="250">
        <v>0.3</v>
      </c>
      <c r="P201" s="172">
        <f t="shared" si="106"/>
        <v>0.3</v>
      </c>
      <c r="Q201" s="251">
        <f t="shared" si="107"/>
        <v>0</v>
      </c>
      <c r="R201" s="173">
        <f t="shared" si="108"/>
        <v>0</v>
      </c>
      <c r="S201" s="250"/>
      <c r="T201" s="171">
        <f t="shared" si="109"/>
        <v>0</v>
      </c>
      <c r="U201" s="256"/>
      <c r="V201" s="170">
        <f>15/1.2</f>
        <v>12.5</v>
      </c>
      <c r="W201" s="250">
        <v>0.2</v>
      </c>
      <c r="X201" s="257">
        <f>U201+U201*W201</f>
        <v>0</v>
      </c>
      <c r="Y201" s="170">
        <f>IF(V201*(W201+1)=0,X201,V201*(W201+1))</f>
        <v>15</v>
      </c>
      <c r="Z201" s="170">
        <f>IF(Y201=0, 0, IF(Y201&lt;10, _xlfn.CEILING.MATH(Y201,1), IF(Y201&lt;100, _xlfn.CEILING.MATH(Y201,1),IF(Y201&lt;1000, _xlfn.CEILING.MATH(Y201,5), IF(Y201&lt;10000, _xlfn.CEILING.MATH(Y201, 25), IF(Y201&lt;100000, _xlfn.CEILING.MATH(Y201,250), IF(Y201&lt;1000000, _xlfn.CEILING.MATH(Y201,500), 0)))))))</f>
        <v>15</v>
      </c>
      <c r="AA201" s="407">
        <f t="shared" si="110"/>
        <v>0</v>
      </c>
      <c r="AB201" s="194"/>
    </row>
    <row r="202" spans="1:28" s="278" customFormat="1" x14ac:dyDescent="0.25">
      <c r="A202" s="200">
        <v>207030</v>
      </c>
      <c r="B202" s="313" t="s">
        <v>19077</v>
      </c>
      <c r="C202" s="248"/>
      <c r="D202" s="247" t="s">
        <v>4</v>
      </c>
      <c r="E202" s="249">
        <f t="shared" si="100"/>
        <v>6.75</v>
      </c>
      <c r="F202" s="170">
        <f t="shared" si="100"/>
        <v>7.5920625000000017</v>
      </c>
      <c r="G202" s="250">
        <v>0.45</v>
      </c>
      <c r="H202" s="171">
        <f t="shared" si="101"/>
        <v>0.45</v>
      </c>
      <c r="I202" s="249">
        <f t="shared" si="102"/>
        <v>3.75</v>
      </c>
      <c r="J202" s="170">
        <f t="shared" si="102"/>
        <v>4.2178125000000009</v>
      </c>
      <c r="K202" s="252">
        <v>0.25</v>
      </c>
      <c r="L202" s="172">
        <f t="shared" si="103"/>
        <v>0.25</v>
      </c>
      <c r="M202" s="249">
        <f t="shared" si="104"/>
        <v>6</v>
      </c>
      <c r="N202" s="170">
        <f t="shared" si="105"/>
        <v>6.7485000000000017</v>
      </c>
      <c r="O202" s="250">
        <v>0.4</v>
      </c>
      <c r="P202" s="172">
        <f t="shared" si="106"/>
        <v>0.4</v>
      </c>
      <c r="Q202" s="251">
        <f t="shared" si="107"/>
        <v>0</v>
      </c>
      <c r="R202" s="173">
        <f t="shared" si="108"/>
        <v>0</v>
      </c>
      <c r="S202" s="250"/>
      <c r="T202" s="171">
        <f t="shared" si="109"/>
        <v>0</v>
      </c>
      <c r="U202" s="256">
        <v>15</v>
      </c>
      <c r="V202" s="170">
        <f>SUM(E202*1.0235,I202*1.0175,M202*1.0245,Q202*1.0115)</f>
        <v>16.871250000000003</v>
      </c>
      <c r="W202" s="250">
        <v>0.2</v>
      </c>
      <c r="X202" s="257">
        <v>0</v>
      </c>
      <c r="Y202" s="170">
        <v>0</v>
      </c>
      <c r="Z202" s="170">
        <f>IF(Y202=0, 0, IF(Y202&lt;10, _xlfn.CEILING.MATH(Y202,1), IF(Y202&lt;100, _xlfn.CEILING.MATH(Y202,1),IF(Y202&lt;1000, _xlfn.CEILING.MATH(Y202,5), IF(Y202&lt;10000, _xlfn.CEILING.MATH(Y202, 25), IF(Y202&lt;100000, _xlfn.CEILING.MATH(Y202,250), IF(Y202&lt;1000000, _xlfn.CEILING.MATH(Y202,500), 0)))))))</f>
        <v>0</v>
      </c>
      <c r="AA202" s="407">
        <f t="shared" si="110"/>
        <v>0</v>
      </c>
      <c r="AB202" s="194"/>
    </row>
    <row r="203" spans="1:28" s="278" customFormat="1" x14ac:dyDescent="0.25">
      <c r="A203" s="195" t="s">
        <v>14559</v>
      </c>
      <c r="B203" s="317" t="s">
        <v>8957</v>
      </c>
      <c r="C203" s="241"/>
      <c r="D203" s="242"/>
      <c r="E203" s="243"/>
      <c r="F203" s="244"/>
      <c r="G203" s="245"/>
      <c r="H203" s="246"/>
      <c r="I203" s="243"/>
      <c r="J203" s="244"/>
      <c r="K203" s="245"/>
      <c r="L203" s="246"/>
      <c r="M203" s="243"/>
      <c r="N203" s="244"/>
      <c r="O203" s="245"/>
      <c r="P203" s="246"/>
      <c r="Q203" s="243"/>
      <c r="R203" s="244"/>
      <c r="S203" s="245"/>
      <c r="T203" s="246"/>
      <c r="U203" s="246"/>
      <c r="V203" s="246"/>
      <c r="W203" s="246"/>
      <c r="X203" s="246"/>
      <c r="Y203" s="244"/>
      <c r="Z203" s="244"/>
      <c r="AA203" s="406"/>
      <c r="AB203" s="194"/>
    </row>
    <row r="204" spans="1:28" s="278" customFormat="1" x14ac:dyDescent="0.25">
      <c r="A204" s="200">
        <v>208010</v>
      </c>
      <c r="B204" s="313" t="s">
        <v>19078</v>
      </c>
      <c r="C204" s="248"/>
      <c r="D204" s="247" t="s">
        <v>4</v>
      </c>
      <c r="E204" s="249">
        <f>U204*G204</f>
        <v>144</v>
      </c>
      <c r="F204" s="170">
        <f>V204*H204</f>
        <v>147.16080000000002</v>
      </c>
      <c r="G204" s="250">
        <v>0.6</v>
      </c>
      <c r="H204" s="171">
        <f>G204</f>
        <v>0.6</v>
      </c>
      <c r="I204" s="249">
        <f>U204*K204</f>
        <v>0</v>
      </c>
      <c r="J204" s="170">
        <f>V204*L204</f>
        <v>0</v>
      </c>
      <c r="K204" s="252"/>
      <c r="L204" s="172">
        <f>K204</f>
        <v>0</v>
      </c>
      <c r="M204" s="249">
        <f>U204*O204</f>
        <v>60</v>
      </c>
      <c r="N204" s="170">
        <f>P204*V204</f>
        <v>61.317000000000007</v>
      </c>
      <c r="O204" s="250">
        <v>0.25</v>
      </c>
      <c r="P204" s="172">
        <f>O204</f>
        <v>0.25</v>
      </c>
      <c r="Q204" s="251">
        <f>U204*S204</f>
        <v>36</v>
      </c>
      <c r="R204" s="173">
        <f>T204*V204</f>
        <v>36.790200000000006</v>
      </c>
      <c r="S204" s="250">
        <v>0.15</v>
      </c>
      <c r="T204" s="171">
        <f>S204</f>
        <v>0.15</v>
      </c>
      <c r="U204" s="256">
        <v>240</v>
      </c>
      <c r="V204" s="170">
        <f>SUM(E204*1.0235,I204*1.0175,M204*1.0245,Q204*1.0115)</f>
        <v>245.26800000000003</v>
      </c>
      <c r="W204" s="258">
        <v>0.25</v>
      </c>
      <c r="X204" s="257">
        <v>0</v>
      </c>
      <c r="Y204" s="170">
        <v>0</v>
      </c>
      <c r="Z204" s="170">
        <f>IF(Y204=0, 0, IF(Y204&lt;10, _xlfn.CEILING.MATH(Y204,1), IF(Y204&lt;100, _xlfn.CEILING.MATH(Y204,1),IF(Y204&lt;1000, _xlfn.CEILING.MATH(Y204,5), IF(Y204&lt;10000, _xlfn.CEILING.MATH(Y204, 25), IF(Y204&lt;100000, _xlfn.CEILING.MATH(Y204,250), IF(Y204&lt;1000000, _xlfn.CEILING.MATH(Y204,500), 0)))))))</f>
        <v>0</v>
      </c>
      <c r="AA204" s="407">
        <f>C204*Z204</f>
        <v>0</v>
      </c>
      <c r="AB204" s="194"/>
    </row>
    <row r="205" spans="1:28" s="278" customFormat="1" x14ac:dyDescent="0.25">
      <c r="A205" s="195" t="s">
        <v>14560</v>
      </c>
      <c r="B205" s="317" t="s">
        <v>14561</v>
      </c>
      <c r="C205" s="241"/>
      <c r="D205" s="242"/>
      <c r="E205" s="243"/>
      <c r="F205" s="244"/>
      <c r="G205" s="245"/>
      <c r="H205" s="246"/>
      <c r="I205" s="243"/>
      <c r="J205" s="244"/>
      <c r="K205" s="245"/>
      <c r="L205" s="246"/>
      <c r="M205" s="243"/>
      <c r="N205" s="244"/>
      <c r="O205" s="245"/>
      <c r="P205" s="246"/>
      <c r="Q205" s="243"/>
      <c r="R205" s="244"/>
      <c r="S205" s="245"/>
      <c r="T205" s="246"/>
      <c r="U205" s="246"/>
      <c r="V205" s="246"/>
      <c r="W205" s="246"/>
      <c r="X205" s="246"/>
      <c r="Y205" s="244"/>
      <c r="Z205" s="244"/>
      <c r="AA205" s="406"/>
      <c r="AB205" s="194"/>
    </row>
    <row r="206" spans="1:28" s="278" customFormat="1" x14ac:dyDescent="0.25">
      <c r="A206" s="200">
        <v>210005</v>
      </c>
      <c r="B206" s="313" t="s">
        <v>19079</v>
      </c>
      <c r="C206" s="248"/>
      <c r="D206" s="247" t="s">
        <v>3</v>
      </c>
      <c r="E206" s="249">
        <f t="shared" ref="E206:F216" si="111">U206*G206</f>
        <v>16.668000000000003</v>
      </c>
      <c r="F206" s="170">
        <f t="shared" si="111"/>
        <v>17.036362800000003</v>
      </c>
      <c r="G206" s="250">
        <v>0.4</v>
      </c>
      <c r="H206" s="171">
        <f t="shared" ref="H206:H216" si="112">G206</f>
        <v>0.4</v>
      </c>
      <c r="I206" s="249">
        <f t="shared" ref="I206:J216" si="113">U206*K206</f>
        <v>4.1670000000000007</v>
      </c>
      <c r="J206" s="170">
        <f t="shared" si="113"/>
        <v>4.2590907000000007</v>
      </c>
      <c r="K206" s="250">
        <v>0.1</v>
      </c>
      <c r="L206" s="172">
        <f t="shared" ref="L206:L216" si="114">K206</f>
        <v>0.1</v>
      </c>
      <c r="M206" s="249">
        <f t="shared" ref="M206:M216" si="115">U206*O206</f>
        <v>16.668000000000003</v>
      </c>
      <c r="N206" s="170">
        <f t="shared" ref="N206:N216" si="116">P206*V206</f>
        <v>17.036362800000003</v>
      </c>
      <c r="O206" s="250">
        <v>0.4</v>
      </c>
      <c r="P206" s="172">
        <f t="shared" ref="P206:P216" si="117">O206</f>
        <v>0.4</v>
      </c>
      <c r="Q206" s="251">
        <f t="shared" ref="Q206:Q216" si="118">U206*S206</f>
        <v>4.1670000000000007</v>
      </c>
      <c r="R206" s="173">
        <f t="shared" ref="R206:R216" si="119">T206*V206</f>
        <v>4.2590907000000007</v>
      </c>
      <c r="S206" s="250">
        <v>0.1</v>
      </c>
      <c r="T206" s="171">
        <f t="shared" ref="T206:T216" si="120">S206</f>
        <v>0.1</v>
      </c>
      <c r="U206" s="256">
        <v>41.67</v>
      </c>
      <c r="V206" s="170">
        <f t="shared" ref="V206:V216" si="121">SUM(E206*1.0235,I206*1.0175,M206*1.0245,Q206*1.0115)</f>
        <v>42.590907000000009</v>
      </c>
      <c r="W206" s="258">
        <v>0.2</v>
      </c>
      <c r="X206" s="257">
        <f t="shared" ref="X206:X216" si="122">U206+U206*W206</f>
        <v>50.004000000000005</v>
      </c>
      <c r="Y206" s="170">
        <f t="shared" ref="Y206:Y216" si="123">IF(V206*(W206+1)=0,X206,V206*(W206+1))</f>
        <v>51.109088400000012</v>
      </c>
      <c r="Z206" s="170">
        <f t="shared" ref="Z206:Z216" si="124">IF(Y206=0, 0, IF(Y206&lt;10, _xlfn.CEILING.MATH(Y206,1), IF(Y206&lt;100, _xlfn.CEILING.MATH(Y206,1),IF(Y206&lt;1000, _xlfn.CEILING.MATH(Y206,5), IF(Y206&lt;10000, _xlfn.CEILING.MATH(Y206, 25), IF(Y206&lt;100000, _xlfn.CEILING.MATH(Y206,250), IF(Y206&lt;1000000, _xlfn.CEILING.MATH(Y206,500), 0)))))))</f>
        <v>52</v>
      </c>
      <c r="AA206" s="407">
        <f t="shared" ref="AA206:AA216" si="125">C206*Z206</f>
        <v>0</v>
      </c>
      <c r="AB206" s="194"/>
    </row>
    <row r="207" spans="1:28" s="278" customFormat="1" x14ac:dyDescent="0.25">
      <c r="A207" s="200">
        <v>210005</v>
      </c>
      <c r="B207" s="313" t="s">
        <v>19080</v>
      </c>
      <c r="C207" s="248"/>
      <c r="D207" s="247" t="s">
        <v>3</v>
      </c>
      <c r="E207" s="249">
        <f t="shared" si="111"/>
        <v>15</v>
      </c>
      <c r="F207" s="170">
        <f t="shared" si="111"/>
        <v>15.3315</v>
      </c>
      <c r="G207" s="250">
        <v>0.4</v>
      </c>
      <c r="H207" s="171">
        <f t="shared" si="112"/>
        <v>0.4</v>
      </c>
      <c r="I207" s="249">
        <f t="shared" si="113"/>
        <v>3.75</v>
      </c>
      <c r="J207" s="170">
        <f t="shared" si="113"/>
        <v>3.832875</v>
      </c>
      <c r="K207" s="250">
        <v>0.1</v>
      </c>
      <c r="L207" s="172">
        <f t="shared" si="114"/>
        <v>0.1</v>
      </c>
      <c r="M207" s="249">
        <f t="shared" si="115"/>
        <v>15</v>
      </c>
      <c r="N207" s="170">
        <f t="shared" si="116"/>
        <v>15.3315</v>
      </c>
      <c r="O207" s="250">
        <v>0.4</v>
      </c>
      <c r="P207" s="172">
        <f t="shared" si="117"/>
        <v>0.4</v>
      </c>
      <c r="Q207" s="251">
        <f t="shared" si="118"/>
        <v>3.75</v>
      </c>
      <c r="R207" s="173">
        <f t="shared" si="119"/>
        <v>3.832875</v>
      </c>
      <c r="S207" s="250">
        <v>0.1</v>
      </c>
      <c r="T207" s="171">
        <f t="shared" si="120"/>
        <v>0.1</v>
      </c>
      <c r="U207" s="256">
        <v>37.5</v>
      </c>
      <c r="V207" s="170">
        <f t="shared" si="121"/>
        <v>38.328749999999999</v>
      </c>
      <c r="W207" s="258">
        <v>0.2</v>
      </c>
      <c r="X207" s="257">
        <f t="shared" si="122"/>
        <v>45</v>
      </c>
      <c r="Y207" s="170">
        <f t="shared" si="123"/>
        <v>45.994499999999995</v>
      </c>
      <c r="Z207" s="170">
        <f t="shared" si="124"/>
        <v>46</v>
      </c>
      <c r="AA207" s="407">
        <f t="shared" si="125"/>
        <v>0</v>
      </c>
      <c r="AB207" s="194"/>
    </row>
    <row r="208" spans="1:28" s="278" customFormat="1" x14ac:dyDescent="0.25">
      <c r="A208" s="200">
        <v>210005</v>
      </c>
      <c r="B208" s="313" t="s">
        <v>14562</v>
      </c>
      <c r="C208" s="248"/>
      <c r="D208" s="247" t="s">
        <v>3</v>
      </c>
      <c r="E208" s="249">
        <f t="shared" si="111"/>
        <v>11.668000000000001</v>
      </c>
      <c r="F208" s="170">
        <f t="shared" si="111"/>
        <v>11.925862800000003</v>
      </c>
      <c r="G208" s="250">
        <v>0.4</v>
      </c>
      <c r="H208" s="171">
        <f t="shared" si="112"/>
        <v>0.4</v>
      </c>
      <c r="I208" s="249">
        <f t="shared" si="113"/>
        <v>2.9170000000000003</v>
      </c>
      <c r="J208" s="170">
        <f t="shared" si="113"/>
        <v>2.9814657000000007</v>
      </c>
      <c r="K208" s="250">
        <v>0.1</v>
      </c>
      <c r="L208" s="172">
        <f t="shared" si="114"/>
        <v>0.1</v>
      </c>
      <c r="M208" s="249">
        <f t="shared" si="115"/>
        <v>11.668000000000001</v>
      </c>
      <c r="N208" s="170">
        <f t="shared" si="116"/>
        <v>11.925862800000003</v>
      </c>
      <c r="O208" s="250">
        <v>0.4</v>
      </c>
      <c r="P208" s="172">
        <f t="shared" si="117"/>
        <v>0.4</v>
      </c>
      <c r="Q208" s="251">
        <f t="shared" si="118"/>
        <v>2.9170000000000003</v>
      </c>
      <c r="R208" s="173">
        <f t="shared" si="119"/>
        <v>2.9814657000000007</v>
      </c>
      <c r="S208" s="250">
        <v>0.1</v>
      </c>
      <c r="T208" s="171">
        <f t="shared" si="120"/>
        <v>0.1</v>
      </c>
      <c r="U208" s="256">
        <v>29.17</v>
      </c>
      <c r="V208" s="170">
        <f t="shared" si="121"/>
        <v>29.814657000000004</v>
      </c>
      <c r="W208" s="258">
        <v>0.2</v>
      </c>
      <c r="X208" s="257">
        <f t="shared" si="122"/>
        <v>35.004000000000005</v>
      </c>
      <c r="Y208" s="170">
        <f t="shared" si="123"/>
        <v>35.777588400000006</v>
      </c>
      <c r="Z208" s="170">
        <f t="shared" si="124"/>
        <v>36</v>
      </c>
      <c r="AA208" s="407">
        <f t="shared" si="125"/>
        <v>0</v>
      </c>
      <c r="AB208" s="194"/>
    </row>
    <row r="209" spans="1:28" s="278" customFormat="1" x14ac:dyDescent="0.25">
      <c r="A209" s="200">
        <v>210010</v>
      </c>
      <c r="B209" s="313" t="s">
        <v>19081</v>
      </c>
      <c r="C209" s="248"/>
      <c r="D209" s="247" t="s">
        <v>3</v>
      </c>
      <c r="E209" s="249">
        <f t="shared" si="111"/>
        <v>66.667999999999992</v>
      </c>
      <c r="F209" s="170">
        <f t="shared" si="111"/>
        <v>68.088028399999999</v>
      </c>
      <c r="G209" s="250">
        <v>0.4</v>
      </c>
      <c r="H209" s="171">
        <f t="shared" si="112"/>
        <v>0.4</v>
      </c>
      <c r="I209" s="249">
        <f t="shared" si="113"/>
        <v>66.667999999999992</v>
      </c>
      <c r="J209" s="170">
        <f t="shared" si="113"/>
        <v>68.088028399999999</v>
      </c>
      <c r="K209" s="250">
        <v>0.4</v>
      </c>
      <c r="L209" s="172">
        <f t="shared" si="114"/>
        <v>0.4</v>
      </c>
      <c r="M209" s="249">
        <f t="shared" si="115"/>
        <v>33.333999999999996</v>
      </c>
      <c r="N209" s="170">
        <f t="shared" si="116"/>
        <v>34.044014199999999</v>
      </c>
      <c r="O209" s="250">
        <v>0.2</v>
      </c>
      <c r="P209" s="172">
        <f t="shared" si="117"/>
        <v>0.2</v>
      </c>
      <c r="Q209" s="251">
        <f t="shared" si="118"/>
        <v>0</v>
      </c>
      <c r="R209" s="173">
        <f t="shared" si="119"/>
        <v>0</v>
      </c>
      <c r="S209" s="252"/>
      <c r="T209" s="171">
        <f t="shared" si="120"/>
        <v>0</v>
      </c>
      <c r="U209" s="256">
        <v>166.67</v>
      </c>
      <c r="V209" s="170">
        <f t="shared" si="121"/>
        <v>170.22007099999999</v>
      </c>
      <c r="W209" s="258">
        <v>0.2</v>
      </c>
      <c r="X209" s="257">
        <f t="shared" si="122"/>
        <v>200.00399999999999</v>
      </c>
      <c r="Y209" s="170">
        <f t="shared" si="123"/>
        <v>204.26408519999998</v>
      </c>
      <c r="Z209" s="170">
        <f t="shared" si="124"/>
        <v>205</v>
      </c>
      <c r="AA209" s="407">
        <f t="shared" si="125"/>
        <v>0</v>
      </c>
      <c r="AB209" s="194"/>
    </row>
    <row r="210" spans="1:28" s="278" customFormat="1" x14ac:dyDescent="0.25">
      <c r="A210" s="200">
        <v>210010</v>
      </c>
      <c r="B210" s="313" t="s">
        <v>19082</v>
      </c>
      <c r="C210" s="248"/>
      <c r="D210" s="247" t="s">
        <v>3</v>
      </c>
      <c r="E210" s="249">
        <f t="shared" si="111"/>
        <v>43.332000000000001</v>
      </c>
      <c r="F210" s="170">
        <f t="shared" si="111"/>
        <v>44.254971600000005</v>
      </c>
      <c r="G210" s="250">
        <v>0.4</v>
      </c>
      <c r="H210" s="171">
        <f t="shared" si="112"/>
        <v>0.4</v>
      </c>
      <c r="I210" s="249">
        <f t="shared" si="113"/>
        <v>43.332000000000001</v>
      </c>
      <c r="J210" s="170">
        <f t="shared" si="113"/>
        <v>44.254971600000005</v>
      </c>
      <c r="K210" s="250">
        <v>0.4</v>
      </c>
      <c r="L210" s="172">
        <f t="shared" si="114"/>
        <v>0.4</v>
      </c>
      <c r="M210" s="249">
        <f t="shared" si="115"/>
        <v>21.666</v>
      </c>
      <c r="N210" s="170">
        <f t="shared" si="116"/>
        <v>22.127485800000002</v>
      </c>
      <c r="O210" s="250">
        <v>0.2</v>
      </c>
      <c r="P210" s="172">
        <f t="shared" si="117"/>
        <v>0.2</v>
      </c>
      <c r="Q210" s="251">
        <f t="shared" si="118"/>
        <v>0</v>
      </c>
      <c r="R210" s="173">
        <f t="shared" si="119"/>
        <v>0</v>
      </c>
      <c r="S210" s="252"/>
      <c r="T210" s="171">
        <f t="shared" si="120"/>
        <v>0</v>
      </c>
      <c r="U210" s="256">
        <v>108.33</v>
      </c>
      <c r="V210" s="170">
        <f t="shared" si="121"/>
        <v>110.63742900000001</v>
      </c>
      <c r="W210" s="258">
        <v>0.2</v>
      </c>
      <c r="X210" s="257">
        <f t="shared" si="122"/>
        <v>129.99600000000001</v>
      </c>
      <c r="Y210" s="170">
        <f t="shared" si="123"/>
        <v>132.76491480000001</v>
      </c>
      <c r="Z210" s="170">
        <f t="shared" si="124"/>
        <v>135</v>
      </c>
      <c r="AA210" s="407">
        <f t="shared" si="125"/>
        <v>0</v>
      </c>
      <c r="AB210" s="194"/>
    </row>
    <row r="211" spans="1:28" s="278" customFormat="1" x14ac:dyDescent="0.25">
      <c r="A211" s="200">
        <v>210015</v>
      </c>
      <c r="B211" s="313" t="s">
        <v>19083</v>
      </c>
      <c r="C211" s="248"/>
      <c r="D211" s="247" t="s">
        <v>12</v>
      </c>
      <c r="E211" s="249">
        <f t="shared" si="111"/>
        <v>6.4154999999999989</v>
      </c>
      <c r="F211" s="170">
        <f t="shared" si="111"/>
        <v>6.5463761999999992</v>
      </c>
      <c r="G211" s="250">
        <v>0.35</v>
      </c>
      <c r="H211" s="171">
        <f t="shared" si="112"/>
        <v>0.35</v>
      </c>
      <c r="I211" s="249">
        <f t="shared" si="113"/>
        <v>6.4154999999999989</v>
      </c>
      <c r="J211" s="170">
        <f t="shared" si="113"/>
        <v>6.5463761999999992</v>
      </c>
      <c r="K211" s="250">
        <v>0.35</v>
      </c>
      <c r="L211" s="172">
        <f t="shared" si="114"/>
        <v>0.35</v>
      </c>
      <c r="M211" s="249">
        <f t="shared" si="115"/>
        <v>3.6659999999999999</v>
      </c>
      <c r="N211" s="170">
        <f t="shared" si="116"/>
        <v>3.7407863999999997</v>
      </c>
      <c r="O211" s="250">
        <v>0.2</v>
      </c>
      <c r="P211" s="172">
        <f t="shared" si="117"/>
        <v>0.2</v>
      </c>
      <c r="Q211" s="251">
        <f t="shared" si="118"/>
        <v>1.833</v>
      </c>
      <c r="R211" s="173">
        <f t="shared" si="119"/>
        <v>1.8703931999999999</v>
      </c>
      <c r="S211" s="250">
        <v>0.1</v>
      </c>
      <c r="T211" s="171">
        <f t="shared" si="120"/>
        <v>0.1</v>
      </c>
      <c r="U211" s="256">
        <v>18.329999999999998</v>
      </c>
      <c r="V211" s="170">
        <f t="shared" si="121"/>
        <v>18.703931999999998</v>
      </c>
      <c r="W211" s="258">
        <v>0.2</v>
      </c>
      <c r="X211" s="257">
        <f t="shared" si="122"/>
        <v>21.995999999999999</v>
      </c>
      <c r="Y211" s="170">
        <f t="shared" si="123"/>
        <v>22.444718399999996</v>
      </c>
      <c r="Z211" s="170">
        <f t="shared" si="124"/>
        <v>23</v>
      </c>
      <c r="AA211" s="407">
        <f t="shared" si="125"/>
        <v>0</v>
      </c>
      <c r="AB211" s="194"/>
    </row>
    <row r="212" spans="1:28" s="278" customFormat="1" x14ac:dyDescent="0.25">
      <c r="A212" s="200">
        <v>210015</v>
      </c>
      <c r="B212" s="313" t="s">
        <v>19084</v>
      </c>
      <c r="C212" s="248"/>
      <c r="D212" s="247" t="s">
        <v>12</v>
      </c>
      <c r="E212" s="249">
        <f t="shared" si="111"/>
        <v>5.8345000000000002</v>
      </c>
      <c r="F212" s="170">
        <f t="shared" si="111"/>
        <v>5.9535238000000001</v>
      </c>
      <c r="G212" s="250">
        <v>0.35</v>
      </c>
      <c r="H212" s="171">
        <f t="shared" si="112"/>
        <v>0.35</v>
      </c>
      <c r="I212" s="249">
        <f t="shared" si="113"/>
        <v>5.8345000000000002</v>
      </c>
      <c r="J212" s="170">
        <f t="shared" si="113"/>
        <v>5.9535238000000001</v>
      </c>
      <c r="K212" s="250">
        <v>0.35</v>
      </c>
      <c r="L212" s="172">
        <f t="shared" si="114"/>
        <v>0.35</v>
      </c>
      <c r="M212" s="249">
        <f t="shared" si="115"/>
        <v>3.3340000000000005</v>
      </c>
      <c r="N212" s="170">
        <f t="shared" si="116"/>
        <v>3.4020136000000001</v>
      </c>
      <c r="O212" s="250">
        <v>0.2</v>
      </c>
      <c r="P212" s="172">
        <f t="shared" si="117"/>
        <v>0.2</v>
      </c>
      <c r="Q212" s="251">
        <f t="shared" si="118"/>
        <v>1.6670000000000003</v>
      </c>
      <c r="R212" s="173">
        <f t="shared" si="119"/>
        <v>1.7010068</v>
      </c>
      <c r="S212" s="250">
        <v>0.1</v>
      </c>
      <c r="T212" s="171">
        <f t="shared" si="120"/>
        <v>0.1</v>
      </c>
      <c r="U212" s="256">
        <v>16.670000000000002</v>
      </c>
      <c r="V212" s="170">
        <f t="shared" si="121"/>
        <v>17.010068</v>
      </c>
      <c r="W212" s="258">
        <v>0.2</v>
      </c>
      <c r="X212" s="257">
        <f t="shared" si="122"/>
        <v>20.004000000000001</v>
      </c>
      <c r="Y212" s="170">
        <f t="shared" si="123"/>
        <v>20.4120816</v>
      </c>
      <c r="Z212" s="170">
        <f t="shared" si="124"/>
        <v>21</v>
      </c>
      <c r="AA212" s="407">
        <f t="shared" si="125"/>
        <v>0</v>
      </c>
      <c r="AB212" s="194"/>
    </row>
    <row r="213" spans="1:28" s="278" customFormat="1" x14ac:dyDescent="0.25">
      <c r="A213" s="200">
        <v>210052</v>
      </c>
      <c r="B213" s="313" t="s">
        <v>19085</v>
      </c>
      <c r="C213" s="248"/>
      <c r="D213" s="247" t="s">
        <v>12</v>
      </c>
      <c r="E213" s="249">
        <f t="shared" si="111"/>
        <v>10.2095</v>
      </c>
      <c r="F213" s="170">
        <f t="shared" si="111"/>
        <v>10.417773800000001</v>
      </c>
      <c r="G213" s="250">
        <v>0.35</v>
      </c>
      <c r="H213" s="171">
        <f t="shared" si="112"/>
        <v>0.35</v>
      </c>
      <c r="I213" s="249">
        <f t="shared" si="113"/>
        <v>10.2095</v>
      </c>
      <c r="J213" s="170">
        <f t="shared" si="113"/>
        <v>10.417773800000001</v>
      </c>
      <c r="K213" s="250">
        <v>0.35</v>
      </c>
      <c r="L213" s="172">
        <f t="shared" si="114"/>
        <v>0.35</v>
      </c>
      <c r="M213" s="249">
        <f t="shared" si="115"/>
        <v>5.8340000000000005</v>
      </c>
      <c r="N213" s="170">
        <f t="shared" si="116"/>
        <v>5.9530136000000011</v>
      </c>
      <c r="O213" s="250">
        <v>0.2</v>
      </c>
      <c r="P213" s="172">
        <f t="shared" si="117"/>
        <v>0.2</v>
      </c>
      <c r="Q213" s="251">
        <f t="shared" si="118"/>
        <v>2.9170000000000003</v>
      </c>
      <c r="R213" s="173">
        <f t="shared" si="119"/>
        <v>2.9765068000000006</v>
      </c>
      <c r="S213" s="250">
        <v>0.1</v>
      </c>
      <c r="T213" s="171">
        <f t="shared" si="120"/>
        <v>0.1</v>
      </c>
      <c r="U213" s="256">
        <v>29.17</v>
      </c>
      <c r="V213" s="170">
        <f t="shared" si="121"/>
        <v>29.765068000000003</v>
      </c>
      <c r="W213" s="258">
        <v>0.2</v>
      </c>
      <c r="X213" s="257">
        <f t="shared" si="122"/>
        <v>35.004000000000005</v>
      </c>
      <c r="Y213" s="170">
        <f t="shared" si="123"/>
        <v>35.718081600000005</v>
      </c>
      <c r="Z213" s="170">
        <f t="shared" si="124"/>
        <v>36</v>
      </c>
      <c r="AA213" s="407">
        <f t="shared" si="125"/>
        <v>0</v>
      </c>
      <c r="AB213" s="194"/>
    </row>
    <row r="214" spans="1:28" s="278" customFormat="1" x14ac:dyDescent="0.25">
      <c r="A214" s="200">
        <v>210052</v>
      </c>
      <c r="B214" s="313" t="s">
        <v>19086</v>
      </c>
      <c r="C214" s="248"/>
      <c r="D214" s="247" t="s">
        <v>12</v>
      </c>
      <c r="E214" s="249">
        <f t="shared" si="111"/>
        <v>8.75</v>
      </c>
      <c r="F214" s="170">
        <f t="shared" si="111"/>
        <v>8.9284999999999979</v>
      </c>
      <c r="G214" s="250">
        <v>0.35</v>
      </c>
      <c r="H214" s="171">
        <f t="shared" si="112"/>
        <v>0.35</v>
      </c>
      <c r="I214" s="249">
        <f t="shared" si="113"/>
        <v>8.75</v>
      </c>
      <c r="J214" s="170">
        <f t="shared" si="113"/>
        <v>8.9284999999999979</v>
      </c>
      <c r="K214" s="250">
        <v>0.35</v>
      </c>
      <c r="L214" s="172">
        <f t="shared" si="114"/>
        <v>0.35</v>
      </c>
      <c r="M214" s="249">
        <f t="shared" si="115"/>
        <v>5</v>
      </c>
      <c r="N214" s="170">
        <f t="shared" si="116"/>
        <v>5.1020000000000003</v>
      </c>
      <c r="O214" s="250">
        <v>0.2</v>
      </c>
      <c r="P214" s="172">
        <f t="shared" si="117"/>
        <v>0.2</v>
      </c>
      <c r="Q214" s="251">
        <f t="shared" si="118"/>
        <v>2.5</v>
      </c>
      <c r="R214" s="173">
        <f t="shared" si="119"/>
        <v>2.5510000000000002</v>
      </c>
      <c r="S214" s="250">
        <v>0.1</v>
      </c>
      <c r="T214" s="171">
        <f t="shared" si="120"/>
        <v>0.1</v>
      </c>
      <c r="U214" s="256">
        <v>25</v>
      </c>
      <c r="V214" s="170">
        <f t="shared" si="121"/>
        <v>25.509999999999998</v>
      </c>
      <c r="W214" s="258">
        <v>0.2</v>
      </c>
      <c r="X214" s="257">
        <f t="shared" si="122"/>
        <v>30</v>
      </c>
      <c r="Y214" s="170">
        <f t="shared" si="123"/>
        <v>30.611999999999995</v>
      </c>
      <c r="Z214" s="170">
        <f t="shared" si="124"/>
        <v>31</v>
      </c>
      <c r="AA214" s="407">
        <f t="shared" si="125"/>
        <v>0</v>
      </c>
      <c r="AB214" s="194"/>
    </row>
    <row r="215" spans="1:28" s="278" customFormat="1" x14ac:dyDescent="0.25">
      <c r="A215" s="200">
        <v>210067</v>
      </c>
      <c r="B215" s="313" t="s">
        <v>19087</v>
      </c>
      <c r="C215" s="248"/>
      <c r="D215" s="247" t="s">
        <v>12</v>
      </c>
      <c r="E215" s="249">
        <f t="shared" si="111"/>
        <v>8.75</v>
      </c>
      <c r="F215" s="170">
        <f t="shared" si="111"/>
        <v>8.9284999999999979</v>
      </c>
      <c r="G215" s="250">
        <v>0.35</v>
      </c>
      <c r="H215" s="171">
        <f t="shared" si="112"/>
        <v>0.35</v>
      </c>
      <c r="I215" s="249">
        <f t="shared" si="113"/>
        <v>8.75</v>
      </c>
      <c r="J215" s="170">
        <f t="shared" si="113"/>
        <v>8.9284999999999979</v>
      </c>
      <c r="K215" s="250">
        <v>0.35</v>
      </c>
      <c r="L215" s="172">
        <f t="shared" si="114"/>
        <v>0.35</v>
      </c>
      <c r="M215" s="249">
        <f t="shared" si="115"/>
        <v>5</v>
      </c>
      <c r="N215" s="170">
        <f t="shared" si="116"/>
        <v>5.1020000000000003</v>
      </c>
      <c r="O215" s="250">
        <v>0.2</v>
      </c>
      <c r="P215" s="172">
        <f t="shared" si="117"/>
        <v>0.2</v>
      </c>
      <c r="Q215" s="251">
        <f t="shared" si="118"/>
        <v>2.5</v>
      </c>
      <c r="R215" s="173">
        <f t="shared" si="119"/>
        <v>2.5510000000000002</v>
      </c>
      <c r="S215" s="250">
        <v>0.1</v>
      </c>
      <c r="T215" s="171">
        <f t="shared" si="120"/>
        <v>0.1</v>
      </c>
      <c r="U215" s="256">
        <v>25</v>
      </c>
      <c r="V215" s="170">
        <f t="shared" si="121"/>
        <v>25.509999999999998</v>
      </c>
      <c r="W215" s="258">
        <v>0.2</v>
      </c>
      <c r="X215" s="257">
        <f t="shared" si="122"/>
        <v>30</v>
      </c>
      <c r="Y215" s="170">
        <f t="shared" si="123"/>
        <v>30.611999999999995</v>
      </c>
      <c r="Z215" s="170">
        <f t="shared" si="124"/>
        <v>31</v>
      </c>
      <c r="AA215" s="407">
        <f t="shared" si="125"/>
        <v>0</v>
      </c>
      <c r="AB215" s="194"/>
    </row>
    <row r="216" spans="1:28" s="278" customFormat="1" x14ac:dyDescent="0.25">
      <c r="A216" s="200">
        <v>210067</v>
      </c>
      <c r="B216" s="313" t="s">
        <v>19088</v>
      </c>
      <c r="C216" s="248"/>
      <c r="D216" s="247" t="s">
        <v>12</v>
      </c>
      <c r="E216" s="249">
        <f t="shared" si="111"/>
        <v>7.2904999999999989</v>
      </c>
      <c r="F216" s="170">
        <f t="shared" si="111"/>
        <v>7.4392261999999985</v>
      </c>
      <c r="G216" s="250">
        <v>0.35</v>
      </c>
      <c r="H216" s="171">
        <f t="shared" si="112"/>
        <v>0.35</v>
      </c>
      <c r="I216" s="249">
        <f t="shared" si="113"/>
        <v>7.2904999999999989</v>
      </c>
      <c r="J216" s="170">
        <f t="shared" si="113"/>
        <v>7.4392261999999985</v>
      </c>
      <c r="K216" s="250">
        <v>0.35</v>
      </c>
      <c r="L216" s="172">
        <f t="shared" si="114"/>
        <v>0.35</v>
      </c>
      <c r="M216" s="249">
        <f t="shared" si="115"/>
        <v>4.1659999999999995</v>
      </c>
      <c r="N216" s="170">
        <f t="shared" si="116"/>
        <v>4.2509863999999995</v>
      </c>
      <c r="O216" s="250">
        <v>0.2</v>
      </c>
      <c r="P216" s="172">
        <f t="shared" si="117"/>
        <v>0.2</v>
      </c>
      <c r="Q216" s="251">
        <f t="shared" si="118"/>
        <v>2.0829999999999997</v>
      </c>
      <c r="R216" s="173">
        <f t="shared" si="119"/>
        <v>2.1254931999999997</v>
      </c>
      <c r="S216" s="250">
        <v>0.1</v>
      </c>
      <c r="T216" s="171">
        <f t="shared" si="120"/>
        <v>0.1</v>
      </c>
      <c r="U216" s="256">
        <v>20.83</v>
      </c>
      <c r="V216" s="170">
        <f t="shared" si="121"/>
        <v>21.254931999999997</v>
      </c>
      <c r="W216" s="258">
        <v>0.2</v>
      </c>
      <c r="X216" s="257">
        <f t="shared" si="122"/>
        <v>24.995999999999999</v>
      </c>
      <c r="Y216" s="170">
        <f t="shared" si="123"/>
        <v>25.505918399999995</v>
      </c>
      <c r="Z216" s="170">
        <f t="shared" si="124"/>
        <v>26</v>
      </c>
      <c r="AA216" s="407">
        <f t="shared" si="125"/>
        <v>0</v>
      </c>
      <c r="AB216" s="194"/>
    </row>
    <row r="217" spans="1:28" s="278" customFormat="1" x14ac:dyDescent="0.25">
      <c r="A217" s="195" t="s">
        <v>14563</v>
      </c>
      <c r="B217" s="317" t="s">
        <v>14564</v>
      </c>
      <c r="C217" s="241"/>
      <c r="D217" s="242"/>
      <c r="E217" s="243"/>
      <c r="F217" s="244"/>
      <c r="G217" s="245"/>
      <c r="H217" s="246"/>
      <c r="I217" s="243"/>
      <c r="J217" s="244"/>
      <c r="K217" s="245"/>
      <c r="L217" s="246"/>
      <c r="M217" s="243"/>
      <c r="N217" s="244"/>
      <c r="O217" s="245"/>
      <c r="P217" s="246"/>
      <c r="Q217" s="243"/>
      <c r="R217" s="244"/>
      <c r="S217" s="245"/>
      <c r="T217" s="246"/>
      <c r="U217" s="246"/>
      <c r="V217" s="246"/>
      <c r="W217" s="246"/>
      <c r="X217" s="246"/>
      <c r="Y217" s="244"/>
      <c r="Z217" s="244"/>
      <c r="AA217" s="406"/>
      <c r="AB217" s="194"/>
    </row>
    <row r="218" spans="1:28" s="278" customFormat="1" x14ac:dyDescent="0.25">
      <c r="A218" s="200">
        <v>213005</v>
      </c>
      <c r="B218" s="313" t="s">
        <v>14565</v>
      </c>
      <c r="C218" s="248"/>
      <c r="D218" s="247" t="s">
        <v>1</v>
      </c>
      <c r="E218" s="249">
        <f t="shared" ref="E218:F223" si="126">U218*G218</f>
        <v>6.875</v>
      </c>
      <c r="F218" s="170">
        <f t="shared" si="126"/>
        <v>7.0204062499999997</v>
      </c>
      <c r="G218" s="250">
        <v>0.25</v>
      </c>
      <c r="H218" s="171">
        <f t="shared" ref="H218:H223" si="127">G218</f>
        <v>0.25</v>
      </c>
      <c r="I218" s="249">
        <f t="shared" ref="I218:J223" si="128">U218*K218</f>
        <v>9.625</v>
      </c>
      <c r="J218" s="170">
        <f t="shared" si="128"/>
        <v>9.8285687499999987</v>
      </c>
      <c r="K218" s="250">
        <v>0.35</v>
      </c>
      <c r="L218" s="172">
        <f t="shared" ref="L218:L223" si="129">K218</f>
        <v>0.35</v>
      </c>
      <c r="M218" s="249">
        <f t="shared" ref="M218:M223" si="130">U218*O218</f>
        <v>9.625</v>
      </c>
      <c r="N218" s="170">
        <f t="shared" ref="N218:N223" si="131">P218*V218</f>
        <v>9.8285687499999987</v>
      </c>
      <c r="O218" s="250">
        <v>0.35</v>
      </c>
      <c r="P218" s="172">
        <f t="shared" ref="P218:P223" si="132">O218</f>
        <v>0.35</v>
      </c>
      <c r="Q218" s="251">
        <f t="shared" ref="Q218:Q223" si="133">U218*S218</f>
        <v>1.375</v>
      </c>
      <c r="R218" s="173">
        <f t="shared" ref="R218:R223" si="134">T218*V218</f>
        <v>1.4040812499999999</v>
      </c>
      <c r="S218" s="250">
        <v>0.05</v>
      </c>
      <c r="T218" s="171">
        <f t="shared" ref="T218:T223" si="135">S218</f>
        <v>0.05</v>
      </c>
      <c r="U218" s="256">
        <v>27.5</v>
      </c>
      <c r="V218" s="170">
        <f t="shared" ref="V218:V223" si="136">SUM(E218*1.0235,I218*1.0175,M218*1.0245,Q218*1.0115)</f>
        <v>28.081624999999999</v>
      </c>
      <c r="W218" s="258">
        <v>0.2</v>
      </c>
      <c r="X218" s="257">
        <f t="shared" ref="X218:X223" si="137">U218+U218*W218</f>
        <v>33</v>
      </c>
      <c r="Y218" s="170">
        <f t="shared" ref="Y218:Y223" si="138">IF(V218*(W218+1)=0,X218,V218*(W218+1))</f>
        <v>33.697949999999999</v>
      </c>
      <c r="Z218" s="170">
        <f t="shared" ref="Z218:Z223" si="139">IF(Y218=0, 0, IF(Y218&lt;10, _xlfn.CEILING.MATH(Y218,1), IF(Y218&lt;100, _xlfn.CEILING.MATH(Y218,1),IF(Y218&lt;1000, _xlfn.CEILING.MATH(Y218,5), IF(Y218&lt;10000, _xlfn.CEILING.MATH(Y218, 25), IF(Y218&lt;100000, _xlfn.CEILING.MATH(Y218,250), IF(Y218&lt;1000000, _xlfn.CEILING.MATH(Y218,500), 0)))))))</f>
        <v>34</v>
      </c>
      <c r="AA218" s="407">
        <f t="shared" ref="AA218:AA223" si="140">C218*Z218</f>
        <v>0</v>
      </c>
      <c r="AB218" s="194"/>
    </row>
    <row r="219" spans="1:28" s="278" customFormat="1" x14ac:dyDescent="0.25">
      <c r="A219" s="200">
        <v>213005</v>
      </c>
      <c r="B219" s="313" t="s">
        <v>19089</v>
      </c>
      <c r="C219" s="248"/>
      <c r="D219" s="247" t="s">
        <v>1</v>
      </c>
      <c r="E219" s="249">
        <f t="shared" si="126"/>
        <v>7.5</v>
      </c>
      <c r="F219" s="170">
        <f t="shared" si="126"/>
        <v>7.6582500000000007</v>
      </c>
      <c r="G219" s="250">
        <v>0.3</v>
      </c>
      <c r="H219" s="171">
        <f t="shared" si="127"/>
        <v>0.3</v>
      </c>
      <c r="I219" s="249">
        <f t="shared" si="128"/>
        <v>8.75</v>
      </c>
      <c r="J219" s="170">
        <f t="shared" si="128"/>
        <v>8.9346250000000005</v>
      </c>
      <c r="K219" s="250">
        <v>0.35</v>
      </c>
      <c r="L219" s="172">
        <f t="shared" si="129"/>
        <v>0.35</v>
      </c>
      <c r="M219" s="249">
        <f t="shared" si="130"/>
        <v>7.5</v>
      </c>
      <c r="N219" s="170">
        <f t="shared" si="131"/>
        <v>7.6582500000000007</v>
      </c>
      <c r="O219" s="250">
        <v>0.3</v>
      </c>
      <c r="P219" s="172">
        <f t="shared" si="132"/>
        <v>0.3</v>
      </c>
      <c r="Q219" s="251">
        <f t="shared" si="133"/>
        <v>1.25</v>
      </c>
      <c r="R219" s="173">
        <f t="shared" si="134"/>
        <v>1.2763750000000003</v>
      </c>
      <c r="S219" s="250">
        <v>0.05</v>
      </c>
      <c r="T219" s="171">
        <f t="shared" si="135"/>
        <v>0.05</v>
      </c>
      <c r="U219" s="256">
        <v>25</v>
      </c>
      <c r="V219" s="170">
        <f t="shared" si="136"/>
        <v>25.527500000000003</v>
      </c>
      <c r="W219" s="258">
        <v>0.2</v>
      </c>
      <c r="X219" s="257">
        <f t="shared" si="137"/>
        <v>30</v>
      </c>
      <c r="Y219" s="170">
        <f t="shared" si="138"/>
        <v>30.633000000000003</v>
      </c>
      <c r="Z219" s="170">
        <f t="shared" si="139"/>
        <v>31</v>
      </c>
      <c r="AA219" s="407">
        <f t="shared" si="140"/>
        <v>0</v>
      </c>
      <c r="AB219" s="194"/>
    </row>
    <row r="220" spans="1:28" s="278" customFormat="1" x14ac:dyDescent="0.25">
      <c r="A220" s="200">
        <v>213005</v>
      </c>
      <c r="B220" s="313" t="s">
        <v>19090</v>
      </c>
      <c r="C220" s="248"/>
      <c r="D220" s="247" t="s">
        <v>1</v>
      </c>
      <c r="E220" s="249">
        <f t="shared" si="126"/>
        <v>7.2904999999999989</v>
      </c>
      <c r="F220" s="170">
        <f t="shared" si="126"/>
        <v>7.4465166999999992</v>
      </c>
      <c r="G220" s="250">
        <v>0.35</v>
      </c>
      <c r="H220" s="171">
        <f t="shared" si="127"/>
        <v>0.35</v>
      </c>
      <c r="I220" s="249">
        <f t="shared" si="128"/>
        <v>6.2489999999999997</v>
      </c>
      <c r="J220" s="170">
        <f t="shared" si="128"/>
        <v>6.3827286000000001</v>
      </c>
      <c r="K220" s="250">
        <v>0.3</v>
      </c>
      <c r="L220" s="172">
        <f t="shared" si="129"/>
        <v>0.3</v>
      </c>
      <c r="M220" s="249">
        <f t="shared" si="130"/>
        <v>6.2489999999999997</v>
      </c>
      <c r="N220" s="170">
        <f t="shared" si="131"/>
        <v>6.3827286000000001</v>
      </c>
      <c r="O220" s="250">
        <v>0.3</v>
      </c>
      <c r="P220" s="172">
        <f t="shared" si="132"/>
        <v>0.3</v>
      </c>
      <c r="Q220" s="251">
        <f t="shared" si="133"/>
        <v>1.0414999999999999</v>
      </c>
      <c r="R220" s="173">
        <f t="shared" si="134"/>
        <v>1.0637881</v>
      </c>
      <c r="S220" s="250">
        <v>0.05</v>
      </c>
      <c r="T220" s="171">
        <f t="shared" si="135"/>
        <v>0.05</v>
      </c>
      <c r="U220" s="256">
        <v>20.83</v>
      </c>
      <c r="V220" s="170">
        <f t="shared" si="136"/>
        <v>21.275762</v>
      </c>
      <c r="W220" s="258">
        <v>0.2</v>
      </c>
      <c r="X220" s="257">
        <f t="shared" si="137"/>
        <v>24.995999999999999</v>
      </c>
      <c r="Y220" s="170">
        <f t="shared" si="138"/>
        <v>25.5309144</v>
      </c>
      <c r="Z220" s="170">
        <f t="shared" si="139"/>
        <v>26</v>
      </c>
      <c r="AA220" s="407">
        <f t="shared" si="140"/>
        <v>0</v>
      </c>
      <c r="AB220" s="194"/>
    </row>
    <row r="221" spans="1:28" s="278" customFormat="1" x14ac:dyDescent="0.25">
      <c r="A221" s="200">
        <v>213010</v>
      </c>
      <c r="B221" s="313" t="s">
        <v>19091</v>
      </c>
      <c r="C221" s="248"/>
      <c r="D221" s="247" t="s">
        <v>1</v>
      </c>
      <c r="E221" s="249">
        <f t="shared" si="126"/>
        <v>10.835500000000001</v>
      </c>
      <c r="F221" s="170">
        <f t="shared" si="126"/>
        <v>11.093926675000001</v>
      </c>
      <c r="G221" s="250">
        <v>0.65</v>
      </c>
      <c r="H221" s="171">
        <f t="shared" si="127"/>
        <v>0.65</v>
      </c>
      <c r="I221" s="249">
        <f t="shared" si="128"/>
        <v>0</v>
      </c>
      <c r="J221" s="170">
        <f t="shared" si="128"/>
        <v>0</v>
      </c>
      <c r="K221" s="252"/>
      <c r="L221" s="172">
        <f t="shared" si="129"/>
        <v>0</v>
      </c>
      <c r="M221" s="249">
        <f t="shared" si="130"/>
        <v>5.8345000000000002</v>
      </c>
      <c r="N221" s="170">
        <f t="shared" si="131"/>
        <v>5.9736528250000003</v>
      </c>
      <c r="O221" s="250">
        <v>0.35</v>
      </c>
      <c r="P221" s="172">
        <f t="shared" si="132"/>
        <v>0.35</v>
      </c>
      <c r="Q221" s="251">
        <f t="shared" si="133"/>
        <v>0</v>
      </c>
      <c r="R221" s="173">
        <f t="shared" si="134"/>
        <v>0</v>
      </c>
      <c r="S221" s="252"/>
      <c r="T221" s="171">
        <f t="shared" si="135"/>
        <v>0</v>
      </c>
      <c r="U221" s="256">
        <v>16.670000000000002</v>
      </c>
      <c r="V221" s="170">
        <f t="shared" si="136"/>
        <v>17.067579500000001</v>
      </c>
      <c r="W221" s="258">
        <v>0.2</v>
      </c>
      <c r="X221" s="257">
        <f t="shared" si="137"/>
        <v>20.004000000000001</v>
      </c>
      <c r="Y221" s="170">
        <f t="shared" si="138"/>
        <v>20.481095400000001</v>
      </c>
      <c r="Z221" s="170">
        <f t="shared" si="139"/>
        <v>21</v>
      </c>
      <c r="AA221" s="407">
        <f t="shared" si="140"/>
        <v>0</v>
      </c>
      <c r="AB221" s="194"/>
    </row>
    <row r="222" spans="1:28" s="278" customFormat="1" x14ac:dyDescent="0.25">
      <c r="A222" s="200" t="s">
        <v>14566</v>
      </c>
      <c r="B222" s="313" t="s">
        <v>19092</v>
      </c>
      <c r="C222" s="248"/>
      <c r="D222" s="247" t="s">
        <v>1</v>
      </c>
      <c r="E222" s="249">
        <f t="shared" si="126"/>
        <v>8.125</v>
      </c>
      <c r="F222" s="170">
        <f t="shared" si="126"/>
        <v>8.3187812500000007</v>
      </c>
      <c r="G222" s="250">
        <v>0.65</v>
      </c>
      <c r="H222" s="171">
        <f t="shared" si="127"/>
        <v>0.65</v>
      </c>
      <c r="I222" s="249">
        <f t="shared" si="128"/>
        <v>0</v>
      </c>
      <c r="J222" s="170">
        <f t="shared" si="128"/>
        <v>0</v>
      </c>
      <c r="K222" s="252"/>
      <c r="L222" s="172">
        <f t="shared" si="129"/>
        <v>0</v>
      </c>
      <c r="M222" s="249">
        <f t="shared" si="130"/>
        <v>4.375</v>
      </c>
      <c r="N222" s="170">
        <f t="shared" si="131"/>
        <v>4.47934375</v>
      </c>
      <c r="O222" s="250">
        <v>0.35</v>
      </c>
      <c r="P222" s="172">
        <f t="shared" si="132"/>
        <v>0.35</v>
      </c>
      <c r="Q222" s="251">
        <f t="shared" si="133"/>
        <v>0</v>
      </c>
      <c r="R222" s="173">
        <f t="shared" si="134"/>
        <v>0</v>
      </c>
      <c r="S222" s="252"/>
      <c r="T222" s="171">
        <f t="shared" si="135"/>
        <v>0</v>
      </c>
      <c r="U222" s="256">
        <v>12.5</v>
      </c>
      <c r="V222" s="170">
        <f t="shared" si="136"/>
        <v>12.798125000000001</v>
      </c>
      <c r="W222" s="258">
        <v>0.2</v>
      </c>
      <c r="X222" s="257">
        <f t="shared" si="137"/>
        <v>15</v>
      </c>
      <c r="Y222" s="170">
        <f t="shared" si="138"/>
        <v>15.357749999999999</v>
      </c>
      <c r="Z222" s="170">
        <f t="shared" si="139"/>
        <v>16</v>
      </c>
      <c r="AA222" s="407">
        <f t="shared" si="140"/>
        <v>0</v>
      </c>
      <c r="AB222" s="194"/>
    </row>
    <row r="223" spans="1:28" s="278" customFormat="1" x14ac:dyDescent="0.25">
      <c r="A223" s="200">
        <v>213015</v>
      </c>
      <c r="B223" s="313" t="s">
        <v>13</v>
      </c>
      <c r="C223" s="248"/>
      <c r="D223" s="247" t="s">
        <v>1</v>
      </c>
      <c r="E223" s="249">
        <f t="shared" si="126"/>
        <v>5.8345000000000002</v>
      </c>
      <c r="F223" s="170">
        <f t="shared" si="126"/>
        <v>5.9678183250000005</v>
      </c>
      <c r="G223" s="250">
        <v>0.35</v>
      </c>
      <c r="H223" s="171">
        <f t="shared" si="127"/>
        <v>0.35</v>
      </c>
      <c r="I223" s="249">
        <f t="shared" si="128"/>
        <v>0</v>
      </c>
      <c r="J223" s="170">
        <f t="shared" si="128"/>
        <v>0</v>
      </c>
      <c r="K223" s="252"/>
      <c r="L223" s="172">
        <f t="shared" si="129"/>
        <v>0</v>
      </c>
      <c r="M223" s="249">
        <f t="shared" si="130"/>
        <v>9.1685000000000016</v>
      </c>
      <c r="N223" s="170">
        <f t="shared" si="131"/>
        <v>9.3780002250000027</v>
      </c>
      <c r="O223" s="250">
        <v>0.55000000000000004</v>
      </c>
      <c r="P223" s="172">
        <f t="shared" si="132"/>
        <v>0.55000000000000004</v>
      </c>
      <c r="Q223" s="251">
        <f t="shared" si="133"/>
        <v>1.6670000000000003</v>
      </c>
      <c r="R223" s="173">
        <f t="shared" si="134"/>
        <v>1.7050909500000004</v>
      </c>
      <c r="S223" s="250">
        <v>0.1</v>
      </c>
      <c r="T223" s="171">
        <f t="shared" si="135"/>
        <v>0.1</v>
      </c>
      <c r="U223" s="256">
        <v>16.670000000000002</v>
      </c>
      <c r="V223" s="170">
        <f t="shared" si="136"/>
        <v>17.050909500000003</v>
      </c>
      <c r="W223" s="258">
        <v>0.2</v>
      </c>
      <c r="X223" s="257">
        <f t="shared" si="137"/>
        <v>20.004000000000001</v>
      </c>
      <c r="Y223" s="170">
        <f t="shared" si="138"/>
        <v>20.461091400000004</v>
      </c>
      <c r="Z223" s="170">
        <f t="shared" si="139"/>
        <v>21</v>
      </c>
      <c r="AA223" s="407">
        <f t="shared" si="140"/>
        <v>0</v>
      </c>
      <c r="AB223" s="194"/>
    </row>
    <row r="224" spans="1:28" s="278" customFormat="1" x14ac:dyDescent="0.25">
      <c r="A224" s="195" t="s">
        <v>14567</v>
      </c>
      <c r="B224" s="317" t="s">
        <v>14568</v>
      </c>
      <c r="C224" s="241"/>
      <c r="D224" s="242"/>
      <c r="E224" s="243"/>
      <c r="F224" s="244"/>
      <c r="G224" s="245"/>
      <c r="H224" s="246"/>
      <c r="I224" s="243"/>
      <c r="J224" s="244"/>
      <c r="K224" s="245"/>
      <c r="L224" s="246"/>
      <c r="M224" s="243"/>
      <c r="N224" s="244"/>
      <c r="O224" s="245"/>
      <c r="P224" s="246"/>
      <c r="Q224" s="243"/>
      <c r="R224" s="244"/>
      <c r="S224" s="245"/>
      <c r="T224" s="246"/>
      <c r="U224" s="246"/>
      <c r="V224" s="246"/>
      <c r="W224" s="246"/>
      <c r="X224" s="246"/>
      <c r="Y224" s="244"/>
      <c r="Z224" s="244"/>
      <c r="AA224" s="406"/>
      <c r="AB224" s="194"/>
    </row>
    <row r="225" spans="1:28" s="278" customFormat="1" x14ac:dyDescent="0.25">
      <c r="A225" s="200">
        <v>215010</v>
      </c>
      <c r="B225" s="313" t="s">
        <v>14</v>
      </c>
      <c r="C225" s="248"/>
      <c r="D225" s="247" t="s">
        <v>7</v>
      </c>
      <c r="E225" s="249">
        <f t="shared" ref="E225:F232" si="141">U225*G225</f>
        <v>1.125</v>
      </c>
      <c r="F225" s="170">
        <f t="shared" si="141"/>
        <v>1.1489625000000001</v>
      </c>
      <c r="G225" s="250">
        <v>0.45</v>
      </c>
      <c r="H225" s="171">
        <f t="shared" ref="H225:H232" si="142">G225</f>
        <v>0.45</v>
      </c>
      <c r="I225" s="249">
        <f t="shared" ref="I225:J232" si="143">U225*K225</f>
        <v>0.75</v>
      </c>
      <c r="J225" s="170">
        <f t="shared" si="143"/>
        <v>0.76597500000000007</v>
      </c>
      <c r="K225" s="250">
        <v>0.3</v>
      </c>
      <c r="L225" s="172">
        <f t="shared" ref="L225:L232" si="144">K225</f>
        <v>0.3</v>
      </c>
      <c r="M225" s="249">
        <f t="shared" ref="M225:M232" si="145">U225*O225</f>
        <v>0.5</v>
      </c>
      <c r="N225" s="170">
        <f t="shared" ref="N225:N232" si="146">P225*V225</f>
        <v>0.51065000000000005</v>
      </c>
      <c r="O225" s="250">
        <v>0.2</v>
      </c>
      <c r="P225" s="172">
        <f t="shared" ref="P225:P232" si="147">O225</f>
        <v>0.2</v>
      </c>
      <c r="Q225" s="251">
        <f t="shared" ref="Q225:Q232" si="148">U225*S225</f>
        <v>0.125</v>
      </c>
      <c r="R225" s="173">
        <f t="shared" ref="R225:R232" si="149">T225*V225</f>
        <v>0.12766250000000001</v>
      </c>
      <c r="S225" s="250">
        <v>0.05</v>
      </c>
      <c r="T225" s="171">
        <f t="shared" ref="T225:T232" si="150">S225</f>
        <v>0.05</v>
      </c>
      <c r="U225" s="256">
        <v>2.5</v>
      </c>
      <c r="V225" s="170">
        <f t="shared" ref="V225:V232" si="151">SUM(E225*1.0235,I225*1.0175,M225*1.0245,Q225*1.0115)</f>
        <v>2.5532500000000002</v>
      </c>
      <c r="W225" s="258">
        <v>0.2</v>
      </c>
      <c r="X225" s="257">
        <f t="shared" ref="X225:X232" si="152">U225+U225*W225</f>
        <v>3</v>
      </c>
      <c r="Y225" s="170">
        <f t="shared" ref="Y225:Y232" si="153">IF(V225*(W225+1)=0,X225,V225*(W225+1))</f>
        <v>3.0639000000000003</v>
      </c>
      <c r="Z225" s="170">
        <f t="shared" ref="Z225:Z232" si="154">IF(Y225=0, 0, IF(Y225&lt;10, _xlfn.CEILING.MATH(Y225,0.25), IF(Y225&lt;100, _xlfn.CEILING.MATH(Y225,1),IF(Y225&lt;1000, _xlfn.CEILING.MATH(Y225,5), IF(Y225&lt;10000, _xlfn.CEILING.MATH(Y225, 25), IF(Y225&lt;100000, _xlfn.CEILING.MATH(Y225,250), IF(Y225&lt;1000000, _xlfn.CEILING.MATH(Y225,500), 0)))))))</f>
        <v>3.25</v>
      </c>
      <c r="AA225" s="407">
        <f t="shared" ref="AA225:AA232" si="155">C225*Z225</f>
        <v>0</v>
      </c>
      <c r="AB225" s="194"/>
    </row>
    <row r="226" spans="1:28" s="278" customFormat="1" x14ac:dyDescent="0.25">
      <c r="A226" s="200">
        <v>215020</v>
      </c>
      <c r="B226" s="313" t="s">
        <v>19093</v>
      </c>
      <c r="C226" s="248"/>
      <c r="D226" s="247" t="s">
        <v>7</v>
      </c>
      <c r="E226" s="249">
        <f t="shared" si="141"/>
        <v>1.8765000000000001</v>
      </c>
      <c r="F226" s="170">
        <f t="shared" si="141"/>
        <v>1.9164694500000001</v>
      </c>
      <c r="G226" s="250">
        <v>0.45</v>
      </c>
      <c r="H226" s="171">
        <f t="shared" si="142"/>
        <v>0.45</v>
      </c>
      <c r="I226" s="249">
        <f t="shared" si="143"/>
        <v>1.2509999999999999</v>
      </c>
      <c r="J226" s="170">
        <f t="shared" si="143"/>
        <v>1.2776463</v>
      </c>
      <c r="K226" s="250">
        <v>0.3</v>
      </c>
      <c r="L226" s="172">
        <f t="shared" si="144"/>
        <v>0.3</v>
      </c>
      <c r="M226" s="249">
        <f t="shared" si="145"/>
        <v>0.83400000000000007</v>
      </c>
      <c r="N226" s="170">
        <f t="shared" si="146"/>
        <v>0.85176420000000008</v>
      </c>
      <c r="O226" s="250">
        <v>0.2</v>
      </c>
      <c r="P226" s="172">
        <f t="shared" si="147"/>
        <v>0.2</v>
      </c>
      <c r="Q226" s="251">
        <f t="shared" si="148"/>
        <v>0.20850000000000002</v>
      </c>
      <c r="R226" s="173">
        <f t="shared" si="149"/>
        <v>0.21294105000000002</v>
      </c>
      <c r="S226" s="250">
        <v>0.05</v>
      </c>
      <c r="T226" s="171">
        <f t="shared" si="150"/>
        <v>0.05</v>
      </c>
      <c r="U226" s="256">
        <v>4.17</v>
      </c>
      <c r="V226" s="170">
        <f t="shared" si="151"/>
        <v>4.2588210000000002</v>
      </c>
      <c r="W226" s="258">
        <v>0.2</v>
      </c>
      <c r="X226" s="257">
        <f t="shared" si="152"/>
        <v>5.0039999999999996</v>
      </c>
      <c r="Y226" s="170">
        <f t="shared" si="153"/>
        <v>5.1105852000000001</v>
      </c>
      <c r="Z226" s="170">
        <f t="shared" si="154"/>
        <v>5.25</v>
      </c>
      <c r="AA226" s="407">
        <f t="shared" si="155"/>
        <v>0</v>
      </c>
      <c r="AB226" s="194"/>
    </row>
    <row r="227" spans="1:28" s="278" customFormat="1" x14ac:dyDescent="0.25">
      <c r="A227" s="200">
        <v>215020</v>
      </c>
      <c r="B227" s="313" t="s">
        <v>19094</v>
      </c>
      <c r="C227" s="248"/>
      <c r="D227" s="247" t="s">
        <v>7</v>
      </c>
      <c r="E227" s="249">
        <f t="shared" si="141"/>
        <v>1.125</v>
      </c>
      <c r="F227" s="170">
        <f t="shared" si="141"/>
        <v>1.1489625000000001</v>
      </c>
      <c r="G227" s="250">
        <v>0.45</v>
      </c>
      <c r="H227" s="171">
        <f t="shared" si="142"/>
        <v>0.45</v>
      </c>
      <c r="I227" s="249">
        <f t="shared" si="143"/>
        <v>0.75</v>
      </c>
      <c r="J227" s="170">
        <f t="shared" si="143"/>
        <v>0.76597500000000007</v>
      </c>
      <c r="K227" s="250">
        <v>0.3</v>
      </c>
      <c r="L227" s="172">
        <f t="shared" si="144"/>
        <v>0.3</v>
      </c>
      <c r="M227" s="249">
        <f t="shared" si="145"/>
        <v>0.5</v>
      </c>
      <c r="N227" s="170">
        <f t="shared" si="146"/>
        <v>0.51065000000000005</v>
      </c>
      <c r="O227" s="250">
        <v>0.2</v>
      </c>
      <c r="P227" s="172">
        <f t="shared" si="147"/>
        <v>0.2</v>
      </c>
      <c r="Q227" s="251">
        <f t="shared" si="148"/>
        <v>0.125</v>
      </c>
      <c r="R227" s="173">
        <f t="shared" si="149"/>
        <v>0.12766250000000001</v>
      </c>
      <c r="S227" s="250">
        <v>0.05</v>
      </c>
      <c r="T227" s="171">
        <f t="shared" si="150"/>
        <v>0.05</v>
      </c>
      <c r="U227" s="256">
        <v>2.5</v>
      </c>
      <c r="V227" s="170">
        <f t="shared" si="151"/>
        <v>2.5532500000000002</v>
      </c>
      <c r="W227" s="258">
        <v>0.2</v>
      </c>
      <c r="X227" s="257">
        <f t="shared" si="152"/>
        <v>3</v>
      </c>
      <c r="Y227" s="170">
        <f t="shared" si="153"/>
        <v>3.0639000000000003</v>
      </c>
      <c r="Z227" s="170">
        <f t="shared" si="154"/>
        <v>3.25</v>
      </c>
      <c r="AA227" s="407">
        <f t="shared" si="155"/>
        <v>0</v>
      </c>
      <c r="AB227" s="194"/>
    </row>
    <row r="228" spans="1:28" s="278" customFormat="1" ht="21" x14ac:dyDescent="0.25">
      <c r="A228" s="200">
        <v>215030</v>
      </c>
      <c r="B228" s="255" t="s">
        <v>19095</v>
      </c>
      <c r="C228" s="248"/>
      <c r="D228" s="247" t="s">
        <v>7</v>
      </c>
      <c r="E228" s="249">
        <f t="shared" si="141"/>
        <v>2.6234999999999999</v>
      </c>
      <c r="F228" s="170">
        <f t="shared" si="141"/>
        <v>2.6793805500000003</v>
      </c>
      <c r="G228" s="250">
        <v>0.45</v>
      </c>
      <c r="H228" s="171">
        <f t="shared" si="142"/>
        <v>0.45</v>
      </c>
      <c r="I228" s="249">
        <f t="shared" si="143"/>
        <v>1.7489999999999999</v>
      </c>
      <c r="J228" s="170">
        <f t="shared" si="143"/>
        <v>1.7862537000000003</v>
      </c>
      <c r="K228" s="250">
        <v>0.3</v>
      </c>
      <c r="L228" s="172">
        <f t="shared" si="144"/>
        <v>0.3</v>
      </c>
      <c r="M228" s="249">
        <f t="shared" si="145"/>
        <v>1.1660000000000001</v>
      </c>
      <c r="N228" s="170">
        <f t="shared" si="146"/>
        <v>1.1908358000000001</v>
      </c>
      <c r="O228" s="250">
        <v>0.2</v>
      </c>
      <c r="P228" s="172">
        <f t="shared" si="147"/>
        <v>0.2</v>
      </c>
      <c r="Q228" s="251">
        <f t="shared" si="148"/>
        <v>0.29150000000000004</v>
      </c>
      <c r="R228" s="173">
        <f t="shared" si="149"/>
        <v>0.29770895000000003</v>
      </c>
      <c r="S228" s="250">
        <v>0.05</v>
      </c>
      <c r="T228" s="171">
        <f t="shared" si="150"/>
        <v>0.05</v>
      </c>
      <c r="U228" s="256">
        <v>5.83</v>
      </c>
      <c r="V228" s="170">
        <f t="shared" si="151"/>
        <v>5.9541790000000008</v>
      </c>
      <c r="W228" s="258">
        <v>0.2</v>
      </c>
      <c r="X228" s="257">
        <f t="shared" si="152"/>
        <v>6.9960000000000004</v>
      </c>
      <c r="Y228" s="170">
        <f t="shared" si="153"/>
        <v>7.1450148000000011</v>
      </c>
      <c r="Z228" s="170">
        <f t="shared" si="154"/>
        <v>7.25</v>
      </c>
      <c r="AA228" s="407">
        <f t="shared" si="155"/>
        <v>0</v>
      </c>
      <c r="AB228" s="194"/>
    </row>
    <row r="229" spans="1:28" s="278" customFormat="1" ht="21.6" thickBot="1" x14ac:dyDescent="0.3">
      <c r="A229" s="263">
        <v>215030</v>
      </c>
      <c r="B229" s="327" t="s">
        <v>19096</v>
      </c>
      <c r="C229" s="265"/>
      <c r="D229" s="264" t="s">
        <v>7</v>
      </c>
      <c r="E229" s="266">
        <f t="shared" si="141"/>
        <v>1.4985000000000002</v>
      </c>
      <c r="F229" s="174">
        <f t="shared" si="141"/>
        <v>1.5304180500000002</v>
      </c>
      <c r="G229" s="267">
        <v>0.45</v>
      </c>
      <c r="H229" s="268">
        <f t="shared" si="142"/>
        <v>0.45</v>
      </c>
      <c r="I229" s="266">
        <f t="shared" si="143"/>
        <v>0.999</v>
      </c>
      <c r="J229" s="174">
        <f t="shared" si="143"/>
        <v>1.0202787000000002</v>
      </c>
      <c r="K229" s="267">
        <v>0.3</v>
      </c>
      <c r="L229" s="269">
        <f t="shared" si="144"/>
        <v>0.3</v>
      </c>
      <c r="M229" s="266">
        <f t="shared" si="145"/>
        <v>0.66600000000000004</v>
      </c>
      <c r="N229" s="174">
        <f t="shared" si="146"/>
        <v>0.68018580000000017</v>
      </c>
      <c r="O229" s="267">
        <v>0.2</v>
      </c>
      <c r="P229" s="269">
        <f t="shared" si="147"/>
        <v>0.2</v>
      </c>
      <c r="Q229" s="270">
        <f t="shared" si="148"/>
        <v>0.16650000000000001</v>
      </c>
      <c r="R229" s="271">
        <f t="shared" si="149"/>
        <v>0.17004645000000004</v>
      </c>
      <c r="S229" s="267">
        <v>0.05</v>
      </c>
      <c r="T229" s="268">
        <f t="shared" si="150"/>
        <v>0.05</v>
      </c>
      <c r="U229" s="409">
        <v>3.33</v>
      </c>
      <c r="V229" s="174">
        <f t="shared" si="151"/>
        <v>3.4009290000000005</v>
      </c>
      <c r="W229" s="322">
        <v>0.2</v>
      </c>
      <c r="X229" s="274">
        <f t="shared" si="152"/>
        <v>3.996</v>
      </c>
      <c r="Y229" s="174">
        <f t="shared" si="153"/>
        <v>4.0811148000000008</v>
      </c>
      <c r="Z229" s="174">
        <f t="shared" si="154"/>
        <v>4.25</v>
      </c>
      <c r="AA229" s="410">
        <f t="shared" si="155"/>
        <v>0</v>
      </c>
      <c r="AB229" s="194"/>
    </row>
    <row r="230" spans="1:28" s="278" customFormat="1" ht="21" x14ac:dyDescent="0.25">
      <c r="A230" s="200">
        <v>215040</v>
      </c>
      <c r="B230" s="255" t="s">
        <v>19097</v>
      </c>
      <c r="C230" s="248"/>
      <c r="D230" s="247" t="s">
        <v>7</v>
      </c>
      <c r="E230" s="249">
        <f t="shared" si="141"/>
        <v>1.125</v>
      </c>
      <c r="F230" s="170">
        <f t="shared" si="141"/>
        <v>1.1489625000000001</v>
      </c>
      <c r="G230" s="250">
        <v>0.45</v>
      </c>
      <c r="H230" s="171">
        <f t="shared" si="142"/>
        <v>0.45</v>
      </c>
      <c r="I230" s="249">
        <f t="shared" si="143"/>
        <v>0.75</v>
      </c>
      <c r="J230" s="170">
        <f t="shared" si="143"/>
        <v>0.76597500000000007</v>
      </c>
      <c r="K230" s="250">
        <v>0.3</v>
      </c>
      <c r="L230" s="172">
        <f t="shared" si="144"/>
        <v>0.3</v>
      </c>
      <c r="M230" s="249">
        <f t="shared" si="145"/>
        <v>0.5</v>
      </c>
      <c r="N230" s="170">
        <f t="shared" si="146"/>
        <v>0.51065000000000005</v>
      </c>
      <c r="O230" s="250">
        <v>0.2</v>
      </c>
      <c r="P230" s="172">
        <f t="shared" si="147"/>
        <v>0.2</v>
      </c>
      <c r="Q230" s="251">
        <f t="shared" si="148"/>
        <v>0.125</v>
      </c>
      <c r="R230" s="173">
        <f t="shared" si="149"/>
        <v>0.12766250000000001</v>
      </c>
      <c r="S230" s="250">
        <v>0.05</v>
      </c>
      <c r="T230" s="171">
        <f t="shared" si="150"/>
        <v>0.05</v>
      </c>
      <c r="U230" s="256">
        <v>2.5</v>
      </c>
      <c r="V230" s="170">
        <f t="shared" si="151"/>
        <v>2.5532500000000002</v>
      </c>
      <c r="W230" s="258">
        <v>0.2</v>
      </c>
      <c r="X230" s="257">
        <f t="shared" si="152"/>
        <v>3</v>
      </c>
      <c r="Y230" s="170">
        <f t="shared" si="153"/>
        <v>3.0639000000000003</v>
      </c>
      <c r="Z230" s="170">
        <f t="shared" si="154"/>
        <v>3.25</v>
      </c>
      <c r="AA230" s="407">
        <f t="shared" si="155"/>
        <v>0</v>
      </c>
      <c r="AB230" s="194"/>
    </row>
    <row r="231" spans="1:28" s="278" customFormat="1" ht="21" x14ac:dyDescent="0.25">
      <c r="A231" s="200">
        <v>215040</v>
      </c>
      <c r="B231" s="255" t="s">
        <v>19098</v>
      </c>
      <c r="C231" s="248"/>
      <c r="D231" s="247" t="s">
        <v>7</v>
      </c>
      <c r="E231" s="249">
        <f t="shared" si="141"/>
        <v>0.58449999999999991</v>
      </c>
      <c r="F231" s="170">
        <f t="shared" si="141"/>
        <v>0.59700829999999994</v>
      </c>
      <c r="G231" s="250">
        <v>0.35</v>
      </c>
      <c r="H231" s="171">
        <f t="shared" si="142"/>
        <v>0.35</v>
      </c>
      <c r="I231" s="249">
        <f t="shared" si="143"/>
        <v>0.501</v>
      </c>
      <c r="J231" s="170">
        <f t="shared" si="143"/>
        <v>0.51172139999999999</v>
      </c>
      <c r="K231" s="250">
        <v>0.3</v>
      </c>
      <c r="L231" s="172">
        <f t="shared" si="144"/>
        <v>0.3</v>
      </c>
      <c r="M231" s="249">
        <f t="shared" si="145"/>
        <v>0.501</v>
      </c>
      <c r="N231" s="170">
        <f t="shared" si="146"/>
        <v>0.51172139999999999</v>
      </c>
      <c r="O231" s="250">
        <v>0.3</v>
      </c>
      <c r="P231" s="172">
        <f t="shared" si="147"/>
        <v>0.3</v>
      </c>
      <c r="Q231" s="251">
        <f t="shared" si="148"/>
        <v>8.3500000000000005E-2</v>
      </c>
      <c r="R231" s="173">
        <f t="shared" si="149"/>
        <v>8.5286899999999999E-2</v>
      </c>
      <c r="S231" s="250">
        <v>0.05</v>
      </c>
      <c r="T231" s="171">
        <f t="shared" si="150"/>
        <v>0.05</v>
      </c>
      <c r="U231" s="256">
        <v>1.67</v>
      </c>
      <c r="V231" s="170">
        <f t="shared" si="151"/>
        <v>1.705738</v>
      </c>
      <c r="W231" s="258">
        <v>0.2</v>
      </c>
      <c r="X231" s="257">
        <f t="shared" si="152"/>
        <v>2.004</v>
      </c>
      <c r="Y231" s="170">
        <f t="shared" si="153"/>
        <v>2.0468856</v>
      </c>
      <c r="Z231" s="170">
        <f t="shared" si="154"/>
        <v>2.25</v>
      </c>
      <c r="AA231" s="407">
        <f t="shared" si="155"/>
        <v>0</v>
      </c>
      <c r="AB231" s="194"/>
    </row>
    <row r="232" spans="1:28" s="278" customFormat="1" x14ac:dyDescent="0.25">
      <c r="A232" s="200">
        <v>215050</v>
      </c>
      <c r="B232" s="313" t="s">
        <v>19099</v>
      </c>
      <c r="C232" s="248"/>
      <c r="D232" s="247" t="s">
        <v>7</v>
      </c>
      <c r="E232" s="249">
        <f t="shared" si="141"/>
        <v>1.125</v>
      </c>
      <c r="F232" s="170">
        <f t="shared" si="141"/>
        <v>1.1489625000000001</v>
      </c>
      <c r="G232" s="250">
        <v>0.45</v>
      </c>
      <c r="H232" s="171">
        <f t="shared" si="142"/>
        <v>0.45</v>
      </c>
      <c r="I232" s="249">
        <f t="shared" si="143"/>
        <v>0.75</v>
      </c>
      <c r="J232" s="170">
        <f t="shared" si="143"/>
        <v>0.76597500000000007</v>
      </c>
      <c r="K232" s="250">
        <v>0.3</v>
      </c>
      <c r="L232" s="172">
        <f t="shared" si="144"/>
        <v>0.3</v>
      </c>
      <c r="M232" s="249">
        <f t="shared" si="145"/>
        <v>0.5</v>
      </c>
      <c r="N232" s="170">
        <f t="shared" si="146"/>
        <v>0.51065000000000005</v>
      </c>
      <c r="O232" s="250">
        <v>0.2</v>
      </c>
      <c r="P232" s="172">
        <f t="shared" si="147"/>
        <v>0.2</v>
      </c>
      <c r="Q232" s="251">
        <f t="shared" si="148"/>
        <v>0.125</v>
      </c>
      <c r="R232" s="173">
        <f t="shared" si="149"/>
        <v>0.12766250000000001</v>
      </c>
      <c r="S232" s="250">
        <v>0.05</v>
      </c>
      <c r="T232" s="171">
        <f t="shared" si="150"/>
        <v>0.05</v>
      </c>
      <c r="U232" s="256">
        <v>2.5</v>
      </c>
      <c r="V232" s="170">
        <f t="shared" si="151"/>
        <v>2.5532500000000002</v>
      </c>
      <c r="W232" s="258">
        <v>0.2</v>
      </c>
      <c r="X232" s="257">
        <f t="shared" si="152"/>
        <v>3</v>
      </c>
      <c r="Y232" s="170">
        <f t="shared" si="153"/>
        <v>3.0639000000000003</v>
      </c>
      <c r="Z232" s="170">
        <f t="shared" si="154"/>
        <v>3.25</v>
      </c>
      <c r="AA232" s="407">
        <f t="shared" si="155"/>
        <v>0</v>
      </c>
      <c r="AB232" s="194"/>
    </row>
    <row r="233" spans="1:28" s="278" customFormat="1" x14ac:dyDescent="0.25">
      <c r="A233" s="195" t="s">
        <v>14569</v>
      </c>
      <c r="B233" s="317" t="s">
        <v>14570</v>
      </c>
      <c r="C233" s="241"/>
      <c r="D233" s="242"/>
      <c r="E233" s="243"/>
      <c r="F233" s="244"/>
      <c r="G233" s="245"/>
      <c r="H233" s="246"/>
      <c r="I233" s="243"/>
      <c r="J233" s="244"/>
      <c r="K233" s="245"/>
      <c r="L233" s="246"/>
      <c r="M233" s="243"/>
      <c r="N233" s="244"/>
      <c r="O233" s="245"/>
      <c r="P233" s="246"/>
      <c r="Q233" s="243"/>
      <c r="R233" s="244"/>
      <c r="S233" s="245"/>
      <c r="T233" s="246"/>
      <c r="U233" s="246"/>
      <c r="V233" s="246"/>
      <c r="W233" s="246"/>
      <c r="X233" s="246"/>
      <c r="Y233" s="244"/>
      <c r="Z233" s="244"/>
      <c r="AA233" s="406"/>
      <c r="AB233" s="194"/>
    </row>
    <row r="234" spans="1:28" s="278" customFormat="1" ht="21" x14ac:dyDescent="0.25">
      <c r="A234" s="200">
        <v>216010</v>
      </c>
      <c r="B234" s="255" t="s">
        <v>19100</v>
      </c>
      <c r="C234" s="248"/>
      <c r="D234" s="247" t="s">
        <v>4</v>
      </c>
      <c r="E234" s="249">
        <f>U234*G234</f>
        <v>6400</v>
      </c>
      <c r="F234" s="170">
        <f>V234*H234</f>
        <v>6875.0400000000009</v>
      </c>
      <c r="G234" s="250">
        <v>0.5</v>
      </c>
      <c r="H234" s="171">
        <f>G234</f>
        <v>0.5</v>
      </c>
      <c r="I234" s="249">
        <f>U234*K234</f>
        <v>640</v>
      </c>
      <c r="J234" s="170">
        <f>V234*L234</f>
        <v>687.50400000000013</v>
      </c>
      <c r="K234" s="250">
        <v>0.05</v>
      </c>
      <c r="L234" s="172">
        <f>K234</f>
        <v>0.05</v>
      </c>
      <c r="M234" s="249">
        <f>U234*O234</f>
        <v>5760</v>
      </c>
      <c r="N234" s="170">
        <f>P234*V234</f>
        <v>6187.536000000001</v>
      </c>
      <c r="O234" s="250">
        <v>0.45</v>
      </c>
      <c r="P234" s="172">
        <f>O234</f>
        <v>0.45</v>
      </c>
      <c r="Q234" s="251">
        <f>U234*S234</f>
        <v>640</v>
      </c>
      <c r="R234" s="173">
        <f>T234*V234</f>
        <v>687.50400000000013</v>
      </c>
      <c r="S234" s="250">
        <v>0.05</v>
      </c>
      <c r="T234" s="171">
        <f>S234</f>
        <v>0.05</v>
      </c>
      <c r="U234" s="256">
        <v>12800</v>
      </c>
      <c r="V234" s="170">
        <f>SUM(E234*1.0235,I234*1.0175,M234*1.0245,Q234*1.0115)</f>
        <v>13750.080000000002</v>
      </c>
      <c r="W234" s="258">
        <v>0.25</v>
      </c>
      <c r="X234" s="257">
        <v>0</v>
      </c>
      <c r="Y234" s="170">
        <v>0</v>
      </c>
      <c r="Z234" s="170">
        <f>IF(Y234=0, 0, IF(Y234&lt;10, _xlfn.CEILING.MATH(Y234,1), IF(Y234&lt;100, _xlfn.CEILING.MATH(Y234,1),IF(Y234&lt;1000, _xlfn.CEILING.MATH(Y234,5), IF(Y234&lt;10000, _xlfn.CEILING.MATH(Y234, 25), IF(Y234&lt;100000, _xlfn.CEILING.MATH(Y234,250), IF(Y234&lt;1000000, _xlfn.CEILING.MATH(Y234,500), 0)))))))</f>
        <v>0</v>
      </c>
      <c r="AA234" s="407">
        <f>C234*Z234</f>
        <v>0</v>
      </c>
      <c r="AB234" s="194"/>
    </row>
    <row r="235" spans="1:28" s="278" customFormat="1" x14ac:dyDescent="0.25">
      <c r="A235" s="195" t="s">
        <v>14571</v>
      </c>
      <c r="B235" s="317" t="s">
        <v>14572</v>
      </c>
      <c r="C235" s="241"/>
      <c r="D235" s="242"/>
      <c r="E235" s="243"/>
      <c r="F235" s="244"/>
      <c r="G235" s="245"/>
      <c r="H235" s="246"/>
      <c r="I235" s="243"/>
      <c r="J235" s="244"/>
      <c r="K235" s="245"/>
      <c r="L235" s="246"/>
      <c r="M235" s="243"/>
      <c r="N235" s="244"/>
      <c r="O235" s="245"/>
      <c r="P235" s="246"/>
      <c r="Q235" s="243"/>
      <c r="R235" s="244"/>
      <c r="S235" s="245"/>
      <c r="T235" s="246"/>
      <c r="U235" s="246"/>
      <c r="V235" s="246"/>
      <c r="W235" s="246"/>
      <c r="X235" s="246"/>
      <c r="Y235" s="244"/>
      <c r="Z235" s="244"/>
      <c r="AA235" s="406"/>
      <c r="AB235" s="194"/>
    </row>
    <row r="236" spans="1:28" s="278" customFormat="1" x14ac:dyDescent="0.25">
      <c r="A236" s="200">
        <v>401001</v>
      </c>
      <c r="B236" s="313" t="s">
        <v>16065</v>
      </c>
      <c r="C236" s="248"/>
      <c r="D236" s="247" t="s">
        <v>12</v>
      </c>
      <c r="E236" s="249">
        <f t="shared" ref="E236:F266" si="156">U236*G236</f>
        <v>0</v>
      </c>
      <c r="F236" s="170">
        <f t="shared" si="156"/>
        <v>0</v>
      </c>
      <c r="G236" s="250"/>
      <c r="H236" s="171">
        <f t="shared" ref="H236:H266" si="157">G236</f>
        <v>0</v>
      </c>
      <c r="I236" s="249">
        <f t="shared" ref="I236:J266" si="158">U236*K236</f>
        <v>33.294499999999999</v>
      </c>
      <c r="J236" s="170">
        <f t="shared" si="158"/>
        <v>33.847188700000004</v>
      </c>
      <c r="K236" s="252">
        <v>0.85</v>
      </c>
      <c r="L236" s="172">
        <f t="shared" ref="L236:L266" si="159">K236</f>
        <v>0.85</v>
      </c>
      <c r="M236" s="249">
        <f t="shared" ref="M236:M266" si="160">U236*O236</f>
        <v>0</v>
      </c>
      <c r="N236" s="170">
        <f t="shared" ref="N236:N266" si="161">P236*V236</f>
        <v>0</v>
      </c>
      <c r="O236" s="250"/>
      <c r="P236" s="172">
        <f t="shared" ref="P236:P266" si="162">O236</f>
        <v>0</v>
      </c>
      <c r="Q236" s="251">
        <f t="shared" ref="Q236:Q266" si="163">U236*S236</f>
        <v>5.8754999999999997</v>
      </c>
      <c r="R236" s="173">
        <f t="shared" ref="R236:R266" si="164">T236*V236</f>
        <v>5.9730333000000009</v>
      </c>
      <c r="S236" s="250">
        <v>0.15</v>
      </c>
      <c r="T236" s="171">
        <f t="shared" ref="T236:T266" si="165">S236</f>
        <v>0.15</v>
      </c>
      <c r="U236" s="256">
        <v>39.17</v>
      </c>
      <c r="V236" s="170">
        <f>SUM(E236*1.0235,I236*1.0175,M236*1.0245,Q236*1.0115)</f>
        <v>39.820222000000008</v>
      </c>
      <c r="W236" s="258">
        <v>0.2</v>
      </c>
      <c r="X236" s="257">
        <f>U236+U236*W236</f>
        <v>47.004000000000005</v>
      </c>
      <c r="Y236" s="170">
        <f t="shared" ref="Y236:Y266" si="166">IF(V236*(W236+1)=0,X236,V236*(W236+1))</f>
        <v>47.784266400000007</v>
      </c>
      <c r="Z236" s="170">
        <f t="shared" ref="Z236:Z266" si="167">IF(Y236=0, 0, IF(Y236&lt;10, _xlfn.CEILING.MATH(Y236,1), IF(Y236&lt;100, _xlfn.CEILING.MATH(Y236,1),IF(Y236&lt;1000, _xlfn.CEILING.MATH(Y236,5), IF(Y236&lt;10000, _xlfn.CEILING.MATH(Y236, 25), IF(Y236&lt;100000, _xlfn.CEILING.MATH(Y236,250), IF(Y236&lt;1000000, _xlfn.CEILING.MATH(Y236,500), 0)))))))</f>
        <v>48</v>
      </c>
      <c r="AA236" s="407">
        <f t="shared" ref="AA236:AA266" si="168">C236*Z236</f>
        <v>0</v>
      </c>
      <c r="AB236" s="194"/>
    </row>
    <row r="237" spans="1:28" s="278" customFormat="1" x14ac:dyDescent="0.25">
      <c r="A237" s="200">
        <v>401001</v>
      </c>
      <c r="B237" s="313" t="s">
        <v>16066</v>
      </c>
      <c r="C237" s="248"/>
      <c r="D237" s="247" t="s">
        <v>12</v>
      </c>
      <c r="E237" s="249">
        <f t="shared" si="156"/>
        <v>0</v>
      </c>
      <c r="F237" s="170">
        <f t="shared" si="156"/>
        <v>0</v>
      </c>
      <c r="G237" s="250"/>
      <c r="H237" s="171">
        <f t="shared" si="157"/>
        <v>0</v>
      </c>
      <c r="I237" s="249">
        <f t="shared" si="158"/>
        <v>29.75</v>
      </c>
      <c r="J237" s="170">
        <f t="shared" si="158"/>
        <v>31.166666666666671</v>
      </c>
      <c r="K237" s="252">
        <v>0.85</v>
      </c>
      <c r="L237" s="172">
        <f t="shared" si="159"/>
        <v>0.85</v>
      </c>
      <c r="M237" s="249">
        <f t="shared" si="160"/>
        <v>0</v>
      </c>
      <c r="N237" s="170">
        <f t="shared" si="161"/>
        <v>0</v>
      </c>
      <c r="O237" s="250"/>
      <c r="P237" s="172">
        <f t="shared" si="162"/>
        <v>0</v>
      </c>
      <c r="Q237" s="251">
        <f t="shared" si="163"/>
        <v>5.25</v>
      </c>
      <c r="R237" s="173">
        <f t="shared" si="164"/>
        <v>5.5000000000000009</v>
      </c>
      <c r="S237" s="250">
        <v>0.15</v>
      </c>
      <c r="T237" s="171">
        <f t="shared" si="165"/>
        <v>0.15</v>
      </c>
      <c r="U237" s="256">
        <f>42/1.2</f>
        <v>35</v>
      </c>
      <c r="V237" s="170">
        <f>44/1.2</f>
        <v>36.666666666666671</v>
      </c>
      <c r="W237" s="258">
        <v>0.2</v>
      </c>
      <c r="X237" s="257">
        <v>42</v>
      </c>
      <c r="Y237" s="170">
        <f t="shared" si="166"/>
        <v>44.000000000000007</v>
      </c>
      <c r="Z237" s="170">
        <f t="shared" si="167"/>
        <v>44</v>
      </c>
      <c r="AA237" s="407">
        <f t="shared" si="168"/>
        <v>0</v>
      </c>
      <c r="AB237" s="194"/>
    </row>
    <row r="238" spans="1:28" s="278" customFormat="1" x14ac:dyDescent="0.25">
      <c r="A238" s="200">
        <v>401002</v>
      </c>
      <c r="B238" s="313" t="s">
        <v>19101</v>
      </c>
      <c r="C238" s="248"/>
      <c r="D238" s="247" t="s">
        <v>12</v>
      </c>
      <c r="E238" s="249">
        <f t="shared" si="156"/>
        <v>0</v>
      </c>
      <c r="F238" s="170">
        <f t="shared" si="156"/>
        <v>0</v>
      </c>
      <c r="G238" s="250"/>
      <c r="H238" s="171">
        <f t="shared" si="157"/>
        <v>0</v>
      </c>
      <c r="I238" s="249">
        <f t="shared" si="158"/>
        <v>42.5</v>
      </c>
      <c r="J238" s="170">
        <f t="shared" si="158"/>
        <v>49.583333333333336</v>
      </c>
      <c r="K238" s="252">
        <v>0.85</v>
      </c>
      <c r="L238" s="172">
        <f t="shared" si="159"/>
        <v>0.85</v>
      </c>
      <c r="M238" s="249">
        <f t="shared" si="160"/>
        <v>0</v>
      </c>
      <c r="N238" s="170">
        <f t="shared" si="161"/>
        <v>0</v>
      </c>
      <c r="O238" s="250"/>
      <c r="P238" s="172">
        <f t="shared" si="162"/>
        <v>0</v>
      </c>
      <c r="Q238" s="251">
        <f t="shared" si="163"/>
        <v>7.5</v>
      </c>
      <c r="R238" s="173">
        <f t="shared" si="164"/>
        <v>8.75</v>
      </c>
      <c r="S238" s="250">
        <v>0.15</v>
      </c>
      <c r="T238" s="171">
        <f t="shared" si="165"/>
        <v>0.15</v>
      </c>
      <c r="U238" s="256">
        <v>50</v>
      </c>
      <c r="V238" s="170">
        <f>70/1.2</f>
        <v>58.333333333333336</v>
      </c>
      <c r="W238" s="258">
        <v>0.2</v>
      </c>
      <c r="X238" s="257">
        <f>U238+U238*W238</f>
        <v>60</v>
      </c>
      <c r="Y238" s="170">
        <f t="shared" si="166"/>
        <v>70</v>
      </c>
      <c r="Z238" s="170">
        <f t="shared" si="167"/>
        <v>70</v>
      </c>
      <c r="AA238" s="407">
        <f t="shared" si="168"/>
        <v>0</v>
      </c>
      <c r="AB238" s="194"/>
    </row>
    <row r="239" spans="1:28" s="278" customFormat="1" x14ac:dyDescent="0.25">
      <c r="A239" s="200">
        <v>401002</v>
      </c>
      <c r="B239" s="313" t="s">
        <v>19102</v>
      </c>
      <c r="C239" s="248"/>
      <c r="D239" s="247" t="s">
        <v>12</v>
      </c>
      <c r="E239" s="249">
        <f t="shared" si="156"/>
        <v>0</v>
      </c>
      <c r="F239" s="170">
        <f t="shared" si="156"/>
        <v>0</v>
      </c>
      <c r="G239" s="250"/>
      <c r="H239" s="171">
        <f t="shared" si="157"/>
        <v>0</v>
      </c>
      <c r="I239" s="249">
        <f t="shared" si="158"/>
        <v>34</v>
      </c>
      <c r="J239" s="170">
        <f t="shared" si="158"/>
        <v>28.333333333333336</v>
      </c>
      <c r="K239" s="252">
        <v>0.85</v>
      </c>
      <c r="L239" s="172">
        <f t="shared" si="159"/>
        <v>0.85</v>
      </c>
      <c r="M239" s="249">
        <f t="shared" si="160"/>
        <v>0</v>
      </c>
      <c r="N239" s="170">
        <f t="shared" si="161"/>
        <v>0</v>
      </c>
      <c r="O239" s="250"/>
      <c r="P239" s="172">
        <f t="shared" si="162"/>
        <v>0</v>
      </c>
      <c r="Q239" s="251">
        <f t="shared" si="163"/>
        <v>6</v>
      </c>
      <c r="R239" s="173">
        <f t="shared" si="164"/>
        <v>5</v>
      </c>
      <c r="S239" s="250">
        <v>0.15</v>
      </c>
      <c r="T239" s="171">
        <f t="shared" si="165"/>
        <v>0.15</v>
      </c>
      <c r="U239" s="256">
        <v>40</v>
      </c>
      <c r="V239" s="170">
        <f>40/1.2</f>
        <v>33.333333333333336</v>
      </c>
      <c r="W239" s="258">
        <v>0.2</v>
      </c>
      <c r="X239" s="257">
        <f>U239+U239*W239</f>
        <v>48</v>
      </c>
      <c r="Y239" s="170">
        <f t="shared" si="166"/>
        <v>40</v>
      </c>
      <c r="Z239" s="170">
        <f t="shared" si="167"/>
        <v>40</v>
      </c>
      <c r="AA239" s="407">
        <f t="shared" si="168"/>
        <v>0</v>
      </c>
      <c r="AB239" s="194"/>
    </row>
    <row r="240" spans="1:28" s="278" customFormat="1" x14ac:dyDescent="0.25">
      <c r="A240" s="200">
        <v>401004</v>
      </c>
      <c r="B240" s="313" t="s">
        <v>16067</v>
      </c>
      <c r="C240" s="248"/>
      <c r="D240" s="247" t="s">
        <v>12</v>
      </c>
      <c r="E240" s="249">
        <f t="shared" si="156"/>
        <v>0</v>
      </c>
      <c r="F240" s="170">
        <f t="shared" si="156"/>
        <v>0</v>
      </c>
      <c r="G240" s="250"/>
      <c r="H240" s="171">
        <f t="shared" si="157"/>
        <v>0</v>
      </c>
      <c r="I240" s="249">
        <f t="shared" si="158"/>
        <v>26.205499999999997</v>
      </c>
      <c r="J240" s="170">
        <f t="shared" si="158"/>
        <v>26.640511299999996</v>
      </c>
      <c r="K240" s="252">
        <v>0.85</v>
      </c>
      <c r="L240" s="172">
        <f t="shared" si="159"/>
        <v>0.85</v>
      </c>
      <c r="M240" s="249">
        <f t="shared" si="160"/>
        <v>0</v>
      </c>
      <c r="N240" s="170">
        <f t="shared" si="161"/>
        <v>0</v>
      </c>
      <c r="O240" s="250"/>
      <c r="P240" s="172">
        <f t="shared" si="162"/>
        <v>0</v>
      </c>
      <c r="Q240" s="251">
        <f t="shared" si="163"/>
        <v>4.6244999999999994</v>
      </c>
      <c r="R240" s="173">
        <f t="shared" si="164"/>
        <v>4.7012666999999997</v>
      </c>
      <c r="S240" s="250">
        <v>0.15</v>
      </c>
      <c r="T240" s="171">
        <f t="shared" si="165"/>
        <v>0.15</v>
      </c>
      <c r="U240" s="256">
        <v>30.83</v>
      </c>
      <c r="V240" s="170">
        <f>SUM(E240*1.0235,I240*1.0175,M240*1.0245,Q240*1.0115)</f>
        <v>31.341777999999998</v>
      </c>
      <c r="W240" s="258">
        <v>0.2</v>
      </c>
      <c r="X240" s="257">
        <f>U240+U240*W240</f>
        <v>36.995999999999995</v>
      </c>
      <c r="Y240" s="170">
        <f t="shared" si="166"/>
        <v>37.610133599999998</v>
      </c>
      <c r="Z240" s="170">
        <f t="shared" si="167"/>
        <v>38</v>
      </c>
      <c r="AA240" s="407">
        <f t="shared" si="168"/>
        <v>0</v>
      </c>
      <c r="AB240" s="194"/>
    </row>
    <row r="241" spans="1:28" s="278" customFormat="1" x14ac:dyDescent="0.25">
      <c r="A241" s="200">
        <v>401004</v>
      </c>
      <c r="B241" s="313" t="s">
        <v>16068</v>
      </c>
      <c r="C241" s="248"/>
      <c r="D241" s="247" t="s">
        <v>12</v>
      </c>
      <c r="E241" s="249">
        <f t="shared" si="156"/>
        <v>0</v>
      </c>
      <c r="F241" s="170">
        <f t="shared" si="156"/>
        <v>0</v>
      </c>
      <c r="G241" s="250"/>
      <c r="H241" s="171">
        <f t="shared" si="157"/>
        <v>0</v>
      </c>
      <c r="I241" s="249">
        <f t="shared" si="158"/>
        <v>24.083333333333336</v>
      </c>
      <c r="J241" s="170">
        <f t="shared" si="158"/>
        <v>25.5</v>
      </c>
      <c r="K241" s="252">
        <v>0.85</v>
      </c>
      <c r="L241" s="172">
        <f t="shared" si="159"/>
        <v>0.85</v>
      </c>
      <c r="M241" s="249">
        <f t="shared" si="160"/>
        <v>0</v>
      </c>
      <c r="N241" s="170">
        <f t="shared" si="161"/>
        <v>0</v>
      </c>
      <c r="O241" s="250"/>
      <c r="P241" s="172">
        <f t="shared" si="162"/>
        <v>0</v>
      </c>
      <c r="Q241" s="251">
        <f t="shared" si="163"/>
        <v>4.25</v>
      </c>
      <c r="R241" s="173">
        <f t="shared" si="164"/>
        <v>4.5</v>
      </c>
      <c r="S241" s="250">
        <v>0.15</v>
      </c>
      <c r="T241" s="171">
        <f t="shared" si="165"/>
        <v>0.15</v>
      </c>
      <c r="U241" s="256">
        <f>34/1.2</f>
        <v>28.333333333333336</v>
      </c>
      <c r="V241" s="170">
        <f>36/1.2</f>
        <v>30</v>
      </c>
      <c r="W241" s="258">
        <v>0.2</v>
      </c>
      <c r="X241" s="257">
        <v>34</v>
      </c>
      <c r="Y241" s="170">
        <f t="shared" si="166"/>
        <v>36</v>
      </c>
      <c r="Z241" s="170">
        <f t="shared" si="167"/>
        <v>36</v>
      </c>
      <c r="AA241" s="407">
        <f t="shared" si="168"/>
        <v>0</v>
      </c>
      <c r="AB241" s="194"/>
    </row>
    <row r="242" spans="1:28" s="278" customFormat="1" x14ac:dyDescent="0.25">
      <c r="A242" s="200">
        <v>401010</v>
      </c>
      <c r="B242" s="313" t="s">
        <v>16069</v>
      </c>
      <c r="C242" s="248"/>
      <c r="D242" s="247" t="s">
        <v>12</v>
      </c>
      <c r="E242" s="249">
        <f t="shared" si="156"/>
        <v>0</v>
      </c>
      <c r="F242" s="170">
        <f t="shared" si="156"/>
        <v>0</v>
      </c>
      <c r="G242" s="250"/>
      <c r="H242" s="171">
        <f t="shared" si="157"/>
        <v>0</v>
      </c>
      <c r="I242" s="249">
        <f t="shared" si="158"/>
        <v>34</v>
      </c>
      <c r="J242" s="170">
        <f t="shared" si="158"/>
        <v>34.564399999999999</v>
      </c>
      <c r="K242" s="252">
        <v>0.85</v>
      </c>
      <c r="L242" s="172">
        <f t="shared" si="159"/>
        <v>0.85</v>
      </c>
      <c r="M242" s="249">
        <f t="shared" si="160"/>
        <v>0</v>
      </c>
      <c r="N242" s="170">
        <f t="shared" si="161"/>
        <v>0</v>
      </c>
      <c r="O242" s="250"/>
      <c r="P242" s="172">
        <f t="shared" si="162"/>
        <v>0</v>
      </c>
      <c r="Q242" s="251">
        <f t="shared" si="163"/>
        <v>6</v>
      </c>
      <c r="R242" s="173">
        <f t="shared" si="164"/>
        <v>6.0995999999999997</v>
      </c>
      <c r="S242" s="250">
        <v>0.15</v>
      </c>
      <c r="T242" s="171">
        <f t="shared" si="165"/>
        <v>0.15</v>
      </c>
      <c r="U242" s="256">
        <v>40</v>
      </c>
      <c r="V242" s="170">
        <f>SUM(E242*1.0235,I242*1.0175,M242*1.0245,Q242*1.0115)</f>
        <v>40.664000000000001</v>
      </c>
      <c r="W242" s="258">
        <v>0.2</v>
      </c>
      <c r="X242" s="257">
        <f>U242+U242*W242</f>
        <v>48</v>
      </c>
      <c r="Y242" s="170">
        <f t="shared" si="166"/>
        <v>48.796799999999998</v>
      </c>
      <c r="Z242" s="170">
        <f t="shared" si="167"/>
        <v>49</v>
      </c>
      <c r="AA242" s="407">
        <f t="shared" si="168"/>
        <v>0</v>
      </c>
      <c r="AB242" s="194"/>
    </row>
    <row r="243" spans="1:28" s="278" customFormat="1" x14ac:dyDescent="0.25">
      <c r="A243" s="200">
        <v>401010</v>
      </c>
      <c r="B243" s="313" t="s">
        <v>16070</v>
      </c>
      <c r="C243" s="248"/>
      <c r="D243" s="247" t="s">
        <v>12</v>
      </c>
      <c r="E243" s="249">
        <f t="shared" si="156"/>
        <v>0</v>
      </c>
      <c r="F243" s="170">
        <f t="shared" si="156"/>
        <v>0</v>
      </c>
      <c r="G243" s="250"/>
      <c r="H243" s="171">
        <f t="shared" si="157"/>
        <v>0</v>
      </c>
      <c r="I243" s="249">
        <f t="shared" si="158"/>
        <v>31.166666666666671</v>
      </c>
      <c r="J243" s="170">
        <f t="shared" si="158"/>
        <v>32.583333333333336</v>
      </c>
      <c r="K243" s="252">
        <v>0.85</v>
      </c>
      <c r="L243" s="172">
        <f t="shared" si="159"/>
        <v>0.85</v>
      </c>
      <c r="M243" s="249">
        <f t="shared" si="160"/>
        <v>0</v>
      </c>
      <c r="N243" s="170">
        <f t="shared" si="161"/>
        <v>0</v>
      </c>
      <c r="O243" s="250"/>
      <c r="P243" s="172">
        <f t="shared" si="162"/>
        <v>0</v>
      </c>
      <c r="Q243" s="251">
        <f t="shared" si="163"/>
        <v>5.5000000000000009</v>
      </c>
      <c r="R243" s="173">
        <f t="shared" si="164"/>
        <v>5.75</v>
      </c>
      <c r="S243" s="250">
        <v>0.15</v>
      </c>
      <c r="T243" s="171">
        <f t="shared" si="165"/>
        <v>0.15</v>
      </c>
      <c r="U243" s="256">
        <f>44/1.2</f>
        <v>36.666666666666671</v>
      </c>
      <c r="V243" s="170">
        <f>46/1.2</f>
        <v>38.333333333333336</v>
      </c>
      <c r="W243" s="258">
        <v>0.2</v>
      </c>
      <c r="X243" s="257">
        <v>44</v>
      </c>
      <c r="Y243" s="170">
        <f t="shared" si="166"/>
        <v>46</v>
      </c>
      <c r="Z243" s="170">
        <f t="shared" si="167"/>
        <v>46</v>
      </c>
      <c r="AA243" s="407">
        <f t="shared" si="168"/>
        <v>0</v>
      </c>
      <c r="AB243" s="194"/>
    </row>
    <row r="244" spans="1:28" s="278" customFormat="1" x14ac:dyDescent="0.25">
      <c r="A244" s="200">
        <v>401011</v>
      </c>
      <c r="B244" s="313" t="s">
        <v>16071</v>
      </c>
      <c r="C244" s="248"/>
      <c r="D244" s="247" t="s">
        <v>12</v>
      </c>
      <c r="E244" s="249">
        <f t="shared" si="156"/>
        <v>0</v>
      </c>
      <c r="F244" s="170">
        <f t="shared" si="156"/>
        <v>0</v>
      </c>
      <c r="G244" s="250"/>
      <c r="H244" s="171">
        <f t="shared" si="157"/>
        <v>0</v>
      </c>
      <c r="I244" s="249">
        <f t="shared" si="158"/>
        <v>26.205499999999997</v>
      </c>
      <c r="J244" s="170">
        <f t="shared" si="158"/>
        <v>26.640511299999996</v>
      </c>
      <c r="K244" s="252">
        <v>0.85</v>
      </c>
      <c r="L244" s="172">
        <f t="shared" si="159"/>
        <v>0.85</v>
      </c>
      <c r="M244" s="249">
        <f t="shared" si="160"/>
        <v>0</v>
      </c>
      <c r="N244" s="170">
        <f t="shared" si="161"/>
        <v>0</v>
      </c>
      <c r="O244" s="250"/>
      <c r="P244" s="172">
        <f t="shared" si="162"/>
        <v>0</v>
      </c>
      <c r="Q244" s="251">
        <f t="shared" si="163"/>
        <v>4.6244999999999994</v>
      </c>
      <c r="R244" s="173">
        <f t="shared" si="164"/>
        <v>4.7012666999999997</v>
      </c>
      <c r="S244" s="250">
        <v>0.15</v>
      </c>
      <c r="T244" s="171">
        <f t="shared" si="165"/>
        <v>0.15</v>
      </c>
      <c r="U244" s="256">
        <v>30.83</v>
      </c>
      <c r="V244" s="170">
        <f>SUM(E244*1.0235,I244*1.0175,M244*1.0245,Q244*1.0115)</f>
        <v>31.341777999999998</v>
      </c>
      <c r="W244" s="258">
        <v>0.2</v>
      </c>
      <c r="X244" s="257">
        <f>U244+U244*W244</f>
        <v>36.995999999999995</v>
      </c>
      <c r="Y244" s="170">
        <f t="shared" si="166"/>
        <v>37.610133599999998</v>
      </c>
      <c r="Z244" s="170">
        <f t="shared" si="167"/>
        <v>38</v>
      </c>
      <c r="AA244" s="407">
        <f t="shared" si="168"/>
        <v>0</v>
      </c>
      <c r="AB244" s="194"/>
    </row>
    <row r="245" spans="1:28" s="278" customFormat="1" x14ac:dyDescent="0.25">
      <c r="A245" s="200">
        <v>401011</v>
      </c>
      <c r="B245" s="313" t="s">
        <v>16072</v>
      </c>
      <c r="C245" s="248"/>
      <c r="D245" s="247" t="s">
        <v>12</v>
      </c>
      <c r="E245" s="249">
        <f t="shared" si="156"/>
        <v>0</v>
      </c>
      <c r="F245" s="170">
        <f t="shared" si="156"/>
        <v>0</v>
      </c>
      <c r="G245" s="250"/>
      <c r="H245" s="171">
        <f t="shared" si="157"/>
        <v>0</v>
      </c>
      <c r="I245" s="249">
        <f t="shared" si="158"/>
        <v>24.083333333333336</v>
      </c>
      <c r="J245" s="170">
        <f t="shared" si="158"/>
        <v>25.5</v>
      </c>
      <c r="K245" s="252">
        <v>0.85</v>
      </c>
      <c r="L245" s="172">
        <f t="shared" si="159"/>
        <v>0.85</v>
      </c>
      <c r="M245" s="249">
        <f t="shared" si="160"/>
        <v>0</v>
      </c>
      <c r="N245" s="170">
        <f t="shared" si="161"/>
        <v>0</v>
      </c>
      <c r="O245" s="250"/>
      <c r="P245" s="172">
        <f t="shared" si="162"/>
        <v>0</v>
      </c>
      <c r="Q245" s="251">
        <f t="shared" si="163"/>
        <v>4.25</v>
      </c>
      <c r="R245" s="173">
        <f t="shared" si="164"/>
        <v>4.5</v>
      </c>
      <c r="S245" s="250">
        <v>0.15</v>
      </c>
      <c r="T245" s="171">
        <f t="shared" si="165"/>
        <v>0.15</v>
      </c>
      <c r="U245" s="256">
        <f>34/1.2</f>
        <v>28.333333333333336</v>
      </c>
      <c r="V245" s="170">
        <f>36/1.2</f>
        <v>30</v>
      </c>
      <c r="W245" s="258">
        <v>0.2</v>
      </c>
      <c r="X245" s="257">
        <v>34</v>
      </c>
      <c r="Y245" s="170">
        <f t="shared" si="166"/>
        <v>36</v>
      </c>
      <c r="Z245" s="170">
        <f t="shared" si="167"/>
        <v>36</v>
      </c>
      <c r="AA245" s="407">
        <f t="shared" si="168"/>
        <v>0</v>
      </c>
      <c r="AB245" s="194"/>
    </row>
    <row r="246" spans="1:28" s="278" customFormat="1" x14ac:dyDescent="0.25">
      <c r="A246" s="200">
        <v>401013</v>
      </c>
      <c r="B246" s="313" t="s">
        <v>16073</v>
      </c>
      <c r="C246" s="248"/>
      <c r="D246" s="247" t="s">
        <v>12</v>
      </c>
      <c r="E246" s="249">
        <f t="shared" si="156"/>
        <v>0</v>
      </c>
      <c r="F246" s="170">
        <f t="shared" si="156"/>
        <v>0</v>
      </c>
      <c r="G246" s="250"/>
      <c r="H246" s="171">
        <f t="shared" si="157"/>
        <v>0</v>
      </c>
      <c r="I246" s="249">
        <f t="shared" si="158"/>
        <v>35.416694999999997</v>
      </c>
      <c r="J246" s="170">
        <f t="shared" si="158"/>
        <v>36.004612137000002</v>
      </c>
      <c r="K246" s="252">
        <v>0.85</v>
      </c>
      <c r="L246" s="172">
        <f t="shared" si="159"/>
        <v>0.85</v>
      </c>
      <c r="M246" s="249">
        <f t="shared" si="160"/>
        <v>0</v>
      </c>
      <c r="N246" s="170">
        <f t="shared" si="161"/>
        <v>0</v>
      </c>
      <c r="O246" s="250"/>
      <c r="P246" s="172">
        <f t="shared" si="162"/>
        <v>0</v>
      </c>
      <c r="Q246" s="251">
        <f t="shared" si="163"/>
        <v>6.2500049999999998</v>
      </c>
      <c r="R246" s="173">
        <f t="shared" si="164"/>
        <v>6.3537550830000002</v>
      </c>
      <c r="S246" s="250">
        <v>0.15</v>
      </c>
      <c r="T246" s="171">
        <f t="shared" si="165"/>
        <v>0.15</v>
      </c>
      <c r="U246" s="256">
        <v>41.666699999999999</v>
      </c>
      <c r="V246" s="170">
        <f>SUM(E246*1.0235,I246*1.0175,M246*1.0245,Q246*1.0115)</f>
        <v>42.358367220000005</v>
      </c>
      <c r="W246" s="258">
        <v>0.2</v>
      </c>
      <c r="X246" s="257">
        <f>U246+U246*W246</f>
        <v>50.000039999999998</v>
      </c>
      <c r="Y246" s="170">
        <f t="shared" si="166"/>
        <v>50.830040664000002</v>
      </c>
      <c r="Z246" s="170">
        <f t="shared" si="167"/>
        <v>51</v>
      </c>
      <c r="AA246" s="407">
        <f t="shared" si="168"/>
        <v>0</v>
      </c>
      <c r="AB246" s="194"/>
    </row>
    <row r="247" spans="1:28" s="278" customFormat="1" x14ac:dyDescent="0.25">
      <c r="A247" s="200">
        <v>401013</v>
      </c>
      <c r="B247" s="313" t="s">
        <v>16074</v>
      </c>
      <c r="C247" s="248"/>
      <c r="D247" s="247" t="s">
        <v>12</v>
      </c>
      <c r="E247" s="249">
        <f t="shared" si="156"/>
        <v>0</v>
      </c>
      <c r="F247" s="170">
        <f t="shared" si="156"/>
        <v>0</v>
      </c>
      <c r="G247" s="250"/>
      <c r="H247" s="171">
        <f t="shared" si="157"/>
        <v>0</v>
      </c>
      <c r="I247" s="249">
        <f t="shared" si="158"/>
        <v>26.916666666666668</v>
      </c>
      <c r="J247" s="170">
        <f t="shared" si="158"/>
        <v>28.333333333333336</v>
      </c>
      <c r="K247" s="252">
        <v>0.85</v>
      </c>
      <c r="L247" s="172">
        <f t="shared" si="159"/>
        <v>0.85</v>
      </c>
      <c r="M247" s="249">
        <f t="shared" si="160"/>
        <v>0</v>
      </c>
      <c r="N247" s="170">
        <f t="shared" si="161"/>
        <v>0</v>
      </c>
      <c r="O247" s="250"/>
      <c r="P247" s="172">
        <f t="shared" si="162"/>
        <v>0</v>
      </c>
      <c r="Q247" s="251">
        <f t="shared" si="163"/>
        <v>4.75</v>
      </c>
      <c r="R247" s="173">
        <f t="shared" si="164"/>
        <v>5</v>
      </c>
      <c r="S247" s="250">
        <v>0.15</v>
      </c>
      <c r="T247" s="171">
        <f t="shared" si="165"/>
        <v>0.15</v>
      </c>
      <c r="U247" s="256">
        <f>38/1.2</f>
        <v>31.666666666666668</v>
      </c>
      <c r="V247" s="170">
        <f>40/1.2</f>
        <v>33.333333333333336</v>
      </c>
      <c r="W247" s="258">
        <v>0.2</v>
      </c>
      <c r="X247" s="257">
        <v>38</v>
      </c>
      <c r="Y247" s="170">
        <f t="shared" si="166"/>
        <v>40</v>
      </c>
      <c r="Z247" s="170">
        <f t="shared" si="167"/>
        <v>40</v>
      </c>
      <c r="AA247" s="407">
        <f t="shared" si="168"/>
        <v>0</v>
      </c>
      <c r="AB247" s="194"/>
    </row>
    <row r="248" spans="1:28" s="278" customFormat="1" x14ac:dyDescent="0.25">
      <c r="A248" s="200">
        <v>401014</v>
      </c>
      <c r="B248" s="313" t="s">
        <v>16075</v>
      </c>
      <c r="C248" s="248"/>
      <c r="D248" s="247" t="s">
        <v>12</v>
      </c>
      <c r="E248" s="249">
        <f t="shared" si="156"/>
        <v>0</v>
      </c>
      <c r="F248" s="170">
        <f t="shared" si="156"/>
        <v>0</v>
      </c>
      <c r="G248" s="250"/>
      <c r="H248" s="171">
        <f t="shared" si="157"/>
        <v>0</v>
      </c>
      <c r="I248" s="249">
        <f t="shared" si="158"/>
        <v>24.080499999999997</v>
      </c>
      <c r="J248" s="170">
        <f t="shared" si="158"/>
        <v>24.480236299999998</v>
      </c>
      <c r="K248" s="252">
        <v>0.85</v>
      </c>
      <c r="L248" s="172">
        <f t="shared" si="159"/>
        <v>0.85</v>
      </c>
      <c r="M248" s="249">
        <f t="shared" si="160"/>
        <v>0</v>
      </c>
      <c r="N248" s="170">
        <f t="shared" si="161"/>
        <v>0</v>
      </c>
      <c r="O248" s="250"/>
      <c r="P248" s="172">
        <f t="shared" si="162"/>
        <v>0</v>
      </c>
      <c r="Q248" s="251">
        <f t="shared" si="163"/>
        <v>4.2494999999999994</v>
      </c>
      <c r="R248" s="173">
        <f t="shared" si="164"/>
        <v>4.3200417</v>
      </c>
      <c r="S248" s="250">
        <v>0.15</v>
      </c>
      <c r="T248" s="171">
        <f t="shared" si="165"/>
        <v>0.15</v>
      </c>
      <c r="U248" s="256">
        <v>28.33</v>
      </c>
      <c r="V248" s="170">
        <f>SUM(E248*1.0235,I248*1.0175,M248*1.0245,Q248*1.0115)</f>
        <v>28.800277999999999</v>
      </c>
      <c r="W248" s="258">
        <v>0.2</v>
      </c>
      <c r="X248" s="257">
        <f>U248+U248*W248</f>
        <v>33.995999999999995</v>
      </c>
      <c r="Y248" s="170">
        <f t="shared" si="166"/>
        <v>34.5603336</v>
      </c>
      <c r="Z248" s="170">
        <f t="shared" si="167"/>
        <v>35</v>
      </c>
      <c r="AA248" s="407">
        <f t="shared" si="168"/>
        <v>0</v>
      </c>
      <c r="AB248" s="194"/>
    </row>
    <row r="249" spans="1:28" s="278" customFormat="1" x14ac:dyDescent="0.25">
      <c r="A249" s="200">
        <v>401014</v>
      </c>
      <c r="B249" s="313" t="s">
        <v>16076</v>
      </c>
      <c r="C249" s="248"/>
      <c r="D249" s="247" t="s">
        <v>12</v>
      </c>
      <c r="E249" s="249">
        <f t="shared" si="156"/>
        <v>0</v>
      </c>
      <c r="F249" s="170">
        <f t="shared" si="156"/>
        <v>0</v>
      </c>
      <c r="G249" s="250"/>
      <c r="H249" s="171">
        <f t="shared" si="157"/>
        <v>0</v>
      </c>
      <c r="I249" s="249">
        <f t="shared" si="158"/>
        <v>21.25</v>
      </c>
      <c r="J249" s="170">
        <f t="shared" si="158"/>
        <v>22.666666666666668</v>
      </c>
      <c r="K249" s="252">
        <v>0.85</v>
      </c>
      <c r="L249" s="172">
        <f t="shared" si="159"/>
        <v>0.85</v>
      </c>
      <c r="M249" s="249">
        <f t="shared" si="160"/>
        <v>0</v>
      </c>
      <c r="N249" s="170">
        <f t="shared" si="161"/>
        <v>0</v>
      </c>
      <c r="O249" s="250"/>
      <c r="P249" s="172">
        <f t="shared" si="162"/>
        <v>0</v>
      </c>
      <c r="Q249" s="251">
        <f t="shared" si="163"/>
        <v>3.75</v>
      </c>
      <c r="R249" s="173">
        <f t="shared" si="164"/>
        <v>4</v>
      </c>
      <c r="S249" s="250">
        <v>0.15</v>
      </c>
      <c r="T249" s="171">
        <f t="shared" si="165"/>
        <v>0.15</v>
      </c>
      <c r="U249" s="256">
        <v>25</v>
      </c>
      <c r="V249" s="170">
        <f>32/1.2</f>
        <v>26.666666666666668</v>
      </c>
      <c r="W249" s="258">
        <v>0.2</v>
      </c>
      <c r="X249" s="257">
        <v>30</v>
      </c>
      <c r="Y249" s="170">
        <f t="shared" si="166"/>
        <v>32</v>
      </c>
      <c r="Z249" s="170">
        <f t="shared" si="167"/>
        <v>32</v>
      </c>
      <c r="AA249" s="407">
        <f t="shared" si="168"/>
        <v>0</v>
      </c>
      <c r="AB249" s="194"/>
    </row>
    <row r="250" spans="1:28" s="278" customFormat="1" x14ac:dyDescent="0.25">
      <c r="A250" s="200">
        <v>401017</v>
      </c>
      <c r="B250" s="313" t="s">
        <v>16077</v>
      </c>
      <c r="C250" s="248"/>
      <c r="D250" s="247" t="s">
        <v>12</v>
      </c>
      <c r="E250" s="249">
        <f t="shared" si="156"/>
        <v>0</v>
      </c>
      <c r="F250" s="170">
        <f t="shared" si="156"/>
        <v>0</v>
      </c>
      <c r="G250" s="250"/>
      <c r="H250" s="171">
        <f t="shared" si="157"/>
        <v>0</v>
      </c>
      <c r="I250" s="249">
        <f t="shared" si="158"/>
        <v>29.75</v>
      </c>
      <c r="J250" s="170">
        <f t="shared" si="158"/>
        <v>30.243850000000002</v>
      </c>
      <c r="K250" s="252">
        <v>0.85</v>
      </c>
      <c r="L250" s="172">
        <f t="shared" si="159"/>
        <v>0.85</v>
      </c>
      <c r="M250" s="249">
        <f t="shared" si="160"/>
        <v>0</v>
      </c>
      <c r="N250" s="170">
        <f t="shared" si="161"/>
        <v>0</v>
      </c>
      <c r="O250" s="250"/>
      <c r="P250" s="172">
        <f t="shared" si="162"/>
        <v>0</v>
      </c>
      <c r="Q250" s="251">
        <f t="shared" si="163"/>
        <v>5.25</v>
      </c>
      <c r="R250" s="173">
        <f t="shared" si="164"/>
        <v>5.3371500000000003</v>
      </c>
      <c r="S250" s="250">
        <v>0.15</v>
      </c>
      <c r="T250" s="171">
        <f t="shared" si="165"/>
        <v>0.15</v>
      </c>
      <c r="U250" s="256">
        <v>35</v>
      </c>
      <c r="V250" s="170">
        <f>SUM(E250*1.0235,I250*1.0175,M250*1.0245,Q250*1.0115)</f>
        <v>35.581000000000003</v>
      </c>
      <c r="W250" s="258">
        <v>0.2</v>
      </c>
      <c r="X250" s="257">
        <f>U250+U250*W250</f>
        <v>42</v>
      </c>
      <c r="Y250" s="170">
        <f t="shared" si="166"/>
        <v>42.697200000000002</v>
      </c>
      <c r="Z250" s="170">
        <f t="shared" si="167"/>
        <v>43</v>
      </c>
      <c r="AA250" s="407">
        <f t="shared" si="168"/>
        <v>0</v>
      </c>
      <c r="AB250" s="194"/>
    </row>
    <row r="251" spans="1:28" s="278" customFormat="1" x14ac:dyDescent="0.25">
      <c r="A251" s="200">
        <v>401017</v>
      </c>
      <c r="B251" s="313" t="s">
        <v>16078</v>
      </c>
      <c r="C251" s="248"/>
      <c r="D251" s="247" t="s">
        <v>12</v>
      </c>
      <c r="E251" s="249">
        <f t="shared" si="156"/>
        <v>0</v>
      </c>
      <c r="F251" s="170">
        <f t="shared" si="156"/>
        <v>0</v>
      </c>
      <c r="G251" s="250"/>
      <c r="H251" s="171">
        <f t="shared" si="157"/>
        <v>0</v>
      </c>
      <c r="I251" s="249">
        <f t="shared" si="158"/>
        <v>22.669499999999999</v>
      </c>
      <c r="J251" s="170">
        <f t="shared" si="158"/>
        <v>23.045813699999997</v>
      </c>
      <c r="K251" s="252">
        <v>0.85</v>
      </c>
      <c r="L251" s="172">
        <f t="shared" si="159"/>
        <v>0.85</v>
      </c>
      <c r="M251" s="249">
        <f t="shared" si="160"/>
        <v>0</v>
      </c>
      <c r="N251" s="170">
        <f t="shared" si="161"/>
        <v>0</v>
      </c>
      <c r="O251" s="250"/>
      <c r="P251" s="172">
        <f t="shared" si="162"/>
        <v>0</v>
      </c>
      <c r="Q251" s="251">
        <f t="shared" si="163"/>
        <v>4.0004999999999997</v>
      </c>
      <c r="R251" s="173">
        <f t="shared" si="164"/>
        <v>4.0669082999999997</v>
      </c>
      <c r="S251" s="250">
        <v>0.15</v>
      </c>
      <c r="T251" s="171">
        <f t="shared" si="165"/>
        <v>0.15</v>
      </c>
      <c r="U251" s="256">
        <v>26.67</v>
      </c>
      <c r="V251" s="170">
        <f>SUM(E251*1.0235,I251*1.0175,M251*1.0245,Q251*1.0115)</f>
        <v>27.112721999999998</v>
      </c>
      <c r="W251" s="258">
        <v>0.2</v>
      </c>
      <c r="X251" s="257">
        <f>U251+U251*W251</f>
        <v>32.004000000000005</v>
      </c>
      <c r="Y251" s="170">
        <f t="shared" si="166"/>
        <v>32.535266399999998</v>
      </c>
      <c r="Z251" s="170">
        <f t="shared" si="167"/>
        <v>33</v>
      </c>
      <c r="AA251" s="407">
        <f t="shared" si="168"/>
        <v>0</v>
      </c>
      <c r="AB251" s="194"/>
    </row>
    <row r="252" spans="1:28" s="278" customFormat="1" x14ac:dyDescent="0.25">
      <c r="A252" s="200">
        <v>401022</v>
      </c>
      <c r="B252" s="313" t="s">
        <v>16079</v>
      </c>
      <c r="C252" s="248"/>
      <c r="D252" s="247" t="s">
        <v>12</v>
      </c>
      <c r="E252" s="249">
        <f t="shared" si="156"/>
        <v>0</v>
      </c>
      <c r="F252" s="170">
        <f t="shared" si="156"/>
        <v>0</v>
      </c>
      <c r="G252" s="250"/>
      <c r="H252" s="171">
        <f t="shared" si="157"/>
        <v>0</v>
      </c>
      <c r="I252" s="249">
        <f t="shared" si="158"/>
        <v>35.419499999999999</v>
      </c>
      <c r="J252" s="170">
        <f t="shared" si="158"/>
        <v>36.007463700000002</v>
      </c>
      <c r="K252" s="252">
        <v>0.85</v>
      </c>
      <c r="L252" s="172">
        <f t="shared" si="159"/>
        <v>0.85</v>
      </c>
      <c r="M252" s="249">
        <f t="shared" si="160"/>
        <v>0</v>
      </c>
      <c r="N252" s="170">
        <f t="shared" si="161"/>
        <v>0</v>
      </c>
      <c r="O252" s="250"/>
      <c r="P252" s="172">
        <f t="shared" si="162"/>
        <v>0</v>
      </c>
      <c r="Q252" s="251">
        <f t="shared" si="163"/>
        <v>6.2504999999999997</v>
      </c>
      <c r="R252" s="173">
        <f t="shared" si="164"/>
        <v>6.3542582999999997</v>
      </c>
      <c r="S252" s="250">
        <v>0.15</v>
      </c>
      <c r="T252" s="171">
        <f t="shared" si="165"/>
        <v>0.15</v>
      </c>
      <c r="U252" s="256">
        <v>41.67</v>
      </c>
      <c r="V252" s="170">
        <f>SUM(E252*1.0235,I252*1.0175,M252*1.0245,Q252*1.0115)</f>
        <v>42.361722</v>
      </c>
      <c r="W252" s="258">
        <v>0.2</v>
      </c>
      <c r="X252" s="257">
        <f>U252+U252*W252</f>
        <v>50.004000000000005</v>
      </c>
      <c r="Y252" s="170">
        <f t="shared" si="166"/>
        <v>50.834066399999998</v>
      </c>
      <c r="Z252" s="170">
        <f t="shared" si="167"/>
        <v>51</v>
      </c>
      <c r="AA252" s="407">
        <f t="shared" si="168"/>
        <v>0</v>
      </c>
      <c r="AB252" s="194"/>
    </row>
    <row r="253" spans="1:28" s="278" customFormat="1" x14ac:dyDescent="0.25">
      <c r="A253" s="200">
        <v>401022</v>
      </c>
      <c r="B253" s="313" t="s">
        <v>16080</v>
      </c>
      <c r="C253" s="248"/>
      <c r="D253" s="247" t="s">
        <v>12</v>
      </c>
      <c r="E253" s="249">
        <f t="shared" si="156"/>
        <v>0</v>
      </c>
      <c r="F253" s="170">
        <f t="shared" si="156"/>
        <v>0</v>
      </c>
      <c r="G253" s="250"/>
      <c r="H253" s="171">
        <f t="shared" si="157"/>
        <v>0</v>
      </c>
      <c r="I253" s="249">
        <f t="shared" si="158"/>
        <v>31.166666666666671</v>
      </c>
      <c r="J253" s="170">
        <f t="shared" si="158"/>
        <v>32.583333333333336</v>
      </c>
      <c r="K253" s="252">
        <v>0.85</v>
      </c>
      <c r="L253" s="172">
        <f t="shared" si="159"/>
        <v>0.85</v>
      </c>
      <c r="M253" s="249">
        <f t="shared" si="160"/>
        <v>0</v>
      </c>
      <c r="N253" s="170">
        <f t="shared" si="161"/>
        <v>0</v>
      </c>
      <c r="O253" s="250"/>
      <c r="P253" s="172">
        <f t="shared" si="162"/>
        <v>0</v>
      </c>
      <c r="Q253" s="251">
        <f t="shared" si="163"/>
        <v>5.5000000000000009</v>
      </c>
      <c r="R253" s="173">
        <f t="shared" si="164"/>
        <v>5.75</v>
      </c>
      <c r="S253" s="250">
        <v>0.15</v>
      </c>
      <c r="T253" s="171">
        <f t="shared" si="165"/>
        <v>0.15</v>
      </c>
      <c r="U253" s="256">
        <f>44/1.2</f>
        <v>36.666666666666671</v>
      </c>
      <c r="V253" s="170">
        <f>46/1.2</f>
        <v>38.333333333333336</v>
      </c>
      <c r="W253" s="258">
        <v>0.2</v>
      </c>
      <c r="X253" s="257">
        <v>44</v>
      </c>
      <c r="Y253" s="170">
        <f t="shared" si="166"/>
        <v>46</v>
      </c>
      <c r="Z253" s="170">
        <f t="shared" si="167"/>
        <v>46</v>
      </c>
      <c r="AA253" s="407">
        <f t="shared" si="168"/>
        <v>0</v>
      </c>
      <c r="AB253" s="194"/>
    </row>
    <row r="254" spans="1:28" s="278" customFormat="1" x14ac:dyDescent="0.25">
      <c r="A254" s="200">
        <v>401026</v>
      </c>
      <c r="B254" s="313" t="s">
        <v>14573</v>
      </c>
      <c r="C254" s="248"/>
      <c r="D254" s="247" t="s">
        <v>12</v>
      </c>
      <c r="E254" s="249">
        <f t="shared" si="156"/>
        <v>0</v>
      </c>
      <c r="F254" s="170">
        <f t="shared" si="156"/>
        <v>0</v>
      </c>
      <c r="G254" s="250"/>
      <c r="H254" s="171">
        <f t="shared" si="157"/>
        <v>0</v>
      </c>
      <c r="I254" s="249">
        <f t="shared" si="158"/>
        <v>34</v>
      </c>
      <c r="J254" s="170">
        <f t="shared" si="158"/>
        <v>34.564399999999999</v>
      </c>
      <c r="K254" s="252">
        <v>0.85</v>
      </c>
      <c r="L254" s="172">
        <f t="shared" si="159"/>
        <v>0.85</v>
      </c>
      <c r="M254" s="249">
        <f t="shared" si="160"/>
        <v>0</v>
      </c>
      <c r="N254" s="170">
        <f t="shared" si="161"/>
        <v>0</v>
      </c>
      <c r="O254" s="250"/>
      <c r="P254" s="172">
        <f t="shared" si="162"/>
        <v>0</v>
      </c>
      <c r="Q254" s="251">
        <f t="shared" si="163"/>
        <v>6</v>
      </c>
      <c r="R254" s="173">
        <f t="shared" si="164"/>
        <v>6.0995999999999997</v>
      </c>
      <c r="S254" s="250">
        <v>0.15</v>
      </c>
      <c r="T254" s="171">
        <f t="shared" si="165"/>
        <v>0.15</v>
      </c>
      <c r="U254" s="256">
        <v>40</v>
      </c>
      <c r="V254" s="170">
        <f t="shared" ref="V254:V262" si="169">SUM(E254*1.0235,I254*1.0175,M254*1.0245,Q254*1.0115)</f>
        <v>40.664000000000001</v>
      </c>
      <c r="W254" s="258">
        <v>0.2</v>
      </c>
      <c r="X254" s="257">
        <v>45</v>
      </c>
      <c r="Y254" s="170">
        <f t="shared" si="166"/>
        <v>48.796799999999998</v>
      </c>
      <c r="Z254" s="170">
        <f t="shared" si="167"/>
        <v>49</v>
      </c>
      <c r="AA254" s="407">
        <f t="shared" si="168"/>
        <v>0</v>
      </c>
      <c r="AB254" s="194"/>
    </row>
    <row r="255" spans="1:28" s="278" customFormat="1" x14ac:dyDescent="0.25">
      <c r="A255" s="200">
        <v>401201</v>
      </c>
      <c r="B255" s="313" t="s">
        <v>14574</v>
      </c>
      <c r="C255" s="248"/>
      <c r="D255" s="247" t="s">
        <v>3</v>
      </c>
      <c r="E255" s="249">
        <f t="shared" si="156"/>
        <v>27.500000000000004</v>
      </c>
      <c r="F255" s="170">
        <f t="shared" si="156"/>
        <v>28.158625000000004</v>
      </c>
      <c r="G255" s="250">
        <v>0.55000000000000004</v>
      </c>
      <c r="H255" s="171">
        <f t="shared" si="157"/>
        <v>0.55000000000000004</v>
      </c>
      <c r="I255" s="249">
        <f t="shared" si="158"/>
        <v>0</v>
      </c>
      <c r="J255" s="170">
        <f t="shared" si="158"/>
        <v>0</v>
      </c>
      <c r="K255" s="252"/>
      <c r="L255" s="172">
        <f t="shared" si="159"/>
        <v>0</v>
      </c>
      <c r="M255" s="249">
        <f t="shared" si="160"/>
        <v>22.5</v>
      </c>
      <c r="N255" s="170">
        <f t="shared" si="161"/>
        <v>23.038875000000004</v>
      </c>
      <c r="O255" s="250">
        <v>0.45</v>
      </c>
      <c r="P255" s="172">
        <f t="shared" si="162"/>
        <v>0.45</v>
      </c>
      <c r="Q255" s="251">
        <f t="shared" si="163"/>
        <v>0</v>
      </c>
      <c r="R255" s="173">
        <f t="shared" si="164"/>
        <v>0</v>
      </c>
      <c r="S255" s="250"/>
      <c r="T255" s="171">
        <f t="shared" si="165"/>
        <v>0</v>
      </c>
      <c r="U255" s="256">
        <v>50</v>
      </c>
      <c r="V255" s="170">
        <f t="shared" si="169"/>
        <v>51.197500000000005</v>
      </c>
      <c r="W255" s="258">
        <v>0.2</v>
      </c>
      <c r="X255" s="257">
        <f t="shared" ref="X255:X266" si="170">U255+U255*W255</f>
        <v>60</v>
      </c>
      <c r="Y255" s="170">
        <f t="shared" si="166"/>
        <v>61.437000000000005</v>
      </c>
      <c r="Z255" s="170">
        <f t="shared" si="167"/>
        <v>62</v>
      </c>
      <c r="AA255" s="407">
        <f t="shared" si="168"/>
        <v>0</v>
      </c>
      <c r="AB255" s="194"/>
    </row>
    <row r="256" spans="1:28" s="278" customFormat="1" x14ac:dyDescent="0.25">
      <c r="A256" s="200">
        <v>401202</v>
      </c>
      <c r="B256" s="313" t="s">
        <v>14575</v>
      </c>
      <c r="C256" s="248"/>
      <c r="D256" s="247" t="s">
        <v>3</v>
      </c>
      <c r="E256" s="249">
        <f t="shared" si="156"/>
        <v>25.206500000000002</v>
      </c>
      <c r="F256" s="170">
        <f t="shared" si="156"/>
        <v>25.810195675000003</v>
      </c>
      <c r="G256" s="250">
        <v>0.55000000000000004</v>
      </c>
      <c r="H256" s="171">
        <f t="shared" si="157"/>
        <v>0.55000000000000004</v>
      </c>
      <c r="I256" s="249">
        <f t="shared" si="158"/>
        <v>0</v>
      </c>
      <c r="J256" s="170">
        <f t="shared" si="158"/>
        <v>0</v>
      </c>
      <c r="K256" s="252"/>
      <c r="L256" s="172">
        <f t="shared" si="159"/>
        <v>0</v>
      </c>
      <c r="M256" s="249">
        <f t="shared" si="160"/>
        <v>20.6235</v>
      </c>
      <c r="N256" s="170">
        <f t="shared" si="161"/>
        <v>21.117432825000002</v>
      </c>
      <c r="O256" s="250">
        <v>0.45</v>
      </c>
      <c r="P256" s="172">
        <f t="shared" si="162"/>
        <v>0.45</v>
      </c>
      <c r="Q256" s="251">
        <f t="shared" si="163"/>
        <v>0</v>
      </c>
      <c r="R256" s="173">
        <f t="shared" si="164"/>
        <v>0</v>
      </c>
      <c r="S256" s="250"/>
      <c r="T256" s="171">
        <f t="shared" si="165"/>
        <v>0</v>
      </c>
      <c r="U256" s="256">
        <v>45.83</v>
      </c>
      <c r="V256" s="170">
        <f t="shared" si="169"/>
        <v>46.927628500000004</v>
      </c>
      <c r="W256" s="258">
        <v>0.2</v>
      </c>
      <c r="X256" s="257">
        <f t="shared" si="170"/>
        <v>54.995999999999995</v>
      </c>
      <c r="Y256" s="170">
        <f t="shared" si="166"/>
        <v>56.313154200000007</v>
      </c>
      <c r="Z256" s="170">
        <f t="shared" si="167"/>
        <v>57</v>
      </c>
      <c r="AA256" s="407">
        <f t="shared" si="168"/>
        <v>0</v>
      </c>
      <c r="AB256" s="194"/>
    </row>
    <row r="257" spans="1:28" s="278" customFormat="1" x14ac:dyDescent="0.25">
      <c r="A257" s="200">
        <v>401206</v>
      </c>
      <c r="B257" s="313" t="s">
        <v>14576</v>
      </c>
      <c r="C257" s="248"/>
      <c r="D257" s="247" t="s">
        <v>3</v>
      </c>
      <c r="E257" s="249">
        <f t="shared" si="156"/>
        <v>20.625</v>
      </c>
      <c r="F257" s="170">
        <f t="shared" si="156"/>
        <v>21.118968750000004</v>
      </c>
      <c r="G257" s="250">
        <v>0.55000000000000004</v>
      </c>
      <c r="H257" s="171">
        <f t="shared" si="157"/>
        <v>0.55000000000000004</v>
      </c>
      <c r="I257" s="249">
        <f t="shared" si="158"/>
        <v>0</v>
      </c>
      <c r="J257" s="170">
        <f t="shared" si="158"/>
        <v>0</v>
      </c>
      <c r="K257" s="252"/>
      <c r="L257" s="172">
        <f t="shared" si="159"/>
        <v>0</v>
      </c>
      <c r="M257" s="249">
        <f t="shared" si="160"/>
        <v>16.875</v>
      </c>
      <c r="N257" s="170">
        <f t="shared" si="161"/>
        <v>17.279156250000003</v>
      </c>
      <c r="O257" s="250">
        <v>0.45</v>
      </c>
      <c r="P257" s="172">
        <f t="shared" si="162"/>
        <v>0.45</v>
      </c>
      <c r="Q257" s="251">
        <f t="shared" si="163"/>
        <v>0</v>
      </c>
      <c r="R257" s="173">
        <f t="shared" si="164"/>
        <v>0</v>
      </c>
      <c r="S257" s="250"/>
      <c r="T257" s="171">
        <f t="shared" si="165"/>
        <v>0</v>
      </c>
      <c r="U257" s="256">
        <v>37.5</v>
      </c>
      <c r="V257" s="170">
        <f t="shared" si="169"/>
        <v>38.398125000000007</v>
      </c>
      <c r="W257" s="258">
        <v>0.2</v>
      </c>
      <c r="X257" s="257">
        <f t="shared" si="170"/>
        <v>45</v>
      </c>
      <c r="Y257" s="170">
        <f t="shared" si="166"/>
        <v>46.077750000000009</v>
      </c>
      <c r="Z257" s="170">
        <f t="shared" si="167"/>
        <v>47</v>
      </c>
      <c r="AA257" s="407">
        <f t="shared" si="168"/>
        <v>0</v>
      </c>
      <c r="AB257" s="194"/>
    </row>
    <row r="258" spans="1:28" s="278" customFormat="1" x14ac:dyDescent="0.25">
      <c r="A258" s="200">
        <v>401207</v>
      </c>
      <c r="B258" s="313" t="s">
        <v>14577</v>
      </c>
      <c r="C258" s="248"/>
      <c r="D258" s="247" t="s">
        <v>3</v>
      </c>
      <c r="E258" s="249">
        <f t="shared" si="156"/>
        <v>20.625</v>
      </c>
      <c r="F258" s="170">
        <f t="shared" si="156"/>
        <v>21.118968750000004</v>
      </c>
      <c r="G258" s="250">
        <v>0.55000000000000004</v>
      </c>
      <c r="H258" s="171">
        <f t="shared" si="157"/>
        <v>0.55000000000000004</v>
      </c>
      <c r="I258" s="249">
        <f t="shared" si="158"/>
        <v>0</v>
      </c>
      <c r="J258" s="170">
        <f t="shared" si="158"/>
        <v>0</v>
      </c>
      <c r="K258" s="252"/>
      <c r="L258" s="172">
        <f t="shared" si="159"/>
        <v>0</v>
      </c>
      <c r="M258" s="249">
        <f t="shared" si="160"/>
        <v>16.875</v>
      </c>
      <c r="N258" s="170">
        <f t="shared" si="161"/>
        <v>17.279156250000003</v>
      </c>
      <c r="O258" s="250">
        <v>0.45</v>
      </c>
      <c r="P258" s="172">
        <f t="shared" si="162"/>
        <v>0.45</v>
      </c>
      <c r="Q258" s="251">
        <f t="shared" si="163"/>
        <v>0</v>
      </c>
      <c r="R258" s="173">
        <f t="shared" si="164"/>
        <v>0</v>
      </c>
      <c r="S258" s="250"/>
      <c r="T258" s="171">
        <f t="shared" si="165"/>
        <v>0</v>
      </c>
      <c r="U258" s="256">
        <v>37.5</v>
      </c>
      <c r="V258" s="170">
        <f t="shared" si="169"/>
        <v>38.398125000000007</v>
      </c>
      <c r="W258" s="258">
        <v>0.2</v>
      </c>
      <c r="X258" s="257">
        <f t="shared" si="170"/>
        <v>45</v>
      </c>
      <c r="Y258" s="170">
        <f t="shared" si="166"/>
        <v>46.077750000000009</v>
      </c>
      <c r="Z258" s="170">
        <f t="shared" si="167"/>
        <v>47</v>
      </c>
      <c r="AA258" s="407">
        <f t="shared" si="168"/>
        <v>0</v>
      </c>
      <c r="AB258" s="194"/>
    </row>
    <row r="259" spans="1:28" s="278" customFormat="1" x14ac:dyDescent="0.25">
      <c r="A259" s="200">
        <v>401209</v>
      </c>
      <c r="B259" s="313" t="s">
        <v>14578</v>
      </c>
      <c r="C259" s="248"/>
      <c r="D259" s="247" t="s">
        <v>3</v>
      </c>
      <c r="E259" s="249">
        <f t="shared" si="156"/>
        <v>22</v>
      </c>
      <c r="F259" s="170">
        <f t="shared" si="156"/>
        <v>22.526900000000001</v>
      </c>
      <c r="G259" s="250">
        <v>0.55000000000000004</v>
      </c>
      <c r="H259" s="171">
        <f t="shared" si="157"/>
        <v>0.55000000000000004</v>
      </c>
      <c r="I259" s="249">
        <f t="shared" si="158"/>
        <v>0</v>
      </c>
      <c r="J259" s="170">
        <f t="shared" si="158"/>
        <v>0</v>
      </c>
      <c r="K259" s="252"/>
      <c r="L259" s="172">
        <f t="shared" si="159"/>
        <v>0</v>
      </c>
      <c r="M259" s="249">
        <f t="shared" si="160"/>
        <v>18</v>
      </c>
      <c r="N259" s="170">
        <f t="shared" si="161"/>
        <v>18.431100000000001</v>
      </c>
      <c r="O259" s="250">
        <v>0.45</v>
      </c>
      <c r="P259" s="172">
        <f t="shared" si="162"/>
        <v>0.45</v>
      </c>
      <c r="Q259" s="251">
        <f t="shared" si="163"/>
        <v>0</v>
      </c>
      <c r="R259" s="173">
        <f t="shared" si="164"/>
        <v>0</v>
      </c>
      <c r="S259" s="250"/>
      <c r="T259" s="171">
        <f t="shared" si="165"/>
        <v>0</v>
      </c>
      <c r="U259" s="256">
        <v>40</v>
      </c>
      <c r="V259" s="170">
        <f t="shared" si="169"/>
        <v>40.957999999999998</v>
      </c>
      <c r="W259" s="258">
        <v>0.2</v>
      </c>
      <c r="X259" s="257">
        <f t="shared" si="170"/>
        <v>48</v>
      </c>
      <c r="Y259" s="170">
        <f t="shared" si="166"/>
        <v>49.1496</v>
      </c>
      <c r="Z259" s="170">
        <f t="shared" si="167"/>
        <v>50</v>
      </c>
      <c r="AA259" s="407">
        <f t="shared" si="168"/>
        <v>0</v>
      </c>
      <c r="AB259" s="194"/>
    </row>
    <row r="260" spans="1:28" s="278" customFormat="1" x14ac:dyDescent="0.25">
      <c r="A260" s="200">
        <v>401210</v>
      </c>
      <c r="B260" s="313" t="s">
        <v>14579</v>
      </c>
      <c r="C260" s="248"/>
      <c r="D260" s="247" t="s">
        <v>3</v>
      </c>
      <c r="E260" s="249">
        <f t="shared" si="156"/>
        <v>33</v>
      </c>
      <c r="F260" s="170">
        <f t="shared" si="156"/>
        <v>33.790350000000004</v>
      </c>
      <c r="G260" s="250">
        <v>0.55000000000000004</v>
      </c>
      <c r="H260" s="171">
        <f t="shared" si="157"/>
        <v>0.55000000000000004</v>
      </c>
      <c r="I260" s="249">
        <f t="shared" si="158"/>
        <v>0</v>
      </c>
      <c r="J260" s="170">
        <f t="shared" si="158"/>
        <v>0</v>
      </c>
      <c r="K260" s="252"/>
      <c r="L260" s="172">
        <f t="shared" si="159"/>
        <v>0</v>
      </c>
      <c r="M260" s="249">
        <f t="shared" si="160"/>
        <v>27</v>
      </c>
      <c r="N260" s="170">
        <f t="shared" si="161"/>
        <v>27.646650000000001</v>
      </c>
      <c r="O260" s="250">
        <v>0.45</v>
      </c>
      <c r="P260" s="172">
        <f t="shared" si="162"/>
        <v>0.45</v>
      </c>
      <c r="Q260" s="251">
        <f t="shared" si="163"/>
        <v>0</v>
      </c>
      <c r="R260" s="173">
        <f t="shared" si="164"/>
        <v>0</v>
      </c>
      <c r="S260" s="250"/>
      <c r="T260" s="171">
        <f t="shared" si="165"/>
        <v>0</v>
      </c>
      <c r="U260" s="256">
        <v>60</v>
      </c>
      <c r="V260" s="170">
        <f t="shared" si="169"/>
        <v>61.436999999999998</v>
      </c>
      <c r="W260" s="258">
        <v>0.2</v>
      </c>
      <c r="X260" s="257">
        <f t="shared" si="170"/>
        <v>72</v>
      </c>
      <c r="Y260" s="170">
        <f t="shared" si="166"/>
        <v>73.724399999999989</v>
      </c>
      <c r="Z260" s="170">
        <f t="shared" si="167"/>
        <v>74</v>
      </c>
      <c r="AA260" s="407">
        <f t="shared" si="168"/>
        <v>0</v>
      </c>
      <c r="AB260" s="194"/>
    </row>
    <row r="261" spans="1:28" s="278" customFormat="1" x14ac:dyDescent="0.25">
      <c r="A261" s="200">
        <v>401213</v>
      </c>
      <c r="B261" s="313" t="s">
        <v>14580</v>
      </c>
      <c r="C261" s="248"/>
      <c r="D261" s="247" t="s">
        <v>3</v>
      </c>
      <c r="E261" s="249">
        <f t="shared" si="156"/>
        <v>30.250000000000004</v>
      </c>
      <c r="F261" s="170">
        <f t="shared" si="156"/>
        <v>30.974487500000002</v>
      </c>
      <c r="G261" s="250">
        <v>0.55000000000000004</v>
      </c>
      <c r="H261" s="171">
        <f t="shared" si="157"/>
        <v>0.55000000000000004</v>
      </c>
      <c r="I261" s="249">
        <f t="shared" si="158"/>
        <v>0</v>
      </c>
      <c r="J261" s="170">
        <f t="shared" si="158"/>
        <v>0</v>
      </c>
      <c r="K261" s="252"/>
      <c r="L261" s="172">
        <f t="shared" si="159"/>
        <v>0</v>
      </c>
      <c r="M261" s="249">
        <f t="shared" si="160"/>
        <v>24.75</v>
      </c>
      <c r="N261" s="170">
        <f t="shared" si="161"/>
        <v>25.342762500000003</v>
      </c>
      <c r="O261" s="250">
        <v>0.45</v>
      </c>
      <c r="P261" s="172">
        <f t="shared" si="162"/>
        <v>0.45</v>
      </c>
      <c r="Q261" s="251">
        <f t="shared" si="163"/>
        <v>0</v>
      </c>
      <c r="R261" s="173">
        <f t="shared" si="164"/>
        <v>0</v>
      </c>
      <c r="S261" s="250"/>
      <c r="T261" s="171">
        <f t="shared" si="165"/>
        <v>0</v>
      </c>
      <c r="U261" s="256">
        <v>55</v>
      </c>
      <c r="V261" s="170">
        <f t="shared" si="169"/>
        <v>56.317250000000001</v>
      </c>
      <c r="W261" s="258">
        <v>0.2</v>
      </c>
      <c r="X261" s="257">
        <f t="shared" si="170"/>
        <v>66</v>
      </c>
      <c r="Y261" s="170">
        <f t="shared" si="166"/>
        <v>67.580699999999993</v>
      </c>
      <c r="Z261" s="170">
        <f t="shared" si="167"/>
        <v>68</v>
      </c>
      <c r="AA261" s="407">
        <f t="shared" si="168"/>
        <v>0</v>
      </c>
      <c r="AB261" s="194"/>
    </row>
    <row r="262" spans="1:28" s="278" customFormat="1" x14ac:dyDescent="0.25">
      <c r="A262" s="200">
        <v>401214</v>
      </c>
      <c r="B262" s="313" t="s">
        <v>14581</v>
      </c>
      <c r="C262" s="248"/>
      <c r="D262" s="247" t="s">
        <v>3</v>
      </c>
      <c r="E262" s="249">
        <f t="shared" si="156"/>
        <v>18.331500000000002</v>
      </c>
      <c r="F262" s="170">
        <f t="shared" si="156"/>
        <v>18.770539425000003</v>
      </c>
      <c r="G262" s="250">
        <v>0.55000000000000004</v>
      </c>
      <c r="H262" s="171">
        <f t="shared" si="157"/>
        <v>0.55000000000000004</v>
      </c>
      <c r="I262" s="249">
        <f t="shared" si="158"/>
        <v>0</v>
      </c>
      <c r="J262" s="170">
        <f t="shared" si="158"/>
        <v>0</v>
      </c>
      <c r="K262" s="252"/>
      <c r="L262" s="172">
        <f t="shared" si="159"/>
        <v>0</v>
      </c>
      <c r="M262" s="249">
        <f t="shared" si="160"/>
        <v>14.9985</v>
      </c>
      <c r="N262" s="170">
        <f t="shared" si="161"/>
        <v>15.357714075000001</v>
      </c>
      <c r="O262" s="250">
        <v>0.45</v>
      </c>
      <c r="P262" s="172">
        <f t="shared" si="162"/>
        <v>0.45</v>
      </c>
      <c r="Q262" s="251">
        <f t="shared" si="163"/>
        <v>0</v>
      </c>
      <c r="R262" s="173">
        <f t="shared" si="164"/>
        <v>0</v>
      </c>
      <c r="S262" s="250"/>
      <c r="T262" s="171">
        <f t="shared" si="165"/>
        <v>0</v>
      </c>
      <c r="U262" s="256">
        <v>33.33</v>
      </c>
      <c r="V262" s="170">
        <f t="shared" si="169"/>
        <v>34.1282535</v>
      </c>
      <c r="W262" s="258">
        <v>0.2</v>
      </c>
      <c r="X262" s="257">
        <f t="shared" si="170"/>
        <v>39.995999999999995</v>
      </c>
      <c r="Y262" s="170">
        <f t="shared" si="166"/>
        <v>40.953904199999997</v>
      </c>
      <c r="Z262" s="170">
        <f t="shared" si="167"/>
        <v>41</v>
      </c>
      <c r="AA262" s="407">
        <f t="shared" si="168"/>
        <v>0</v>
      </c>
      <c r="AB262" s="194"/>
    </row>
    <row r="263" spans="1:28" s="278" customFormat="1" x14ac:dyDescent="0.25">
      <c r="A263" s="200">
        <v>401217</v>
      </c>
      <c r="B263" s="313" t="s">
        <v>16081</v>
      </c>
      <c r="C263" s="248"/>
      <c r="D263" s="247" t="s">
        <v>3</v>
      </c>
      <c r="E263" s="249">
        <f t="shared" si="156"/>
        <v>34.375</v>
      </c>
      <c r="F263" s="170">
        <f t="shared" si="156"/>
        <v>42.625</v>
      </c>
      <c r="G263" s="250">
        <v>0.55000000000000004</v>
      </c>
      <c r="H263" s="171">
        <f t="shared" si="157"/>
        <v>0.55000000000000004</v>
      </c>
      <c r="I263" s="249">
        <f t="shared" si="158"/>
        <v>0</v>
      </c>
      <c r="J263" s="170">
        <f t="shared" si="158"/>
        <v>0</v>
      </c>
      <c r="K263" s="252"/>
      <c r="L263" s="172">
        <f t="shared" si="159"/>
        <v>0</v>
      </c>
      <c r="M263" s="249">
        <f t="shared" si="160"/>
        <v>28.125</v>
      </c>
      <c r="N263" s="170">
        <f t="shared" si="161"/>
        <v>34.875</v>
      </c>
      <c r="O263" s="250">
        <v>0.45</v>
      </c>
      <c r="P263" s="172">
        <f t="shared" si="162"/>
        <v>0.45</v>
      </c>
      <c r="Q263" s="251">
        <f t="shared" si="163"/>
        <v>0</v>
      </c>
      <c r="R263" s="173">
        <f t="shared" si="164"/>
        <v>0</v>
      </c>
      <c r="S263" s="250"/>
      <c r="T263" s="171">
        <f t="shared" si="165"/>
        <v>0</v>
      </c>
      <c r="U263" s="256">
        <v>62.5</v>
      </c>
      <c r="V263" s="170">
        <f>93/1.2</f>
        <v>77.5</v>
      </c>
      <c r="W263" s="258">
        <v>0.2</v>
      </c>
      <c r="X263" s="257">
        <f t="shared" si="170"/>
        <v>75</v>
      </c>
      <c r="Y263" s="170">
        <f t="shared" si="166"/>
        <v>93</v>
      </c>
      <c r="Z263" s="170">
        <f t="shared" si="167"/>
        <v>93</v>
      </c>
      <c r="AA263" s="407">
        <f t="shared" si="168"/>
        <v>0</v>
      </c>
      <c r="AB263" s="194"/>
    </row>
    <row r="264" spans="1:28" s="278" customFormat="1" x14ac:dyDescent="0.25">
      <c r="A264" s="200">
        <v>401217</v>
      </c>
      <c r="B264" s="313" t="s">
        <v>15991</v>
      </c>
      <c r="C264" s="248"/>
      <c r="D264" s="247" t="s">
        <v>3</v>
      </c>
      <c r="E264" s="249">
        <f t="shared" si="156"/>
        <v>29.793500000000002</v>
      </c>
      <c r="F264" s="170">
        <f t="shared" si="156"/>
        <v>31.625000000000004</v>
      </c>
      <c r="G264" s="250">
        <v>0.55000000000000004</v>
      </c>
      <c r="H264" s="171">
        <f t="shared" si="157"/>
        <v>0.55000000000000004</v>
      </c>
      <c r="I264" s="249">
        <f t="shared" si="158"/>
        <v>0</v>
      </c>
      <c r="J264" s="170">
        <f t="shared" si="158"/>
        <v>0</v>
      </c>
      <c r="K264" s="252"/>
      <c r="L264" s="172">
        <f t="shared" si="159"/>
        <v>0</v>
      </c>
      <c r="M264" s="249">
        <f t="shared" si="160"/>
        <v>24.3765</v>
      </c>
      <c r="N264" s="170">
        <f t="shared" si="161"/>
        <v>25.875</v>
      </c>
      <c r="O264" s="250">
        <v>0.45</v>
      </c>
      <c r="P264" s="172">
        <f t="shared" si="162"/>
        <v>0.45</v>
      </c>
      <c r="Q264" s="251">
        <f t="shared" si="163"/>
        <v>0</v>
      </c>
      <c r="R264" s="173">
        <f t="shared" si="164"/>
        <v>0</v>
      </c>
      <c r="S264" s="250"/>
      <c r="T264" s="171">
        <f t="shared" si="165"/>
        <v>0</v>
      </c>
      <c r="U264" s="256">
        <v>54.17</v>
      </c>
      <c r="V264" s="170">
        <f>69/1.2</f>
        <v>57.5</v>
      </c>
      <c r="W264" s="258">
        <v>0.2</v>
      </c>
      <c r="X264" s="257">
        <f t="shared" si="170"/>
        <v>65.004000000000005</v>
      </c>
      <c r="Y264" s="170">
        <f t="shared" si="166"/>
        <v>69</v>
      </c>
      <c r="Z264" s="170">
        <f t="shared" si="167"/>
        <v>69</v>
      </c>
      <c r="AA264" s="407">
        <f t="shared" si="168"/>
        <v>0</v>
      </c>
      <c r="AB264" s="194"/>
    </row>
    <row r="265" spans="1:28" s="278" customFormat="1" x14ac:dyDescent="0.25">
      <c r="A265" s="200">
        <v>401217</v>
      </c>
      <c r="B265" s="313" t="s">
        <v>14582</v>
      </c>
      <c r="C265" s="248"/>
      <c r="D265" s="247" t="s">
        <v>3</v>
      </c>
      <c r="E265" s="249">
        <f t="shared" si="156"/>
        <v>25.208315000000002</v>
      </c>
      <c r="F265" s="170">
        <f t="shared" si="156"/>
        <v>25.812054144250006</v>
      </c>
      <c r="G265" s="250">
        <v>0.55000000000000004</v>
      </c>
      <c r="H265" s="171">
        <f t="shared" si="157"/>
        <v>0.55000000000000004</v>
      </c>
      <c r="I265" s="249">
        <f t="shared" si="158"/>
        <v>0</v>
      </c>
      <c r="J265" s="170">
        <f t="shared" si="158"/>
        <v>0</v>
      </c>
      <c r="K265" s="252"/>
      <c r="L265" s="172">
        <f t="shared" si="159"/>
        <v>0</v>
      </c>
      <c r="M265" s="249">
        <f t="shared" si="160"/>
        <v>20.624985000000002</v>
      </c>
      <c r="N265" s="170">
        <f t="shared" si="161"/>
        <v>21.118953390750004</v>
      </c>
      <c r="O265" s="250">
        <v>0.45</v>
      </c>
      <c r="P265" s="172">
        <f t="shared" si="162"/>
        <v>0.45</v>
      </c>
      <c r="Q265" s="251">
        <f t="shared" si="163"/>
        <v>0</v>
      </c>
      <c r="R265" s="173">
        <f t="shared" si="164"/>
        <v>0</v>
      </c>
      <c r="S265" s="250"/>
      <c r="T265" s="171">
        <f t="shared" si="165"/>
        <v>0</v>
      </c>
      <c r="U265" s="256">
        <v>45.833300000000001</v>
      </c>
      <c r="V265" s="170">
        <f>SUM(E265*1.0235,I265*1.0175,M265*1.0245,Q265*1.0115)</f>
        <v>46.931007535000006</v>
      </c>
      <c r="W265" s="258">
        <v>0.2</v>
      </c>
      <c r="X265" s="257">
        <f t="shared" si="170"/>
        <v>54.999960000000002</v>
      </c>
      <c r="Y265" s="170">
        <f t="shared" si="166"/>
        <v>56.317209042000009</v>
      </c>
      <c r="Z265" s="170">
        <f t="shared" si="167"/>
        <v>57</v>
      </c>
      <c r="AA265" s="407">
        <f t="shared" si="168"/>
        <v>0</v>
      </c>
      <c r="AB265" s="194"/>
    </row>
    <row r="266" spans="1:28" s="278" customFormat="1" x14ac:dyDescent="0.25">
      <c r="A266" s="200">
        <v>401221</v>
      </c>
      <c r="B266" s="313" t="s">
        <v>14583</v>
      </c>
      <c r="C266" s="248"/>
      <c r="D266" s="247" t="s">
        <v>3</v>
      </c>
      <c r="E266" s="249">
        <f t="shared" si="156"/>
        <v>22.918500000000002</v>
      </c>
      <c r="F266" s="170">
        <f t="shared" si="156"/>
        <v>23.467398075000002</v>
      </c>
      <c r="G266" s="250">
        <v>0.55000000000000004</v>
      </c>
      <c r="H266" s="171">
        <f t="shared" si="157"/>
        <v>0.55000000000000004</v>
      </c>
      <c r="I266" s="249">
        <f t="shared" si="158"/>
        <v>0</v>
      </c>
      <c r="J266" s="170">
        <f t="shared" si="158"/>
        <v>0</v>
      </c>
      <c r="K266" s="252"/>
      <c r="L266" s="172">
        <f t="shared" si="159"/>
        <v>0</v>
      </c>
      <c r="M266" s="249">
        <f t="shared" si="160"/>
        <v>18.7515</v>
      </c>
      <c r="N266" s="170">
        <f t="shared" si="161"/>
        <v>19.200598425000003</v>
      </c>
      <c r="O266" s="250">
        <v>0.45</v>
      </c>
      <c r="P266" s="172">
        <f t="shared" si="162"/>
        <v>0.45</v>
      </c>
      <c r="Q266" s="251">
        <f t="shared" si="163"/>
        <v>0</v>
      </c>
      <c r="R266" s="173">
        <f t="shared" si="164"/>
        <v>0</v>
      </c>
      <c r="S266" s="252"/>
      <c r="T266" s="171">
        <f t="shared" si="165"/>
        <v>0</v>
      </c>
      <c r="U266" s="256">
        <v>41.67</v>
      </c>
      <c r="V266" s="170">
        <f>SUM(E266*1.0235,I266*1.0175,M266*1.0245,Q266*1.0115)</f>
        <v>42.667996500000001</v>
      </c>
      <c r="W266" s="258">
        <v>0.2</v>
      </c>
      <c r="X266" s="257">
        <f t="shared" si="170"/>
        <v>50.004000000000005</v>
      </c>
      <c r="Y266" s="170">
        <f t="shared" si="166"/>
        <v>51.2015958</v>
      </c>
      <c r="Z266" s="170">
        <f t="shared" si="167"/>
        <v>52</v>
      </c>
      <c r="AA266" s="407">
        <f t="shared" si="168"/>
        <v>0</v>
      </c>
      <c r="AB266" s="194"/>
    </row>
    <row r="267" spans="1:28" s="278" customFormat="1" x14ac:dyDescent="0.25">
      <c r="A267" s="195" t="s">
        <v>14584</v>
      </c>
      <c r="B267" s="317" t="s">
        <v>18891</v>
      </c>
      <c r="C267" s="241"/>
      <c r="D267" s="242"/>
      <c r="E267" s="243"/>
      <c r="F267" s="244"/>
      <c r="G267" s="245"/>
      <c r="H267" s="246"/>
      <c r="I267" s="243"/>
      <c r="J267" s="244"/>
      <c r="K267" s="245"/>
      <c r="L267" s="246"/>
      <c r="M267" s="243"/>
      <c r="N267" s="244"/>
      <c r="O267" s="245"/>
      <c r="P267" s="246"/>
      <c r="Q267" s="243"/>
      <c r="R267" s="244"/>
      <c r="S267" s="245"/>
      <c r="T267" s="246"/>
      <c r="U267" s="246"/>
      <c r="V267" s="246"/>
      <c r="W267" s="246"/>
      <c r="X267" s="246"/>
      <c r="Y267" s="244"/>
      <c r="Z267" s="244"/>
      <c r="AA267" s="406"/>
      <c r="AB267" s="194"/>
    </row>
    <row r="268" spans="1:28" s="278" customFormat="1" x14ac:dyDescent="0.25">
      <c r="A268" s="200">
        <v>504020</v>
      </c>
      <c r="B268" s="313" t="s">
        <v>19103</v>
      </c>
      <c r="C268" s="248"/>
      <c r="D268" s="247" t="s">
        <v>12</v>
      </c>
      <c r="E268" s="249">
        <f t="shared" ref="E268:F290" si="171">U268*G268</f>
        <v>16.2</v>
      </c>
      <c r="F268" s="170">
        <f t="shared" si="171"/>
        <v>16.436519999999998</v>
      </c>
      <c r="G268" s="250">
        <v>0.15</v>
      </c>
      <c r="H268" s="171">
        <f t="shared" ref="H268:H290" si="172">G268</f>
        <v>0.15</v>
      </c>
      <c r="I268" s="249">
        <f t="shared" ref="I268:J290" si="173">U268*K268</f>
        <v>0</v>
      </c>
      <c r="J268" s="170">
        <f t="shared" si="173"/>
        <v>0</v>
      </c>
      <c r="K268" s="252"/>
      <c r="L268" s="172">
        <f t="shared" ref="L268:L290" si="174">K268</f>
        <v>0</v>
      </c>
      <c r="M268" s="249">
        <f t="shared" ref="M268:M290" si="175">U268*O268</f>
        <v>10.8</v>
      </c>
      <c r="N268" s="170">
        <f t="shared" ref="N268:N290" si="176">P268*V268</f>
        <v>10.95768</v>
      </c>
      <c r="O268" s="250">
        <v>0.1</v>
      </c>
      <c r="P268" s="172">
        <f t="shared" ref="P268:P290" si="177">O268</f>
        <v>0.1</v>
      </c>
      <c r="Q268" s="251">
        <f t="shared" ref="Q268:Q290" si="178">U268*S268</f>
        <v>81</v>
      </c>
      <c r="R268" s="173">
        <f t="shared" ref="R268:R290" si="179">T268*V268</f>
        <v>82.182599999999994</v>
      </c>
      <c r="S268" s="250">
        <v>0.75</v>
      </c>
      <c r="T268" s="171">
        <f t="shared" ref="T268:T290" si="180">S268</f>
        <v>0.75</v>
      </c>
      <c r="U268" s="256">
        <v>108</v>
      </c>
      <c r="V268" s="170">
        <f t="shared" ref="V268:V273" si="181">SUM(E268*1.0235,I268*1.0175,M268*1.0245,Q268*1.0115)</f>
        <v>109.57679999999999</v>
      </c>
      <c r="W268" s="258">
        <v>0.25</v>
      </c>
      <c r="X268" s="257">
        <f>U268+U268*W268</f>
        <v>135</v>
      </c>
      <c r="Y268" s="170">
        <f t="shared" ref="Y268:Y290" si="182">IF(V268*(W268+1)=0,X268,V268*(W268+1))</f>
        <v>136.971</v>
      </c>
      <c r="Z268" s="170">
        <f t="shared" ref="Z268:Z290" si="183">IF(Y268=0, 0, IF(Y268&lt;10, _xlfn.CEILING.MATH(Y268,1), IF(Y268&lt;100, _xlfn.CEILING.MATH(Y268,1),IF(Y268&lt;1000, _xlfn.CEILING.MATH(Y268,5), IF(Y268&lt;10000, _xlfn.CEILING.MATH(Y268, 25), IF(Y268&lt;100000, _xlfn.CEILING.MATH(Y268,250), IF(Y268&lt;1000000, _xlfn.CEILING.MATH(Y268,500), 0)))))))</f>
        <v>140</v>
      </c>
      <c r="AA268" s="407">
        <f t="shared" ref="AA268:AA290" si="184">C268*Z268</f>
        <v>0</v>
      </c>
      <c r="AB268" s="194"/>
    </row>
    <row r="269" spans="1:28" s="278" customFormat="1" x14ac:dyDescent="0.25">
      <c r="A269" s="200">
        <v>504020</v>
      </c>
      <c r="B269" s="313" t="s">
        <v>14585</v>
      </c>
      <c r="C269" s="248"/>
      <c r="D269" s="247" t="s">
        <v>12</v>
      </c>
      <c r="E269" s="249">
        <f t="shared" si="171"/>
        <v>15</v>
      </c>
      <c r="F269" s="170">
        <f t="shared" si="171"/>
        <v>15.219000000000001</v>
      </c>
      <c r="G269" s="250">
        <v>0.15</v>
      </c>
      <c r="H269" s="171">
        <f t="shared" si="172"/>
        <v>0.15</v>
      </c>
      <c r="I269" s="249">
        <f t="shared" si="173"/>
        <v>0</v>
      </c>
      <c r="J269" s="170">
        <f t="shared" si="173"/>
        <v>0</v>
      </c>
      <c r="K269" s="252"/>
      <c r="L269" s="172">
        <f t="shared" si="174"/>
        <v>0</v>
      </c>
      <c r="M269" s="249">
        <f t="shared" si="175"/>
        <v>10</v>
      </c>
      <c r="N269" s="170">
        <f t="shared" si="176"/>
        <v>10.146000000000001</v>
      </c>
      <c r="O269" s="250">
        <v>0.1</v>
      </c>
      <c r="P269" s="172">
        <f t="shared" si="177"/>
        <v>0.1</v>
      </c>
      <c r="Q269" s="251">
        <f t="shared" si="178"/>
        <v>75</v>
      </c>
      <c r="R269" s="173">
        <f t="shared" si="179"/>
        <v>76.094999999999999</v>
      </c>
      <c r="S269" s="250">
        <v>0.75</v>
      </c>
      <c r="T269" s="171">
        <f t="shared" si="180"/>
        <v>0.75</v>
      </c>
      <c r="U269" s="256">
        <v>100</v>
      </c>
      <c r="V269" s="170">
        <f t="shared" si="181"/>
        <v>101.46000000000001</v>
      </c>
      <c r="W269" s="258">
        <v>0.25</v>
      </c>
      <c r="X269" s="257">
        <f>U269+U269*W269</f>
        <v>125</v>
      </c>
      <c r="Y269" s="170">
        <f t="shared" si="182"/>
        <v>126.82500000000002</v>
      </c>
      <c r="Z269" s="170">
        <f t="shared" si="183"/>
        <v>130</v>
      </c>
      <c r="AA269" s="407">
        <f t="shared" si="184"/>
        <v>0</v>
      </c>
      <c r="AB269" s="194"/>
    </row>
    <row r="270" spans="1:28" s="278" customFormat="1" ht="21" x14ac:dyDescent="0.25">
      <c r="A270" s="200">
        <v>504025</v>
      </c>
      <c r="B270" s="255" t="s">
        <v>19104</v>
      </c>
      <c r="C270" s="248"/>
      <c r="D270" s="247" t="s">
        <v>7</v>
      </c>
      <c r="E270" s="249">
        <f t="shared" si="171"/>
        <v>1.92</v>
      </c>
      <c r="F270" s="170">
        <f t="shared" si="171"/>
        <v>1.9480320000000004</v>
      </c>
      <c r="G270" s="250">
        <v>0.15</v>
      </c>
      <c r="H270" s="171">
        <f t="shared" si="172"/>
        <v>0.15</v>
      </c>
      <c r="I270" s="249">
        <f t="shared" si="173"/>
        <v>0</v>
      </c>
      <c r="J270" s="170">
        <f t="shared" si="173"/>
        <v>0</v>
      </c>
      <c r="K270" s="252"/>
      <c r="L270" s="172">
        <f t="shared" si="174"/>
        <v>0</v>
      </c>
      <c r="M270" s="249">
        <f t="shared" si="175"/>
        <v>1.2800000000000002</v>
      </c>
      <c r="N270" s="170">
        <f t="shared" si="176"/>
        <v>1.2986880000000003</v>
      </c>
      <c r="O270" s="250">
        <v>0.1</v>
      </c>
      <c r="P270" s="172">
        <f t="shared" si="177"/>
        <v>0.1</v>
      </c>
      <c r="Q270" s="251">
        <f t="shared" si="178"/>
        <v>9.6000000000000014</v>
      </c>
      <c r="R270" s="173">
        <f t="shared" si="179"/>
        <v>9.740160000000003</v>
      </c>
      <c r="S270" s="250">
        <v>0.75</v>
      </c>
      <c r="T270" s="171">
        <f t="shared" si="180"/>
        <v>0.75</v>
      </c>
      <c r="U270" s="256">
        <v>12.8</v>
      </c>
      <c r="V270" s="170">
        <f t="shared" si="181"/>
        <v>12.986880000000003</v>
      </c>
      <c r="W270" s="258">
        <v>0.25</v>
      </c>
      <c r="X270" s="257">
        <f>U270+U270*W270</f>
        <v>16</v>
      </c>
      <c r="Y270" s="170">
        <f t="shared" si="182"/>
        <v>16.233600000000003</v>
      </c>
      <c r="Z270" s="170">
        <f t="shared" si="183"/>
        <v>17</v>
      </c>
      <c r="AA270" s="407">
        <f t="shared" si="184"/>
        <v>0</v>
      </c>
      <c r="AB270" s="194"/>
    </row>
    <row r="271" spans="1:28" s="278" customFormat="1" ht="21" x14ac:dyDescent="0.25">
      <c r="A271" s="200">
        <v>504025</v>
      </c>
      <c r="B271" s="255" t="s">
        <v>19105</v>
      </c>
      <c r="C271" s="248"/>
      <c r="D271" s="247" t="s">
        <v>7</v>
      </c>
      <c r="E271" s="249">
        <f t="shared" si="171"/>
        <v>1.44</v>
      </c>
      <c r="F271" s="170">
        <f t="shared" si="171"/>
        <v>1.4610239999999999</v>
      </c>
      <c r="G271" s="250">
        <v>0.15</v>
      </c>
      <c r="H271" s="171">
        <f t="shared" si="172"/>
        <v>0.15</v>
      </c>
      <c r="I271" s="249">
        <f t="shared" si="173"/>
        <v>0</v>
      </c>
      <c r="J271" s="170">
        <f t="shared" si="173"/>
        <v>0</v>
      </c>
      <c r="K271" s="252"/>
      <c r="L271" s="172">
        <f t="shared" si="174"/>
        <v>0</v>
      </c>
      <c r="M271" s="249">
        <f t="shared" si="175"/>
        <v>0.96</v>
      </c>
      <c r="N271" s="170">
        <f t="shared" si="176"/>
        <v>0.97401599999999999</v>
      </c>
      <c r="O271" s="250">
        <v>0.1</v>
      </c>
      <c r="P271" s="172">
        <f t="shared" si="177"/>
        <v>0.1</v>
      </c>
      <c r="Q271" s="251">
        <f t="shared" si="178"/>
        <v>7.1999999999999993</v>
      </c>
      <c r="R271" s="173">
        <f t="shared" si="179"/>
        <v>7.3051199999999996</v>
      </c>
      <c r="S271" s="250">
        <v>0.75</v>
      </c>
      <c r="T271" s="171">
        <f t="shared" si="180"/>
        <v>0.75</v>
      </c>
      <c r="U271" s="256">
        <v>9.6</v>
      </c>
      <c r="V271" s="170">
        <f t="shared" si="181"/>
        <v>9.7401599999999995</v>
      </c>
      <c r="W271" s="258">
        <v>0.25</v>
      </c>
      <c r="X271" s="257">
        <f>U271+U271*W271</f>
        <v>12</v>
      </c>
      <c r="Y271" s="170">
        <f t="shared" si="182"/>
        <v>12.1752</v>
      </c>
      <c r="Z271" s="170">
        <f t="shared" si="183"/>
        <v>13</v>
      </c>
      <c r="AA271" s="407">
        <f t="shared" si="184"/>
        <v>0</v>
      </c>
      <c r="AB271" s="194"/>
    </row>
    <row r="272" spans="1:28" s="278" customFormat="1" ht="21" x14ac:dyDescent="0.25">
      <c r="A272" s="200">
        <v>504025</v>
      </c>
      <c r="B272" s="255" t="s">
        <v>14586</v>
      </c>
      <c r="C272" s="248"/>
      <c r="D272" s="247" t="s">
        <v>7</v>
      </c>
      <c r="E272" s="249">
        <f t="shared" si="171"/>
        <v>1.2</v>
      </c>
      <c r="F272" s="170">
        <f t="shared" si="171"/>
        <v>1.2175200000000002</v>
      </c>
      <c r="G272" s="250">
        <v>0.15</v>
      </c>
      <c r="H272" s="171">
        <f t="shared" si="172"/>
        <v>0.15</v>
      </c>
      <c r="I272" s="249">
        <f t="shared" si="173"/>
        <v>0</v>
      </c>
      <c r="J272" s="170">
        <f t="shared" si="173"/>
        <v>0</v>
      </c>
      <c r="K272" s="252"/>
      <c r="L272" s="172">
        <f t="shared" si="174"/>
        <v>0</v>
      </c>
      <c r="M272" s="249">
        <f t="shared" si="175"/>
        <v>0.8</v>
      </c>
      <c r="N272" s="170">
        <f t="shared" si="176"/>
        <v>0.81168000000000018</v>
      </c>
      <c r="O272" s="250">
        <v>0.1</v>
      </c>
      <c r="P272" s="172">
        <f t="shared" si="177"/>
        <v>0.1</v>
      </c>
      <c r="Q272" s="251">
        <f t="shared" si="178"/>
        <v>6</v>
      </c>
      <c r="R272" s="173">
        <f t="shared" si="179"/>
        <v>6.087600000000001</v>
      </c>
      <c r="S272" s="250">
        <v>0.75</v>
      </c>
      <c r="T272" s="171">
        <f t="shared" si="180"/>
        <v>0.75</v>
      </c>
      <c r="U272" s="256">
        <v>8</v>
      </c>
      <c r="V272" s="170">
        <f t="shared" si="181"/>
        <v>8.1168000000000013</v>
      </c>
      <c r="W272" s="258">
        <v>0.25</v>
      </c>
      <c r="X272" s="257">
        <f>U272*W272+U272</f>
        <v>10</v>
      </c>
      <c r="Y272" s="170">
        <f t="shared" si="182"/>
        <v>10.146000000000001</v>
      </c>
      <c r="Z272" s="170">
        <f t="shared" si="183"/>
        <v>11</v>
      </c>
      <c r="AA272" s="407">
        <f t="shared" si="184"/>
        <v>0</v>
      </c>
      <c r="AB272" s="194"/>
    </row>
    <row r="273" spans="1:28" s="278" customFormat="1" ht="14.4" thickBot="1" x14ac:dyDescent="0.3">
      <c r="A273" s="263">
        <v>504040</v>
      </c>
      <c r="B273" s="321" t="s">
        <v>14587</v>
      </c>
      <c r="C273" s="265"/>
      <c r="D273" s="264" t="s">
        <v>12</v>
      </c>
      <c r="E273" s="266">
        <f t="shared" si="171"/>
        <v>34.799999999999997</v>
      </c>
      <c r="F273" s="174">
        <f t="shared" si="171"/>
        <v>35.308079999999997</v>
      </c>
      <c r="G273" s="267">
        <v>0.15</v>
      </c>
      <c r="H273" s="268">
        <f t="shared" si="172"/>
        <v>0.15</v>
      </c>
      <c r="I273" s="266">
        <f t="shared" si="173"/>
        <v>0</v>
      </c>
      <c r="J273" s="174">
        <f t="shared" si="173"/>
        <v>0</v>
      </c>
      <c r="K273" s="408"/>
      <c r="L273" s="269">
        <f t="shared" si="174"/>
        <v>0</v>
      </c>
      <c r="M273" s="266">
        <f t="shared" si="175"/>
        <v>23.200000000000003</v>
      </c>
      <c r="N273" s="174">
        <f t="shared" si="176"/>
        <v>23.538720000000001</v>
      </c>
      <c r="O273" s="267">
        <v>0.1</v>
      </c>
      <c r="P273" s="269">
        <f t="shared" si="177"/>
        <v>0.1</v>
      </c>
      <c r="Q273" s="270">
        <f t="shared" si="178"/>
        <v>174</v>
      </c>
      <c r="R273" s="271">
        <f t="shared" si="179"/>
        <v>176.54040000000001</v>
      </c>
      <c r="S273" s="267">
        <v>0.75</v>
      </c>
      <c r="T273" s="268">
        <f t="shared" si="180"/>
        <v>0.75</v>
      </c>
      <c r="U273" s="409">
        <v>232</v>
      </c>
      <c r="V273" s="174">
        <f t="shared" si="181"/>
        <v>235.38720000000001</v>
      </c>
      <c r="W273" s="322">
        <v>0.25</v>
      </c>
      <c r="X273" s="274">
        <f>U273+U273*W273</f>
        <v>290</v>
      </c>
      <c r="Y273" s="174">
        <f t="shared" si="182"/>
        <v>294.23400000000004</v>
      </c>
      <c r="Z273" s="174">
        <f t="shared" si="183"/>
        <v>295</v>
      </c>
      <c r="AA273" s="410">
        <f t="shared" si="184"/>
        <v>0</v>
      </c>
      <c r="AB273" s="194"/>
    </row>
    <row r="274" spans="1:28" s="278" customFormat="1" x14ac:dyDescent="0.25">
      <c r="A274" s="200">
        <v>504040</v>
      </c>
      <c r="B274" s="313" t="s">
        <v>14588</v>
      </c>
      <c r="C274" s="248"/>
      <c r="D274" s="247" t="s">
        <v>12</v>
      </c>
      <c r="E274" s="249">
        <f t="shared" si="171"/>
        <v>19.2</v>
      </c>
      <c r="F274" s="170">
        <f t="shared" si="171"/>
        <v>27</v>
      </c>
      <c r="G274" s="250">
        <v>0.15</v>
      </c>
      <c r="H274" s="171">
        <f t="shared" si="172"/>
        <v>0.15</v>
      </c>
      <c r="I274" s="249">
        <f t="shared" si="173"/>
        <v>0</v>
      </c>
      <c r="J274" s="170">
        <f t="shared" si="173"/>
        <v>0</v>
      </c>
      <c r="K274" s="252"/>
      <c r="L274" s="172">
        <f t="shared" si="174"/>
        <v>0</v>
      </c>
      <c r="M274" s="249">
        <f t="shared" si="175"/>
        <v>12.8</v>
      </c>
      <c r="N274" s="170">
        <f t="shared" si="176"/>
        <v>18</v>
      </c>
      <c r="O274" s="250">
        <v>0.1</v>
      </c>
      <c r="P274" s="172">
        <f t="shared" si="177"/>
        <v>0.1</v>
      </c>
      <c r="Q274" s="251">
        <f t="shared" si="178"/>
        <v>96</v>
      </c>
      <c r="R274" s="173">
        <f t="shared" si="179"/>
        <v>135</v>
      </c>
      <c r="S274" s="250">
        <v>0.75</v>
      </c>
      <c r="T274" s="171">
        <f t="shared" si="180"/>
        <v>0.75</v>
      </c>
      <c r="U274" s="256">
        <v>128</v>
      </c>
      <c r="V274" s="170">
        <f>225/1.25</f>
        <v>180</v>
      </c>
      <c r="W274" s="258">
        <v>0.25</v>
      </c>
      <c r="X274" s="257">
        <f>(U274*W274)+U274</f>
        <v>160</v>
      </c>
      <c r="Y274" s="170">
        <f t="shared" si="182"/>
        <v>225</v>
      </c>
      <c r="Z274" s="170">
        <f t="shared" si="183"/>
        <v>225</v>
      </c>
      <c r="AA274" s="407">
        <f t="shared" si="184"/>
        <v>0</v>
      </c>
      <c r="AB274" s="194"/>
    </row>
    <row r="275" spans="1:28" s="278" customFormat="1" x14ac:dyDescent="0.25">
      <c r="A275" s="200">
        <v>504045</v>
      </c>
      <c r="B275" s="313" t="s">
        <v>14589</v>
      </c>
      <c r="C275" s="248"/>
      <c r="D275" s="247" t="s">
        <v>12</v>
      </c>
      <c r="E275" s="249">
        <f t="shared" si="171"/>
        <v>34.799999999999997</v>
      </c>
      <c r="F275" s="170">
        <f t="shared" si="171"/>
        <v>35.308079999999997</v>
      </c>
      <c r="G275" s="250">
        <v>0.15</v>
      </c>
      <c r="H275" s="171">
        <f t="shared" si="172"/>
        <v>0.15</v>
      </c>
      <c r="I275" s="249">
        <f t="shared" si="173"/>
        <v>0</v>
      </c>
      <c r="J275" s="170">
        <f t="shared" si="173"/>
        <v>0</v>
      </c>
      <c r="K275" s="252"/>
      <c r="L275" s="172">
        <f t="shared" si="174"/>
        <v>0</v>
      </c>
      <c r="M275" s="249">
        <f t="shared" si="175"/>
        <v>23.200000000000003</v>
      </c>
      <c r="N275" s="170">
        <f t="shared" si="176"/>
        <v>23.538720000000001</v>
      </c>
      <c r="O275" s="250">
        <v>0.1</v>
      </c>
      <c r="P275" s="172">
        <f t="shared" si="177"/>
        <v>0.1</v>
      </c>
      <c r="Q275" s="251">
        <f t="shared" si="178"/>
        <v>174</v>
      </c>
      <c r="R275" s="173">
        <f t="shared" si="179"/>
        <v>176.54040000000001</v>
      </c>
      <c r="S275" s="250">
        <v>0.75</v>
      </c>
      <c r="T275" s="171">
        <f t="shared" si="180"/>
        <v>0.75</v>
      </c>
      <c r="U275" s="256">
        <v>232</v>
      </c>
      <c r="V275" s="170">
        <f>SUM(E275*1.0235,I275*1.0175,M275*1.0245,Q275*1.0115)</f>
        <v>235.38720000000001</v>
      </c>
      <c r="W275" s="258">
        <v>0.25</v>
      </c>
      <c r="X275" s="257">
        <f t="shared" ref="X275:X290" si="185">U275+U275*W275</f>
        <v>290</v>
      </c>
      <c r="Y275" s="170">
        <f t="shared" si="182"/>
        <v>294.23400000000004</v>
      </c>
      <c r="Z275" s="170">
        <f t="shared" si="183"/>
        <v>295</v>
      </c>
      <c r="AA275" s="407">
        <f t="shared" si="184"/>
        <v>0</v>
      </c>
      <c r="AB275" s="194"/>
    </row>
    <row r="276" spans="1:28" s="278" customFormat="1" x14ac:dyDescent="0.25">
      <c r="A276" s="200">
        <v>504045</v>
      </c>
      <c r="B276" s="313" t="s">
        <v>14590</v>
      </c>
      <c r="C276" s="248"/>
      <c r="D276" s="247" t="s">
        <v>12</v>
      </c>
      <c r="E276" s="249">
        <f t="shared" si="171"/>
        <v>19.2</v>
      </c>
      <c r="F276" s="170">
        <f t="shared" si="171"/>
        <v>27</v>
      </c>
      <c r="G276" s="250">
        <v>0.15</v>
      </c>
      <c r="H276" s="171">
        <f t="shared" si="172"/>
        <v>0.15</v>
      </c>
      <c r="I276" s="249">
        <f t="shared" si="173"/>
        <v>0</v>
      </c>
      <c r="J276" s="170">
        <f t="shared" si="173"/>
        <v>0</v>
      </c>
      <c r="K276" s="252"/>
      <c r="L276" s="172">
        <f t="shared" si="174"/>
        <v>0</v>
      </c>
      <c r="M276" s="249">
        <f t="shared" si="175"/>
        <v>12.8</v>
      </c>
      <c r="N276" s="170">
        <f t="shared" si="176"/>
        <v>18</v>
      </c>
      <c r="O276" s="250">
        <v>0.1</v>
      </c>
      <c r="P276" s="172">
        <f t="shared" si="177"/>
        <v>0.1</v>
      </c>
      <c r="Q276" s="251">
        <f t="shared" si="178"/>
        <v>96</v>
      </c>
      <c r="R276" s="173">
        <f t="shared" si="179"/>
        <v>135</v>
      </c>
      <c r="S276" s="250">
        <v>0.75</v>
      </c>
      <c r="T276" s="171">
        <f t="shared" si="180"/>
        <v>0.75</v>
      </c>
      <c r="U276" s="256">
        <v>128</v>
      </c>
      <c r="V276" s="170">
        <f>225/1.25</f>
        <v>180</v>
      </c>
      <c r="W276" s="258">
        <v>0.25</v>
      </c>
      <c r="X276" s="257">
        <f t="shared" si="185"/>
        <v>160</v>
      </c>
      <c r="Y276" s="170">
        <f t="shared" si="182"/>
        <v>225</v>
      </c>
      <c r="Z276" s="170">
        <f t="shared" si="183"/>
        <v>225</v>
      </c>
      <c r="AA276" s="407">
        <f t="shared" si="184"/>
        <v>0</v>
      </c>
      <c r="AB276" s="194"/>
    </row>
    <row r="277" spans="1:28" s="278" customFormat="1" x14ac:dyDescent="0.25">
      <c r="A277" s="200">
        <v>504050</v>
      </c>
      <c r="B277" s="313" t="s">
        <v>14591</v>
      </c>
      <c r="C277" s="248"/>
      <c r="D277" s="247" t="s">
        <v>12</v>
      </c>
      <c r="E277" s="249">
        <f t="shared" si="171"/>
        <v>34.799999999999997</v>
      </c>
      <c r="F277" s="170">
        <f t="shared" si="171"/>
        <v>35.308079999999997</v>
      </c>
      <c r="G277" s="250">
        <v>0.15</v>
      </c>
      <c r="H277" s="171">
        <f t="shared" si="172"/>
        <v>0.15</v>
      </c>
      <c r="I277" s="249">
        <f t="shared" si="173"/>
        <v>0</v>
      </c>
      <c r="J277" s="170">
        <f t="shared" si="173"/>
        <v>0</v>
      </c>
      <c r="K277" s="252"/>
      <c r="L277" s="172">
        <f t="shared" si="174"/>
        <v>0</v>
      </c>
      <c r="M277" s="249">
        <f t="shared" si="175"/>
        <v>23.200000000000003</v>
      </c>
      <c r="N277" s="170">
        <f t="shared" si="176"/>
        <v>23.538720000000001</v>
      </c>
      <c r="O277" s="250">
        <v>0.1</v>
      </c>
      <c r="P277" s="172">
        <f t="shared" si="177"/>
        <v>0.1</v>
      </c>
      <c r="Q277" s="251">
        <f t="shared" si="178"/>
        <v>174</v>
      </c>
      <c r="R277" s="173">
        <f t="shared" si="179"/>
        <v>176.54040000000001</v>
      </c>
      <c r="S277" s="250">
        <v>0.75</v>
      </c>
      <c r="T277" s="171">
        <f t="shared" si="180"/>
        <v>0.75</v>
      </c>
      <c r="U277" s="256">
        <v>232</v>
      </c>
      <c r="V277" s="170">
        <f>SUM(E277*1.0235,I277*1.0175,M277*1.0245,Q277*1.0115)</f>
        <v>235.38720000000001</v>
      </c>
      <c r="W277" s="258">
        <v>0.25</v>
      </c>
      <c r="X277" s="257">
        <f t="shared" si="185"/>
        <v>290</v>
      </c>
      <c r="Y277" s="170">
        <f t="shared" si="182"/>
        <v>294.23400000000004</v>
      </c>
      <c r="Z277" s="170">
        <f t="shared" si="183"/>
        <v>295</v>
      </c>
      <c r="AA277" s="407">
        <f t="shared" si="184"/>
        <v>0</v>
      </c>
      <c r="AB277" s="194"/>
    </row>
    <row r="278" spans="1:28" s="278" customFormat="1" x14ac:dyDescent="0.25">
      <c r="A278" s="200">
        <v>504050</v>
      </c>
      <c r="B278" s="313" t="s">
        <v>14592</v>
      </c>
      <c r="C278" s="248"/>
      <c r="D278" s="247" t="s">
        <v>12</v>
      </c>
      <c r="E278" s="249">
        <f t="shared" si="171"/>
        <v>19.2</v>
      </c>
      <c r="F278" s="170">
        <f t="shared" si="171"/>
        <v>27</v>
      </c>
      <c r="G278" s="250">
        <v>0.15</v>
      </c>
      <c r="H278" s="171">
        <f t="shared" si="172"/>
        <v>0.15</v>
      </c>
      <c r="I278" s="249">
        <f t="shared" si="173"/>
        <v>0</v>
      </c>
      <c r="J278" s="170">
        <f t="shared" si="173"/>
        <v>0</v>
      </c>
      <c r="K278" s="252"/>
      <c r="L278" s="172">
        <f t="shared" si="174"/>
        <v>0</v>
      </c>
      <c r="M278" s="249">
        <f t="shared" si="175"/>
        <v>12.8</v>
      </c>
      <c r="N278" s="170">
        <f t="shared" si="176"/>
        <v>18</v>
      </c>
      <c r="O278" s="250">
        <v>0.1</v>
      </c>
      <c r="P278" s="172">
        <f t="shared" si="177"/>
        <v>0.1</v>
      </c>
      <c r="Q278" s="251">
        <f t="shared" si="178"/>
        <v>96</v>
      </c>
      <c r="R278" s="173">
        <f t="shared" si="179"/>
        <v>135</v>
      </c>
      <c r="S278" s="250">
        <v>0.75</v>
      </c>
      <c r="T278" s="171">
        <f t="shared" si="180"/>
        <v>0.75</v>
      </c>
      <c r="U278" s="256">
        <v>128</v>
      </c>
      <c r="V278" s="170">
        <f>225/1.25</f>
        <v>180</v>
      </c>
      <c r="W278" s="258">
        <v>0.25</v>
      </c>
      <c r="X278" s="257">
        <f t="shared" si="185"/>
        <v>160</v>
      </c>
      <c r="Y278" s="170">
        <f t="shared" si="182"/>
        <v>225</v>
      </c>
      <c r="Z278" s="170">
        <f t="shared" si="183"/>
        <v>225</v>
      </c>
      <c r="AA278" s="407">
        <f t="shared" si="184"/>
        <v>0</v>
      </c>
      <c r="AB278" s="194"/>
    </row>
    <row r="279" spans="1:28" s="278" customFormat="1" x14ac:dyDescent="0.25">
      <c r="A279" s="200">
        <v>504055</v>
      </c>
      <c r="B279" s="313" t="s">
        <v>14593</v>
      </c>
      <c r="C279" s="248"/>
      <c r="D279" s="247" t="s">
        <v>12</v>
      </c>
      <c r="E279" s="249">
        <f t="shared" si="171"/>
        <v>34.799999999999997</v>
      </c>
      <c r="F279" s="170">
        <f t="shared" si="171"/>
        <v>35.308079999999997</v>
      </c>
      <c r="G279" s="250">
        <v>0.15</v>
      </c>
      <c r="H279" s="171">
        <f t="shared" si="172"/>
        <v>0.15</v>
      </c>
      <c r="I279" s="249">
        <f t="shared" si="173"/>
        <v>0</v>
      </c>
      <c r="J279" s="170">
        <f t="shared" si="173"/>
        <v>0</v>
      </c>
      <c r="K279" s="252"/>
      <c r="L279" s="172">
        <f t="shared" si="174"/>
        <v>0</v>
      </c>
      <c r="M279" s="249">
        <f t="shared" si="175"/>
        <v>23.200000000000003</v>
      </c>
      <c r="N279" s="170">
        <f t="shared" si="176"/>
        <v>23.538720000000001</v>
      </c>
      <c r="O279" s="250">
        <v>0.1</v>
      </c>
      <c r="P279" s="172">
        <f t="shared" si="177"/>
        <v>0.1</v>
      </c>
      <c r="Q279" s="251">
        <f t="shared" si="178"/>
        <v>174</v>
      </c>
      <c r="R279" s="173">
        <f t="shared" si="179"/>
        <v>176.54040000000001</v>
      </c>
      <c r="S279" s="250">
        <v>0.75</v>
      </c>
      <c r="T279" s="171">
        <f t="shared" si="180"/>
        <v>0.75</v>
      </c>
      <c r="U279" s="256">
        <v>232</v>
      </c>
      <c r="V279" s="170">
        <f>SUM(E279*1.0235,I279*1.0175,M279*1.0245,Q279*1.0115)</f>
        <v>235.38720000000001</v>
      </c>
      <c r="W279" s="258">
        <v>0.25</v>
      </c>
      <c r="X279" s="257">
        <f t="shared" si="185"/>
        <v>290</v>
      </c>
      <c r="Y279" s="170">
        <f t="shared" si="182"/>
        <v>294.23400000000004</v>
      </c>
      <c r="Z279" s="170">
        <f t="shared" si="183"/>
        <v>295</v>
      </c>
      <c r="AA279" s="407">
        <f t="shared" si="184"/>
        <v>0</v>
      </c>
      <c r="AB279" s="194"/>
    </row>
    <row r="280" spans="1:28" s="278" customFormat="1" x14ac:dyDescent="0.25">
      <c r="A280" s="200">
        <v>504055</v>
      </c>
      <c r="B280" s="313" t="s">
        <v>14594</v>
      </c>
      <c r="C280" s="248"/>
      <c r="D280" s="247" t="s">
        <v>12</v>
      </c>
      <c r="E280" s="249">
        <f t="shared" si="171"/>
        <v>19.2</v>
      </c>
      <c r="F280" s="170">
        <f t="shared" si="171"/>
        <v>27</v>
      </c>
      <c r="G280" s="250">
        <v>0.15</v>
      </c>
      <c r="H280" s="171">
        <f t="shared" si="172"/>
        <v>0.15</v>
      </c>
      <c r="I280" s="249">
        <f t="shared" si="173"/>
        <v>0</v>
      </c>
      <c r="J280" s="170">
        <f t="shared" si="173"/>
        <v>0</v>
      </c>
      <c r="K280" s="252"/>
      <c r="L280" s="172">
        <f t="shared" si="174"/>
        <v>0</v>
      </c>
      <c r="M280" s="249">
        <f t="shared" si="175"/>
        <v>12.8</v>
      </c>
      <c r="N280" s="170">
        <f t="shared" si="176"/>
        <v>18</v>
      </c>
      <c r="O280" s="250">
        <v>0.1</v>
      </c>
      <c r="P280" s="172">
        <f t="shared" si="177"/>
        <v>0.1</v>
      </c>
      <c r="Q280" s="251">
        <f t="shared" si="178"/>
        <v>96</v>
      </c>
      <c r="R280" s="173">
        <f t="shared" si="179"/>
        <v>135</v>
      </c>
      <c r="S280" s="250">
        <v>0.75</v>
      </c>
      <c r="T280" s="171">
        <f t="shared" si="180"/>
        <v>0.75</v>
      </c>
      <c r="U280" s="256">
        <v>128</v>
      </c>
      <c r="V280" s="170">
        <f>225/1.25</f>
        <v>180</v>
      </c>
      <c r="W280" s="258">
        <v>0.25</v>
      </c>
      <c r="X280" s="257">
        <f t="shared" si="185"/>
        <v>160</v>
      </c>
      <c r="Y280" s="170">
        <f t="shared" si="182"/>
        <v>225</v>
      </c>
      <c r="Z280" s="170">
        <f t="shared" si="183"/>
        <v>225</v>
      </c>
      <c r="AA280" s="407">
        <f t="shared" si="184"/>
        <v>0</v>
      </c>
      <c r="AB280" s="194"/>
    </row>
    <row r="281" spans="1:28" s="278" customFormat="1" x14ac:dyDescent="0.25">
      <c r="A281" s="200">
        <v>504140</v>
      </c>
      <c r="B281" s="313" t="s">
        <v>14595</v>
      </c>
      <c r="C281" s="248"/>
      <c r="D281" s="247" t="s">
        <v>12</v>
      </c>
      <c r="E281" s="249">
        <f t="shared" si="171"/>
        <v>36</v>
      </c>
      <c r="F281" s="170">
        <f t="shared" si="171"/>
        <v>36.525600000000004</v>
      </c>
      <c r="G281" s="250">
        <v>0.15</v>
      </c>
      <c r="H281" s="171">
        <f t="shared" si="172"/>
        <v>0.15</v>
      </c>
      <c r="I281" s="249">
        <f t="shared" si="173"/>
        <v>0</v>
      </c>
      <c r="J281" s="170">
        <f t="shared" si="173"/>
        <v>0</v>
      </c>
      <c r="K281" s="252"/>
      <c r="L281" s="172">
        <f t="shared" si="174"/>
        <v>0</v>
      </c>
      <c r="M281" s="249">
        <f t="shared" si="175"/>
        <v>24</v>
      </c>
      <c r="N281" s="170">
        <f t="shared" si="176"/>
        <v>24.350400000000004</v>
      </c>
      <c r="O281" s="250">
        <v>0.1</v>
      </c>
      <c r="P281" s="172">
        <f t="shared" si="177"/>
        <v>0.1</v>
      </c>
      <c r="Q281" s="251">
        <f t="shared" si="178"/>
        <v>180</v>
      </c>
      <c r="R281" s="173">
        <f t="shared" si="179"/>
        <v>182.62800000000001</v>
      </c>
      <c r="S281" s="250">
        <v>0.75</v>
      </c>
      <c r="T281" s="171">
        <f t="shared" si="180"/>
        <v>0.75</v>
      </c>
      <c r="U281" s="256">
        <v>240</v>
      </c>
      <c r="V281" s="170">
        <f>SUM(E281*1.0235,I281*1.0175,M281*1.0245,Q281*1.0115)</f>
        <v>243.50400000000002</v>
      </c>
      <c r="W281" s="258">
        <v>0.25</v>
      </c>
      <c r="X281" s="257">
        <f t="shared" si="185"/>
        <v>300</v>
      </c>
      <c r="Y281" s="170">
        <f t="shared" si="182"/>
        <v>304.38</v>
      </c>
      <c r="Z281" s="170">
        <f t="shared" si="183"/>
        <v>305</v>
      </c>
      <c r="AA281" s="407">
        <f t="shared" si="184"/>
        <v>0</v>
      </c>
      <c r="AB281" s="194"/>
    </row>
    <row r="282" spans="1:28" s="278" customFormat="1" x14ac:dyDescent="0.25">
      <c r="A282" s="200">
        <v>504140</v>
      </c>
      <c r="B282" s="313" t="s">
        <v>14596</v>
      </c>
      <c r="C282" s="248"/>
      <c r="D282" s="247" t="s">
        <v>12</v>
      </c>
      <c r="E282" s="249">
        <f t="shared" si="171"/>
        <v>21</v>
      </c>
      <c r="F282" s="170">
        <f t="shared" si="171"/>
        <v>28.2</v>
      </c>
      <c r="G282" s="250">
        <v>0.15</v>
      </c>
      <c r="H282" s="171">
        <f t="shared" si="172"/>
        <v>0.15</v>
      </c>
      <c r="I282" s="249">
        <f t="shared" si="173"/>
        <v>0</v>
      </c>
      <c r="J282" s="170">
        <f t="shared" si="173"/>
        <v>0</v>
      </c>
      <c r="K282" s="252"/>
      <c r="L282" s="172">
        <f t="shared" si="174"/>
        <v>0</v>
      </c>
      <c r="M282" s="249">
        <f t="shared" si="175"/>
        <v>14</v>
      </c>
      <c r="N282" s="170">
        <f t="shared" si="176"/>
        <v>18.8</v>
      </c>
      <c r="O282" s="250">
        <v>0.1</v>
      </c>
      <c r="P282" s="172">
        <f t="shared" si="177"/>
        <v>0.1</v>
      </c>
      <c r="Q282" s="251">
        <f t="shared" si="178"/>
        <v>105</v>
      </c>
      <c r="R282" s="173">
        <f t="shared" si="179"/>
        <v>141</v>
      </c>
      <c r="S282" s="250">
        <v>0.75</v>
      </c>
      <c r="T282" s="171">
        <f t="shared" si="180"/>
        <v>0.75</v>
      </c>
      <c r="U282" s="256">
        <v>140</v>
      </c>
      <c r="V282" s="170">
        <f>235/1.25</f>
        <v>188</v>
      </c>
      <c r="W282" s="258">
        <v>0.25</v>
      </c>
      <c r="X282" s="257">
        <f t="shared" si="185"/>
        <v>175</v>
      </c>
      <c r="Y282" s="170">
        <f t="shared" si="182"/>
        <v>235</v>
      </c>
      <c r="Z282" s="170">
        <f t="shared" si="183"/>
        <v>235</v>
      </c>
      <c r="AA282" s="407">
        <f t="shared" si="184"/>
        <v>0</v>
      </c>
      <c r="AB282" s="194"/>
    </row>
    <row r="283" spans="1:28" s="278" customFormat="1" x14ac:dyDescent="0.25">
      <c r="A283" s="200">
        <v>504145</v>
      </c>
      <c r="B283" s="313" t="s">
        <v>14597</v>
      </c>
      <c r="C283" s="248"/>
      <c r="D283" s="247" t="s">
        <v>12</v>
      </c>
      <c r="E283" s="249">
        <f t="shared" si="171"/>
        <v>37.5</v>
      </c>
      <c r="F283" s="170">
        <f t="shared" si="171"/>
        <v>38.047499999999999</v>
      </c>
      <c r="G283" s="250">
        <v>0.15</v>
      </c>
      <c r="H283" s="171">
        <f t="shared" si="172"/>
        <v>0.15</v>
      </c>
      <c r="I283" s="249">
        <f t="shared" si="173"/>
        <v>0</v>
      </c>
      <c r="J283" s="170">
        <f t="shared" si="173"/>
        <v>0</v>
      </c>
      <c r="K283" s="252"/>
      <c r="L283" s="172">
        <f t="shared" si="174"/>
        <v>0</v>
      </c>
      <c r="M283" s="249">
        <f t="shared" si="175"/>
        <v>25</v>
      </c>
      <c r="N283" s="170">
        <f t="shared" si="176"/>
        <v>25.365000000000002</v>
      </c>
      <c r="O283" s="250">
        <v>0.1</v>
      </c>
      <c r="P283" s="172">
        <f t="shared" si="177"/>
        <v>0.1</v>
      </c>
      <c r="Q283" s="251">
        <f t="shared" si="178"/>
        <v>187.5</v>
      </c>
      <c r="R283" s="173">
        <f t="shared" si="179"/>
        <v>190.23750000000001</v>
      </c>
      <c r="S283" s="250">
        <v>0.75</v>
      </c>
      <c r="T283" s="171">
        <f t="shared" si="180"/>
        <v>0.75</v>
      </c>
      <c r="U283" s="256">
        <v>250</v>
      </c>
      <c r="V283" s="170">
        <f>SUM(E283*1.0235,I283*1.0175,M283*1.0245,Q283*1.0115)</f>
        <v>253.65</v>
      </c>
      <c r="W283" s="258">
        <v>0.25</v>
      </c>
      <c r="X283" s="257">
        <f t="shared" si="185"/>
        <v>312.5</v>
      </c>
      <c r="Y283" s="170">
        <f t="shared" si="182"/>
        <v>317.0625</v>
      </c>
      <c r="Z283" s="170">
        <f t="shared" si="183"/>
        <v>320</v>
      </c>
      <c r="AA283" s="407">
        <f t="shared" si="184"/>
        <v>0</v>
      </c>
      <c r="AB283" s="194"/>
    </row>
    <row r="284" spans="1:28" s="278" customFormat="1" x14ac:dyDescent="0.25">
      <c r="A284" s="200">
        <v>504145</v>
      </c>
      <c r="B284" s="313" t="s">
        <v>14598</v>
      </c>
      <c r="C284" s="248"/>
      <c r="D284" s="247" t="s">
        <v>12</v>
      </c>
      <c r="E284" s="249">
        <f t="shared" si="171"/>
        <v>21</v>
      </c>
      <c r="F284" s="170">
        <f t="shared" si="171"/>
        <v>28.2</v>
      </c>
      <c r="G284" s="250">
        <v>0.15</v>
      </c>
      <c r="H284" s="171">
        <f t="shared" si="172"/>
        <v>0.15</v>
      </c>
      <c r="I284" s="249">
        <f t="shared" si="173"/>
        <v>0</v>
      </c>
      <c r="J284" s="170">
        <f t="shared" si="173"/>
        <v>0</v>
      </c>
      <c r="K284" s="252"/>
      <c r="L284" s="172">
        <f t="shared" si="174"/>
        <v>0</v>
      </c>
      <c r="M284" s="249">
        <f t="shared" si="175"/>
        <v>14</v>
      </c>
      <c r="N284" s="170">
        <f t="shared" si="176"/>
        <v>18.8</v>
      </c>
      <c r="O284" s="250">
        <v>0.1</v>
      </c>
      <c r="P284" s="172">
        <f t="shared" si="177"/>
        <v>0.1</v>
      </c>
      <c r="Q284" s="251">
        <f t="shared" si="178"/>
        <v>105</v>
      </c>
      <c r="R284" s="173">
        <f t="shared" si="179"/>
        <v>141</v>
      </c>
      <c r="S284" s="250">
        <v>0.75</v>
      </c>
      <c r="T284" s="171">
        <f t="shared" si="180"/>
        <v>0.75</v>
      </c>
      <c r="U284" s="256">
        <v>140</v>
      </c>
      <c r="V284" s="170">
        <f>235/1.25</f>
        <v>188</v>
      </c>
      <c r="W284" s="258">
        <v>0.25</v>
      </c>
      <c r="X284" s="257">
        <f t="shared" si="185"/>
        <v>175</v>
      </c>
      <c r="Y284" s="170">
        <f t="shared" si="182"/>
        <v>235</v>
      </c>
      <c r="Z284" s="170">
        <f t="shared" si="183"/>
        <v>235</v>
      </c>
      <c r="AA284" s="407">
        <f t="shared" si="184"/>
        <v>0</v>
      </c>
      <c r="AB284" s="194"/>
    </row>
    <row r="285" spans="1:28" s="278" customFormat="1" x14ac:dyDescent="0.25">
      <c r="A285" s="200">
        <v>504150</v>
      </c>
      <c r="B285" s="313" t="s">
        <v>14599</v>
      </c>
      <c r="C285" s="248"/>
      <c r="D285" s="247" t="s">
        <v>12</v>
      </c>
      <c r="E285" s="249">
        <f t="shared" si="171"/>
        <v>37.5</v>
      </c>
      <c r="F285" s="170">
        <f t="shared" si="171"/>
        <v>38.047499999999999</v>
      </c>
      <c r="G285" s="250">
        <v>0.15</v>
      </c>
      <c r="H285" s="171">
        <f t="shared" si="172"/>
        <v>0.15</v>
      </c>
      <c r="I285" s="249">
        <f t="shared" si="173"/>
        <v>0</v>
      </c>
      <c r="J285" s="170">
        <f t="shared" si="173"/>
        <v>0</v>
      </c>
      <c r="K285" s="252"/>
      <c r="L285" s="172">
        <f t="shared" si="174"/>
        <v>0</v>
      </c>
      <c r="M285" s="249">
        <f t="shared" si="175"/>
        <v>25</v>
      </c>
      <c r="N285" s="170">
        <f t="shared" si="176"/>
        <v>25.365000000000002</v>
      </c>
      <c r="O285" s="250">
        <v>0.1</v>
      </c>
      <c r="P285" s="172">
        <f t="shared" si="177"/>
        <v>0.1</v>
      </c>
      <c r="Q285" s="251">
        <f t="shared" si="178"/>
        <v>187.5</v>
      </c>
      <c r="R285" s="173">
        <f t="shared" si="179"/>
        <v>190.23750000000001</v>
      </c>
      <c r="S285" s="250">
        <v>0.75</v>
      </c>
      <c r="T285" s="171">
        <f t="shared" si="180"/>
        <v>0.75</v>
      </c>
      <c r="U285" s="256">
        <v>250</v>
      </c>
      <c r="V285" s="170">
        <f>SUM(E285*1.0235,I285*1.0175,M285*1.0245,Q285*1.0115)</f>
        <v>253.65</v>
      </c>
      <c r="W285" s="258">
        <v>0.25</v>
      </c>
      <c r="X285" s="257">
        <f t="shared" si="185"/>
        <v>312.5</v>
      </c>
      <c r="Y285" s="170">
        <f t="shared" si="182"/>
        <v>317.0625</v>
      </c>
      <c r="Z285" s="170">
        <f t="shared" si="183"/>
        <v>320</v>
      </c>
      <c r="AA285" s="407">
        <f t="shared" si="184"/>
        <v>0</v>
      </c>
      <c r="AB285" s="194"/>
    </row>
    <row r="286" spans="1:28" s="278" customFormat="1" x14ac:dyDescent="0.25">
      <c r="A286" s="200">
        <v>504150</v>
      </c>
      <c r="B286" s="313" t="s">
        <v>14600</v>
      </c>
      <c r="C286" s="248"/>
      <c r="D286" s="247" t="s">
        <v>12</v>
      </c>
      <c r="E286" s="249">
        <f t="shared" si="171"/>
        <v>21</v>
      </c>
      <c r="F286" s="170">
        <f t="shared" si="171"/>
        <v>28.2</v>
      </c>
      <c r="G286" s="250">
        <v>0.15</v>
      </c>
      <c r="H286" s="171">
        <f t="shared" si="172"/>
        <v>0.15</v>
      </c>
      <c r="I286" s="249">
        <f t="shared" si="173"/>
        <v>0</v>
      </c>
      <c r="J286" s="170">
        <f t="shared" si="173"/>
        <v>0</v>
      </c>
      <c r="K286" s="252"/>
      <c r="L286" s="172">
        <f t="shared" si="174"/>
        <v>0</v>
      </c>
      <c r="M286" s="249">
        <f t="shared" si="175"/>
        <v>14</v>
      </c>
      <c r="N286" s="170">
        <f t="shared" si="176"/>
        <v>18.8</v>
      </c>
      <c r="O286" s="250">
        <v>0.1</v>
      </c>
      <c r="P286" s="172">
        <f t="shared" si="177"/>
        <v>0.1</v>
      </c>
      <c r="Q286" s="251">
        <f t="shared" si="178"/>
        <v>105</v>
      </c>
      <c r="R286" s="173">
        <f t="shared" si="179"/>
        <v>141</v>
      </c>
      <c r="S286" s="250">
        <v>0.75</v>
      </c>
      <c r="T286" s="171">
        <f t="shared" si="180"/>
        <v>0.75</v>
      </c>
      <c r="U286" s="256">
        <v>140</v>
      </c>
      <c r="V286" s="170">
        <f>235/1.25</f>
        <v>188</v>
      </c>
      <c r="W286" s="258">
        <v>0.25</v>
      </c>
      <c r="X286" s="257">
        <f t="shared" si="185"/>
        <v>175</v>
      </c>
      <c r="Y286" s="170">
        <f t="shared" si="182"/>
        <v>235</v>
      </c>
      <c r="Z286" s="170">
        <f t="shared" si="183"/>
        <v>235</v>
      </c>
      <c r="AA286" s="407">
        <f t="shared" si="184"/>
        <v>0</v>
      </c>
      <c r="AB286" s="194"/>
    </row>
    <row r="287" spans="1:28" s="278" customFormat="1" x14ac:dyDescent="0.25">
      <c r="A287" s="200">
        <v>504155</v>
      </c>
      <c r="B287" s="313" t="s">
        <v>14601</v>
      </c>
      <c r="C287" s="248"/>
      <c r="D287" s="247" t="s">
        <v>12</v>
      </c>
      <c r="E287" s="249">
        <f t="shared" si="171"/>
        <v>37.5</v>
      </c>
      <c r="F287" s="170">
        <f t="shared" si="171"/>
        <v>38.047499999999999</v>
      </c>
      <c r="G287" s="250">
        <v>0.15</v>
      </c>
      <c r="H287" s="171">
        <f t="shared" si="172"/>
        <v>0.15</v>
      </c>
      <c r="I287" s="249">
        <f t="shared" si="173"/>
        <v>0</v>
      </c>
      <c r="J287" s="170">
        <f t="shared" si="173"/>
        <v>0</v>
      </c>
      <c r="K287" s="252"/>
      <c r="L287" s="172">
        <f t="shared" si="174"/>
        <v>0</v>
      </c>
      <c r="M287" s="249">
        <f t="shared" si="175"/>
        <v>25</v>
      </c>
      <c r="N287" s="170">
        <f t="shared" si="176"/>
        <v>25.365000000000002</v>
      </c>
      <c r="O287" s="250">
        <v>0.1</v>
      </c>
      <c r="P287" s="172">
        <f t="shared" si="177"/>
        <v>0.1</v>
      </c>
      <c r="Q287" s="251">
        <f t="shared" si="178"/>
        <v>187.5</v>
      </c>
      <c r="R287" s="173">
        <f t="shared" si="179"/>
        <v>190.23750000000001</v>
      </c>
      <c r="S287" s="250">
        <v>0.75</v>
      </c>
      <c r="T287" s="171">
        <f t="shared" si="180"/>
        <v>0.75</v>
      </c>
      <c r="U287" s="256">
        <v>250</v>
      </c>
      <c r="V287" s="170">
        <f>SUM(E287*1.0235,I287*1.0175,M287*1.0245,Q287*1.0115)</f>
        <v>253.65</v>
      </c>
      <c r="W287" s="258">
        <v>0.25</v>
      </c>
      <c r="X287" s="257">
        <f t="shared" si="185"/>
        <v>312.5</v>
      </c>
      <c r="Y287" s="170">
        <f t="shared" si="182"/>
        <v>317.0625</v>
      </c>
      <c r="Z287" s="170">
        <f t="shared" si="183"/>
        <v>320</v>
      </c>
      <c r="AA287" s="407">
        <f t="shared" si="184"/>
        <v>0</v>
      </c>
      <c r="AB287" s="194"/>
    </row>
    <row r="288" spans="1:28" s="278" customFormat="1" x14ac:dyDescent="0.25">
      <c r="A288" s="200">
        <v>504155</v>
      </c>
      <c r="B288" s="313" t="s">
        <v>14602</v>
      </c>
      <c r="C288" s="248"/>
      <c r="D288" s="247" t="s">
        <v>12</v>
      </c>
      <c r="E288" s="249">
        <f t="shared" si="171"/>
        <v>21</v>
      </c>
      <c r="F288" s="170">
        <f t="shared" si="171"/>
        <v>28.2</v>
      </c>
      <c r="G288" s="250">
        <v>0.15</v>
      </c>
      <c r="H288" s="171">
        <f t="shared" si="172"/>
        <v>0.15</v>
      </c>
      <c r="I288" s="249">
        <f t="shared" si="173"/>
        <v>0</v>
      </c>
      <c r="J288" s="170">
        <f t="shared" si="173"/>
        <v>0</v>
      </c>
      <c r="K288" s="252"/>
      <c r="L288" s="172">
        <f t="shared" si="174"/>
        <v>0</v>
      </c>
      <c r="M288" s="249">
        <f t="shared" si="175"/>
        <v>14</v>
      </c>
      <c r="N288" s="170">
        <f t="shared" si="176"/>
        <v>18.8</v>
      </c>
      <c r="O288" s="250">
        <v>0.1</v>
      </c>
      <c r="P288" s="172">
        <f t="shared" si="177"/>
        <v>0.1</v>
      </c>
      <c r="Q288" s="251">
        <f t="shared" si="178"/>
        <v>105</v>
      </c>
      <c r="R288" s="173">
        <f t="shared" si="179"/>
        <v>141</v>
      </c>
      <c r="S288" s="250">
        <v>0.75</v>
      </c>
      <c r="T288" s="171">
        <f t="shared" si="180"/>
        <v>0.75</v>
      </c>
      <c r="U288" s="256">
        <v>140</v>
      </c>
      <c r="V288" s="170">
        <f>235/1.25</f>
        <v>188</v>
      </c>
      <c r="W288" s="258">
        <v>0.25</v>
      </c>
      <c r="X288" s="257">
        <f t="shared" si="185"/>
        <v>175</v>
      </c>
      <c r="Y288" s="170">
        <f t="shared" si="182"/>
        <v>235</v>
      </c>
      <c r="Z288" s="170">
        <f t="shared" si="183"/>
        <v>235</v>
      </c>
      <c r="AA288" s="407">
        <f t="shared" si="184"/>
        <v>0</v>
      </c>
      <c r="AB288" s="194"/>
    </row>
    <row r="289" spans="1:28" s="278" customFormat="1" x14ac:dyDescent="0.25">
      <c r="A289" s="200">
        <v>504260</v>
      </c>
      <c r="B289" s="313" t="s">
        <v>14603</v>
      </c>
      <c r="C289" s="248"/>
      <c r="D289" s="247" t="s">
        <v>12</v>
      </c>
      <c r="E289" s="249">
        <f t="shared" si="171"/>
        <v>26.4</v>
      </c>
      <c r="F289" s="170">
        <f t="shared" si="171"/>
        <v>38.4</v>
      </c>
      <c r="G289" s="250">
        <v>0.15</v>
      </c>
      <c r="H289" s="171">
        <f t="shared" si="172"/>
        <v>0.15</v>
      </c>
      <c r="I289" s="249">
        <f t="shared" si="173"/>
        <v>0</v>
      </c>
      <c r="J289" s="170">
        <f t="shared" si="173"/>
        <v>0</v>
      </c>
      <c r="K289" s="252"/>
      <c r="L289" s="172">
        <f t="shared" si="174"/>
        <v>0</v>
      </c>
      <c r="M289" s="249">
        <f t="shared" si="175"/>
        <v>17.600000000000001</v>
      </c>
      <c r="N289" s="170">
        <f t="shared" si="176"/>
        <v>25.6</v>
      </c>
      <c r="O289" s="250">
        <v>0.1</v>
      </c>
      <c r="P289" s="172">
        <f t="shared" si="177"/>
        <v>0.1</v>
      </c>
      <c r="Q289" s="251">
        <f t="shared" si="178"/>
        <v>132</v>
      </c>
      <c r="R289" s="173">
        <f t="shared" si="179"/>
        <v>192</v>
      </c>
      <c r="S289" s="250">
        <v>0.75</v>
      </c>
      <c r="T289" s="171">
        <f t="shared" si="180"/>
        <v>0.75</v>
      </c>
      <c r="U289" s="256">
        <v>176</v>
      </c>
      <c r="V289" s="170">
        <f>320/1.25</f>
        <v>256</v>
      </c>
      <c r="W289" s="258">
        <v>0.25</v>
      </c>
      <c r="X289" s="257">
        <f t="shared" si="185"/>
        <v>220</v>
      </c>
      <c r="Y289" s="170">
        <f t="shared" si="182"/>
        <v>320</v>
      </c>
      <c r="Z289" s="170">
        <f t="shared" si="183"/>
        <v>320</v>
      </c>
      <c r="AA289" s="407">
        <f t="shared" si="184"/>
        <v>0</v>
      </c>
      <c r="AB289" s="194"/>
    </row>
    <row r="290" spans="1:28" s="278" customFormat="1" x14ac:dyDescent="0.25">
      <c r="A290" s="200">
        <v>504260</v>
      </c>
      <c r="B290" s="313" t="s">
        <v>14604</v>
      </c>
      <c r="C290" s="248"/>
      <c r="D290" s="247" t="s">
        <v>12</v>
      </c>
      <c r="E290" s="249">
        <f t="shared" si="171"/>
        <v>21.599999999999998</v>
      </c>
      <c r="F290" s="170">
        <f t="shared" si="171"/>
        <v>31.799999999999997</v>
      </c>
      <c r="G290" s="250">
        <v>0.15</v>
      </c>
      <c r="H290" s="171">
        <f t="shared" si="172"/>
        <v>0.15</v>
      </c>
      <c r="I290" s="249">
        <f t="shared" si="173"/>
        <v>0</v>
      </c>
      <c r="J290" s="170">
        <f t="shared" si="173"/>
        <v>0</v>
      </c>
      <c r="K290" s="252"/>
      <c r="L290" s="172">
        <f t="shared" si="174"/>
        <v>0</v>
      </c>
      <c r="M290" s="249">
        <f t="shared" si="175"/>
        <v>14.4</v>
      </c>
      <c r="N290" s="170">
        <f t="shared" si="176"/>
        <v>21.200000000000003</v>
      </c>
      <c r="O290" s="250">
        <v>0.1</v>
      </c>
      <c r="P290" s="172">
        <f t="shared" si="177"/>
        <v>0.1</v>
      </c>
      <c r="Q290" s="251">
        <f t="shared" si="178"/>
        <v>108</v>
      </c>
      <c r="R290" s="173">
        <f t="shared" si="179"/>
        <v>159</v>
      </c>
      <c r="S290" s="250">
        <v>0.75</v>
      </c>
      <c r="T290" s="171">
        <f t="shared" si="180"/>
        <v>0.75</v>
      </c>
      <c r="U290" s="256">
        <v>144</v>
      </c>
      <c r="V290" s="170">
        <f>265/1.25</f>
        <v>212</v>
      </c>
      <c r="W290" s="258">
        <v>0.25</v>
      </c>
      <c r="X290" s="257">
        <f t="shared" si="185"/>
        <v>180</v>
      </c>
      <c r="Y290" s="170">
        <f t="shared" si="182"/>
        <v>265</v>
      </c>
      <c r="Z290" s="170">
        <f t="shared" si="183"/>
        <v>265</v>
      </c>
      <c r="AA290" s="407">
        <f t="shared" si="184"/>
        <v>0</v>
      </c>
      <c r="AB290" s="194"/>
    </row>
    <row r="291" spans="1:28" s="278" customFormat="1" x14ac:dyDescent="0.25">
      <c r="A291" s="195" t="s">
        <v>14605</v>
      </c>
      <c r="B291" s="317" t="s">
        <v>14606</v>
      </c>
      <c r="C291" s="241"/>
      <c r="D291" s="242"/>
      <c r="E291" s="243"/>
      <c r="F291" s="244"/>
      <c r="G291" s="245"/>
      <c r="H291" s="246"/>
      <c r="I291" s="243"/>
      <c r="J291" s="244"/>
      <c r="K291" s="245"/>
      <c r="L291" s="246"/>
      <c r="M291" s="243"/>
      <c r="N291" s="244"/>
      <c r="O291" s="245"/>
      <c r="P291" s="246"/>
      <c r="Q291" s="243"/>
      <c r="R291" s="244"/>
      <c r="S291" s="245"/>
      <c r="T291" s="246"/>
      <c r="U291" s="246"/>
      <c r="V291" s="246"/>
      <c r="W291" s="246"/>
      <c r="X291" s="246"/>
      <c r="Y291" s="244"/>
      <c r="Z291" s="244"/>
      <c r="AA291" s="406"/>
      <c r="AB291" s="194"/>
    </row>
    <row r="292" spans="1:28" s="278" customFormat="1" x14ac:dyDescent="0.25">
      <c r="A292" s="200">
        <v>505090</v>
      </c>
      <c r="B292" s="313" t="s">
        <v>19106</v>
      </c>
      <c r="C292" s="248"/>
      <c r="D292" s="247" t="s">
        <v>7</v>
      </c>
      <c r="E292" s="249">
        <f t="shared" ref="E292:F323" si="186">U292*G292</f>
        <v>27.173749999999998</v>
      </c>
      <c r="F292" s="170">
        <f t="shared" si="186"/>
        <v>27.691409937500001</v>
      </c>
      <c r="G292" s="250">
        <v>0.25</v>
      </c>
      <c r="H292" s="171">
        <f t="shared" ref="H292:H355" si="187">G292</f>
        <v>0.25</v>
      </c>
      <c r="I292" s="249">
        <f t="shared" ref="I292:J323" si="188">U292*K292</f>
        <v>70.651749999999993</v>
      </c>
      <c r="J292" s="170">
        <f t="shared" si="188"/>
        <v>71.997665837500008</v>
      </c>
      <c r="K292" s="252">
        <v>0.65</v>
      </c>
      <c r="L292" s="172">
        <f t="shared" ref="L292:L355" si="189">K292</f>
        <v>0.65</v>
      </c>
      <c r="M292" s="249">
        <f t="shared" ref="M292:M355" si="190">U292*O292</f>
        <v>5.4347500000000002</v>
      </c>
      <c r="N292" s="170">
        <f t="shared" ref="N292:N355" si="191">P292*V292</f>
        <v>5.5382819875000004</v>
      </c>
      <c r="O292" s="250">
        <v>0.05</v>
      </c>
      <c r="P292" s="172">
        <f t="shared" ref="P292:P355" si="192">O292</f>
        <v>0.05</v>
      </c>
      <c r="Q292" s="251">
        <f t="shared" ref="Q292:Q355" si="193">U292*S292</f>
        <v>5.4347500000000002</v>
      </c>
      <c r="R292" s="173">
        <f t="shared" ref="R292:R355" si="194">T292*V292</f>
        <v>5.5382819875000004</v>
      </c>
      <c r="S292" s="250">
        <v>0.05</v>
      </c>
      <c r="T292" s="171">
        <f t="shared" ref="T292:T355" si="195">S292</f>
        <v>0.05</v>
      </c>
      <c r="U292" s="256">
        <v>108.69499999999999</v>
      </c>
      <c r="V292" s="170">
        <f t="shared" ref="V292:V337" si="196">SUM(E292*1.0235,I292*1.0175,M292*1.0245,Q292*1.0115)</f>
        <v>110.76563975000001</v>
      </c>
      <c r="W292" s="258">
        <v>0.15</v>
      </c>
      <c r="X292" s="257">
        <f t="shared" ref="X292:X350" si="197">U292+U292*W292</f>
        <v>124.99924999999999</v>
      </c>
      <c r="Y292" s="170">
        <f t="shared" ref="Y292:Y355" si="198">IF(V292*(W292+1)=0,X292,V292*(W292+1))</f>
        <v>127.38048571249999</v>
      </c>
      <c r="Z292" s="170">
        <f t="shared" ref="Z292:Z355" si="199">IF(Y292=0, 0, IF(Y292&lt;10, _xlfn.CEILING.MATH(Y292,1), IF(Y292&lt;100, _xlfn.CEILING.MATH(Y292,1),IF(Y292&lt;1000, _xlfn.CEILING.MATH(Y292,5), IF(Y292&lt;10000, _xlfn.CEILING.MATH(Y292, 25), IF(Y292&lt;100000, _xlfn.CEILING.MATH(Y292,250), IF(Y292&lt;1000000, _xlfn.CEILING.MATH(Y292,500), 0)))))))</f>
        <v>130</v>
      </c>
      <c r="AA292" s="407">
        <f t="shared" ref="AA292:AA355" si="200">C292*Z292</f>
        <v>0</v>
      </c>
      <c r="AB292" s="194"/>
    </row>
    <row r="293" spans="1:28" s="278" customFormat="1" x14ac:dyDescent="0.25">
      <c r="A293" s="200">
        <v>505090</v>
      </c>
      <c r="B293" s="313" t="s">
        <v>19107</v>
      </c>
      <c r="C293" s="248"/>
      <c r="D293" s="247" t="s">
        <v>7</v>
      </c>
      <c r="E293" s="249">
        <f t="shared" si="186"/>
        <v>21.739000000000001</v>
      </c>
      <c r="F293" s="170">
        <f t="shared" si="186"/>
        <v>22.153127950000005</v>
      </c>
      <c r="G293" s="250">
        <v>0.25</v>
      </c>
      <c r="H293" s="171">
        <f t="shared" si="187"/>
        <v>0.25</v>
      </c>
      <c r="I293" s="249">
        <f t="shared" si="188"/>
        <v>56.521400000000007</v>
      </c>
      <c r="J293" s="170">
        <f t="shared" si="188"/>
        <v>57.598132670000012</v>
      </c>
      <c r="K293" s="250">
        <v>0.65</v>
      </c>
      <c r="L293" s="172">
        <f t="shared" si="189"/>
        <v>0.65</v>
      </c>
      <c r="M293" s="249">
        <f t="shared" si="190"/>
        <v>4.3478000000000003</v>
      </c>
      <c r="N293" s="170">
        <f t="shared" si="191"/>
        <v>4.4306255900000009</v>
      </c>
      <c r="O293" s="250">
        <v>0.05</v>
      </c>
      <c r="P293" s="172">
        <f t="shared" si="192"/>
        <v>0.05</v>
      </c>
      <c r="Q293" s="251">
        <f t="shared" si="193"/>
        <v>4.3478000000000003</v>
      </c>
      <c r="R293" s="173">
        <f t="shared" si="194"/>
        <v>4.4306255900000009</v>
      </c>
      <c r="S293" s="250">
        <v>0.05</v>
      </c>
      <c r="T293" s="171">
        <f t="shared" si="195"/>
        <v>0.05</v>
      </c>
      <c r="U293" s="256">
        <v>86.956000000000003</v>
      </c>
      <c r="V293" s="170">
        <f t="shared" si="196"/>
        <v>88.612511800000021</v>
      </c>
      <c r="W293" s="258">
        <v>0.15</v>
      </c>
      <c r="X293" s="257">
        <f t="shared" si="197"/>
        <v>99.999400000000009</v>
      </c>
      <c r="Y293" s="170">
        <f t="shared" si="198"/>
        <v>101.90438857000002</v>
      </c>
      <c r="Z293" s="170">
        <f t="shared" si="199"/>
        <v>105</v>
      </c>
      <c r="AA293" s="407">
        <f t="shared" si="200"/>
        <v>0</v>
      </c>
      <c r="AB293" s="194"/>
    </row>
    <row r="294" spans="1:28" s="278" customFormat="1" x14ac:dyDescent="0.25">
      <c r="A294" s="200">
        <v>505092</v>
      </c>
      <c r="B294" s="313" t="s">
        <v>19108</v>
      </c>
      <c r="C294" s="248"/>
      <c r="D294" s="247" t="s">
        <v>7</v>
      </c>
      <c r="E294" s="249">
        <f t="shared" si="186"/>
        <v>30</v>
      </c>
      <c r="F294" s="170">
        <f t="shared" si="186"/>
        <v>30.571500000000004</v>
      </c>
      <c r="G294" s="250">
        <v>0.25</v>
      </c>
      <c r="H294" s="171">
        <f t="shared" si="187"/>
        <v>0.25</v>
      </c>
      <c r="I294" s="249">
        <f t="shared" si="188"/>
        <v>78</v>
      </c>
      <c r="J294" s="170">
        <f t="shared" si="188"/>
        <v>79.485900000000015</v>
      </c>
      <c r="K294" s="250">
        <v>0.65</v>
      </c>
      <c r="L294" s="172">
        <f t="shared" si="189"/>
        <v>0.65</v>
      </c>
      <c r="M294" s="249">
        <f t="shared" si="190"/>
        <v>6</v>
      </c>
      <c r="N294" s="170">
        <f t="shared" si="191"/>
        <v>6.114300000000001</v>
      </c>
      <c r="O294" s="250">
        <v>0.05</v>
      </c>
      <c r="P294" s="172">
        <f t="shared" si="192"/>
        <v>0.05</v>
      </c>
      <c r="Q294" s="251">
        <f t="shared" si="193"/>
        <v>6</v>
      </c>
      <c r="R294" s="173">
        <f t="shared" si="194"/>
        <v>6.114300000000001</v>
      </c>
      <c r="S294" s="250">
        <v>0.05</v>
      </c>
      <c r="T294" s="171">
        <f t="shared" si="195"/>
        <v>0.05</v>
      </c>
      <c r="U294" s="256">
        <v>120</v>
      </c>
      <c r="V294" s="170">
        <f t="shared" si="196"/>
        <v>122.28600000000002</v>
      </c>
      <c r="W294" s="258">
        <v>0.15</v>
      </c>
      <c r="X294" s="257">
        <f t="shared" si="197"/>
        <v>138</v>
      </c>
      <c r="Y294" s="170">
        <f t="shared" si="198"/>
        <v>140.62890000000002</v>
      </c>
      <c r="Z294" s="170">
        <f t="shared" si="199"/>
        <v>145</v>
      </c>
      <c r="AA294" s="407">
        <f t="shared" si="200"/>
        <v>0</v>
      </c>
      <c r="AB294" s="194"/>
    </row>
    <row r="295" spans="1:28" s="278" customFormat="1" x14ac:dyDescent="0.25">
      <c r="A295" s="200">
        <v>505092</v>
      </c>
      <c r="B295" s="313" t="s">
        <v>19109</v>
      </c>
      <c r="C295" s="248"/>
      <c r="D295" s="247" t="s">
        <v>7</v>
      </c>
      <c r="E295" s="249">
        <f t="shared" si="186"/>
        <v>23.912500000000001</v>
      </c>
      <c r="F295" s="170">
        <f t="shared" si="186"/>
        <v>24.368033125</v>
      </c>
      <c r="G295" s="250">
        <v>0.25</v>
      </c>
      <c r="H295" s="171">
        <f t="shared" si="187"/>
        <v>0.25</v>
      </c>
      <c r="I295" s="249">
        <f t="shared" si="188"/>
        <v>62.172500000000007</v>
      </c>
      <c r="J295" s="170">
        <f t="shared" si="188"/>
        <v>63.356886125000003</v>
      </c>
      <c r="K295" s="250">
        <v>0.65</v>
      </c>
      <c r="L295" s="172">
        <f t="shared" si="189"/>
        <v>0.65</v>
      </c>
      <c r="M295" s="249">
        <f t="shared" si="190"/>
        <v>4.7825000000000006</v>
      </c>
      <c r="N295" s="170">
        <f t="shared" si="191"/>
        <v>4.8736066250000007</v>
      </c>
      <c r="O295" s="250">
        <v>0.05</v>
      </c>
      <c r="P295" s="172">
        <f t="shared" si="192"/>
        <v>0.05</v>
      </c>
      <c r="Q295" s="251">
        <f t="shared" si="193"/>
        <v>4.7825000000000006</v>
      </c>
      <c r="R295" s="173">
        <f t="shared" si="194"/>
        <v>4.8736066250000007</v>
      </c>
      <c r="S295" s="250">
        <v>0.05</v>
      </c>
      <c r="T295" s="171">
        <f t="shared" si="195"/>
        <v>0.05</v>
      </c>
      <c r="U295" s="256">
        <v>95.65</v>
      </c>
      <c r="V295" s="170">
        <f t="shared" si="196"/>
        <v>97.472132500000001</v>
      </c>
      <c r="W295" s="258">
        <v>0.15</v>
      </c>
      <c r="X295" s="257">
        <f t="shared" si="197"/>
        <v>109.9975</v>
      </c>
      <c r="Y295" s="170">
        <f t="shared" si="198"/>
        <v>112.092952375</v>
      </c>
      <c r="Z295" s="170">
        <f t="shared" si="199"/>
        <v>115</v>
      </c>
      <c r="AA295" s="407">
        <f t="shared" si="200"/>
        <v>0</v>
      </c>
      <c r="AB295" s="194"/>
    </row>
    <row r="296" spans="1:28" s="278" customFormat="1" x14ac:dyDescent="0.25">
      <c r="A296" s="200">
        <v>505093</v>
      </c>
      <c r="B296" s="313" t="s">
        <v>19110</v>
      </c>
      <c r="C296" s="248"/>
      <c r="D296" s="247" t="s">
        <v>7</v>
      </c>
      <c r="E296" s="249">
        <f t="shared" si="186"/>
        <v>30.434750000000001</v>
      </c>
      <c r="F296" s="170">
        <f t="shared" si="186"/>
        <v>31.014531987500007</v>
      </c>
      <c r="G296" s="250">
        <v>0.25</v>
      </c>
      <c r="H296" s="171">
        <f t="shared" si="187"/>
        <v>0.25</v>
      </c>
      <c r="I296" s="249">
        <f t="shared" si="188"/>
        <v>79.130350000000007</v>
      </c>
      <c r="J296" s="170">
        <f t="shared" si="188"/>
        <v>80.637783167500018</v>
      </c>
      <c r="K296" s="250">
        <v>0.65</v>
      </c>
      <c r="L296" s="172">
        <f t="shared" si="189"/>
        <v>0.65</v>
      </c>
      <c r="M296" s="249">
        <f t="shared" si="190"/>
        <v>6.0869500000000007</v>
      </c>
      <c r="N296" s="170">
        <f t="shared" si="191"/>
        <v>6.2029063975000014</v>
      </c>
      <c r="O296" s="250">
        <v>0.05</v>
      </c>
      <c r="P296" s="172">
        <f t="shared" si="192"/>
        <v>0.05</v>
      </c>
      <c r="Q296" s="251">
        <f t="shared" si="193"/>
        <v>6.0869500000000007</v>
      </c>
      <c r="R296" s="173">
        <f t="shared" si="194"/>
        <v>6.2029063975000014</v>
      </c>
      <c r="S296" s="250">
        <v>0.05</v>
      </c>
      <c r="T296" s="171">
        <f t="shared" si="195"/>
        <v>0.05</v>
      </c>
      <c r="U296" s="256">
        <v>121.739</v>
      </c>
      <c r="V296" s="170">
        <f t="shared" si="196"/>
        <v>124.05812795000003</v>
      </c>
      <c r="W296" s="258">
        <v>0.15</v>
      </c>
      <c r="X296" s="257">
        <f t="shared" si="197"/>
        <v>139.99985000000001</v>
      </c>
      <c r="Y296" s="170">
        <f t="shared" si="198"/>
        <v>142.66684714250002</v>
      </c>
      <c r="Z296" s="170">
        <f t="shared" si="199"/>
        <v>145</v>
      </c>
      <c r="AA296" s="407">
        <f t="shared" si="200"/>
        <v>0</v>
      </c>
      <c r="AB296" s="194"/>
    </row>
    <row r="297" spans="1:28" s="278" customFormat="1" x14ac:dyDescent="0.25">
      <c r="A297" s="200">
        <v>505093</v>
      </c>
      <c r="B297" s="313" t="s">
        <v>19111</v>
      </c>
      <c r="C297" s="248"/>
      <c r="D297" s="247" t="s">
        <v>7</v>
      </c>
      <c r="E297" s="249">
        <f t="shared" si="186"/>
        <v>25</v>
      </c>
      <c r="F297" s="170">
        <f t="shared" si="186"/>
        <v>25.476250000000004</v>
      </c>
      <c r="G297" s="250">
        <v>0.25</v>
      </c>
      <c r="H297" s="171">
        <f t="shared" si="187"/>
        <v>0.25</v>
      </c>
      <c r="I297" s="249">
        <f t="shared" si="188"/>
        <v>65</v>
      </c>
      <c r="J297" s="170">
        <f t="shared" si="188"/>
        <v>66.238250000000008</v>
      </c>
      <c r="K297" s="250">
        <v>0.65</v>
      </c>
      <c r="L297" s="172">
        <f t="shared" si="189"/>
        <v>0.65</v>
      </c>
      <c r="M297" s="249">
        <f t="shared" si="190"/>
        <v>5</v>
      </c>
      <c r="N297" s="170">
        <f t="shared" si="191"/>
        <v>5.0952500000000009</v>
      </c>
      <c r="O297" s="250">
        <v>0.05</v>
      </c>
      <c r="P297" s="172">
        <f t="shared" si="192"/>
        <v>0.05</v>
      </c>
      <c r="Q297" s="251">
        <f t="shared" si="193"/>
        <v>5</v>
      </c>
      <c r="R297" s="173">
        <f t="shared" si="194"/>
        <v>5.0952500000000009</v>
      </c>
      <c r="S297" s="250">
        <v>0.05</v>
      </c>
      <c r="T297" s="171">
        <f t="shared" si="195"/>
        <v>0.05</v>
      </c>
      <c r="U297" s="256">
        <v>100</v>
      </c>
      <c r="V297" s="170">
        <f t="shared" si="196"/>
        <v>101.90500000000002</v>
      </c>
      <c r="W297" s="258">
        <v>0.15</v>
      </c>
      <c r="X297" s="257">
        <f t="shared" si="197"/>
        <v>115</v>
      </c>
      <c r="Y297" s="170">
        <f t="shared" si="198"/>
        <v>117.19075000000001</v>
      </c>
      <c r="Z297" s="170">
        <f t="shared" si="199"/>
        <v>120</v>
      </c>
      <c r="AA297" s="407">
        <f t="shared" si="200"/>
        <v>0</v>
      </c>
      <c r="AB297" s="194"/>
    </row>
    <row r="298" spans="1:28" s="278" customFormat="1" x14ac:dyDescent="0.25">
      <c r="A298" s="200">
        <v>505094</v>
      </c>
      <c r="B298" s="313" t="s">
        <v>19112</v>
      </c>
      <c r="C298" s="248"/>
      <c r="D298" s="247" t="s">
        <v>7</v>
      </c>
      <c r="E298" s="249">
        <f t="shared" si="186"/>
        <v>31.521750000000001</v>
      </c>
      <c r="F298" s="170">
        <f t="shared" si="186"/>
        <v>32.122239337500005</v>
      </c>
      <c r="G298" s="250">
        <v>0.25</v>
      </c>
      <c r="H298" s="171">
        <f t="shared" si="187"/>
        <v>0.25</v>
      </c>
      <c r="I298" s="249">
        <f t="shared" si="188"/>
        <v>81.956550000000007</v>
      </c>
      <c r="J298" s="170">
        <f t="shared" si="188"/>
        <v>83.517822277500017</v>
      </c>
      <c r="K298" s="250">
        <v>0.65</v>
      </c>
      <c r="L298" s="172">
        <f t="shared" si="189"/>
        <v>0.65</v>
      </c>
      <c r="M298" s="249">
        <f t="shared" si="190"/>
        <v>6.3043500000000003</v>
      </c>
      <c r="N298" s="170">
        <f t="shared" si="191"/>
        <v>6.4244478675000014</v>
      </c>
      <c r="O298" s="250">
        <v>0.05</v>
      </c>
      <c r="P298" s="172">
        <f t="shared" si="192"/>
        <v>0.05</v>
      </c>
      <c r="Q298" s="251">
        <f t="shared" si="193"/>
        <v>6.3043500000000003</v>
      </c>
      <c r="R298" s="173">
        <f t="shared" si="194"/>
        <v>6.4244478675000014</v>
      </c>
      <c r="S298" s="250">
        <v>0.05</v>
      </c>
      <c r="T298" s="171">
        <f t="shared" si="195"/>
        <v>0.05</v>
      </c>
      <c r="U298" s="256">
        <v>126.087</v>
      </c>
      <c r="V298" s="170">
        <f t="shared" si="196"/>
        <v>128.48895735000002</v>
      </c>
      <c r="W298" s="258">
        <v>0.15</v>
      </c>
      <c r="X298" s="257">
        <f t="shared" si="197"/>
        <v>145.00004999999999</v>
      </c>
      <c r="Y298" s="170">
        <f t="shared" si="198"/>
        <v>147.7623009525</v>
      </c>
      <c r="Z298" s="170">
        <f t="shared" si="199"/>
        <v>150</v>
      </c>
      <c r="AA298" s="407">
        <f t="shared" si="200"/>
        <v>0</v>
      </c>
      <c r="AB298" s="194"/>
    </row>
    <row r="299" spans="1:28" s="278" customFormat="1" x14ac:dyDescent="0.25">
      <c r="A299" s="200">
        <v>505094</v>
      </c>
      <c r="B299" s="313" t="s">
        <v>19113</v>
      </c>
      <c r="C299" s="248"/>
      <c r="D299" s="247" t="s">
        <v>7</v>
      </c>
      <c r="E299" s="249">
        <f t="shared" si="186"/>
        <v>27.173749999999998</v>
      </c>
      <c r="F299" s="170">
        <f t="shared" si="186"/>
        <v>27.691409937500001</v>
      </c>
      <c r="G299" s="250">
        <v>0.25</v>
      </c>
      <c r="H299" s="171">
        <f t="shared" si="187"/>
        <v>0.25</v>
      </c>
      <c r="I299" s="249">
        <f t="shared" si="188"/>
        <v>70.651749999999993</v>
      </c>
      <c r="J299" s="170">
        <f t="shared" si="188"/>
        <v>71.997665837500008</v>
      </c>
      <c r="K299" s="250">
        <v>0.65</v>
      </c>
      <c r="L299" s="172">
        <f t="shared" si="189"/>
        <v>0.65</v>
      </c>
      <c r="M299" s="249">
        <f t="shared" si="190"/>
        <v>5.4347500000000002</v>
      </c>
      <c r="N299" s="170">
        <f t="shared" si="191"/>
        <v>5.5382819875000004</v>
      </c>
      <c r="O299" s="250">
        <v>0.05</v>
      </c>
      <c r="P299" s="172">
        <f t="shared" si="192"/>
        <v>0.05</v>
      </c>
      <c r="Q299" s="251">
        <f t="shared" si="193"/>
        <v>5.4347500000000002</v>
      </c>
      <c r="R299" s="173">
        <f t="shared" si="194"/>
        <v>5.5382819875000004</v>
      </c>
      <c r="S299" s="250">
        <v>0.05</v>
      </c>
      <c r="T299" s="171">
        <f t="shared" si="195"/>
        <v>0.05</v>
      </c>
      <c r="U299" s="256">
        <v>108.69499999999999</v>
      </c>
      <c r="V299" s="170">
        <f t="shared" si="196"/>
        <v>110.76563975000001</v>
      </c>
      <c r="W299" s="258">
        <v>0.15</v>
      </c>
      <c r="X299" s="257">
        <f t="shared" si="197"/>
        <v>124.99924999999999</v>
      </c>
      <c r="Y299" s="170">
        <f t="shared" si="198"/>
        <v>127.38048571249999</v>
      </c>
      <c r="Z299" s="170">
        <f t="shared" si="199"/>
        <v>130</v>
      </c>
      <c r="AA299" s="407">
        <f t="shared" si="200"/>
        <v>0</v>
      </c>
      <c r="AB299" s="194"/>
    </row>
    <row r="300" spans="1:28" s="278" customFormat="1" x14ac:dyDescent="0.25">
      <c r="A300" s="200">
        <v>505095</v>
      </c>
      <c r="B300" s="313" t="s">
        <v>19114</v>
      </c>
      <c r="C300" s="248"/>
      <c r="D300" s="247" t="s">
        <v>7</v>
      </c>
      <c r="E300" s="249">
        <f t="shared" si="186"/>
        <v>32.608499999999999</v>
      </c>
      <c r="F300" s="170">
        <f t="shared" si="186"/>
        <v>33.229691925000004</v>
      </c>
      <c r="G300" s="250">
        <v>0.25</v>
      </c>
      <c r="H300" s="171">
        <f t="shared" si="187"/>
        <v>0.25</v>
      </c>
      <c r="I300" s="249">
        <f t="shared" si="188"/>
        <v>84.7821</v>
      </c>
      <c r="J300" s="170">
        <f t="shared" si="188"/>
        <v>86.397199005000019</v>
      </c>
      <c r="K300" s="250">
        <v>0.65</v>
      </c>
      <c r="L300" s="172">
        <f t="shared" si="189"/>
        <v>0.65</v>
      </c>
      <c r="M300" s="249">
        <f t="shared" si="190"/>
        <v>6.5217000000000001</v>
      </c>
      <c r="N300" s="170">
        <f t="shared" si="191"/>
        <v>6.6459383850000009</v>
      </c>
      <c r="O300" s="250">
        <v>0.05</v>
      </c>
      <c r="P300" s="172">
        <f t="shared" si="192"/>
        <v>0.05</v>
      </c>
      <c r="Q300" s="251">
        <f t="shared" si="193"/>
        <v>6.5217000000000001</v>
      </c>
      <c r="R300" s="173">
        <f t="shared" si="194"/>
        <v>6.6459383850000009</v>
      </c>
      <c r="S300" s="250">
        <v>0.05</v>
      </c>
      <c r="T300" s="171">
        <f t="shared" si="195"/>
        <v>0.05</v>
      </c>
      <c r="U300" s="256">
        <v>130.434</v>
      </c>
      <c r="V300" s="170">
        <f t="shared" si="196"/>
        <v>132.91876770000002</v>
      </c>
      <c r="W300" s="258">
        <v>0.15</v>
      </c>
      <c r="X300" s="257">
        <f t="shared" si="197"/>
        <v>149.9991</v>
      </c>
      <c r="Y300" s="170">
        <f t="shared" si="198"/>
        <v>152.856582855</v>
      </c>
      <c r="Z300" s="170">
        <f t="shared" si="199"/>
        <v>155</v>
      </c>
      <c r="AA300" s="407">
        <f t="shared" si="200"/>
        <v>0</v>
      </c>
      <c r="AB300" s="194"/>
    </row>
    <row r="301" spans="1:28" s="278" customFormat="1" x14ac:dyDescent="0.25">
      <c r="A301" s="200">
        <v>505095</v>
      </c>
      <c r="B301" s="313" t="s">
        <v>19115</v>
      </c>
      <c r="C301" s="248"/>
      <c r="D301" s="247" t="s">
        <v>7</v>
      </c>
      <c r="E301" s="249">
        <f t="shared" si="186"/>
        <v>28.26</v>
      </c>
      <c r="F301" s="170">
        <f t="shared" si="186"/>
        <v>28.798353000000006</v>
      </c>
      <c r="G301" s="250">
        <v>0.25</v>
      </c>
      <c r="H301" s="171">
        <f t="shared" si="187"/>
        <v>0.25</v>
      </c>
      <c r="I301" s="249">
        <f t="shared" si="188"/>
        <v>73.476000000000013</v>
      </c>
      <c r="J301" s="170">
        <f t="shared" si="188"/>
        <v>74.875717800000018</v>
      </c>
      <c r="K301" s="250">
        <v>0.65</v>
      </c>
      <c r="L301" s="172">
        <f t="shared" si="189"/>
        <v>0.65</v>
      </c>
      <c r="M301" s="249">
        <f t="shared" si="190"/>
        <v>5.652000000000001</v>
      </c>
      <c r="N301" s="170">
        <f t="shared" si="191"/>
        <v>5.7596706000000015</v>
      </c>
      <c r="O301" s="250">
        <v>0.05</v>
      </c>
      <c r="P301" s="172">
        <f t="shared" si="192"/>
        <v>0.05</v>
      </c>
      <c r="Q301" s="251">
        <f t="shared" si="193"/>
        <v>5.652000000000001</v>
      </c>
      <c r="R301" s="173">
        <f t="shared" si="194"/>
        <v>5.7596706000000015</v>
      </c>
      <c r="S301" s="250">
        <v>0.05</v>
      </c>
      <c r="T301" s="171">
        <f t="shared" si="195"/>
        <v>0.05</v>
      </c>
      <c r="U301" s="256">
        <v>113.04</v>
      </c>
      <c r="V301" s="170">
        <f t="shared" si="196"/>
        <v>115.19341200000002</v>
      </c>
      <c r="W301" s="258">
        <v>0.15</v>
      </c>
      <c r="X301" s="257">
        <f t="shared" si="197"/>
        <v>129.99600000000001</v>
      </c>
      <c r="Y301" s="170">
        <f t="shared" si="198"/>
        <v>132.47242380000003</v>
      </c>
      <c r="Z301" s="170">
        <f t="shared" si="199"/>
        <v>135</v>
      </c>
      <c r="AA301" s="407">
        <f t="shared" si="200"/>
        <v>0</v>
      </c>
      <c r="AB301" s="194"/>
    </row>
    <row r="302" spans="1:28" s="278" customFormat="1" x14ac:dyDescent="0.25">
      <c r="A302" s="200">
        <v>505096</v>
      </c>
      <c r="B302" s="313" t="s">
        <v>19116</v>
      </c>
      <c r="C302" s="248"/>
      <c r="D302" s="247" t="s">
        <v>7</v>
      </c>
      <c r="E302" s="249">
        <f t="shared" si="186"/>
        <v>34.782499999999999</v>
      </c>
      <c r="F302" s="170">
        <f t="shared" si="186"/>
        <v>35.445106625000001</v>
      </c>
      <c r="G302" s="250">
        <v>0.25</v>
      </c>
      <c r="H302" s="171">
        <f t="shared" si="187"/>
        <v>0.25</v>
      </c>
      <c r="I302" s="249">
        <f t="shared" si="188"/>
        <v>90.4345</v>
      </c>
      <c r="J302" s="170">
        <f t="shared" si="188"/>
        <v>92.157277225000001</v>
      </c>
      <c r="K302" s="250">
        <v>0.65</v>
      </c>
      <c r="L302" s="172">
        <f t="shared" si="189"/>
        <v>0.65</v>
      </c>
      <c r="M302" s="249">
        <f t="shared" si="190"/>
        <v>6.9565000000000001</v>
      </c>
      <c r="N302" s="170">
        <f t="shared" si="191"/>
        <v>7.0890213250000009</v>
      </c>
      <c r="O302" s="250">
        <v>0.05</v>
      </c>
      <c r="P302" s="172">
        <f t="shared" si="192"/>
        <v>0.05</v>
      </c>
      <c r="Q302" s="251">
        <f t="shared" si="193"/>
        <v>6.9565000000000001</v>
      </c>
      <c r="R302" s="173">
        <f t="shared" si="194"/>
        <v>7.0890213250000009</v>
      </c>
      <c r="S302" s="250">
        <v>0.05</v>
      </c>
      <c r="T302" s="171">
        <f t="shared" si="195"/>
        <v>0.05</v>
      </c>
      <c r="U302" s="256">
        <v>139.13</v>
      </c>
      <c r="V302" s="170">
        <f t="shared" si="196"/>
        <v>141.7804265</v>
      </c>
      <c r="W302" s="258">
        <v>0.15</v>
      </c>
      <c r="X302" s="257">
        <f t="shared" si="197"/>
        <v>159.99949999999998</v>
      </c>
      <c r="Y302" s="170">
        <f t="shared" si="198"/>
        <v>163.04749047499999</v>
      </c>
      <c r="Z302" s="170">
        <f t="shared" si="199"/>
        <v>165</v>
      </c>
      <c r="AA302" s="407">
        <f t="shared" si="200"/>
        <v>0</v>
      </c>
      <c r="AB302" s="194"/>
    </row>
    <row r="303" spans="1:28" s="278" customFormat="1" x14ac:dyDescent="0.25">
      <c r="A303" s="200">
        <v>505096</v>
      </c>
      <c r="B303" s="313" t="s">
        <v>19117</v>
      </c>
      <c r="C303" s="248"/>
      <c r="D303" s="247" t="s">
        <v>7</v>
      </c>
      <c r="E303" s="249">
        <f t="shared" si="186"/>
        <v>29.3475</v>
      </c>
      <c r="F303" s="170">
        <f t="shared" si="186"/>
        <v>29.906569874999999</v>
      </c>
      <c r="G303" s="250">
        <v>0.25</v>
      </c>
      <c r="H303" s="171">
        <f t="shared" si="187"/>
        <v>0.25</v>
      </c>
      <c r="I303" s="249">
        <f t="shared" si="188"/>
        <v>76.3035</v>
      </c>
      <c r="J303" s="170">
        <f t="shared" si="188"/>
        <v>77.757081674999995</v>
      </c>
      <c r="K303" s="250">
        <v>0.65</v>
      </c>
      <c r="L303" s="172">
        <f t="shared" si="189"/>
        <v>0.65</v>
      </c>
      <c r="M303" s="249">
        <f t="shared" si="190"/>
        <v>5.8695000000000004</v>
      </c>
      <c r="N303" s="170">
        <f t="shared" si="191"/>
        <v>5.9813139749999999</v>
      </c>
      <c r="O303" s="250">
        <v>0.05</v>
      </c>
      <c r="P303" s="172">
        <f t="shared" si="192"/>
        <v>0.05</v>
      </c>
      <c r="Q303" s="251">
        <f t="shared" si="193"/>
        <v>5.8695000000000004</v>
      </c>
      <c r="R303" s="173">
        <f t="shared" si="194"/>
        <v>5.9813139749999999</v>
      </c>
      <c r="S303" s="250">
        <v>0.05</v>
      </c>
      <c r="T303" s="171">
        <f t="shared" si="195"/>
        <v>0.05</v>
      </c>
      <c r="U303" s="256">
        <v>117.39</v>
      </c>
      <c r="V303" s="170">
        <f t="shared" si="196"/>
        <v>119.6262795</v>
      </c>
      <c r="W303" s="258">
        <v>0.15</v>
      </c>
      <c r="X303" s="257">
        <f t="shared" si="197"/>
        <v>134.99850000000001</v>
      </c>
      <c r="Y303" s="170">
        <f t="shared" si="198"/>
        <v>137.57022142499997</v>
      </c>
      <c r="Z303" s="170">
        <f t="shared" si="199"/>
        <v>140</v>
      </c>
      <c r="AA303" s="407">
        <f t="shared" si="200"/>
        <v>0</v>
      </c>
      <c r="AB303" s="194"/>
    </row>
    <row r="304" spans="1:28" s="278" customFormat="1" x14ac:dyDescent="0.25">
      <c r="A304" s="200">
        <v>505120</v>
      </c>
      <c r="B304" s="313" t="s">
        <v>14607</v>
      </c>
      <c r="C304" s="248"/>
      <c r="D304" s="247" t="s">
        <v>7</v>
      </c>
      <c r="E304" s="249">
        <f t="shared" si="186"/>
        <v>30</v>
      </c>
      <c r="F304" s="170">
        <f t="shared" si="186"/>
        <v>30.580500000000004</v>
      </c>
      <c r="G304" s="250">
        <v>0.3</v>
      </c>
      <c r="H304" s="171">
        <f t="shared" si="187"/>
        <v>0.3</v>
      </c>
      <c r="I304" s="249">
        <f t="shared" si="188"/>
        <v>60</v>
      </c>
      <c r="J304" s="170">
        <f t="shared" si="188"/>
        <v>61.161000000000008</v>
      </c>
      <c r="K304" s="250">
        <v>0.6</v>
      </c>
      <c r="L304" s="172">
        <f t="shared" si="189"/>
        <v>0.6</v>
      </c>
      <c r="M304" s="249">
        <f t="shared" si="190"/>
        <v>5</v>
      </c>
      <c r="N304" s="170">
        <f t="shared" si="191"/>
        <v>5.096750000000001</v>
      </c>
      <c r="O304" s="250">
        <v>0.05</v>
      </c>
      <c r="P304" s="172">
        <f t="shared" si="192"/>
        <v>0.05</v>
      </c>
      <c r="Q304" s="251">
        <f t="shared" si="193"/>
        <v>5</v>
      </c>
      <c r="R304" s="173">
        <f t="shared" si="194"/>
        <v>5.096750000000001</v>
      </c>
      <c r="S304" s="250">
        <v>0.05</v>
      </c>
      <c r="T304" s="171">
        <f t="shared" si="195"/>
        <v>0.05</v>
      </c>
      <c r="U304" s="256">
        <v>100</v>
      </c>
      <c r="V304" s="170">
        <f t="shared" si="196"/>
        <v>101.93500000000002</v>
      </c>
      <c r="W304" s="258">
        <v>0.15</v>
      </c>
      <c r="X304" s="257">
        <f t="shared" si="197"/>
        <v>115</v>
      </c>
      <c r="Y304" s="170">
        <f t="shared" si="198"/>
        <v>117.22525000000002</v>
      </c>
      <c r="Z304" s="170">
        <f t="shared" si="199"/>
        <v>120</v>
      </c>
      <c r="AA304" s="407">
        <f t="shared" si="200"/>
        <v>0</v>
      </c>
      <c r="AB304" s="194"/>
    </row>
    <row r="305" spans="1:28" s="278" customFormat="1" x14ac:dyDescent="0.25">
      <c r="A305" s="200">
        <v>505120</v>
      </c>
      <c r="B305" s="313" t="s">
        <v>14608</v>
      </c>
      <c r="C305" s="248"/>
      <c r="D305" s="247" t="s">
        <v>7</v>
      </c>
      <c r="E305" s="249">
        <f t="shared" si="186"/>
        <v>27.389999999999997</v>
      </c>
      <c r="F305" s="170">
        <f t="shared" si="186"/>
        <v>27.9199965</v>
      </c>
      <c r="G305" s="250">
        <v>0.3</v>
      </c>
      <c r="H305" s="171">
        <f t="shared" si="187"/>
        <v>0.3</v>
      </c>
      <c r="I305" s="249">
        <f t="shared" si="188"/>
        <v>54.779999999999994</v>
      </c>
      <c r="J305" s="170">
        <f t="shared" si="188"/>
        <v>55.839993</v>
      </c>
      <c r="K305" s="250">
        <v>0.6</v>
      </c>
      <c r="L305" s="172">
        <f t="shared" si="189"/>
        <v>0.6</v>
      </c>
      <c r="M305" s="249">
        <f t="shared" si="190"/>
        <v>4.5650000000000004</v>
      </c>
      <c r="N305" s="170">
        <f t="shared" si="191"/>
        <v>4.6533327499999997</v>
      </c>
      <c r="O305" s="250">
        <v>0.05</v>
      </c>
      <c r="P305" s="172">
        <f t="shared" si="192"/>
        <v>0.05</v>
      </c>
      <c r="Q305" s="251">
        <f t="shared" si="193"/>
        <v>4.5650000000000004</v>
      </c>
      <c r="R305" s="173">
        <f t="shared" si="194"/>
        <v>4.6533327499999997</v>
      </c>
      <c r="S305" s="250">
        <v>0.05</v>
      </c>
      <c r="T305" s="171">
        <f t="shared" si="195"/>
        <v>0.05</v>
      </c>
      <c r="U305" s="256">
        <v>91.3</v>
      </c>
      <c r="V305" s="170">
        <f t="shared" si="196"/>
        <v>93.066654999999997</v>
      </c>
      <c r="W305" s="258">
        <v>0.15</v>
      </c>
      <c r="X305" s="257">
        <f t="shared" si="197"/>
        <v>104.99499999999999</v>
      </c>
      <c r="Y305" s="170">
        <f t="shared" si="198"/>
        <v>107.02665325</v>
      </c>
      <c r="Z305" s="170">
        <f t="shared" si="199"/>
        <v>110</v>
      </c>
      <c r="AA305" s="407">
        <f t="shared" si="200"/>
        <v>0</v>
      </c>
      <c r="AB305" s="194"/>
    </row>
    <row r="306" spans="1:28" s="278" customFormat="1" x14ac:dyDescent="0.25">
      <c r="A306" s="200">
        <v>505122</v>
      </c>
      <c r="B306" s="313" t="s">
        <v>14609</v>
      </c>
      <c r="C306" s="248"/>
      <c r="D306" s="247" t="s">
        <v>7</v>
      </c>
      <c r="E306" s="249">
        <f t="shared" si="186"/>
        <v>30</v>
      </c>
      <c r="F306" s="170">
        <f t="shared" si="186"/>
        <v>30.580500000000004</v>
      </c>
      <c r="G306" s="250">
        <v>0.3</v>
      </c>
      <c r="H306" s="171">
        <f t="shared" si="187"/>
        <v>0.3</v>
      </c>
      <c r="I306" s="249">
        <f t="shared" si="188"/>
        <v>60</v>
      </c>
      <c r="J306" s="170">
        <f t="shared" si="188"/>
        <v>61.161000000000008</v>
      </c>
      <c r="K306" s="250">
        <v>0.6</v>
      </c>
      <c r="L306" s="172">
        <f t="shared" si="189"/>
        <v>0.6</v>
      </c>
      <c r="M306" s="249">
        <f t="shared" si="190"/>
        <v>5</v>
      </c>
      <c r="N306" s="170">
        <f t="shared" si="191"/>
        <v>5.096750000000001</v>
      </c>
      <c r="O306" s="250">
        <v>0.05</v>
      </c>
      <c r="P306" s="172">
        <f t="shared" si="192"/>
        <v>0.05</v>
      </c>
      <c r="Q306" s="251">
        <f t="shared" si="193"/>
        <v>5</v>
      </c>
      <c r="R306" s="173">
        <f t="shared" si="194"/>
        <v>5.096750000000001</v>
      </c>
      <c r="S306" s="250">
        <v>0.05</v>
      </c>
      <c r="T306" s="171">
        <f t="shared" si="195"/>
        <v>0.05</v>
      </c>
      <c r="U306" s="256">
        <v>100</v>
      </c>
      <c r="V306" s="170">
        <f t="shared" si="196"/>
        <v>101.93500000000002</v>
      </c>
      <c r="W306" s="258">
        <v>0.15</v>
      </c>
      <c r="X306" s="257">
        <f t="shared" si="197"/>
        <v>115</v>
      </c>
      <c r="Y306" s="170">
        <f t="shared" si="198"/>
        <v>117.22525000000002</v>
      </c>
      <c r="Z306" s="170">
        <f t="shared" si="199"/>
        <v>120</v>
      </c>
      <c r="AA306" s="407">
        <f t="shared" si="200"/>
        <v>0</v>
      </c>
      <c r="AB306" s="194"/>
    </row>
    <row r="307" spans="1:28" s="278" customFormat="1" x14ac:dyDescent="0.25">
      <c r="A307" s="200">
        <v>505122</v>
      </c>
      <c r="B307" s="313" t="s">
        <v>14610</v>
      </c>
      <c r="C307" s="248"/>
      <c r="D307" s="247" t="s">
        <v>7</v>
      </c>
      <c r="E307" s="249">
        <f t="shared" si="186"/>
        <v>24.782999999999998</v>
      </c>
      <c r="F307" s="170">
        <f t="shared" si="186"/>
        <v>25.262551049999995</v>
      </c>
      <c r="G307" s="250">
        <v>0.3</v>
      </c>
      <c r="H307" s="171">
        <f t="shared" si="187"/>
        <v>0.3</v>
      </c>
      <c r="I307" s="249">
        <f t="shared" si="188"/>
        <v>49.565999999999995</v>
      </c>
      <c r="J307" s="170">
        <f t="shared" si="188"/>
        <v>50.525102099999991</v>
      </c>
      <c r="K307" s="250">
        <v>0.6</v>
      </c>
      <c r="L307" s="172">
        <f t="shared" si="189"/>
        <v>0.6</v>
      </c>
      <c r="M307" s="249">
        <f t="shared" si="190"/>
        <v>4.1305000000000005</v>
      </c>
      <c r="N307" s="170">
        <f t="shared" si="191"/>
        <v>4.2104251750000001</v>
      </c>
      <c r="O307" s="250">
        <v>0.05</v>
      </c>
      <c r="P307" s="172">
        <f t="shared" si="192"/>
        <v>0.05</v>
      </c>
      <c r="Q307" s="251">
        <f t="shared" si="193"/>
        <v>4.1305000000000005</v>
      </c>
      <c r="R307" s="173">
        <f t="shared" si="194"/>
        <v>4.2104251750000001</v>
      </c>
      <c r="S307" s="250">
        <v>0.05</v>
      </c>
      <c r="T307" s="171">
        <f t="shared" si="195"/>
        <v>0.05</v>
      </c>
      <c r="U307" s="256">
        <v>82.61</v>
      </c>
      <c r="V307" s="170">
        <f t="shared" si="196"/>
        <v>84.208503499999992</v>
      </c>
      <c r="W307" s="258">
        <v>0.15</v>
      </c>
      <c r="X307" s="257">
        <f t="shared" si="197"/>
        <v>95.001499999999993</v>
      </c>
      <c r="Y307" s="170">
        <f t="shared" si="198"/>
        <v>96.839779024999984</v>
      </c>
      <c r="Z307" s="170">
        <f t="shared" si="199"/>
        <v>97</v>
      </c>
      <c r="AA307" s="407">
        <f t="shared" si="200"/>
        <v>0</v>
      </c>
      <c r="AB307" s="194"/>
    </row>
    <row r="308" spans="1:28" s="278" customFormat="1" x14ac:dyDescent="0.25">
      <c r="A308" s="200">
        <v>505123</v>
      </c>
      <c r="B308" s="313" t="s">
        <v>14611</v>
      </c>
      <c r="C308" s="248"/>
      <c r="D308" s="247" t="s">
        <v>7</v>
      </c>
      <c r="E308" s="249">
        <f t="shared" si="186"/>
        <v>32.61</v>
      </c>
      <c r="F308" s="170">
        <f t="shared" si="186"/>
        <v>33.241003499999998</v>
      </c>
      <c r="G308" s="250">
        <v>0.3</v>
      </c>
      <c r="H308" s="171">
        <f t="shared" si="187"/>
        <v>0.3</v>
      </c>
      <c r="I308" s="249">
        <f t="shared" si="188"/>
        <v>65.22</v>
      </c>
      <c r="J308" s="170">
        <f t="shared" si="188"/>
        <v>66.482006999999996</v>
      </c>
      <c r="K308" s="250">
        <v>0.6</v>
      </c>
      <c r="L308" s="172">
        <f t="shared" si="189"/>
        <v>0.6</v>
      </c>
      <c r="M308" s="249">
        <f t="shared" si="190"/>
        <v>5.4350000000000005</v>
      </c>
      <c r="N308" s="170">
        <f t="shared" si="191"/>
        <v>5.5401672499999997</v>
      </c>
      <c r="O308" s="250">
        <v>0.05</v>
      </c>
      <c r="P308" s="172">
        <f t="shared" si="192"/>
        <v>0.05</v>
      </c>
      <c r="Q308" s="251">
        <f t="shared" si="193"/>
        <v>5.4350000000000005</v>
      </c>
      <c r="R308" s="173">
        <f t="shared" si="194"/>
        <v>5.5401672499999997</v>
      </c>
      <c r="S308" s="250">
        <v>0.05</v>
      </c>
      <c r="T308" s="171">
        <f t="shared" si="195"/>
        <v>0.05</v>
      </c>
      <c r="U308" s="256">
        <v>108.7</v>
      </c>
      <c r="V308" s="170">
        <f t="shared" si="196"/>
        <v>110.80334499999999</v>
      </c>
      <c r="W308" s="258">
        <v>0.15</v>
      </c>
      <c r="X308" s="257">
        <f t="shared" si="197"/>
        <v>125.005</v>
      </c>
      <c r="Y308" s="170">
        <f t="shared" si="198"/>
        <v>127.42384674999998</v>
      </c>
      <c r="Z308" s="170">
        <f t="shared" si="199"/>
        <v>130</v>
      </c>
      <c r="AA308" s="407">
        <f t="shared" si="200"/>
        <v>0</v>
      </c>
      <c r="AB308" s="194"/>
    </row>
    <row r="309" spans="1:28" s="278" customFormat="1" x14ac:dyDescent="0.25">
      <c r="A309" s="200">
        <v>505123</v>
      </c>
      <c r="B309" s="313" t="s">
        <v>14612</v>
      </c>
      <c r="C309" s="248"/>
      <c r="D309" s="247" t="s">
        <v>7</v>
      </c>
      <c r="E309" s="249">
        <f t="shared" si="186"/>
        <v>26.087999999999997</v>
      </c>
      <c r="F309" s="170">
        <f t="shared" si="186"/>
        <v>26.592802799999998</v>
      </c>
      <c r="G309" s="250">
        <v>0.3</v>
      </c>
      <c r="H309" s="171">
        <f t="shared" si="187"/>
        <v>0.3</v>
      </c>
      <c r="I309" s="249">
        <f t="shared" si="188"/>
        <v>52.175999999999995</v>
      </c>
      <c r="J309" s="170">
        <f t="shared" si="188"/>
        <v>53.185605599999995</v>
      </c>
      <c r="K309" s="250">
        <v>0.6</v>
      </c>
      <c r="L309" s="172">
        <f t="shared" si="189"/>
        <v>0.6</v>
      </c>
      <c r="M309" s="249">
        <f t="shared" si="190"/>
        <v>4.3479999999999999</v>
      </c>
      <c r="N309" s="170">
        <f t="shared" si="191"/>
        <v>4.4321337999999999</v>
      </c>
      <c r="O309" s="250">
        <v>0.05</v>
      </c>
      <c r="P309" s="172">
        <f t="shared" si="192"/>
        <v>0.05</v>
      </c>
      <c r="Q309" s="251">
        <f t="shared" si="193"/>
        <v>4.3479999999999999</v>
      </c>
      <c r="R309" s="173">
        <f t="shared" si="194"/>
        <v>4.4321337999999999</v>
      </c>
      <c r="S309" s="250">
        <v>0.05</v>
      </c>
      <c r="T309" s="171">
        <f t="shared" si="195"/>
        <v>0.05</v>
      </c>
      <c r="U309" s="256">
        <v>86.96</v>
      </c>
      <c r="V309" s="170">
        <f t="shared" si="196"/>
        <v>88.642675999999994</v>
      </c>
      <c r="W309" s="258">
        <v>0.15</v>
      </c>
      <c r="X309" s="257">
        <f t="shared" si="197"/>
        <v>100.00399999999999</v>
      </c>
      <c r="Y309" s="170">
        <f t="shared" si="198"/>
        <v>101.93907739999999</v>
      </c>
      <c r="Z309" s="170">
        <f t="shared" si="199"/>
        <v>105</v>
      </c>
      <c r="AA309" s="407">
        <f t="shared" si="200"/>
        <v>0</v>
      </c>
      <c r="AB309" s="194"/>
    </row>
    <row r="310" spans="1:28" s="278" customFormat="1" x14ac:dyDescent="0.25">
      <c r="A310" s="200">
        <v>505124</v>
      </c>
      <c r="B310" s="313" t="s">
        <v>14613</v>
      </c>
      <c r="C310" s="248"/>
      <c r="D310" s="247" t="s">
        <v>7</v>
      </c>
      <c r="E310" s="249">
        <f t="shared" si="186"/>
        <v>33.911999999999999</v>
      </c>
      <c r="F310" s="170">
        <f t="shared" si="186"/>
        <v>34.5681972</v>
      </c>
      <c r="G310" s="250">
        <v>0.3</v>
      </c>
      <c r="H310" s="171">
        <f t="shared" si="187"/>
        <v>0.3</v>
      </c>
      <c r="I310" s="249">
        <f t="shared" si="188"/>
        <v>67.823999999999998</v>
      </c>
      <c r="J310" s="170">
        <f t="shared" si="188"/>
        <v>69.1363944</v>
      </c>
      <c r="K310" s="250">
        <v>0.6</v>
      </c>
      <c r="L310" s="172">
        <f t="shared" si="189"/>
        <v>0.6</v>
      </c>
      <c r="M310" s="249">
        <f t="shared" si="190"/>
        <v>5.652000000000001</v>
      </c>
      <c r="N310" s="170">
        <f t="shared" si="191"/>
        <v>5.7613662000000012</v>
      </c>
      <c r="O310" s="250">
        <v>0.05</v>
      </c>
      <c r="P310" s="172">
        <f t="shared" si="192"/>
        <v>0.05</v>
      </c>
      <c r="Q310" s="251">
        <f t="shared" si="193"/>
        <v>5.652000000000001</v>
      </c>
      <c r="R310" s="173">
        <f t="shared" si="194"/>
        <v>5.7613662000000012</v>
      </c>
      <c r="S310" s="250">
        <v>0.05</v>
      </c>
      <c r="T310" s="171">
        <f t="shared" si="195"/>
        <v>0.05</v>
      </c>
      <c r="U310" s="256">
        <v>113.04</v>
      </c>
      <c r="V310" s="170">
        <f t="shared" si="196"/>
        <v>115.22732400000001</v>
      </c>
      <c r="W310" s="258">
        <v>0.15</v>
      </c>
      <c r="X310" s="257">
        <f t="shared" si="197"/>
        <v>129.99600000000001</v>
      </c>
      <c r="Y310" s="170">
        <f t="shared" si="198"/>
        <v>132.5114226</v>
      </c>
      <c r="Z310" s="170">
        <f t="shared" si="199"/>
        <v>135</v>
      </c>
      <c r="AA310" s="407">
        <f t="shared" si="200"/>
        <v>0</v>
      </c>
      <c r="AB310" s="194"/>
    </row>
    <row r="311" spans="1:28" s="278" customFormat="1" x14ac:dyDescent="0.25">
      <c r="A311" s="200">
        <v>505124</v>
      </c>
      <c r="B311" s="313" t="s">
        <v>14614</v>
      </c>
      <c r="C311" s="248"/>
      <c r="D311" s="247" t="s">
        <v>7</v>
      </c>
      <c r="E311" s="249">
        <f t="shared" si="186"/>
        <v>27.389999999999997</v>
      </c>
      <c r="F311" s="170">
        <f t="shared" si="186"/>
        <v>27.9199965</v>
      </c>
      <c r="G311" s="250">
        <v>0.3</v>
      </c>
      <c r="H311" s="171">
        <f t="shared" si="187"/>
        <v>0.3</v>
      </c>
      <c r="I311" s="249">
        <f t="shared" si="188"/>
        <v>54.779999999999994</v>
      </c>
      <c r="J311" s="170">
        <f t="shared" si="188"/>
        <v>55.839993</v>
      </c>
      <c r="K311" s="250">
        <v>0.6</v>
      </c>
      <c r="L311" s="172">
        <f t="shared" si="189"/>
        <v>0.6</v>
      </c>
      <c r="M311" s="249">
        <f t="shared" si="190"/>
        <v>4.5650000000000004</v>
      </c>
      <c r="N311" s="170">
        <f t="shared" si="191"/>
        <v>4.6533327499999997</v>
      </c>
      <c r="O311" s="250">
        <v>0.05</v>
      </c>
      <c r="P311" s="172">
        <f t="shared" si="192"/>
        <v>0.05</v>
      </c>
      <c r="Q311" s="251">
        <f t="shared" si="193"/>
        <v>4.5650000000000004</v>
      </c>
      <c r="R311" s="173">
        <f t="shared" si="194"/>
        <v>4.6533327499999997</v>
      </c>
      <c r="S311" s="250">
        <v>0.05</v>
      </c>
      <c r="T311" s="171">
        <f t="shared" si="195"/>
        <v>0.05</v>
      </c>
      <c r="U311" s="256">
        <v>91.3</v>
      </c>
      <c r="V311" s="170">
        <f t="shared" si="196"/>
        <v>93.066654999999997</v>
      </c>
      <c r="W311" s="258">
        <v>0.15</v>
      </c>
      <c r="X311" s="257">
        <f t="shared" si="197"/>
        <v>104.99499999999999</v>
      </c>
      <c r="Y311" s="170">
        <f t="shared" si="198"/>
        <v>107.02665325</v>
      </c>
      <c r="Z311" s="170">
        <f t="shared" si="199"/>
        <v>110</v>
      </c>
      <c r="AA311" s="407">
        <f t="shared" si="200"/>
        <v>0</v>
      </c>
      <c r="AB311" s="194"/>
    </row>
    <row r="312" spans="1:28" s="278" customFormat="1" x14ac:dyDescent="0.25">
      <c r="A312" s="200">
        <v>505125</v>
      </c>
      <c r="B312" s="313" t="s">
        <v>14615</v>
      </c>
      <c r="C312" s="248"/>
      <c r="D312" s="247" t="s">
        <v>7</v>
      </c>
      <c r="E312" s="249">
        <f t="shared" si="186"/>
        <v>36.521999999999998</v>
      </c>
      <c r="F312" s="170">
        <f t="shared" si="186"/>
        <v>37.228700699999997</v>
      </c>
      <c r="G312" s="250">
        <v>0.3</v>
      </c>
      <c r="H312" s="171">
        <f t="shared" si="187"/>
        <v>0.3</v>
      </c>
      <c r="I312" s="249">
        <f t="shared" si="188"/>
        <v>73.043999999999997</v>
      </c>
      <c r="J312" s="170">
        <f t="shared" si="188"/>
        <v>74.457401399999995</v>
      </c>
      <c r="K312" s="250">
        <v>0.6</v>
      </c>
      <c r="L312" s="172">
        <f t="shared" si="189"/>
        <v>0.6</v>
      </c>
      <c r="M312" s="249">
        <f t="shared" si="190"/>
        <v>6.0869999999999997</v>
      </c>
      <c r="N312" s="170">
        <f t="shared" si="191"/>
        <v>6.2047834500000008</v>
      </c>
      <c r="O312" s="250">
        <v>0.05</v>
      </c>
      <c r="P312" s="172">
        <f t="shared" si="192"/>
        <v>0.05</v>
      </c>
      <c r="Q312" s="251">
        <f t="shared" si="193"/>
        <v>6.0869999999999997</v>
      </c>
      <c r="R312" s="173">
        <f t="shared" si="194"/>
        <v>6.2047834500000008</v>
      </c>
      <c r="S312" s="250">
        <v>0.05</v>
      </c>
      <c r="T312" s="171">
        <f t="shared" si="195"/>
        <v>0.05</v>
      </c>
      <c r="U312" s="256">
        <v>121.74</v>
      </c>
      <c r="V312" s="170">
        <f t="shared" si="196"/>
        <v>124.095669</v>
      </c>
      <c r="W312" s="258">
        <v>0.15</v>
      </c>
      <c r="X312" s="257">
        <f t="shared" si="197"/>
        <v>140.001</v>
      </c>
      <c r="Y312" s="170">
        <f t="shared" si="198"/>
        <v>142.71001934999998</v>
      </c>
      <c r="Z312" s="170">
        <f t="shared" si="199"/>
        <v>145</v>
      </c>
      <c r="AA312" s="407">
        <f t="shared" si="200"/>
        <v>0</v>
      </c>
      <c r="AB312" s="194"/>
    </row>
    <row r="313" spans="1:28" s="278" customFormat="1" x14ac:dyDescent="0.25">
      <c r="A313" s="200">
        <v>505125</v>
      </c>
      <c r="B313" s="313" t="s">
        <v>14616</v>
      </c>
      <c r="C313" s="248"/>
      <c r="D313" s="247" t="s">
        <v>7</v>
      </c>
      <c r="E313" s="249">
        <f t="shared" si="186"/>
        <v>28.695</v>
      </c>
      <c r="F313" s="170">
        <f t="shared" si="186"/>
        <v>29.250248249999999</v>
      </c>
      <c r="G313" s="250">
        <v>0.3</v>
      </c>
      <c r="H313" s="171">
        <f t="shared" si="187"/>
        <v>0.3</v>
      </c>
      <c r="I313" s="249">
        <f t="shared" si="188"/>
        <v>57.39</v>
      </c>
      <c r="J313" s="170">
        <f t="shared" si="188"/>
        <v>58.500496499999997</v>
      </c>
      <c r="K313" s="250">
        <v>0.6</v>
      </c>
      <c r="L313" s="172">
        <f t="shared" si="189"/>
        <v>0.6</v>
      </c>
      <c r="M313" s="249">
        <f t="shared" si="190"/>
        <v>4.7825000000000006</v>
      </c>
      <c r="N313" s="170">
        <f t="shared" si="191"/>
        <v>4.8750413750000003</v>
      </c>
      <c r="O313" s="250">
        <v>0.05</v>
      </c>
      <c r="P313" s="172">
        <f t="shared" si="192"/>
        <v>0.05</v>
      </c>
      <c r="Q313" s="251">
        <f t="shared" si="193"/>
        <v>4.7825000000000006</v>
      </c>
      <c r="R313" s="173">
        <f t="shared" si="194"/>
        <v>4.8750413750000003</v>
      </c>
      <c r="S313" s="250">
        <v>0.05</v>
      </c>
      <c r="T313" s="171">
        <f t="shared" si="195"/>
        <v>0.05</v>
      </c>
      <c r="U313" s="256">
        <v>95.65</v>
      </c>
      <c r="V313" s="170">
        <f t="shared" si="196"/>
        <v>97.5008275</v>
      </c>
      <c r="W313" s="258">
        <v>0.15</v>
      </c>
      <c r="X313" s="257">
        <f t="shared" si="197"/>
        <v>109.9975</v>
      </c>
      <c r="Y313" s="170">
        <f t="shared" si="198"/>
        <v>112.12595162499998</v>
      </c>
      <c r="Z313" s="170">
        <f t="shared" si="199"/>
        <v>115</v>
      </c>
      <c r="AA313" s="407">
        <f t="shared" si="200"/>
        <v>0</v>
      </c>
      <c r="AB313" s="194"/>
    </row>
    <row r="314" spans="1:28" s="278" customFormat="1" x14ac:dyDescent="0.25">
      <c r="A314" s="200">
        <v>505126</v>
      </c>
      <c r="B314" s="313" t="s">
        <v>14617</v>
      </c>
      <c r="C314" s="248"/>
      <c r="D314" s="247" t="s">
        <v>7</v>
      </c>
      <c r="E314" s="249">
        <f t="shared" si="186"/>
        <v>37.826999999999998</v>
      </c>
      <c r="F314" s="170">
        <f t="shared" si="186"/>
        <v>38.55895245</v>
      </c>
      <c r="G314" s="250">
        <v>0.3</v>
      </c>
      <c r="H314" s="171">
        <f t="shared" si="187"/>
        <v>0.3</v>
      </c>
      <c r="I314" s="249">
        <f t="shared" si="188"/>
        <v>75.653999999999996</v>
      </c>
      <c r="J314" s="170">
        <f t="shared" si="188"/>
        <v>77.117904899999999</v>
      </c>
      <c r="K314" s="250">
        <v>0.6</v>
      </c>
      <c r="L314" s="172">
        <f t="shared" si="189"/>
        <v>0.6</v>
      </c>
      <c r="M314" s="249">
        <f t="shared" si="190"/>
        <v>6.3045000000000009</v>
      </c>
      <c r="N314" s="170">
        <f t="shared" si="191"/>
        <v>6.4264920750000005</v>
      </c>
      <c r="O314" s="250">
        <v>0.05</v>
      </c>
      <c r="P314" s="172">
        <f t="shared" si="192"/>
        <v>0.05</v>
      </c>
      <c r="Q314" s="251">
        <f t="shared" si="193"/>
        <v>6.3045000000000009</v>
      </c>
      <c r="R314" s="173">
        <f t="shared" si="194"/>
        <v>6.4264920750000005</v>
      </c>
      <c r="S314" s="250">
        <v>0.05</v>
      </c>
      <c r="T314" s="171">
        <f t="shared" si="195"/>
        <v>0.05</v>
      </c>
      <c r="U314" s="256">
        <v>126.09</v>
      </c>
      <c r="V314" s="170">
        <f t="shared" si="196"/>
        <v>128.5298415</v>
      </c>
      <c r="W314" s="258">
        <v>0.15</v>
      </c>
      <c r="X314" s="257">
        <f t="shared" si="197"/>
        <v>145.0035</v>
      </c>
      <c r="Y314" s="170">
        <f t="shared" si="198"/>
        <v>147.809317725</v>
      </c>
      <c r="Z314" s="170">
        <f t="shared" si="199"/>
        <v>150</v>
      </c>
      <c r="AA314" s="407">
        <f t="shared" si="200"/>
        <v>0</v>
      </c>
      <c r="AB314" s="194"/>
    </row>
    <row r="315" spans="1:28" s="278" customFormat="1" x14ac:dyDescent="0.25">
      <c r="A315" s="200">
        <v>505126</v>
      </c>
      <c r="B315" s="313" t="s">
        <v>14618</v>
      </c>
      <c r="C315" s="248"/>
      <c r="D315" s="247" t="s">
        <v>7</v>
      </c>
      <c r="E315" s="249">
        <f t="shared" si="186"/>
        <v>31.304999999999996</v>
      </c>
      <c r="F315" s="170">
        <f t="shared" si="186"/>
        <v>31.910751749999996</v>
      </c>
      <c r="G315" s="250">
        <v>0.3</v>
      </c>
      <c r="H315" s="171">
        <f t="shared" si="187"/>
        <v>0.3</v>
      </c>
      <c r="I315" s="249">
        <f t="shared" si="188"/>
        <v>62.609999999999992</v>
      </c>
      <c r="J315" s="170">
        <f t="shared" si="188"/>
        <v>63.821503499999992</v>
      </c>
      <c r="K315" s="250">
        <v>0.6</v>
      </c>
      <c r="L315" s="172">
        <f t="shared" si="189"/>
        <v>0.6</v>
      </c>
      <c r="M315" s="249">
        <f t="shared" si="190"/>
        <v>5.2175000000000002</v>
      </c>
      <c r="N315" s="170">
        <f t="shared" si="191"/>
        <v>5.3184586249999999</v>
      </c>
      <c r="O315" s="250">
        <v>0.05</v>
      </c>
      <c r="P315" s="172">
        <f t="shared" si="192"/>
        <v>0.05</v>
      </c>
      <c r="Q315" s="251">
        <f t="shared" si="193"/>
        <v>5.2175000000000002</v>
      </c>
      <c r="R315" s="173">
        <f t="shared" si="194"/>
        <v>5.3184586249999999</v>
      </c>
      <c r="S315" s="250">
        <v>0.05</v>
      </c>
      <c r="T315" s="171">
        <f t="shared" si="195"/>
        <v>0.05</v>
      </c>
      <c r="U315" s="256">
        <v>104.35</v>
      </c>
      <c r="V315" s="170">
        <f t="shared" si="196"/>
        <v>106.36917249999999</v>
      </c>
      <c r="W315" s="258">
        <v>0.15</v>
      </c>
      <c r="X315" s="257">
        <f t="shared" si="197"/>
        <v>120.0025</v>
      </c>
      <c r="Y315" s="170">
        <f t="shared" si="198"/>
        <v>122.32454837499998</v>
      </c>
      <c r="Z315" s="170">
        <f t="shared" si="199"/>
        <v>125</v>
      </c>
      <c r="AA315" s="407">
        <f t="shared" si="200"/>
        <v>0</v>
      </c>
      <c r="AB315" s="194"/>
    </row>
    <row r="316" spans="1:28" s="278" customFormat="1" x14ac:dyDescent="0.25">
      <c r="A316" s="200">
        <v>505130</v>
      </c>
      <c r="B316" s="313" t="s">
        <v>19118</v>
      </c>
      <c r="C316" s="248"/>
      <c r="D316" s="247" t="s">
        <v>7</v>
      </c>
      <c r="E316" s="249">
        <f t="shared" si="186"/>
        <v>48.7485</v>
      </c>
      <c r="F316" s="170">
        <f t="shared" si="186"/>
        <v>49.735657125000003</v>
      </c>
      <c r="G316" s="250">
        <v>0.45</v>
      </c>
      <c r="H316" s="171">
        <f t="shared" si="187"/>
        <v>0.45</v>
      </c>
      <c r="I316" s="249">
        <f t="shared" si="188"/>
        <v>48.7485</v>
      </c>
      <c r="J316" s="170">
        <f t="shared" si="188"/>
        <v>49.735657125000003</v>
      </c>
      <c r="K316" s="250">
        <v>0.45</v>
      </c>
      <c r="L316" s="172">
        <f t="shared" si="189"/>
        <v>0.45</v>
      </c>
      <c r="M316" s="249">
        <f t="shared" si="190"/>
        <v>5.4165000000000001</v>
      </c>
      <c r="N316" s="170">
        <f t="shared" si="191"/>
        <v>5.5261841250000003</v>
      </c>
      <c r="O316" s="250">
        <v>0.05</v>
      </c>
      <c r="P316" s="172">
        <f t="shared" si="192"/>
        <v>0.05</v>
      </c>
      <c r="Q316" s="251">
        <f t="shared" si="193"/>
        <v>5.4165000000000001</v>
      </c>
      <c r="R316" s="173">
        <f t="shared" si="194"/>
        <v>5.5261841250000003</v>
      </c>
      <c r="S316" s="250">
        <v>0.05</v>
      </c>
      <c r="T316" s="171">
        <f t="shared" si="195"/>
        <v>0.05</v>
      </c>
      <c r="U316" s="256">
        <v>108.33</v>
      </c>
      <c r="V316" s="170">
        <f t="shared" si="196"/>
        <v>110.52368250000001</v>
      </c>
      <c r="W316" s="258">
        <v>0.2</v>
      </c>
      <c r="X316" s="257">
        <f t="shared" si="197"/>
        <v>129.99600000000001</v>
      </c>
      <c r="Y316" s="170">
        <f t="shared" si="198"/>
        <v>132.62841900000001</v>
      </c>
      <c r="Z316" s="170">
        <f t="shared" si="199"/>
        <v>135</v>
      </c>
      <c r="AA316" s="407">
        <f t="shared" si="200"/>
        <v>0</v>
      </c>
      <c r="AB316" s="194"/>
    </row>
    <row r="317" spans="1:28" s="278" customFormat="1" x14ac:dyDescent="0.25">
      <c r="A317" s="200">
        <v>505130</v>
      </c>
      <c r="B317" s="313" t="s">
        <v>19119</v>
      </c>
      <c r="C317" s="248"/>
      <c r="D317" s="247" t="s">
        <v>7</v>
      </c>
      <c r="E317" s="249">
        <f t="shared" si="186"/>
        <v>45</v>
      </c>
      <c r="F317" s="170">
        <f t="shared" si="186"/>
        <v>45.911250000000003</v>
      </c>
      <c r="G317" s="250">
        <v>0.45</v>
      </c>
      <c r="H317" s="171">
        <f t="shared" si="187"/>
        <v>0.45</v>
      </c>
      <c r="I317" s="249">
        <f t="shared" si="188"/>
        <v>45</v>
      </c>
      <c r="J317" s="170">
        <f t="shared" si="188"/>
        <v>45.911250000000003</v>
      </c>
      <c r="K317" s="250">
        <v>0.45</v>
      </c>
      <c r="L317" s="172">
        <f t="shared" si="189"/>
        <v>0.45</v>
      </c>
      <c r="M317" s="249">
        <f t="shared" si="190"/>
        <v>5</v>
      </c>
      <c r="N317" s="170">
        <f t="shared" si="191"/>
        <v>5.1012500000000003</v>
      </c>
      <c r="O317" s="250">
        <v>0.05</v>
      </c>
      <c r="P317" s="172">
        <f t="shared" si="192"/>
        <v>0.05</v>
      </c>
      <c r="Q317" s="251">
        <f t="shared" si="193"/>
        <v>5</v>
      </c>
      <c r="R317" s="173">
        <f t="shared" si="194"/>
        <v>5.1012500000000003</v>
      </c>
      <c r="S317" s="250">
        <v>0.05</v>
      </c>
      <c r="T317" s="171">
        <f t="shared" si="195"/>
        <v>0.05</v>
      </c>
      <c r="U317" s="256">
        <v>100</v>
      </c>
      <c r="V317" s="170">
        <f t="shared" si="196"/>
        <v>102.02500000000001</v>
      </c>
      <c r="W317" s="258">
        <v>0.2</v>
      </c>
      <c r="X317" s="257">
        <f t="shared" si="197"/>
        <v>120</v>
      </c>
      <c r="Y317" s="170">
        <f t="shared" si="198"/>
        <v>122.43</v>
      </c>
      <c r="Z317" s="170">
        <f t="shared" si="199"/>
        <v>125</v>
      </c>
      <c r="AA317" s="407">
        <f t="shared" si="200"/>
        <v>0</v>
      </c>
      <c r="AB317" s="194"/>
    </row>
    <row r="318" spans="1:28" s="278" customFormat="1" x14ac:dyDescent="0.25">
      <c r="A318" s="200">
        <v>505132</v>
      </c>
      <c r="B318" s="313" t="s">
        <v>19120</v>
      </c>
      <c r="C318" s="248"/>
      <c r="D318" s="247" t="s">
        <v>7</v>
      </c>
      <c r="E318" s="249">
        <f t="shared" si="186"/>
        <v>52.500150000000005</v>
      </c>
      <c r="F318" s="170">
        <f t="shared" si="186"/>
        <v>53.563278037500005</v>
      </c>
      <c r="G318" s="250">
        <v>0.45</v>
      </c>
      <c r="H318" s="171">
        <f t="shared" si="187"/>
        <v>0.45</v>
      </c>
      <c r="I318" s="249">
        <f t="shared" si="188"/>
        <v>52.500150000000005</v>
      </c>
      <c r="J318" s="170">
        <f t="shared" si="188"/>
        <v>53.563278037500005</v>
      </c>
      <c r="K318" s="250">
        <v>0.45</v>
      </c>
      <c r="L318" s="172">
        <f t="shared" si="189"/>
        <v>0.45</v>
      </c>
      <c r="M318" s="249">
        <f t="shared" si="190"/>
        <v>5.8333500000000003</v>
      </c>
      <c r="N318" s="170">
        <f t="shared" si="191"/>
        <v>5.9514753375000007</v>
      </c>
      <c r="O318" s="250">
        <v>0.05</v>
      </c>
      <c r="P318" s="172">
        <f t="shared" si="192"/>
        <v>0.05</v>
      </c>
      <c r="Q318" s="251">
        <f t="shared" si="193"/>
        <v>5.8333500000000003</v>
      </c>
      <c r="R318" s="173">
        <f t="shared" si="194"/>
        <v>5.9514753375000007</v>
      </c>
      <c r="S318" s="250">
        <v>0.05</v>
      </c>
      <c r="T318" s="171">
        <f t="shared" si="195"/>
        <v>0.05</v>
      </c>
      <c r="U318" s="256">
        <v>116.667</v>
      </c>
      <c r="V318" s="170">
        <f t="shared" si="196"/>
        <v>119.02950675000001</v>
      </c>
      <c r="W318" s="258">
        <v>0.2</v>
      </c>
      <c r="X318" s="257">
        <f t="shared" si="197"/>
        <v>140.00040000000001</v>
      </c>
      <c r="Y318" s="170">
        <f t="shared" si="198"/>
        <v>142.8354081</v>
      </c>
      <c r="Z318" s="170">
        <f t="shared" si="199"/>
        <v>145</v>
      </c>
      <c r="AA318" s="407">
        <f t="shared" si="200"/>
        <v>0</v>
      </c>
      <c r="AB318" s="194"/>
    </row>
    <row r="319" spans="1:28" s="278" customFormat="1" x14ac:dyDescent="0.25">
      <c r="A319" s="200">
        <v>505132</v>
      </c>
      <c r="B319" s="313" t="s">
        <v>19121</v>
      </c>
      <c r="C319" s="248"/>
      <c r="D319" s="247" t="s">
        <v>7</v>
      </c>
      <c r="E319" s="249">
        <f t="shared" si="186"/>
        <v>46.874699999999997</v>
      </c>
      <c r="F319" s="170">
        <f t="shared" si="186"/>
        <v>47.823912675000003</v>
      </c>
      <c r="G319" s="250">
        <v>0.45</v>
      </c>
      <c r="H319" s="171">
        <f t="shared" si="187"/>
        <v>0.45</v>
      </c>
      <c r="I319" s="249">
        <f t="shared" si="188"/>
        <v>46.874699999999997</v>
      </c>
      <c r="J319" s="170">
        <f t="shared" si="188"/>
        <v>47.823912675000003</v>
      </c>
      <c r="K319" s="250">
        <v>0.45</v>
      </c>
      <c r="L319" s="172">
        <f t="shared" si="189"/>
        <v>0.45</v>
      </c>
      <c r="M319" s="249">
        <f t="shared" si="190"/>
        <v>5.2083000000000004</v>
      </c>
      <c r="N319" s="170">
        <f t="shared" si="191"/>
        <v>5.3137680750000005</v>
      </c>
      <c r="O319" s="250">
        <v>0.05</v>
      </c>
      <c r="P319" s="172">
        <f t="shared" si="192"/>
        <v>0.05</v>
      </c>
      <c r="Q319" s="251">
        <f t="shared" si="193"/>
        <v>5.2083000000000004</v>
      </c>
      <c r="R319" s="173">
        <f t="shared" si="194"/>
        <v>5.3137680750000005</v>
      </c>
      <c r="S319" s="250">
        <v>0.05</v>
      </c>
      <c r="T319" s="171">
        <f t="shared" si="195"/>
        <v>0.05</v>
      </c>
      <c r="U319" s="256">
        <v>104.166</v>
      </c>
      <c r="V319" s="170">
        <f t="shared" si="196"/>
        <v>106.2753615</v>
      </c>
      <c r="W319" s="258">
        <v>0.2</v>
      </c>
      <c r="X319" s="257">
        <f t="shared" si="197"/>
        <v>124.9992</v>
      </c>
      <c r="Y319" s="170">
        <f t="shared" si="198"/>
        <v>127.5304338</v>
      </c>
      <c r="Z319" s="170">
        <f t="shared" si="199"/>
        <v>130</v>
      </c>
      <c r="AA319" s="407">
        <f t="shared" si="200"/>
        <v>0</v>
      </c>
      <c r="AB319" s="194"/>
    </row>
    <row r="320" spans="1:28" s="278" customFormat="1" ht="14.4" thickBot="1" x14ac:dyDescent="0.3">
      <c r="A320" s="263">
        <v>505133</v>
      </c>
      <c r="B320" s="321" t="s">
        <v>19122</v>
      </c>
      <c r="C320" s="265"/>
      <c r="D320" s="264" t="s">
        <v>7</v>
      </c>
      <c r="E320" s="266">
        <f t="shared" si="186"/>
        <v>54.374850000000002</v>
      </c>
      <c r="F320" s="174">
        <f t="shared" si="186"/>
        <v>55.475940712500005</v>
      </c>
      <c r="G320" s="267">
        <v>0.45</v>
      </c>
      <c r="H320" s="268">
        <f t="shared" si="187"/>
        <v>0.45</v>
      </c>
      <c r="I320" s="266">
        <f t="shared" si="188"/>
        <v>54.374850000000002</v>
      </c>
      <c r="J320" s="174">
        <f t="shared" si="188"/>
        <v>55.475940712500005</v>
      </c>
      <c r="K320" s="267">
        <v>0.45</v>
      </c>
      <c r="L320" s="269">
        <f t="shared" si="189"/>
        <v>0.45</v>
      </c>
      <c r="M320" s="266">
        <f t="shared" si="190"/>
        <v>6.0416500000000006</v>
      </c>
      <c r="N320" s="174">
        <f t="shared" si="191"/>
        <v>6.1639934125000009</v>
      </c>
      <c r="O320" s="267">
        <v>0.05</v>
      </c>
      <c r="P320" s="269">
        <f t="shared" si="192"/>
        <v>0.05</v>
      </c>
      <c r="Q320" s="270">
        <f t="shared" si="193"/>
        <v>6.0416500000000006</v>
      </c>
      <c r="R320" s="271">
        <f t="shared" si="194"/>
        <v>6.1639934125000009</v>
      </c>
      <c r="S320" s="267">
        <v>0.05</v>
      </c>
      <c r="T320" s="268">
        <f t="shared" si="195"/>
        <v>0.05</v>
      </c>
      <c r="U320" s="409">
        <v>120.833</v>
      </c>
      <c r="V320" s="174">
        <f t="shared" si="196"/>
        <v>123.27986825000001</v>
      </c>
      <c r="W320" s="322">
        <v>0.2</v>
      </c>
      <c r="X320" s="274">
        <f t="shared" si="197"/>
        <v>144.99959999999999</v>
      </c>
      <c r="Y320" s="174">
        <f t="shared" si="198"/>
        <v>147.93584190000001</v>
      </c>
      <c r="Z320" s="174">
        <f t="shared" si="199"/>
        <v>150</v>
      </c>
      <c r="AA320" s="410">
        <f t="shared" si="200"/>
        <v>0</v>
      </c>
      <c r="AB320" s="194"/>
    </row>
    <row r="321" spans="1:28" s="278" customFormat="1" x14ac:dyDescent="0.25">
      <c r="A321" s="200">
        <v>505133</v>
      </c>
      <c r="B321" s="313" t="s">
        <v>19123</v>
      </c>
      <c r="C321" s="248"/>
      <c r="D321" s="247" t="s">
        <v>7</v>
      </c>
      <c r="E321" s="249">
        <f t="shared" si="186"/>
        <v>48.7485</v>
      </c>
      <c r="F321" s="170">
        <f t="shared" si="186"/>
        <v>49.735657125000003</v>
      </c>
      <c r="G321" s="250">
        <v>0.45</v>
      </c>
      <c r="H321" s="171">
        <f t="shared" si="187"/>
        <v>0.45</v>
      </c>
      <c r="I321" s="249">
        <f t="shared" si="188"/>
        <v>48.7485</v>
      </c>
      <c r="J321" s="170">
        <f t="shared" si="188"/>
        <v>49.735657125000003</v>
      </c>
      <c r="K321" s="250">
        <v>0.45</v>
      </c>
      <c r="L321" s="172">
        <f t="shared" si="189"/>
        <v>0.45</v>
      </c>
      <c r="M321" s="249">
        <f t="shared" si="190"/>
        <v>5.4165000000000001</v>
      </c>
      <c r="N321" s="170">
        <f t="shared" si="191"/>
        <v>5.5261841250000003</v>
      </c>
      <c r="O321" s="250">
        <v>0.05</v>
      </c>
      <c r="P321" s="172">
        <f t="shared" si="192"/>
        <v>0.05</v>
      </c>
      <c r="Q321" s="251">
        <f t="shared" si="193"/>
        <v>5.4165000000000001</v>
      </c>
      <c r="R321" s="173">
        <f t="shared" si="194"/>
        <v>5.5261841250000003</v>
      </c>
      <c r="S321" s="250">
        <v>0.05</v>
      </c>
      <c r="T321" s="171">
        <f t="shared" si="195"/>
        <v>0.05</v>
      </c>
      <c r="U321" s="256">
        <v>108.33</v>
      </c>
      <c r="V321" s="170">
        <f t="shared" si="196"/>
        <v>110.52368250000001</v>
      </c>
      <c r="W321" s="258">
        <v>0.2</v>
      </c>
      <c r="X321" s="257">
        <f t="shared" si="197"/>
        <v>129.99600000000001</v>
      </c>
      <c r="Y321" s="170">
        <f t="shared" si="198"/>
        <v>132.62841900000001</v>
      </c>
      <c r="Z321" s="170">
        <f t="shared" si="199"/>
        <v>135</v>
      </c>
      <c r="AA321" s="407">
        <f t="shared" si="200"/>
        <v>0</v>
      </c>
      <c r="AB321" s="194"/>
    </row>
    <row r="322" spans="1:28" s="278" customFormat="1" x14ac:dyDescent="0.25">
      <c r="A322" s="200">
        <v>505134</v>
      </c>
      <c r="B322" s="313" t="s">
        <v>19124</v>
      </c>
      <c r="C322" s="248"/>
      <c r="D322" s="247" t="s">
        <v>7</v>
      </c>
      <c r="E322" s="249">
        <f t="shared" si="186"/>
        <v>56.25</v>
      </c>
      <c r="F322" s="170">
        <f t="shared" si="186"/>
        <v>57.389062500000009</v>
      </c>
      <c r="G322" s="250">
        <v>0.45</v>
      </c>
      <c r="H322" s="171">
        <f t="shared" si="187"/>
        <v>0.45</v>
      </c>
      <c r="I322" s="249">
        <f t="shared" si="188"/>
        <v>56.25</v>
      </c>
      <c r="J322" s="170">
        <f t="shared" si="188"/>
        <v>57.389062500000009</v>
      </c>
      <c r="K322" s="250">
        <v>0.45</v>
      </c>
      <c r="L322" s="172">
        <f t="shared" si="189"/>
        <v>0.45</v>
      </c>
      <c r="M322" s="249">
        <f t="shared" si="190"/>
        <v>6.25</v>
      </c>
      <c r="N322" s="170">
        <f t="shared" si="191"/>
        <v>6.3765625000000012</v>
      </c>
      <c r="O322" s="250">
        <v>0.05</v>
      </c>
      <c r="P322" s="172">
        <f t="shared" si="192"/>
        <v>0.05</v>
      </c>
      <c r="Q322" s="251">
        <f t="shared" si="193"/>
        <v>6.25</v>
      </c>
      <c r="R322" s="173">
        <f t="shared" si="194"/>
        <v>6.3765625000000012</v>
      </c>
      <c r="S322" s="250">
        <v>0.05</v>
      </c>
      <c r="T322" s="171">
        <f t="shared" si="195"/>
        <v>0.05</v>
      </c>
      <c r="U322" s="256">
        <v>125</v>
      </c>
      <c r="V322" s="170">
        <f t="shared" si="196"/>
        <v>127.53125000000001</v>
      </c>
      <c r="W322" s="258">
        <v>0.2</v>
      </c>
      <c r="X322" s="257">
        <f t="shared" si="197"/>
        <v>150</v>
      </c>
      <c r="Y322" s="170">
        <f t="shared" si="198"/>
        <v>153.03750000000002</v>
      </c>
      <c r="Z322" s="170">
        <f t="shared" si="199"/>
        <v>155</v>
      </c>
      <c r="AA322" s="407">
        <f t="shared" si="200"/>
        <v>0</v>
      </c>
      <c r="AB322" s="194"/>
    </row>
    <row r="323" spans="1:28" s="278" customFormat="1" x14ac:dyDescent="0.25">
      <c r="A323" s="200">
        <v>505134</v>
      </c>
      <c r="B323" s="313" t="s">
        <v>19125</v>
      </c>
      <c r="C323" s="248"/>
      <c r="D323" s="247" t="s">
        <v>7</v>
      </c>
      <c r="E323" s="249">
        <f t="shared" si="186"/>
        <v>50.625</v>
      </c>
      <c r="F323" s="170">
        <f t="shared" si="186"/>
        <v>51.650156250000002</v>
      </c>
      <c r="G323" s="250">
        <v>0.45</v>
      </c>
      <c r="H323" s="171">
        <f t="shared" si="187"/>
        <v>0.45</v>
      </c>
      <c r="I323" s="249">
        <f t="shared" si="188"/>
        <v>50.625</v>
      </c>
      <c r="J323" s="170">
        <f t="shared" si="188"/>
        <v>51.650156250000002</v>
      </c>
      <c r="K323" s="250">
        <v>0.45</v>
      </c>
      <c r="L323" s="172">
        <f t="shared" si="189"/>
        <v>0.45</v>
      </c>
      <c r="M323" s="249">
        <f t="shared" si="190"/>
        <v>5.625</v>
      </c>
      <c r="N323" s="170">
        <f t="shared" si="191"/>
        <v>5.7389062500000003</v>
      </c>
      <c r="O323" s="250">
        <v>0.05</v>
      </c>
      <c r="P323" s="172">
        <f t="shared" si="192"/>
        <v>0.05</v>
      </c>
      <c r="Q323" s="251">
        <f t="shared" si="193"/>
        <v>5.625</v>
      </c>
      <c r="R323" s="173">
        <f t="shared" si="194"/>
        <v>5.7389062500000003</v>
      </c>
      <c r="S323" s="250">
        <v>0.05</v>
      </c>
      <c r="T323" s="171">
        <f t="shared" si="195"/>
        <v>0.05</v>
      </c>
      <c r="U323" s="256">
        <v>112.5</v>
      </c>
      <c r="V323" s="170">
        <f t="shared" si="196"/>
        <v>114.778125</v>
      </c>
      <c r="W323" s="258">
        <v>0.2</v>
      </c>
      <c r="X323" s="257">
        <f t="shared" si="197"/>
        <v>135</v>
      </c>
      <c r="Y323" s="170">
        <f t="shared" si="198"/>
        <v>137.73374999999999</v>
      </c>
      <c r="Z323" s="170">
        <f t="shared" si="199"/>
        <v>140</v>
      </c>
      <c r="AA323" s="407">
        <f t="shared" si="200"/>
        <v>0</v>
      </c>
      <c r="AB323" s="194"/>
    </row>
    <row r="324" spans="1:28" s="278" customFormat="1" x14ac:dyDescent="0.25">
      <c r="A324" s="200">
        <v>505135</v>
      </c>
      <c r="B324" s="313" t="s">
        <v>19126</v>
      </c>
      <c r="C324" s="248"/>
      <c r="D324" s="247" t="s">
        <v>7</v>
      </c>
      <c r="E324" s="249">
        <f t="shared" ref="E324:F355" si="201">U324*G324</f>
        <v>58.124699999999997</v>
      </c>
      <c r="F324" s="170">
        <f t="shared" si="201"/>
        <v>59.301725175000001</v>
      </c>
      <c r="G324" s="250">
        <v>0.45</v>
      </c>
      <c r="H324" s="171">
        <f t="shared" si="187"/>
        <v>0.45</v>
      </c>
      <c r="I324" s="249">
        <f t="shared" ref="I324:J355" si="202">U324*K324</f>
        <v>58.124699999999997</v>
      </c>
      <c r="J324" s="170">
        <f t="shared" si="202"/>
        <v>59.301725175000001</v>
      </c>
      <c r="K324" s="250">
        <v>0.45</v>
      </c>
      <c r="L324" s="172">
        <f t="shared" si="189"/>
        <v>0.45</v>
      </c>
      <c r="M324" s="249">
        <f t="shared" si="190"/>
        <v>6.4583000000000004</v>
      </c>
      <c r="N324" s="170">
        <f t="shared" si="191"/>
        <v>6.5890805750000006</v>
      </c>
      <c r="O324" s="250">
        <v>0.05</v>
      </c>
      <c r="P324" s="172">
        <f t="shared" si="192"/>
        <v>0.05</v>
      </c>
      <c r="Q324" s="251">
        <f t="shared" si="193"/>
        <v>6.4583000000000004</v>
      </c>
      <c r="R324" s="173">
        <f t="shared" si="194"/>
        <v>6.5890805750000006</v>
      </c>
      <c r="S324" s="250">
        <v>0.05</v>
      </c>
      <c r="T324" s="171">
        <f t="shared" si="195"/>
        <v>0.05</v>
      </c>
      <c r="U324" s="256">
        <v>129.166</v>
      </c>
      <c r="V324" s="170">
        <f t="shared" si="196"/>
        <v>131.7816115</v>
      </c>
      <c r="W324" s="258">
        <v>0.2</v>
      </c>
      <c r="X324" s="257">
        <f t="shared" si="197"/>
        <v>154.9992</v>
      </c>
      <c r="Y324" s="170">
        <f t="shared" si="198"/>
        <v>158.13793379999998</v>
      </c>
      <c r="Z324" s="170">
        <f t="shared" si="199"/>
        <v>160</v>
      </c>
      <c r="AA324" s="407">
        <f t="shared" si="200"/>
        <v>0</v>
      </c>
      <c r="AB324" s="194"/>
    </row>
    <row r="325" spans="1:28" s="278" customFormat="1" x14ac:dyDescent="0.25">
      <c r="A325" s="200">
        <v>505135</v>
      </c>
      <c r="B325" s="313" t="s">
        <v>19127</v>
      </c>
      <c r="C325" s="248"/>
      <c r="D325" s="247" t="s">
        <v>7</v>
      </c>
      <c r="E325" s="249">
        <f t="shared" si="201"/>
        <v>52.5015</v>
      </c>
      <c r="F325" s="170">
        <f t="shared" si="201"/>
        <v>53.564655375000008</v>
      </c>
      <c r="G325" s="250">
        <v>0.45</v>
      </c>
      <c r="H325" s="171">
        <f t="shared" si="187"/>
        <v>0.45</v>
      </c>
      <c r="I325" s="249">
        <f t="shared" si="202"/>
        <v>52.5015</v>
      </c>
      <c r="J325" s="170">
        <f t="shared" si="202"/>
        <v>53.564655375000008</v>
      </c>
      <c r="K325" s="250">
        <v>0.45</v>
      </c>
      <c r="L325" s="172">
        <f t="shared" si="189"/>
        <v>0.45</v>
      </c>
      <c r="M325" s="249">
        <f t="shared" si="190"/>
        <v>5.8335000000000008</v>
      </c>
      <c r="N325" s="170">
        <f t="shared" si="191"/>
        <v>5.9516283750000012</v>
      </c>
      <c r="O325" s="250">
        <v>0.05</v>
      </c>
      <c r="P325" s="172">
        <f t="shared" si="192"/>
        <v>0.05</v>
      </c>
      <c r="Q325" s="251">
        <f t="shared" si="193"/>
        <v>5.8335000000000008</v>
      </c>
      <c r="R325" s="173">
        <f t="shared" si="194"/>
        <v>5.9516283750000012</v>
      </c>
      <c r="S325" s="250">
        <v>0.05</v>
      </c>
      <c r="T325" s="171">
        <f t="shared" si="195"/>
        <v>0.05</v>
      </c>
      <c r="U325" s="256">
        <v>116.67</v>
      </c>
      <c r="V325" s="170">
        <f t="shared" si="196"/>
        <v>119.03256750000001</v>
      </c>
      <c r="W325" s="258">
        <v>0.2</v>
      </c>
      <c r="X325" s="257">
        <f t="shared" si="197"/>
        <v>140.00400000000002</v>
      </c>
      <c r="Y325" s="170">
        <f t="shared" si="198"/>
        <v>142.83908100000002</v>
      </c>
      <c r="Z325" s="170">
        <f t="shared" si="199"/>
        <v>145</v>
      </c>
      <c r="AA325" s="407">
        <f t="shared" si="200"/>
        <v>0</v>
      </c>
      <c r="AB325" s="194"/>
    </row>
    <row r="326" spans="1:28" s="278" customFormat="1" x14ac:dyDescent="0.25">
      <c r="A326" s="200">
        <v>505136</v>
      </c>
      <c r="B326" s="313" t="s">
        <v>19128</v>
      </c>
      <c r="C326" s="248"/>
      <c r="D326" s="247" t="s">
        <v>7</v>
      </c>
      <c r="E326" s="249">
        <f t="shared" si="201"/>
        <v>76.874985000000009</v>
      </c>
      <c r="F326" s="170">
        <f t="shared" si="201"/>
        <v>78.431703446250012</v>
      </c>
      <c r="G326" s="250">
        <v>0.45</v>
      </c>
      <c r="H326" s="171">
        <f t="shared" si="187"/>
        <v>0.45</v>
      </c>
      <c r="I326" s="249">
        <f t="shared" si="202"/>
        <v>76.874985000000009</v>
      </c>
      <c r="J326" s="170">
        <f t="shared" si="202"/>
        <v>78.431703446250012</v>
      </c>
      <c r="K326" s="252">
        <v>0.45</v>
      </c>
      <c r="L326" s="172">
        <f t="shared" si="189"/>
        <v>0.45</v>
      </c>
      <c r="M326" s="249">
        <f t="shared" si="190"/>
        <v>8.5416650000000001</v>
      </c>
      <c r="N326" s="170">
        <f t="shared" si="191"/>
        <v>8.7146337162500025</v>
      </c>
      <c r="O326" s="250">
        <v>0.05</v>
      </c>
      <c r="P326" s="172">
        <f t="shared" si="192"/>
        <v>0.05</v>
      </c>
      <c r="Q326" s="251">
        <f t="shared" si="193"/>
        <v>8.5416650000000001</v>
      </c>
      <c r="R326" s="173">
        <f t="shared" si="194"/>
        <v>8.7146337162500025</v>
      </c>
      <c r="S326" s="250">
        <v>0.05</v>
      </c>
      <c r="T326" s="171">
        <f t="shared" si="195"/>
        <v>0.05</v>
      </c>
      <c r="U326" s="256">
        <v>170.83330000000001</v>
      </c>
      <c r="V326" s="170">
        <f t="shared" si="196"/>
        <v>174.29267432500004</v>
      </c>
      <c r="W326" s="258">
        <v>0.2</v>
      </c>
      <c r="X326" s="257">
        <f t="shared" si="197"/>
        <v>204.99996000000002</v>
      </c>
      <c r="Y326" s="170">
        <f t="shared" si="198"/>
        <v>209.15120919000003</v>
      </c>
      <c r="Z326" s="170">
        <f t="shared" si="199"/>
        <v>210</v>
      </c>
      <c r="AA326" s="407">
        <f t="shared" si="200"/>
        <v>0</v>
      </c>
      <c r="AB326" s="194"/>
    </row>
    <row r="327" spans="1:28" s="278" customFormat="1" x14ac:dyDescent="0.25">
      <c r="A327" s="200">
        <v>505136</v>
      </c>
      <c r="B327" s="313" t="s">
        <v>19129</v>
      </c>
      <c r="C327" s="248"/>
      <c r="D327" s="247" t="s">
        <v>7</v>
      </c>
      <c r="E327" s="249">
        <f t="shared" si="201"/>
        <v>71.249985000000009</v>
      </c>
      <c r="F327" s="170">
        <f t="shared" si="201"/>
        <v>72.692797196250027</v>
      </c>
      <c r="G327" s="250">
        <v>0.45</v>
      </c>
      <c r="H327" s="171">
        <f t="shared" si="187"/>
        <v>0.45</v>
      </c>
      <c r="I327" s="249">
        <f t="shared" si="202"/>
        <v>71.249985000000009</v>
      </c>
      <c r="J327" s="170">
        <f t="shared" si="202"/>
        <v>72.692797196250027</v>
      </c>
      <c r="K327" s="252">
        <v>0.45</v>
      </c>
      <c r="L327" s="172">
        <f t="shared" si="189"/>
        <v>0.45</v>
      </c>
      <c r="M327" s="249">
        <f t="shared" si="190"/>
        <v>7.916665000000001</v>
      </c>
      <c r="N327" s="170">
        <f t="shared" si="191"/>
        <v>8.0769774662500033</v>
      </c>
      <c r="O327" s="250">
        <v>0.05</v>
      </c>
      <c r="P327" s="172">
        <f t="shared" si="192"/>
        <v>0.05</v>
      </c>
      <c r="Q327" s="251">
        <f t="shared" si="193"/>
        <v>7.916665000000001</v>
      </c>
      <c r="R327" s="173">
        <f t="shared" si="194"/>
        <v>8.0769774662500033</v>
      </c>
      <c r="S327" s="250">
        <v>0.05</v>
      </c>
      <c r="T327" s="171">
        <f t="shared" si="195"/>
        <v>0.05</v>
      </c>
      <c r="U327" s="256">
        <v>158.33330000000001</v>
      </c>
      <c r="V327" s="170">
        <f t="shared" si="196"/>
        <v>161.53954932500005</v>
      </c>
      <c r="W327" s="258">
        <v>0.2</v>
      </c>
      <c r="X327" s="257">
        <f t="shared" si="197"/>
        <v>189.99996000000002</v>
      </c>
      <c r="Y327" s="170">
        <f t="shared" si="198"/>
        <v>193.84745919000005</v>
      </c>
      <c r="Z327" s="170">
        <f t="shared" si="199"/>
        <v>195</v>
      </c>
      <c r="AA327" s="407">
        <f t="shared" si="200"/>
        <v>0</v>
      </c>
      <c r="AB327" s="194"/>
    </row>
    <row r="328" spans="1:28" s="278" customFormat="1" x14ac:dyDescent="0.25">
      <c r="A328" s="200">
        <v>505140</v>
      </c>
      <c r="B328" s="313" t="s">
        <v>19130</v>
      </c>
      <c r="C328" s="248"/>
      <c r="D328" s="247" t="s">
        <v>7</v>
      </c>
      <c r="E328" s="249">
        <f t="shared" si="201"/>
        <v>46.875015000000005</v>
      </c>
      <c r="F328" s="170">
        <f t="shared" si="201"/>
        <v>47.824234053750011</v>
      </c>
      <c r="G328" s="250">
        <v>0.45</v>
      </c>
      <c r="H328" s="171">
        <f t="shared" si="187"/>
        <v>0.45</v>
      </c>
      <c r="I328" s="249">
        <f t="shared" si="202"/>
        <v>46.875015000000005</v>
      </c>
      <c r="J328" s="170">
        <f t="shared" si="202"/>
        <v>47.824234053750011</v>
      </c>
      <c r="K328" s="250">
        <v>0.45</v>
      </c>
      <c r="L328" s="172">
        <f t="shared" si="189"/>
        <v>0.45</v>
      </c>
      <c r="M328" s="249">
        <f t="shared" si="190"/>
        <v>5.2083350000000008</v>
      </c>
      <c r="N328" s="170">
        <f t="shared" si="191"/>
        <v>5.313803783750001</v>
      </c>
      <c r="O328" s="250">
        <v>0.05</v>
      </c>
      <c r="P328" s="172">
        <f t="shared" si="192"/>
        <v>0.05</v>
      </c>
      <c r="Q328" s="251">
        <f t="shared" si="193"/>
        <v>5.2083350000000008</v>
      </c>
      <c r="R328" s="173">
        <f t="shared" si="194"/>
        <v>5.313803783750001</v>
      </c>
      <c r="S328" s="250">
        <v>0.05</v>
      </c>
      <c r="T328" s="171">
        <f t="shared" si="195"/>
        <v>0.05</v>
      </c>
      <c r="U328" s="256">
        <v>104.16670000000001</v>
      </c>
      <c r="V328" s="170">
        <f t="shared" si="196"/>
        <v>106.27607567500002</v>
      </c>
      <c r="W328" s="258">
        <v>0.2</v>
      </c>
      <c r="X328" s="257">
        <f t="shared" si="197"/>
        <v>125.00004000000001</v>
      </c>
      <c r="Y328" s="170">
        <f t="shared" si="198"/>
        <v>127.53129081000002</v>
      </c>
      <c r="Z328" s="170">
        <f t="shared" si="199"/>
        <v>130</v>
      </c>
      <c r="AA328" s="407">
        <f t="shared" si="200"/>
        <v>0</v>
      </c>
      <c r="AB328" s="194"/>
    </row>
    <row r="329" spans="1:28" s="278" customFormat="1" x14ac:dyDescent="0.25">
      <c r="A329" s="200">
        <v>505140</v>
      </c>
      <c r="B329" s="313" t="s">
        <v>19131</v>
      </c>
      <c r="C329" s="248"/>
      <c r="D329" s="247" t="s">
        <v>7</v>
      </c>
      <c r="E329" s="249">
        <f t="shared" si="201"/>
        <v>43.124998500000004</v>
      </c>
      <c r="F329" s="170">
        <f t="shared" si="201"/>
        <v>43.99827971962501</v>
      </c>
      <c r="G329" s="250">
        <v>0.45</v>
      </c>
      <c r="H329" s="171">
        <f t="shared" si="187"/>
        <v>0.45</v>
      </c>
      <c r="I329" s="249">
        <f t="shared" si="202"/>
        <v>43.124998500000004</v>
      </c>
      <c r="J329" s="170">
        <f t="shared" si="202"/>
        <v>43.99827971962501</v>
      </c>
      <c r="K329" s="250">
        <v>0.45</v>
      </c>
      <c r="L329" s="172">
        <f t="shared" si="189"/>
        <v>0.45</v>
      </c>
      <c r="M329" s="249">
        <f t="shared" si="190"/>
        <v>4.7916665000000007</v>
      </c>
      <c r="N329" s="170">
        <f t="shared" si="191"/>
        <v>4.8886977466250015</v>
      </c>
      <c r="O329" s="250">
        <v>0.05</v>
      </c>
      <c r="P329" s="172">
        <f t="shared" si="192"/>
        <v>0.05</v>
      </c>
      <c r="Q329" s="251">
        <f t="shared" si="193"/>
        <v>4.7916665000000007</v>
      </c>
      <c r="R329" s="173">
        <f t="shared" si="194"/>
        <v>4.8886977466250015</v>
      </c>
      <c r="S329" s="250">
        <v>0.05</v>
      </c>
      <c r="T329" s="171">
        <f t="shared" si="195"/>
        <v>0.05</v>
      </c>
      <c r="U329" s="256">
        <v>95.833330000000004</v>
      </c>
      <c r="V329" s="170">
        <f t="shared" si="196"/>
        <v>97.773954932500018</v>
      </c>
      <c r="W329" s="258">
        <v>0.2</v>
      </c>
      <c r="X329" s="257">
        <f t="shared" si="197"/>
        <v>114.99999600000001</v>
      </c>
      <c r="Y329" s="170">
        <f t="shared" si="198"/>
        <v>117.32874591900001</v>
      </c>
      <c r="Z329" s="170">
        <f t="shared" si="199"/>
        <v>120</v>
      </c>
      <c r="AA329" s="407">
        <f t="shared" si="200"/>
        <v>0</v>
      </c>
      <c r="AB329" s="194"/>
    </row>
    <row r="330" spans="1:28" s="278" customFormat="1" x14ac:dyDescent="0.25">
      <c r="A330" s="200">
        <v>505142</v>
      </c>
      <c r="B330" s="313" t="s">
        <v>19132</v>
      </c>
      <c r="C330" s="248"/>
      <c r="D330" s="247" t="s">
        <v>7</v>
      </c>
      <c r="E330" s="249">
        <f t="shared" si="201"/>
        <v>43.1235</v>
      </c>
      <c r="F330" s="170">
        <f t="shared" si="201"/>
        <v>43.996750875000004</v>
      </c>
      <c r="G330" s="250">
        <v>0.45</v>
      </c>
      <c r="H330" s="171">
        <f t="shared" si="187"/>
        <v>0.45</v>
      </c>
      <c r="I330" s="249">
        <f t="shared" si="202"/>
        <v>43.1235</v>
      </c>
      <c r="J330" s="170">
        <f t="shared" si="202"/>
        <v>43.996750875000004</v>
      </c>
      <c r="K330" s="250">
        <v>0.45</v>
      </c>
      <c r="L330" s="172">
        <f t="shared" si="189"/>
        <v>0.45</v>
      </c>
      <c r="M330" s="249">
        <f t="shared" si="190"/>
        <v>4.7915000000000001</v>
      </c>
      <c r="N330" s="170">
        <f t="shared" si="191"/>
        <v>4.8885278750000012</v>
      </c>
      <c r="O330" s="250">
        <v>0.05</v>
      </c>
      <c r="P330" s="172">
        <f t="shared" si="192"/>
        <v>0.05</v>
      </c>
      <c r="Q330" s="251">
        <f t="shared" si="193"/>
        <v>4.7915000000000001</v>
      </c>
      <c r="R330" s="173">
        <f t="shared" si="194"/>
        <v>4.8885278750000012</v>
      </c>
      <c r="S330" s="250">
        <v>0.05</v>
      </c>
      <c r="T330" s="171">
        <f t="shared" si="195"/>
        <v>0.05</v>
      </c>
      <c r="U330" s="256">
        <v>95.83</v>
      </c>
      <c r="V330" s="170">
        <f t="shared" si="196"/>
        <v>97.77055750000001</v>
      </c>
      <c r="W330" s="258">
        <v>0.2</v>
      </c>
      <c r="X330" s="257">
        <f t="shared" si="197"/>
        <v>114.996</v>
      </c>
      <c r="Y330" s="170">
        <f t="shared" si="198"/>
        <v>117.324669</v>
      </c>
      <c r="Z330" s="170">
        <f t="shared" si="199"/>
        <v>120</v>
      </c>
      <c r="AA330" s="407">
        <f t="shared" si="200"/>
        <v>0</v>
      </c>
      <c r="AB330" s="194"/>
    </row>
    <row r="331" spans="1:28" s="278" customFormat="1" x14ac:dyDescent="0.25">
      <c r="A331" s="200">
        <v>505142</v>
      </c>
      <c r="B331" s="313" t="s">
        <v>19133</v>
      </c>
      <c r="C331" s="248"/>
      <c r="D331" s="247" t="s">
        <v>7</v>
      </c>
      <c r="E331" s="249">
        <f t="shared" si="201"/>
        <v>39.375</v>
      </c>
      <c r="F331" s="170">
        <f t="shared" si="201"/>
        <v>40.172343750000003</v>
      </c>
      <c r="G331" s="250">
        <v>0.45</v>
      </c>
      <c r="H331" s="171">
        <f t="shared" si="187"/>
        <v>0.45</v>
      </c>
      <c r="I331" s="249">
        <f t="shared" si="202"/>
        <v>39.375</v>
      </c>
      <c r="J331" s="170">
        <f t="shared" si="202"/>
        <v>40.172343750000003</v>
      </c>
      <c r="K331" s="250">
        <v>0.45</v>
      </c>
      <c r="L331" s="172">
        <f t="shared" si="189"/>
        <v>0.45</v>
      </c>
      <c r="M331" s="249">
        <f t="shared" si="190"/>
        <v>4.375</v>
      </c>
      <c r="N331" s="170">
        <f t="shared" si="191"/>
        <v>4.4635937500000002</v>
      </c>
      <c r="O331" s="250">
        <v>0.05</v>
      </c>
      <c r="P331" s="172">
        <f t="shared" si="192"/>
        <v>0.05</v>
      </c>
      <c r="Q331" s="251">
        <f t="shared" si="193"/>
        <v>4.375</v>
      </c>
      <c r="R331" s="173">
        <f t="shared" si="194"/>
        <v>4.4635937500000002</v>
      </c>
      <c r="S331" s="250">
        <v>0.05</v>
      </c>
      <c r="T331" s="171">
        <f t="shared" si="195"/>
        <v>0.05</v>
      </c>
      <c r="U331" s="256">
        <v>87.5</v>
      </c>
      <c r="V331" s="170">
        <f t="shared" si="196"/>
        <v>89.271875000000009</v>
      </c>
      <c r="W331" s="258">
        <v>0.2</v>
      </c>
      <c r="X331" s="257">
        <f t="shared" si="197"/>
        <v>105</v>
      </c>
      <c r="Y331" s="170">
        <f t="shared" si="198"/>
        <v>107.12625000000001</v>
      </c>
      <c r="Z331" s="170">
        <f t="shared" si="199"/>
        <v>110</v>
      </c>
      <c r="AA331" s="407">
        <f t="shared" si="200"/>
        <v>0</v>
      </c>
      <c r="AB331" s="194"/>
    </row>
    <row r="332" spans="1:28" s="278" customFormat="1" x14ac:dyDescent="0.25">
      <c r="A332" s="200">
        <v>505143</v>
      </c>
      <c r="B332" s="313" t="s">
        <v>19134</v>
      </c>
      <c r="C332" s="248"/>
      <c r="D332" s="247" t="s">
        <v>7</v>
      </c>
      <c r="E332" s="249">
        <f t="shared" si="201"/>
        <v>45</v>
      </c>
      <c r="F332" s="170">
        <f t="shared" si="201"/>
        <v>45.911250000000003</v>
      </c>
      <c r="G332" s="250">
        <v>0.45</v>
      </c>
      <c r="H332" s="171">
        <f t="shared" si="187"/>
        <v>0.45</v>
      </c>
      <c r="I332" s="249">
        <f t="shared" si="202"/>
        <v>45</v>
      </c>
      <c r="J332" s="170">
        <f t="shared" si="202"/>
        <v>45.911250000000003</v>
      </c>
      <c r="K332" s="250">
        <v>0.45</v>
      </c>
      <c r="L332" s="172">
        <f t="shared" si="189"/>
        <v>0.45</v>
      </c>
      <c r="M332" s="249">
        <f t="shared" si="190"/>
        <v>5</v>
      </c>
      <c r="N332" s="170">
        <f t="shared" si="191"/>
        <v>5.1012500000000003</v>
      </c>
      <c r="O332" s="250">
        <v>0.05</v>
      </c>
      <c r="P332" s="172">
        <f t="shared" si="192"/>
        <v>0.05</v>
      </c>
      <c r="Q332" s="251">
        <f t="shared" si="193"/>
        <v>5</v>
      </c>
      <c r="R332" s="173">
        <f t="shared" si="194"/>
        <v>5.1012500000000003</v>
      </c>
      <c r="S332" s="250">
        <v>0.05</v>
      </c>
      <c r="T332" s="171">
        <f t="shared" si="195"/>
        <v>0.05</v>
      </c>
      <c r="U332" s="256">
        <v>100</v>
      </c>
      <c r="V332" s="170">
        <f t="shared" si="196"/>
        <v>102.02500000000001</v>
      </c>
      <c r="W332" s="258">
        <v>0.2</v>
      </c>
      <c r="X332" s="257">
        <f t="shared" si="197"/>
        <v>120</v>
      </c>
      <c r="Y332" s="170">
        <f t="shared" si="198"/>
        <v>122.43</v>
      </c>
      <c r="Z332" s="170">
        <f t="shared" si="199"/>
        <v>125</v>
      </c>
      <c r="AA332" s="407">
        <f t="shared" si="200"/>
        <v>0</v>
      </c>
      <c r="AB332" s="194"/>
    </row>
    <row r="333" spans="1:28" s="278" customFormat="1" x14ac:dyDescent="0.25">
      <c r="A333" s="200">
        <v>505143</v>
      </c>
      <c r="B333" s="313" t="s">
        <v>19135</v>
      </c>
      <c r="C333" s="248"/>
      <c r="D333" s="247" t="s">
        <v>7</v>
      </c>
      <c r="E333" s="249">
        <f t="shared" si="201"/>
        <v>41.250015000000005</v>
      </c>
      <c r="F333" s="170">
        <f t="shared" si="201"/>
        <v>42.085327803750005</v>
      </c>
      <c r="G333" s="250">
        <v>0.45</v>
      </c>
      <c r="H333" s="171">
        <f t="shared" si="187"/>
        <v>0.45</v>
      </c>
      <c r="I333" s="249">
        <f t="shared" si="202"/>
        <v>41.250015000000005</v>
      </c>
      <c r="J333" s="170">
        <f t="shared" si="202"/>
        <v>42.085327803750005</v>
      </c>
      <c r="K333" s="250">
        <v>0.45</v>
      </c>
      <c r="L333" s="172">
        <f t="shared" si="189"/>
        <v>0.45</v>
      </c>
      <c r="M333" s="249">
        <f t="shared" si="190"/>
        <v>4.5833350000000008</v>
      </c>
      <c r="N333" s="170">
        <f t="shared" si="191"/>
        <v>4.67614753375</v>
      </c>
      <c r="O333" s="250">
        <v>0.05</v>
      </c>
      <c r="P333" s="172">
        <f t="shared" si="192"/>
        <v>0.05</v>
      </c>
      <c r="Q333" s="251">
        <f t="shared" si="193"/>
        <v>4.5833350000000008</v>
      </c>
      <c r="R333" s="173">
        <f t="shared" si="194"/>
        <v>4.67614753375</v>
      </c>
      <c r="S333" s="250">
        <v>0.05</v>
      </c>
      <c r="T333" s="171">
        <f t="shared" si="195"/>
        <v>0.05</v>
      </c>
      <c r="U333" s="256">
        <v>91.666700000000006</v>
      </c>
      <c r="V333" s="170">
        <f t="shared" si="196"/>
        <v>93.522950675000004</v>
      </c>
      <c r="W333" s="258">
        <v>0.2</v>
      </c>
      <c r="X333" s="257">
        <f t="shared" si="197"/>
        <v>110.00004000000001</v>
      </c>
      <c r="Y333" s="170">
        <f t="shared" si="198"/>
        <v>112.22754081000001</v>
      </c>
      <c r="Z333" s="170">
        <f t="shared" si="199"/>
        <v>115</v>
      </c>
      <c r="AA333" s="407">
        <f t="shared" si="200"/>
        <v>0</v>
      </c>
      <c r="AB333" s="194"/>
    </row>
    <row r="334" spans="1:28" s="278" customFormat="1" x14ac:dyDescent="0.25">
      <c r="A334" s="200">
        <v>505144</v>
      </c>
      <c r="B334" s="313" t="s">
        <v>19136</v>
      </c>
      <c r="C334" s="248"/>
      <c r="D334" s="247" t="s">
        <v>7</v>
      </c>
      <c r="E334" s="249">
        <f t="shared" si="201"/>
        <v>46.875015000000005</v>
      </c>
      <c r="F334" s="170">
        <f t="shared" si="201"/>
        <v>47.824234053750011</v>
      </c>
      <c r="G334" s="250">
        <v>0.45</v>
      </c>
      <c r="H334" s="171">
        <f t="shared" si="187"/>
        <v>0.45</v>
      </c>
      <c r="I334" s="249">
        <f t="shared" si="202"/>
        <v>46.875015000000005</v>
      </c>
      <c r="J334" s="170">
        <f t="shared" si="202"/>
        <v>47.824234053750011</v>
      </c>
      <c r="K334" s="250">
        <v>0.45</v>
      </c>
      <c r="L334" s="172">
        <f t="shared" si="189"/>
        <v>0.45</v>
      </c>
      <c r="M334" s="249">
        <f t="shared" si="190"/>
        <v>5.2083350000000008</v>
      </c>
      <c r="N334" s="170">
        <f t="shared" si="191"/>
        <v>5.313803783750001</v>
      </c>
      <c r="O334" s="250">
        <v>0.05</v>
      </c>
      <c r="P334" s="172">
        <f t="shared" si="192"/>
        <v>0.05</v>
      </c>
      <c r="Q334" s="251">
        <f t="shared" si="193"/>
        <v>5.2083350000000008</v>
      </c>
      <c r="R334" s="173">
        <f t="shared" si="194"/>
        <v>5.313803783750001</v>
      </c>
      <c r="S334" s="250">
        <v>0.05</v>
      </c>
      <c r="T334" s="171">
        <f t="shared" si="195"/>
        <v>0.05</v>
      </c>
      <c r="U334" s="256">
        <v>104.16670000000001</v>
      </c>
      <c r="V334" s="170">
        <f t="shared" si="196"/>
        <v>106.27607567500002</v>
      </c>
      <c r="W334" s="258">
        <v>0.2</v>
      </c>
      <c r="X334" s="257">
        <f t="shared" si="197"/>
        <v>125.00004000000001</v>
      </c>
      <c r="Y334" s="170">
        <f t="shared" si="198"/>
        <v>127.53129081000002</v>
      </c>
      <c r="Z334" s="170">
        <f t="shared" si="199"/>
        <v>130</v>
      </c>
      <c r="AA334" s="407">
        <f t="shared" si="200"/>
        <v>0</v>
      </c>
      <c r="AB334" s="194"/>
    </row>
    <row r="335" spans="1:28" s="278" customFormat="1" x14ac:dyDescent="0.25">
      <c r="A335" s="200">
        <v>505144</v>
      </c>
      <c r="B335" s="313" t="s">
        <v>19137</v>
      </c>
      <c r="C335" s="248"/>
      <c r="D335" s="247" t="s">
        <v>7</v>
      </c>
      <c r="E335" s="249">
        <f t="shared" si="201"/>
        <v>43.1235</v>
      </c>
      <c r="F335" s="170">
        <f t="shared" si="201"/>
        <v>43.996750875000004</v>
      </c>
      <c r="G335" s="250">
        <v>0.45</v>
      </c>
      <c r="H335" s="171">
        <f t="shared" si="187"/>
        <v>0.45</v>
      </c>
      <c r="I335" s="249">
        <f t="shared" si="202"/>
        <v>43.1235</v>
      </c>
      <c r="J335" s="170">
        <f t="shared" si="202"/>
        <v>43.996750875000004</v>
      </c>
      <c r="K335" s="250">
        <v>0.45</v>
      </c>
      <c r="L335" s="172">
        <f t="shared" si="189"/>
        <v>0.45</v>
      </c>
      <c r="M335" s="249">
        <f t="shared" si="190"/>
        <v>4.7915000000000001</v>
      </c>
      <c r="N335" s="170">
        <f t="shared" si="191"/>
        <v>4.8885278750000012</v>
      </c>
      <c r="O335" s="250">
        <v>0.05</v>
      </c>
      <c r="P335" s="172">
        <f t="shared" si="192"/>
        <v>0.05</v>
      </c>
      <c r="Q335" s="251">
        <f t="shared" si="193"/>
        <v>4.7915000000000001</v>
      </c>
      <c r="R335" s="173">
        <f t="shared" si="194"/>
        <v>4.8885278750000012</v>
      </c>
      <c r="S335" s="250">
        <v>0.05</v>
      </c>
      <c r="T335" s="171">
        <f t="shared" si="195"/>
        <v>0.05</v>
      </c>
      <c r="U335" s="256">
        <v>95.83</v>
      </c>
      <c r="V335" s="170">
        <f t="shared" si="196"/>
        <v>97.77055750000001</v>
      </c>
      <c r="W335" s="258">
        <v>0.2</v>
      </c>
      <c r="X335" s="257">
        <f t="shared" si="197"/>
        <v>114.996</v>
      </c>
      <c r="Y335" s="170">
        <f t="shared" si="198"/>
        <v>117.324669</v>
      </c>
      <c r="Z335" s="170">
        <f t="shared" si="199"/>
        <v>120</v>
      </c>
      <c r="AA335" s="407">
        <f t="shared" si="200"/>
        <v>0</v>
      </c>
      <c r="AB335" s="194"/>
    </row>
    <row r="336" spans="1:28" s="278" customFormat="1" x14ac:dyDescent="0.25">
      <c r="A336" s="200">
        <v>505145</v>
      </c>
      <c r="B336" s="313" t="s">
        <v>19138</v>
      </c>
      <c r="C336" s="248"/>
      <c r="D336" s="247" t="s">
        <v>7</v>
      </c>
      <c r="E336" s="249">
        <f t="shared" si="201"/>
        <v>50.625</v>
      </c>
      <c r="F336" s="170">
        <f t="shared" si="201"/>
        <v>51.650156250000002</v>
      </c>
      <c r="G336" s="250">
        <v>0.45</v>
      </c>
      <c r="H336" s="171">
        <f t="shared" si="187"/>
        <v>0.45</v>
      </c>
      <c r="I336" s="249">
        <f t="shared" si="202"/>
        <v>50.625</v>
      </c>
      <c r="J336" s="170">
        <f t="shared" si="202"/>
        <v>51.650156250000002</v>
      </c>
      <c r="K336" s="250">
        <v>0.45</v>
      </c>
      <c r="L336" s="172">
        <f t="shared" si="189"/>
        <v>0.45</v>
      </c>
      <c r="M336" s="249">
        <f t="shared" si="190"/>
        <v>5.625</v>
      </c>
      <c r="N336" s="170">
        <f t="shared" si="191"/>
        <v>5.7389062500000003</v>
      </c>
      <c r="O336" s="250">
        <v>0.05</v>
      </c>
      <c r="P336" s="172">
        <f t="shared" si="192"/>
        <v>0.05</v>
      </c>
      <c r="Q336" s="251">
        <f t="shared" si="193"/>
        <v>5.625</v>
      </c>
      <c r="R336" s="173">
        <f t="shared" si="194"/>
        <v>5.7389062500000003</v>
      </c>
      <c r="S336" s="250">
        <v>0.05</v>
      </c>
      <c r="T336" s="171">
        <f t="shared" si="195"/>
        <v>0.05</v>
      </c>
      <c r="U336" s="253">
        <v>112.5</v>
      </c>
      <c r="V336" s="170">
        <f t="shared" si="196"/>
        <v>114.778125</v>
      </c>
      <c r="W336" s="258">
        <v>0.2</v>
      </c>
      <c r="X336" s="257">
        <f t="shared" si="197"/>
        <v>135</v>
      </c>
      <c r="Y336" s="170">
        <f t="shared" si="198"/>
        <v>137.73374999999999</v>
      </c>
      <c r="Z336" s="170">
        <f t="shared" si="199"/>
        <v>140</v>
      </c>
      <c r="AA336" s="407">
        <f t="shared" si="200"/>
        <v>0</v>
      </c>
      <c r="AB336" s="194"/>
    </row>
    <row r="337" spans="1:28" s="278" customFormat="1" x14ac:dyDescent="0.25">
      <c r="A337" s="200">
        <v>505145</v>
      </c>
      <c r="B337" s="313" t="s">
        <v>19139</v>
      </c>
      <c r="C337" s="248"/>
      <c r="D337" s="247" t="s">
        <v>7</v>
      </c>
      <c r="E337" s="249">
        <f t="shared" si="201"/>
        <v>45</v>
      </c>
      <c r="F337" s="170">
        <f t="shared" si="201"/>
        <v>45.911250000000003</v>
      </c>
      <c r="G337" s="250">
        <v>0.45</v>
      </c>
      <c r="H337" s="171">
        <f t="shared" si="187"/>
        <v>0.45</v>
      </c>
      <c r="I337" s="249">
        <f t="shared" si="202"/>
        <v>45</v>
      </c>
      <c r="J337" s="170">
        <f t="shared" si="202"/>
        <v>45.911250000000003</v>
      </c>
      <c r="K337" s="250">
        <v>0.45</v>
      </c>
      <c r="L337" s="172">
        <f t="shared" si="189"/>
        <v>0.45</v>
      </c>
      <c r="M337" s="249">
        <f t="shared" si="190"/>
        <v>5</v>
      </c>
      <c r="N337" s="170">
        <f t="shared" si="191"/>
        <v>5.1012500000000003</v>
      </c>
      <c r="O337" s="250">
        <v>0.05</v>
      </c>
      <c r="P337" s="172">
        <f t="shared" si="192"/>
        <v>0.05</v>
      </c>
      <c r="Q337" s="251">
        <f t="shared" si="193"/>
        <v>5</v>
      </c>
      <c r="R337" s="173">
        <f t="shared" si="194"/>
        <v>5.1012500000000003</v>
      </c>
      <c r="S337" s="250">
        <v>0.05</v>
      </c>
      <c r="T337" s="171">
        <f t="shared" si="195"/>
        <v>0.05</v>
      </c>
      <c r="U337" s="256">
        <v>100</v>
      </c>
      <c r="V337" s="170">
        <f t="shared" si="196"/>
        <v>102.02500000000001</v>
      </c>
      <c r="W337" s="258">
        <v>0.2</v>
      </c>
      <c r="X337" s="257">
        <f t="shared" si="197"/>
        <v>120</v>
      </c>
      <c r="Y337" s="170">
        <f t="shared" si="198"/>
        <v>122.43</v>
      </c>
      <c r="Z337" s="170">
        <f t="shared" si="199"/>
        <v>125</v>
      </c>
      <c r="AA337" s="407">
        <f t="shared" si="200"/>
        <v>0</v>
      </c>
      <c r="AB337" s="194"/>
    </row>
    <row r="338" spans="1:28" s="278" customFormat="1" x14ac:dyDescent="0.25">
      <c r="A338" s="200">
        <v>505146</v>
      </c>
      <c r="B338" s="313" t="s">
        <v>19140</v>
      </c>
      <c r="C338" s="248"/>
      <c r="D338" s="247" t="s">
        <v>7</v>
      </c>
      <c r="E338" s="249">
        <f t="shared" si="201"/>
        <v>52.5015</v>
      </c>
      <c r="F338" s="170">
        <f t="shared" si="201"/>
        <v>74.999250000000004</v>
      </c>
      <c r="G338" s="250">
        <v>0.45</v>
      </c>
      <c r="H338" s="171">
        <f t="shared" si="187"/>
        <v>0.45</v>
      </c>
      <c r="I338" s="249">
        <f t="shared" si="202"/>
        <v>52.5015</v>
      </c>
      <c r="J338" s="170">
        <f t="shared" si="202"/>
        <v>74.999250000000004</v>
      </c>
      <c r="K338" s="250">
        <v>0.45</v>
      </c>
      <c r="L338" s="172">
        <f t="shared" si="189"/>
        <v>0.45</v>
      </c>
      <c r="M338" s="249">
        <f t="shared" si="190"/>
        <v>5.8335000000000008</v>
      </c>
      <c r="N338" s="170">
        <f t="shared" si="191"/>
        <v>8.3332499999999996</v>
      </c>
      <c r="O338" s="250">
        <v>0.05</v>
      </c>
      <c r="P338" s="172">
        <f t="shared" si="192"/>
        <v>0.05</v>
      </c>
      <c r="Q338" s="251">
        <f t="shared" si="193"/>
        <v>5.8335000000000008</v>
      </c>
      <c r="R338" s="173">
        <f t="shared" si="194"/>
        <v>8.3332499999999996</v>
      </c>
      <c r="S338" s="250">
        <v>0.05</v>
      </c>
      <c r="T338" s="171">
        <f t="shared" si="195"/>
        <v>0.05</v>
      </c>
      <c r="U338" s="256">
        <v>116.67</v>
      </c>
      <c r="V338" s="170">
        <v>166.66499999999999</v>
      </c>
      <c r="W338" s="258">
        <v>0.2</v>
      </c>
      <c r="X338" s="257">
        <f t="shared" si="197"/>
        <v>140.00400000000002</v>
      </c>
      <c r="Y338" s="170">
        <f t="shared" si="198"/>
        <v>199.99799999999999</v>
      </c>
      <c r="Z338" s="170">
        <f t="shared" si="199"/>
        <v>200</v>
      </c>
      <c r="AA338" s="407">
        <f t="shared" si="200"/>
        <v>0</v>
      </c>
      <c r="AB338" s="194"/>
    </row>
    <row r="339" spans="1:28" s="278" customFormat="1" x14ac:dyDescent="0.25">
      <c r="A339" s="200">
        <v>505146</v>
      </c>
      <c r="B339" s="313" t="s">
        <v>19141</v>
      </c>
      <c r="C339" s="248"/>
      <c r="D339" s="247" t="s">
        <v>7</v>
      </c>
      <c r="E339" s="249">
        <f t="shared" si="201"/>
        <v>41.668000000000006</v>
      </c>
      <c r="F339" s="170">
        <f t="shared" si="201"/>
        <v>46.666000000000004</v>
      </c>
      <c r="G339" s="250">
        <v>0.4</v>
      </c>
      <c r="H339" s="171">
        <f t="shared" si="187"/>
        <v>0.4</v>
      </c>
      <c r="I339" s="249">
        <f t="shared" si="202"/>
        <v>57.293500000000009</v>
      </c>
      <c r="J339" s="170">
        <f t="shared" si="202"/>
        <v>64.165750000000003</v>
      </c>
      <c r="K339" s="250">
        <v>0.55000000000000004</v>
      </c>
      <c r="L339" s="172">
        <f t="shared" si="189"/>
        <v>0.55000000000000004</v>
      </c>
      <c r="M339" s="249">
        <f t="shared" si="190"/>
        <v>2.6042500000000004</v>
      </c>
      <c r="N339" s="170">
        <f t="shared" si="191"/>
        <v>2.9166250000000002</v>
      </c>
      <c r="O339" s="250">
        <v>2.5000000000000001E-2</v>
      </c>
      <c r="P339" s="172">
        <f t="shared" si="192"/>
        <v>2.5000000000000001E-2</v>
      </c>
      <c r="Q339" s="251">
        <f t="shared" si="193"/>
        <v>2.6042500000000004</v>
      </c>
      <c r="R339" s="173">
        <f t="shared" si="194"/>
        <v>2.9166250000000002</v>
      </c>
      <c r="S339" s="250">
        <v>2.5000000000000001E-2</v>
      </c>
      <c r="T339" s="171">
        <f t="shared" si="195"/>
        <v>2.5000000000000001E-2</v>
      </c>
      <c r="U339" s="256">
        <v>104.17</v>
      </c>
      <c r="V339" s="170">
        <v>116.66500000000001</v>
      </c>
      <c r="W339" s="258">
        <v>0.2</v>
      </c>
      <c r="X339" s="257">
        <f t="shared" si="197"/>
        <v>125.004</v>
      </c>
      <c r="Y339" s="170">
        <f t="shared" si="198"/>
        <v>139.99799999999999</v>
      </c>
      <c r="Z339" s="170">
        <f t="shared" si="199"/>
        <v>140</v>
      </c>
      <c r="AA339" s="407">
        <f t="shared" si="200"/>
        <v>0</v>
      </c>
      <c r="AB339" s="194"/>
    </row>
    <row r="340" spans="1:28" s="278" customFormat="1" ht="21" x14ac:dyDescent="0.25">
      <c r="A340" s="200">
        <v>505156</v>
      </c>
      <c r="B340" s="255" t="s">
        <v>19142</v>
      </c>
      <c r="C340" s="248"/>
      <c r="D340" s="247" t="s">
        <v>7</v>
      </c>
      <c r="E340" s="249">
        <f t="shared" si="201"/>
        <v>0</v>
      </c>
      <c r="F340" s="170">
        <f t="shared" si="201"/>
        <v>66.941666666666677</v>
      </c>
      <c r="G340" s="250">
        <v>0.55400000000000005</v>
      </c>
      <c r="H340" s="171">
        <f t="shared" si="187"/>
        <v>0.55400000000000005</v>
      </c>
      <c r="I340" s="249">
        <f t="shared" si="202"/>
        <v>0</v>
      </c>
      <c r="J340" s="170">
        <f t="shared" si="202"/>
        <v>45.916666666666671</v>
      </c>
      <c r="K340" s="252">
        <v>0.38</v>
      </c>
      <c r="L340" s="172">
        <f t="shared" si="189"/>
        <v>0.38</v>
      </c>
      <c r="M340" s="249">
        <f t="shared" si="190"/>
        <v>0</v>
      </c>
      <c r="N340" s="170">
        <f t="shared" si="191"/>
        <v>5.4375</v>
      </c>
      <c r="O340" s="250">
        <v>4.4999999999999998E-2</v>
      </c>
      <c r="P340" s="172">
        <f t="shared" si="192"/>
        <v>4.4999999999999998E-2</v>
      </c>
      <c r="Q340" s="251">
        <f t="shared" si="193"/>
        <v>0</v>
      </c>
      <c r="R340" s="173">
        <f t="shared" si="194"/>
        <v>2.5375000000000005</v>
      </c>
      <c r="S340" s="250">
        <v>2.1000000000000001E-2</v>
      </c>
      <c r="T340" s="171">
        <f t="shared" si="195"/>
        <v>2.1000000000000001E-2</v>
      </c>
      <c r="U340" s="256"/>
      <c r="V340" s="170">
        <f>145/1.2</f>
        <v>120.83333333333334</v>
      </c>
      <c r="W340" s="258">
        <v>0.2</v>
      </c>
      <c r="X340" s="257">
        <f t="shared" si="197"/>
        <v>0</v>
      </c>
      <c r="Y340" s="170">
        <f t="shared" si="198"/>
        <v>145</v>
      </c>
      <c r="Z340" s="170">
        <f t="shared" si="199"/>
        <v>145</v>
      </c>
      <c r="AA340" s="407">
        <f t="shared" si="200"/>
        <v>0</v>
      </c>
      <c r="AB340" s="194"/>
    </row>
    <row r="341" spans="1:28" s="278" customFormat="1" ht="21" x14ac:dyDescent="0.25">
      <c r="A341" s="200">
        <v>505156</v>
      </c>
      <c r="B341" s="255" t="s">
        <v>19143</v>
      </c>
      <c r="C341" s="248"/>
      <c r="D341" s="247" t="s">
        <v>7</v>
      </c>
      <c r="E341" s="249">
        <f t="shared" si="201"/>
        <v>0</v>
      </c>
      <c r="F341" s="170">
        <f t="shared" si="201"/>
        <v>59.0625</v>
      </c>
      <c r="G341" s="250">
        <v>0.52500000000000002</v>
      </c>
      <c r="H341" s="171">
        <f t="shared" si="187"/>
        <v>0.52500000000000002</v>
      </c>
      <c r="I341" s="249">
        <f t="shared" si="202"/>
        <v>0</v>
      </c>
      <c r="J341" s="170">
        <f t="shared" si="202"/>
        <v>42.75</v>
      </c>
      <c r="K341" s="252">
        <v>0.38</v>
      </c>
      <c r="L341" s="172">
        <f t="shared" si="189"/>
        <v>0.38</v>
      </c>
      <c r="M341" s="249">
        <f t="shared" si="190"/>
        <v>0</v>
      </c>
      <c r="N341" s="170">
        <f t="shared" si="191"/>
        <v>7.3125</v>
      </c>
      <c r="O341" s="250">
        <v>6.5000000000000002E-2</v>
      </c>
      <c r="P341" s="172">
        <f t="shared" si="192"/>
        <v>6.5000000000000002E-2</v>
      </c>
      <c r="Q341" s="251">
        <f t="shared" si="193"/>
        <v>0</v>
      </c>
      <c r="R341" s="173">
        <f t="shared" si="194"/>
        <v>3.375</v>
      </c>
      <c r="S341" s="250">
        <v>0.03</v>
      </c>
      <c r="T341" s="171">
        <f t="shared" si="195"/>
        <v>0.03</v>
      </c>
      <c r="U341" s="256"/>
      <c r="V341" s="170">
        <f>135/1.2</f>
        <v>112.5</v>
      </c>
      <c r="W341" s="258">
        <v>0.2</v>
      </c>
      <c r="X341" s="257">
        <f t="shared" si="197"/>
        <v>0</v>
      </c>
      <c r="Y341" s="170">
        <f t="shared" si="198"/>
        <v>135</v>
      </c>
      <c r="Z341" s="170">
        <f t="shared" si="199"/>
        <v>135</v>
      </c>
      <c r="AA341" s="407">
        <f t="shared" si="200"/>
        <v>0</v>
      </c>
      <c r="AB341" s="194"/>
    </row>
    <row r="342" spans="1:28" s="278" customFormat="1" ht="21" x14ac:dyDescent="0.25">
      <c r="A342" s="200">
        <v>505157</v>
      </c>
      <c r="B342" s="255" t="s">
        <v>19144</v>
      </c>
      <c r="C342" s="248"/>
      <c r="D342" s="247" t="s">
        <v>7</v>
      </c>
      <c r="E342" s="249">
        <f t="shared" si="201"/>
        <v>0</v>
      </c>
      <c r="F342" s="170">
        <f t="shared" si="201"/>
        <v>71.558333333333351</v>
      </c>
      <c r="G342" s="250">
        <v>0.55400000000000005</v>
      </c>
      <c r="H342" s="171">
        <f t="shared" si="187"/>
        <v>0.55400000000000005</v>
      </c>
      <c r="I342" s="249">
        <f t="shared" si="202"/>
        <v>0</v>
      </c>
      <c r="J342" s="170">
        <f t="shared" si="202"/>
        <v>49.083333333333343</v>
      </c>
      <c r="K342" s="252">
        <v>0.38</v>
      </c>
      <c r="L342" s="172">
        <f t="shared" si="189"/>
        <v>0.38</v>
      </c>
      <c r="M342" s="249">
        <f t="shared" si="190"/>
        <v>0</v>
      </c>
      <c r="N342" s="170">
        <f t="shared" si="191"/>
        <v>5.8125000000000009</v>
      </c>
      <c r="O342" s="250">
        <v>4.4999999999999998E-2</v>
      </c>
      <c r="P342" s="172">
        <f t="shared" si="192"/>
        <v>4.4999999999999998E-2</v>
      </c>
      <c r="Q342" s="251">
        <f t="shared" si="193"/>
        <v>0</v>
      </c>
      <c r="R342" s="173">
        <f t="shared" si="194"/>
        <v>2.7125000000000004</v>
      </c>
      <c r="S342" s="250">
        <v>2.1000000000000001E-2</v>
      </c>
      <c r="T342" s="171">
        <f t="shared" si="195"/>
        <v>2.1000000000000001E-2</v>
      </c>
      <c r="U342" s="256"/>
      <c r="V342" s="170">
        <f>155/1.2</f>
        <v>129.16666666666669</v>
      </c>
      <c r="W342" s="258">
        <v>0.2</v>
      </c>
      <c r="X342" s="257">
        <f t="shared" si="197"/>
        <v>0</v>
      </c>
      <c r="Y342" s="170">
        <f t="shared" si="198"/>
        <v>155.00000000000003</v>
      </c>
      <c r="Z342" s="170">
        <f t="shared" si="199"/>
        <v>155</v>
      </c>
      <c r="AA342" s="407">
        <f t="shared" si="200"/>
        <v>0</v>
      </c>
      <c r="AB342" s="194"/>
    </row>
    <row r="343" spans="1:28" s="278" customFormat="1" ht="21" x14ac:dyDescent="0.25">
      <c r="A343" s="200">
        <v>505157</v>
      </c>
      <c r="B343" s="255" t="s">
        <v>19145</v>
      </c>
      <c r="C343" s="248"/>
      <c r="D343" s="247" t="s">
        <v>7</v>
      </c>
      <c r="E343" s="249">
        <f t="shared" si="201"/>
        <v>0</v>
      </c>
      <c r="F343" s="170">
        <f t="shared" si="201"/>
        <v>63.437500000000007</v>
      </c>
      <c r="G343" s="250">
        <v>0.52500000000000002</v>
      </c>
      <c r="H343" s="171">
        <f t="shared" si="187"/>
        <v>0.52500000000000002</v>
      </c>
      <c r="I343" s="249">
        <f t="shared" si="202"/>
        <v>0</v>
      </c>
      <c r="J343" s="170">
        <f t="shared" si="202"/>
        <v>45.916666666666671</v>
      </c>
      <c r="K343" s="252">
        <v>0.38</v>
      </c>
      <c r="L343" s="172">
        <f t="shared" si="189"/>
        <v>0.38</v>
      </c>
      <c r="M343" s="249">
        <f t="shared" si="190"/>
        <v>0</v>
      </c>
      <c r="N343" s="170">
        <f t="shared" si="191"/>
        <v>7.8541666666666679</v>
      </c>
      <c r="O343" s="250">
        <v>6.5000000000000002E-2</v>
      </c>
      <c r="P343" s="172">
        <f t="shared" si="192"/>
        <v>6.5000000000000002E-2</v>
      </c>
      <c r="Q343" s="251">
        <f t="shared" si="193"/>
        <v>0</v>
      </c>
      <c r="R343" s="173">
        <f t="shared" si="194"/>
        <v>3.625</v>
      </c>
      <c r="S343" s="250">
        <v>0.03</v>
      </c>
      <c r="T343" s="171">
        <f t="shared" si="195"/>
        <v>0.03</v>
      </c>
      <c r="U343" s="256"/>
      <c r="V343" s="170">
        <f>145/1.2</f>
        <v>120.83333333333334</v>
      </c>
      <c r="W343" s="258">
        <v>0.2</v>
      </c>
      <c r="X343" s="257">
        <f t="shared" si="197"/>
        <v>0</v>
      </c>
      <c r="Y343" s="170">
        <f t="shared" si="198"/>
        <v>145</v>
      </c>
      <c r="Z343" s="170">
        <f t="shared" si="199"/>
        <v>145</v>
      </c>
      <c r="AA343" s="407">
        <f t="shared" si="200"/>
        <v>0</v>
      </c>
      <c r="AB343" s="194"/>
    </row>
    <row r="344" spans="1:28" s="278" customFormat="1" ht="21" x14ac:dyDescent="0.25">
      <c r="A344" s="200">
        <v>505158</v>
      </c>
      <c r="B344" s="255" t="s">
        <v>19146</v>
      </c>
      <c r="C344" s="248"/>
      <c r="D344" s="247" t="s">
        <v>7</v>
      </c>
      <c r="E344" s="249">
        <f t="shared" si="201"/>
        <v>0</v>
      </c>
      <c r="F344" s="170">
        <f t="shared" si="201"/>
        <v>80.791666666666686</v>
      </c>
      <c r="G344" s="250">
        <v>0.55400000000000005</v>
      </c>
      <c r="H344" s="171">
        <f t="shared" si="187"/>
        <v>0.55400000000000005</v>
      </c>
      <c r="I344" s="249">
        <f t="shared" si="202"/>
        <v>0</v>
      </c>
      <c r="J344" s="170">
        <f t="shared" si="202"/>
        <v>55.416666666666671</v>
      </c>
      <c r="K344" s="252">
        <v>0.38</v>
      </c>
      <c r="L344" s="172">
        <f t="shared" si="189"/>
        <v>0.38</v>
      </c>
      <c r="M344" s="249">
        <f t="shared" si="190"/>
        <v>0</v>
      </c>
      <c r="N344" s="170">
        <f t="shared" si="191"/>
        <v>6.5625</v>
      </c>
      <c r="O344" s="250">
        <v>4.4999999999999998E-2</v>
      </c>
      <c r="P344" s="172">
        <f t="shared" si="192"/>
        <v>4.4999999999999998E-2</v>
      </c>
      <c r="Q344" s="251">
        <f t="shared" si="193"/>
        <v>0</v>
      </c>
      <c r="R344" s="173">
        <f t="shared" si="194"/>
        <v>3.0625000000000004</v>
      </c>
      <c r="S344" s="250">
        <v>2.1000000000000001E-2</v>
      </c>
      <c r="T344" s="171">
        <f t="shared" si="195"/>
        <v>2.1000000000000001E-2</v>
      </c>
      <c r="U344" s="256"/>
      <c r="V344" s="170">
        <f>175/1.2</f>
        <v>145.83333333333334</v>
      </c>
      <c r="W344" s="258">
        <v>0.2</v>
      </c>
      <c r="X344" s="257">
        <f t="shared" si="197"/>
        <v>0</v>
      </c>
      <c r="Y344" s="170">
        <f t="shared" si="198"/>
        <v>175</v>
      </c>
      <c r="Z344" s="170">
        <f t="shared" si="199"/>
        <v>175</v>
      </c>
      <c r="AA344" s="407">
        <f t="shared" si="200"/>
        <v>0</v>
      </c>
      <c r="AB344" s="194"/>
    </row>
    <row r="345" spans="1:28" s="278" customFormat="1" ht="21" x14ac:dyDescent="0.25">
      <c r="A345" s="200">
        <v>505158</v>
      </c>
      <c r="B345" s="255" t="s">
        <v>19147</v>
      </c>
      <c r="C345" s="248"/>
      <c r="D345" s="247" t="s">
        <v>7</v>
      </c>
      <c r="E345" s="249">
        <f t="shared" si="201"/>
        <v>0</v>
      </c>
      <c r="F345" s="170">
        <f t="shared" si="201"/>
        <v>70.000000000000014</v>
      </c>
      <c r="G345" s="250">
        <v>0.52500000000000002</v>
      </c>
      <c r="H345" s="171">
        <f t="shared" si="187"/>
        <v>0.52500000000000002</v>
      </c>
      <c r="I345" s="249">
        <f t="shared" si="202"/>
        <v>0</v>
      </c>
      <c r="J345" s="170">
        <f t="shared" si="202"/>
        <v>50.666666666666671</v>
      </c>
      <c r="K345" s="252">
        <v>0.38</v>
      </c>
      <c r="L345" s="172">
        <f t="shared" si="189"/>
        <v>0.38</v>
      </c>
      <c r="M345" s="249">
        <f t="shared" si="190"/>
        <v>0</v>
      </c>
      <c r="N345" s="170">
        <f t="shared" si="191"/>
        <v>8.6666666666666679</v>
      </c>
      <c r="O345" s="250">
        <v>6.5000000000000002E-2</v>
      </c>
      <c r="P345" s="172">
        <f t="shared" si="192"/>
        <v>6.5000000000000002E-2</v>
      </c>
      <c r="Q345" s="251">
        <f t="shared" si="193"/>
        <v>0</v>
      </c>
      <c r="R345" s="173">
        <f t="shared" si="194"/>
        <v>4</v>
      </c>
      <c r="S345" s="250">
        <v>0.03</v>
      </c>
      <c r="T345" s="171">
        <f t="shared" si="195"/>
        <v>0.03</v>
      </c>
      <c r="U345" s="256"/>
      <c r="V345" s="170">
        <f>160/1.2</f>
        <v>133.33333333333334</v>
      </c>
      <c r="W345" s="258">
        <v>0.2</v>
      </c>
      <c r="X345" s="257">
        <f t="shared" si="197"/>
        <v>0</v>
      </c>
      <c r="Y345" s="170">
        <f t="shared" si="198"/>
        <v>160</v>
      </c>
      <c r="Z345" s="170">
        <f t="shared" si="199"/>
        <v>160</v>
      </c>
      <c r="AA345" s="407">
        <f t="shared" si="200"/>
        <v>0</v>
      </c>
      <c r="AB345" s="194"/>
    </row>
    <row r="346" spans="1:28" s="278" customFormat="1" x14ac:dyDescent="0.25">
      <c r="A346" s="200">
        <v>505220</v>
      </c>
      <c r="B346" s="313" t="s">
        <v>19148</v>
      </c>
      <c r="C346" s="248"/>
      <c r="D346" s="247" t="s">
        <v>7</v>
      </c>
      <c r="E346" s="249">
        <f t="shared" si="201"/>
        <v>17.391300000000001</v>
      </c>
      <c r="F346" s="170">
        <f t="shared" si="201"/>
        <v>17.741734695000002</v>
      </c>
      <c r="G346" s="250">
        <v>0.2</v>
      </c>
      <c r="H346" s="171">
        <f t="shared" si="187"/>
        <v>0.2</v>
      </c>
      <c r="I346" s="249">
        <f t="shared" si="202"/>
        <v>43.478250000000003</v>
      </c>
      <c r="J346" s="170">
        <f t="shared" si="202"/>
        <v>44.354336737500006</v>
      </c>
      <c r="K346" s="250">
        <v>0.5</v>
      </c>
      <c r="L346" s="172">
        <f t="shared" si="189"/>
        <v>0.5</v>
      </c>
      <c r="M346" s="249">
        <f t="shared" si="190"/>
        <v>21.739125000000001</v>
      </c>
      <c r="N346" s="170">
        <f t="shared" si="191"/>
        <v>22.177168368750003</v>
      </c>
      <c r="O346" s="250">
        <v>0.25</v>
      </c>
      <c r="P346" s="172">
        <f t="shared" si="192"/>
        <v>0.25</v>
      </c>
      <c r="Q346" s="251">
        <f t="shared" si="193"/>
        <v>4.3478250000000003</v>
      </c>
      <c r="R346" s="173">
        <f t="shared" si="194"/>
        <v>4.4354336737500004</v>
      </c>
      <c r="S346" s="250">
        <v>0.05</v>
      </c>
      <c r="T346" s="171">
        <f t="shared" si="195"/>
        <v>0.05</v>
      </c>
      <c r="U346" s="256">
        <v>86.956500000000005</v>
      </c>
      <c r="V346" s="170">
        <f t="shared" ref="V346:V389" si="203">SUM(E346*1.0235,I346*1.0175,M346*1.0245,Q346*1.0115)</f>
        <v>88.708673475000012</v>
      </c>
      <c r="W346" s="258">
        <v>0.15</v>
      </c>
      <c r="X346" s="257">
        <f t="shared" si="197"/>
        <v>99.999975000000006</v>
      </c>
      <c r="Y346" s="170">
        <f t="shared" si="198"/>
        <v>102.01497449625001</v>
      </c>
      <c r="Z346" s="170">
        <f t="shared" si="199"/>
        <v>105</v>
      </c>
      <c r="AA346" s="407">
        <f t="shared" si="200"/>
        <v>0</v>
      </c>
      <c r="AB346" s="194"/>
    </row>
    <row r="347" spans="1:28" s="278" customFormat="1" x14ac:dyDescent="0.25">
      <c r="A347" s="200">
        <v>505220</v>
      </c>
      <c r="B347" s="313" t="s">
        <v>19149</v>
      </c>
      <c r="C347" s="248"/>
      <c r="D347" s="247" t="s">
        <v>7</v>
      </c>
      <c r="E347" s="249">
        <f t="shared" si="201"/>
        <v>13.913</v>
      </c>
      <c r="F347" s="170">
        <f t="shared" si="201"/>
        <v>14.193346949999999</v>
      </c>
      <c r="G347" s="250">
        <v>0.2</v>
      </c>
      <c r="H347" s="171">
        <f t="shared" si="187"/>
        <v>0.2</v>
      </c>
      <c r="I347" s="249">
        <f t="shared" si="202"/>
        <v>34.782499999999999</v>
      </c>
      <c r="J347" s="170">
        <f t="shared" si="202"/>
        <v>35.483367374999993</v>
      </c>
      <c r="K347" s="250">
        <v>0.5</v>
      </c>
      <c r="L347" s="172">
        <f t="shared" si="189"/>
        <v>0.5</v>
      </c>
      <c r="M347" s="249">
        <f t="shared" si="190"/>
        <v>17.391249999999999</v>
      </c>
      <c r="N347" s="170">
        <f t="shared" si="191"/>
        <v>17.741683687499997</v>
      </c>
      <c r="O347" s="250">
        <v>0.25</v>
      </c>
      <c r="P347" s="172">
        <f t="shared" si="192"/>
        <v>0.25</v>
      </c>
      <c r="Q347" s="251">
        <f t="shared" si="193"/>
        <v>3.4782500000000001</v>
      </c>
      <c r="R347" s="173">
        <f t="shared" si="194"/>
        <v>3.5483367374999997</v>
      </c>
      <c r="S347" s="250">
        <v>0.05</v>
      </c>
      <c r="T347" s="171">
        <f t="shared" si="195"/>
        <v>0.05</v>
      </c>
      <c r="U347" s="256">
        <v>69.564999999999998</v>
      </c>
      <c r="V347" s="170">
        <f t="shared" si="203"/>
        <v>70.966734749999986</v>
      </c>
      <c r="W347" s="258">
        <v>0.15</v>
      </c>
      <c r="X347" s="257">
        <f t="shared" si="197"/>
        <v>79.999749999999992</v>
      </c>
      <c r="Y347" s="170">
        <f t="shared" si="198"/>
        <v>81.611744962499984</v>
      </c>
      <c r="Z347" s="170">
        <f t="shared" si="199"/>
        <v>82</v>
      </c>
      <c r="AA347" s="407">
        <f t="shared" si="200"/>
        <v>0</v>
      </c>
      <c r="AB347" s="194"/>
    </row>
    <row r="348" spans="1:28" s="278" customFormat="1" x14ac:dyDescent="0.25">
      <c r="A348" s="200">
        <v>505222</v>
      </c>
      <c r="B348" s="313" t="s">
        <v>19150</v>
      </c>
      <c r="C348" s="248"/>
      <c r="D348" s="247" t="s">
        <v>7</v>
      </c>
      <c r="E348" s="249">
        <f t="shared" si="201"/>
        <v>14.3475</v>
      </c>
      <c r="F348" s="170">
        <f t="shared" si="201"/>
        <v>14.637319499999998</v>
      </c>
      <c r="G348" s="250">
        <v>0.15</v>
      </c>
      <c r="H348" s="171">
        <f t="shared" si="187"/>
        <v>0.15</v>
      </c>
      <c r="I348" s="249">
        <f t="shared" si="202"/>
        <v>47.825000000000003</v>
      </c>
      <c r="J348" s="170">
        <f t="shared" si="202"/>
        <v>48.791064999999996</v>
      </c>
      <c r="K348" s="250">
        <v>0.5</v>
      </c>
      <c r="L348" s="172">
        <f t="shared" si="189"/>
        <v>0.5</v>
      </c>
      <c r="M348" s="249">
        <f t="shared" si="190"/>
        <v>28.695</v>
      </c>
      <c r="N348" s="170">
        <f t="shared" si="191"/>
        <v>29.274638999999997</v>
      </c>
      <c r="O348" s="250">
        <v>0.3</v>
      </c>
      <c r="P348" s="172">
        <f t="shared" si="192"/>
        <v>0.3</v>
      </c>
      <c r="Q348" s="251">
        <f t="shared" si="193"/>
        <v>4.7825000000000006</v>
      </c>
      <c r="R348" s="173">
        <f t="shared" si="194"/>
        <v>4.8791064999999998</v>
      </c>
      <c r="S348" s="250">
        <v>0.05</v>
      </c>
      <c r="T348" s="171">
        <f t="shared" si="195"/>
        <v>0.05</v>
      </c>
      <c r="U348" s="256">
        <v>95.65</v>
      </c>
      <c r="V348" s="170">
        <f t="shared" si="203"/>
        <v>97.582129999999992</v>
      </c>
      <c r="W348" s="258">
        <v>0.15</v>
      </c>
      <c r="X348" s="257">
        <f t="shared" si="197"/>
        <v>109.9975</v>
      </c>
      <c r="Y348" s="170">
        <f t="shared" si="198"/>
        <v>112.21944949999998</v>
      </c>
      <c r="Z348" s="170">
        <f t="shared" si="199"/>
        <v>115</v>
      </c>
      <c r="AA348" s="407">
        <f t="shared" si="200"/>
        <v>0</v>
      </c>
      <c r="AB348" s="194"/>
    </row>
    <row r="349" spans="1:28" s="278" customFormat="1" x14ac:dyDescent="0.25">
      <c r="A349" s="200">
        <v>505222</v>
      </c>
      <c r="B349" s="313" t="s">
        <v>19151</v>
      </c>
      <c r="C349" s="248"/>
      <c r="D349" s="247" t="s">
        <v>7</v>
      </c>
      <c r="E349" s="249">
        <f t="shared" si="201"/>
        <v>11.739000000000001</v>
      </c>
      <c r="F349" s="170">
        <f t="shared" si="201"/>
        <v>11.976127800000002</v>
      </c>
      <c r="G349" s="250">
        <v>0.15</v>
      </c>
      <c r="H349" s="171">
        <f t="shared" si="187"/>
        <v>0.15</v>
      </c>
      <c r="I349" s="249">
        <f t="shared" si="202"/>
        <v>39.130000000000003</v>
      </c>
      <c r="J349" s="170">
        <f t="shared" si="202"/>
        <v>39.920426000000006</v>
      </c>
      <c r="K349" s="250">
        <v>0.5</v>
      </c>
      <c r="L349" s="172">
        <f t="shared" si="189"/>
        <v>0.5</v>
      </c>
      <c r="M349" s="249">
        <f t="shared" si="190"/>
        <v>23.478000000000002</v>
      </c>
      <c r="N349" s="170">
        <f t="shared" si="191"/>
        <v>23.952255600000004</v>
      </c>
      <c r="O349" s="250">
        <v>0.3</v>
      </c>
      <c r="P349" s="172">
        <f t="shared" si="192"/>
        <v>0.3</v>
      </c>
      <c r="Q349" s="251">
        <f t="shared" si="193"/>
        <v>3.9130000000000003</v>
      </c>
      <c r="R349" s="173">
        <f t="shared" si="194"/>
        <v>3.9920426000000009</v>
      </c>
      <c r="S349" s="250">
        <v>0.05</v>
      </c>
      <c r="T349" s="171">
        <f t="shared" si="195"/>
        <v>0.05</v>
      </c>
      <c r="U349" s="256">
        <v>78.260000000000005</v>
      </c>
      <c r="V349" s="170">
        <f t="shared" si="203"/>
        <v>79.840852000000012</v>
      </c>
      <c r="W349" s="258">
        <v>0.15</v>
      </c>
      <c r="X349" s="257">
        <f t="shared" si="197"/>
        <v>89.999000000000009</v>
      </c>
      <c r="Y349" s="170">
        <f t="shared" si="198"/>
        <v>91.816979800000013</v>
      </c>
      <c r="Z349" s="170">
        <f t="shared" si="199"/>
        <v>92</v>
      </c>
      <c r="AA349" s="407">
        <f t="shared" si="200"/>
        <v>0</v>
      </c>
      <c r="AB349" s="194"/>
    </row>
    <row r="350" spans="1:28" s="278" customFormat="1" x14ac:dyDescent="0.25">
      <c r="A350" s="200">
        <v>505223</v>
      </c>
      <c r="B350" s="313" t="s">
        <v>19152</v>
      </c>
      <c r="C350" s="248"/>
      <c r="D350" s="247" t="s">
        <v>7</v>
      </c>
      <c r="E350" s="249">
        <f t="shared" si="201"/>
        <v>15</v>
      </c>
      <c r="F350" s="170">
        <f t="shared" si="201"/>
        <v>15.303000000000001</v>
      </c>
      <c r="G350" s="250">
        <v>0.15</v>
      </c>
      <c r="H350" s="171">
        <f t="shared" si="187"/>
        <v>0.15</v>
      </c>
      <c r="I350" s="249">
        <f t="shared" si="202"/>
        <v>50</v>
      </c>
      <c r="J350" s="170">
        <f t="shared" si="202"/>
        <v>51.010000000000005</v>
      </c>
      <c r="K350" s="250">
        <v>0.5</v>
      </c>
      <c r="L350" s="172">
        <f t="shared" si="189"/>
        <v>0.5</v>
      </c>
      <c r="M350" s="249">
        <f t="shared" si="190"/>
        <v>30</v>
      </c>
      <c r="N350" s="170">
        <f t="shared" si="191"/>
        <v>30.606000000000002</v>
      </c>
      <c r="O350" s="250">
        <v>0.3</v>
      </c>
      <c r="P350" s="172">
        <f t="shared" si="192"/>
        <v>0.3</v>
      </c>
      <c r="Q350" s="251">
        <f t="shared" si="193"/>
        <v>5</v>
      </c>
      <c r="R350" s="173">
        <f t="shared" si="194"/>
        <v>5.1010000000000009</v>
      </c>
      <c r="S350" s="250">
        <v>0.05</v>
      </c>
      <c r="T350" s="171">
        <f t="shared" si="195"/>
        <v>0.05</v>
      </c>
      <c r="U350" s="256">
        <v>100</v>
      </c>
      <c r="V350" s="170">
        <f t="shared" si="203"/>
        <v>102.02000000000001</v>
      </c>
      <c r="W350" s="258">
        <v>0.15</v>
      </c>
      <c r="X350" s="257">
        <f t="shared" si="197"/>
        <v>115</v>
      </c>
      <c r="Y350" s="170">
        <f t="shared" si="198"/>
        <v>117.32300000000001</v>
      </c>
      <c r="Z350" s="170">
        <f t="shared" si="199"/>
        <v>120</v>
      </c>
      <c r="AA350" s="407">
        <f t="shared" si="200"/>
        <v>0</v>
      </c>
      <c r="AB350" s="194"/>
    </row>
    <row r="351" spans="1:28" s="278" customFormat="1" x14ac:dyDescent="0.25">
      <c r="A351" s="200">
        <v>505223</v>
      </c>
      <c r="B351" s="313" t="s">
        <v>19153</v>
      </c>
      <c r="C351" s="248"/>
      <c r="D351" s="247" t="s">
        <v>7</v>
      </c>
      <c r="E351" s="249">
        <f t="shared" si="201"/>
        <v>12.389999999999999</v>
      </c>
      <c r="F351" s="170">
        <f t="shared" si="201"/>
        <v>12.640277999999999</v>
      </c>
      <c r="G351" s="250">
        <v>0.15</v>
      </c>
      <c r="H351" s="171">
        <f t="shared" si="187"/>
        <v>0.15</v>
      </c>
      <c r="I351" s="249">
        <f t="shared" si="202"/>
        <v>41.3</v>
      </c>
      <c r="J351" s="170">
        <f t="shared" si="202"/>
        <v>42.134259999999998</v>
      </c>
      <c r="K351" s="250">
        <v>0.5</v>
      </c>
      <c r="L351" s="172">
        <f t="shared" si="189"/>
        <v>0.5</v>
      </c>
      <c r="M351" s="249">
        <f t="shared" si="190"/>
        <v>24.779999999999998</v>
      </c>
      <c r="N351" s="170">
        <f t="shared" si="191"/>
        <v>25.280555999999997</v>
      </c>
      <c r="O351" s="250">
        <v>0.3</v>
      </c>
      <c r="P351" s="172">
        <f t="shared" si="192"/>
        <v>0.3</v>
      </c>
      <c r="Q351" s="251">
        <f t="shared" si="193"/>
        <v>4.13</v>
      </c>
      <c r="R351" s="173">
        <f t="shared" si="194"/>
        <v>4.2134260000000001</v>
      </c>
      <c r="S351" s="250">
        <v>0.05</v>
      </c>
      <c r="T351" s="171">
        <f t="shared" si="195"/>
        <v>0.05</v>
      </c>
      <c r="U351" s="256">
        <v>82.6</v>
      </c>
      <c r="V351" s="170">
        <f t="shared" si="203"/>
        <v>84.268519999999995</v>
      </c>
      <c r="W351" s="258">
        <v>0.15</v>
      </c>
      <c r="X351" s="257">
        <v>95</v>
      </c>
      <c r="Y351" s="170">
        <f t="shared" si="198"/>
        <v>96.90879799999999</v>
      </c>
      <c r="Z351" s="170">
        <f t="shared" si="199"/>
        <v>97</v>
      </c>
      <c r="AA351" s="407">
        <f t="shared" si="200"/>
        <v>0</v>
      </c>
      <c r="AB351" s="194"/>
    </row>
    <row r="352" spans="1:28" s="278" customFormat="1" x14ac:dyDescent="0.25">
      <c r="A352" s="200">
        <v>505224</v>
      </c>
      <c r="B352" s="313" t="s">
        <v>19154</v>
      </c>
      <c r="C352" s="248"/>
      <c r="D352" s="247" t="s">
        <v>7</v>
      </c>
      <c r="E352" s="249">
        <f t="shared" si="201"/>
        <v>15.65217</v>
      </c>
      <c r="F352" s="170">
        <f t="shared" si="201"/>
        <v>15.968343833999999</v>
      </c>
      <c r="G352" s="250">
        <v>0.15</v>
      </c>
      <c r="H352" s="171">
        <f t="shared" si="187"/>
        <v>0.15</v>
      </c>
      <c r="I352" s="249">
        <f t="shared" si="202"/>
        <v>52.173900000000003</v>
      </c>
      <c r="J352" s="170">
        <f t="shared" si="202"/>
        <v>53.227812780000001</v>
      </c>
      <c r="K352" s="250">
        <v>0.5</v>
      </c>
      <c r="L352" s="172">
        <f t="shared" si="189"/>
        <v>0.5</v>
      </c>
      <c r="M352" s="249">
        <f t="shared" si="190"/>
        <v>31.30434</v>
      </c>
      <c r="N352" s="170">
        <f t="shared" si="191"/>
        <v>31.936687667999998</v>
      </c>
      <c r="O352" s="250">
        <v>0.3</v>
      </c>
      <c r="P352" s="172">
        <f t="shared" si="192"/>
        <v>0.3</v>
      </c>
      <c r="Q352" s="251">
        <f t="shared" si="193"/>
        <v>5.2173900000000009</v>
      </c>
      <c r="R352" s="173">
        <f t="shared" si="194"/>
        <v>5.3227812780000008</v>
      </c>
      <c r="S352" s="250">
        <v>0.05</v>
      </c>
      <c r="T352" s="171">
        <f t="shared" si="195"/>
        <v>0.05</v>
      </c>
      <c r="U352" s="256">
        <v>104.34780000000001</v>
      </c>
      <c r="V352" s="170">
        <f t="shared" si="203"/>
        <v>106.45562556</v>
      </c>
      <c r="W352" s="258">
        <v>0.15</v>
      </c>
      <c r="X352" s="257">
        <f t="shared" ref="X352:X389" si="204">U352+U352*W352</f>
        <v>119.99997</v>
      </c>
      <c r="Y352" s="170">
        <f t="shared" si="198"/>
        <v>122.423969394</v>
      </c>
      <c r="Z352" s="170">
        <f t="shared" si="199"/>
        <v>125</v>
      </c>
      <c r="AA352" s="407">
        <f t="shared" si="200"/>
        <v>0</v>
      </c>
      <c r="AB352" s="194"/>
    </row>
    <row r="353" spans="1:28" s="278" customFormat="1" x14ac:dyDescent="0.25">
      <c r="A353" s="200">
        <v>505224</v>
      </c>
      <c r="B353" s="313" t="s">
        <v>19155</v>
      </c>
      <c r="C353" s="248"/>
      <c r="D353" s="247" t="s">
        <v>7</v>
      </c>
      <c r="E353" s="249">
        <f t="shared" si="201"/>
        <v>13.043999999999999</v>
      </c>
      <c r="F353" s="170">
        <f t="shared" si="201"/>
        <v>13.3074888</v>
      </c>
      <c r="G353" s="250">
        <v>0.15</v>
      </c>
      <c r="H353" s="171">
        <f t="shared" si="187"/>
        <v>0.15</v>
      </c>
      <c r="I353" s="249">
        <f t="shared" si="202"/>
        <v>43.48</v>
      </c>
      <c r="J353" s="170">
        <f t="shared" si="202"/>
        <v>44.358296000000003</v>
      </c>
      <c r="K353" s="250">
        <v>0.5</v>
      </c>
      <c r="L353" s="172">
        <f t="shared" si="189"/>
        <v>0.5</v>
      </c>
      <c r="M353" s="249">
        <f t="shared" si="190"/>
        <v>26.087999999999997</v>
      </c>
      <c r="N353" s="170">
        <f t="shared" si="191"/>
        <v>26.6149776</v>
      </c>
      <c r="O353" s="250">
        <v>0.3</v>
      </c>
      <c r="P353" s="172">
        <f t="shared" si="192"/>
        <v>0.3</v>
      </c>
      <c r="Q353" s="251">
        <f t="shared" si="193"/>
        <v>4.3479999999999999</v>
      </c>
      <c r="R353" s="173">
        <f t="shared" si="194"/>
        <v>4.4358296000000008</v>
      </c>
      <c r="S353" s="250">
        <v>0.05</v>
      </c>
      <c r="T353" s="171">
        <f t="shared" si="195"/>
        <v>0.05</v>
      </c>
      <c r="U353" s="256">
        <v>86.96</v>
      </c>
      <c r="V353" s="170">
        <f t="shared" si="203"/>
        <v>88.716592000000006</v>
      </c>
      <c r="W353" s="258">
        <v>0.15</v>
      </c>
      <c r="X353" s="257">
        <f t="shared" si="204"/>
        <v>100.00399999999999</v>
      </c>
      <c r="Y353" s="170">
        <f t="shared" si="198"/>
        <v>102.02408079999999</v>
      </c>
      <c r="Z353" s="170">
        <f t="shared" si="199"/>
        <v>105</v>
      </c>
      <c r="AA353" s="407">
        <f t="shared" si="200"/>
        <v>0</v>
      </c>
      <c r="AB353" s="194"/>
    </row>
    <row r="354" spans="1:28" s="278" customFormat="1" x14ac:dyDescent="0.25">
      <c r="A354" s="200">
        <v>505225</v>
      </c>
      <c r="B354" s="313" t="s">
        <v>19156</v>
      </c>
      <c r="C354" s="248"/>
      <c r="D354" s="247" t="s">
        <v>7</v>
      </c>
      <c r="E354" s="249">
        <f t="shared" si="201"/>
        <v>16.304355000000001</v>
      </c>
      <c r="F354" s="170">
        <f t="shared" si="201"/>
        <v>16.633702971000002</v>
      </c>
      <c r="G354" s="250">
        <v>0.15</v>
      </c>
      <c r="H354" s="171">
        <f t="shared" si="187"/>
        <v>0.15</v>
      </c>
      <c r="I354" s="249">
        <f t="shared" si="202"/>
        <v>54.347850000000001</v>
      </c>
      <c r="J354" s="170">
        <f t="shared" si="202"/>
        <v>55.445676570000003</v>
      </c>
      <c r="K354" s="250">
        <v>0.5</v>
      </c>
      <c r="L354" s="172">
        <f t="shared" si="189"/>
        <v>0.5</v>
      </c>
      <c r="M354" s="249">
        <f t="shared" si="190"/>
        <v>32.608710000000002</v>
      </c>
      <c r="N354" s="170">
        <f t="shared" si="191"/>
        <v>33.267405942000003</v>
      </c>
      <c r="O354" s="250">
        <v>0.3</v>
      </c>
      <c r="P354" s="172">
        <f t="shared" si="192"/>
        <v>0.3</v>
      </c>
      <c r="Q354" s="251">
        <f t="shared" si="193"/>
        <v>5.4347850000000006</v>
      </c>
      <c r="R354" s="173">
        <f t="shared" si="194"/>
        <v>5.5445676570000009</v>
      </c>
      <c r="S354" s="250">
        <v>0.05</v>
      </c>
      <c r="T354" s="171">
        <f t="shared" si="195"/>
        <v>0.05</v>
      </c>
      <c r="U354" s="256">
        <v>108.6957</v>
      </c>
      <c r="V354" s="170">
        <f t="shared" si="203"/>
        <v>110.89135314000001</v>
      </c>
      <c r="W354" s="258">
        <v>0.15</v>
      </c>
      <c r="X354" s="257">
        <f t="shared" si="204"/>
        <v>125.000055</v>
      </c>
      <c r="Y354" s="170">
        <f t="shared" si="198"/>
        <v>127.525056111</v>
      </c>
      <c r="Z354" s="170">
        <f t="shared" si="199"/>
        <v>130</v>
      </c>
      <c r="AA354" s="407">
        <f t="shared" si="200"/>
        <v>0</v>
      </c>
      <c r="AB354" s="194"/>
    </row>
    <row r="355" spans="1:28" s="278" customFormat="1" x14ac:dyDescent="0.25">
      <c r="A355" s="200">
        <v>505225</v>
      </c>
      <c r="B355" s="313" t="s">
        <v>19157</v>
      </c>
      <c r="C355" s="248"/>
      <c r="D355" s="247" t="s">
        <v>7</v>
      </c>
      <c r="E355" s="249">
        <f t="shared" si="201"/>
        <v>13.694999999999999</v>
      </c>
      <c r="F355" s="170">
        <f t="shared" si="201"/>
        <v>13.971638999999998</v>
      </c>
      <c r="G355" s="250">
        <v>0.15</v>
      </c>
      <c r="H355" s="171">
        <f t="shared" si="187"/>
        <v>0.15</v>
      </c>
      <c r="I355" s="249">
        <f t="shared" si="202"/>
        <v>45.65</v>
      </c>
      <c r="J355" s="170">
        <f t="shared" si="202"/>
        <v>46.572129999999994</v>
      </c>
      <c r="K355" s="250">
        <v>0.5</v>
      </c>
      <c r="L355" s="172">
        <f t="shared" si="189"/>
        <v>0.5</v>
      </c>
      <c r="M355" s="249">
        <f t="shared" si="190"/>
        <v>27.389999999999997</v>
      </c>
      <c r="N355" s="170">
        <f t="shared" si="191"/>
        <v>27.943277999999996</v>
      </c>
      <c r="O355" s="250">
        <v>0.3</v>
      </c>
      <c r="P355" s="172">
        <f t="shared" si="192"/>
        <v>0.3</v>
      </c>
      <c r="Q355" s="251">
        <f t="shared" si="193"/>
        <v>4.5650000000000004</v>
      </c>
      <c r="R355" s="173">
        <f t="shared" si="194"/>
        <v>4.6572129999999996</v>
      </c>
      <c r="S355" s="250">
        <v>0.05</v>
      </c>
      <c r="T355" s="171">
        <f t="shared" si="195"/>
        <v>0.05</v>
      </c>
      <c r="U355" s="256">
        <v>91.3</v>
      </c>
      <c r="V355" s="170">
        <f t="shared" si="203"/>
        <v>93.144259999999989</v>
      </c>
      <c r="W355" s="258">
        <v>0.15</v>
      </c>
      <c r="X355" s="257">
        <f t="shared" si="204"/>
        <v>104.99499999999999</v>
      </c>
      <c r="Y355" s="170">
        <f t="shared" si="198"/>
        <v>107.11589899999998</v>
      </c>
      <c r="Z355" s="170">
        <f t="shared" si="199"/>
        <v>110</v>
      </c>
      <c r="AA355" s="407">
        <f t="shared" si="200"/>
        <v>0</v>
      </c>
      <c r="AB355" s="194"/>
    </row>
    <row r="356" spans="1:28" s="278" customFormat="1" x14ac:dyDescent="0.25">
      <c r="A356" s="200">
        <v>505226</v>
      </c>
      <c r="B356" s="313" t="s">
        <v>19158</v>
      </c>
      <c r="C356" s="248"/>
      <c r="D356" s="247" t="s">
        <v>7</v>
      </c>
      <c r="E356" s="249">
        <f t="shared" ref="E356:F389" si="205">U356*G356</f>
        <v>18.260864999999999</v>
      </c>
      <c r="F356" s="170">
        <f t="shared" si="205"/>
        <v>18.629734472999999</v>
      </c>
      <c r="G356" s="250">
        <v>0.15</v>
      </c>
      <c r="H356" s="171">
        <f t="shared" ref="H356:H387" si="206">G356</f>
        <v>0.15</v>
      </c>
      <c r="I356" s="249">
        <f t="shared" ref="I356:J389" si="207">U356*K356</f>
        <v>60.869549999999997</v>
      </c>
      <c r="J356" s="170">
        <f t="shared" si="207"/>
        <v>62.099114909999997</v>
      </c>
      <c r="K356" s="250">
        <v>0.5</v>
      </c>
      <c r="L356" s="172">
        <f t="shared" ref="L356:L387" si="208">K356</f>
        <v>0.5</v>
      </c>
      <c r="M356" s="249">
        <f t="shared" ref="M356:M389" si="209">U356*O356</f>
        <v>36.521729999999998</v>
      </c>
      <c r="N356" s="170">
        <f t="shared" ref="N356:N389" si="210">P356*V356</f>
        <v>37.259468945999998</v>
      </c>
      <c r="O356" s="250">
        <v>0.3</v>
      </c>
      <c r="P356" s="172">
        <f t="shared" ref="P356:P387" si="211">O356</f>
        <v>0.3</v>
      </c>
      <c r="Q356" s="251">
        <f t="shared" ref="Q356:Q389" si="212">U356*S356</f>
        <v>6.0869549999999997</v>
      </c>
      <c r="R356" s="173">
        <f t="shared" ref="R356:R389" si="213">T356*V356</f>
        <v>6.2099114909999997</v>
      </c>
      <c r="S356" s="250">
        <v>0.05</v>
      </c>
      <c r="T356" s="171">
        <f t="shared" ref="T356:T387" si="214">S356</f>
        <v>0.05</v>
      </c>
      <c r="U356" s="256">
        <v>121.73909999999999</v>
      </c>
      <c r="V356" s="170">
        <f t="shared" si="203"/>
        <v>124.19822981999999</v>
      </c>
      <c r="W356" s="258">
        <v>0.15</v>
      </c>
      <c r="X356" s="257">
        <f t="shared" si="204"/>
        <v>139.999965</v>
      </c>
      <c r="Y356" s="170">
        <f t="shared" ref="Y356:Y387" si="215">IF(V356*(W356+1)=0,X356,V356*(W356+1))</f>
        <v>142.82796429299998</v>
      </c>
      <c r="Z356" s="170">
        <f t="shared" ref="Z356:Z387" si="216">IF(Y356=0, 0, IF(Y356&lt;10, _xlfn.CEILING.MATH(Y356,1), IF(Y356&lt;100, _xlfn.CEILING.MATH(Y356,1),IF(Y356&lt;1000, _xlfn.CEILING.MATH(Y356,5), IF(Y356&lt;10000, _xlfn.CEILING.MATH(Y356, 25), IF(Y356&lt;100000, _xlfn.CEILING.MATH(Y356,250), IF(Y356&lt;1000000, _xlfn.CEILING.MATH(Y356,500), 0)))))))</f>
        <v>145</v>
      </c>
      <c r="AA356" s="407">
        <f t="shared" ref="AA356:AA387" si="217">C356*Z356</f>
        <v>0</v>
      </c>
      <c r="AB356" s="194"/>
    </row>
    <row r="357" spans="1:28" s="278" customFormat="1" x14ac:dyDescent="0.25">
      <c r="A357" s="200">
        <v>505226</v>
      </c>
      <c r="B357" s="313" t="s">
        <v>19159</v>
      </c>
      <c r="C357" s="248"/>
      <c r="D357" s="247" t="s">
        <v>7</v>
      </c>
      <c r="E357" s="249">
        <f t="shared" si="205"/>
        <v>14.3475</v>
      </c>
      <c r="F357" s="170">
        <f t="shared" si="205"/>
        <v>14.637319499999998</v>
      </c>
      <c r="G357" s="250">
        <v>0.15</v>
      </c>
      <c r="H357" s="171">
        <f t="shared" si="206"/>
        <v>0.15</v>
      </c>
      <c r="I357" s="249">
        <f t="shared" si="207"/>
        <v>47.825000000000003</v>
      </c>
      <c r="J357" s="170">
        <f t="shared" si="207"/>
        <v>48.791064999999996</v>
      </c>
      <c r="K357" s="250">
        <v>0.5</v>
      </c>
      <c r="L357" s="172">
        <f t="shared" si="208"/>
        <v>0.5</v>
      </c>
      <c r="M357" s="249">
        <f t="shared" si="209"/>
        <v>28.695</v>
      </c>
      <c r="N357" s="170">
        <f t="shared" si="210"/>
        <v>29.274638999999997</v>
      </c>
      <c r="O357" s="250">
        <v>0.3</v>
      </c>
      <c r="P357" s="172">
        <f t="shared" si="211"/>
        <v>0.3</v>
      </c>
      <c r="Q357" s="251">
        <f t="shared" si="212"/>
        <v>4.7825000000000006</v>
      </c>
      <c r="R357" s="173">
        <f t="shared" si="213"/>
        <v>4.8791064999999998</v>
      </c>
      <c r="S357" s="250">
        <v>0.05</v>
      </c>
      <c r="T357" s="171">
        <f t="shared" si="214"/>
        <v>0.05</v>
      </c>
      <c r="U357" s="256">
        <v>95.65</v>
      </c>
      <c r="V357" s="170">
        <f t="shared" si="203"/>
        <v>97.582129999999992</v>
      </c>
      <c r="W357" s="258">
        <v>0.15</v>
      </c>
      <c r="X357" s="257">
        <f t="shared" si="204"/>
        <v>109.9975</v>
      </c>
      <c r="Y357" s="170">
        <f t="shared" si="215"/>
        <v>112.21944949999998</v>
      </c>
      <c r="Z357" s="170">
        <f t="shared" si="216"/>
        <v>115</v>
      </c>
      <c r="AA357" s="407">
        <f t="shared" si="217"/>
        <v>0</v>
      </c>
      <c r="AB357" s="194"/>
    </row>
    <row r="358" spans="1:28" s="278" customFormat="1" x14ac:dyDescent="0.25">
      <c r="A358" s="200">
        <v>505280</v>
      </c>
      <c r="B358" s="313" t="s">
        <v>19160</v>
      </c>
      <c r="C358" s="248"/>
      <c r="D358" s="247" t="s">
        <v>7</v>
      </c>
      <c r="E358" s="249">
        <f t="shared" si="205"/>
        <v>25</v>
      </c>
      <c r="F358" s="170">
        <f t="shared" si="205"/>
        <v>25.520000000000003</v>
      </c>
      <c r="G358" s="250">
        <v>0.25</v>
      </c>
      <c r="H358" s="171">
        <f t="shared" si="206"/>
        <v>0.25</v>
      </c>
      <c r="I358" s="249">
        <f t="shared" si="207"/>
        <v>40</v>
      </c>
      <c r="J358" s="170">
        <f t="shared" si="207"/>
        <v>40.832000000000008</v>
      </c>
      <c r="K358" s="250">
        <v>0.4</v>
      </c>
      <c r="L358" s="172">
        <f t="shared" si="208"/>
        <v>0.4</v>
      </c>
      <c r="M358" s="249">
        <f t="shared" si="209"/>
        <v>30</v>
      </c>
      <c r="N358" s="170">
        <f t="shared" si="210"/>
        <v>30.624000000000002</v>
      </c>
      <c r="O358" s="250">
        <v>0.3</v>
      </c>
      <c r="P358" s="172">
        <f t="shared" si="211"/>
        <v>0.3</v>
      </c>
      <c r="Q358" s="251">
        <f t="shared" si="212"/>
        <v>5</v>
      </c>
      <c r="R358" s="173">
        <f t="shared" si="213"/>
        <v>5.104000000000001</v>
      </c>
      <c r="S358" s="250">
        <v>0.05</v>
      </c>
      <c r="T358" s="171">
        <f t="shared" si="214"/>
        <v>0.05</v>
      </c>
      <c r="U358" s="256">
        <v>100</v>
      </c>
      <c r="V358" s="170">
        <f t="shared" si="203"/>
        <v>102.08000000000001</v>
      </c>
      <c r="W358" s="258">
        <v>0.15</v>
      </c>
      <c r="X358" s="257">
        <f t="shared" si="204"/>
        <v>115</v>
      </c>
      <c r="Y358" s="170">
        <f t="shared" si="215"/>
        <v>117.39200000000001</v>
      </c>
      <c r="Z358" s="170">
        <f t="shared" si="216"/>
        <v>120</v>
      </c>
      <c r="AA358" s="407">
        <f t="shared" si="217"/>
        <v>0</v>
      </c>
      <c r="AB358" s="194"/>
    </row>
    <row r="359" spans="1:28" s="278" customFormat="1" x14ac:dyDescent="0.25">
      <c r="A359" s="200">
        <v>505280</v>
      </c>
      <c r="B359" s="313" t="s">
        <v>19161</v>
      </c>
      <c r="C359" s="248"/>
      <c r="D359" s="247" t="s">
        <v>7</v>
      </c>
      <c r="E359" s="249">
        <f t="shared" si="205"/>
        <v>23.912500000000001</v>
      </c>
      <c r="F359" s="170">
        <f t="shared" si="205"/>
        <v>24.409880000000001</v>
      </c>
      <c r="G359" s="250">
        <v>0.25</v>
      </c>
      <c r="H359" s="171">
        <f t="shared" si="206"/>
        <v>0.25</v>
      </c>
      <c r="I359" s="249">
        <f t="shared" si="207"/>
        <v>38.260000000000005</v>
      </c>
      <c r="J359" s="170">
        <f t="shared" si="207"/>
        <v>39.055808000000006</v>
      </c>
      <c r="K359" s="250">
        <v>0.4</v>
      </c>
      <c r="L359" s="172">
        <f t="shared" si="208"/>
        <v>0.4</v>
      </c>
      <c r="M359" s="249">
        <f t="shared" si="209"/>
        <v>28.695</v>
      </c>
      <c r="N359" s="170">
        <f t="shared" si="210"/>
        <v>29.291855999999999</v>
      </c>
      <c r="O359" s="250">
        <v>0.3</v>
      </c>
      <c r="P359" s="172">
        <f t="shared" si="211"/>
        <v>0.3</v>
      </c>
      <c r="Q359" s="251">
        <f t="shared" si="212"/>
        <v>4.7825000000000006</v>
      </c>
      <c r="R359" s="173">
        <f t="shared" si="213"/>
        <v>4.8819760000000008</v>
      </c>
      <c r="S359" s="250">
        <v>0.05</v>
      </c>
      <c r="T359" s="171">
        <f t="shared" si="214"/>
        <v>0.05</v>
      </c>
      <c r="U359" s="256">
        <v>95.65</v>
      </c>
      <c r="V359" s="170">
        <f t="shared" si="203"/>
        <v>97.639520000000005</v>
      </c>
      <c r="W359" s="258">
        <v>0.15</v>
      </c>
      <c r="X359" s="257">
        <f t="shared" si="204"/>
        <v>109.9975</v>
      </c>
      <c r="Y359" s="170">
        <f t="shared" si="215"/>
        <v>112.285448</v>
      </c>
      <c r="Z359" s="170">
        <f t="shared" si="216"/>
        <v>115</v>
      </c>
      <c r="AA359" s="407">
        <f t="shared" si="217"/>
        <v>0</v>
      </c>
      <c r="AB359" s="194"/>
    </row>
    <row r="360" spans="1:28" s="278" customFormat="1" x14ac:dyDescent="0.25">
      <c r="A360" s="200">
        <v>505282</v>
      </c>
      <c r="B360" s="313" t="s">
        <v>19162</v>
      </c>
      <c r="C360" s="248"/>
      <c r="D360" s="247" t="s">
        <v>7</v>
      </c>
      <c r="E360" s="249">
        <f t="shared" si="205"/>
        <v>28.26</v>
      </c>
      <c r="F360" s="170">
        <f t="shared" si="205"/>
        <v>28.847808000000004</v>
      </c>
      <c r="G360" s="250">
        <v>0.25</v>
      </c>
      <c r="H360" s="171">
        <f t="shared" si="206"/>
        <v>0.25</v>
      </c>
      <c r="I360" s="249">
        <f t="shared" si="207"/>
        <v>45.216000000000008</v>
      </c>
      <c r="J360" s="170">
        <f t="shared" si="207"/>
        <v>46.156492800000009</v>
      </c>
      <c r="K360" s="250">
        <v>0.4</v>
      </c>
      <c r="L360" s="172">
        <f t="shared" si="208"/>
        <v>0.4</v>
      </c>
      <c r="M360" s="249">
        <f t="shared" si="209"/>
        <v>33.911999999999999</v>
      </c>
      <c r="N360" s="170">
        <f t="shared" si="210"/>
        <v>34.617369600000004</v>
      </c>
      <c r="O360" s="250">
        <v>0.3</v>
      </c>
      <c r="P360" s="172">
        <f t="shared" si="211"/>
        <v>0.3</v>
      </c>
      <c r="Q360" s="251">
        <f t="shared" si="212"/>
        <v>5.652000000000001</v>
      </c>
      <c r="R360" s="173">
        <f t="shared" si="213"/>
        <v>5.7695616000000012</v>
      </c>
      <c r="S360" s="250">
        <v>0.05</v>
      </c>
      <c r="T360" s="171">
        <f t="shared" si="214"/>
        <v>0.05</v>
      </c>
      <c r="U360" s="256">
        <v>113.04</v>
      </c>
      <c r="V360" s="170">
        <f t="shared" si="203"/>
        <v>115.39123200000002</v>
      </c>
      <c r="W360" s="258">
        <v>0.15</v>
      </c>
      <c r="X360" s="257">
        <f t="shared" si="204"/>
        <v>129.99600000000001</v>
      </c>
      <c r="Y360" s="170">
        <f t="shared" si="215"/>
        <v>132.69991680000001</v>
      </c>
      <c r="Z360" s="170">
        <f t="shared" si="216"/>
        <v>135</v>
      </c>
      <c r="AA360" s="407">
        <f t="shared" si="217"/>
        <v>0</v>
      </c>
      <c r="AB360" s="194"/>
    </row>
    <row r="361" spans="1:28" s="278" customFormat="1" x14ac:dyDescent="0.25">
      <c r="A361" s="200">
        <v>505282</v>
      </c>
      <c r="B361" s="313" t="s">
        <v>19163</v>
      </c>
      <c r="C361" s="248"/>
      <c r="D361" s="247" t="s">
        <v>7</v>
      </c>
      <c r="E361" s="249">
        <f t="shared" si="205"/>
        <v>26.085000000000001</v>
      </c>
      <c r="F361" s="170">
        <f t="shared" si="205"/>
        <v>26.627568000000004</v>
      </c>
      <c r="G361" s="250">
        <v>0.25</v>
      </c>
      <c r="H361" s="171">
        <f t="shared" si="206"/>
        <v>0.25</v>
      </c>
      <c r="I361" s="249">
        <f t="shared" si="207"/>
        <v>41.736000000000004</v>
      </c>
      <c r="J361" s="170">
        <f t="shared" si="207"/>
        <v>42.604108800000006</v>
      </c>
      <c r="K361" s="250">
        <v>0.4</v>
      </c>
      <c r="L361" s="172">
        <f t="shared" si="208"/>
        <v>0.4</v>
      </c>
      <c r="M361" s="249">
        <f t="shared" si="209"/>
        <v>31.302</v>
      </c>
      <c r="N361" s="170">
        <f t="shared" si="210"/>
        <v>31.953081600000004</v>
      </c>
      <c r="O361" s="250">
        <v>0.3</v>
      </c>
      <c r="P361" s="172">
        <f t="shared" si="211"/>
        <v>0.3</v>
      </c>
      <c r="Q361" s="251">
        <f t="shared" si="212"/>
        <v>5.2170000000000005</v>
      </c>
      <c r="R361" s="173">
        <f t="shared" si="213"/>
        <v>5.3255136000000007</v>
      </c>
      <c r="S361" s="250">
        <v>0.05</v>
      </c>
      <c r="T361" s="171">
        <f t="shared" si="214"/>
        <v>0.05</v>
      </c>
      <c r="U361" s="256">
        <v>104.34</v>
      </c>
      <c r="V361" s="170">
        <f t="shared" si="203"/>
        <v>106.51027200000001</v>
      </c>
      <c r="W361" s="258">
        <v>0.15</v>
      </c>
      <c r="X361" s="257">
        <f t="shared" si="204"/>
        <v>119.991</v>
      </c>
      <c r="Y361" s="170">
        <f t="shared" si="215"/>
        <v>122.48681280000001</v>
      </c>
      <c r="Z361" s="170">
        <f t="shared" si="216"/>
        <v>125</v>
      </c>
      <c r="AA361" s="407">
        <f t="shared" si="217"/>
        <v>0</v>
      </c>
      <c r="AB361" s="194"/>
    </row>
    <row r="362" spans="1:28" s="278" customFormat="1" x14ac:dyDescent="0.25">
      <c r="A362" s="200">
        <v>505283</v>
      </c>
      <c r="B362" s="313" t="s">
        <v>19164</v>
      </c>
      <c r="C362" s="248"/>
      <c r="D362" s="247" t="s">
        <v>7</v>
      </c>
      <c r="E362" s="249">
        <f t="shared" si="205"/>
        <v>29.3475</v>
      </c>
      <c r="F362" s="170">
        <f t="shared" si="205"/>
        <v>29.957927999999999</v>
      </c>
      <c r="G362" s="250">
        <v>0.25</v>
      </c>
      <c r="H362" s="171">
        <f t="shared" si="206"/>
        <v>0.25</v>
      </c>
      <c r="I362" s="249">
        <f t="shared" si="207"/>
        <v>46.956000000000003</v>
      </c>
      <c r="J362" s="170">
        <f t="shared" si="207"/>
        <v>47.932684800000004</v>
      </c>
      <c r="K362" s="250">
        <v>0.4</v>
      </c>
      <c r="L362" s="172">
        <f t="shared" si="208"/>
        <v>0.4</v>
      </c>
      <c r="M362" s="249">
        <f t="shared" si="209"/>
        <v>35.216999999999999</v>
      </c>
      <c r="N362" s="170">
        <f t="shared" si="210"/>
        <v>35.949513599999996</v>
      </c>
      <c r="O362" s="250">
        <v>0.3</v>
      </c>
      <c r="P362" s="172">
        <f t="shared" si="211"/>
        <v>0.3</v>
      </c>
      <c r="Q362" s="251">
        <f t="shared" si="212"/>
        <v>5.8695000000000004</v>
      </c>
      <c r="R362" s="173">
        <f t="shared" si="213"/>
        <v>5.9915856000000005</v>
      </c>
      <c r="S362" s="250">
        <v>0.05</v>
      </c>
      <c r="T362" s="171">
        <f t="shared" si="214"/>
        <v>0.05</v>
      </c>
      <c r="U362" s="256">
        <v>117.39</v>
      </c>
      <c r="V362" s="170">
        <f t="shared" si="203"/>
        <v>119.831712</v>
      </c>
      <c r="W362" s="258">
        <v>0.15</v>
      </c>
      <c r="X362" s="257">
        <f t="shared" si="204"/>
        <v>134.99850000000001</v>
      </c>
      <c r="Y362" s="170">
        <f t="shared" si="215"/>
        <v>137.80646879999998</v>
      </c>
      <c r="Z362" s="170">
        <f t="shared" si="216"/>
        <v>140</v>
      </c>
      <c r="AA362" s="407">
        <f t="shared" si="217"/>
        <v>0</v>
      </c>
      <c r="AB362" s="194"/>
    </row>
    <row r="363" spans="1:28" s="278" customFormat="1" x14ac:dyDescent="0.25">
      <c r="A363" s="200">
        <v>505283</v>
      </c>
      <c r="B363" s="313" t="s">
        <v>19165</v>
      </c>
      <c r="C363" s="248"/>
      <c r="D363" s="247" t="s">
        <v>7</v>
      </c>
      <c r="E363" s="249">
        <f t="shared" si="205"/>
        <v>27.173749999999998</v>
      </c>
      <c r="F363" s="170">
        <f t="shared" si="205"/>
        <v>27.738964000000003</v>
      </c>
      <c r="G363" s="250">
        <v>0.25</v>
      </c>
      <c r="H363" s="171">
        <f t="shared" si="206"/>
        <v>0.25</v>
      </c>
      <c r="I363" s="249">
        <f t="shared" si="207"/>
        <v>43.478000000000002</v>
      </c>
      <c r="J363" s="170">
        <f t="shared" si="207"/>
        <v>44.382342400000006</v>
      </c>
      <c r="K363" s="250">
        <v>0.4</v>
      </c>
      <c r="L363" s="172">
        <f t="shared" si="208"/>
        <v>0.4</v>
      </c>
      <c r="M363" s="249">
        <f t="shared" si="209"/>
        <v>32.608499999999999</v>
      </c>
      <c r="N363" s="170">
        <f t="shared" si="210"/>
        <v>33.286756799999999</v>
      </c>
      <c r="O363" s="250">
        <v>0.3</v>
      </c>
      <c r="P363" s="172">
        <f t="shared" si="211"/>
        <v>0.3</v>
      </c>
      <c r="Q363" s="251">
        <f t="shared" si="212"/>
        <v>5.4347500000000002</v>
      </c>
      <c r="R363" s="173">
        <f t="shared" si="213"/>
        <v>5.5477928000000007</v>
      </c>
      <c r="S363" s="250">
        <v>0.05</v>
      </c>
      <c r="T363" s="171">
        <f t="shared" si="214"/>
        <v>0.05</v>
      </c>
      <c r="U363" s="256">
        <v>108.69499999999999</v>
      </c>
      <c r="V363" s="170">
        <f t="shared" si="203"/>
        <v>110.95585600000001</v>
      </c>
      <c r="W363" s="258">
        <v>0.15</v>
      </c>
      <c r="X363" s="257">
        <f t="shared" si="204"/>
        <v>124.99924999999999</v>
      </c>
      <c r="Y363" s="170">
        <f t="shared" si="215"/>
        <v>127.5992344</v>
      </c>
      <c r="Z363" s="170">
        <f t="shared" si="216"/>
        <v>130</v>
      </c>
      <c r="AA363" s="407">
        <f t="shared" si="217"/>
        <v>0</v>
      </c>
      <c r="AB363" s="194"/>
    </row>
    <row r="364" spans="1:28" s="278" customFormat="1" ht="14.4" thickBot="1" x14ac:dyDescent="0.3">
      <c r="A364" s="263">
        <v>505285</v>
      </c>
      <c r="B364" s="321" t="s">
        <v>19166</v>
      </c>
      <c r="C364" s="265"/>
      <c r="D364" s="264" t="s">
        <v>7</v>
      </c>
      <c r="E364" s="266">
        <f t="shared" si="205"/>
        <v>29.3475</v>
      </c>
      <c r="F364" s="174">
        <f t="shared" si="205"/>
        <v>29.957927999999999</v>
      </c>
      <c r="G364" s="267">
        <v>0.25</v>
      </c>
      <c r="H364" s="268">
        <f t="shared" si="206"/>
        <v>0.25</v>
      </c>
      <c r="I364" s="266">
        <f t="shared" si="207"/>
        <v>46.956000000000003</v>
      </c>
      <c r="J364" s="174">
        <f t="shared" si="207"/>
        <v>47.932684800000004</v>
      </c>
      <c r="K364" s="267">
        <v>0.4</v>
      </c>
      <c r="L364" s="269">
        <f t="shared" si="208"/>
        <v>0.4</v>
      </c>
      <c r="M364" s="266">
        <f t="shared" si="209"/>
        <v>35.216999999999999</v>
      </c>
      <c r="N364" s="174">
        <f t="shared" si="210"/>
        <v>35.949513599999996</v>
      </c>
      <c r="O364" s="267">
        <v>0.3</v>
      </c>
      <c r="P364" s="269">
        <f t="shared" si="211"/>
        <v>0.3</v>
      </c>
      <c r="Q364" s="270">
        <f t="shared" si="212"/>
        <v>5.8695000000000004</v>
      </c>
      <c r="R364" s="271">
        <f t="shared" si="213"/>
        <v>5.9915856000000005</v>
      </c>
      <c r="S364" s="267">
        <v>0.05</v>
      </c>
      <c r="T364" s="268">
        <f t="shared" si="214"/>
        <v>0.05</v>
      </c>
      <c r="U364" s="409">
        <v>117.39</v>
      </c>
      <c r="V364" s="174">
        <f t="shared" si="203"/>
        <v>119.831712</v>
      </c>
      <c r="W364" s="322">
        <v>0.15</v>
      </c>
      <c r="X364" s="274">
        <f t="shared" si="204"/>
        <v>134.99850000000001</v>
      </c>
      <c r="Y364" s="174">
        <f t="shared" si="215"/>
        <v>137.80646879999998</v>
      </c>
      <c r="Z364" s="174">
        <f t="shared" si="216"/>
        <v>140</v>
      </c>
      <c r="AA364" s="410">
        <f t="shared" si="217"/>
        <v>0</v>
      </c>
      <c r="AB364" s="194"/>
    </row>
    <row r="365" spans="1:28" s="278" customFormat="1" x14ac:dyDescent="0.25">
      <c r="A365" s="426">
        <v>505285</v>
      </c>
      <c r="B365" s="427" t="s">
        <v>19167</v>
      </c>
      <c r="C365" s="428"/>
      <c r="D365" s="429" t="s">
        <v>7</v>
      </c>
      <c r="E365" s="423">
        <f t="shared" si="205"/>
        <v>28.26</v>
      </c>
      <c r="F365" s="430">
        <f t="shared" si="205"/>
        <v>28.847808000000004</v>
      </c>
      <c r="G365" s="431">
        <v>0.25</v>
      </c>
      <c r="H365" s="432">
        <f t="shared" si="206"/>
        <v>0.25</v>
      </c>
      <c r="I365" s="423">
        <f t="shared" si="207"/>
        <v>45.216000000000008</v>
      </c>
      <c r="J365" s="430">
        <f t="shared" si="207"/>
        <v>46.156492800000009</v>
      </c>
      <c r="K365" s="431">
        <v>0.4</v>
      </c>
      <c r="L365" s="433">
        <f t="shared" si="208"/>
        <v>0.4</v>
      </c>
      <c r="M365" s="423">
        <f t="shared" si="209"/>
        <v>33.911999999999999</v>
      </c>
      <c r="N365" s="430">
        <f t="shared" si="210"/>
        <v>34.617369600000004</v>
      </c>
      <c r="O365" s="431">
        <v>0.3</v>
      </c>
      <c r="P365" s="433">
        <f t="shared" si="211"/>
        <v>0.3</v>
      </c>
      <c r="Q365" s="425">
        <f t="shared" si="212"/>
        <v>5.652000000000001</v>
      </c>
      <c r="R365" s="434">
        <f t="shared" si="213"/>
        <v>5.7695616000000012</v>
      </c>
      <c r="S365" s="431">
        <v>0.05</v>
      </c>
      <c r="T365" s="432">
        <f t="shared" si="214"/>
        <v>0.05</v>
      </c>
      <c r="U365" s="435">
        <v>113.04</v>
      </c>
      <c r="V365" s="430">
        <f t="shared" si="203"/>
        <v>115.39123200000002</v>
      </c>
      <c r="W365" s="424">
        <v>0.15</v>
      </c>
      <c r="X365" s="436">
        <f t="shared" si="204"/>
        <v>129.99600000000001</v>
      </c>
      <c r="Y365" s="430">
        <f t="shared" si="215"/>
        <v>132.69991680000001</v>
      </c>
      <c r="Z365" s="430">
        <f t="shared" si="216"/>
        <v>135</v>
      </c>
      <c r="AA365" s="437">
        <f t="shared" si="217"/>
        <v>0</v>
      </c>
      <c r="AB365" s="194"/>
    </row>
    <row r="366" spans="1:28" s="278" customFormat="1" x14ac:dyDescent="0.25">
      <c r="A366" s="200">
        <v>505287</v>
      </c>
      <c r="B366" s="313" t="s">
        <v>19168</v>
      </c>
      <c r="C366" s="248"/>
      <c r="D366" s="247" t="s">
        <v>7</v>
      </c>
      <c r="E366" s="249">
        <f t="shared" si="205"/>
        <v>30.434750000000001</v>
      </c>
      <c r="F366" s="170">
        <f t="shared" si="205"/>
        <v>31.067792800000003</v>
      </c>
      <c r="G366" s="250">
        <v>0.25</v>
      </c>
      <c r="H366" s="171">
        <f t="shared" si="206"/>
        <v>0.25</v>
      </c>
      <c r="I366" s="249">
        <f t="shared" si="207"/>
        <v>48.695600000000006</v>
      </c>
      <c r="J366" s="170">
        <f t="shared" si="207"/>
        <v>49.708468480000008</v>
      </c>
      <c r="K366" s="250">
        <v>0.4</v>
      </c>
      <c r="L366" s="172">
        <f t="shared" si="208"/>
        <v>0.4</v>
      </c>
      <c r="M366" s="249">
        <f t="shared" si="209"/>
        <v>36.521700000000003</v>
      </c>
      <c r="N366" s="170">
        <f t="shared" si="210"/>
        <v>37.281351360000002</v>
      </c>
      <c r="O366" s="250">
        <v>0.3</v>
      </c>
      <c r="P366" s="172">
        <f t="shared" si="211"/>
        <v>0.3</v>
      </c>
      <c r="Q366" s="251">
        <f t="shared" si="212"/>
        <v>6.0869500000000007</v>
      </c>
      <c r="R366" s="173">
        <f t="shared" si="213"/>
        <v>6.213558560000001</v>
      </c>
      <c r="S366" s="250">
        <v>0.05</v>
      </c>
      <c r="T366" s="171">
        <f t="shared" si="214"/>
        <v>0.05</v>
      </c>
      <c r="U366" s="256">
        <v>121.739</v>
      </c>
      <c r="V366" s="170">
        <f t="shared" si="203"/>
        <v>124.27117120000001</v>
      </c>
      <c r="W366" s="258">
        <v>0.15</v>
      </c>
      <c r="X366" s="257">
        <f t="shared" si="204"/>
        <v>139.99985000000001</v>
      </c>
      <c r="Y366" s="170">
        <f t="shared" si="215"/>
        <v>142.91184688000001</v>
      </c>
      <c r="Z366" s="170">
        <f t="shared" si="216"/>
        <v>145</v>
      </c>
      <c r="AA366" s="407">
        <f t="shared" si="217"/>
        <v>0</v>
      </c>
      <c r="AB366" s="194"/>
    </row>
    <row r="367" spans="1:28" s="278" customFormat="1" x14ac:dyDescent="0.25">
      <c r="A367" s="200">
        <v>505287</v>
      </c>
      <c r="B367" s="313" t="s">
        <v>19169</v>
      </c>
      <c r="C367" s="248"/>
      <c r="D367" s="247" t="s">
        <v>7</v>
      </c>
      <c r="E367" s="249">
        <f t="shared" si="205"/>
        <v>29.3475</v>
      </c>
      <c r="F367" s="170">
        <f t="shared" si="205"/>
        <v>29.957927999999999</v>
      </c>
      <c r="G367" s="250">
        <v>0.25</v>
      </c>
      <c r="H367" s="171">
        <f t="shared" si="206"/>
        <v>0.25</v>
      </c>
      <c r="I367" s="249">
        <f t="shared" si="207"/>
        <v>46.956000000000003</v>
      </c>
      <c r="J367" s="170">
        <f t="shared" si="207"/>
        <v>47.932684800000004</v>
      </c>
      <c r="K367" s="250">
        <v>0.4</v>
      </c>
      <c r="L367" s="172">
        <f t="shared" si="208"/>
        <v>0.4</v>
      </c>
      <c r="M367" s="249">
        <f t="shared" si="209"/>
        <v>35.216999999999999</v>
      </c>
      <c r="N367" s="170">
        <f t="shared" si="210"/>
        <v>35.949513599999996</v>
      </c>
      <c r="O367" s="250">
        <v>0.3</v>
      </c>
      <c r="P367" s="172">
        <f t="shared" si="211"/>
        <v>0.3</v>
      </c>
      <c r="Q367" s="251">
        <f t="shared" si="212"/>
        <v>5.8695000000000004</v>
      </c>
      <c r="R367" s="173">
        <f t="shared" si="213"/>
        <v>5.9915856000000005</v>
      </c>
      <c r="S367" s="250">
        <v>0.05</v>
      </c>
      <c r="T367" s="171">
        <f t="shared" si="214"/>
        <v>0.05</v>
      </c>
      <c r="U367" s="256">
        <v>117.39</v>
      </c>
      <c r="V367" s="170">
        <f t="shared" si="203"/>
        <v>119.831712</v>
      </c>
      <c r="W367" s="258">
        <v>0.15</v>
      </c>
      <c r="X367" s="257">
        <f t="shared" si="204"/>
        <v>134.99850000000001</v>
      </c>
      <c r="Y367" s="170">
        <f t="shared" si="215"/>
        <v>137.80646879999998</v>
      </c>
      <c r="Z367" s="170">
        <f t="shared" si="216"/>
        <v>140</v>
      </c>
      <c r="AA367" s="407">
        <f t="shared" si="217"/>
        <v>0</v>
      </c>
      <c r="AB367" s="194"/>
    </row>
    <row r="368" spans="1:28" s="278" customFormat="1" x14ac:dyDescent="0.25">
      <c r="A368" s="200">
        <v>505289</v>
      </c>
      <c r="B368" s="313" t="s">
        <v>19170</v>
      </c>
      <c r="C368" s="248"/>
      <c r="D368" s="247" t="s">
        <v>7</v>
      </c>
      <c r="E368" s="249">
        <f t="shared" si="205"/>
        <v>32.608699999999999</v>
      </c>
      <c r="F368" s="170">
        <f t="shared" si="205"/>
        <v>33.286960959999995</v>
      </c>
      <c r="G368" s="250">
        <v>0.25</v>
      </c>
      <c r="H368" s="171">
        <f t="shared" si="206"/>
        <v>0.25</v>
      </c>
      <c r="I368" s="249">
        <f t="shared" si="207"/>
        <v>52.173920000000003</v>
      </c>
      <c r="J368" s="170">
        <f t="shared" si="207"/>
        <v>53.259137535999997</v>
      </c>
      <c r="K368" s="250">
        <v>0.4</v>
      </c>
      <c r="L368" s="172">
        <f t="shared" si="208"/>
        <v>0.4</v>
      </c>
      <c r="M368" s="249">
        <f t="shared" si="209"/>
        <v>39.13044</v>
      </c>
      <c r="N368" s="170">
        <f t="shared" si="210"/>
        <v>39.944353151999991</v>
      </c>
      <c r="O368" s="250">
        <v>0.3</v>
      </c>
      <c r="P368" s="172">
        <f t="shared" si="211"/>
        <v>0.3</v>
      </c>
      <c r="Q368" s="251">
        <f t="shared" si="212"/>
        <v>6.5217400000000003</v>
      </c>
      <c r="R368" s="173">
        <f t="shared" si="213"/>
        <v>6.6573921919999997</v>
      </c>
      <c r="S368" s="250">
        <v>0.05</v>
      </c>
      <c r="T368" s="171">
        <f t="shared" si="214"/>
        <v>0.05</v>
      </c>
      <c r="U368" s="256">
        <v>130.4348</v>
      </c>
      <c r="V368" s="170">
        <f t="shared" si="203"/>
        <v>133.14784383999998</v>
      </c>
      <c r="W368" s="258">
        <v>0.15</v>
      </c>
      <c r="X368" s="257">
        <f t="shared" si="204"/>
        <v>150.00002000000001</v>
      </c>
      <c r="Y368" s="170">
        <f t="shared" si="215"/>
        <v>153.12002041599996</v>
      </c>
      <c r="Z368" s="170">
        <f t="shared" si="216"/>
        <v>155</v>
      </c>
      <c r="AA368" s="407">
        <f t="shared" si="217"/>
        <v>0</v>
      </c>
      <c r="AB368" s="194"/>
    </row>
    <row r="369" spans="1:28" s="278" customFormat="1" x14ac:dyDescent="0.25">
      <c r="A369" s="200">
        <v>505289</v>
      </c>
      <c r="B369" s="313" t="s">
        <v>19171</v>
      </c>
      <c r="C369" s="248"/>
      <c r="D369" s="247" t="s">
        <v>7</v>
      </c>
      <c r="E369" s="249">
        <f t="shared" si="205"/>
        <v>30.434999999999999</v>
      </c>
      <c r="F369" s="170">
        <f t="shared" si="205"/>
        <v>31.068047999999997</v>
      </c>
      <c r="G369" s="250">
        <v>0.25</v>
      </c>
      <c r="H369" s="171">
        <f t="shared" si="206"/>
        <v>0.25</v>
      </c>
      <c r="I369" s="249">
        <f t="shared" si="207"/>
        <v>48.695999999999998</v>
      </c>
      <c r="J369" s="170">
        <f t="shared" si="207"/>
        <v>49.708876799999999</v>
      </c>
      <c r="K369" s="250">
        <v>0.4</v>
      </c>
      <c r="L369" s="172">
        <f t="shared" si="208"/>
        <v>0.4</v>
      </c>
      <c r="M369" s="249">
        <f t="shared" si="209"/>
        <v>36.521999999999998</v>
      </c>
      <c r="N369" s="170">
        <f t="shared" si="210"/>
        <v>37.281657599999996</v>
      </c>
      <c r="O369" s="250">
        <v>0.3</v>
      </c>
      <c r="P369" s="172">
        <f t="shared" si="211"/>
        <v>0.3</v>
      </c>
      <c r="Q369" s="251">
        <f t="shared" si="212"/>
        <v>6.0869999999999997</v>
      </c>
      <c r="R369" s="173">
        <f t="shared" si="213"/>
        <v>6.2136095999999998</v>
      </c>
      <c r="S369" s="250">
        <v>0.05</v>
      </c>
      <c r="T369" s="171">
        <f t="shared" si="214"/>
        <v>0.05</v>
      </c>
      <c r="U369" s="256">
        <v>121.74</v>
      </c>
      <c r="V369" s="170">
        <f t="shared" si="203"/>
        <v>124.27219199999999</v>
      </c>
      <c r="W369" s="258">
        <v>0.15</v>
      </c>
      <c r="X369" s="257">
        <f t="shared" si="204"/>
        <v>140.001</v>
      </c>
      <c r="Y369" s="170">
        <f t="shared" si="215"/>
        <v>142.91302079999997</v>
      </c>
      <c r="Z369" s="170">
        <f t="shared" si="216"/>
        <v>145</v>
      </c>
      <c r="AA369" s="407">
        <f t="shared" si="217"/>
        <v>0</v>
      </c>
      <c r="AB369" s="194"/>
    </row>
    <row r="370" spans="1:28" s="278" customFormat="1" x14ac:dyDescent="0.25">
      <c r="A370" s="200">
        <v>505290</v>
      </c>
      <c r="B370" s="313" t="s">
        <v>19172</v>
      </c>
      <c r="C370" s="248"/>
      <c r="D370" s="247" t="s">
        <v>7</v>
      </c>
      <c r="E370" s="249">
        <f t="shared" si="205"/>
        <v>31.956399999999999</v>
      </c>
      <c r="F370" s="170">
        <f t="shared" si="205"/>
        <v>32.629082220000001</v>
      </c>
      <c r="G370" s="250">
        <v>0.35</v>
      </c>
      <c r="H370" s="171">
        <f t="shared" si="206"/>
        <v>0.35</v>
      </c>
      <c r="I370" s="249">
        <f t="shared" si="207"/>
        <v>31.956399999999999</v>
      </c>
      <c r="J370" s="170">
        <f t="shared" si="207"/>
        <v>32.629082220000001</v>
      </c>
      <c r="K370" s="250">
        <v>0.35</v>
      </c>
      <c r="L370" s="172">
        <f t="shared" si="208"/>
        <v>0.35</v>
      </c>
      <c r="M370" s="249">
        <f t="shared" si="209"/>
        <v>22.826000000000001</v>
      </c>
      <c r="N370" s="170">
        <f t="shared" si="210"/>
        <v>23.306487300000001</v>
      </c>
      <c r="O370" s="250">
        <v>0.25</v>
      </c>
      <c r="P370" s="172">
        <f t="shared" si="211"/>
        <v>0.25</v>
      </c>
      <c r="Q370" s="251">
        <f t="shared" si="212"/>
        <v>4.5651999999999999</v>
      </c>
      <c r="R370" s="173">
        <f t="shared" si="213"/>
        <v>4.6612974600000001</v>
      </c>
      <c r="S370" s="250">
        <v>0.05</v>
      </c>
      <c r="T370" s="171">
        <f t="shared" si="214"/>
        <v>0.05</v>
      </c>
      <c r="U370" s="256">
        <v>91.304000000000002</v>
      </c>
      <c r="V370" s="170">
        <f t="shared" si="203"/>
        <v>93.225949200000002</v>
      </c>
      <c r="W370" s="258">
        <v>0.15</v>
      </c>
      <c r="X370" s="257">
        <f t="shared" si="204"/>
        <v>104.9996</v>
      </c>
      <c r="Y370" s="170">
        <f t="shared" si="215"/>
        <v>107.20984157999999</v>
      </c>
      <c r="Z370" s="170">
        <f t="shared" si="216"/>
        <v>110</v>
      </c>
      <c r="AA370" s="407">
        <f t="shared" si="217"/>
        <v>0</v>
      </c>
      <c r="AB370" s="194"/>
    </row>
    <row r="371" spans="1:28" s="278" customFormat="1" x14ac:dyDescent="0.25">
      <c r="A371" s="200">
        <v>508290</v>
      </c>
      <c r="B371" s="313" t="s">
        <v>19173</v>
      </c>
      <c r="C371" s="248"/>
      <c r="D371" s="247" t="s">
        <v>7</v>
      </c>
      <c r="E371" s="249">
        <f t="shared" si="205"/>
        <v>27.391000000000002</v>
      </c>
      <c r="F371" s="170">
        <f t="shared" si="205"/>
        <v>27.967580550000001</v>
      </c>
      <c r="G371" s="250">
        <v>0.35</v>
      </c>
      <c r="H371" s="171">
        <f t="shared" si="206"/>
        <v>0.35</v>
      </c>
      <c r="I371" s="249">
        <f t="shared" si="207"/>
        <v>27.391000000000002</v>
      </c>
      <c r="J371" s="170">
        <f t="shared" si="207"/>
        <v>27.967580550000001</v>
      </c>
      <c r="K371" s="252">
        <v>0.35</v>
      </c>
      <c r="L371" s="172">
        <f t="shared" si="208"/>
        <v>0.35</v>
      </c>
      <c r="M371" s="249">
        <f t="shared" si="209"/>
        <v>19.565000000000001</v>
      </c>
      <c r="N371" s="170">
        <f t="shared" si="210"/>
        <v>19.976843250000002</v>
      </c>
      <c r="O371" s="250">
        <v>0.25</v>
      </c>
      <c r="P371" s="172">
        <f t="shared" si="211"/>
        <v>0.25</v>
      </c>
      <c r="Q371" s="251">
        <f t="shared" si="212"/>
        <v>3.9130000000000003</v>
      </c>
      <c r="R371" s="173">
        <f t="shared" si="213"/>
        <v>3.9953686500000005</v>
      </c>
      <c r="S371" s="250">
        <v>0.05</v>
      </c>
      <c r="T371" s="171">
        <f t="shared" si="214"/>
        <v>0.05</v>
      </c>
      <c r="U371" s="256">
        <v>78.260000000000005</v>
      </c>
      <c r="V371" s="170">
        <f t="shared" si="203"/>
        <v>79.907373000000007</v>
      </c>
      <c r="W371" s="258">
        <v>0.15</v>
      </c>
      <c r="X371" s="257">
        <f t="shared" si="204"/>
        <v>89.999000000000009</v>
      </c>
      <c r="Y371" s="170">
        <f t="shared" si="215"/>
        <v>91.893478950000002</v>
      </c>
      <c r="Z371" s="170">
        <f t="shared" si="216"/>
        <v>92</v>
      </c>
      <c r="AA371" s="407">
        <f t="shared" si="217"/>
        <v>0</v>
      </c>
      <c r="AB371" s="194"/>
    </row>
    <row r="372" spans="1:28" s="278" customFormat="1" x14ac:dyDescent="0.25">
      <c r="A372" s="200">
        <v>505292</v>
      </c>
      <c r="B372" s="313" t="s">
        <v>19174</v>
      </c>
      <c r="C372" s="248"/>
      <c r="D372" s="247" t="s">
        <v>7</v>
      </c>
      <c r="E372" s="249">
        <f t="shared" si="205"/>
        <v>33.478269999999995</v>
      </c>
      <c r="F372" s="170">
        <f t="shared" si="205"/>
        <v>34.182987583499994</v>
      </c>
      <c r="G372" s="250">
        <v>0.35</v>
      </c>
      <c r="H372" s="171">
        <f t="shared" si="206"/>
        <v>0.35</v>
      </c>
      <c r="I372" s="249">
        <f t="shared" si="207"/>
        <v>33.478269999999995</v>
      </c>
      <c r="J372" s="170">
        <f t="shared" si="207"/>
        <v>34.182987583499994</v>
      </c>
      <c r="K372" s="252">
        <v>0.35</v>
      </c>
      <c r="L372" s="172">
        <f t="shared" si="208"/>
        <v>0.35</v>
      </c>
      <c r="M372" s="249">
        <f t="shared" si="209"/>
        <v>23.913049999999998</v>
      </c>
      <c r="N372" s="170">
        <f t="shared" si="210"/>
        <v>24.416419702499997</v>
      </c>
      <c r="O372" s="250">
        <v>0.25</v>
      </c>
      <c r="P372" s="172">
        <f t="shared" si="211"/>
        <v>0.25</v>
      </c>
      <c r="Q372" s="251">
        <f t="shared" si="212"/>
        <v>4.78261</v>
      </c>
      <c r="R372" s="173">
        <f t="shared" si="213"/>
        <v>4.8832839405000001</v>
      </c>
      <c r="S372" s="250">
        <v>0.05</v>
      </c>
      <c r="T372" s="171">
        <f t="shared" si="214"/>
        <v>0.05</v>
      </c>
      <c r="U372" s="256">
        <v>95.652199999999993</v>
      </c>
      <c r="V372" s="170">
        <f t="shared" si="203"/>
        <v>97.665678809999989</v>
      </c>
      <c r="W372" s="258">
        <v>0.15</v>
      </c>
      <c r="X372" s="257">
        <f t="shared" si="204"/>
        <v>110.00003</v>
      </c>
      <c r="Y372" s="170">
        <f t="shared" si="215"/>
        <v>112.31553063149998</v>
      </c>
      <c r="Z372" s="170">
        <f t="shared" si="216"/>
        <v>115</v>
      </c>
      <c r="AA372" s="407">
        <f t="shared" si="217"/>
        <v>0</v>
      </c>
      <c r="AB372" s="194"/>
    </row>
    <row r="373" spans="1:28" s="278" customFormat="1" x14ac:dyDescent="0.25">
      <c r="A373" s="200">
        <v>505292</v>
      </c>
      <c r="B373" s="313" t="s">
        <v>19175</v>
      </c>
      <c r="C373" s="248"/>
      <c r="D373" s="247" t="s">
        <v>7</v>
      </c>
      <c r="E373" s="249">
        <f t="shared" si="205"/>
        <v>30.434774999999998</v>
      </c>
      <c r="F373" s="170">
        <f t="shared" si="205"/>
        <v>31.075427013749998</v>
      </c>
      <c r="G373" s="250">
        <v>0.35</v>
      </c>
      <c r="H373" s="171">
        <f t="shared" si="206"/>
        <v>0.35</v>
      </c>
      <c r="I373" s="249">
        <f t="shared" si="207"/>
        <v>30.434774999999998</v>
      </c>
      <c r="J373" s="170">
        <f t="shared" si="207"/>
        <v>31.075427013749998</v>
      </c>
      <c r="K373" s="250">
        <v>0.35</v>
      </c>
      <c r="L373" s="172">
        <f t="shared" si="208"/>
        <v>0.35</v>
      </c>
      <c r="M373" s="249">
        <f t="shared" si="209"/>
        <v>21.739125000000001</v>
      </c>
      <c r="N373" s="170">
        <f t="shared" si="210"/>
        <v>22.196733581250001</v>
      </c>
      <c r="O373" s="250">
        <v>0.25</v>
      </c>
      <c r="P373" s="172">
        <f t="shared" si="211"/>
        <v>0.25</v>
      </c>
      <c r="Q373" s="251">
        <f t="shared" si="212"/>
        <v>4.3478250000000003</v>
      </c>
      <c r="R373" s="173">
        <f t="shared" si="213"/>
        <v>4.4393467162500002</v>
      </c>
      <c r="S373" s="250">
        <v>0.05</v>
      </c>
      <c r="T373" s="171">
        <f t="shared" si="214"/>
        <v>0.05</v>
      </c>
      <c r="U373" s="256">
        <v>86.956500000000005</v>
      </c>
      <c r="V373" s="170">
        <f t="shared" si="203"/>
        <v>88.786934325000004</v>
      </c>
      <c r="W373" s="258">
        <v>0.15</v>
      </c>
      <c r="X373" s="257">
        <f t="shared" si="204"/>
        <v>99.999975000000006</v>
      </c>
      <c r="Y373" s="170">
        <f t="shared" si="215"/>
        <v>102.10497447374999</v>
      </c>
      <c r="Z373" s="170">
        <f t="shared" si="216"/>
        <v>105</v>
      </c>
      <c r="AA373" s="407">
        <f t="shared" si="217"/>
        <v>0</v>
      </c>
      <c r="AB373" s="194"/>
    </row>
    <row r="374" spans="1:28" s="278" customFormat="1" x14ac:dyDescent="0.25">
      <c r="A374" s="200">
        <v>505293</v>
      </c>
      <c r="B374" s="313" t="s">
        <v>19176</v>
      </c>
      <c r="C374" s="248"/>
      <c r="D374" s="247" t="s">
        <v>7</v>
      </c>
      <c r="E374" s="249">
        <f t="shared" si="205"/>
        <v>35</v>
      </c>
      <c r="F374" s="170">
        <f t="shared" si="205"/>
        <v>35.736750000000001</v>
      </c>
      <c r="G374" s="250">
        <v>0.35</v>
      </c>
      <c r="H374" s="171">
        <f t="shared" si="206"/>
        <v>0.35</v>
      </c>
      <c r="I374" s="249">
        <f t="shared" si="207"/>
        <v>35</v>
      </c>
      <c r="J374" s="170">
        <f t="shared" si="207"/>
        <v>35.736750000000001</v>
      </c>
      <c r="K374" s="250">
        <v>0.35</v>
      </c>
      <c r="L374" s="172">
        <f t="shared" si="208"/>
        <v>0.35</v>
      </c>
      <c r="M374" s="249">
        <f t="shared" si="209"/>
        <v>25</v>
      </c>
      <c r="N374" s="170">
        <f t="shared" si="210"/>
        <v>25.526250000000001</v>
      </c>
      <c r="O374" s="250">
        <v>0.25</v>
      </c>
      <c r="P374" s="172">
        <f t="shared" si="211"/>
        <v>0.25</v>
      </c>
      <c r="Q374" s="251">
        <f t="shared" si="212"/>
        <v>5</v>
      </c>
      <c r="R374" s="173">
        <f t="shared" si="213"/>
        <v>5.1052500000000007</v>
      </c>
      <c r="S374" s="250">
        <v>0.05</v>
      </c>
      <c r="T374" s="171">
        <f t="shared" si="214"/>
        <v>0.05</v>
      </c>
      <c r="U374" s="256">
        <v>100</v>
      </c>
      <c r="V374" s="170">
        <f t="shared" si="203"/>
        <v>102.105</v>
      </c>
      <c r="W374" s="258">
        <v>0.15</v>
      </c>
      <c r="X374" s="257">
        <f t="shared" si="204"/>
        <v>115</v>
      </c>
      <c r="Y374" s="170">
        <f t="shared" si="215"/>
        <v>117.42075</v>
      </c>
      <c r="Z374" s="170">
        <f t="shared" si="216"/>
        <v>120</v>
      </c>
      <c r="AA374" s="407">
        <f t="shared" si="217"/>
        <v>0</v>
      </c>
      <c r="AB374" s="194"/>
    </row>
    <row r="375" spans="1:28" s="278" customFormat="1" x14ac:dyDescent="0.25">
      <c r="A375" s="200">
        <v>505293</v>
      </c>
      <c r="B375" s="313" t="s">
        <v>19177</v>
      </c>
      <c r="C375" s="248"/>
      <c r="D375" s="247" t="s">
        <v>7</v>
      </c>
      <c r="E375" s="249">
        <f t="shared" si="205"/>
        <v>31.954999999999998</v>
      </c>
      <c r="F375" s="170">
        <f t="shared" si="205"/>
        <v>32.627652749999996</v>
      </c>
      <c r="G375" s="250">
        <v>0.35</v>
      </c>
      <c r="H375" s="171">
        <f t="shared" si="206"/>
        <v>0.35</v>
      </c>
      <c r="I375" s="249">
        <f t="shared" si="207"/>
        <v>31.954999999999998</v>
      </c>
      <c r="J375" s="170">
        <f t="shared" si="207"/>
        <v>32.627652749999996</v>
      </c>
      <c r="K375" s="250">
        <v>0.35</v>
      </c>
      <c r="L375" s="172">
        <f t="shared" si="208"/>
        <v>0.35</v>
      </c>
      <c r="M375" s="249">
        <f t="shared" si="209"/>
        <v>22.824999999999999</v>
      </c>
      <c r="N375" s="170">
        <f t="shared" si="210"/>
        <v>23.305466249999998</v>
      </c>
      <c r="O375" s="250">
        <v>0.25</v>
      </c>
      <c r="P375" s="172">
        <f t="shared" si="211"/>
        <v>0.25</v>
      </c>
      <c r="Q375" s="251">
        <f t="shared" si="212"/>
        <v>4.5650000000000004</v>
      </c>
      <c r="R375" s="173">
        <f t="shared" si="213"/>
        <v>4.6610932499999995</v>
      </c>
      <c r="S375" s="250">
        <v>0.05</v>
      </c>
      <c r="T375" s="171">
        <f t="shared" si="214"/>
        <v>0.05</v>
      </c>
      <c r="U375" s="256">
        <v>91.3</v>
      </c>
      <c r="V375" s="170">
        <f t="shared" si="203"/>
        <v>93.221864999999994</v>
      </c>
      <c r="W375" s="258">
        <v>0.15</v>
      </c>
      <c r="X375" s="257">
        <f t="shared" si="204"/>
        <v>104.99499999999999</v>
      </c>
      <c r="Y375" s="170">
        <f t="shared" si="215"/>
        <v>107.20514474999999</v>
      </c>
      <c r="Z375" s="170">
        <f t="shared" si="216"/>
        <v>110</v>
      </c>
      <c r="AA375" s="407">
        <f t="shared" si="217"/>
        <v>0</v>
      </c>
      <c r="AB375" s="194"/>
    </row>
    <row r="376" spans="1:28" s="278" customFormat="1" x14ac:dyDescent="0.25">
      <c r="A376" s="200">
        <v>505295</v>
      </c>
      <c r="B376" s="313" t="s">
        <v>19178</v>
      </c>
      <c r="C376" s="248"/>
      <c r="D376" s="247" t="s">
        <v>7</v>
      </c>
      <c r="E376" s="249">
        <f t="shared" si="205"/>
        <v>36.521729999999998</v>
      </c>
      <c r="F376" s="170">
        <f t="shared" si="205"/>
        <v>37.2905124165</v>
      </c>
      <c r="G376" s="250">
        <v>0.35</v>
      </c>
      <c r="H376" s="171">
        <f t="shared" si="206"/>
        <v>0.35</v>
      </c>
      <c r="I376" s="249">
        <f t="shared" si="207"/>
        <v>36.521729999999998</v>
      </c>
      <c r="J376" s="170">
        <f t="shared" si="207"/>
        <v>37.2905124165</v>
      </c>
      <c r="K376" s="250">
        <v>0.35</v>
      </c>
      <c r="L376" s="172">
        <f t="shared" si="208"/>
        <v>0.35</v>
      </c>
      <c r="M376" s="249">
        <f t="shared" si="209"/>
        <v>26.086950000000002</v>
      </c>
      <c r="N376" s="170">
        <f t="shared" si="210"/>
        <v>26.636080297500001</v>
      </c>
      <c r="O376" s="250">
        <v>0.25</v>
      </c>
      <c r="P376" s="172">
        <f t="shared" si="211"/>
        <v>0.25</v>
      </c>
      <c r="Q376" s="251">
        <f t="shared" si="212"/>
        <v>5.2173900000000009</v>
      </c>
      <c r="R376" s="173">
        <f t="shared" si="213"/>
        <v>5.3272160595000004</v>
      </c>
      <c r="S376" s="250">
        <v>0.05</v>
      </c>
      <c r="T376" s="171">
        <f t="shared" si="214"/>
        <v>0.05</v>
      </c>
      <c r="U376" s="256">
        <v>104.34780000000001</v>
      </c>
      <c r="V376" s="170">
        <f t="shared" si="203"/>
        <v>106.54432119000001</v>
      </c>
      <c r="W376" s="258">
        <v>0.15</v>
      </c>
      <c r="X376" s="257">
        <f t="shared" si="204"/>
        <v>119.99997</v>
      </c>
      <c r="Y376" s="170">
        <f t="shared" si="215"/>
        <v>122.5259693685</v>
      </c>
      <c r="Z376" s="170">
        <f t="shared" si="216"/>
        <v>125</v>
      </c>
      <c r="AA376" s="407">
        <f t="shared" si="217"/>
        <v>0</v>
      </c>
      <c r="AB376" s="194"/>
    </row>
    <row r="377" spans="1:28" s="278" customFormat="1" x14ac:dyDescent="0.25">
      <c r="A377" s="200">
        <v>505295</v>
      </c>
      <c r="B377" s="313" t="s">
        <v>19179</v>
      </c>
      <c r="C377" s="248"/>
      <c r="D377" s="247" t="s">
        <v>7</v>
      </c>
      <c r="E377" s="249">
        <f t="shared" si="205"/>
        <v>33.477499999999999</v>
      </c>
      <c r="F377" s="170">
        <f t="shared" si="205"/>
        <v>34.182201374999991</v>
      </c>
      <c r="G377" s="250">
        <v>0.35</v>
      </c>
      <c r="H377" s="171">
        <f t="shared" si="206"/>
        <v>0.35</v>
      </c>
      <c r="I377" s="249">
        <f t="shared" si="207"/>
        <v>33.477499999999999</v>
      </c>
      <c r="J377" s="170">
        <f t="shared" si="207"/>
        <v>34.182201374999991</v>
      </c>
      <c r="K377" s="250">
        <v>0.35</v>
      </c>
      <c r="L377" s="172">
        <f t="shared" si="208"/>
        <v>0.35</v>
      </c>
      <c r="M377" s="249">
        <f t="shared" si="209"/>
        <v>23.912500000000001</v>
      </c>
      <c r="N377" s="170">
        <f t="shared" si="210"/>
        <v>24.415858124999996</v>
      </c>
      <c r="O377" s="250">
        <v>0.25</v>
      </c>
      <c r="P377" s="172">
        <f t="shared" si="211"/>
        <v>0.25</v>
      </c>
      <c r="Q377" s="251">
        <f t="shared" si="212"/>
        <v>4.7825000000000006</v>
      </c>
      <c r="R377" s="173">
        <f t="shared" si="213"/>
        <v>4.8831716249999992</v>
      </c>
      <c r="S377" s="250">
        <v>0.05</v>
      </c>
      <c r="T377" s="171">
        <f t="shared" si="214"/>
        <v>0.05</v>
      </c>
      <c r="U377" s="256">
        <v>95.65</v>
      </c>
      <c r="V377" s="170">
        <f t="shared" si="203"/>
        <v>97.663432499999985</v>
      </c>
      <c r="W377" s="258">
        <v>0.15</v>
      </c>
      <c r="X377" s="257">
        <f t="shared" si="204"/>
        <v>109.9975</v>
      </c>
      <c r="Y377" s="170">
        <f t="shared" si="215"/>
        <v>112.31294737499998</v>
      </c>
      <c r="Z377" s="170">
        <f t="shared" si="216"/>
        <v>115</v>
      </c>
      <c r="AA377" s="407">
        <f t="shared" si="217"/>
        <v>0</v>
      </c>
      <c r="AB377" s="194"/>
    </row>
    <row r="378" spans="1:28" s="278" customFormat="1" x14ac:dyDescent="0.25">
      <c r="A378" s="200">
        <v>505297</v>
      </c>
      <c r="B378" s="313" t="s">
        <v>19180</v>
      </c>
      <c r="C378" s="248"/>
      <c r="D378" s="247" t="s">
        <v>7</v>
      </c>
      <c r="E378" s="249">
        <f t="shared" si="205"/>
        <v>38.043495</v>
      </c>
      <c r="F378" s="170">
        <f t="shared" si="205"/>
        <v>38.84431056975</v>
      </c>
      <c r="G378" s="250">
        <v>0.35</v>
      </c>
      <c r="H378" s="171">
        <f t="shared" si="206"/>
        <v>0.35</v>
      </c>
      <c r="I378" s="249">
        <f t="shared" si="207"/>
        <v>38.043495</v>
      </c>
      <c r="J378" s="170">
        <f t="shared" si="207"/>
        <v>38.84431056975</v>
      </c>
      <c r="K378" s="250">
        <v>0.35</v>
      </c>
      <c r="L378" s="172">
        <f t="shared" si="208"/>
        <v>0.35</v>
      </c>
      <c r="M378" s="249">
        <f t="shared" si="209"/>
        <v>27.173925000000001</v>
      </c>
      <c r="N378" s="170">
        <f t="shared" si="210"/>
        <v>27.745936121250001</v>
      </c>
      <c r="O378" s="250">
        <v>0.25</v>
      </c>
      <c r="P378" s="172">
        <f t="shared" si="211"/>
        <v>0.25</v>
      </c>
      <c r="Q378" s="251">
        <f t="shared" si="212"/>
        <v>5.4347850000000006</v>
      </c>
      <c r="R378" s="173">
        <f t="shared" si="213"/>
        <v>5.5491872242500007</v>
      </c>
      <c r="S378" s="250">
        <v>0.05</v>
      </c>
      <c r="T378" s="171">
        <f t="shared" si="214"/>
        <v>0.05</v>
      </c>
      <c r="U378" s="256">
        <v>108.6957</v>
      </c>
      <c r="V378" s="170">
        <f t="shared" si="203"/>
        <v>110.983744485</v>
      </c>
      <c r="W378" s="258">
        <v>0.15</v>
      </c>
      <c r="X378" s="257">
        <f t="shared" si="204"/>
        <v>125.000055</v>
      </c>
      <c r="Y378" s="170">
        <f t="shared" si="215"/>
        <v>127.63130615774999</v>
      </c>
      <c r="Z378" s="170">
        <f t="shared" si="216"/>
        <v>130</v>
      </c>
      <c r="AA378" s="407">
        <f t="shared" si="217"/>
        <v>0</v>
      </c>
      <c r="AB378" s="194"/>
    </row>
    <row r="379" spans="1:28" s="278" customFormat="1" x14ac:dyDescent="0.25">
      <c r="A379" s="200">
        <v>505297</v>
      </c>
      <c r="B379" s="313" t="s">
        <v>19181</v>
      </c>
      <c r="C379" s="248"/>
      <c r="D379" s="247" t="s">
        <v>7</v>
      </c>
      <c r="E379" s="249">
        <f t="shared" si="205"/>
        <v>35</v>
      </c>
      <c r="F379" s="170">
        <f t="shared" si="205"/>
        <v>35.736750000000001</v>
      </c>
      <c r="G379" s="250">
        <v>0.35</v>
      </c>
      <c r="H379" s="171">
        <f t="shared" si="206"/>
        <v>0.35</v>
      </c>
      <c r="I379" s="249">
        <f t="shared" si="207"/>
        <v>35</v>
      </c>
      <c r="J379" s="170">
        <f t="shared" si="207"/>
        <v>35.736750000000001</v>
      </c>
      <c r="K379" s="250">
        <v>0.35</v>
      </c>
      <c r="L379" s="172">
        <f t="shared" si="208"/>
        <v>0.35</v>
      </c>
      <c r="M379" s="249">
        <f t="shared" si="209"/>
        <v>25</v>
      </c>
      <c r="N379" s="170">
        <f t="shared" si="210"/>
        <v>25.526250000000001</v>
      </c>
      <c r="O379" s="250">
        <v>0.25</v>
      </c>
      <c r="P379" s="172">
        <f t="shared" si="211"/>
        <v>0.25</v>
      </c>
      <c r="Q379" s="251">
        <f t="shared" si="212"/>
        <v>5</v>
      </c>
      <c r="R379" s="173">
        <f t="shared" si="213"/>
        <v>5.1052500000000007</v>
      </c>
      <c r="S379" s="250">
        <v>0.05</v>
      </c>
      <c r="T379" s="171">
        <f t="shared" si="214"/>
        <v>0.05</v>
      </c>
      <c r="U379" s="256">
        <v>100</v>
      </c>
      <c r="V379" s="170">
        <f t="shared" si="203"/>
        <v>102.105</v>
      </c>
      <c r="W379" s="258">
        <v>0.15</v>
      </c>
      <c r="X379" s="257">
        <f t="shared" si="204"/>
        <v>115</v>
      </c>
      <c r="Y379" s="170">
        <f t="shared" si="215"/>
        <v>117.42075</v>
      </c>
      <c r="Z379" s="170">
        <f t="shared" si="216"/>
        <v>120</v>
      </c>
      <c r="AA379" s="407">
        <f t="shared" si="217"/>
        <v>0</v>
      </c>
      <c r="AB379" s="194"/>
    </row>
    <row r="380" spans="1:28" s="278" customFormat="1" x14ac:dyDescent="0.25">
      <c r="A380" s="200">
        <v>505299</v>
      </c>
      <c r="B380" s="313" t="s">
        <v>19182</v>
      </c>
      <c r="C380" s="248"/>
      <c r="D380" s="247" t="s">
        <v>7</v>
      </c>
      <c r="E380" s="249">
        <f t="shared" si="205"/>
        <v>39.565049999999999</v>
      </c>
      <c r="F380" s="170">
        <f t="shared" si="205"/>
        <v>40.397894302499999</v>
      </c>
      <c r="G380" s="250">
        <v>0.35</v>
      </c>
      <c r="H380" s="171">
        <f t="shared" si="206"/>
        <v>0.35</v>
      </c>
      <c r="I380" s="249">
        <f t="shared" si="207"/>
        <v>39.565049999999999</v>
      </c>
      <c r="J380" s="170">
        <f t="shared" si="207"/>
        <v>40.397894302499999</v>
      </c>
      <c r="K380" s="250">
        <v>0.35</v>
      </c>
      <c r="L380" s="172">
        <f t="shared" si="208"/>
        <v>0.35</v>
      </c>
      <c r="M380" s="249">
        <f t="shared" si="209"/>
        <v>28.260750000000002</v>
      </c>
      <c r="N380" s="170">
        <f t="shared" si="210"/>
        <v>28.855638787500002</v>
      </c>
      <c r="O380" s="250">
        <v>0.25</v>
      </c>
      <c r="P380" s="172">
        <f t="shared" si="211"/>
        <v>0.25</v>
      </c>
      <c r="Q380" s="251">
        <f t="shared" si="212"/>
        <v>5.6521500000000007</v>
      </c>
      <c r="R380" s="173">
        <f t="shared" si="213"/>
        <v>5.7711277575000004</v>
      </c>
      <c r="S380" s="250">
        <v>0.05</v>
      </c>
      <c r="T380" s="171">
        <f t="shared" si="214"/>
        <v>0.05</v>
      </c>
      <c r="U380" s="256">
        <v>113.04300000000001</v>
      </c>
      <c r="V380" s="170">
        <f t="shared" si="203"/>
        <v>115.42255515000001</v>
      </c>
      <c r="W380" s="258">
        <v>0.15</v>
      </c>
      <c r="X380" s="257">
        <f t="shared" si="204"/>
        <v>129.99945</v>
      </c>
      <c r="Y380" s="170">
        <f t="shared" si="215"/>
        <v>132.7359384225</v>
      </c>
      <c r="Z380" s="170">
        <f t="shared" si="216"/>
        <v>135</v>
      </c>
      <c r="AA380" s="407">
        <f t="shared" si="217"/>
        <v>0</v>
      </c>
      <c r="AB380" s="194"/>
    </row>
    <row r="381" spans="1:28" s="278" customFormat="1" x14ac:dyDescent="0.25">
      <c r="A381" s="200">
        <v>505299</v>
      </c>
      <c r="B381" s="313" t="s">
        <v>19183</v>
      </c>
      <c r="C381" s="248"/>
      <c r="D381" s="247" t="s">
        <v>7</v>
      </c>
      <c r="E381" s="249">
        <f t="shared" si="205"/>
        <v>36.522499999999994</v>
      </c>
      <c r="F381" s="170">
        <f t="shared" si="205"/>
        <v>37.291298624999989</v>
      </c>
      <c r="G381" s="250">
        <v>0.35</v>
      </c>
      <c r="H381" s="171">
        <f t="shared" si="206"/>
        <v>0.35</v>
      </c>
      <c r="I381" s="249">
        <f t="shared" si="207"/>
        <v>36.522499999999994</v>
      </c>
      <c r="J381" s="170">
        <f t="shared" si="207"/>
        <v>37.291298624999989</v>
      </c>
      <c r="K381" s="250">
        <v>0.35</v>
      </c>
      <c r="L381" s="172">
        <f t="shared" si="208"/>
        <v>0.35</v>
      </c>
      <c r="M381" s="249">
        <f t="shared" si="209"/>
        <v>26.087499999999999</v>
      </c>
      <c r="N381" s="170">
        <f t="shared" si="210"/>
        <v>26.636641874999995</v>
      </c>
      <c r="O381" s="250">
        <v>0.25</v>
      </c>
      <c r="P381" s="172">
        <f t="shared" si="211"/>
        <v>0.25</v>
      </c>
      <c r="Q381" s="251">
        <f t="shared" si="212"/>
        <v>5.2175000000000002</v>
      </c>
      <c r="R381" s="173">
        <f t="shared" si="213"/>
        <v>5.3273283749999996</v>
      </c>
      <c r="S381" s="250">
        <v>0.05</v>
      </c>
      <c r="T381" s="171">
        <f t="shared" si="214"/>
        <v>0.05</v>
      </c>
      <c r="U381" s="256">
        <v>104.35</v>
      </c>
      <c r="V381" s="170">
        <f t="shared" si="203"/>
        <v>106.54656749999998</v>
      </c>
      <c r="W381" s="258">
        <v>0.15</v>
      </c>
      <c r="X381" s="257">
        <f t="shared" si="204"/>
        <v>120.0025</v>
      </c>
      <c r="Y381" s="170">
        <f t="shared" si="215"/>
        <v>122.52855262499997</v>
      </c>
      <c r="Z381" s="170">
        <f t="shared" si="216"/>
        <v>125</v>
      </c>
      <c r="AA381" s="407">
        <f t="shared" si="217"/>
        <v>0</v>
      </c>
      <c r="AB381" s="194"/>
    </row>
    <row r="382" spans="1:28" s="278" customFormat="1" x14ac:dyDescent="0.25">
      <c r="A382" s="200">
        <v>505310</v>
      </c>
      <c r="B382" s="313" t="s">
        <v>19184</v>
      </c>
      <c r="C382" s="248"/>
      <c r="D382" s="247" t="s">
        <v>11</v>
      </c>
      <c r="E382" s="249">
        <f t="shared" si="205"/>
        <v>4.9997999999999996</v>
      </c>
      <c r="F382" s="170">
        <f t="shared" si="205"/>
        <v>5.1052957800000005</v>
      </c>
      <c r="G382" s="250">
        <v>0.6</v>
      </c>
      <c r="H382" s="171">
        <f t="shared" si="206"/>
        <v>0.6</v>
      </c>
      <c r="I382" s="249">
        <f t="shared" si="207"/>
        <v>3.3332000000000002</v>
      </c>
      <c r="J382" s="170">
        <f t="shared" si="207"/>
        <v>3.4035305200000003</v>
      </c>
      <c r="K382" s="250">
        <v>0.4</v>
      </c>
      <c r="L382" s="172">
        <f t="shared" si="208"/>
        <v>0.4</v>
      </c>
      <c r="M382" s="249">
        <f t="shared" si="209"/>
        <v>0</v>
      </c>
      <c r="N382" s="170">
        <f t="shared" si="210"/>
        <v>0</v>
      </c>
      <c r="O382" s="252"/>
      <c r="P382" s="172">
        <f t="shared" si="211"/>
        <v>0</v>
      </c>
      <c r="Q382" s="251">
        <f t="shared" si="212"/>
        <v>0</v>
      </c>
      <c r="R382" s="173">
        <f t="shared" si="213"/>
        <v>0</v>
      </c>
      <c r="S382" s="252"/>
      <c r="T382" s="171">
        <f t="shared" si="214"/>
        <v>0</v>
      </c>
      <c r="U382" s="256">
        <v>8.3330000000000002</v>
      </c>
      <c r="V382" s="170">
        <f t="shared" si="203"/>
        <v>8.5088263000000008</v>
      </c>
      <c r="W382" s="258">
        <v>0.2</v>
      </c>
      <c r="X382" s="257">
        <f t="shared" si="204"/>
        <v>9.9996000000000009</v>
      </c>
      <c r="Y382" s="170">
        <f t="shared" si="215"/>
        <v>10.210591560000001</v>
      </c>
      <c r="Z382" s="170">
        <f t="shared" si="216"/>
        <v>11</v>
      </c>
      <c r="AA382" s="407">
        <f t="shared" si="217"/>
        <v>0</v>
      </c>
      <c r="AB382" s="194"/>
    </row>
    <row r="383" spans="1:28" s="278" customFormat="1" x14ac:dyDescent="0.25">
      <c r="A383" s="200">
        <v>505310</v>
      </c>
      <c r="B383" s="313" t="s">
        <v>19185</v>
      </c>
      <c r="C383" s="248"/>
      <c r="D383" s="247" t="s">
        <v>11</v>
      </c>
      <c r="E383" s="249">
        <f t="shared" si="205"/>
        <v>2.5000019999999998</v>
      </c>
      <c r="F383" s="170">
        <f t="shared" si="205"/>
        <v>2.5527520422000003</v>
      </c>
      <c r="G383" s="250">
        <v>0.6</v>
      </c>
      <c r="H383" s="171">
        <f t="shared" si="206"/>
        <v>0.6</v>
      </c>
      <c r="I383" s="249">
        <f t="shared" si="207"/>
        <v>1.666668</v>
      </c>
      <c r="J383" s="170">
        <f t="shared" si="207"/>
        <v>1.7018346948000003</v>
      </c>
      <c r="K383" s="250">
        <v>0.4</v>
      </c>
      <c r="L383" s="172">
        <f t="shared" si="208"/>
        <v>0.4</v>
      </c>
      <c r="M383" s="249">
        <f t="shared" si="209"/>
        <v>0</v>
      </c>
      <c r="N383" s="170">
        <f t="shared" si="210"/>
        <v>0</v>
      </c>
      <c r="O383" s="252"/>
      <c r="P383" s="172">
        <f t="shared" si="211"/>
        <v>0</v>
      </c>
      <c r="Q383" s="251">
        <f t="shared" si="212"/>
        <v>0</v>
      </c>
      <c r="R383" s="173">
        <f t="shared" si="213"/>
        <v>0</v>
      </c>
      <c r="S383" s="252"/>
      <c r="T383" s="171">
        <f t="shared" si="214"/>
        <v>0</v>
      </c>
      <c r="U383" s="256">
        <v>4.1666699999999999</v>
      </c>
      <c r="V383" s="170">
        <f t="shared" si="203"/>
        <v>4.2545867370000003</v>
      </c>
      <c r="W383" s="258">
        <v>0.2</v>
      </c>
      <c r="X383" s="257">
        <f t="shared" si="204"/>
        <v>5.0000039999999997</v>
      </c>
      <c r="Y383" s="170">
        <f t="shared" si="215"/>
        <v>5.1055040844000006</v>
      </c>
      <c r="Z383" s="170">
        <f t="shared" si="216"/>
        <v>6</v>
      </c>
      <c r="AA383" s="407">
        <f t="shared" si="217"/>
        <v>0</v>
      </c>
      <c r="AB383" s="194"/>
    </row>
    <row r="384" spans="1:28" s="278" customFormat="1" x14ac:dyDescent="0.25">
      <c r="A384" s="200">
        <v>505315</v>
      </c>
      <c r="B384" s="313" t="s">
        <v>19186</v>
      </c>
      <c r="C384" s="248"/>
      <c r="D384" s="247" t="s">
        <v>11</v>
      </c>
      <c r="E384" s="249">
        <f t="shared" si="205"/>
        <v>2.085</v>
      </c>
      <c r="F384" s="170">
        <f t="shared" si="205"/>
        <v>2.1299317499999999</v>
      </c>
      <c r="G384" s="250">
        <v>0.5</v>
      </c>
      <c r="H384" s="171">
        <f t="shared" si="206"/>
        <v>0.5</v>
      </c>
      <c r="I384" s="249">
        <f t="shared" si="207"/>
        <v>1.4594999999999998</v>
      </c>
      <c r="J384" s="170">
        <f t="shared" si="207"/>
        <v>1.4909522249999998</v>
      </c>
      <c r="K384" s="250">
        <v>0.35</v>
      </c>
      <c r="L384" s="172">
        <f t="shared" si="208"/>
        <v>0.35</v>
      </c>
      <c r="M384" s="249">
        <f t="shared" si="209"/>
        <v>0.62549999999999994</v>
      </c>
      <c r="N384" s="170">
        <f t="shared" si="210"/>
        <v>0.63897952499999999</v>
      </c>
      <c r="O384" s="250">
        <v>0.15</v>
      </c>
      <c r="P384" s="172">
        <f t="shared" si="211"/>
        <v>0.15</v>
      </c>
      <c r="Q384" s="251">
        <f t="shared" si="212"/>
        <v>0</v>
      </c>
      <c r="R384" s="173">
        <f t="shared" si="213"/>
        <v>0</v>
      </c>
      <c r="S384" s="252"/>
      <c r="T384" s="171">
        <f t="shared" si="214"/>
        <v>0</v>
      </c>
      <c r="U384" s="256">
        <v>4.17</v>
      </c>
      <c r="V384" s="170">
        <f t="shared" si="203"/>
        <v>4.2598634999999998</v>
      </c>
      <c r="W384" s="258">
        <v>0.2</v>
      </c>
      <c r="X384" s="257">
        <f t="shared" si="204"/>
        <v>5.0039999999999996</v>
      </c>
      <c r="Y384" s="170">
        <f t="shared" si="215"/>
        <v>5.1118361999999999</v>
      </c>
      <c r="Z384" s="170">
        <f t="shared" si="216"/>
        <v>6</v>
      </c>
      <c r="AA384" s="407">
        <f t="shared" si="217"/>
        <v>0</v>
      </c>
      <c r="AB384" s="194"/>
    </row>
    <row r="385" spans="1:28" s="278" customFormat="1" x14ac:dyDescent="0.25">
      <c r="A385" s="200">
        <v>505315</v>
      </c>
      <c r="B385" s="313" t="s">
        <v>19187</v>
      </c>
      <c r="C385" s="248"/>
      <c r="D385" s="247" t="s">
        <v>11</v>
      </c>
      <c r="E385" s="249">
        <f t="shared" si="205"/>
        <v>1.25</v>
      </c>
      <c r="F385" s="170">
        <f t="shared" si="205"/>
        <v>1.2769375000000001</v>
      </c>
      <c r="G385" s="250">
        <v>0.5</v>
      </c>
      <c r="H385" s="171">
        <f t="shared" si="206"/>
        <v>0.5</v>
      </c>
      <c r="I385" s="249">
        <f t="shared" si="207"/>
        <v>0.875</v>
      </c>
      <c r="J385" s="170">
        <f t="shared" si="207"/>
        <v>0.89385625000000002</v>
      </c>
      <c r="K385" s="250">
        <v>0.35</v>
      </c>
      <c r="L385" s="172">
        <f t="shared" si="208"/>
        <v>0.35</v>
      </c>
      <c r="M385" s="249">
        <f t="shared" si="209"/>
        <v>0.375</v>
      </c>
      <c r="N385" s="170">
        <f t="shared" si="210"/>
        <v>0.38308124999999998</v>
      </c>
      <c r="O385" s="250">
        <v>0.15</v>
      </c>
      <c r="P385" s="172">
        <f t="shared" si="211"/>
        <v>0.15</v>
      </c>
      <c r="Q385" s="251">
        <f t="shared" si="212"/>
        <v>0</v>
      </c>
      <c r="R385" s="173">
        <f t="shared" si="213"/>
        <v>0</v>
      </c>
      <c r="S385" s="252"/>
      <c r="T385" s="171">
        <f t="shared" si="214"/>
        <v>0</v>
      </c>
      <c r="U385" s="256">
        <v>2.5</v>
      </c>
      <c r="V385" s="170">
        <f t="shared" si="203"/>
        <v>2.5538750000000001</v>
      </c>
      <c r="W385" s="258">
        <v>0.2</v>
      </c>
      <c r="X385" s="257">
        <f t="shared" si="204"/>
        <v>3</v>
      </c>
      <c r="Y385" s="170">
        <f t="shared" si="215"/>
        <v>3.0646499999999999</v>
      </c>
      <c r="Z385" s="170">
        <f t="shared" si="216"/>
        <v>4</v>
      </c>
      <c r="AA385" s="407">
        <f t="shared" si="217"/>
        <v>0</v>
      </c>
      <c r="AB385" s="194"/>
    </row>
    <row r="386" spans="1:28" s="278" customFormat="1" ht="21" x14ac:dyDescent="0.25">
      <c r="A386" s="200">
        <v>505330</v>
      </c>
      <c r="B386" s="255" t="s">
        <v>19188</v>
      </c>
      <c r="C386" s="248"/>
      <c r="D386" s="247" t="s">
        <v>7</v>
      </c>
      <c r="E386" s="249">
        <f t="shared" si="205"/>
        <v>9.1304499999999997</v>
      </c>
      <c r="F386" s="170">
        <f t="shared" si="205"/>
        <v>9.3262981524999997</v>
      </c>
      <c r="G386" s="250">
        <v>0.35</v>
      </c>
      <c r="H386" s="171">
        <f t="shared" si="206"/>
        <v>0.35</v>
      </c>
      <c r="I386" s="249">
        <f t="shared" si="207"/>
        <v>5.2174000000000005</v>
      </c>
      <c r="J386" s="170">
        <f t="shared" si="207"/>
        <v>5.3293132300000003</v>
      </c>
      <c r="K386" s="250">
        <v>0.2</v>
      </c>
      <c r="L386" s="172">
        <f t="shared" si="208"/>
        <v>0.2</v>
      </c>
      <c r="M386" s="249">
        <f t="shared" si="209"/>
        <v>9.1304499999999997</v>
      </c>
      <c r="N386" s="170">
        <f t="shared" si="210"/>
        <v>9.3262981524999997</v>
      </c>
      <c r="O386" s="250">
        <v>0.35</v>
      </c>
      <c r="P386" s="172">
        <f t="shared" si="211"/>
        <v>0.35</v>
      </c>
      <c r="Q386" s="251">
        <f t="shared" si="212"/>
        <v>2.6087000000000002</v>
      </c>
      <c r="R386" s="173">
        <f t="shared" si="213"/>
        <v>2.6646566150000002</v>
      </c>
      <c r="S386" s="250">
        <v>0.1</v>
      </c>
      <c r="T386" s="171">
        <f t="shared" si="214"/>
        <v>0.1</v>
      </c>
      <c r="U386" s="256">
        <v>26.087</v>
      </c>
      <c r="V386" s="170">
        <f t="shared" si="203"/>
        <v>26.646566150000002</v>
      </c>
      <c r="W386" s="258">
        <v>0.15</v>
      </c>
      <c r="X386" s="257">
        <f t="shared" si="204"/>
        <v>30.000049999999998</v>
      </c>
      <c r="Y386" s="170">
        <f t="shared" si="215"/>
        <v>30.643551072499999</v>
      </c>
      <c r="Z386" s="170">
        <f t="shared" si="216"/>
        <v>31</v>
      </c>
      <c r="AA386" s="407">
        <f t="shared" si="217"/>
        <v>0</v>
      </c>
      <c r="AB386" s="194"/>
    </row>
    <row r="387" spans="1:28" s="278" customFormat="1" ht="21" x14ac:dyDescent="0.25">
      <c r="A387" s="200">
        <v>505330</v>
      </c>
      <c r="B387" s="255" t="s">
        <v>19189</v>
      </c>
      <c r="C387" s="248"/>
      <c r="D387" s="247" t="s">
        <v>7</v>
      </c>
      <c r="E387" s="249">
        <f t="shared" si="205"/>
        <v>6.0865</v>
      </c>
      <c r="F387" s="170">
        <f t="shared" si="205"/>
        <v>6.2170554249999999</v>
      </c>
      <c r="G387" s="250">
        <v>0.35</v>
      </c>
      <c r="H387" s="171">
        <f t="shared" si="206"/>
        <v>0.35</v>
      </c>
      <c r="I387" s="249">
        <f t="shared" si="207"/>
        <v>3.4780000000000002</v>
      </c>
      <c r="J387" s="170">
        <f t="shared" si="207"/>
        <v>3.5526031000000007</v>
      </c>
      <c r="K387" s="250">
        <v>0.2</v>
      </c>
      <c r="L387" s="172">
        <f t="shared" si="208"/>
        <v>0.2</v>
      </c>
      <c r="M387" s="249">
        <f t="shared" si="209"/>
        <v>6.0865</v>
      </c>
      <c r="N387" s="170">
        <f t="shared" si="210"/>
        <v>6.2170554249999999</v>
      </c>
      <c r="O387" s="250">
        <v>0.35</v>
      </c>
      <c r="P387" s="172">
        <f t="shared" si="211"/>
        <v>0.35</v>
      </c>
      <c r="Q387" s="251">
        <f t="shared" si="212"/>
        <v>1.7390000000000001</v>
      </c>
      <c r="R387" s="173">
        <f t="shared" si="213"/>
        <v>1.7763015500000003</v>
      </c>
      <c r="S387" s="250">
        <v>0.1</v>
      </c>
      <c r="T387" s="171">
        <f t="shared" si="214"/>
        <v>0.1</v>
      </c>
      <c r="U387" s="256">
        <v>17.39</v>
      </c>
      <c r="V387" s="170">
        <f t="shared" si="203"/>
        <v>17.763015500000002</v>
      </c>
      <c r="W387" s="258">
        <v>0.15</v>
      </c>
      <c r="X387" s="257">
        <f t="shared" si="204"/>
        <v>19.9985</v>
      </c>
      <c r="Y387" s="170">
        <f t="shared" si="215"/>
        <v>20.427467825000001</v>
      </c>
      <c r="Z387" s="170">
        <f t="shared" si="216"/>
        <v>21</v>
      </c>
      <c r="AA387" s="407">
        <f t="shared" si="217"/>
        <v>0</v>
      </c>
      <c r="AB387" s="194"/>
    </row>
    <row r="388" spans="1:28" s="278" customFormat="1" ht="21" x14ac:dyDescent="0.25">
      <c r="A388" s="200">
        <v>505335</v>
      </c>
      <c r="B388" s="255" t="s">
        <v>14619</v>
      </c>
      <c r="C388" s="248"/>
      <c r="D388" s="247" t="s">
        <v>7</v>
      </c>
      <c r="E388" s="249">
        <f t="shared" si="205"/>
        <v>13.125</v>
      </c>
      <c r="F388" s="170">
        <f t="shared" si="205"/>
        <v>13.405875</v>
      </c>
      <c r="G388" s="250">
        <v>0.35</v>
      </c>
      <c r="H388" s="171">
        <f>G388</f>
        <v>0.35</v>
      </c>
      <c r="I388" s="249">
        <f t="shared" si="207"/>
        <v>11.25</v>
      </c>
      <c r="J388" s="170">
        <f t="shared" si="207"/>
        <v>11.49075</v>
      </c>
      <c r="K388" s="250">
        <v>0.3</v>
      </c>
      <c r="L388" s="172">
        <f>K388</f>
        <v>0.3</v>
      </c>
      <c r="M388" s="249">
        <f t="shared" si="209"/>
        <v>11.25</v>
      </c>
      <c r="N388" s="170">
        <f t="shared" si="210"/>
        <v>11.49075</v>
      </c>
      <c r="O388" s="250">
        <v>0.3</v>
      </c>
      <c r="P388" s="172">
        <f>O388</f>
        <v>0.3</v>
      </c>
      <c r="Q388" s="251">
        <f t="shared" si="212"/>
        <v>1.875</v>
      </c>
      <c r="R388" s="173">
        <f t="shared" si="213"/>
        <v>1.9151250000000002</v>
      </c>
      <c r="S388" s="250">
        <v>0.05</v>
      </c>
      <c r="T388" s="171">
        <f>S388</f>
        <v>0.05</v>
      </c>
      <c r="U388" s="256">
        <v>37.5</v>
      </c>
      <c r="V388" s="170">
        <f t="shared" si="203"/>
        <v>38.302500000000002</v>
      </c>
      <c r="W388" s="258">
        <v>0.2</v>
      </c>
      <c r="X388" s="257">
        <f t="shared" si="204"/>
        <v>45</v>
      </c>
      <c r="Y388" s="170">
        <f>IF(V388*(W388+1)=0,X388,V388*(W388+1))</f>
        <v>45.963000000000001</v>
      </c>
      <c r="Z388" s="170">
        <f>IF(Y388=0, 0, IF(Y388&lt;10, _xlfn.CEILING.MATH(Y388,1), IF(Y388&lt;100, _xlfn.CEILING.MATH(Y388,1),IF(Y388&lt;1000, _xlfn.CEILING.MATH(Y388,5), IF(Y388&lt;10000, _xlfn.CEILING.MATH(Y388, 25), IF(Y388&lt;100000, _xlfn.CEILING.MATH(Y388,250), IF(Y388&lt;1000000, _xlfn.CEILING.MATH(Y388,500), 0)))))))</f>
        <v>46</v>
      </c>
      <c r="AA388" s="407">
        <f>C388*Z388</f>
        <v>0</v>
      </c>
      <c r="AB388" s="194"/>
    </row>
    <row r="389" spans="1:28" s="278" customFormat="1" ht="21" x14ac:dyDescent="0.25">
      <c r="A389" s="200">
        <v>505335</v>
      </c>
      <c r="B389" s="255" t="s">
        <v>14620</v>
      </c>
      <c r="C389" s="248"/>
      <c r="D389" s="247" t="s">
        <v>7</v>
      </c>
      <c r="E389" s="249">
        <f t="shared" si="205"/>
        <v>7.2915499999999991</v>
      </c>
      <c r="F389" s="170">
        <f t="shared" si="205"/>
        <v>7.4475891699999988</v>
      </c>
      <c r="G389" s="250">
        <v>0.35</v>
      </c>
      <c r="H389" s="171">
        <f>G389</f>
        <v>0.35</v>
      </c>
      <c r="I389" s="249">
        <f t="shared" si="207"/>
        <v>6.2498999999999993</v>
      </c>
      <c r="J389" s="170">
        <f t="shared" si="207"/>
        <v>6.3836478599999991</v>
      </c>
      <c r="K389" s="250">
        <v>0.3</v>
      </c>
      <c r="L389" s="172">
        <f>K389</f>
        <v>0.3</v>
      </c>
      <c r="M389" s="249">
        <f t="shared" si="209"/>
        <v>6.2498999999999993</v>
      </c>
      <c r="N389" s="170">
        <f t="shared" si="210"/>
        <v>6.3836478599999991</v>
      </c>
      <c r="O389" s="250">
        <v>0.3</v>
      </c>
      <c r="P389" s="172">
        <f>O389</f>
        <v>0.3</v>
      </c>
      <c r="Q389" s="251">
        <f t="shared" si="212"/>
        <v>1.04165</v>
      </c>
      <c r="R389" s="173">
        <f t="shared" si="213"/>
        <v>1.0639413099999999</v>
      </c>
      <c r="S389" s="250">
        <v>0.05</v>
      </c>
      <c r="T389" s="171">
        <f>S389</f>
        <v>0.05</v>
      </c>
      <c r="U389" s="256">
        <v>20.832999999999998</v>
      </c>
      <c r="V389" s="170">
        <f t="shared" si="203"/>
        <v>21.278826199999997</v>
      </c>
      <c r="W389" s="258">
        <v>0.2</v>
      </c>
      <c r="X389" s="257">
        <f t="shared" si="204"/>
        <v>24.999599999999997</v>
      </c>
      <c r="Y389" s="170">
        <f>IF(V389*(W389+1)=0,X389,V389*(W389+1))</f>
        <v>25.534591439999996</v>
      </c>
      <c r="Z389" s="170">
        <f>IF(Y389=0, 0, IF(Y389&lt;10, _xlfn.CEILING.MATH(Y389,1), IF(Y389&lt;100, _xlfn.CEILING.MATH(Y389,1),IF(Y389&lt;1000, _xlfn.CEILING.MATH(Y389,5), IF(Y389&lt;10000, _xlfn.CEILING.MATH(Y389, 25), IF(Y389&lt;100000, _xlfn.CEILING.MATH(Y389,250), IF(Y389&lt;1000000, _xlfn.CEILING.MATH(Y389,500), 0)))))))</f>
        <v>26</v>
      </c>
      <c r="AA389" s="407">
        <f>C389*Z389</f>
        <v>0</v>
      </c>
      <c r="AB389" s="194"/>
    </row>
    <row r="390" spans="1:28" s="278" customFormat="1" x14ac:dyDescent="0.25">
      <c r="A390" s="195" t="s">
        <v>14621</v>
      </c>
      <c r="B390" s="317" t="s">
        <v>16082</v>
      </c>
      <c r="C390" s="241"/>
      <c r="D390" s="242"/>
      <c r="E390" s="243"/>
      <c r="F390" s="244"/>
      <c r="G390" s="245"/>
      <c r="H390" s="246"/>
      <c r="I390" s="243"/>
      <c r="J390" s="244"/>
      <c r="K390" s="245"/>
      <c r="L390" s="246"/>
      <c r="M390" s="243"/>
      <c r="N390" s="244"/>
      <c r="O390" s="245"/>
      <c r="P390" s="246"/>
      <c r="Q390" s="243"/>
      <c r="R390" s="244"/>
      <c r="S390" s="245"/>
      <c r="T390" s="246"/>
      <c r="U390" s="246"/>
      <c r="V390" s="246"/>
      <c r="W390" s="246"/>
      <c r="X390" s="246"/>
      <c r="Y390" s="244"/>
      <c r="Z390" s="244"/>
      <c r="AA390" s="406"/>
      <c r="AB390" s="194"/>
    </row>
    <row r="391" spans="1:28" s="278" customFormat="1" x14ac:dyDescent="0.25">
      <c r="A391" s="200">
        <v>506005</v>
      </c>
      <c r="B391" s="313" t="s">
        <v>14622</v>
      </c>
      <c r="C391" s="248"/>
      <c r="D391" s="247" t="s">
        <v>7</v>
      </c>
      <c r="E391" s="249">
        <f t="shared" ref="E391:F394" si="218">U391*G391</f>
        <v>52.172999999999995</v>
      </c>
      <c r="F391" s="170">
        <f t="shared" si="218"/>
        <v>53.237329200000005</v>
      </c>
      <c r="G391" s="250">
        <v>0.3</v>
      </c>
      <c r="H391" s="171">
        <f>G391</f>
        <v>0.3</v>
      </c>
      <c r="I391" s="249">
        <f t="shared" ref="I391:J394" si="219">U391*K391</f>
        <v>78.259500000000003</v>
      </c>
      <c r="J391" s="170">
        <f t="shared" si="219"/>
        <v>79.855993800000007</v>
      </c>
      <c r="K391" s="250">
        <v>0.45</v>
      </c>
      <c r="L391" s="172">
        <f>K391</f>
        <v>0.45</v>
      </c>
      <c r="M391" s="249">
        <f>U391*O391</f>
        <v>34.782000000000004</v>
      </c>
      <c r="N391" s="170">
        <f>P391*V391</f>
        <v>35.491552800000008</v>
      </c>
      <c r="O391" s="250">
        <v>0.2</v>
      </c>
      <c r="P391" s="172">
        <f>O391</f>
        <v>0.2</v>
      </c>
      <c r="Q391" s="251">
        <f>U391*S391</f>
        <v>8.6955000000000009</v>
      </c>
      <c r="R391" s="173">
        <f>T391*V391</f>
        <v>8.872888200000002</v>
      </c>
      <c r="S391" s="250">
        <v>0.05</v>
      </c>
      <c r="T391" s="171">
        <f>S391</f>
        <v>0.05</v>
      </c>
      <c r="U391" s="256">
        <v>173.91</v>
      </c>
      <c r="V391" s="170">
        <f>SUM(E391*1.0235,I391*1.0175,M391*1.0245,Q391*1.0115)</f>
        <v>177.45776400000003</v>
      </c>
      <c r="W391" s="258">
        <v>0.15</v>
      </c>
      <c r="X391" s="257">
        <f>U391+U391*W391</f>
        <v>199.9965</v>
      </c>
      <c r="Y391" s="170">
        <f>IF(V391*(W391+1)=0,X391,V391*(W391+1))</f>
        <v>204.07642860000001</v>
      </c>
      <c r="Z391" s="170">
        <f>IF(Y391=0, 0, IF(Y391&lt;10, _xlfn.CEILING.MATH(Y391,1), IF(Y391&lt;100, _xlfn.CEILING.MATH(Y391,1),IF(Y391&lt;1000, _xlfn.CEILING.MATH(Y391,5), IF(Y391&lt;10000, _xlfn.CEILING.MATH(Y391, 25), IF(Y391&lt;100000, _xlfn.CEILING.MATH(Y391,250), IF(Y391&lt;1000000, _xlfn.CEILING.MATH(Y391,500), 0)))))))</f>
        <v>205</v>
      </c>
      <c r="AA391" s="407">
        <f>C391*Z391</f>
        <v>0</v>
      </c>
      <c r="AB391" s="194"/>
    </row>
    <row r="392" spans="1:28" s="278" customFormat="1" x14ac:dyDescent="0.25">
      <c r="A392" s="200">
        <v>506005</v>
      </c>
      <c r="B392" s="313" t="s">
        <v>14623</v>
      </c>
      <c r="C392" s="248"/>
      <c r="D392" s="247" t="s">
        <v>7</v>
      </c>
      <c r="E392" s="249">
        <f t="shared" si="218"/>
        <v>39.13044</v>
      </c>
      <c r="F392" s="170">
        <f t="shared" si="218"/>
        <v>39.928700976000002</v>
      </c>
      <c r="G392" s="250">
        <v>0.3</v>
      </c>
      <c r="H392" s="171">
        <f>G392</f>
        <v>0.3</v>
      </c>
      <c r="I392" s="249">
        <f t="shared" si="219"/>
        <v>58.695659999999997</v>
      </c>
      <c r="J392" s="170">
        <f t="shared" si="219"/>
        <v>59.893051464000003</v>
      </c>
      <c r="K392" s="252">
        <v>0.45</v>
      </c>
      <c r="L392" s="172">
        <f>K392</f>
        <v>0.45</v>
      </c>
      <c r="M392" s="249">
        <f>U392*O392</f>
        <v>26.086960000000001</v>
      </c>
      <c r="N392" s="170">
        <f>P392*V392</f>
        <v>26.619133984000001</v>
      </c>
      <c r="O392" s="250">
        <v>0.2</v>
      </c>
      <c r="P392" s="172">
        <f>O392</f>
        <v>0.2</v>
      </c>
      <c r="Q392" s="251">
        <f>U392*S392</f>
        <v>6.5217400000000003</v>
      </c>
      <c r="R392" s="173">
        <f>T392*V392</f>
        <v>6.6547834960000003</v>
      </c>
      <c r="S392" s="250">
        <v>0.05</v>
      </c>
      <c r="T392" s="171">
        <f>S392</f>
        <v>0.05</v>
      </c>
      <c r="U392" s="256">
        <v>130.4348</v>
      </c>
      <c r="V392" s="170">
        <f>SUM(E392*1.0235,I392*1.0175,M392*1.0245,Q392*1.0115)</f>
        <v>133.09566992000001</v>
      </c>
      <c r="W392" s="258">
        <v>0.15</v>
      </c>
      <c r="X392" s="257">
        <f>U392+U392*W392</f>
        <v>150.00002000000001</v>
      </c>
      <c r="Y392" s="170">
        <f>IF(V392*(W392+1)=0,X392,V392*(W392+1))</f>
        <v>153.06002040799999</v>
      </c>
      <c r="Z392" s="170">
        <f>IF(Y392=0, 0, IF(Y392&lt;10, _xlfn.CEILING.MATH(Y392,1), IF(Y392&lt;100, _xlfn.CEILING.MATH(Y392,1),IF(Y392&lt;1000, _xlfn.CEILING.MATH(Y392,5), IF(Y392&lt;10000, _xlfn.CEILING.MATH(Y392, 25), IF(Y392&lt;100000, _xlfn.CEILING.MATH(Y392,250), IF(Y392&lt;1000000, _xlfn.CEILING.MATH(Y392,500), 0)))))))</f>
        <v>155</v>
      </c>
      <c r="AA392" s="407">
        <f>C392*Z392</f>
        <v>0</v>
      </c>
      <c r="AB392" s="194"/>
    </row>
    <row r="393" spans="1:28" s="278" customFormat="1" x14ac:dyDescent="0.25">
      <c r="A393" s="200">
        <v>506010</v>
      </c>
      <c r="B393" s="313" t="s">
        <v>16083</v>
      </c>
      <c r="C393" s="248"/>
      <c r="D393" s="247" t="s">
        <v>7</v>
      </c>
      <c r="E393" s="249">
        <f t="shared" si="218"/>
        <v>0</v>
      </c>
      <c r="F393" s="170">
        <f t="shared" si="218"/>
        <v>150</v>
      </c>
      <c r="G393" s="250">
        <v>0.6</v>
      </c>
      <c r="H393" s="171">
        <f>G393</f>
        <v>0.6</v>
      </c>
      <c r="I393" s="249">
        <f t="shared" si="219"/>
        <v>0</v>
      </c>
      <c r="J393" s="170">
        <f t="shared" si="219"/>
        <v>75</v>
      </c>
      <c r="K393" s="252">
        <v>0.3</v>
      </c>
      <c r="L393" s="172">
        <f>K393</f>
        <v>0.3</v>
      </c>
      <c r="M393" s="249">
        <f>U393*O393</f>
        <v>0</v>
      </c>
      <c r="N393" s="170">
        <f>P393*V393</f>
        <v>18.75</v>
      </c>
      <c r="O393" s="250">
        <v>7.4999999999999997E-2</v>
      </c>
      <c r="P393" s="172">
        <f>O393</f>
        <v>7.4999999999999997E-2</v>
      </c>
      <c r="Q393" s="251">
        <f>U393*S393</f>
        <v>0</v>
      </c>
      <c r="R393" s="173">
        <f>T393*V393</f>
        <v>6.25</v>
      </c>
      <c r="S393" s="250">
        <v>2.5000000000000001E-2</v>
      </c>
      <c r="T393" s="171">
        <f>S393</f>
        <v>2.5000000000000001E-2</v>
      </c>
      <c r="U393" s="256"/>
      <c r="V393" s="170">
        <f>300/1.2</f>
        <v>250</v>
      </c>
      <c r="W393" s="258">
        <v>0.2</v>
      </c>
      <c r="X393" s="257">
        <f>U393+U393*W393</f>
        <v>0</v>
      </c>
      <c r="Y393" s="170">
        <f>IF(V393*(W393+1)=0,X393,V393*(W393+1))</f>
        <v>300</v>
      </c>
      <c r="Z393" s="170">
        <f>IF(Y393=0, 0, IF(Y393&lt;10, _xlfn.CEILING.MATH(Y393,1), IF(Y393&lt;100, _xlfn.CEILING.MATH(Y393,1),IF(Y393&lt;1000, _xlfn.CEILING.MATH(Y393,5), IF(Y393&lt;10000, _xlfn.CEILING.MATH(Y393, 25), IF(Y393&lt;100000, _xlfn.CEILING.MATH(Y393,250), IF(Y393&lt;1000000, _xlfn.CEILING.MATH(Y393,500), 0)))))))</f>
        <v>300</v>
      </c>
      <c r="AA393" s="407">
        <f>C393*Z393</f>
        <v>0</v>
      </c>
      <c r="AB393" s="194"/>
    </row>
    <row r="394" spans="1:28" s="278" customFormat="1" x14ac:dyDescent="0.25">
      <c r="A394" s="200">
        <v>506010</v>
      </c>
      <c r="B394" s="313" t="s">
        <v>16084</v>
      </c>
      <c r="C394" s="248"/>
      <c r="D394" s="247" t="s">
        <v>7</v>
      </c>
      <c r="E394" s="249">
        <f t="shared" si="218"/>
        <v>0</v>
      </c>
      <c r="F394" s="170">
        <f t="shared" si="218"/>
        <v>120.83333333333333</v>
      </c>
      <c r="G394" s="250">
        <v>0.57999999999999996</v>
      </c>
      <c r="H394" s="171">
        <f>G394</f>
        <v>0.57999999999999996</v>
      </c>
      <c r="I394" s="249">
        <f t="shared" si="219"/>
        <v>0</v>
      </c>
      <c r="J394" s="170">
        <f t="shared" si="219"/>
        <v>72.916666666666671</v>
      </c>
      <c r="K394" s="252">
        <v>0.35</v>
      </c>
      <c r="L394" s="172">
        <f>K394</f>
        <v>0.35</v>
      </c>
      <c r="M394" s="249">
        <f>U394*O394</f>
        <v>0</v>
      </c>
      <c r="N394" s="170">
        <f>P394*V394</f>
        <v>11.458333333333334</v>
      </c>
      <c r="O394" s="250">
        <v>5.5E-2</v>
      </c>
      <c r="P394" s="172">
        <f>O394</f>
        <v>5.5E-2</v>
      </c>
      <c r="Q394" s="251">
        <f>U394*S394</f>
        <v>0</v>
      </c>
      <c r="R394" s="173">
        <f>T394*V394</f>
        <v>3.125</v>
      </c>
      <c r="S394" s="250">
        <v>1.4999999999999999E-2</v>
      </c>
      <c r="T394" s="171">
        <f>S394</f>
        <v>1.4999999999999999E-2</v>
      </c>
      <c r="U394" s="256"/>
      <c r="V394" s="170">
        <f>250/1.2</f>
        <v>208.33333333333334</v>
      </c>
      <c r="W394" s="258">
        <v>0.2</v>
      </c>
      <c r="X394" s="257">
        <f>U394+U394*W394</f>
        <v>0</v>
      </c>
      <c r="Y394" s="170">
        <f>IF(V394*(W394+1)=0,X394,V394*(W394+1))</f>
        <v>250</v>
      </c>
      <c r="Z394" s="170">
        <f>IF(Y394=0, 0, IF(Y394&lt;10, _xlfn.CEILING.MATH(Y394,1), IF(Y394&lt;100, _xlfn.CEILING.MATH(Y394,1),IF(Y394&lt;1000, _xlfn.CEILING.MATH(Y394,5), IF(Y394&lt;10000, _xlfn.CEILING.MATH(Y394, 25), IF(Y394&lt;100000, _xlfn.CEILING.MATH(Y394,250), IF(Y394&lt;1000000, _xlfn.CEILING.MATH(Y394,500), 0)))))))</f>
        <v>250</v>
      </c>
      <c r="AA394" s="407">
        <f>C394*Z394</f>
        <v>0</v>
      </c>
      <c r="AB394" s="194"/>
    </row>
    <row r="395" spans="1:28" s="278" customFormat="1" ht="21" x14ac:dyDescent="0.25">
      <c r="A395" s="195" t="s">
        <v>14624</v>
      </c>
      <c r="B395" s="240" t="s">
        <v>18892</v>
      </c>
      <c r="C395" s="241"/>
      <c r="D395" s="242"/>
      <c r="E395" s="243"/>
      <c r="F395" s="244"/>
      <c r="G395" s="245"/>
      <c r="H395" s="246"/>
      <c r="I395" s="243"/>
      <c r="J395" s="244"/>
      <c r="K395" s="245"/>
      <c r="L395" s="246"/>
      <c r="M395" s="243"/>
      <c r="N395" s="244"/>
      <c r="O395" s="245"/>
      <c r="P395" s="246"/>
      <c r="Q395" s="243"/>
      <c r="R395" s="244"/>
      <c r="S395" s="245"/>
      <c r="T395" s="246"/>
      <c r="U395" s="246"/>
      <c r="V395" s="246"/>
      <c r="W395" s="246"/>
      <c r="X395" s="246"/>
      <c r="Y395" s="244"/>
      <c r="Z395" s="244"/>
      <c r="AA395" s="406"/>
      <c r="AB395" s="194"/>
    </row>
    <row r="396" spans="1:28" s="278" customFormat="1" x14ac:dyDescent="0.25">
      <c r="A396" s="200">
        <v>602100</v>
      </c>
      <c r="B396" s="313" t="s">
        <v>14625</v>
      </c>
      <c r="C396" s="248"/>
      <c r="D396" s="247" t="s">
        <v>3</v>
      </c>
      <c r="E396" s="249">
        <f t="shared" ref="E396:F407" si="220">U396*G396</f>
        <v>0</v>
      </c>
      <c r="F396" s="170">
        <f t="shared" si="220"/>
        <v>0</v>
      </c>
      <c r="G396" s="252"/>
      <c r="H396" s="171">
        <f t="shared" ref="H396:H407" si="221">G396</f>
        <v>0</v>
      </c>
      <c r="I396" s="249">
        <f t="shared" ref="I396:J407" si="222">U396*K396</f>
        <v>637.5</v>
      </c>
      <c r="J396" s="170">
        <f t="shared" si="222"/>
        <v>648.08249999999998</v>
      </c>
      <c r="K396" s="250">
        <v>0.85</v>
      </c>
      <c r="L396" s="172">
        <f t="shared" ref="L396:L407" si="223">K396</f>
        <v>0.85</v>
      </c>
      <c r="M396" s="249">
        <f t="shared" ref="M396:M407" si="224">U396*O396</f>
        <v>0</v>
      </c>
      <c r="N396" s="170">
        <f t="shared" ref="N396:N407" si="225">P396*V396</f>
        <v>0</v>
      </c>
      <c r="O396" s="251"/>
      <c r="P396" s="172">
        <f t="shared" ref="P396:P407" si="226">O396</f>
        <v>0</v>
      </c>
      <c r="Q396" s="251">
        <f t="shared" ref="Q396:Q407" si="227">U396*S396</f>
        <v>112.5</v>
      </c>
      <c r="R396" s="173">
        <f t="shared" ref="R396:R407" si="228">T396*V396</f>
        <v>114.36750000000001</v>
      </c>
      <c r="S396" s="250">
        <v>0.15</v>
      </c>
      <c r="T396" s="171">
        <f t="shared" ref="T396:T407" si="229">S396</f>
        <v>0.15</v>
      </c>
      <c r="U396" s="256">
        <v>750</v>
      </c>
      <c r="V396" s="170">
        <f t="shared" ref="V396:V407" si="230">SUM(E396*1.0235,I396*1.0175,M396*1.0245,Q396*1.0115)</f>
        <v>762.45</v>
      </c>
      <c r="W396" s="258">
        <v>0.2</v>
      </c>
      <c r="X396" s="257">
        <f t="shared" ref="X396:X407" si="231">U396+U396*W396</f>
        <v>900</v>
      </c>
      <c r="Y396" s="170">
        <f t="shared" ref="Y396:Y407" si="232">IF(V396*(W396+1)=0,X396,V396*(W396+1))</f>
        <v>914.94</v>
      </c>
      <c r="Z396" s="170">
        <f t="shared" ref="Z396:Z403" si="233">IF(Y396=0, 0, IF(Y396&lt;10, _xlfn.CEILING.MATH(Y396,1), IF(Y396&lt;100, _xlfn.CEILING.MATH(Y396,1),IF(Y396&lt;1000, _xlfn.CEILING.MATH(Y396,5), IF(Y396&lt;10000, _xlfn.CEILING.MATH(Y396, 25), IF(Y396&lt;100000, _xlfn.CEILING.MATH(Y396,250), IF(Y396&lt;1000000, _xlfn.CEILING.MATH(Y396,500), 0)))))))</f>
        <v>915</v>
      </c>
      <c r="AA396" s="407">
        <f t="shared" ref="AA396:AA407" si="234">C396*Z396</f>
        <v>0</v>
      </c>
      <c r="AB396" s="194"/>
    </row>
    <row r="397" spans="1:28" s="278" customFormat="1" x14ac:dyDescent="0.25">
      <c r="A397" s="200">
        <v>602100</v>
      </c>
      <c r="B397" s="313" t="s">
        <v>19190</v>
      </c>
      <c r="C397" s="248"/>
      <c r="D397" s="247" t="s">
        <v>3</v>
      </c>
      <c r="E397" s="249">
        <f t="shared" si="220"/>
        <v>0</v>
      </c>
      <c r="F397" s="170">
        <f t="shared" si="220"/>
        <v>0</v>
      </c>
      <c r="G397" s="252"/>
      <c r="H397" s="171">
        <f t="shared" si="221"/>
        <v>0</v>
      </c>
      <c r="I397" s="249">
        <f t="shared" si="222"/>
        <v>531.25</v>
      </c>
      <c r="J397" s="170">
        <f t="shared" si="222"/>
        <v>540.06875000000002</v>
      </c>
      <c r="K397" s="250">
        <v>0.85</v>
      </c>
      <c r="L397" s="172">
        <f t="shared" si="223"/>
        <v>0.85</v>
      </c>
      <c r="M397" s="249">
        <f t="shared" si="224"/>
        <v>0</v>
      </c>
      <c r="N397" s="170">
        <f t="shared" si="225"/>
        <v>0</v>
      </c>
      <c r="O397" s="251"/>
      <c r="P397" s="172">
        <f t="shared" si="226"/>
        <v>0</v>
      </c>
      <c r="Q397" s="251">
        <f t="shared" si="227"/>
        <v>93.75</v>
      </c>
      <c r="R397" s="173">
        <f t="shared" si="228"/>
        <v>95.306249999999991</v>
      </c>
      <c r="S397" s="250">
        <v>0.15</v>
      </c>
      <c r="T397" s="171">
        <f t="shared" si="229"/>
        <v>0.15</v>
      </c>
      <c r="U397" s="256">
        <v>625</v>
      </c>
      <c r="V397" s="170">
        <f t="shared" si="230"/>
        <v>635.375</v>
      </c>
      <c r="W397" s="258">
        <v>0.2</v>
      </c>
      <c r="X397" s="257">
        <f t="shared" si="231"/>
        <v>750</v>
      </c>
      <c r="Y397" s="170">
        <f t="shared" si="232"/>
        <v>762.44999999999993</v>
      </c>
      <c r="Z397" s="170">
        <f t="shared" si="233"/>
        <v>765</v>
      </c>
      <c r="AA397" s="407">
        <f t="shared" si="234"/>
        <v>0</v>
      </c>
      <c r="AB397" s="194"/>
    </row>
    <row r="398" spans="1:28" s="278" customFormat="1" x14ac:dyDescent="0.25">
      <c r="A398" s="200">
        <v>602100</v>
      </c>
      <c r="B398" s="313" t="s">
        <v>19191</v>
      </c>
      <c r="C398" s="248"/>
      <c r="D398" s="247" t="s">
        <v>3</v>
      </c>
      <c r="E398" s="249">
        <f t="shared" si="220"/>
        <v>0</v>
      </c>
      <c r="F398" s="170">
        <f t="shared" si="220"/>
        <v>0</v>
      </c>
      <c r="G398" s="252"/>
      <c r="H398" s="171">
        <f t="shared" si="221"/>
        <v>0</v>
      </c>
      <c r="I398" s="249">
        <f t="shared" si="222"/>
        <v>354.16666666666669</v>
      </c>
      <c r="J398" s="170">
        <f t="shared" si="222"/>
        <v>360.04583333333335</v>
      </c>
      <c r="K398" s="250">
        <v>0.85</v>
      </c>
      <c r="L398" s="172">
        <f t="shared" si="223"/>
        <v>0.85</v>
      </c>
      <c r="M398" s="249">
        <f t="shared" si="224"/>
        <v>0</v>
      </c>
      <c r="N398" s="170">
        <f t="shared" si="225"/>
        <v>0</v>
      </c>
      <c r="O398" s="251"/>
      <c r="P398" s="172">
        <f t="shared" si="226"/>
        <v>0</v>
      </c>
      <c r="Q398" s="251">
        <f t="shared" si="227"/>
        <v>62.5</v>
      </c>
      <c r="R398" s="173">
        <f t="shared" si="228"/>
        <v>63.537500000000001</v>
      </c>
      <c r="S398" s="250">
        <v>0.15</v>
      </c>
      <c r="T398" s="171">
        <f t="shared" si="229"/>
        <v>0.15</v>
      </c>
      <c r="U398" s="256">
        <f>500/1.2</f>
        <v>416.66666666666669</v>
      </c>
      <c r="V398" s="170">
        <f t="shared" si="230"/>
        <v>423.58333333333337</v>
      </c>
      <c r="W398" s="258">
        <v>0.2</v>
      </c>
      <c r="X398" s="257">
        <f t="shared" si="231"/>
        <v>500</v>
      </c>
      <c r="Y398" s="170">
        <f t="shared" si="232"/>
        <v>508.3</v>
      </c>
      <c r="Z398" s="170">
        <f t="shared" si="233"/>
        <v>510</v>
      </c>
      <c r="AA398" s="407">
        <f t="shared" si="234"/>
        <v>0</v>
      </c>
      <c r="AB398" s="194"/>
    </row>
    <row r="399" spans="1:28" s="278" customFormat="1" x14ac:dyDescent="0.25">
      <c r="A399" s="200">
        <v>602260</v>
      </c>
      <c r="B399" s="313" t="s">
        <v>14626</v>
      </c>
      <c r="C399" s="248"/>
      <c r="D399" s="247" t="s">
        <v>3</v>
      </c>
      <c r="E399" s="249">
        <f t="shared" si="220"/>
        <v>0</v>
      </c>
      <c r="F399" s="170">
        <f t="shared" si="220"/>
        <v>0</v>
      </c>
      <c r="G399" s="252"/>
      <c r="H399" s="171">
        <f t="shared" si="221"/>
        <v>0</v>
      </c>
      <c r="I399" s="249">
        <f t="shared" si="222"/>
        <v>637.5</v>
      </c>
      <c r="J399" s="170">
        <f t="shared" si="222"/>
        <v>648.08249999999998</v>
      </c>
      <c r="K399" s="250">
        <v>0.85</v>
      </c>
      <c r="L399" s="172">
        <f t="shared" si="223"/>
        <v>0.85</v>
      </c>
      <c r="M399" s="249">
        <f t="shared" si="224"/>
        <v>0</v>
      </c>
      <c r="N399" s="170">
        <f t="shared" si="225"/>
        <v>0</v>
      </c>
      <c r="O399" s="251"/>
      <c r="P399" s="172">
        <f t="shared" si="226"/>
        <v>0</v>
      </c>
      <c r="Q399" s="251">
        <f t="shared" si="227"/>
        <v>112.5</v>
      </c>
      <c r="R399" s="173">
        <f t="shared" si="228"/>
        <v>114.36750000000001</v>
      </c>
      <c r="S399" s="250">
        <v>0.15</v>
      </c>
      <c r="T399" s="171">
        <f t="shared" si="229"/>
        <v>0.15</v>
      </c>
      <c r="U399" s="256">
        <v>750</v>
      </c>
      <c r="V399" s="170">
        <f t="shared" si="230"/>
        <v>762.45</v>
      </c>
      <c r="W399" s="258">
        <v>0.2</v>
      </c>
      <c r="X399" s="257">
        <f t="shared" si="231"/>
        <v>900</v>
      </c>
      <c r="Y399" s="170">
        <f t="shared" si="232"/>
        <v>914.94</v>
      </c>
      <c r="Z399" s="170">
        <f t="shared" si="233"/>
        <v>915</v>
      </c>
      <c r="AA399" s="407">
        <f t="shared" si="234"/>
        <v>0</v>
      </c>
      <c r="AB399" s="194"/>
    </row>
    <row r="400" spans="1:28" s="278" customFormat="1" x14ac:dyDescent="0.25">
      <c r="A400" s="200">
        <v>602260</v>
      </c>
      <c r="B400" s="313" t="s">
        <v>14627</v>
      </c>
      <c r="C400" s="248"/>
      <c r="D400" s="247" t="s">
        <v>3</v>
      </c>
      <c r="E400" s="249">
        <f t="shared" si="220"/>
        <v>0</v>
      </c>
      <c r="F400" s="170">
        <f t="shared" si="220"/>
        <v>0</v>
      </c>
      <c r="G400" s="252"/>
      <c r="H400" s="171">
        <f t="shared" si="221"/>
        <v>0</v>
      </c>
      <c r="I400" s="249">
        <f t="shared" si="222"/>
        <v>531.25</v>
      </c>
      <c r="J400" s="170">
        <f t="shared" si="222"/>
        <v>540.06875000000002</v>
      </c>
      <c r="K400" s="250">
        <v>0.85</v>
      </c>
      <c r="L400" s="172">
        <f t="shared" si="223"/>
        <v>0.85</v>
      </c>
      <c r="M400" s="249">
        <f t="shared" si="224"/>
        <v>0</v>
      </c>
      <c r="N400" s="170">
        <f t="shared" si="225"/>
        <v>0</v>
      </c>
      <c r="O400" s="251"/>
      <c r="P400" s="172">
        <f t="shared" si="226"/>
        <v>0</v>
      </c>
      <c r="Q400" s="251">
        <f t="shared" si="227"/>
        <v>93.75</v>
      </c>
      <c r="R400" s="173">
        <f t="shared" si="228"/>
        <v>95.306249999999991</v>
      </c>
      <c r="S400" s="250">
        <v>0.15</v>
      </c>
      <c r="T400" s="171">
        <f t="shared" si="229"/>
        <v>0.15</v>
      </c>
      <c r="U400" s="256">
        <v>625</v>
      </c>
      <c r="V400" s="170">
        <f t="shared" si="230"/>
        <v>635.375</v>
      </c>
      <c r="W400" s="258">
        <v>0.2</v>
      </c>
      <c r="X400" s="257">
        <f t="shared" si="231"/>
        <v>750</v>
      </c>
      <c r="Y400" s="170">
        <f t="shared" si="232"/>
        <v>762.44999999999993</v>
      </c>
      <c r="Z400" s="170">
        <f t="shared" si="233"/>
        <v>765</v>
      </c>
      <c r="AA400" s="407">
        <f t="shared" si="234"/>
        <v>0</v>
      </c>
      <c r="AB400" s="194"/>
    </row>
    <row r="401" spans="1:28" s="278" customFormat="1" x14ac:dyDescent="0.25">
      <c r="A401" s="200">
        <v>602260</v>
      </c>
      <c r="B401" s="313" t="s">
        <v>14628</v>
      </c>
      <c r="C401" s="248"/>
      <c r="D401" s="247" t="s">
        <v>3</v>
      </c>
      <c r="E401" s="249">
        <f t="shared" si="220"/>
        <v>0</v>
      </c>
      <c r="F401" s="170">
        <f t="shared" si="220"/>
        <v>0</v>
      </c>
      <c r="G401" s="252"/>
      <c r="H401" s="171">
        <f t="shared" si="221"/>
        <v>0</v>
      </c>
      <c r="I401" s="249">
        <f t="shared" si="222"/>
        <v>354.16666666666669</v>
      </c>
      <c r="J401" s="170">
        <f t="shared" si="222"/>
        <v>360.04583333333335</v>
      </c>
      <c r="K401" s="250">
        <v>0.85</v>
      </c>
      <c r="L401" s="172">
        <f t="shared" si="223"/>
        <v>0.85</v>
      </c>
      <c r="M401" s="249">
        <f t="shared" si="224"/>
        <v>0</v>
      </c>
      <c r="N401" s="170">
        <f t="shared" si="225"/>
        <v>0</v>
      </c>
      <c r="O401" s="251"/>
      <c r="P401" s="172">
        <f t="shared" si="226"/>
        <v>0</v>
      </c>
      <c r="Q401" s="251">
        <f t="shared" si="227"/>
        <v>62.5</v>
      </c>
      <c r="R401" s="173">
        <f t="shared" si="228"/>
        <v>63.537500000000001</v>
      </c>
      <c r="S401" s="250">
        <v>0.15</v>
      </c>
      <c r="T401" s="171">
        <f t="shared" si="229"/>
        <v>0.15</v>
      </c>
      <c r="U401" s="256">
        <f>500/1.2</f>
        <v>416.66666666666669</v>
      </c>
      <c r="V401" s="170">
        <f t="shared" si="230"/>
        <v>423.58333333333337</v>
      </c>
      <c r="W401" s="258">
        <v>0.2</v>
      </c>
      <c r="X401" s="257">
        <f t="shared" si="231"/>
        <v>500</v>
      </c>
      <c r="Y401" s="170">
        <f t="shared" si="232"/>
        <v>508.3</v>
      </c>
      <c r="Z401" s="170">
        <f t="shared" si="233"/>
        <v>510</v>
      </c>
      <c r="AA401" s="407">
        <f t="shared" si="234"/>
        <v>0</v>
      </c>
      <c r="AB401" s="194"/>
    </row>
    <row r="402" spans="1:28" s="278" customFormat="1" x14ac:dyDescent="0.25">
      <c r="A402" s="200">
        <v>602265</v>
      </c>
      <c r="B402" s="313" t="s">
        <v>19192</v>
      </c>
      <c r="C402" s="248"/>
      <c r="D402" s="247" t="s">
        <v>3</v>
      </c>
      <c r="E402" s="249">
        <f t="shared" si="220"/>
        <v>0</v>
      </c>
      <c r="F402" s="170">
        <f t="shared" si="220"/>
        <v>0</v>
      </c>
      <c r="G402" s="252"/>
      <c r="H402" s="171">
        <f t="shared" si="221"/>
        <v>0</v>
      </c>
      <c r="I402" s="249">
        <f t="shared" si="222"/>
        <v>389.58049999999997</v>
      </c>
      <c r="J402" s="170">
        <f t="shared" si="222"/>
        <v>396.04753629999999</v>
      </c>
      <c r="K402" s="250">
        <v>0.85</v>
      </c>
      <c r="L402" s="172">
        <f t="shared" si="223"/>
        <v>0.85</v>
      </c>
      <c r="M402" s="249">
        <f t="shared" si="224"/>
        <v>0</v>
      </c>
      <c r="N402" s="170">
        <f t="shared" si="225"/>
        <v>0</v>
      </c>
      <c r="O402" s="251"/>
      <c r="P402" s="172">
        <f t="shared" si="226"/>
        <v>0</v>
      </c>
      <c r="Q402" s="251">
        <f t="shared" si="227"/>
        <v>68.749499999999998</v>
      </c>
      <c r="R402" s="173">
        <f t="shared" si="228"/>
        <v>69.890741699999992</v>
      </c>
      <c r="S402" s="250">
        <v>0.15</v>
      </c>
      <c r="T402" s="171">
        <f t="shared" si="229"/>
        <v>0.15</v>
      </c>
      <c r="U402" s="256">
        <v>458.33</v>
      </c>
      <c r="V402" s="170">
        <f t="shared" si="230"/>
        <v>465.93827799999997</v>
      </c>
      <c r="W402" s="258">
        <v>0.2</v>
      </c>
      <c r="X402" s="257">
        <f t="shared" si="231"/>
        <v>549.99599999999998</v>
      </c>
      <c r="Y402" s="170">
        <f t="shared" si="232"/>
        <v>559.12593359999994</v>
      </c>
      <c r="Z402" s="170">
        <f t="shared" si="233"/>
        <v>560</v>
      </c>
      <c r="AA402" s="407">
        <f t="shared" si="234"/>
        <v>0</v>
      </c>
      <c r="AB402" s="194"/>
    </row>
    <row r="403" spans="1:28" s="278" customFormat="1" x14ac:dyDescent="0.25">
      <c r="A403" s="200">
        <v>602265</v>
      </c>
      <c r="B403" s="313" t="s">
        <v>19193</v>
      </c>
      <c r="C403" s="248"/>
      <c r="D403" s="247" t="s">
        <v>3</v>
      </c>
      <c r="E403" s="249">
        <f t="shared" si="220"/>
        <v>0</v>
      </c>
      <c r="F403" s="170">
        <f t="shared" si="220"/>
        <v>0</v>
      </c>
      <c r="G403" s="252"/>
      <c r="H403" s="171">
        <f t="shared" si="221"/>
        <v>0</v>
      </c>
      <c r="I403" s="249">
        <f t="shared" si="222"/>
        <v>283.33049999999997</v>
      </c>
      <c r="J403" s="170">
        <f t="shared" si="222"/>
        <v>288.03378629999997</v>
      </c>
      <c r="K403" s="250">
        <v>0.85</v>
      </c>
      <c r="L403" s="172">
        <f t="shared" si="223"/>
        <v>0.85</v>
      </c>
      <c r="M403" s="249">
        <f t="shared" si="224"/>
        <v>0</v>
      </c>
      <c r="N403" s="170">
        <f t="shared" si="225"/>
        <v>0</v>
      </c>
      <c r="O403" s="251"/>
      <c r="P403" s="172">
        <f t="shared" si="226"/>
        <v>0</v>
      </c>
      <c r="Q403" s="251">
        <f t="shared" si="227"/>
        <v>49.999499999999998</v>
      </c>
      <c r="R403" s="173">
        <f t="shared" si="228"/>
        <v>50.829491699999998</v>
      </c>
      <c r="S403" s="250">
        <v>0.15</v>
      </c>
      <c r="T403" s="171">
        <f t="shared" si="229"/>
        <v>0.15</v>
      </c>
      <c r="U403" s="256">
        <v>333.33</v>
      </c>
      <c r="V403" s="170">
        <f t="shared" si="230"/>
        <v>338.86327799999998</v>
      </c>
      <c r="W403" s="258">
        <v>0.2</v>
      </c>
      <c r="X403" s="257">
        <f t="shared" si="231"/>
        <v>399.99599999999998</v>
      </c>
      <c r="Y403" s="170">
        <f t="shared" si="232"/>
        <v>406.63593359999999</v>
      </c>
      <c r="Z403" s="170">
        <f t="shared" si="233"/>
        <v>410</v>
      </c>
      <c r="AA403" s="407">
        <f t="shared" si="234"/>
        <v>0</v>
      </c>
      <c r="AB403" s="194"/>
    </row>
    <row r="404" spans="1:28" s="278" customFormat="1" x14ac:dyDescent="0.25">
      <c r="A404" s="200">
        <v>602350</v>
      </c>
      <c r="B404" s="313" t="s">
        <v>19194</v>
      </c>
      <c r="C404" s="248"/>
      <c r="D404" s="247" t="s">
        <v>15</v>
      </c>
      <c r="E404" s="249">
        <f t="shared" si="220"/>
        <v>0</v>
      </c>
      <c r="F404" s="170">
        <f t="shared" si="220"/>
        <v>0</v>
      </c>
      <c r="G404" s="250"/>
      <c r="H404" s="171">
        <f t="shared" si="221"/>
        <v>0</v>
      </c>
      <c r="I404" s="249">
        <f t="shared" si="222"/>
        <v>2.125</v>
      </c>
      <c r="J404" s="170">
        <f t="shared" si="222"/>
        <v>2.1602749999999999</v>
      </c>
      <c r="K404" s="252">
        <v>0.85</v>
      </c>
      <c r="L404" s="172">
        <f t="shared" si="223"/>
        <v>0.85</v>
      </c>
      <c r="M404" s="249">
        <f t="shared" si="224"/>
        <v>0</v>
      </c>
      <c r="N404" s="170">
        <f t="shared" si="225"/>
        <v>0</v>
      </c>
      <c r="O404" s="250"/>
      <c r="P404" s="172">
        <f t="shared" si="226"/>
        <v>0</v>
      </c>
      <c r="Q404" s="251">
        <f t="shared" si="227"/>
        <v>0.375</v>
      </c>
      <c r="R404" s="173">
        <f t="shared" si="228"/>
        <v>0.38122499999999998</v>
      </c>
      <c r="S404" s="250">
        <v>0.15</v>
      </c>
      <c r="T404" s="171">
        <f t="shared" si="229"/>
        <v>0.15</v>
      </c>
      <c r="U404" s="256">
        <v>2.5</v>
      </c>
      <c r="V404" s="170">
        <f t="shared" si="230"/>
        <v>2.5415000000000001</v>
      </c>
      <c r="W404" s="258">
        <v>0.2</v>
      </c>
      <c r="X404" s="257">
        <f t="shared" si="231"/>
        <v>3</v>
      </c>
      <c r="Y404" s="170">
        <f t="shared" si="232"/>
        <v>3.0497999999999998</v>
      </c>
      <c r="Z404" s="170">
        <f>IF(Y404=0, 0, IF(Y404&lt;10, _xlfn.CEILING.MATH(Y404,0.05), IF(Y404&lt;100, _xlfn.CEILING.MATH(Y404,1),IF(Y404&lt;1000, _xlfn.CEILING.MATH(Y404,5), IF(Y404&lt;10000, _xlfn.CEILING.MATH(Y404, 25), IF(Y404&lt;100000, _xlfn.CEILING.MATH(Y404,250), IF(Y404&lt;1000000, _xlfn.CEILING.MATH(Y404,500), 0)))))))</f>
        <v>3.0500000000000003</v>
      </c>
      <c r="AA404" s="407">
        <f t="shared" si="234"/>
        <v>0</v>
      </c>
      <c r="AB404" s="194"/>
    </row>
    <row r="405" spans="1:28" s="278" customFormat="1" x14ac:dyDescent="0.25">
      <c r="A405" s="200">
        <v>602350</v>
      </c>
      <c r="B405" s="313" t="s">
        <v>14629</v>
      </c>
      <c r="C405" s="248"/>
      <c r="D405" s="247" t="s">
        <v>15</v>
      </c>
      <c r="E405" s="249">
        <f t="shared" si="220"/>
        <v>0</v>
      </c>
      <c r="F405" s="170">
        <f t="shared" si="220"/>
        <v>0</v>
      </c>
      <c r="G405" s="250"/>
      <c r="H405" s="171">
        <f t="shared" si="221"/>
        <v>0</v>
      </c>
      <c r="I405" s="249">
        <f t="shared" si="222"/>
        <v>1.4195</v>
      </c>
      <c r="J405" s="170">
        <f t="shared" si="222"/>
        <v>1.4430637000000002</v>
      </c>
      <c r="K405" s="252">
        <v>0.85</v>
      </c>
      <c r="L405" s="172">
        <f t="shared" si="223"/>
        <v>0.85</v>
      </c>
      <c r="M405" s="249">
        <f t="shared" si="224"/>
        <v>0</v>
      </c>
      <c r="N405" s="170">
        <f t="shared" si="225"/>
        <v>0</v>
      </c>
      <c r="O405" s="250"/>
      <c r="P405" s="172">
        <f t="shared" si="226"/>
        <v>0</v>
      </c>
      <c r="Q405" s="251">
        <f t="shared" si="227"/>
        <v>0.2505</v>
      </c>
      <c r="R405" s="173">
        <f t="shared" si="228"/>
        <v>0.2546583</v>
      </c>
      <c r="S405" s="250">
        <v>0.15</v>
      </c>
      <c r="T405" s="171">
        <f t="shared" si="229"/>
        <v>0.15</v>
      </c>
      <c r="U405" s="256">
        <v>1.67</v>
      </c>
      <c r="V405" s="170">
        <f t="shared" si="230"/>
        <v>1.6977220000000002</v>
      </c>
      <c r="W405" s="258">
        <v>0.2</v>
      </c>
      <c r="X405" s="257">
        <f t="shared" si="231"/>
        <v>2.004</v>
      </c>
      <c r="Y405" s="170">
        <f t="shared" si="232"/>
        <v>2.0372664</v>
      </c>
      <c r="Z405" s="170">
        <f>IF(Y405=0, 0, IF(Y405&lt;10, _xlfn.CEILING.MATH(Y405,0.05), IF(Y405&lt;100, _xlfn.CEILING.MATH(Y405,1),IF(Y405&lt;1000, _xlfn.CEILING.MATH(Y405,5), IF(Y405&lt;10000, _xlfn.CEILING.MATH(Y405, 25), IF(Y405&lt;100000, _xlfn.CEILING.MATH(Y405,250), IF(Y405&lt;1000000, _xlfn.CEILING.MATH(Y405,500), 0)))))))</f>
        <v>2.0500000000000003</v>
      </c>
      <c r="AA405" s="407">
        <f t="shared" si="234"/>
        <v>0</v>
      </c>
      <c r="AB405" s="194"/>
    </row>
    <row r="406" spans="1:28" s="278" customFormat="1" x14ac:dyDescent="0.25">
      <c r="A406" s="200">
        <v>602355</v>
      </c>
      <c r="B406" s="313" t="s">
        <v>19195</v>
      </c>
      <c r="C406" s="248"/>
      <c r="D406" s="247" t="s">
        <v>15</v>
      </c>
      <c r="E406" s="249">
        <f t="shared" si="220"/>
        <v>0</v>
      </c>
      <c r="F406" s="170">
        <f t="shared" si="220"/>
        <v>0</v>
      </c>
      <c r="G406" s="250"/>
      <c r="H406" s="171">
        <f t="shared" si="221"/>
        <v>0</v>
      </c>
      <c r="I406" s="249">
        <f t="shared" si="222"/>
        <v>2.9997000000000003</v>
      </c>
      <c r="J406" s="170">
        <f t="shared" si="222"/>
        <v>3.0503949300000004</v>
      </c>
      <c r="K406" s="252">
        <v>0.9</v>
      </c>
      <c r="L406" s="172">
        <f t="shared" si="223"/>
        <v>0.9</v>
      </c>
      <c r="M406" s="249">
        <f t="shared" si="224"/>
        <v>0</v>
      </c>
      <c r="N406" s="170">
        <f t="shared" si="225"/>
        <v>0</v>
      </c>
      <c r="O406" s="250"/>
      <c r="P406" s="172">
        <f t="shared" si="226"/>
        <v>0</v>
      </c>
      <c r="Q406" s="251">
        <f t="shared" si="227"/>
        <v>0.33330000000000004</v>
      </c>
      <c r="R406" s="173">
        <f t="shared" si="228"/>
        <v>0.33893277000000005</v>
      </c>
      <c r="S406" s="250">
        <v>0.1</v>
      </c>
      <c r="T406" s="171">
        <f t="shared" si="229"/>
        <v>0.1</v>
      </c>
      <c r="U406" s="256">
        <v>3.3330000000000002</v>
      </c>
      <c r="V406" s="170">
        <f t="shared" si="230"/>
        <v>3.3893277000000004</v>
      </c>
      <c r="W406" s="258">
        <v>0.2</v>
      </c>
      <c r="X406" s="257">
        <f t="shared" si="231"/>
        <v>3.9996</v>
      </c>
      <c r="Y406" s="170">
        <f t="shared" si="232"/>
        <v>4.0671932399999999</v>
      </c>
      <c r="Z406" s="170">
        <f>IF(Y406=0, 0, IF(Y406&lt;10, _xlfn.CEILING.MATH(Y406,0.05), IF(Y406&lt;100, _xlfn.CEILING.MATH(Y406,1),IF(Y406&lt;1000, _xlfn.CEILING.MATH(Y406,5), IF(Y406&lt;10000, _xlfn.CEILING.MATH(Y406, 25), IF(Y406&lt;100000, _xlfn.CEILING.MATH(Y406,250), IF(Y406&lt;1000000, _xlfn.CEILING.MATH(Y406,500), 0)))))))</f>
        <v>4.1000000000000005</v>
      </c>
      <c r="AA406" s="407">
        <f t="shared" si="234"/>
        <v>0</v>
      </c>
      <c r="AB406" s="194"/>
    </row>
    <row r="407" spans="1:28" s="278" customFormat="1" ht="14.4" thickBot="1" x14ac:dyDescent="0.3">
      <c r="A407" s="263">
        <v>602355</v>
      </c>
      <c r="B407" s="321" t="s">
        <v>19196</v>
      </c>
      <c r="C407" s="265"/>
      <c r="D407" s="264" t="s">
        <v>15</v>
      </c>
      <c r="E407" s="266">
        <f t="shared" si="220"/>
        <v>0</v>
      </c>
      <c r="F407" s="174">
        <f t="shared" si="220"/>
        <v>0</v>
      </c>
      <c r="G407" s="267"/>
      <c r="H407" s="268">
        <f t="shared" si="221"/>
        <v>0</v>
      </c>
      <c r="I407" s="266">
        <f t="shared" si="222"/>
        <v>1.6875</v>
      </c>
      <c r="J407" s="174">
        <f t="shared" si="222"/>
        <v>1.7160187500000004</v>
      </c>
      <c r="K407" s="408">
        <v>0.9</v>
      </c>
      <c r="L407" s="269">
        <f t="shared" si="223"/>
        <v>0.9</v>
      </c>
      <c r="M407" s="266">
        <f t="shared" si="224"/>
        <v>0</v>
      </c>
      <c r="N407" s="174">
        <f t="shared" si="225"/>
        <v>0</v>
      </c>
      <c r="O407" s="267"/>
      <c r="P407" s="269">
        <f t="shared" si="226"/>
        <v>0</v>
      </c>
      <c r="Q407" s="270">
        <f t="shared" si="227"/>
        <v>0.1875</v>
      </c>
      <c r="R407" s="271">
        <f t="shared" si="228"/>
        <v>0.19066875000000005</v>
      </c>
      <c r="S407" s="267">
        <v>0.1</v>
      </c>
      <c r="T407" s="268">
        <f t="shared" si="229"/>
        <v>0.1</v>
      </c>
      <c r="U407" s="409">
        <v>1.875</v>
      </c>
      <c r="V407" s="174">
        <f t="shared" si="230"/>
        <v>1.9066875000000003</v>
      </c>
      <c r="W407" s="322">
        <v>0.2</v>
      </c>
      <c r="X407" s="274">
        <f t="shared" si="231"/>
        <v>2.25</v>
      </c>
      <c r="Y407" s="174">
        <f t="shared" si="232"/>
        <v>2.2880250000000002</v>
      </c>
      <c r="Z407" s="174">
        <f>IF(Y407=0, 0, IF(Y407&lt;10, _xlfn.CEILING.MATH(Y407,0.1), IF(Y407&lt;100, _xlfn.CEILING.MATH(Y407,1),IF(Y407&lt;1000, _xlfn.CEILING.MATH(Y407,5), IF(Y407&lt;10000, _xlfn.CEILING.MATH(Y407, 25), IF(Y407&lt;100000, _xlfn.CEILING.MATH(Y407,250), IF(Y407&lt;1000000, _xlfn.CEILING.MATH(Y407,500), 0)))))))</f>
        <v>2.3000000000000003</v>
      </c>
      <c r="AA407" s="410">
        <f t="shared" si="234"/>
        <v>0</v>
      </c>
      <c r="AB407" s="194"/>
    </row>
    <row r="408" spans="1:28" s="278" customFormat="1" x14ac:dyDescent="0.25">
      <c r="A408" s="195" t="s">
        <v>14630</v>
      </c>
      <c r="B408" s="317" t="s">
        <v>14631</v>
      </c>
      <c r="C408" s="241"/>
      <c r="D408" s="242"/>
      <c r="E408" s="243"/>
      <c r="F408" s="244"/>
      <c r="G408" s="245"/>
      <c r="H408" s="246"/>
      <c r="I408" s="243"/>
      <c r="J408" s="244"/>
      <c r="K408" s="245"/>
      <c r="L408" s="246"/>
      <c r="M408" s="243"/>
      <c r="N408" s="244"/>
      <c r="O408" s="245"/>
      <c r="P408" s="246"/>
      <c r="Q408" s="243"/>
      <c r="R408" s="244"/>
      <c r="S408" s="245"/>
      <c r="T408" s="246"/>
      <c r="U408" s="246"/>
      <c r="V408" s="246"/>
      <c r="W408" s="246"/>
      <c r="X408" s="246"/>
      <c r="Y408" s="244"/>
      <c r="Z408" s="244"/>
      <c r="AA408" s="406"/>
      <c r="AB408" s="194"/>
    </row>
    <row r="409" spans="1:28" s="278" customFormat="1" x14ac:dyDescent="0.25">
      <c r="A409" s="200">
        <v>605040</v>
      </c>
      <c r="B409" s="313" t="s">
        <v>19197</v>
      </c>
      <c r="C409" s="248"/>
      <c r="D409" s="247" t="s">
        <v>11</v>
      </c>
      <c r="E409" s="249">
        <f t="shared" ref="E409:F414" si="235">U409*G409</f>
        <v>166.66668000000001</v>
      </c>
      <c r="F409" s="170">
        <f t="shared" si="235"/>
        <v>170.35834696200004</v>
      </c>
      <c r="G409" s="250">
        <v>0.4</v>
      </c>
      <c r="H409" s="171">
        <f t="shared" ref="H409:H414" si="236">G409</f>
        <v>0.4</v>
      </c>
      <c r="I409" s="249">
        <f t="shared" ref="I409:J414" si="237">U409*K409</f>
        <v>0</v>
      </c>
      <c r="J409" s="170">
        <f t="shared" si="237"/>
        <v>0</v>
      </c>
      <c r="K409" s="251"/>
      <c r="L409" s="172">
        <f t="shared" ref="L409:L414" si="238">K409</f>
        <v>0</v>
      </c>
      <c r="M409" s="249">
        <f t="shared" ref="M409:M414" si="239">U409*O409</f>
        <v>187.50001499999999</v>
      </c>
      <c r="N409" s="170">
        <f t="shared" ref="N409:N414" si="240">P409*V409</f>
        <v>191.65314033225002</v>
      </c>
      <c r="O409" s="250">
        <v>0.45</v>
      </c>
      <c r="P409" s="172">
        <f t="shared" ref="P409:P414" si="241">O409</f>
        <v>0.45</v>
      </c>
      <c r="Q409" s="251">
        <f t="shared" ref="Q409:Q414" si="242">U409*S409</f>
        <v>62.500004999999994</v>
      </c>
      <c r="R409" s="173">
        <f t="shared" ref="R409:R414" si="243">T409*V409</f>
        <v>63.884380110750001</v>
      </c>
      <c r="S409" s="250">
        <v>0.15</v>
      </c>
      <c r="T409" s="171">
        <f t="shared" ref="T409:T414" si="244">S409</f>
        <v>0.15</v>
      </c>
      <c r="U409" s="256">
        <v>416.66669999999999</v>
      </c>
      <c r="V409" s="170">
        <f t="shared" ref="V409:V414" si="245">SUM(E409*1.0235,I409*1.0175,M409*1.0245,Q409*1.0115)</f>
        <v>425.89586740500005</v>
      </c>
      <c r="W409" s="258">
        <v>0.2</v>
      </c>
      <c r="X409" s="257">
        <f t="shared" ref="X409:X414" si="246">U409+U409*W409</f>
        <v>500.00004000000001</v>
      </c>
      <c r="Y409" s="170">
        <f t="shared" ref="Y409:Y414" si="247">IF(V409*(W409+1)=0,X409,V409*(W409+1))</f>
        <v>511.07504088600001</v>
      </c>
      <c r="Z409" s="170">
        <f t="shared" ref="Z409:Z414" si="248">IF(Y409=0, 0, IF(Y409&lt;10, _xlfn.CEILING.MATH(Y409,1), IF(Y409&lt;100, _xlfn.CEILING.MATH(Y409,1),IF(Y409&lt;1000, _xlfn.CEILING.MATH(Y409,5), IF(Y409&lt;10000, _xlfn.CEILING.MATH(Y409, 25), IF(Y409&lt;100000, _xlfn.CEILING.MATH(Y409,250), IF(Y409&lt;1000000, _xlfn.CEILING.MATH(Y409,500), 0)))))))</f>
        <v>515</v>
      </c>
      <c r="AA409" s="407">
        <f t="shared" ref="AA409:AA414" si="249">C409*Z409</f>
        <v>0</v>
      </c>
      <c r="AB409" s="194"/>
    </row>
    <row r="410" spans="1:28" s="278" customFormat="1" x14ac:dyDescent="0.25">
      <c r="A410" s="200">
        <v>605040</v>
      </c>
      <c r="B410" s="313" t="s">
        <v>19198</v>
      </c>
      <c r="C410" s="248"/>
      <c r="D410" s="247" t="s">
        <v>11</v>
      </c>
      <c r="E410" s="249">
        <f t="shared" si="235"/>
        <v>175</v>
      </c>
      <c r="F410" s="170">
        <f t="shared" si="235"/>
        <v>178.88499999999999</v>
      </c>
      <c r="G410" s="250">
        <v>0.35</v>
      </c>
      <c r="H410" s="171">
        <f t="shared" si="236"/>
        <v>0.35</v>
      </c>
      <c r="I410" s="249">
        <f t="shared" si="237"/>
        <v>0</v>
      </c>
      <c r="J410" s="170">
        <f t="shared" si="237"/>
        <v>0</v>
      </c>
      <c r="K410" s="250"/>
      <c r="L410" s="172">
        <f t="shared" si="238"/>
        <v>0</v>
      </c>
      <c r="M410" s="249">
        <f t="shared" si="239"/>
        <v>250</v>
      </c>
      <c r="N410" s="170">
        <f t="shared" si="240"/>
        <v>255.55</v>
      </c>
      <c r="O410" s="250">
        <v>0.5</v>
      </c>
      <c r="P410" s="172">
        <f t="shared" si="241"/>
        <v>0.5</v>
      </c>
      <c r="Q410" s="251">
        <f t="shared" si="242"/>
        <v>75</v>
      </c>
      <c r="R410" s="173">
        <f t="shared" si="243"/>
        <v>76.665000000000006</v>
      </c>
      <c r="S410" s="250">
        <v>0.15</v>
      </c>
      <c r="T410" s="171">
        <f t="shared" si="244"/>
        <v>0.15</v>
      </c>
      <c r="U410" s="253">
        <v>500</v>
      </c>
      <c r="V410" s="170">
        <f t="shared" si="245"/>
        <v>511.1</v>
      </c>
      <c r="W410" s="258">
        <v>0.2</v>
      </c>
      <c r="X410" s="257">
        <f t="shared" si="246"/>
        <v>600</v>
      </c>
      <c r="Y410" s="170">
        <f t="shared" si="247"/>
        <v>613.32000000000005</v>
      </c>
      <c r="Z410" s="170">
        <f t="shared" si="248"/>
        <v>615</v>
      </c>
      <c r="AA410" s="407">
        <f t="shared" si="249"/>
        <v>0</v>
      </c>
      <c r="AB410" s="194"/>
    </row>
    <row r="411" spans="1:28" s="278" customFormat="1" x14ac:dyDescent="0.25">
      <c r="A411" s="200">
        <v>605040</v>
      </c>
      <c r="B411" s="313" t="s">
        <v>19199</v>
      </c>
      <c r="C411" s="248"/>
      <c r="D411" s="247" t="s">
        <v>11</v>
      </c>
      <c r="E411" s="249">
        <f t="shared" si="235"/>
        <v>218.75</v>
      </c>
      <c r="F411" s="170">
        <f t="shared" si="235"/>
        <v>223.60624999999999</v>
      </c>
      <c r="G411" s="250">
        <v>0.35</v>
      </c>
      <c r="H411" s="171">
        <f t="shared" si="236"/>
        <v>0.35</v>
      </c>
      <c r="I411" s="249">
        <f t="shared" si="237"/>
        <v>0</v>
      </c>
      <c r="J411" s="170">
        <f t="shared" si="237"/>
        <v>0</v>
      </c>
      <c r="K411" s="250"/>
      <c r="L411" s="172">
        <f t="shared" si="238"/>
        <v>0</v>
      </c>
      <c r="M411" s="249">
        <f t="shared" si="239"/>
        <v>312.5</v>
      </c>
      <c r="N411" s="170">
        <f t="shared" si="240"/>
        <v>319.4375</v>
      </c>
      <c r="O411" s="250">
        <v>0.5</v>
      </c>
      <c r="P411" s="172">
        <f t="shared" si="241"/>
        <v>0.5</v>
      </c>
      <c r="Q411" s="251">
        <f t="shared" si="242"/>
        <v>93.75</v>
      </c>
      <c r="R411" s="173">
        <f t="shared" si="243"/>
        <v>95.831249999999997</v>
      </c>
      <c r="S411" s="250">
        <v>0.15</v>
      </c>
      <c r="T411" s="171">
        <f t="shared" si="244"/>
        <v>0.15</v>
      </c>
      <c r="U411" s="253">
        <v>625</v>
      </c>
      <c r="V411" s="170">
        <f t="shared" si="245"/>
        <v>638.875</v>
      </c>
      <c r="W411" s="258">
        <v>0.2</v>
      </c>
      <c r="X411" s="257">
        <f t="shared" si="246"/>
        <v>750</v>
      </c>
      <c r="Y411" s="170">
        <f t="shared" si="247"/>
        <v>766.65</v>
      </c>
      <c r="Z411" s="170">
        <f t="shared" si="248"/>
        <v>770</v>
      </c>
      <c r="AA411" s="407">
        <f t="shared" si="249"/>
        <v>0</v>
      </c>
      <c r="AB411" s="194"/>
    </row>
    <row r="412" spans="1:28" s="278" customFormat="1" x14ac:dyDescent="0.25">
      <c r="A412" s="200">
        <v>605070</v>
      </c>
      <c r="B412" s="313" t="s">
        <v>14632</v>
      </c>
      <c r="C412" s="248"/>
      <c r="D412" s="247" t="s">
        <v>2</v>
      </c>
      <c r="E412" s="249">
        <f t="shared" si="235"/>
        <v>0</v>
      </c>
      <c r="F412" s="170">
        <f t="shared" si="235"/>
        <v>0</v>
      </c>
      <c r="G412" s="252"/>
      <c r="H412" s="171">
        <f t="shared" si="236"/>
        <v>0</v>
      </c>
      <c r="I412" s="249">
        <f t="shared" si="237"/>
        <v>14.166950000000002</v>
      </c>
      <c r="J412" s="170">
        <f t="shared" si="237"/>
        <v>14.402121370000003</v>
      </c>
      <c r="K412" s="250">
        <v>0.85</v>
      </c>
      <c r="L412" s="172">
        <f t="shared" si="238"/>
        <v>0.85</v>
      </c>
      <c r="M412" s="249">
        <f t="shared" si="239"/>
        <v>0</v>
      </c>
      <c r="N412" s="170">
        <f t="shared" si="240"/>
        <v>0</v>
      </c>
      <c r="O412" s="251"/>
      <c r="P412" s="172">
        <f t="shared" si="241"/>
        <v>0</v>
      </c>
      <c r="Q412" s="251">
        <f t="shared" si="242"/>
        <v>2.5000500000000003</v>
      </c>
      <c r="R412" s="173">
        <f t="shared" si="243"/>
        <v>2.5415508300000007</v>
      </c>
      <c r="S412" s="250">
        <v>0.15</v>
      </c>
      <c r="T412" s="171">
        <f t="shared" si="244"/>
        <v>0.15</v>
      </c>
      <c r="U412" s="256">
        <v>16.667000000000002</v>
      </c>
      <c r="V412" s="170">
        <f t="shared" si="245"/>
        <v>16.943672200000005</v>
      </c>
      <c r="W412" s="258">
        <v>0.2</v>
      </c>
      <c r="X412" s="257">
        <f t="shared" si="246"/>
        <v>20.000400000000003</v>
      </c>
      <c r="Y412" s="170">
        <f t="shared" si="247"/>
        <v>20.332406640000006</v>
      </c>
      <c r="Z412" s="170">
        <f t="shared" si="248"/>
        <v>21</v>
      </c>
      <c r="AA412" s="407">
        <f t="shared" si="249"/>
        <v>0</v>
      </c>
      <c r="AB412" s="194"/>
    </row>
    <row r="413" spans="1:28" s="278" customFormat="1" x14ac:dyDescent="0.25">
      <c r="A413" s="200">
        <v>605080</v>
      </c>
      <c r="B413" s="313" t="s">
        <v>14633</v>
      </c>
      <c r="C413" s="248"/>
      <c r="D413" s="247" t="s">
        <v>11</v>
      </c>
      <c r="E413" s="249">
        <f t="shared" si="235"/>
        <v>187.5</v>
      </c>
      <c r="F413" s="170">
        <f t="shared" si="235"/>
        <v>191.33437499999999</v>
      </c>
      <c r="G413" s="250">
        <v>0.3</v>
      </c>
      <c r="H413" s="171">
        <f t="shared" si="236"/>
        <v>0.3</v>
      </c>
      <c r="I413" s="249">
        <f t="shared" si="237"/>
        <v>218.75</v>
      </c>
      <c r="J413" s="170">
        <f t="shared" si="237"/>
        <v>223.22343749999999</v>
      </c>
      <c r="K413" s="250">
        <v>0.35</v>
      </c>
      <c r="L413" s="172">
        <f t="shared" si="238"/>
        <v>0.35</v>
      </c>
      <c r="M413" s="249">
        <f t="shared" si="239"/>
        <v>156.25</v>
      </c>
      <c r="N413" s="170">
        <f t="shared" si="240"/>
        <v>159.4453125</v>
      </c>
      <c r="O413" s="250">
        <v>0.25</v>
      </c>
      <c r="P413" s="172">
        <f t="shared" si="241"/>
        <v>0.25</v>
      </c>
      <c r="Q413" s="251">
        <f t="shared" si="242"/>
        <v>62.5</v>
      </c>
      <c r="R413" s="173">
        <f t="shared" si="243"/>
        <v>63.778125000000003</v>
      </c>
      <c r="S413" s="250">
        <v>0.1</v>
      </c>
      <c r="T413" s="171">
        <f t="shared" si="244"/>
        <v>0.1</v>
      </c>
      <c r="U413" s="256">
        <v>625</v>
      </c>
      <c r="V413" s="170">
        <f t="shared" si="245"/>
        <v>637.78125</v>
      </c>
      <c r="W413" s="258">
        <v>0.2</v>
      </c>
      <c r="X413" s="257">
        <f t="shared" si="246"/>
        <v>750</v>
      </c>
      <c r="Y413" s="170">
        <f t="shared" si="247"/>
        <v>765.33749999999998</v>
      </c>
      <c r="Z413" s="170">
        <f t="shared" si="248"/>
        <v>770</v>
      </c>
      <c r="AA413" s="407">
        <f t="shared" si="249"/>
        <v>0</v>
      </c>
      <c r="AB413" s="194"/>
    </row>
    <row r="414" spans="1:28" s="278" customFormat="1" x14ac:dyDescent="0.25">
      <c r="A414" s="200">
        <v>605080</v>
      </c>
      <c r="B414" s="313" t="s">
        <v>14634</v>
      </c>
      <c r="C414" s="248"/>
      <c r="D414" s="247" t="s">
        <v>11</v>
      </c>
      <c r="E414" s="249">
        <f t="shared" si="235"/>
        <v>187.5</v>
      </c>
      <c r="F414" s="170">
        <f t="shared" si="235"/>
        <v>191.33437499999999</v>
      </c>
      <c r="G414" s="250">
        <v>0.3</v>
      </c>
      <c r="H414" s="171">
        <f t="shared" si="236"/>
        <v>0.3</v>
      </c>
      <c r="I414" s="249">
        <f t="shared" si="237"/>
        <v>218.75</v>
      </c>
      <c r="J414" s="170">
        <f t="shared" si="237"/>
        <v>223.22343749999999</v>
      </c>
      <c r="K414" s="250">
        <v>0.35</v>
      </c>
      <c r="L414" s="172">
        <f t="shared" si="238"/>
        <v>0.35</v>
      </c>
      <c r="M414" s="249">
        <f t="shared" si="239"/>
        <v>156.25</v>
      </c>
      <c r="N414" s="170">
        <f t="shared" si="240"/>
        <v>159.4453125</v>
      </c>
      <c r="O414" s="250">
        <v>0.25</v>
      </c>
      <c r="P414" s="172">
        <f t="shared" si="241"/>
        <v>0.25</v>
      </c>
      <c r="Q414" s="251">
        <f t="shared" si="242"/>
        <v>62.5</v>
      </c>
      <c r="R414" s="173">
        <f t="shared" si="243"/>
        <v>63.778125000000003</v>
      </c>
      <c r="S414" s="250">
        <v>0.1</v>
      </c>
      <c r="T414" s="171">
        <f t="shared" si="244"/>
        <v>0.1</v>
      </c>
      <c r="U414" s="256">
        <v>625</v>
      </c>
      <c r="V414" s="170">
        <f t="shared" si="245"/>
        <v>637.78125</v>
      </c>
      <c r="W414" s="258">
        <v>0.2</v>
      </c>
      <c r="X414" s="257">
        <f t="shared" si="246"/>
        <v>750</v>
      </c>
      <c r="Y414" s="170">
        <f t="shared" si="247"/>
        <v>765.33749999999998</v>
      </c>
      <c r="Z414" s="170">
        <f t="shared" si="248"/>
        <v>770</v>
      </c>
      <c r="AA414" s="407">
        <f t="shared" si="249"/>
        <v>0</v>
      </c>
      <c r="AB414" s="194"/>
    </row>
    <row r="415" spans="1:28" s="278" customFormat="1" x14ac:dyDescent="0.25">
      <c r="A415" s="195" t="s">
        <v>14635</v>
      </c>
      <c r="B415" s="317" t="s">
        <v>14636</v>
      </c>
      <c r="C415" s="241"/>
      <c r="D415" s="242"/>
      <c r="E415" s="243"/>
      <c r="F415" s="244"/>
      <c r="G415" s="245"/>
      <c r="H415" s="246"/>
      <c r="I415" s="243"/>
      <c r="J415" s="244"/>
      <c r="K415" s="245"/>
      <c r="L415" s="246"/>
      <c r="M415" s="243"/>
      <c r="N415" s="244"/>
      <c r="O415" s="245"/>
      <c r="P415" s="246"/>
      <c r="Q415" s="243"/>
      <c r="R415" s="244"/>
      <c r="S415" s="245"/>
      <c r="T415" s="246"/>
      <c r="U415" s="246"/>
      <c r="V415" s="246"/>
      <c r="W415" s="246"/>
      <c r="X415" s="246"/>
      <c r="Y415" s="244"/>
      <c r="Z415" s="244"/>
      <c r="AA415" s="406"/>
      <c r="AB415" s="194"/>
    </row>
    <row r="416" spans="1:28" s="278" customFormat="1" x14ac:dyDescent="0.25">
      <c r="A416" s="200">
        <v>611130</v>
      </c>
      <c r="B416" s="313" t="s">
        <v>19200</v>
      </c>
      <c r="C416" s="248"/>
      <c r="D416" s="247" t="s">
        <v>3</v>
      </c>
      <c r="E416" s="249">
        <f>U416*G416</f>
        <v>300</v>
      </c>
      <c r="F416" s="170">
        <f>V416*H416</f>
        <v>306.02999999999997</v>
      </c>
      <c r="G416" s="250">
        <v>0.3</v>
      </c>
      <c r="H416" s="171">
        <f>G416</f>
        <v>0.3</v>
      </c>
      <c r="I416" s="249">
        <f>U416*K416</f>
        <v>400</v>
      </c>
      <c r="J416" s="170">
        <f>V416*L416</f>
        <v>408.03999999999996</v>
      </c>
      <c r="K416" s="250">
        <v>0.4</v>
      </c>
      <c r="L416" s="172">
        <f>K416</f>
        <v>0.4</v>
      </c>
      <c r="M416" s="249">
        <f>U416*O416</f>
        <v>200</v>
      </c>
      <c r="N416" s="170">
        <f>P416*V416</f>
        <v>204.01999999999998</v>
      </c>
      <c r="O416" s="250">
        <v>0.2</v>
      </c>
      <c r="P416" s="172">
        <f>O416</f>
        <v>0.2</v>
      </c>
      <c r="Q416" s="251">
        <f>U416*S416</f>
        <v>100</v>
      </c>
      <c r="R416" s="173">
        <f>T416*V416</f>
        <v>102.00999999999999</v>
      </c>
      <c r="S416" s="250">
        <v>0.1</v>
      </c>
      <c r="T416" s="171">
        <f>S416</f>
        <v>0.1</v>
      </c>
      <c r="U416" s="256">
        <v>1000</v>
      </c>
      <c r="V416" s="170">
        <f>SUM(E416*1.0235,I416*1.0175,M416*1.0245,Q416*1.0115)</f>
        <v>1020.0999999999999</v>
      </c>
      <c r="W416" s="258">
        <v>0.2</v>
      </c>
      <c r="X416" s="257">
        <f>U416+U416*W416</f>
        <v>1200</v>
      </c>
      <c r="Y416" s="170">
        <f>IF(V416*(W416+1)=0,X416,V416*(W416+1))</f>
        <v>1224.1199999999999</v>
      </c>
      <c r="Z416" s="170">
        <f>IF(Y416=0, 0, IF(Y416&lt;10, _xlfn.CEILING.MATH(Y416,1), IF(Y416&lt;100, _xlfn.CEILING.MATH(Y416,1),IF(Y416&lt;1000, _xlfn.CEILING.MATH(Y416,5), IF(Y416&lt;10000, _xlfn.CEILING.MATH(Y416, 25), IF(Y416&lt;100000, _xlfn.CEILING.MATH(Y416,250), IF(Y416&lt;1000000, _xlfn.CEILING.MATH(Y416,500), 0)))))))</f>
        <v>1225</v>
      </c>
      <c r="AA416" s="407">
        <f>C416*Z416</f>
        <v>0</v>
      </c>
      <c r="AB416" s="194"/>
    </row>
    <row r="417" spans="1:28" s="278" customFormat="1" x14ac:dyDescent="0.25">
      <c r="A417" s="200">
        <v>611130</v>
      </c>
      <c r="B417" s="313" t="s">
        <v>19201</v>
      </c>
      <c r="C417" s="248"/>
      <c r="D417" s="247" t="s">
        <v>3</v>
      </c>
      <c r="E417" s="249">
        <f>U417*G417</f>
        <v>375</v>
      </c>
      <c r="F417" s="170">
        <f>V417*H417</f>
        <v>382.53749999999997</v>
      </c>
      <c r="G417" s="250">
        <v>0.3</v>
      </c>
      <c r="H417" s="171">
        <f>G417</f>
        <v>0.3</v>
      </c>
      <c r="I417" s="249">
        <f>U417*K417</f>
        <v>500</v>
      </c>
      <c r="J417" s="170">
        <f>V417*L417</f>
        <v>510.05</v>
      </c>
      <c r="K417" s="250">
        <v>0.4</v>
      </c>
      <c r="L417" s="172">
        <f>K417</f>
        <v>0.4</v>
      </c>
      <c r="M417" s="249">
        <f>U417*O417</f>
        <v>250</v>
      </c>
      <c r="N417" s="170">
        <f>P417*V417</f>
        <v>255.02500000000001</v>
      </c>
      <c r="O417" s="250">
        <v>0.2</v>
      </c>
      <c r="P417" s="172">
        <f>O417</f>
        <v>0.2</v>
      </c>
      <c r="Q417" s="251">
        <f>U417*S417</f>
        <v>125</v>
      </c>
      <c r="R417" s="173">
        <f>T417*V417</f>
        <v>127.5125</v>
      </c>
      <c r="S417" s="250">
        <v>0.1</v>
      </c>
      <c r="T417" s="171">
        <f>S417</f>
        <v>0.1</v>
      </c>
      <c r="U417" s="256">
        <v>1250</v>
      </c>
      <c r="V417" s="170">
        <f>SUM(E417*1.0235,I417*1.0175,M417*1.0245,Q417*1.0115)</f>
        <v>1275.125</v>
      </c>
      <c r="W417" s="258">
        <v>0.2</v>
      </c>
      <c r="X417" s="257">
        <f>U417+U417*W417</f>
        <v>1500</v>
      </c>
      <c r="Y417" s="170">
        <f>IF(V417*(W417+1)=0,X417,V417*(W417+1))</f>
        <v>1530.1499999999999</v>
      </c>
      <c r="Z417" s="170">
        <f>IF(Y417=0, 0, IF(Y417&lt;10, _xlfn.CEILING.MATH(Y417,1), IF(Y417&lt;100, _xlfn.CEILING.MATH(Y417,1),IF(Y417&lt;1000, _xlfn.CEILING.MATH(Y417,5), IF(Y417&lt;10000, _xlfn.CEILING.MATH(Y417, 25), IF(Y417&lt;100000, _xlfn.CEILING.MATH(Y417,250), IF(Y417&lt;1000000, _xlfn.CEILING.MATH(Y417,500), 0)))))))</f>
        <v>1550</v>
      </c>
      <c r="AA417" s="407">
        <f>C417*Z417</f>
        <v>0</v>
      </c>
      <c r="AB417" s="194"/>
    </row>
    <row r="418" spans="1:28" s="278" customFormat="1" x14ac:dyDescent="0.25">
      <c r="A418" s="195" t="s">
        <v>14637</v>
      </c>
      <c r="B418" s="317" t="s">
        <v>14638</v>
      </c>
      <c r="C418" s="241"/>
      <c r="D418" s="242"/>
      <c r="E418" s="243"/>
      <c r="F418" s="244"/>
      <c r="G418" s="245"/>
      <c r="H418" s="246"/>
      <c r="I418" s="243"/>
      <c r="J418" s="244"/>
      <c r="K418" s="245"/>
      <c r="L418" s="246"/>
      <c r="M418" s="243"/>
      <c r="N418" s="244"/>
      <c r="O418" s="245"/>
      <c r="P418" s="246"/>
      <c r="Q418" s="243"/>
      <c r="R418" s="244"/>
      <c r="S418" s="245"/>
      <c r="T418" s="246"/>
      <c r="U418" s="246"/>
      <c r="V418" s="246"/>
      <c r="W418" s="246"/>
      <c r="X418" s="246"/>
      <c r="Y418" s="244"/>
      <c r="Z418" s="244"/>
      <c r="AA418" s="406"/>
      <c r="AB418" s="194"/>
    </row>
    <row r="419" spans="1:28" s="278" customFormat="1" x14ac:dyDescent="0.25">
      <c r="A419" s="200">
        <v>701104</v>
      </c>
      <c r="B419" s="313" t="s">
        <v>19202</v>
      </c>
      <c r="C419" s="248"/>
      <c r="D419" s="247" t="s">
        <v>2</v>
      </c>
      <c r="E419" s="249">
        <f t="shared" ref="E419:F428" si="250">U419*G419</f>
        <v>11.666549999999999</v>
      </c>
      <c r="F419" s="170">
        <f t="shared" si="250"/>
        <v>11.9004643275</v>
      </c>
      <c r="G419" s="250">
        <v>0.35</v>
      </c>
      <c r="H419" s="171">
        <f t="shared" ref="H419:H428" si="251">G419</f>
        <v>0.35</v>
      </c>
      <c r="I419" s="249">
        <f t="shared" ref="I419:J428" si="252">U419*K419</f>
        <v>13.3332</v>
      </c>
      <c r="J419" s="170">
        <f t="shared" si="252"/>
        <v>13.600530660000002</v>
      </c>
      <c r="K419" s="250">
        <v>0.4</v>
      </c>
      <c r="L419" s="172">
        <f t="shared" ref="L419:L428" si="253">K419</f>
        <v>0.4</v>
      </c>
      <c r="M419" s="249">
        <f t="shared" ref="M419:M428" si="254">U419*O419</f>
        <v>4.9999499999999992</v>
      </c>
      <c r="N419" s="170">
        <f t="shared" ref="N419:N428" si="255">P419*V419</f>
        <v>5.1001989975000006</v>
      </c>
      <c r="O419" s="250">
        <v>0.15</v>
      </c>
      <c r="P419" s="172">
        <f t="shared" ref="P419:P428" si="256">O419</f>
        <v>0.15</v>
      </c>
      <c r="Q419" s="251">
        <f t="shared" ref="Q419:Q428" si="257">U419*S419</f>
        <v>3.3332999999999999</v>
      </c>
      <c r="R419" s="173">
        <f t="shared" ref="R419:R428" si="258">T419*V419</f>
        <v>3.4001326650000006</v>
      </c>
      <c r="S419" s="250">
        <v>0.1</v>
      </c>
      <c r="T419" s="171">
        <f t="shared" ref="T419:T428" si="259">S419</f>
        <v>0.1</v>
      </c>
      <c r="U419" s="256">
        <v>33.332999999999998</v>
      </c>
      <c r="V419" s="170">
        <f t="shared" ref="V419:V428" si="260">SUM(E419*1.0235,I419*1.0175,M419*1.0245,Q419*1.0115)</f>
        <v>34.001326650000003</v>
      </c>
      <c r="W419" s="258">
        <v>0.2</v>
      </c>
      <c r="X419" s="257">
        <f t="shared" ref="X419:X428" si="261">U419+U419*W419</f>
        <v>39.999600000000001</v>
      </c>
      <c r="Y419" s="170">
        <f t="shared" ref="Y419:Y428" si="262">IF(V419*(W419+1)=0,X419,V419*(W419+1))</f>
        <v>40.801591980000005</v>
      </c>
      <c r="Z419" s="170">
        <f t="shared" ref="Z419:Z428" si="263">IF(Y419=0, 0, IF(Y419&lt;10, _xlfn.CEILING.MATH(Y419,1), IF(Y419&lt;100, _xlfn.CEILING.MATH(Y419,1),IF(Y419&lt;1000, _xlfn.CEILING.MATH(Y419,5), IF(Y419&lt;10000, _xlfn.CEILING.MATH(Y419, 25), IF(Y419&lt;100000, _xlfn.CEILING.MATH(Y419,250), IF(Y419&lt;1000000, _xlfn.CEILING.MATH(Y419,500), 0)))))))</f>
        <v>41</v>
      </c>
      <c r="AA419" s="407">
        <f t="shared" ref="AA419:AA428" si="264">C419*Z419</f>
        <v>0</v>
      </c>
      <c r="AB419" s="194"/>
    </row>
    <row r="420" spans="1:28" s="278" customFormat="1" x14ac:dyDescent="0.25">
      <c r="A420" s="200">
        <v>701104</v>
      </c>
      <c r="B420" s="313" t="s">
        <v>19203</v>
      </c>
      <c r="C420" s="248"/>
      <c r="D420" s="247" t="s">
        <v>2</v>
      </c>
      <c r="E420" s="249">
        <f t="shared" si="250"/>
        <v>9.625</v>
      </c>
      <c r="F420" s="170">
        <f t="shared" si="250"/>
        <v>9.817981249999999</v>
      </c>
      <c r="G420" s="250">
        <v>0.35</v>
      </c>
      <c r="H420" s="171">
        <f t="shared" si="251"/>
        <v>0.35</v>
      </c>
      <c r="I420" s="249">
        <f t="shared" si="252"/>
        <v>11</v>
      </c>
      <c r="J420" s="170">
        <f t="shared" si="252"/>
        <v>11.220550000000001</v>
      </c>
      <c r="K420" s="250">
        <v>0.4</v>
      </c>
      <c r="L420" s="172">
        <f t="shared" si="253"/>
        <v>0.4</v>
      </c>
      <c r="M420" s="249">
        <f t="shared" si="254"/>
        <v>4.125</v>
      </c>
      <c r="N420" s="170">
        <f t="shared" si="255"/>
        <v>4.2077062500000002</v>
      </c>
      <c r="O420" s="250">
        <v>0.15</v>
      </c>
      <c r="P420" s="172">
        <f t="shared" si="256"/>
        <v>0.15</v>
      </c>
      <c r="Q420" s="251">
        <f t="shared" si="257"/>
        <v>2.75</v>
      </c>
      <c r="R420" s="173">
        <f t="shared" si="258"/>
        <v>2.8051375000000003</v>
      </c>
      <c r="S420" s="250">
        <v>0.1</v>
      </c>
      <c r="T420" s="171">
        <f t="shared" si="259"/>
        <v>0.1</v>
      </c>
      <c r="U420" s="256">
        <v>27.5</v>
      </c>
      <c r="V420" s="170">
        <f t="shared" si="260"/>
        <v>28.051375</v>
      </c>
      <c r="W420" s="258">
        <v>0.2</v>
      </c>
      <c r="X420" s="257">
        <f t="shared" si="261"/>
        <v>33</v>
      </c>
      <c r="Y420" s="170">
        <f t="shared" si="262"/>
        <v>33.661650000000002</v>
      </c>
      <c r="Z420" s="170">
        <f t="shared" si="263"/>
        <v>34</v>
      </c>
      <c r="AA420" s="407">
        <f t="shared" si="264"/>
        <v>0</v>
      </c>
      <c r="AB420" s="194"/>
    </row>
    <row r="421" spans="1:28" s="278" customFormat="1" x14ac:dyDescent="0.25">
      <c r="A421" s="200">
        <v>701106</v>
      </c>
      <c r="B421" s="313" t="s">
        <v>19204</v>
      </c>
      <c r="C421" s="248"/>
      <c r="D421" s="247" t="s">
        <v>2</v>
      </c>
      <c r="E421" s="249">
        <f t="shared" si="250"/>
        <v>12.25</v>
      </c>
      <c r="F421" s="170">
        <f t="shared" si="250"/>
        <v>12.4956125</v>
      </c>
      <c r="G421" s="250">
        <v>0.35</v>
      </c>
      <c r="H421" s="171">
        <f t="shared" si="251"/>
        <v>0.35</v>
      </c>
      <c r="I421" s="249">
        <f t="shared" si="252"/>
        <v>14</v>
      </c>
      <c r="J421" s="170">
        <f t="shared" si="252"/>
        <v>14.280700000000003</v>
      </c>
      <c r="K421" s="250">
        <v>0.4</v>
      </c>
      <c r="L421" s="172">
        <f t="shared" si="253"/>
        <v>0.4</v>
      </c>
      <c r="M421" s="249">
        <f t="shared" si="254"/>
        <v>5.25</v>
      </c>
      <c r="N421" s="170">
        <f t="shared" si="255"/>
        <v>5.3552625000000003</v>
      </c>
      <c r="O421" s="250">
        <v>0.15</v>
      </c>
      <c r="P421" s="172">
        <f t="shared" si="256"/>
        <v>0.15</v>
      </c>
      <c r="Q421" s="251">
        <f t="shared" si="257"/>
        <v>3.5</v>
      </c>
      <c r="R421" s="173">
        <f t="shared" si="258"/>
        <v>3.5701750000000008</v>
      </c>
      <c r="S421" s="250">
        <v>0.1</v>
      </c>
      <c r="T421" s="171">
        <f t="shared" si="259"/>
        <v>0.1</v>
      </c>
      <c r="U421" s="256">
        <v>35</v>
      </c>
      <c r="V421" s="170">
        <f t="shared" si="260"/>
        <v>35.701750000000004</v>
      </c>
      <c r="W421" s="258">
        <v>0.2</v>
      </c>
      <c r="X421" s="257">
        <f t="shared" si="261"/>
        <v>42</v>
      </c>
      <c r="Y421" s="170">
        <f t="shared" si="262"/>
        <v>42.842100000000002</v>
      </c>
      <c r="Z421" s="170">
        <f t="shared" si="263"/>
        <v>43</v>
      </c>
      <c r="AA421" s="407">
        <f t="shared" si="264"/>
        <v>0</v>
      </c>
      <c r="AB421" s="194"/>
    </row>
    <row r="422" spans="1:28" s="278" customFormat="1" x14ac:dyDescent="0.25">
      <c r="A422" s="200">
        <v>701106</v>
      </c>
      <c r="B422" s="313" t="s">
        <v>19205</v>
      </c>
      <c r="C422" s="248"/>
      <c r="D422" s="247" t="s">
        <v>2</v>
      </c>
      <c r="E422" s="249">
        <f t="shared" si="250"/>
        <v>10.5</v>
      </c>
      <c r="F422" s="170">
        <f t="shared" si="250"/>
        <v>10.710525000000001</v>
      </c>
      <c r="G422" s="250">
        <v>0.35</v>
      </c>
      <c r="H422" s="171">
        <f t="shared" si="251"/>
        <v>0.35</v>
      </c>
      <c r="I422" s="249">
        <f t="shared" si="252"/>
        <v>12</v>
      </c>
      <c r="J422" s="170">
        <f t="shared" si="252"/>
        <v>12.240600000000001</v>
      </c>
      <c r="K422" s="250">
        <v>0.4</v>
      </c>
      <c r="L422" s="172">
        <f t="shared" si="253"/>
        <v>0.4</v>
      </c>
      <c r="M422" s="249">
        <f t="shared" si="254"/>
        <v>4.5</v>
      </c>
      <c r="N422" s="170">
        <f t="shared" si="255"/>
        <v>4.5902250000000002</v>
      </c>
      <c r="O422" s="250">
        <v>0.15</v>
      </c>
      <c r="P422" s="172">
        <f t="shared" si="256"/>
        <v>0.15</v>
      </c>
      <c r="Q422" s="251">
        <f t="shared" si="257"/>
        <v>3</v>
      </c>
      <c r="R422" s="173">
        <f t="shared" si="258"/>
        <v>3.0601500000000001</v>
      </c>
      <c r="S422" s="250">
        <v>0.1</v>
      </c>
      <c r="T422" s="171">
        <f t="shared" si="259"/>
        <v>0.1</v>
      </c>
      <c r="U422" s="256">
        <v>30</v>
      </c>
      <c r="V422" s="170">
        <f t="shared" si="260"/>
        <v>30.601500000000001</v>
      </c>
      <c r="W422" s="258">
        <v>0.2</v>
      </c>
      <c r="X422" s="257">
        <f t="shared" si="261"/>
        <v>36</v>
      </c>
      <c r="Y422" s="170">
        <f t="shared" si="262"/>
        <v>36.721800000000002</v>
      </c>
      <c r="Z422" s="170">
        <f t="shared" si="263"/>
        <v>37</v>
      </c>
      <c r="AA422" s="407">
        <f t="shared" si="264"/>
        <v>0</v>
      </c>
      <c r="AB422" s="194"/>
    </row>
    <row r="423" spans="1:28" s="278" customFormat="1" x14ac:dyDescent="0.25">
      <c r="A423" s="200">
        <v>701108</v>
      </c>
      <c r="B423" s="313" t="s">
        <v>19206</v>
      </c>
      <c r="C423" s="248"/>
      <c r="D423" s="247" t="s">
        <v>2</v>
      </c>
      <c r="E423" s="249">
        <f t="shared" si="250"/>
        <v>13.125</v>
      </c>
      <c r="F423" s="170">
        <f t="shared" si="250"/>
        <v>13.388156250000002</v>
      </c>
      <c r="G423" s="250">
        <v>0.35</v>
      </c>
      <c r="H423" s="171">
        <f t="shared" si="251"/>
        <v>0.35</v>
      </c>
      <c r="I423" s="249">
        <f t="shared" si="252"/>
        <v>15</v>
      </c>
      <c r="J423" s="170">
        <f t="shared" si="252"/>
        <v>15.300750000000003</v>
      </c>
      <c r="K423" s="250">
        <v>0.4</v>
      </c>
      <c r="L423" s="172">
        <f t="shared" si="253"/>
        <v>0.4</v>
      </c>
      <c r="M423" s="249">
        <f t="shared" si="254"/>
        <v>5.625</v>
      </c>
      <c r="N423" s="170">
        <f t="shared" si="255"/>
        <v>5.7377812500000003</v>
      </c>
      <c r="O423" s="250">
        <v>0.15</v>
      </c>
      <c r="P423" s="172">
        <f t="shared" si="256"/>
        <v>0.15</v>
      </c>
      <c r="Q423" s="251">
        <f t="shared" si="257"/>
        <v>3.75</v>
      </c>
      <c r="R423" s="173">
        <f t="shared" si="258"/>
        <v>3.8251875000000006</v>
      </c>
      <c r="S423" s="250">
        <v>0.1</v>
      </c>
      <c r="T423" s="171">
        <f t="shared" si="259"/>
        <v>0.1</v>
      </c>
      <c r="U423" s="256">
        <v>37.5</v>
      </c>
      <c r="V423" s="170">
        <f t="shared" si="260"/>
        <v>38.251875000000005</v>
      </c>
      <c r="W423" s="258">
        <v>0.2</v>
      </c>
      <c r="X423" s="257">
        <f t="shared" si="261"/>
        <v>45</v>
      </c>
      <c r="Y423" s="170">
        <f t="shared" si="262"/>
        <v>45.902250000000002</v>
      </c>
      <c r="Z423" s="170">
        <f t="shared" si="263"/>
        <v>46</v>
      </c>
      <c r="AA423" s="407">
        <f t="shared" si="264"/>
        <v>0</v>
      </c>
      <c r="AB423" s="194"/>
    </row>
    <row r="424" spans="1:28" s="278" customFormat="1" x14ac:dyDescent="0.25">
      <c r="A424" s="200">
        <v>701108</v>
      </c>
      <c r="B424" s="313" t="s">
        <v>19207</v>
      </c>
      <c r="C424" s="248"/>
      <c r="D424" s="247" t="s">
        <v>2</v>
      </c>
      <c r="E424" s="249">
        <f t="shared" si="250"/>
        <v>11.083345</v>
      </c>
      <c r="F424" s="170">
        <f t="shared" si="250"/>
        <v>11.30556606725</v>
      </c>
      <c r="G424" s="250">
        <v>0.35</v>
      </c>
      <c r="H424" s="171">
        <f t="shared" si="251"/>
        <v>0.35</v>
      </c>
      <c r="I424" s="249">
        <f t="shared" si="252"/>
        <v>12.666679999999999</v>
      </c>
      <c r="J424" s="170">
        <f t="shared" si="252"/>
        <v>12.920646934000002</v>
      </c>
      <c r="K424" s="250">
        <v>0.4</v>
      </c>
      <c r="L424" s="172">
        <f t="shared" si="253"/>
        <v>0.4</v>
      </c>
      <c r="M424" s="249">
        <f t="shared" si="254"/>
        <v>4.7500049999999998</v>
      </c>
      <c r="N424" s="170">
        <f t="shared" si="255"/>
        <v>4.8452426002500006</v>
      </c>
      <c r="O424" s="250">
        <v>0.15</v>
      </c>
      <c r="P424" s="172">
        <f t="shared" si="256"/>
        <v>0.15</v>
      </c>
      <c r="Q424" s="251">
        <f t="shared" si="257"/>
        <v>3.1666699999999999</v>
      </c>
      <c r="R424" s="173">
        <f t="shared" si="258"/>
        <v>3.2301617335000006</v>
      </c>
      <c r="S424" s="250">
        <v>0.1</v>
      </c>
      <c r="T424" s="171">
        <f t="shared" si="259"/>
        <v>0.1</v>
      </c>
      <c r="U424" s="256">
        <v>31.666699999999999</v>
      </c>
      <c r="V424" s="170">
        <f t="shared" si="260"/>
        <v>32.301617335000003</v>
      </c>
      <c r="W424" s="258">
        <v>0.2</v>
      </c>
      <c r="X424" s="257">
        <f t="shared" si="261"/>
        <v>38.000039999999998</v>
      </c>
      <c r="Y424" s="170">
        <f t="shared" si="262"/>
        <v>38.761940802000005</v>
      </c>
      <c r="Z424" s="170">
        <f t="shared" si="263"/>
        <v>39</v>
      </c>
      <c r="AA424" s="407">
        <f t="shared" si="264"/>
        <v>0</v>
      </c>
      <c r="AB424" s="194"/>
    </row>
    <row r="425" spans="1:28" s="278" customFormat="1" x14ac:dyDescent="0.25">
      <c r="A425" s="200">
        <v>701110</v>
      </c>
      <c r="B425" s="313" t="s">
        <v>19208</v>
      </c>
      <c r="C425" s="248"/>
      <c r="D425" s="247" t="s">
        <v>2</v>
      </c>
      <c r="E425" s="249">
        <f t="shared" si="250"/>
        <v>11.75001</v>
      </c>
      <c r="F425" s="170">
        <f t="shared" si="250"/>
        <v>11.986185201</v>
      </c>
      <c r="G425" s="250">
        <v>0.3</v>
      </c>
      <c r="H425" s="171">
        <f t="shared" si="251"/>
        <v>0.3</v>
      </c>
      <c r="I425" s="249">
        <f t="shared" si="252"/>
        <v>15.666679999999999</v>
      </c>
      <c r="J425" s="170">
        <f t="shared" si="252"/>
        <v>15.981580268</v>
      </c>
      <c r="K425" s="250">
        <v>0.4</v>
      </c>
      <c r="L425" s="172">
        <f t="shared" si="253"/>
        <v>0.4</v>
      </c>
      <c r="M425" s="249">
        <f t="shared" si="254"/>
        <v>7.8333399999999997</v>
      </c>
      <c r="N425" s="170">
        <f t="shared" si="255"/>
        <v>7.990790134</v>
      </c>
      <c r="O425" s="250">
        <v>0.2</v>
      </c>
      <c r="P425" s="172">
        <f t="shared" si="256"/>
        <v>0.2</v>
      </c>
      <c r="Q425" s="251">
        <f t="shared" si="257"/>
        <v>3.9166699999999999</v>
      </c>
      <c r="R425" s="173">
        <f t="shared" si="258"/>
        <v>3.995395067</v>
      </c>
      <c r="S425" s="250">
        <v>0.1</v>
      </c>
      <c r="T425" s="171">
        <f t="shared" si="259"/>
        <v>0.1</v>
      </c>
      <c r="U425" s="256">
        <v>39.166699999999999</v>
      </c>
      <c r="V425" s="170">
        <f t="shared" si="260"/>
        <v>39.953950669999998</v>
      </c>
      <c r="W425" s="258">
        <v>0.2</v>
      </c>
      <c r="X425" s="257">
        <f t="shared" si="261"/>
        <v>47.000039999999998</v>
      </c>
      <c r="Y425" s="170">
        <f t="shared" si="262"/>
        <v>47.944740803999998</v>
      </c>
      <c r="Z425" s="170">
        <f t="shared" si="263"/>
        <v>48</v>
      </c>
      <c r="AA425" s="407">
        <f t="shared" si="264"/>
        <v>0</v>
      </c>
      <c r="AB425" s="194"/>
    </row>
    <row r="426" spans="1:28" s="278" customFormat="1" x14ac:dyDescent="0.25">
      <c r="A426" s="200">
        <v>701110</v>
      </c>
      <c r="B426" s="313" t="s">
        <v>19209</v>
      </c>
      <c r="C426" s="248"/>
      <c r="D426" s="247" t="s">
        <v>2</v>
      </c>
      <c r="E426" s="249">
        <f t="shared" si="250"/>
        <v>9.9989999999999988</v>
      </c>
      <c r="F426" s="170">
        <f t="shared" si="250"/>
        <v>10.199979899999999</v>
      </c>
      <c r="G426" s="250">
        <v>0.3</v>
      </c>
      <c r="H426" s="171">
        <f t="shared" si="251"/>
        <v>0.3</v>
      </c>
      <c r="I426" s="249">
        <f t="shared" si="252"/>
        <v>13.332000000000001</v>
      </c>
      <c r="J426" s="170">
        <f t="shared" si="252"/>
        <v>13.599973200000001</v>
      </c>
      <c r="K426" s="250">
        <v>0.4</v>
      </c>
      <c r="L426" s="172">
        <f t="shared" si="253"/>
        <v>0.4</v>
      </c>
      <c r="M426" s="249">
        <f t="shared" si="254"/>
        <v>6.6660000000000004</v>
      </c>
      <c r="N426" s="170">
        <f t="shared" si="255"/>
        <v>6.7999866000000004</v>
      </c>
      <c r="O426" s="250">
        <v>0.2</v>
      </c>
      <c r="P426" s="172">
        <f t="shared" si="256"/>
        <v>0.2</v>
      </c>
      <c r="Q426" s="251">
        <f t="shared" si="257"/>
        <v>3.3330000000000002</v>
      </c>
      <c r="R426" s="173">
        <f t="shared" si="258"/>
        <v>3.3999933000000002</v>
      </c>
      <c r="S426" s="250">
        <v>0.1</v>
      </c>
      <c r="T426" s="171">
        <f t="shared" si="259"/>
        <v>0.1</v>
      </c>
      <c r="U426" s="256">
        <v>33.33</v>
      </c>
      <c r="V426" s="170">
        <f t="shared" si="260"/>
        <v>33.999932999999999</v>
      </c>
      <c r="W426" s="258">
        <v>0.2</v>
      </c>
      <c r="X426" s="257">
        <f t="shared" si="261"/>
        <v>39.995999999999995</v>
      </c>
      <c r="Y426" s="170">
        <f t="shared" si="262"/>
        <v>40.799919599999996</v>
      </c>
      <c r="Z426" s="170">
        <f t="shared" si="263"/>
        <v>41</v>
      </c>
      <c r="AA426" s="407">
        <f t="shared" si="264"/>
        <v>0</v>
      </c>
      <c r="AB426" s="194"/>
    </row>
    <row r="427" spans="1:28" s="278" customFormat="1" x14ac:dyDescent="0.25">
      <c r="A427" s="200">
        <v>701450</v>
      </c>
      <c r="B427" s="313" t="s">
        <v>19210</v>
      </c>
      <c r="C427" s="248"/>
      <c r="D427" s="247" t="s">
        <v>3</v>
      </c>
      <c r="E427" s="249">
        <f t="shared" si="250"/>
        <v>9.1666000000000007</v>
      </c>
      <c r="F427" s="170">
        <f t="shared" si="250"/>
        <v>9.3453487000000006</v>
      </c>
      <c r="G427" s="250">
        <v>0.2</v>
      </c>
      <c r="H427" s="171">
        <f t="shared" si="251"/>
        <v>0.2</v>
      </c>
      <c r="I427" s="249">
        <f t="shared" si="252"/>
        <v>22.916499999999999</v>
      </c>
      <c r="J427" s="170">
        <f t="shared" si="252"/>
        <v>23.363371750000002</v>
      </c>
      <c r="K427" s="250">
        <v>0.5</v>
      </c>
      <c r="L427" s="172">
        <f t="shared" si="253"/>
        <v>0.5</v>
      </c>
      <c r="M427" s="249">
        <f t="shared" si="254"/>
        <v>9.1666000000000007</v>
      </c>
      <c r="N427" s="170">
        <f t="shared" si="255"/>
        <v>9.3453487000000006</v>
      </c>
      <c r="O427" s="250">
        <v>0.2</v>
      </c>
      <c r="P427" s="172">
        <f t="shared" si="256"/>
        <v>0.2</v>
      </c>
      <c r="Q427" s="251">
        <f t="shared" si="257"/>
        <v>4.5833000000000004</v>
      </c>
      <c r="R427" s="173">
        <f t="shared" si="258"/>
        <v>4.6726743500000003</v>
      </c>
      <c r="S427" s="250">
        <v>0.1</v>
      </c>
      <c r="T427" s="171">
        <f t="shared" si="259"/>
        <v>0.1</v>
      </c>
      <c r="U427" s="256">
        <v>45.832999999999998</v>
      </c>
      <c r="V427" s="170">
        <f t="shared" si="260"/>
        <v>46.726743500000005</v>
      </c>
      <c r="W427" s="258">
        <v>0.2</v>
      </c>
      <c r="X427" s="257">
        <f t="shared" si="261"/>
        <v>54.999600000000001</v>
      </c>
      <c r="Y427" s="170">
        <f t="shared" si="262"/>
        <v>56.072092200000007</v>
      </c>
      <c r="Z427" s="170">
        <f t="shared" si="263"/>
        <v>57</v>
      </c>
      <c r="AA427" s="407">
        <f t="shared" si="264"/>
        <v>0</v>
      </c>
      <c r="AB427" s="194"/>
    </row>
    <row r="428" spans="1:28" s="278" customFormat="1" x14ac:dyDescent="0.25">
      <c r="A428" s="200">
        <v>701450</v>
      </c>
      <c r="B428" s="313" t="s">
        <v>19211</v>
      </c>
      <c r="C428" s="248"/>
      <c r="D428" s="247" t="s">
        <v>3</v>
      </c>
      <c r="E428" s="249">
        <f t="shared" si="250"/>
        <v>8.3333399999999997</v>
      </c>
      <c r="F428" s="170">
        <f t="shared" si="250"/>
        <v>8.4958401300000013</v>
      </c>
      <c r="G428" s="250">
        <v>0.2</v>
      </c>
      <c r="H428" s="171">
        <f t="shared" si="251"/>
        <v>0.2</v>
      </c>
      <c r="I428" s="249">
        <f t="shared" si="252"/>
        <v>20.833349999999999</v>
      </c>
      <c r="J428" s="170">
        <f t="shared" si="252"/>
        <v>21.239600325000001</v>
      </c>
      <c r="K428" s="250">
        <v>0.5</v>
      </c>
      <c r="L428" s="172">
        <f t="shared" si="253"/>
        <v>0.5</v>
      </c>
      <c r="M428" s="249">
        <f t="shared" si="254"/>
        <v>8.3333399999999997</v>
      </c>
      <c r="N428" s="170">
        <f t="shared" si="255"/>
        <v>8.4958401300000013</v>
      </c>
      <c r="O428" s="250">
        <v>0.2</v>
      </c>
      <c r="P428" s="172">
        <f t="shared" si="256"/>
        <v>0.2</v>
      </c>
      <c r="Q428" s="251">
        <f t="shared" si="257"/>
        <v>4.1666699999999999</v>
      </c>
      <c r="R428" s="173">
        <f t="shared" si="258"/>
        <v>4.2479200650000006</v>
      </c>
      <c r="S428" s="250">
        <v>0.1</v>
      </c>
      <c r="T428" s="171">
        <f t="shared" si="259"/>
        <v>0.1</v>
      </c>
      <c r="U428" s="256">
        <v>41.666699999999999</v>
      </c>
      <c r="V428" s="170">
        <f t="shared" si="260"/>
        <v>42.479200650000003</v>
      </c>
      <c r="W428" s="258">
        <v>0.2</v>
      </c>
      <c r="X428" s="257">
        <f t="shared" si="261"/>
        <v>50.000039999999998</v>
      </c>
      <c r="Y428" s="170">
        <f t="shared" si="262"/>
        <v>50.97504078</v>
      </c>
      <c r="Z428" s="170">
        <f t="shared" si="263"/>
        <v>51</v>
      </c>
      <c r="AA428" s="407">
        <f t="shared" si="264"/>
        <v>0</v>
      </c>
      <c r="AB428" s="194"/>
    </row>
    <row r="429" spans="1:28" s="278" customFormat="1" x14ac:dyDescent="0.25">
      <c r="A429" s="195" t="s">
        <v>14639</v>
      </c>
      <c r="B429" s="317" t="s">
        <v>14640</v>
      </c>
      <c r="C429" s="241"/>
      <c r="D429" s="242"/>
      <c r="E429" s="243"/>
      <c r="F429" s="244"/>
      <c r="G429" s="245"/>
      <c r="H429" s="246"/>
      <c r="I429" s="243"/>
      <c r="J429" s="244"/>
      <c r="K429" s="245"/>
      <c r="L429" s="246"/>
      <c r="M429" s="243"/>
      <c r="N429" s="244"/>
      <c r="O429" s="245"/>
      <c r="P429" s="246"/>
      <c r="Q429" s="243"/>
      <c r="R429" s="244"/>
      <c r="S429" s="245"/>
      <c r="T429" s="246"/>
      <c r="U429" s="246"/>
      <c r="V429" s="246"/>
      <c r="W429" s="246"/>
      <c r="X429" s="246"/>
      <c r="Y429" s="244"/>
      <c r="Z429" s="244"/>
      <c r="AA429" s="406"/>
      <c r="AB429" s="194"/>
    </row>
    <row r="430" spans="1:28" s="278" customFormat="1" x14ac:dyDescent="0.25">
      <c r="A430" s="200">
        <v>705008</v>
      </c>
      <c r="B430" s="313" t="s">
        <v>19212</v>
      </c>
      <c r="C430" s="248"/>
      <c r="D430" s="247" t="s">
        <v>11</v>
      </c>
      <c r="E430" s="249">
        <f t="shared" ref="E430:F461" si="265">U430*G430</f>
        <v>1299.8999999999999</v>
      </c>
      <c r="F430" s="170">
        <f t="shared" si="265"/>
        <v>0</v>
      </c>
      <c r="G430" s="250">
        <v>0.3</v>
      </c>
      <c r="H430" s="171">
        <f t="shared" ref="H430:H493" si="266">G430</f>
        <v>0.3</v>
      </c>
      <c r="I430" s="249">
        <f t="shared" ref="I430:J461" si="267">U430*K430</f>
        <v>2166.5</v>
      </c>
      <c r="J430" s="170">
        <f t="shared" si="267"/>
        <v>0</v>
      </c>
      <c r="K430" s="252">
        <v>0.5</v>
      </c>
      <c r="L430" s="172">
        <f t="shared" ref="L430:L493" si="268">K430</f>
        <v>0.5</v>
      </c>
      <c r="M430" s="249">
        <f t="shared" ref="M430:M493" si="269">U430*O430</f>
        <v>649.94999999999993</v>
      </c>
      <c r="N430" s="170">
        <f t="shared" ref="N430:N493" si="270">P430*V430</f>
        <v>0</v>
      </c>
      <c r="O430" s="250">
        <v>0.15</v>
      </c>
      <c r="P430" s="172">
        <f t="shared" ref="P430:P493" si="271">O430</f>
        <v>0.15</v>
      </c>
      <c r="Q430" s="251">
        <f t="shared" ref="Q430:Q493" si="272">U430*S430</f>
        <v>216.65</v>
      </c>
      <c r="R430" s="173">
        <f t="shared" ref="R430:R493" si="273">T430*V430</f>
        <v>0</v>
      </c>
      <c r="S430" s="250">
        <v>0.05</v>
      </c>
      <c r="T430" s="171">
        <f t="shared" ref="T430:T493" si="274">S430</f>
        <v>0.05</v>
      </c>
      <c r="U430" s="256">
        <v>4333</v>
      </c>
      <c r="V430" s="170"/>
      <c r="W430" s="258">
        <v>0.2</v>
      </c>
      <c r="X430" s="257">
        <f t="shared" ref="X430:X490" si="275">U430+U430*W430</f>
        <v>5199.6000000000004</v>
      </c>
      <c r="Y430" s="170">
        <f t="shared" ref="Y430:Y493" si="276">IF(V430*(W430+1)=0,X430,V430*(W430+1))</f>
        <v>5199.6000000000004</v>
      </c>
      <c r="Z430" s="170">
        <f t="shared" ref="Z430:Z493" si="277">IF(Y430=0, 0, IF(Y430&lt;10, _xlfn.CEILING.MATH(Y430,1), IF(Y430&lt;100, _xlfn.CEILING.MATH(Y430,1),IF(Y430&lt;1000, _xlfn.CEILING.MATH(Y430,5), IF(Y430&lt;10000, _xlfn.CEILING.MATH(Y430, 25), IF(Y430&lt;100000, _xlfn.CEILING.MATH(Y430,250), IF(Y430&lt;1000000, _xlfn.CEILING.MATH(Y430,500), 0)))))))</f>
        <v>5200</v>
      </c>
      <c r="AA430" s="407">
        <f t="shared" ref="AA430:AA493" si="278">C430*Z430</f>
        <v>0</v>
      </c>
      <c r="AB430" s="194"/>
    </row>
    <row r="431" spans="1:28" s="278" customFormat="1" x14ac:dyDescent="0.25">
      <c r="A431" s="200">
        <v>705008</v>
      </c>
      <c r="B431" s="313" t="s">
        <v>19213</v>
      </c>
      <c r="C431" s="248"/>
      <c r="D431" s="247" t="s">
        <v>11</v>
      </c>
      <c r="E431" s="249">
        <f t="shared" si="265"/>
        <v>975</v>
      </c>
      <c r="F431" s="170">
        <f t="shared" si="265"/>
        <v>994.54875000000004</v>
      </c>
      <c r="G431" s="250">
        <v>0.3</v>
      </c>
      <c r="H431" s="171">
        <f t="shared" si="266"/>
        <v>0.3</v>
      </c>
      <c r="I431" s="249">
        <f t="shared" si="267"/>
        <v>1625</v>
      </c>
      <c r="J431" s="170">
        <f t="shared" si="267"/>
        <v>1657.5812500000002</v>
      </c>
      <c r="K431" s="252">
        <v>0.5</v>
      </c>
      <c r="L431" s="172">
        <f t="shared" si="268"/>
        <v>0.5</v>
      </c>
      <c r="M431" s="249">
        <f t="shared" si="269"/>
        <v>487.5</v>
      </c>
      <c r="N431" s="170">
        <f t="shared" si="270"/>
        <v>497.27437500000002</v>
      </c>
      <c r="O431" s="250">
        <v>0.15</v>
      </c>
      <c r="P431" s="172">
        <f t="shared" si="271"/>
        <v>0.15</v>
      </c>
      <c r="Q431" s="251">
        <f t="shared" si="272"/>
        <v>162.5</v>
      </c>
      <c r="R431" s="173">
        <f t="shared" si="273"/>
        <v>165.75812500000004</v>
      </c>
      <c r="S431" s="250">
        <v>0.05</v>
      </c>
      <c r="T431" s="171">
        <f t="shared" si="274"/>
        <v>0.05</v>
      </c>
      <c r="U431" s="256">
        <v>3250</v>
      </c>
      <c r="V431" s="170">
        <f>SUM(E431*1.0235,I431*1.0175,M431*1.0245,Q431*1.0115)</f>
        <v>3315.1625000000004</v>
      </c>
      <c r="W431" s="258">
        <v>0.2</v>
      </c>
      <c r="X431" s="257">
        <f t="shared" si="275"/>
        <v>3900</v>
      </c>
      <c r="Y431" s="170">
        <f t="shared" si="276"/>
        <v>3978.1950000000002</v>
      </c>
      <c r="Z431" s="170">
        <f t="shared" si="277"/>
        <v>4000</v>
      </c>
      <c r="AA431" s="407">
        <f t="shared" si="278"/>
        <v>0</v>
      </c>
      <c r="AB431" s="194"/>
    </row>
    <row r="432" spans="1:28" s="278" customFormat="1" x14ac:dyDescent="0.25">
      <c r="A432" s="200">
        <v>705009</v>
      </c>
      <c r="B432" s="313" t="s">
        <v>19214</v>
      </c>
      <c r="C432" s="248"/>
      <c r="D432" s="247" t="s">
        <v>11</v>
      </c>
      <c r="E432" s="249">
        <f t="shared" si="265"/>
        <v>1312.5</v>
      </c>
      <c r="F432" s="170">
        <f t="shared" si="265"/>
        <v>0</v>
      </c>
      <c r="G432" s="250">
        <v>0.3</v>
      </c>
      <c r="H432" s="171">
        <f t="shared" si="266"/>
        <v>0.3</v>
      </c>
      <c r="I432" s="249">
        <f t="shared" si="267"/>
        <v>2187.5</v>
      </c>
      <c r="J432" s="170">
        <f t="shared" si="267"/>
        <v>0</v>
      </c>
      <c r="K432" s="252">
        <v>0.5</v>
      </c>
      <c r="L432" s="172">
        <f t="shared" si="268"/>
        <v>0.5</v>
      </c>
      <c r="M432" s="249">
        <f t="shared" si="269"/>
        <v>656.25</v>
      </c>
      <c r="N432" s="170">
        <f t="shared" si="270"/>
        <v>0</v>
      </c>
      <c r="O432" s="250">
        <v>0.15</v>
      </c>
      <c r="P432" s="172">
        <f t="shared" si="271"/>
        <v>0.15</v>
      </c>
      <c r="Q432" s="251">
        <f t="shared" si="272"/>
        <v>218.75</v>
      </c>
      <c r="R432" s="173">
        <f t="shared" si="273"/>
        <v>0</v>
      </c>
      <c r="S432" s="250">
        <v>0.05</v>
      </c>
      <c r="T432" s="171">
        <f t="shared" si="274"/>
        <v>0.05</v>
      </c>
      <c r="U432" s="256">
        <v>4375</v>
      </c>
      <c r="V432" s="170"/>
      <c r="W432" s="258">
        <v>0.2</v>
      </c>
      <c r="X432" s="257">
        <f t="shared" si="275"/>
        <v>5250</v>
      </c>
      <c r="Y432" s="170">
        <f t="shared" si="276"/>
        <v>5250</v>
      </c>
      <c r="Z432" s="170">
        <f t="shared" si="277"/>
        <v>5250</v>
      </c>
      <c r="AA432" s="407">
        <f t="shared" si="278"/>
        <v>0</v>
      </c>
      <c r="AB432" s="194"/>
    </row>
    <row r="433" spans="1:28" s="278" customFormat="1" x14ac:dyDescent="0.25">
      <c r="A433" s="200">
        <v>705009</v>
      </c>
      <c r="B433" s="313" t="s">
        <v>19215</v>
      </c>
      <c r="C433" s="248"/>
      <c r="D433" s="247" t="s">
        <v>11</v>
      </c>
      <c r="E433" s="249">
        <f t="shared" si="265"/>
        <v>1125</v>
      </c>
      <c r="F433" s="170">
        <f t="shared" si="265"/>
        <v>1147.5562499999999</v>
      </c>
      <c r="G433" s="250">
        <v>0.3</v>
      </c>
      <c r="H433" s="171">
        <f t="shared" si="266"/>
        <v>0.3</v>
      </c>
      <c r="I433" s="249">
        <f t="shared" si="267"/>
        <v>1875</v>
      </c>
      <c r="J433" s="170">
        <f t="shared" si="267"/>
        <v>1912.59375</v>
      </c>
      <c r="K433" s="252">
        <v>0.5</v>
      </c>
      <c r="L433" s="172">
        <f t="shared" si="268"/>
        <v>0.5</v>
      </c>
      <c r="M433" s="249">
        <f t="shared" si="269"/>
        <v>562.5</v>
      </c>
      <c r="N433" s="170">
        <f t="shared" si="270"/>
        <v>573.77812499999993</v>
      </c>
      <c r="O433" s="250">
        <v>0.15</v>
      </c>
      <c r="P433" s="172">
        <f t="shared" si="271"/>
        <v>0.15</v>
      </c>
      <c r="Q433" s="251">
        <f t="shared" si="272"/>
        <v>187.5</v>
      </c>
      <c r="R433" s="173">
        <f t="shared" si="273"/>
        <v>191.25937500000001</v>
      </c>
      <c r="S433" s="250">
        <v>0.05</v>
      </c>
      <c r="T433" s="171">
        <f t="shared" si="274"/>
        <v>0.05</v>
      </c>
      <c r="U433" s="256">
        <v>3750</v>
      </c>
      <c r="V433" s="170">
        <f t="shared" ref="V433:V449" si="279">SUM(E433*1.0235,I433*1.0175,M433*1.0245,Q433*1.0115)</f>
        <v>3825.1875</v>
      </c>
      <c r="W433" s="258">
        <v>0.2</v>
      </c>
      <c r="X433" s="257">
        <f t="shared" si="275"/>
        <v>4500</v>
      </c>
      <c r="Y433" s="170">
        <f t="shared" si="276"/>
        <v>4590.2249999999995</v>
      </c>
      <c r="Z433" s="170">
        <f t="shared" si="277"/>
        <v>4600</v>
      </c>
      <c r="AA433" s="407">
        <f t="shared" si="278"/>
        <v>0</v>
      </c>
      <c r="AB433" s="194"/>
    </row>
    <row r="434" spans="1:28" s="278" customFormat="1" x14ac:dyDescent="0.25">
      <c r="A434" s="200">
        <v>705010</v>
      </c>
      <c r="B434" s="313" t="s">
        <v>19216</v>
      </c>
      <c r="C434" s="248"/>
      <c r="D434" s="247" t="s">
        <v>11</v>
      </c>
      <c r="E434" s="249">
        <f t="shared" si="265"/>
        <v>2499.9999000000003</v>
      </c>
      <c r="F434" s="170">
        <f t="shared" si="265"/>
        <v>2550.1248979950001</v>
      </c>
      <c r="G434" s="250">
        <v>0.3</v>
      </c>
      <c r="H434" s="171">
        <f t="shared" si="266"/>
        <v>0.3</v>
      </c>
      <c r="I434" s="249">
        <f t="shared" si="267"/>
        <v>4166.6665000000003</v>
      </c>
      <c r="J434" s="170">
        <f t="shared" si="267"/>
        <v>4250.208163325</v>
      </c>
      <c r="K434" s="250">
        <v>0.5</v>
      </c>
      <c r="L434" s="172">
        <f t="shared" si="268"/>
        <v>0.5</v>
      </c>
      <c r="M434" s="249">
        <f t="shared" si="269"/>
        <v>1249.9999500000001</v>
      </c>
      <c r="N434" s="170">
        <f t="shared" si="270"/>
        <v>1275.0624489975</v>
      </c>
      <c r="O434" s="250">
        <v>0.15</v>
      </c>
      <c r="P434" s="172">
        <f t="shared" si="271"/>
        <v>0.15</v>
      </c>
      <c r="Q434" s="251">
        <f t="shared" si="272"/>
        <v>416.66665000000006</v>
      </c>
      <c r="R434" s="173">
        <f t="shared" si="273"/>
        <v>425.02081633250003</v>
      </c>
      <c r="S434" s="250">
        <v>0.05</v>
      </c>
      <c r="T434" s="171">
        <f t="shared" si="274"/>
        <v>0.05</v>
      </c>
      <c r="U434" s="253">
        <v>8333.3330000000005</v>
      </c>
      <c r="V434" s="170">
        <f t="shared" si="279"/>
        <v>8500.41632665</v>
      </c>
      <c r="W434" s="258">
        <v>0.2</v>
      </c>
      <c r="X434" s="257">
        <f t="shared" si="275"/>
        <v>9999.999600000001</v>
      </c>
      <c r="Y434" s="170">
        <f t="shared" si="276"/>
        <v>10200.49959198</v>
      </c>
      <c r="Z434" s="170">
        <f t="shared" si="277"/>
        <v>10250</v>
      </c>
      <c r="AA434" s="407">
        <f t="shared" si="278"/>
        <v>0</v>
      </c>
      <c r="AB434" s="194"/>
    </row>
    <row r="435" spans="1:28" s="278" customFormat="1" x14ac:dyDescent="0.25">
      <c r="A435" s="200">
        <v>705010</v>
      </c>
      <c r="B435" s="313" t="s">
        <v>19217</v>
      </c>
      <c r="C435" s="248"/>
      <c r="D435" s="247" t="s">
        <v>11</v>
      </c>
      <c r="E435" s="249">
        <f t="shared" si="265"/>
        <v>1812.5000009999999</v>
      </c>
      <c r="F435" s="170">
        <f t="shared" si="265"/>
        <v>1848.84062602005</v>
      </c>
      <c r="G435" s="250">
        <v>0.3</v>
      </c>
      <c r="H435" s="171">
        <f t="shared" si="266"/>
        <v>0.3</v>
      </c>
      <c r="I435" s="249">
        <f t="shared" si="267"/>
        <v>3020.8333349999998</v>
      </c>
      <c r="J435" s="170">
        <f t="shared" si="267"/>
        <v>3081.4010433667499</v>
      </c>
      <c r="K435" s="250">
        <v>0.5</v>
      </c>
      <c r="L435" s="172">
        <f t="shared" si="268"/>
        <v>0.5</v>
      </c>
      <c r="M435" s="249">
        <f t="shared" si="269"/>
        <v>906.25000049999994</v>
      </c>
      <c r="N435" s="170">
        <f t="shared" si="270"/>
        <v>924.42031301002498</v>
      </c>
      <c r="O435" s="250">
        <v>0.15</v>
      </c>
      <c r="P435" s="172">
        <f t="shared" si="271"/>
        <v>0.15</v>
      </c>
      <c r="Q435" s="251">
        <f t="shared" si="272"/>
        <v>302.08333349999998</v>
      </c>
      <c r="R435" s="173">
        <f t="shared" si="273"/>
        <v>308.14010433667499</v>
      </c>
      <c r="S435" s="250">
        <v>0.05</v>
      </c>
      <c r="T435" s="171">
        <f t="shared" si="274"/>
        <v>0.05</v>
      </c>
      <c r="U435" s="253">
        <v>6041.6666699999996</v>
      </c>
      <c r="V435" s="170">
        <f t="shared" si="279"/>
        <v>6162.8020867334999</v>
      </c>
      <c r="W435" s="258">
        <v>0.2</v>
      </c>
      <c r="X435" s="257">
        <f t="shared" si="275"/>
        <v>7250.0000039999995</v>
      </c>
      <c r="Y435" s="170">
        <f t="shared" si="276"/>
        <v>7395.3625040801999</v>
      </c>
      <c r="Z435" s="170">
        <f t="shared" si="277"/>
        <v>7400</v>
      </c>
      <c r="AA435" s="407">
        <f t="shared" si="278"/>
        <v>0</v>
      </c>
      <c r="AB435" s="194"/>
    </row>
    <row r="436" spans="1:28" s="278" customFormat="1" x14ac:dyDescent="0.25">
      <c r="A436" s="200">
        <v>705012</v>
      </c>
      <c r="B436" s="313" t="s">
        <v>19218</v>
      </c>
      <c r="C436" s="248"/>
      <c r="D436" s="247" t="s">
        <v>11</v>
      </c>
      <c r="E436" s="249">
        <f t="shared" si="265"/>
        <v>2750.0000099999997</v>
      </c>
      <c r="F436" s="170">
        <f t="shared" si="265"/>
        <v>2805.1375102004999</v>
      </c>
      <c r="G436" s="250">
        <v>0.3</v>
      </c>
      <c r="H436" s="171">
        <f t="shared" si="266"/>
        <v>0.3</v>
      </c>
      <c r="I436" s="249">
        <f t="shared" si="267"/>
        <v>4583.3333499999999</v>
      </c>
      <c r="J436" s="170">
        <f t="shared" si="267"/>
        <v>4675.2291836675004</v>
      </c>
      <c r="K436" s="250">
        <v>0.5</v>
      </c>
      <c r="L436" s="172">
        <f t="shared" si="268"/>
        <v>0.5</v>
      </c>
      <c r="M436" s="249">
        <f t="shared" si="269"/>
        <v>1375.0000049999999</v>
      </c>
      <c r="N436" s="170">
        <f t="shared" si="270"/>
        <v>1402.56875510025</v>
      </c>
      <c r="O436" s="250">
        <v>0.15</v>
      </c>
      <c r="P436" s="172">
        <f t="shared" si="271"/>
        <v>0.15</v>
      </c>
      <c r="Q436" s="251">
        <f t="shared" si="272"/>
        <v>458.33333500000003</v>
      </c>
      <c r="R436" s="173">
        <f t="shared" si="273"/>
        <v>467.52291836675005</v>
      </c>
      <c r="S436" s="250">
        <v>0.05</v>
      </c>
      <c r="T436" s="171">
        <f t="shared" si="274"/>
        <v>0.05</v>
      </c>
      <c r="U436" s="253">
        <v>9166.6666999999998</v>
      </c>
      <c r="V436" s="170">
        <f t="shared" si="279"/>
        <v>9350.4583673350007</v>
      </c>
      <c r="W436" s="258">
        <v>0.2</v>
      </c>
      <c r="X436" s="257">
        <f t="shared" si="275"/>
        <v>11000.000039999999</v>
      </c>
      <c r="Y436" s="170">
        <f t="shared" si="276"/>
        <v>11220.550040802</v>
      </c>
      <c r="Z436" s="170">
        <f t="shared" si="277"/>
        <v>11250</v>
      </c>
      <c r="AA436" s="407">
        <f t="shared" si="278"/>
        <v>0</v>
      </c>
      <c r="AB436" s="194"/>
    </row>
    <row r="437" spans="1:28" s="278" customFormat="1" x14ac:dyDescent="0.25">
      <c r="A437" s="200">
        <v>705012</v>
      </c>
      <c r="B437" s="313" t="s">
        <v>19219</v>
      </c>
      <c r="C437" s="248"/>
      <c r="D437" s="247" t="s">
        <v>11</v>
      </c>
      <c r="E437" s="249">
        <f t="shared" si="265"/>
        <v>2000.0000099999997</v>
      </c>
      <c r="F437" s="170">
        <f t="shared" si="265"/>
        <v>2040.1000102004998</v>
      </c>
      <c r="G437" s="250">
        <v>0.3</v>
      </c>
      <c r="H437" s="171">
        <f t="shared" si="266"/>
        <v>0.3</v>
      </c>
      <c r="I437" s="249">
        <f t="shared" si="267"/>
        <v>3333.3333499999999</v>
      </c>
      <c r="J437" s="170">
        <f t="shared" si="267"/>
        <v>3400.1666836674999</v>
      </c>
      <c r="K437" s="250">
        <v>0.5</v>
      </c>
      <c r="L437" s="172">
        <f t="shared" si="268"/>
        <v>0.5</v>
      </c>
      <c r="M437" s="249">
        <f t="shared" si="269"/>
        <v>1000.0000049999999</v>
      </c>
      <c r="N437" s="170">
        <f t="shared" si="270"/>
        <v>1020.0500051002499</v>
      </c>
      <c r="O437" s="250">
        <v>0.15</v>
      </c>
      <c r="P437" s="172">
        <f t="shared" si="271"/>
        <v>0.15</v>
      </c>
      <c r="Q437" s="251">
        <f t="shared" si="272"/>
        <v>333.33333500000003</v>
      </c>
      <c r="R437" s="173">
        <f t="shared" si="273"/>
        <v>340.01666836675003</v>
      </c>
      <c r="S437" s="250">
        <v>0.05</v>
      </c>
      <c r="T437" s="171">
        <f t="shared" si="274"/>
        <v>0.05</v>
      </c>
      <c r="U437" s="253">
        <v>6666.6666999999998</v>
      </c>
      <c r="V437" s="170">
        <f t="shared" si="279"/>
        <v>6800.3333673349998</v>
      </c>
      <c r="W437" s="258">
        <v>0.2</v>
      </c>
      <c r="X437" s="257">
        <f t="shared" si="275"/>
        <v>8000.0000399999999</v>
      </c>
      <c r="Y437" s="170">
        <f t="shared" si="276"/>
        <v>8160.4000408019992</v>
      </c>
      <c r="Z437" s="170">
        <f t="shared" si="277"/>
        <v>8175</v>
      </c>
      <c r="AA437" s="407">
        <f t="shared" si="278"/>
        <v>0</v>
      </c>
      <c r="AB437" s="194"/>
    </row>
    <row r="438" spans="1:28" s="278" customFormat="1" x14ac:dyDescent="0.25">
      <c r="A438" s="200">
        <v>705014</v>
      </c>
      <c r="B438" s="313" t="s">
        <v>19220</v>
      </c>
      <c r="C438" s="248"/>
      <c r="D438" s="247" t="s">
        <v>11</v>
      </c>
      <c r="E438" s="249">
        <f t="shared" si="265"/>
        <v>2708.3332500000001</v>
      </c>
      <c r="F438" s="170">
        <f t="shared" si="265"/>
        <v>2762.7707483250006</v>
      </c>
      <c r="G438" s="250">
        <v>0.25</v>
      </c>
      <c r="H438" s="171">
        <f t="shared" si="266"/>
        <v>0.25</v>
      </c>
      <c r="I438" s="249">
        <f t="shared" si="267"/>
        <v>5416.6665000000003</v>
      </c>
      <c r="J438" s="170">
        <f t="shared" si="267"/>
        <v>5525.5414966500011</v>
      </c>
      <c r="K438" s="250">
        <v>0.5</v>
      </c>
      <c r="L438" s="172">
        <f t="shared" si="268"/>
        <v>0.5</v>
      </c>
      <c r="M438" s="249">
        <f t="shared" si="269"/>
        <v>2166.6666</v>
      </c>
      <c r="N438" s="170">
        <f t="shared" si="270"/>
        <v>2210.2165986600007</v>
      </c>
      <c r="O438" s="250">
        <v>0.2</v>
      </c>
      <c r="P438" s="172">
        <f t="shared" si="271"/>
        <v>0.2</v>
      </c>
      <c r="Q438" s="251">
        <f t="shared" si="272"/>
        <v>541.66665</v>
      </c>
      <c r="R438" s="173">
        <f t="shared" si="273"/>
        <v>552.55414966500018</v>
      </c>
      <c r="S438" s="250">
        <v>0.05</v>
      </c>
      <c r="T438" s="171">
        <f t="shared" si="274"/>
        <v>0.05</v>
      </c>
      <c r="U438" s="253">
        <v>10833.333000000001</v>
      </c>
      <c r="V438" s="170">
        <f t="shared" si="279"/>
        <v>11051.082993300002</v>
      </c>
      <c r="W438" s="258">
        <v>0.2</v>
      </c>
      <c r="X438" s="257">
        <f t="shared" si="275"/>
        <v>12999.999600000001</v>
      </c>
      <c r="Y438" s="170">
        <f t="shared" si="276"/>
        <v>13261.299591960002</v>
      </c>
      <c r="Z438" s="170">
        <f t="shared" si="277"/>
        <v>13500</v>
      </c>
      <c r="AA438" s="407">
        <f t="shared" si="278"/>
        <v>0</v>
      </c>
      <c r="AB438" s="194"/>
    </row>
    <row r="439" spans="1:28" s="278" customFormat="1" x14ac:dyDescent="0.25">
      <c r="A439" s="200">
        <v>705014</v>
      </c>
      <c r="B439" s="313" t="s">
        <v>19221</v>
      </c>
      <c r="C439" s="248"/>
      <c r="D439" s="247" t="s">
        <v>11</v>
      </c>
      <c r="E439" s="249">
        <f t="shared" si="265"/>
        <v>2291.6666749999999</v>
      </c>
      <c r="F439" s="170">
        <f t="shared" si="265"/>
        <v>2337.7291751675002</v>
      </c>
      <c r="G439" s="250">
        <v>0.25</v>
      </c>
      <c r="H439" s="171">
        <f t="shared" si="266"/>
        <v>0.25</v>
      </c>
      <c r="I439" s="249">
        <f t="shared" si="267"/>
        <v>4583.3333499999999</v>
      </c>
      <c r="J439" s="170">
        <f t="shared" si="267"/>
        <v>4675.4583503350004</v>
      </c>
      <c r="K439" s="250">
        <v>0.5</v>
      </c>
      <c r="L439" s="172">
        <f t="shared" si="268"/>
        <v>0.5</v>
      </c>
      <c r="M439" s="249">
        <f t="shared" si="269"/>
        <v>1833.3333400000001</v>
      </c>
      <c r="N439" s="170">
        <f t="shared" si="270"/>
        <v>1870.1833401340002</v>
      </c>
      <c r="O439" s="250">
        <v>0.2</v>
      </c>
      <c r="P439" s="172">
        <f t="shared" si="271"/>
        <v>0.2</v>
      </c>
      <c r="Q439" s="251">
        <f t="shared" si="272"/>
        <v>458.33333500000003</v>
      </c>
      <c r="R439" s="173">
        <f t="shared" si="273"/>
        <v>467.54583503350005</v>
      </c>
      <c r="S439" s="250">
        <v>0.05</v>
      </c>
      <c r="T439" s="171">
        <f t="shared" si="274"/>
        <v>0.05</v>
      </c>
      <c r="U439" s="256">
        <v>9166.6666999999998</v>
      </c>
      <c r="V439" s="170">
        <f t="shared" si="279"/>
        <v>9350.9167006700009</v>
      </c>
      <c r="W439" s="258">
        <v>0.2</v>
      </c>
      <c r="X439" s="257">
        <f t="shared" si="275"/>
        <v>11000.000039999999</v>
      </c>
      <c r="Y439" s="170">
        <f t="shared" si="276"/>
        <v>11221.100040804</v>
      </c>
      <c r="Z439" s="170">
        <f t="shared" si="277"/>
        <v>11250</v>
      </c>
      <c r="AA439" s="407">
        <f t="shared" si="278"/>
        <v>0</v>
      </c>
      <c r="AB439" s="194"/>
    </row>
    <row r="440" spans="1:28" s="278" customFormat="1" x14ac:dyDescent="0.25">
      <c r="A440" s="200">
        <v>705016</v>
      </c>
      <c r="B440" s="313" t="s">
        <v>19222</v>
      </c>
      <c r="C440" s="248"/>
      <c r="D440" s="247" t="s">
        <v>11</v>
      </c>
      <c r="E440" s="249">
        <f t="shared" si="265"/>
        <v>3125</v>
      </c>
      <c r="F440" s="170">
        <f t="shared" si="265"/>
        <v>3187.8125</v>
      </c>
      <c r="G440" s="250">
        <v>0.25</v>
      </c>
      <c r="H440" s="171">
        <f t="shared" si="266"/>
        <v>0.25</v>
      </c>
      <c r="I440" s="249">
        <f t="shared" si="267"/>
        <v>6250</v>
      </c>
      <c r="J440" s="170">
        <f t="shared" si="267"/>
        <v>6375.625</v>
      </c>
      <c r="K440" s="250">
        <v>0.5</v>
      </c>
      <c r="L440" s="172">
        <f t="shared" si="268"/>
        <v>0.5</v>
      </c>
      <c r="M440" s="249">
        <f t="shared" si="269"/>
        <v>2500</v>
      </c>
      <c r="N440" s="170">
        <f t="shared" si="270"/>
        <v>2550.25</v>
      </c>
      <c r="O440" s="250">
        <v>0.2</v>
      </c>
      <c r="P440" s="172">
        <f t="shared" si="271"/>
        <v>0.2</v>
      </c>
      <c r="Q440" s="251">
        <f t="shared" si="272"/>
        <v>625</v>
      </c>
      <c r="R440" s="173">
        <f t="shared" si="273"/>
        <v>637.5625</v>
      </c>
      <c r="S440" s="250">
        <v>0.05</v>
      </c>
      <c r="T440" s="171">
        <f t="shared" si="274"/>
        <v>0.05</v>
      </c>
      <c r="U440" s="256">
        <v>12500</v>
      </c>
      <c r="V440" s="170">
        <f t="shared" si="279"/>
        <v>12751.25</v>
      </c>
      <c r="W440" s="258">
        <v>0.2</v>
      </c>
      <c r="X440" s="257">
        <f t="shared" si="275"/>
        <v>15000</v>
      </c>
      <c r="Y440" s="170">
        <f t="shared" si="276"/>
        <v>15301.5</v>
      </c>
      <c r="Z440" s="170">
        <f t="shared" si="277"/>
        <v>15500</v>
      </c>
      <c r="AA440" s="407">
        <f t="shared" si="278"/>
        <v>0</v>
      </c>
      <c r="AB440" s="194"/>
    </row>
    <row r="441" spans="1:28" s="278" customFormat="1" x14ac:dyDescent="0.25">
      <c r="A441" s="200">
        <v>705016</v>
      </c>
      <c r="B441" s="313" t="s">
        <v>19223</v>
      </c>
      <c r="C441" s="248"/>
      <c r="D441" s="247" t="s">
        <v>11</v>
      </c>
      <c r="E441" s="249">
        <f t="shared" si="265"/>
        <v>2916.6666749999999</v>
      </c>
      <c r="F441" s="170">
        <f t="shared" si="265"/>
        <v>2975.2916751675002</v>
      </c>
      <c r="G441" s="250">
        <v>0.25</v>
      </c>
      <c r="H441" s="171">
        <f t="shared" si="266"/>
        <v>0.25</v>
      </c>
      <c r="I441" s="249">
        <f t="shared" si="267"/>
        <v>5833.3333499999999</v>
      </c>
      <c r="J441" s="170">
        <f t="shared" si="267"/>
        <v>5950.5833503350004</v>
      </c>
      <c r="K441" s="250">
        <v>0.5</v>
      </c>
      <c r="L441" s="172">
        <f t="shared" si="268"/>
        <v>0.5</v>
      </c>
      <c r="M441" s="249">
        <f t="shared" si="269"/>
        <v>2333.3333400000001</v>
      </c>
      <c r="N441" s="170">
        <f t="shared" si="270"/>
        <v>2380.2333401340002</v>
      </c>
      <c r="O441" s="250">
        <v>0.2</v>
      </c>
      <c r="P441" s="172">
        <f t="shared" si="271"/>
        <v>0.2</v>
      </c>
      <c r="Q441" s="251">
        <f t="shared" si="272"/>
        <v>583.33333500000003</v>
      </c>
      <c r="R441" s="173">
        <f t="shared" si="273"/>
        <v>595.05833503350004</v>
      </c>
      <c r="S441" s="250">
        <v>0.05</v>
      </c>
      <c r="T441" s="171">
        <f t="shared" si="274"/>
        <v>0.05</v>
      </c>
      <c r="U441" s="256">
        <v>11666.6667</v>
      </c>
      <c r="V441" s="170">
        <f t="shared" si="279"/>
        <v>11901.166700670001</v>
      </c>
      <c r="W441" s="258">
        <v>0.2</v>
      </c>
      <c r="X441" s="257">
        <f t="shared" si="275"/>
        <v>14000.000039999999</v>
      </c>
      <c r="Y441" s="170">
        <f t="shared" si="276"/>
        <v>14281.400040804001</v>
      </c>
      <c r="Z441" s="170">
        <f t="shared" si="277"/>
        <v>14500</v>
      </c>
      <c r="AA441" s="407">
        <f t="shared" si="278"/>
        <v>0</v>
      </c>
      <c r="AB441" s="194"/>
    </row>
    <row r="442" spans="1:28" s="278" customFormat="1" x14ac:dyDescent="0.25">
      <c r="A442" s="200">
        <v>705018</v>
      </c>
      <c r="B442" s="313" t="s">
        <v>19224</v>
      </c>
      <c r="C442" s="248"/>
      <c r="D442" s="247" t="s">
        <v>11</v>
      </c>
      <c r="E442" s="249">
        <f t="shared" si="265"/>
        <v>3750</v>
      </c>
      <c r="F442" s="170">
        <f t="shared" si="265"/>
        <v>3825.3750000000005</v>
      </c>
      <c r="G442" s="250">
        <v>0.25</v>
      </c>
      <c r="H442" s="171">
        <f t="shared" si="266"/>
        <v>0.25</v>
      </c>
      <c r="I442" s="249">
        <f t="shared" si="267"/>
        <v>7500</v>
      </c>
      <c r="J442" s="170">
        <f t="shared" si="267"/>
        <v>7650.7500000000009</v>
      </c>
      <c r="K442" s="250">
        <v>0.5</v>
      </c>
      <c r="L442" s="172">
        <f t="shared" si="268"/>
        <v>0.5</v>
      </c>
      <c r="M442" s="249">
        <f t="shared" si="269"/>
        <v>3000</v>
      </c>
      <c r="N442" s="170">
        <f t="shared" si="270"/>
        <v>3060.3000000000006</v>
      </c>
      <c r="O442" s="250">
        <v>0.2</v>
      </c>
      <c r="P442" s="172">
        <f t="shared" si="271"/>
        <v>0.2</v>
      </c>
      <c r="Q442" s="251">
        <f t="shared" si="272"/>
        <v>750</v>
      </c>
      <c r="R442" s="173">
        <f t="shared" si="273"/>
        <v>765.07500000000016</v>
      </c>
      <c r="S442" s="250">
        <v>0.05</v>
      </c>
      <c r="T442" s="171">
        <f t="shared" si="274"/>
        <v>0.05</v>
      </c>
      <c r="U442" s="256">
        <v>15000</v>
      </c>
      <c r="V442" s="170">
        <f t="shared" si="279"/>
        <v>15301.500000000002</v>
      </c>
      <c r="W442" s="258">
        <v>0.2</v>
      </c>
      <c r="X442" s="257">
        <f t="shared" si="275"/>
        <v>18000</v>
      </c>
      <c r="Y442" s="170">
        <f t="shared" si="276"/>
        <v>18361.800000000003</v>
      </c>
      <c r="Z442" s="170">
        <f t="shared" si="277"/>
        <v>18500</v>
      </c>
      <c r="AA442" s="407">
        <f t="shared" si="278"/>
        <v>0</v>
      </c>
      <c r="AB442" s="194"/>
    </row>
    <row r="443" spans="1:28" s="278" customFormat="1" x14ac:dyDescent="0.25">
      <c r="A443" s="200">
        <v>705018</v>
      </c>
      <c r="B443" s="313" t="s">
        <v>19225</v>
      </c>
      <c r="C443" s="248"/>
      <c r="D443" s="247" t="s">
        <v>11</v>
      </c>
      <c r="E443" s="249">
        <f t="shared" si="265"/>
        <v>3333.3332500000001</v>
      </c>
      <c r="F443" s="170">
        <f t="shared" si="265"/>
        <v>3400.3332483250006</v>
      </c>
      <c r="G443" s="250">
        <v>0.25</v>
      </c>
      <c r="H443" s="171">
        <f t="shared" si="266"/>
        <v>0.25</v>
      </c>
      <c r="I443" s="249">
        <f t="shared" si="267"/>
        <v>6666.6665000000003</v>
      </c>
      <c r="J443" s="170">
        <f t="shared" si="267"/>
        <v>6800.6664966500011</v>
      </c>
      <c r="K443" s="250">
        <v>0.5</v>
      </c>
      <c r="L443" s="172">
        <f t="shared" si="268"/>
        <v>0.5</v>
      </c>
      <c r="M443" s="249">
        <f t="shared" si="269"/>
        <v>2666.6666000000005</v>
      </c>
      <c r="N443" s="170">
        <f t="shared" si="270"/>
        <v>2720.2665986600005</v>
      </c>
      <c r="O443" s="250">
        <v>0.2</v>
      </c>
      <c r="P443" s="172">
        <f t="shared" si="271"/>
        <v>0.2</v>
      </c>
      <c r="Q443" s="251">
        <f t="shared" si="272"/>
        <v>666.66665000000012</v>
      </c>
      <c r="R443" s="173">
        <f t="shared" si="273"/>
        <v>680.06664966500011</v>
      </c>
      <c r="S443" s="250">
        <v>0.05</v>
      </c>
      <c r="T443" s="171">
        <f t="shared" si="274"/>
        <v>0.05</v>
      </c>
      <c r="U443" s="256">
        <v>13333.333000000001</v>
      </c>
      <c r="V443" s="170">
        <f t="shared" si="279"/>
        <v>13601.332993300002</v>
      </c>
      <c r="W443" s="258">
        <v>0.2</v>
      </c>
      <c r="X443" s="257">
        <f t="shared" si="275"/>
        <v>15999.999600000001</v>
      </c>
      <c r="Y443" s="170">
        <f t="shared" si="276"/>
        <v>16321.599591960003</v>
      </c>
      <c r="Z443" s="170">
        <f t="shared" si="277"/>
        <v>16500</v>
      </c>
      <c r="AA443" s="407">
        <f t="shared" si="278"/>
        <v>0</v>
      </c>
      <c r="AB443" s="194"/>
    </row>
    <row r="444" spans="1:28" s="278" customFormat="1" x14ac:dyDescent="0.25">
      <c r="A444" s="200">
        <v>705020</v>
      </c>
      <c r="B444" s="313" t="s">
        <v>19226</v>
      </c>
      <c r="C444" s="248"/>
      <c r="D444" s="247" t="s">
        <v>11</v>
      </c>
      <c r="E444" s="249">
        <f t="shared" si="265"/>
        <v>4166.6666750000004</v>
      </c>
      <c r="F444" s="170">
        <f t="shared" si="265"/>
        <v>4250.4166751675002</v>
      </c>
      <c r="G444" s="250">
        <v>0.25</v>
      </c>
      <c r="H444" s="171">
        <f t="shared" si="266"/>
        <v>0.25</v>
      </c>
      <c r="I444" s="249">
        <f t="shared" si="267"/>
        <v>8333.3333500000008</v>
      </c>
      <c r="J444" s="170">
        <f t="shared" si="267"/>
        <v>8500.8333503350004</v>
      </c>
      <c r="K444" s="250">
        <v>0.5</v>
      </c>
      <c r="L444" s="172">
        <f t="shared" si="268"/>
        <v>0.5</v>
      </c>
      <c r="M444" s="249">
        <f t="shared" si="269"/>
        <v>3333.3333400000006</v>
      </c>
      <c r="N444" s="170">
        <f t="shared" si="270"/>
        <v>3400.3333401340005</v>
      </c>
      <c r="O444" s="250">
        <v>0.2</v>
      </c>
      <c r="P444" s="172">
        <f t="shared" si="271"/>
        <v>0.2</v>
      </c>
      <c r="Q444" s="251">
        <f t="shared" si="272"/>
        <v>833.33333500000015</v>
      </c>
      <c r="R444" s="173">
        <f t="shared" si="273"/>
        <v>850.08333503350013</v>
      </c>
      <c r="S444" s="250">
        <v>0.05</v>
      </c>
      <c r="T444" s="171">
        <f t="shared" si="274"/>
        <v>0.05</v>
      </c>
      <c r="U444" s="256">
        <v>16666.666700000002</v>
      </c>
      <c r="V444" s="170">
        <f t="shared" si="279"/>
        <v>17001.666700670001</v>
      </c>
      <c r="W444" s="258">
        <v>0.2</v>
      </c>
      <c r="X444" s="257">
        <f t="shared" si="275"/>
        <v>20000.000040000003</v>
      </c>
      <c r="Y444" s="170">
        <f t="shared" si="276"/>
        <v>20402.000040804</v>
      </c>
      <c r="Z444" s="170">
        <f t="shared" si="277"/>
        <v>20500</v>
      </c>
      <c r="AA444" s="407">
        <f t="shared" si="278"/>
        <v>0</v>
      </c>
      <c r="AB444" s="194"/>
    </row>
    <row r="445" spans="1:28" s="278" customFormat="1" x14ac:dyDescent="0.25">
      <c r="A445" s="200">
        <v>705020</v>
      </c>
      <c r="B445" s="313" t="s">
        <v>19227</v>
      </c>
      <c r="C445" s="248"/>
      <c r="D445" s="247" t="s">
        <v>11</v>
      </c>
      <c r="E445" s="249">
        <f t="shared" si="265"/>
        <v>3541.6666749999999</v>
      </c>
      <c r="F445" s="170">
        <f t="shared" si="265"/>
        <v>3612.8541751675002</v>
      </c>
      <c r="G445" s="250">
        <v>0.25</v>
      </c>
      <c r="H445" s="171">
        <f t="shared" si="266"/>
        <v>0.25</v>
      </c>
      <c r="I445" s="249">
        <f t="shared" si="267"/>
        <v>7083.3333499999999</v>
      </c>
      <c r="J445" s="170">
        <f t="shared" si="267"/>
        <v>7225.7083503350004</v>
      </c>
      <c r="K445" s="250">
        <v>0.5</v>
      </c>
      <c r="L445" s="172">
        <f t="shared" si="268"/>
        <v>0.5</v>
      </c>
      <c r="M445" s="249">
        <f t="shared" si="269"/>
        <v>2833.3333400000001</v>
      </c>
      <c r="N445" s="170">
        <f t="shared" si="270"/>
        <v>2890.2833401340004</v>
      </c>
      <c r="O445" s="250">
        <v>0.2</v>
      </c>
      <c r="P445" s="172">
        <f t="shared" si="271"/>
        <v>0.2</v>
      </c>
      <c r="Q445" s="251">
        <f t="shared" si="272"/>
        <v>708.33333500000003</v>
      </c>
      <c r="R445" s="173">
        <f t="shared" si="273"/>
        <v>722.57083503350009</v>
      </c>
      <c r="S445" s="250">
        <v>0.05</v>
      </c>
      <c r="T445" s="171">
        <f t="shared" si="274"/>
        <v>0.05</v>
      </c>
      <c r="U445" s="256">
        <v>14166.6667</v>
      </c>
      <c r="V445" s="170">
        <f t="shared" si="279"/>
        <v>14451.416700670001</v>
      </c>
      <c r="W445" s="258">
        <v>0.2</v>
      </c>
      <c r="X445" s="257">
        <f t="shared" si="275"/>
        <v>17000.000039999999</v>
      </c>
      <c r="Y445" s="170">
        <f t="shared" si="276"/>
        <v>17341.700040804</v>
      </c>
      <c r="Z445" s="170">
        <f t="shared" si="277"/>
        <v>17500</v>
      </c>
      <c r="AA445" s="407">
        <f t="shared" si="278"/>
        <v>0</v>
      </c>
      <c r="AB445" s="194"/>
    </row>
    <row r="446" spans="1:28" s="278" customFormat="1" x14ac:dyDescent="0.25">
      <c r="A446" s="200">
        <v>705022</v>
      </c>
      <c r="B446" s="313" t="s">
        <v>19228</v>
      </c>
      <c r="C446" s="248"/>
      <c r="D446" s="247" t="s">
        <v>11</v>
      </c>
      <c r="E446" s="249">
        <f t="shared" si="265"/>
        <v>5000</v>
      </c>
      <c r="F446" s="170">
        <f t="shared" si="265"/>
        <v>5100.5</v>
      </c>
      <c r="G446" s="250">
        <v>0.25</v>
      </c>
      <c r="H446" s="171">
        <f t="shared" si="266"/>
        <v>0.25</v>
      </c>
      <c r="I446" s="249">
        <f t="shared" si="267"/>
        <v>10000</v>
      </c>
      <c r="J446" s="170">
        <f t="shared" si="267"/>
        <v>10201</v>
      </c>
      <c r="K446" s="250">
        <v>0.5</v>
      </c>
      <c r="L446" s="172">
        <f t="shared" si="268"/>
        <v>0.5</v>
      </c>
      <c r="M446" s="249">
        <f t="shared" si="269"/>
        <v>4000</v>
      </c>
      <c r="N446" s="170">
        <f t="shared" si="270"/>
        <v>4080.4</v>
      </c>
      <c r="O446" s="250">
        <v>0.2</v>
      </c>
      <c r="P446" s="172">
        <f t="shared" si="271"/>
        <v>0.2</v>
      </c>
      <c r="Q446" s="251">
        <f t="shared" si="272"/>
        <v>1000</v>
      </c>
      <c r="R446" s="173">
        <f t="shared" si="273"/>
        <v>1020.1</v>
      </c>
      <c r="S446" s="250">
        <v>0.05</v>
      </c>
      <c r="T446" s="171">
        <f t="shared" si="274"/>
        <v>0.05</v>
      </c>
      <c r="U446" s="256">
        <v>20000</v>
      </c>
      <c r="V446" s="170">
        <f t="shared" si="279"/>
        <v>20402</v>
      </c>
      <c r="W446" s="258">
        <v>0.2</v>
      </c>
      <c r="X446" s="257">
        <f t="shared" si="275"/>
        <v>24000</v>
      </c>
      <c r="Y446" s="170">
        <f t="shared" si="276"/>
        <v>24482.399999999998</v>
      </c>
      <c r="Z446" s="170">
        <f t="shared" si="277"/>
        <v>24500</v>
      </c>
      <c r="AA446" s="407">
        <f t="shared" si="278"/>
        <v>0</v>
      </c>
      <c r="AB446" s="194"/>
    </row>
    <row r="447" spans="1:28" s="278" customFormat="1" x14ac:dyDescent="0.25">
      <c r="A447" s="200">
        <v>705022</v>
      </c>
      <c r="B447" s="313" t="s">
        <v>19229</v>
      </c>
      <c r="C447" s="248"/>
      <c r="D447" s="247" t="s">
        <v>11</v>
      </c>
      <c r="E447" s="249">
        <f t="shared" si="265"/>
        <v>4166.6667500000003</v>
      </c>
      <c r="F447" s="170">
        <f t="shared" si="265"/>
        <v>4250.4167516750003</v>
      </c>
      <c r="G447" s="250">
        <v>0.25</v>
      </c>
      <c r="H447" s="171">
        <f t="shared" si="266"/>
        <v>0.25</v>
      </c>
      <c r="I447" s="249">
        <f t="shared" si="267"/>
        <v>8333.3335000000006</v>
      </c>
      <c r="J447" s="170">
        <f t="shared" si="267"/>
        <v>8500.8335033500007</v>
      </c>
      <c r="K447" s="250">
        <v>0.5</v>
      </c>
      <c r="L447" s="172">
        <f t="shared" si="268"/>
        <v>0.5</v>
      </c>
      <c r="M447" s="249">
        <f t="shared" si="269"/>
        <v>3333.3334000000004</v>
      </c>
      <c r="N447" s="170">
        <f t="shared" si="270"/>
        <v>3400.3334013400004</v>
      </c>
      <c r="O447" s="250">
        <v>0.2</v>
      </c>
      <c r="P447" s="172">
        <f t="shared" si="271"/>
        <v>0.2</v>
      </c>
      <c r="Q447" s="251">
        <f t="shared" si="272"/>
        <v>833.33335000000011</v>
      </c>
      <c r="R447" s="173">
        <f t="shared" si="273"/>
        <v>850.08335033500009</v>
      </c>
      <c r="S447" s="250">
        <v>0.05</v>
      </c>
      <c r="T447" s="171">
        <f t="shared" si="274"/>
        <v>0.05</v>
      </c>
      <c r="U447" s="256">
        <v>16666.667000000001</v>
      </c>
      <c r="V447" s="170">
        <f t="shared" si="279"/>
        <v>17001.667006700001</v>
      </c>
      <c r="W447" s="258">
        <v>0.2</v>
      </c>
      <c r="X447" s="257">
        <f t="shared" si="275"/>
        <v>20000.000400000001</v>
      </c>
      <c r="Y447" s="170">
        <f t="shared" si="276"/>
        <v>20402.000408039999</v>
      </c>
      <c r="Z447" s="170">
        <f t="shared" si="277"/>
        <v>20500</v>
      </c>
      <c r="AA447" s="407">
        <f t="shared" si="278"/>
        <v>0</v>
      </c>
      <c r="AB447" s="194"/>
    </row>
    <row r="448" spans="1:28" s="278" customFormat="1" x14ac:dyDescent="0.25">
      <c r="A448" s="200">
        <v>705024</v>
      </c>
      <c r="B448" s="313" t="s">
        <v>19230</v>
      </c>
      <c r="C448" s="248"/>
      <c r="D448" s="247" t="s">
        <v>11</v>
      </c>
      <c r="E448" s="249">
        <f t="shared" si="265"/>
        <v>6250</v>
      </c>
      <c r="F448" s="170">
        <f t="shared" si="265"/>
        <v>6375.625</v>
      </c>
      <c r="G448" s="250">
        <v>0.25</v>
      </c>
      <c r="H448" s="171">
        <f t="shared" si="266"/>
        <v>0.25</v>
      </c>
      <c r="I448" s="249">
        <f t="shared" si="267"/>
        <v>12500</v>
      </c>
      <c r="J448" s="170">
        <f t="shared" si="267"/>
        <v>12751.25</v>
      </c>
      <c r="K448" s="250">
        <v>0.5</v>
      </c>
      <c r="L448" s="172">
        <f t="shared" si="268"/>
        <v>0.5</v>
      </c>
      <c r="M448" s="249">
        <f t="shared" si="269"/>
        <v>5000</v>
      </c>
      <c r="N448" s="170">
        <f t="shared" si="270"/>
        <v>5100.5</v>
      </c>
      <c r="O448" s="250">
        <v>0.2</v>
      </c>
      <c r="P448" s="172">
        <f t="shared" si="271"/>
        <v>0.2</v>
      </c>
      <c r="Q448" s="251">
        <f t="shared" si="272"/>
        <v>1250</v>
      </c>
      <c r="R448" s="173">
        <f t="shared" si="273"/>
        <v>1275.125</v>
      </c>
      <c r="S448" s="250">
        <v>0.05</v>
      </c>
      <c r="T448" s="171">
        <f t="shared" si="274"/>
        <v>0.05</v>
      </c>
      <c r="U448" s="256">
        <v>25000</v>
      </c>
      <c r="V448" s="170">
        <f t="shared" si="279"/>
        <v>25502.5</v>
      </c>
      <c r="W448" s="258">
        <v>0.2</v>
      </c>
      <c r="X448" s="257">
        <f t="shared" si="275"/>
        <v>30000</v>
      </c>
      <c r="Y448" s="170">
        <f t="shared" si="276"/>
        <v>30603</v>
      </c>
      <c r="Z448" s="170">
        <f t="shared" si="277"/>
        <v>30750</v>
      </c>
      <c r="AA448" s="407">
        <f t="shared" si="278"/>
        <v>0</v>
      </c>
      <c r="AB448" s="194"/>
    </row>
    <row r="449" spans="1:28" s="278" customFormat="1" x14ac:dyDescent="0.25">
      <c r="A449" s="200">
        <v>705024</v>
      </c>
      <c r="B449" s="313" t="s">
        <v>19231</v>
      </c>
      <c r="C449" s="248"/>
      <c r="D449" s="247" t="s">
        <v>11</v>
      </c>
      <c r="E449" s="249">
        <f t="shared" si="265"/>
        <v>5208.3332499999997</v>
      </c>
      <c r="F449" s="170">
        <f t="shared" si="265"/>
        <v>5313.0207483249997</v>
      </c>
      <c r="G449" s="250">
        <v>0.25</v>
      </c>
      <c r="H449" s="171">
        <f t="shared" si="266"/>
        <v>0.25</v>
      </c>
      <c r="I449" s="249">
        <f t="shared" si="267"/>
        <v>10416.666499999999</v>
      </c>
      <c r="J449" s="170">
        <f t="shared" si="267"/>
        <v>10626.041496649999</v>
      </c>
      <c r="K449" s="250">
        <v>0.5</v>
      </c>
      <c r="L449" s="172">
        <f t="shared" si="268"/>
        <v>0.5</v>
      </c>
      <c r="M449" s="249">
        <f t="shared" si="269"/>
        <v>4166.6665999999996</v>
      </c>
      <c r="N449" s="170">
        <f t="shared" si="270"/>
        <v>4250.4165986600001</v>
      </c>
      <c r="O449" s="250">
        <v>0.2</v>
      </c>
      <c r="P449" s="172">
        <f t="shared" si="271"/>
        <v>0.2</v>
      </c>
      <c r="Q449" s="251">
        <f t="shared" si="272"/>
        <v>1041.6666499999999</v>
      </c>
      <c r="R449" s="173">
        <f t="shared" si="273"/>
        <v>1062.604149665</v>
      </c>
      <c r="S449" s="250">
        <v>0.05</v>
      </c>
      <c r="T449" s="171">
        <f t="shared" si="274"/>
        <v>0.05</v>
      </c>
      <c r="U449" s="256">
        <v>20833.332999999999</v>
      </c>
      <c r="V449" s="170">
        <f t="shared" si="279"/>
        <v>21252.082993299999</v>
      </c>
      <c r="W449" s="258">
        <v>0.2</v>
      </c>
      <c r="X449" s="257">
        <f t="shared" si="275"/>
        <v>24999.999599999999</v>
      </c>
      <c r="Y449" s="170">
        <f t="shared" si="276"/>
        <v>25502.499591959997</v>
      </c>
      <c r="Z449" s="170">
        <f t="shared" si="277"/>
        <v>25750</v>
      </c>
      <c r="AA449" s="407">
        <f t="shared" si="278"/>
        <v>0</v>
      </c>
      <c r="AB449" s="194"/>
    </row>
    <row r="450" spans="1:28" s="278" customFormat="1" x14ac:dyDescent="0.25">
      <c r="A450" s="200">
        <v>705058</v>
      </c>
      <c r="B450" s="313" t="s">
        <v>19232</v>
      </c>
      <c r="C450" s="248"/>
      <c r="D450" s="247" t="s">
        <v>11</v>
      </c>
      <c r="E450" s="249">
        <f t="shared" si="265"/>
        <v>1250.001</v>
      </c>
      <c r="F450" s="170">
        <f t="shared" si="265"/>
        <v>0</v>
      </c>
      <c r="G450" s="250">
        <v>0.3</v>
      </c>
      <c r="H450" s="171">
        <f t="shared" si="266"/>
        <v>0.3</v>
      </c>
      <c r="I450" s="249">
        <f t="shared" si="267"/>
        <v>2083.335</v>
      </c>
      <c r="J450" s="170">
        <f t="shared" si="267"/>
        <v>0</v>
      </c>
      <c r="K450" s="252">
        <v>0.5</v>
      </c>
      <c r="L450" s="172">
        <f t="shared" si="268"/>
        <v>0.5</v>
      </c>
      <c r="M450" s="249">
        <f t="shared" si="269"/>
        <v>625.00049999999999</v>
      </c>
      <c r="N450" s="170">
        <f t="shared" si="270"/>
        <v>0</v>
      </c>
      <c r="O450" s="250">
        <v>0.15</v>
      </c>
      <c r="P450" s="172">
        <f t="shared" si="271"/>
        <v>0.15</v>
      </c>
      <c r="Q450" s="251">
        <f t="shared" si="272"/>
        <v>208.33350000000002</v>
      </c>
      <c r="R450" s="173">
        <f t="shared" si="273"/>
        <v>0</v>
      </c>
      <c r="S450" s="250">
        <v>0.05</v>
      </c>
      <c r="T450" s="171">
        <f t="shared" si="274"/>
        <v>0.05</v>
      </c>
      <c r="U450" s="256">
        <v>4166.67</v>
      </c>
      <c r="V450" s="170"/>
      <c r="W450" s="258">
        <v>0.2</v>
      </c>
      <c r="X450" s="257">
        <f t="shared" si="275"/>
        <v>5000.0039999999999</v>
      </c>
      <c r="Y450" s="170">
        <f t="shared" si="276"/>
        <v>5000.0039999999999</v>
      </c>
      <c r="Z450" s="170">
        <f t="shared" si="277"/>
        <v>5025</v>
      </c>
      <c r="AA450" s="407">
        <f t="shared" si="278"/>
        <v>0</v>
      </c>
      <c r="AB450" s="194"/>
    </row>
    <row r="451" spans="1:28" s="278" customFormat="1" x14ac:dyDescent="0.25">
      <c r="A451" s="200">
        <v>705058</v>
      </c>
      <c r="B451" s="313" t="s">
        <v>19233</v>
      </c>
      <c r="C451" s="248"/>
      <c r="D451" s="247" t="s">
        <v>11</v>
      </c>
      <c r="E451" s="249">
        <f t="shared" si="265"/>
        <v>999.99998999999991</v>
      </c>
      <c r="F451" s="170">
        <f t="shared" si="265"/>
        <v>1020.0499897994998</v>
      </c>
      <c r="G451" s="250">
        <v>0.3</v>
      </c>
      <c r="H451" s="171">
        <f t="shared" si="266"/>
        <v>0.3</v>
      </c>
      <c r="I451" s="249">
        <f t="shared" si="267"/>
        <v>1666.6666499999999</v>
      </c>
      <c r="J451" s="170">
        <f t="shared" si="267"/>
        <v>1700.0833163324999</v>
      </c>
      <c r="K451" s="252">
        <v>0.5</v>
      </c>
      <c r="L451" s="172">
        <f t="shared" si="268"/>
        <v>0.5</v>
      </c>
      <c r="M451" s="249">
        <f t="shared" si="269"/>
        <v>499.99999499999996</v>
      </c>
      <c r="N451" s="170">
        <f t="shared" si="270"/>
        <v>510.02499489974991</v>
      </c>
      <c r="O451" s="250">
        <v>0.15</v>
      </c>
      <c r="P451" s="172">
        <f t="shared" si="271"/>
        <v>0.15</v>
      </c>
      <c r="Q451" s="251">
        <f t="shared" si="272"/>
        <v>166.66666499999999</v>
      </c>
      <c r="R451" s="173">
        <f t="shared" si="273"/>
        <v>170.00833163325001</v>
      </c>
      <c r="S451" s="250">
        <v>0.05</v>
      </c>
      <c r="T451" s="171">
        <f t="shared" si="274"/>
        <v>0.05</v>
      </c>
      <c r="U451" s="256">
        <v>3333.3332999999998</v>
      </c>
      <c r="V451" s="170">
        <f>SUM(E451*1.0235,I451*1.0175,M451*1.0245,Q451*1.0115)</f>
        <v>3400.1666326649997</v>
      </c>
      <c r="W451" s="258">
        <v>0.2</v>
      </c>
      <c r="X451" s="257">
        <f t="shared" si="275"/>
        <v>3999.9999599999996</v>
      </c>
      <c r="Y451" s="170">
        <f t="shared" si="276"/>
        <v>4080.1999591979993</v>
      </c>
      <c r="Z451" s="170">
        <f t="shared" si="277"/>
        <v>4100</v>
      </c>
      <c r="AA451" s="407">
        <f t="shared" si="278"/>
        <v>0</v>
      </c>
      <c r="AB451" s="194"/>
    </row>
    <row r="452" spans="1:28" s="278" customFormat="1" x14ac:dyDescent="0.25">
      <c r="A452" s="200">
        <v>705059</v>
      </c>
      <c r="B452" s="313" t="s">
        <v>19234</v>
      </c>
      <c r="C452" s="248"/>
      <c r="D452" s="247" t="s">
        <v>11</v>
      </c>
      <c r="E452" s="249">
        <f t="shared" si="265"/>
        <v>1500</v>
      </c>
      <c r="F452" s="170">
        <f t="shared" si="265"/>
        <v>0</v>
      </c>
      <c r="G452" s="250">
        <v>0.3</v>
      </c>
      <c r="H452" s="171">
        <f t="shared" si="266"/>
        <v>0.3</v>
      </c>
      <c r="I452" s="249">
        <f t="shared" si="267"/>
        <v>2500</v>
      </c>
      <c r="J452" s="170">
        <f t="shared" si="267"/>
        <v>0</v>
      </c>
      <c r="K452" s="252">
        <v>0.5</v>
      </c>
      <c r="L452" s="172">
        <f t="shared" si="268"/>
        <v>0.5</v>
      </c>
      <c r="M452" s="249">
        <f t="shared" si="269"/>
        <v>750</v>
      </c>
      <c r="N452" s="170">
        <f t="shared" si="270"/>
        <v>0</v>
      </c>
      <c r="O452" s="250">
        <v>0.15</v>
      </c>
      <c r="P452" s="172">
        <f t="shared" si="271"/>
        <v>0.15</v>
      </c>
      <c r="Q452" s="251">
        <f t="shared" si="272"/>
        <v>250</v>
      </c>
      <c r="R452" s="173">
        <f t="shared" si="273"/>
        <v>0</v>
      </c>
      <c r="S452" s="250">
        <v>0.05</v>
      </c>
      <c r="T452" s="171">
        <f t="shared" si="274"/>
        <v>0.05</v>
      </c>
      <c r="U452" s="256">
        <v>5000</v>
      </c>
      <c r="V452" s="170"/>
      <c r="W452" s="258">
        <v>0.2</v>
      </c>
      <c r="X452" s="257">
        <f t="shared" si="275"/>
        <v>6000</v>
      </c>
      <c r="Y452" s="170">
        <f t="shared" si="276"/>
        <v>6000</v>
      </c>
      <c r="Z452" s="170">
        <f t="shared" si="277"/>
        <v>6000</v>
      </c>
      <c r="AA452" s="407">
        <f t="shared" si="278"/>
        <v>0</v>
      </c>
      <c r="AB452" s="194"/>
    </row>
    <row r="453" spans="1:28" s="278" customFormat="1" x14ac:dyDescent="0.25">
      <c r="A453" s="200">
        <v>705059</v>
      </c>
      <c r="B453" s="313" t="s">
        <v>19235</v>
      </c>
      <c r="C453" s="248"/>
      <c r="D453" s="247" t="s">
        <v>11</v>
      </c>
      <c r="E453" s="249">
        <f t="shared" si="265"/>
        <v>1050</v>
      </c>
      <c r="F453" s="170">
        <f t="shared" si="265"/>
        <v>1071.0525</v>
      </c>
      <c r="G453" s="250">
        <v>0.3</v>
      </c>
      <c r="H453" s="171">
        <f t="shared" si="266"/>
        <v>0.3</v>
      </c>
      <c r="I453" s="249">
        <f t="shared" si="267"/>
        <v>1750</v>
      </c>
      <c r="J453" s="170">
        <f t="shared" si="267"/>
        <v>1785.0875000000001</v>
      </c>
      <c r="K453" s="250">
        <v>0.5</v>
      </c>
      <c r="L453" s="172">
        <f t="shared" si="268"/>
        <v>0.5</v>
      </c>
      <c r="M453" s="249">
        <f t="shared" si="269"/>
        <v>525</v>
      </c>
      <c r="N453" s="170">
        <f t="shared" si="270"/>
        <v>535.52625</v>
      </c>
      <c r="O453" s="250">
        <v>0.15</v>
      </c>
      <c r="P453" s="172">
        <f t="shared" si="271"/>
        <v>0.15</v>
      </c>
      <c r="Q453" s="251">
        <f t="shared" si="272"/>
        <v>175</v>
      </c>
      <c r="R453" s="173">
        <f t="shared" si="273"/>
        <v>178.50875000000002</v>
      </c>
      <c r="S453" s="250">
        <v>0.05</v>
      </c>
      <c r="T453" s="171">
        <f t="shared" si="274"/>
        <v>0.05</v>
      </c>
      <c r="U453" s="256">
        <v>3500</v>
      </c>
      <c r="V453" s="170">
        <f t="shared" ref="V453:V508" si="280">SUM(E453*1.0235,I453*1.0175,M453*1.0245,Q453*1.0115)</f>
        <v>3570.1750000000002</v>
      </c>
      <c r="W453" s="258">
        <v>0.2</v>
      </c>
      <c r="X453" s="257">
        <f t="shared" si="275"/>
        <v>4200</v>
      </c>
      <c r="Y453" s="170">
        <f t="shared" si="276"/>
        <v>4284.21</v>
      </c>
      <c r="Z453" s="170">
        <f t="shared" si="277"/>
        <v>4300</v>
      </c>
      <c r="AA453" s="407">
        <f t="shared" si="278"/>
        <v>0</v>
      </c>
      <c r="AB453" s="194"/>
    </row>
    <row r="454" spans="1:28" s="278" customFormat="1" ht="14.4" thickBot="1" x14ac:dyDescent="0.3">
      <c r="A454" s="263">
        <v>705060</v>
      </c>
      <c r="B454" s="321" t="s">
        <v>19236</v>
      </c>
      <c r="C454" s="265"/>
      <c r="D454" s="264" t="s">
        <v>11</v>
      </c>
      <c r="E454" s="266">
        <f t="shared" si="265"/>
        <v>1749.99999</v>
      </c>
      <c r="F454" s="174">
        <f t="shared" si="265"/>
        <v>1785.0874897995002</v>
      </c>
      <c r="G454" s="267">
        <v>0.3</v>
      </c>
      <c r="H454" s="268">
        <f t="shared" si="266"/>
        <v>0.3</v>
      </c>
      <c r="I454" s="266">
        <f t="shared" si="267"/>
        <v>2916.6666500000001</v>
      </c>
      <c r="J454" s="174">
        <f t="shared" si="267"/>
        <v>2975.1458163325005</v>
      </c>
      <c r="K454" s="267">
        <v>0.5</v>
      </c>
      <c r="L454" s="269">
        <f t="shared" si="268"/>
        <v>0.5</v>
      </c>
      <c r="M454" s="266">
        <f t="shared" si="269"/>
        <v>874.99999500000001</v>
      </c>
      <c r="N454" s="174">
        <f t="shared" si="270"/>
        <v>892.5437448997501</v>
      </c>
      <c r="O454" s="267">
        <v>0.15</v>
      </c>
      <c r="P454" s="269">
        <f t="shared" si="271"/>
        <v>0.15</v>
      </c>
      <c r="Q454" s="270">
        <f t="shared" si="272"/>
        <v>291.66666500000002</v>
      </c>
      <c r="R454" s="271">
        <f t="shared" si="273"/>
        <v>297.51458163325009</v>
      </c>
      <c r="S454" s="267">
        <v>0.05</v>
      </c>
      <c r="T454" s="268">
        <f t="shared" si="274"/>
        <v>0.05</v>
      </c>
      <c r="U454" s="409">
        <v>5833.3333000000002</v>
      </c>
      <c r="V454" s="174">
        <f t="shared" si="280"/>
        <v>5950.2916326650011</v>
      </c>
      <c r="W454" s="322">
        <v>0.2</v>
      </c>
      <c r="X454" s="274">
        <f t="shared" si="275"/>
        <v>6999.9999600000001</v>
      </c>
      <c r="Y454" s="174">
        <f t="shared" si="276"/>
        <v>7140.3499591980008</v>
      </c>
      <c r="Z454" s="174">
        <f t="shared" si="277"/>
        <v>7150</v>
      </c>
      <c r="AA454" s="410">
        <f t="shared" si="278"/>
        <v>0</v>
      </c>
      <c r="AB454" s="194"/>
    </row>
    <row r="455" spans="1:28" s="278" customFormat="1" x14ac:dyDescent="0.25">
      <c r="A455" s="426">
        <v>705060</v>
      </c>
      <c r="B455" s="427" t="s">
        <v>19237</v>
      </c>
      <c r="C455" s="428"/>
      <c r="D455" s="429" t="s">
        <v>11</v>
      </c>
      <c r="E455" s="423">
        <f t="shared" si="265"/>
        <v>1250.00001</v>
      </c>
      <c r="F455" s="430">
        <f t="shared" si="265"/>
        <v>1275.0625102004999</v>
      </c>
      <c r="G455" s="431">
        <v>0.3</v>
      </c>
      <c r="H455" s="432">
        <f t="shared" si="266"/>
        <v>0.3</v>
      </c>
      <c r="I455" s="423">
        <f t="shared" si="267"/>
        <v>2083.3333499999999</v>
      </c>
      <c r="J455" s="430">
        <f t="shared" si="267"/>
        <v>2125.1041836674999</v>
      </c>
      <c r="K455" s="431">
        <v>0.5</v>
      </c>
      <c r="L455" s="433">
        <f t="shared" si="268"/>
        <v>0.5</v>
      </c>
      <c r="M455" s="423">
        <f t="shared" si="269"/>
        <v>625.00000499999999</v>
      </c>
      <c r="N455" s="430">
        <f t="shared" si="270"/>
        <v>637.53125510024995</v>
      </c>
      <c r="O455" s="431">
        <v>0.15</v>
      </c>
      <c r="P455" s="433">
        <f t="shared" si="271"/>
        <v>0.15</v>
      </c>
      <c r="Q455" s="425">
        <f t="shared" si="272"/>
        <v>208.33333500000001</v>
      </c>
      <c r="R455" s="434">
        <f t="shared" si="273"/>
        <v>212.51041836675</v>
      </c>
      <c r="S455" s="431">
        <v>0.05</v>
      </c>
      <c r="T455" s="432">
        <f t="shared" si="274"/>
        <v>0.05</v>
      </c>
      <c r="U455" s="435">
        <v>4166.6666999999998</v>
      </c>
      <c r="V455" s="430">
        <f t="shared" si="280"/>
        <v>4250.2083673349998</v>
      </c>
      <c r="W455" s="424">
        <v>0.2</v>
      </c>
      <c r="X455" s="436">
        <f t="shared" si="275"/>
        <v>5000.0000399999999</v>
      </c>
      <c r="Y455" s="430">
        <f t="shared" si="276"/>
        <v>5100.2500408019996</v>
      </c>
      <c r="Z455" s="430">
        <f t="shared" si="277"/>
        <v>5125</v>
      </c>
      <c r="AA455" s="437">
        <f t="shared" si="278"/>
        <v>0</v>
      </c>
      <c r="AB455" s="194"/>
    </row>
    <row r="456" spans="1:28" s="278" customFormat="1" x14ac:dyDescent="0.25">
      <c r="A456" s="200">
        <v>705062</v>
      </c>
      <c r="B456" s="313" t="s">
        <v>19238</v>
      </c>
      <c r="C456" s="248"/>
      <c r="D456" s="247" t="s">
        <v>11</v>
      </c>
      <c r="E456" s="249">
        <f t="shared" si="265"/>
        <v>2062.5</v>
      </c>
      <c r="F456" s="170">
        <f t="shared" si="265"/>
        <v>2103.8531250000001</v>
      </c>
      <c r="G456" s="250">
        <v>0.3</v>
      </c>
      <c r="H456" s="171">
        <f t="shared" si="266"/>
        <v>0.3</v>
      </c>
      <c r="I456" s="249">
        <f t="shared" si="267"/>
        <v>3437.5</v>
      </c>
      <c r="J456" s="170">
        <f t="shared" si="267"/>
        <v>3506.421875</v>
      </c>
      <c r="K456" s="250">
        <v>0.5</v>
      </c>
      <c r="L456" s="172">
        <f t="shared" si="268"/>
        <v>0.5</v>
      </c>
      <c r="M456" s="249">
        <f t="shared" si="269"/>
        <v>1031.25</v>
      </c>
      <c r="N456" s="170">
        <f t="shared" si="270"/>
        <v>1051.9265625</v>
      </c>
      <c r="O456" s="250">
        <v>0.15</v>
      </c>
      <c r="P456" s="172">
        <f t="shared" si="271"/>
        <v>0.15</v>
      </c>
      <c r="Q456" s="251">
        <f t="shared" si="272"/>
        <v>343.75</v>
      </c>
      <c r="R456" s="173">
        <f t="shared" si="273"/>
        <v>350.64218750000003</v>
      </c>
      <c r="S456" s="250">
        <v>0.05</v>
      </c>
      <c r="T456" s="171">
        <f t="shared" si="274"/>
        <v>0.05</v>
      </c>
      <c r="U456" s="256">
        <v>6875</v>
      </c>
      <c r="V456" s="170">
        <f t="shared" si="280"/>
        <v>7012.84375</v>
      </c>
      <c r="W456" s="258">
        <v>0.2</v>
      </c>
      <c r="X456" s="257">
        <f t="shared" si="275"/>
        <v>8250</v>
      </c>
      <c r="Y456" s="170">
        <f t="shared" si="276"/>
        <v>8415.4125000000004</v>
      </c>
      <c r="Z456" s="170">
        <f t="shared" si="277"/>
        <v>8425</v>
      </c>
      <c r="AA456" s="407">
        <f t="shared" si="278"/>
        <v>0</v>
      </c>
      <c r="AB456" s="194"/>
    </row>
    <row r="457" spans="1:28" s="278" customFormat="1" x14ac:dyDescent="0.25">
      <c r="A457" s="200">
        <v>705062</v>
      </c>
      <c r="B457" s="313" t="s">
        <v>19239</v>
      </c>
      <c r="C457" s="248"/>
      <c r="D457" s="247" t="s">
        <v>11</v>
      </c>
      <c r="E457" s="249">
        <f t="shared" si="265"/>
        <v>1875</v>
      </c>
      <c r="F457" s="170">
        <f t="shared" si="265"/>
        <v>1912.59375</v>
      </c>
      <c r="G457" s="250">
        <v>0.3</v>
      </c>
      <c r="H457" s="171">
        <f t="shared" si="266"/>
        <v>0.3</v>
      </c>
      <c r="I457" s="249">
        <f t="shared" si="267"/>
        <v>3125</v>
      </c>
      <c r="J457" s="170">
        <f t="shared" si="267"/>
        <v>3187.65625</v>
      </c>
      <c r="K457" s="250">
        <v>0.5</v>
      </c>
      <c r="L457" s="172">
        <f t="shared" si="268"/>
        <v>0.5</v>
      </c>
      <c r="M457" s="249">
        <f t="shared" si="269"/>
        <v>937.5</v>
      </c>
      <c r="N457" s="170">
        <f t="shared" si="270"/>
        <v>956.296875</v>
      </c>
      <c r="O457" s="250">
        <v>0.15</v>
      </c>
      <c r="P457" s="172">
        <f t="shared" si="271"/>
        <v>0.15</v>
      </c>
      <c r="Q457" s="251">
        <f t="shared" si="272"/>
        <v>312.5</v>
      </c>
      <c r="R457" s="173">
        <f t="shared" si="273"/>
        <v>318.765625</v>
      </c>
      <c r="S457" s="250">
        <v>0.05</v>
      </c>
      <c r="T457" s="171">
        <f t="shared" si="274"/>
        <v>0.05</v>
      </c>
      <c r="U457" s="256">
        <v>6250</v>
      </c>
      <c r="V457" s="170">
        <f t="shared" si="280"/>
        <v>6375.3125</v>
      </c>
      <c r="W457" s="258">
        <v>0.2</v>
      </c>
      <c r="X457" s="257">
        <f t="shared" si="275"/>
        <v>7500</v>
      </c>
      <c r="Y457" s="170">
        <f t="shared" si="276"/>
        <v>7650.375</v>
      </c>
      <c r="Z457" s="170">
        <f t="shared" si="277"/>
        <v>7675</v>
      </c>
      <c r="AA457" s="407">
        <f t="shared" si="278"/>
        <v>0</v>
      </c>
      <c r="AB457" s="194"/>
    </row>
    <row r="458" spans="1:28" s="278" customFormat="1" x14ac:dyDescent="0.25">
      <c r="A458" s="200">
        <v>705064</v>
      </c>
      <c r="B458" s="313" t="s">
        <v>19240</v>
      </c>
      <c r="C458" s="248"/>
      <c r="D458" s="247" t="s">
        <v>11</v>
      </c>
      <c r="E458" s="249">
        <f t="shared" si="265"/>
        <v>2500</v>
      </c>
      <c r="F458" s="170">
        <f t="shared" si="265"/>
        <v>2550.25</v>
      </c>
      <c r="G458" s="250">
        <v>0.25</v>
      </c>
      <c r="H458" s="171">
        <f t="shared" si="266"/>
        <v>0.25</v>
      </c>
      <c r="I458" s="249">
        <f t="shared" si="267"/>
        <v>5000</v>
      </c>
      <c r="J458" s="170">
        <f t="shared" si="267"/>
        <v>5100.5</v>
      </c>
      <c r="K458" s="250">
        <v>0.5</v>
      </c>
      <c r="L458" s="172">
        <f t="shared" si="268"/>
        <v>0.5</v>
      </c>
      <c r="M458" s="249">
        <f t="shared" si="269"/>
        <v>2000</v>
      </c>
      <c r="N458" s="170">
        <f t="shared" si="270"/>
        <v>2040.2</v>
      </c>
      <c r="O458" s="250">
        <v>0.2</v>
      </c>
      <c r="P458" s="172">
        <f t="shared" si="271"/>
        <v>0.2</v>
      </c>
      <c r="Q458" s="251">
        <f t="shared" si="272"/>
        <v>500</v>
      </c>
      <c r="R458" s="173">
        <f t="shared" si="273"/>
        <v>510.05</v>
      </c>
      <c r="S458" s="250">
        <v>0.05</v>
      </c>
      <c r="T458" s="171">
        <f t="shared" si="274"/>
        <v>0.05</v>
      </c>
      <c r="U458" s="256">
        <v>10000</v>
      </c>
      <c r="V458" s="170">
        <f t="shared" si="280"/>
        <v>10201</v>
      </c>
      <c r="W458" s="258">
        <v>0.2</v>
      </c>
      <c r="X458" s="257">
        <f t="shared" si="275"/>
        <v>12000</v>
      </c>
      <c r="Y458" s="170">
        <f t="shared" si="276"/>
        <v>12241.199999999999</v>
      </c>
      <c r="Z458" s="170">
        <f t="shared" si="277"/>
        <v>12250</v>
      </c>
      <c r="AA458" s="407">
        <f t="shared" si="278"/>
        <v>0</v>
      </c>
      <c r="AB458" s="194"/>
    </row>
    <row r="459" spans="1:28" s="278" customFormat="1" x14ac:dyDescent="0.25">
      <c r="A459" s="200">
        <v>705064</v>
      </c>
      <c r="B459" s="313" t="s">
        <v>19241</v>
      </c>
      <c r="C459" s="248"/>
      <c r="D459" s="247" t="s">
        <v>11</v>
      </c>
      <c r="E459" s="249">
        <f t="shared" si="265"/>
        <v>1875</v>
      </c>
      <c r="F459" s="170">
        <f t="shared" si="265"/>
        <v>1912.6875000000002</v>
      </c>
      <c r="G459" s="250">
        <v>0.25</v>
      </c>
      <c r="H459" s="171">
        <f t="shared" si="266"/>
        <v>0.25</v>
      </c>
      <c r="I459" s="249">
        <f t="shared" si="267"/>
        <v>3750</v>
      </c>
      <c r="J459" s="170">
        <f t="shared" si="267"/>
        <v>3825.3750000000005</v>
      </c>
      <c r="K459" s="250">
        <v>0.5</v>
      </c>
      <c r="L459" s="172">
        <f t="shared" si="268"/>
        <v>0.5</v>
      </c>
      <c r="M459" s="249">
        <f t="shared" si="269"/>
        <v>1500</v>
      </c>
      <c r="N459" s="170">
        <f t="shared" si="270"/>
        <v>1530.1500000000003</v>
      </c>
      <c r="O459" s="250">
        <v>0.2</v>
      </c>
      <c r="P459" s="172">
        <f t="shared" si="271"/>
        <v>0.2</v>
      </c>
      <c r="Q459" s="251">
        <f t="shared" si="272"/>
        <v>375</v>
      </c>
      <c r="R459" s="173">
        <f t="shared" si="273"/>
        <v>382.53750000000008</v>
      </c>
      <c r="S459" s="250">
        <v>0.05</v>
      </c>
      <c r="T459" s="171">
        <f t="shared" si="274"/>
        <v>0.05</v>
      </c>
      <c r="U459" s="256">
        <v>7500</v>
      </c>
      <c r="V459" s="170">
        <f t="shared" si="280"/>
        <v>7650.7500000000009</v>
      </c>
      <c r="W459" s="258">
        <v>0.2</v>
      </c>
      <c r="X459" s="257">
        <f t="shared" si="275"/>
        <v>9000</v>
      </c>
      <c r="Y459" s="170">
        <f t="shared" si="276"/>
        <v>9180.9000000000015</v>
      </c>
      <c r="Z459" s="170">
        <f t="shared" si="277"/>
        <v>9200</v>
      </c>
      <c r="AA459" s="407">
        <f t="shared" si="278"/>
        <v>0</v>
      </c>
      <c r="AB459" s="194"/>
    </row>
    <row r="460" spans="1:28" s="278" customFormat="1" x14ac:dyDescent="0.25">
      <c r="A460" s="200">
        <v>705066</v>
      </c>
      <c r="B460" s="313" t="s">
        <v>19242</v>
      </c>
      <c r="C460" s="248"/>
      <c r="D460" s="247" t="s">
        <v>11</v>
      </c>
      <c r="E460" s="249">
        <f t="shared" si="265"/>
        <v>2916.6666749999999</v>
      </c>
      <c r="F460" s="170">
        <f t="shared" si="265"/>
        <v>2975.2916751675002</v>
      </c>
      <c r="G460" s="250">
        <v>0.25</v>
      </c>
      <c r="H460" s="171">
        <f t="shared" si="266"/>
        <v>0.25</v>
      </c>
      <c r="I460" s="249">
        <f t="shared" si="267"/>
        <v>5833.3333499999999</v>
      </c>
      <c r="J460" s="170">
        <f t="shared" si="267"/>
        <v>5950.5833503350004</v>
      </c>
      <c r="K460" s="250">
        <v>0.5</v>
      </c>
      <c r="L460" s="172">
        <f t="shared" si="268"/>
        <v>0.5</v>
      </c>
      <c r="M460" s="249">
        <f t="shared" si="269"/>
        <v>2333.3333400000001</v>
      </c>
      <c r="N460" s="170">
        <f t="shared" si="270"/>
        <v>2380.2333401340002</v>
      </c>
      <c r="O460" s="250">
        <v>0.2</v>
      </c>
      <c r="P460" s="172">
        <f t="shared" si="271"/>
        <v>0.2</v>
      </c>
      <c r="Q460" s="251">
        <f t="shared" si="272"/>
        <v>583.33333500000003</v>
      </c>
      <c r="R460" s="173">
        <f t="shared" si="273"/>
        <v>595.05833503350004</v>
      </c>
      <c r="S460" s="250">
        <v>0.05</v>
      </c>
      <c r="T460" s="171">
        <f t="shared" si="274"/>
        <v>0.05</v>
      </c>
      <c r="U460" s="256">
        <v>11666.6667</v>
      </c>
      <c r="V460" s="170">
        <f t="shared" si="280"/>
        <v>11901.166700670001</v>
      </c>
      <c r="W460" s="258">
        <v>0.2</v>
      </c>
      <c r="X460" s="257">
        <f t="shared" si="275"/>
        <v>14000.000039999999</v>
      </c>
      <c r="Y460" s="170">
        <f t="shared" si="276"/>
        <v>14281.400040804001</v>
      </c>
      <c r="Z460" s="170">
        <f t="shared" si="277"/>
        <v>14500</v>
      </c>
      <c r="AA460" s="407">
        <f t="shared" si="278"/>
        <v>0</v>
      </c>
      <c r="AB460" s="194"/>
    </row>
    <row r="461" spans="1:28" s="278" customFormat="1" x14ac:dyDescent="0.25">
      <c r="A461" s="200">
        <v>705066</v>
      </c>
      <c r="B461" s="313" t="s">
        <v>19243</v>
      </c>
      <c r="C461" s="248"/>
      <c r="D461" s="247" t="s">
        <v>11</v>
      </c>
      <c r="E461" s="249">
        <f t="shared" si="265"/>
        <v>2291.6666749999999</v>
      </c>
      <c r="F461" s="170">
        <f t="shared" si="265"/>
        <v>2337.7291751675002</v>
      </c>
      <c r="G461" s="250">
        <v>0.25</v>
      </c>
      <c r="H461" s="171">
        <f t="shared" si="266"/>
        <v>0.25</v>
      </c>
      <c r="I461" s="249">
        <f t="shared" si="267"/>
        <v>4583.3333499999999</v>
      </c>
      <c r="J461" s="170">
        <f t="shared" si="267"/>
        <v>4675.4583503350004</v>
      </c>
      <c r="K461" s="250">
        <v>0.5</v>
      </c>
      <c r="L461" s="172">
        <f t="shared" si="268"/>
        <v>0.5</v>
      </c>
      <c r="M461" s="249">
        <f t="shared" si="269"/>
        <v>1833.3333400000001</v>
      </c>
      <c r="N461" s="170">
        <f t="shared" si="270"/>
        <v>1870.1833401340002</v>
      </c>
      <c r="O461" s="250">
        <v>0.2</v>
      </c>
      <c r="P461" s="172">
        <f t="shared" si="271"/>
        <v>0.2</v>
      </c>
      <c r="Q461" s="251">
        <f t="shared" si="272"/>
        <v>458.33333500000003</v>
      </c>
      <c r="R461" s="173">
        <f t="shared" si="273"/>
        <v>467.54583503350005</v>
      </c>
      <c r="S461" s="250">
        <v>0.05</v>
      </c>
      <c r="T461" s="171">
        <f t="shared" si="274"/>
        <v>0.05</v>
      </c>
      <c r="U461" s="256">
        <v>9166.6666999999998</v>
      </c>
      <c r="V461" s="170">
        <f t="shared" si="280"/>
        <v>9350.9167006700009</v>
      </c>
      <c r="W461" s="258">
        <v>0.2</v>
      </c>
      <c r="X461" s="257">
        <f t="shared" si="275"/>
        <v>11000.000039999999</v>
      </c>
      <c r="Y461" s="170">
        <f t="shared" si="276"/>
        <v>11221.100040804</v>
      </c>
      <c r="Z461" s="170">
        <f t="shared" si="277"/>
        <v>11250</v>
      </c>
      <c r="AA461" s="407">
        <f t="shared" si="278"/>
        <v>0</v>
      </c>
      <c r="AB461" s="194"/>
    </row>
    <row r="462" spans="1:28" s="278" customFormat="1" x14ac:dyDescent="0.25">
      <c r="A462" s="200">
        <v>705068</v>
      </c>
      <c r="B462" s="313" t="s">
        <v>19244</v>
      </c>
      <c r="C462" s="248"/>
      <c r="D462" s="247" t="s">
        <v>11</v>
      </c>
      <c r="E462" s="249">
        <f t="shared" ref="E462:F493" si="281">U462*G462</f>
        <v>3750</v>
      </c>
      <c r="F462" s="170">
        <f t="shared" si="281"/>
        <v>3825.3750000000005</v>
      </c>
      <c r="G462" s="250">
        <v>0.25</v>
      </c>
      <c r="H462" s="171">
        <f t="shared" si="266"/>
        <v>0.25</v>
      </c>
      <c r="I462" s="249">
        <f t="shared" ref="I462:J493" si="282">U462*K462</f>
        <v>7500</v>
      </c>
      <c r="J462" s="170">
        <f t="shared" si="282"/>
        <v>7650.7500000000009</v>
      </c>
      <c r="K462" s="250">
        <v>0.5</v>
      </c>
      <c r="L462" s="172">
        <f t="shared" si="268"/>
        <v>0.5</v>
      </c>
      <c r="M462" s="249">
        <f t="shared" si="269"/>
        <v>3000</v>
      </c>
      <c r="N462" s="170">
        <f t="shared" si="270"/>
        <v>3060.3000000000006</v>
      </c>
      <c r="O462" s="250">
        <v>0.2</v>
      </c>
      <c r="P462" s="172">
        <f t="shared" si="271"/>
        <v>0.2</v>
      </c>
      <c r="Q462" s="251">
        <f t="shared" si="272"/>
        <v>750</v>
      </c>
      <c r="R462" s="173">
        <f t="shared" si="273"/>
        <v>765.07500000000016</v>
      </c>
      <c r="S462" s="250">
        <v>0.05</v>
      </c>
      <c r="T462" s="171">
        <f t="shared" si="274"/>
        <v>0.05</v>
      </c>
      <c r="U462" s="253">
        <v>15000</v>
      </c>
      <c r="V462" s="170">
        <f t="shared" si="280"/>
        <v>15301.500000000002</v>
      </c>
      <c r="W462" s="258">
        <v>0.2</v>
      </c>
      <c r="X462" s="257">
        <f t="shared" si="275"/>
        <v>18000</v>
      </c>
      <c r="Y462" s="170">
        <f t="shared" si="276"/>
        <v>18361.800000000003</v>
      </c>
      <c r="Z462" s="170">
        <f t="shared" si="277"/>
        <v>18500</v>
      </c>
      <c r="AA462" s="407">
        <f t="shared" si="278"/>
        <v>0</v>
      </c>
      <c r="AB462" s="194"/>
    </row>
    <row r="463" spans="1:28" s="278" customFormat="1" x14ac:dyDescent="0.25">
      <c r="A463" s="200">
        <v>705068</v>
      </c>
      <c r="B463" s="313" t="s">
        <v>19245</v>
      </c>
      <c r="C463" s="248"/>
      <c r="D463" s="247" t="s">
        <v>11</v>
      </c>
      <c r="E463" s="249">
        <f t="shared" si="281"/>
        <v>2916.6666749999999</v>
      </c>
      <c r="F463" s="170">
        <f t="shared" si="281"/>
        <v>2975.2916751675002</v>
      </c>
      <c r="G463" s="250">
        <v>0.25</v>
      </c>
      <c r="H463" s="171">
        <f t="shared" si="266"/>
        <v>0.25</v>
      </c>
      <c r="I463" s="249">
        <f t="shared" si="282"/>
        <v>5833.3333499999999</v>
      </c>
      <c r="J463" s="170">
        <f t="shared" si="282"/>
        <v>5950.5833503350004</v>
      </c>
      <c r="K463" s="250">
        <v>0.5</v>
      </c>
      <c r="L463" s="172">
        <f t="shared" si="268"/>
        <v>0.5</v>
      </c>
      <c r="M463" s="249">
        <f t="shared" si="269"/>
        <v>2333.3333400000001</v>
      </c>
      <c r="N463" s="170">
        <f t="shared" si="270"/>
        <v>2380.2333401340002</v>
      </c>
      <c r="O463" s="250">
        <v>0.2</v>
      </c>
      <c r="P463" s="172">
        <f t="shared" si="271"/>
        <v>0.2</v>
      </c>
      <c r="Q463" s="251">
        <f t="shared" si="272"/>
        <v>583.33333500000003</v>
      </c>
      <c r="R463" s="173">
        <f t="shared" si="273"/>
        <v>595.05833503350004</v>
      </c>
      <c r="S463" s="250">
        <v>0.05</v>
      </c>
      <c r="T463" s="171">
        <f t="shared" si="274"/>
        <v>0.05</v>
      </c>
      <c r="U463" s="253">
        <v>11666.6667</v>
      </c>
      <c r="V463" s="170">
        <f t="shared" si="280"/>
        <v>11901.166700670001</v>
      </c>
      <c r="W463" s="258">
        <v>0.2</v>
      </c>
      <c r="X463" s="257">
        <f t="shared" si="275"/>
        <v>14000.000039999999</v>
      </c>
      <c r="Y463" s="170">
        <f t="shared" si="276"/>
        <v>14281.400040804001</v>
      </c>
      <c r="Z463" s="170">
        <f t="shared" si="277"/>
        <v>14500</v>
      </c>
      <c r="AA463" s="407">
        <f t="shared" si="278"/>
        <v>0</v>
      </c>
      <c r="AB463" s="194"/>
    </row>
    <row r="464" spans="1:28" s="278" customFormat="1" x14ac:dyDescent="0.25">
      <c r="A464" s="200">
        <v>705070</v>
      </c>
      <c r="B464" s="313" t="s">
        <v>19246</v>
      </c>
      <c r="C464" s="248"/>
      <c r="D464" s="247" t="s">
        <v>11</v>
      </c>
      <c r="E464" s="249">
        <f t="shared" si="281"/>
        <v>4166.6667500000003</v>
      </c>
      <c r="F464" s="170">
        <f t="shared" si="281"/>
        <v>4250.4167516750003</v>
      </c>
      <c r="G464" s="250">
        <v>0.25</v>
      </c>
      <c r="H464" s="171">
        <f t="shared" si="266"/>
        <v>0.25</v>
      </c>
      <c r="I464" s="249">
        <f t="shared" si="282"/>
        <v>8333.3335000000006</v>
      </c>
      <c r="J464" s="170">
        <f t="shared" si="282"/>
        <v>8500.8335033500007</v>
      </c>
      <c r="K464" s="250">
        <v>0.5</v>
      </c>
      <c r="L464" s="172">
        <f t="shared" si="268"/>
        <v>0.5</v>
      </c>
      <c r="M464" s="249">
        <f t="shared" si="269"/>
        <v>3333.3334000000004</v>
      </c>
      <c r="N464" s="170">
        <f t="shared" si="270"/>
        <v>3400.3334013400004</v>
      </c>
      <c r="O464" s="250">
        <v>0.2</v>
      </c>
      <c r="P464" s="172">
        <f t="shared" si="271"/>
        <v>0.2</v>
      </c>
      <c r="Q464" s="251">
        <f t="shared" si="272"/>
        <v>833.33335000000011</v>
      </c>
      <c r="R464" s="173">
        <f t="shared" si="273"/>
        <v>850.08335033500009</v>
      </c>
      <c r="S464" s="250">
        <v>0.05</v>
      </c>
      <c r="T464" s="171">
        <f t="shared" si="274"/>
        <v>0.05</v>
      </c>
      <c r="U464" s="253">
        <v>16666.667000000001</v>
      </c>
      <c r="V464" s="170">
        <f t="shared" si="280"/>
        <v>17001.667006700001</v>
      </c>
      <c r="W464" s="258">
        <v>0.2</v>
      </c>
      <c r="X464" s="257">
        <f t="shared" si="275"/>
        <v>20000.000400000001</v>
      </c>
      <c r="Y464" s="170">
        <f t="shared" si="276"/>
        <v>20402.000408039999</v>
      </c>
      <c r="Z464" s="170">
        <f t="shared" si="277"/>
        <v>20500</v>
      </c>
      <c r="AA464" s="407">
        <f t="shared" si="278"/>
        <v>0</v>
      </c>
      <c r="AB464" s="194"/>
    </row>
    <row r="465" spans="1:28" s="278" customFormat="1" x14ac:dyDescent="0.25">
      <c r="A465" s="200">
        <v>705070</v>
      </c>
      <c r="B465" s="313" t="s">
        <v>19247</v>
      </c>
      <c r="C465" s="248"/>
      <c r="D465" s="247" t="s">
        <v>11</v>
      </c>
      <c r="E465" s="249">
        <f t="shared" si="281"/>
        <v>3333.3325</v>
      </c>
      <c r="F465" s="170">
        <f t="shared" si="281"/>
        <v>3400.3324832500002</v>
      </c>
      <c r="G465" s="250">
        <v>0.25</v>
      </c>
      <c r="H465" s="171">
        <f t="shared" si="266"/>
        <v>0.25</v>
      </c>
      <c r="I465" s="249">
        <f t="shared" si="282"/>
        <v>6666.665</v>
      </c>
      <c r="J465" s="170">
        <f t="shared" si="282"/>
        <v>6800.6649665000004</v>
      </c>
      <c r="K465" s="250">
        <v>0.5</v>
      </c>
      <c r="L465" s="172">
        <f t="shared" si="268"/>
        <v>0.5</v>
      </c>
      <c r="M465" s="249">
        <f t="shared" si="269"/>
        <v>2666.6660000000002</v>
      </c>
      <c r="N465" s="170">
        <f t="shared" si="270"/>
        <v>2720.2659866000004</v>
      </c>
      <c r="O465" s="250">
        <v>0.2</v>
      </c>
      <c r="P465" s="172">
        <f t="shared" si="271"/>
        <v>0.2</v>
      </c>
      <c r="Q465" s="251">
        <f t="shared" si="272"/>
        <v>666.66650000000004</v>
      </c>
      <c r="R465" s="173">
        <f t="shared" si="273"/>
        <v>680.06649665000009</v>
      </c>
      <c r="S465" s="250">
        <v>0.05</v>
      </c>
      <c r="T465" s="171">
        <f t="shared" si="274"/>
        <v>0.05</v>
      </c>
      <c r="U465" s="253">
        <v>13333.33</v>
      </c>
      <c r="V465" s="170">
        <f t="shared" si="280"/>
        <v>13601.329933000001</v>
      </c>
      <c r="W465" s="258">
        <v>0.2</v>
      </c>
      <c r="X465" s="257">
        <f t="shared" si="275"/>
        <v>15999.995999999999</v>
      </c>
      <c r="Y465" s="170">
        <f t="shared" si="276"/>
        <v>16321.5959196</v>
      </c>
      <c r="Z465" s="170">
        <f t="shared" si="277"/>
        <v>16500</v>
      </c>
      <c r="AA465" s="407">
        <f t="shared" si="278"/>
        <v>0</v>
      </c>
      <c r="AB465" s="194"/>
    </row>
    <row r="466" spans="1:28" s="278" customFormat="1" x14ac:dyDescent="0.25">
      <c r="A466" s="200">
        <v>705072</v>
      </c>
      <c r="B466" s="313" t="s">
        <v>19248</v>
      </c>
      <c r="C466" s="248"/>
      <c r="D466" s="247" t="s">
        <v>11</v>
      </c>
      <c r="E466" s="249">
        <f t="shared" si="281"/>
        <v>5000</v>
      </c>
      <c r="F466" s="170">
        <f t="shared" si="281"/>
        <v>5100.5</v>
      </c>
      <c r="G466" s="250">
        <v>0.25</v>
      </c>
      <c r="H466" s="171">
        <f t="shared" si="266"/>
        <v>0.25</v>
      </c>
      <c r="I466" s="249">
        <f t="shared" si="282"/>
        <v>10000</v>
      </c>
      <c r="J466" s="170">
        <f t="shared" si="282"/>
        <v>10201</v>
      </c>
      <c r="K466" s="250">
        <v>0.5</v>
      </c>
      <c r="L466" s="172">
        <f t="shared" si="268"/>
        <v>0.5</v>
      </c>
      <c r="M466" s="249">
        <f t="shared" si="269"/>
        <v>4000</v>
      </c>
      <c r="N466" s="170">
        <f t="shared" si="270"/>
        <v>4080.4</v>
      </c>
      <c r="O466" s="250">
        <v>0.2</v>
      </c>
      <c r="P466" s="172">
        <f t="shared" si="271"/>
        <v>0.2</v>
      </c>
      <c r="Q466" s="251">
        <f t="shared" si="272"/>
        <v>1000</v>
      </c>
      <c r="R466" s="173">
        <f t="shared" si="273"/>
        <v>1020.1</v>
      </c>
      <c r="S466" s="250">
        <v>0.05</v>
      </c>
      <c r="T466" s="171">
        <f t="shared" si="274"/>
        <v>0.05</v>
      </c>
      <c r="U466" s="256">
        <v>20000</v>
      </c>
      <c r="V466" s="170">
        <f t="shared" si="280"/>
        <v>20402</v>
      </c>
      <c r="W466" s="258">
        <v>0.2</v>
      </c>
      <c r="X466" s="257">
        <f t="shared" si="275"/>
        <v>24000</v>
      </c>
      <c r="Y466" s="170">
        <f t="shared" si="276"/>
        <v>24482.399999999998</v>
      </c>
      <c r="Z466" s="170">
        <f t="shared" si="277"/>
        <v>24500</v>
      </c>
      <c r="AA466" s="407">
        <f t="shared" si="278"/>
        <v>0</v>
      </c>
      <c r="AB466" s="194"/>
    </row>
    <row r="467" spans="1:28" s="278" customFormat="1" x14ac:dyDescent="0.25">
      <c r="A467" s="200">
        <v>705072</v>
      </c>
      <c r="B467" s="313" t="s">
        <v>19249</v>
      </c>
      <c r="C467" s="248"/>
      <c r="D467" s="247" t="s">
        <v>11</v>
      </c>
      <c r="E467" s="249">
        <f t="shared" si="281"/>
        <v>4166.6667500000003</v>
      </c>
      <c r="F467" s="170">
        <f t="shared" si="281"/>
        <v>4250.4167516750003</v>
      </c>
      <c r="G467" s="250">
        <v>0.25</v>
      </c>
      <c r="H467" s="171">
        <f t="shared" si="266"/>
        <v>0.25</v>
      </c>
      <c r="I467" s="249">
        <f t="shared" si="282"/>
        <v>8333.3335000000006</v>
      </c>
      <c r="J467" s="170">
        <f t="shared" si="282"/>
        <v>8500.8335033500007</v>
      </c>
      <c r="K467" s="250">
        <v>0.5</v>
      </c>
      <c r="L467" s="172">
        <f t="shared" si="268"/>
        <v>0.5</v>
      </c>
      <c r="M467" s="249">
        <f t="shared" si="269"/>
        <v>3333.3334000000004</v>
      </c>
      <c r="N467" s="170">
        <f t="shared" si="270"/>
        <v>3400.3334013400004</v>
      </c>
      <c r="O467" s="250">
        <v>0.2</v>
      </c>
      <c r="P467" s="172">
        <f t="shared" si="271"/>
        <v>0.2</v>
      </c>
      <c r="Q467" s="251">
        <f t="shared" si="272"/>
        <v>833.33335000000011</v>
      </c>
      <c r="R467" s="173">
        <f t="shared" si="273"/>
        <v>850.08335033500009</v>
      </c>
      <c r="S467" s="250">
        <v>0.05</v>
      </c>
      <c r="T467" s="171">
        <f t="shared" si="274"/>
        <v>0.05</v>
      </c>
      <c r="U467" s="256">
        <v>16666.667000000001</v>
      </c>
      <c r="V467" s="170">
        <f t="shared" si="280"/>
        <v>17001.667006700001</v>
      </c>
      <c r="W467" s="258">
        <v>0.2</v>
      </c>
      <c r="X467" s="257">
        <f t="shared" si="275"/>
        <v>20000.000400000001</v>
      </c>
      <c r="Y467" s="170">
        <f t="shared" si="276"/>
        <v>20402.000408039999</v>
      </c>
      <c r="Z467" s="170">
        <f t="shared" si="277"/>
        <v>20500</v>
      </c>
      <c r="AA467" s="407">
        <f t="shared" si="278"/>
        <v>0</v>
      </c>
      <c r="AB467" s="194"/>
    </row>
    <row r="468" spans="1:28" s="278" customFormat="1" x14ac:dyDescent="0.25">
      <c r="A468" s="200">
        <v>705074</v>
      </c>
      <c r="B468" s="313" t="s">
        <v>19250</v>
      </c>
      <c r="C468" s="248"/>
      <c r="D468" s="247" t="s">
        <v>11</v>
      </c>
      <c r="E468" s="249">
        <f t="shared" si="281"/>
        <v>7291.6666750000004</v>
      </c>
      <c r="F468" s="170">
        <f t="shared" si="281"/>
        <v>7438.2291751675011</v>
      </c>
      <c r="G468" s="250">
        <v>0.25</v>
      </c>
      <c r="H468" s="171">
        <f t="shared" si="266"/>
        <v>0.25</v>
      </c>
      <c r="I468" s="249">
        <f t="shared" si="282"/>
        <v>14583.333350000001</v>
      </c>
      <c r="J468" s="170">
        <f t="shared" si="282"/>
        <v>14876.458350335002</v>
      </c>
      <c r="K468" s="250">
        <v>0.5</v>
      </c>
      <c r="L468" s="172">
        <f t="shared" si="268"/>
        <v>0.5</v>
      </c>
      <c r="M468" s="249">
        <f t="shared" si="269"/>
        <v>5833.333340000001</v>
      </c>
      <c r="N468" s="170">
        <f t="shared" si="270"/>
        <v>5950.5833401340014</v>
      </c>
      <c r="O468" s="250">
        <v>0.2</v>
      </c>
      <c r="P468" s="172">
        <f t="shared" si="271"/>
        <v>0.2</v>
      </c>
      <c r="Q468" s="251">
        <f t="shared" si="272"/>
        <v>1458.3333350000003</v>
      </c>
      <c r="R468" s="173">
        <f t="shared" si="273"/>
        <v>1487.6458350335004</v>
      </c>
      <c r="S468" s="250">
        <v>0.05</v>
      </c>
      <c r="T468" s="171">
        <f t="shared" si="274"/>
        <v>0.05</v>
      </c>
      <c r="U468" s="256">
        <v>29166.666700000002</v>
      </c>
      <c r="V468" s="170">
        <f t="shared" si="280"/>
        <v>29752.916700670005</v>
      </c>
      <c r="W468" s="258">
        <v>0.2</v>
      </c>
      <c r="X468" s="257">
        <f t="shared" si="275"/>
        <v>35000.000039999999</v>
      </c>
      <c r="Y468" s="170">
        <f t="shared" si="276"/>
        <v>35703.500040804007</v>
      </c>
      <c r="Z468" s="170">
        <f t="shared" si="277"/>
        <v>35750</v>
      </c>
      <c r="AA468" s="407">
        <f t="shared" si="278"/>
        <v>0</v>
      </c>
      <c r="AB468" s="194"/>
    </row>
    <row r="469" spans="1:28" s="278" customFormat="1" x14ac:dyDescent="0.25">
      <c r="A469" s="200">
        <v>705074</v>
      </c>
      <c r="B469" s="313" t="s">
        <v>19251</v>
      </c>
      <c r="C469" s="248"/>
      <c r="D469" s="247" t="s">
        <v>11</v>
      </c>
      <c r="E469" s="249">
        <f t="shared" si="281"/>
        <v>6250</v>
      </c>
      <c r="F469" s="170">
        <f t="shared" si="281"/>
        <v>6375.625</v>
      </c>
      <c r="G469" s="250">
        <v>0.25</v>
      </c>
      <c r="H469" s="171">
        <f t="shared" si="266"/>
        <v>0.25</v>
      </c>
      <c r="I469" s="249">
        <f t="shared" si="282"/>
        <v>12500</v>
      </c>
      <c r="J469" s="170">
        <f t="shared" si="282"/>
        <v>12751.25</v>
      </c>
      <c r="K469" s="250">
        <v>0.5</v>
      </c>
      <c r="L469" s="172">
        <f t="shared" si="268"/>
        <v>0.5</v>
      </c>
      <c r="M469" s="249">
        <f t="shared" si="269"/>
        <v>5000</v>
      </c>
      <c r="N469" s="170">
        <f t="shared" si="270"/>
        <v>5100.5</v>
      </c>
      <c r="O469" s="250">
        <v>0.2</v>
      </c>
      <c r="P469" s="172">
        <f t="shared" si="271"/>
        <v>0.2</v>
      </c>
      <c r="Q469" s="251">
        <f t="shared" si="272"/>
        <v>1250</v>
      </c>
      <c r="R469" s="173">
        <f t="shared" si="273"/>
        <v>1275.125</v>
      </c>
      <c r="S469" s="250">
        <v>0.05</v>
      </c>
      <c r="T469" s="171">
        <f t="shared" si="274"/>
        <v>0.05</v>
      </c>
      <c r="U469" s="256">
        <v>25000</v>
      </c>
      <c r="V469" s="170">
        <f t="shared" si="280"/>
        <v>25502.5</v>
      </c>
      <c r="W469" s="258">
        <v>0.2</v>
      </c>
      <c r="X469" s="257">
        <f t="shared" si="275"/>
        <v>30000</v>
      </c>
      <c r="Y469" s="170">
        <f t="shared" si="276"/>
        <v>30603</v>
      </c>
      <c r="Z469" s="170">
        <f t="shared" si="277"/>
        <v>30750</v>
      </c>
      <c r="AA469" s="407">
        <f t="shared" si="278"/>
        <v>0</v>
      </c>
      <c r="AB469" s="194"/>
    </row>
    <row r="470" spans="1:28" s="278" customFormat="1" x14ac:dyDescent="0.25">
      <c r="A470" s="200">
        <v>705108</v>
      </c>
      <c r="B470" s="313" t="s">
        <v>14641</v>
      </c>
      <c r="C470" s="248"/>
      <c r="D470" s="247" t="s">
        <v>16</v>
      </c>
      <c r="E470" s="249">
        <f t="shared" si="281"/>
        <v>83.332000000000008</v>
      </c>
      <c r="F470" s="170">
        <f t="shared" si="281"/>
        <v>85.111138200000013</v>
      </c>
      <c r="G470" s="250">
        <v>0.4</v>
      </c>
      <c r="H470" s="171">
        <f t="shared" si="266"/>
        <v>0.4</v>
      </c>
      <c r="I470" s="249">
        <f t="shared" si="282"/>
        <v>62.499000000000002</v>
      </c>
      <c r="J470" s="170">
        <f t="shared" si="282"/>
        <v>63.833353649999999</v>
      </c>
      <c r="K470" s="250">
        <v>0.3</v>
      </c>
      <c r="L470" s="172">
        <f t="shared" si="268"/>
        <v>0.3</v>
      </c>
      <c r="M470" s="249">
        <f t="shared" si="269"/>
        <v>52.082500000000003</v>
      </c>
      <c r="N470" s="170">
        <f t="shared" si="270"/>
        <v>53.194461375000003</v>
      </c>
      <c r="O470" s="250">
        <v>0.25</v>
      </c>
      <c r="P470" s="172">
        <f t="shared" si="271"/>
        <v>0.25</v>
      </c>
      <c r="Q470" s="251">
        <f t="shared" si="272"/>
        <v>10.416500000000001</v>
      </c>
      <c r="R470" s="173">
        <f t="shared" si="273"/>
        <v>10.638892275000002</v>
      </c>
      <c r="S470" s="250">
        <v>0.05</v>
      </c>
      <c r="T470" s="171">
        <f t="shared" si="274"/>
        <v>0.05</v>
      </c>
      <c r="U470" s="256">
        <v>208.33</v>
      </c>
      <c r="V470" s="170">
        <f t="shared" si="280"/>
        <v>212.77784550000001</v>
      </c>
      <c r="W470" s="258">
        <v>0.2</v>
      </c>
      <c r="X470" s="257">
        <f t="shared" si="275"/>
        <v>249.99600000000001</v>
      </c>
      <c r="Y470" s="170">
        <f t="shared" si="276"/>
        <v>255.3334146</v>
      </c>
      <c r="Z470" s="170">
        <f t="shared" si="277"/>
        <v>260</v>
      </c>
      <c r="AA470" s="407">
        <f t="shared" si="278"/>
        <v>0</v>
      </c>
      <c r="AB470" s="194"/>
    </row>
    <row r="471" spans="1:28" s="278" customFormat="1" x14ac:dyDescent="0.25">
      <c r="A471" s="200">
        <v>705109</v>
      </c>
      <c r="B471" s="313" t="s">
        <v>14642</v>
      </c>
      <c r="C471" s="248"/>
      <c r="D471" s="247" t="s">
        <v>16</v>
      </c>
      <c r="E471" s="249">
        <f t="shared" si="281"/>
        <v>91.666679999999999</v>
      </c>
      <c r="F471" s="170">
        <f t="shared" si="281"/>
        <v>93.623763617999998</v>
      </c>
      <c r="G471" s="250">
        <v>0.4</v>
      </c>
      <c r="H471" s="171">
        <f t="shared" si="266"/>
        <v>0.4</v>
      </c>
      <c r="I471" s="249">
        <f t="shared" si="282"/>
        <v>68.750009999999989</v>
      </c>
      <c r="J471" s="170">
        <f t="shared" si="282"/>
        <v>70.217822713499984</v>
      </c>
      <c r="K471" s="250">
        <v>0.3</v>
      </c>
      <c r="L471" s="172">
        <f t="shared" si="268"/>
        <v>0.3</v>
      </c>
      <c r="M471" s="249">
        <f t="shared" si="269"/>
        <v>57.291674999999998</v>
      </c>
      <c r="N471" s="170">
        <f t="shared" si="270"/>
        <v>58.514852261249992</v>
      </c>
      <c r="O471" s="250">
        <v>0.25</v>
      </c>
      <c r="P471" s="172">
        <f t="shared" si="271"/>
        <v>0.25</v>
      </c>
      <c r="Q471" s="251">
        <f t="shared" si="272"/>
        <v>11.458335</v>
      </c>
      <c r="R471" s="173">
        <f t="shared" si="273"/>
        <v>11.70297045225</v>
      </c>
      <c r="S471" s="250">
        <v>0.05</v>
      </c>
      <c r="T471" s="171">
        <f t="shared" si="274"/>
        <v>0.05</v>
      </c>
      <c r="U471" s="256">
        <v>229.16669999999999</v>
      </c>
      <c r="V471" s="170">
        <f t="shared" si="280"/>
        <v>234.05940904499997</v>
      </c>
      <c r="W471" s="258">
        <v>0.2</v>
      </c>
      <c r="X471" s="257">
        <f t="shared" si="275"/>
        <v>275.00004000000001</v>
      </c>
      <c r="Y471" s="170">
        <f t="shared" si="276"/>
        <v>280.87129085399994</v>
      </c>
      <c r="Z471" s="170">
        <f t="shared" si="277"/>
        <v>285</v>
      </c>
      <c r="AA471" s="407">
        <f t="shared" si="278"/>
        <v>0</v>
      </c>
      <c r="AB471" s="194"/>
    </row>
    <row r="472" spans="1:28" s="278" customFormat="1" x14ac:dyDescent="0.25">
      <c r="A472" s="200">
        <v>705110</v>
      </c>
      <c r="B472" s="313" t="s">
        <v>14643</v>
      </c>
      <c r="C472" s="248"/>
      <c r="D472" s="247" t="s">
        <v>16</v>
      </c>
      <c r="E472" s="249">
        <f t="shared" si="281"/>
        <v>96.666679999999999</v>
      </c>
      <c r="F472" s="170">
        <f t="shared" si="281"/>
        <v>98.730513618000018</v>
      </c>
      <c r="G472" s="250">
        <v>0.4</v>
      </c>
      <c r="H472" s="171">
        <f t="shared" si="266"/>
        <v>0.4</v>
      </c>
      <c r="I472" s="249">
        <f t="shared" si="282"/>
        <v>72.500009999999989</v>
      </c>
      <c r="J472" s="170">
        <f t="shared" si="282"/>
        <v>74.04788521350001</v>
      </c>
      <c r="K472" s="250">
        <v>0.3</v>
      </c>
      <c r="L472" s="172">
        <f t="shared" si="268"/>
        <v>0.3</v>
      </c>
      <c r="M472" s="249">
        <f t="shared" si="269"/>
        <v>60.416674999999998</v>
      </c>
      <c r="N472" s="170">
        <f t="shared" si="270"/>
        <v>61.706571011250006</v>
      </c>
      <c r="O472" s="250">
        <v>0.25</v>
      </c>
      <c r="P472" s="172">
        <f t="shared" si="271"/>
        <v>0.25</v>
      </c>
      <c r="Q472" s="251">
        <f t="shared" si="272"/>
        <v>12.083335</v>
      </c>
      <c r="R472" s="173">
        <f t="shared" si="273"/>
        <v>12.341314202250002</v>
      </c>
      <c r="S472" s="250">
        <v>0.05</v>
      </c>
      <c r="T472" s="171">
        <f t="shared" si="274"/>
        <v>0.05</v>
      </c>
      <c r="U472" s="256">
        <v>241.66669999999999</v>
      </c>
      <c r="V472" s="170">
        <f t="shared" si="280"/>
        <v>246.82628404500002</v>
      </c>
      <c r="W472" s="258">
        <v>0.2</v>
      </c>
      <c r="X472" s="257">
        <f t="shared" si="275"/>
        <v>290.00004000000001</v>
      </c>
      <c r="Y472" s="170">
        <f t="shared" si="276"/>
        <v>296.19154085400004</v>
      </c>
      <c r="Z472" s="170">
        <f t="shared" si="277"/>
        <v>300</v>
      </c>
      <c r="AA472" s="407">
        <f t="shared" si="278"/>
        <v>0</v>
      </c>
      <c r="AB472" s="194"/>
    </row>
    <row r="473" spans="1:28" s="278" customFormat="1" x14ac:dyDescent="0.25">
      <c r="A473" s="200">
        <v>705112</v>
      </c>
      <c r="B473" s="313" t="s">
        <v>14644</v>
      </c>
      <c r="C473" s="248"/>
      <c r="D473" s="247" t="s">
        <v>16</v>
      </c>
      <c r="E473" s="249">
        <f t="shared" si="281"/>
        <v>100</v>
      </c>
      <c r="F473" s="170">
        <f t="shared" si="281"/>
        <v>102.13500000000002</v>
      </c>
      <c r="G473" s="250">
        <v>0.4</v>
      </c>
      <c r="H473" s="171">
        <f t="shared" si="266"/>
        <v>0.4</v>
      </c>
      <c r="I473" s="249">
        <f t="shared" si="282"/>
        <v>75</v>
      </c>
      <c r="J473" s="170">
        <f t="shared" si="282"/>
        <v>76.601250000000007</v>
      </c>
      <c r="K473" s="250">
        <v>0.3</v>
      </c>
      <c r="L473" s="172">
        <f t="shared" si="268"/>
        <v>0.3</v>
      </c>
      <c r="M473" s="249">
        <f t="shared" si="269"/>
        <v>62.5</v>
      </c>
      <c r="N473" s="170">
        <f t="shared" si="270"/>
        <v>63.834375000000009</v>
      </c>
      <c r="O473" s="250">
        <v>0.25</v>
      </c>
      <c r="P473" s="172">
        <f t="shared" si="271"/>
        <v>0.25</v>
      </c>
      <c r="Q473" s="251">
        <f t="shared" si="272"/>
        <v>12.5</v>
      </c>
      <c r="R473" s="173">
        <f t="shared" si="273"/>
        <v>12.766875000000002</v>
      </c>
      <c r="S473" s="250">
        <v>0.05</v>
      </c>
      <c r="T473" s="171">
        <f t="shared" si="274"/>
        <v>0.05</v>
      </c>
      <c r="U473" s="256">
        <v>250</v>
      </c>
      <c r="V473" s="170">
        <f t="shared" si="280"/>
        <v>255.33750000000003</v>
      </c>
      <c r="W473" s="258">
        <v>0.2</v>
      </c>
      <c r="X473" s="257">
        <f t="shared" si="275"/>
        <v>300</v>
      </c>
      <c r="Y473" s="170">
        <f t="shared" si="276"/>
        <v>306.40500000000003</v>
      </c>
      <c r="Z473" s="170">
        <f t="shared" si="277"/>
        <v>310</v>
      </c>
      <c r="AA473" s="407">
        <f t="shared" si="278"/>
        <v>0</v>
      </c>
      <c r="AB473" s="194"/>
    </row>
    <row r="474" spans="1:28" s="278" customFormat="1" x14ac:dyDescent="0.25">
      <c r="A474" s="200">
        <v>705114</v>
      </c>
      <c r="B474" s="313" t="s">
        <v>14645</v>
      </c>
      <c r="C474" s="248"/>
      <c r="D474" s="247" t="s">
        <v>16</v>
      </c>
      <c r="E474" s="249">
        <f t="shared" si="281"/>
        <v>150</v>
      </c>
      <c r="F474" s="170">
        <f t="shared" si="281"/>
        <v>153.20250000000001</v>
      </c>
      <c r="G474" s="250">
        <v>0.4</v>
      </c>
      <c r="H474" s="171">
        <f t="shared" si="266"/>
        <v>0.4</v>
      </c>
      <c r="I474" s="249">
        <f t="shared" si="282"/>
        <v>112.5</v>
      </c>
      <c r="J474" s="170">
        <f t="shared" si="282"/>
        <v>114.901875</v>
      </c>
      <c r="K474" s="250">
        <v>0.3</v>
      </c>
      <c r="L474" s="172">
        <f t="shared" si="268"/>
        <v>0.3</v>
      </c>
      <c r="M474" s="249">
        <f t="shared" si="269"/>
        <v>93.75</v>
      </c>
      <c r="N474" s="170">
        <f t="shared" si="270"/>
        <v>95.751562500000006</v>
      </c>
      <c r="O474" s="250">
        <v>0.25</v>
      </c>
      <c r="P474" s="172">
        <f t="shared" si="271"/>
        <v>0.25</v>
      </c>
      <c r="Q474" s="251">
        <f t="shared" si="272"/>
        <v>18.75</v>
      </c>
      <c r="R474" s="173">
        <f t="shared" si="273"/>
        <v>19.150312500000002</v>
      </c>
      <c r="S474" s="250">
        <v>0.05</v>
      </c>
      <c r="T474" s="171">
        <f t="shared" si="274"/>
        <v>0.05</v>
      </c>
      <c r="U474" s="256">
        <v>375</v>
      </c>
      <c r="V474" s="170">
        <f t="shared" si="280"/>
        <v>383.00625000000002</v>
      </c>
      <c r="W474" s="258">
        <v>0.2</v>
      </c>
      <c r="X474" s="257">
        <f t="shared" si="275"/>
        <v>450</v>
      </c>
      <c r="Y474" s="170">
        <f t="shared" si="276"/>
        <v>459.60750000000002</v>
      </c>
      <c r="Z474" s="170">
        <f t="shared" si="277"/>
        <v>460</v>
      </c>
      <c r="AA474" s="407">
        <f t="shared" si="278"/>
        <v>0</v>
      </c>
      <c r="AB474" s="194"/>
    </row>
    <row r="475" spans="1:28" s="278" customFormat="1" x14ac:dyDescent="0.25">
      <c r="A475" s="200">
        <v>705116</v>
      </c>
      <c r="B475" s="313" t="s">
        <v>14646</v>
      </c>
      <c r="C475" s="248"/>
      <c r="D475" s="247" t="s">
        <v>16</v>
      </c>
      <c r="E475" s="249">
        <f t="shared" si="281"/>
        <v>200</v>
      </c>
      <c r="F475" s="170">
        <f t="shared" si="281"/>
        <v>204.27000000000004</v>
      </c>
      <c r="G475" s="250">
        <v>0.4</v>
      </c>
      <c r="H475" s="171">
        <f t="shared" si="266"/>
        <v>0.4</v>
      </c>
      <c r="I475" s="249">
        <f t="shared" si="282"/>
        <v>150</v>
      </c>
      <c r="J475" s="170">
        <f t="shared" si="282"/>
        <v>153.20250000000001</v>
      </c>
      <c r="K475" s="250">
        <v>0.3</v>
      </c>
      <c r="L475" s="172">
        <f t="shared" si="268"/>
        <v>0.3</v>
      </c>
      <c r="M475" s="249">
        <f t="shared" si="269"/>
        <v>125</v>
      </c>
      <c r="N475" s="170">
        <f t="shared" si="270"/>
        <v>127.66875000000002</v>
      </c>
      <c r="O475" s="250">
        <v>0.25</v>
      </c>
      <c r="P475" s="172">
        <f t="shared" si="271"/>
        <v>0.25</v>
      </c>
      <c r="Q475" s="251">
        <f t="shared" si="272"/>
        <v>25</v>
      </c>
      <c r="R475" s="173">
        <f t="shared" si="273"/>
        <v>25.533750000000005</v>
      </c>
      <c r="S475" s="250">
        <v>0.05</v>
      </c>
      <c r="T475" s="171">
        <f t="shared" si="274"/>
        <v>0.05</v>
      </c>
      <c r="U475" s="256">
        <v>500</v>
      </c>
      <c r="V475" s="170">
        <f t="shared" si="280"/>
        <v>510.67500000000007</v>
      </c>
      <c r="W475" s="258">
        <v>0.2</v>
      </c>
      <c r="X475" s="257">
        <f t="shared" si="275"/>
        <v>600</v>
      </c>
      <c r="Y475" s="170">
        <f t="shared" si="276"/>
        <v>612.81000000000006</v>
      </c>
      <c r="Z475" s="170">
        <f t="shared" si="277"/>
        <v>615</v>
      </c>
      <c r="AA475" s="407">
        <f t="shared" si="278"/>
        <v>0</v>
      </c>
      <c r="AB475" s="194"/>
    </row>
    <row r="476" spans="1:28" s="278" customFormat="1" x14ac:dyDescent="0.25">
      <c r="A476" s="200">
        <v>705118</v>
      </c>
      <c r="B476" s="313" t="s">
        <v>14647</v>
      </c>
      <c r="C476" s="248"/>
      <c r="D476" s="247" t="s">
        <v>16</v>
      </c>
      <c r="E476" s="249">
        <f t="shared" si="281"/>
        <v>233.33200000000002</v>
      </c>
      <c r="F476" s="170">
        <f t="shared" si="281"/>
        <v>238.31363820000001</v>
      </c>
      <c r="G476" s="250">
        <v>0.4</v>
      </c>
      <c r="H476" s="171">
        <f t="shared" si="266"/>
        <v>0.4</v>
      </c>
      <c r="I476" s="249">
        <f t="shared" si="282"/>
        <v>174.999</v>
      </c>
      <c r="J476" s="170">
        <f t="shared" si="282"/>
        <v>178.73522865000001</v>
      </c>
      <c r="K476" s="250">
        <v>0.3</v>
      </c>
      <c r="L476" s="172">
        <f t="shared" si="268"/>
        <v>0.3</v>
      </c>
      <c r="M476" s="249">
        <f t="shared" si="269"/>
        <v>145.83250000000001</v>
      </c>
      <c r="N476" s="170">
        <f t="shared" si="270"/>
        <v>148.94602387500001</v>
      </c>
      <c r="O476" s="250">
        <v>0.25</v>
      </c>
      <c r="P476" s="172">
        <f t="shared" si="271"/>
        <v>0.25</v>
      </c>
      <c r="Q476" s="251">
        <f t="shared" si="272"/>
        <v>29.166500000000003</v>
      </c>
      <c r="R476" s="173">
        <f t="shared" si="273"/>
        <v>29.789204775000002</v>
      </c>
      <c r="S476" s="250">
        <v>0.05</v>
      </c>
      <c r="T476" s="171">
        <f t="shared" si="274"/>
        <v>0.05</v>
      </c>
      <c r="U476" s="256">
        <v>583.33000000000004</v>
      </c>
      <c r="V476" s="170">
        <f t="shared" si="280"/>
        <v>595.78409550000003</v>
      </c>
      <c r="W476" s="258">
        <v>0.2</v>
      </c>
      <c r="X476" s="257">
        <f t="shared" si="275"/>
        <v>699.99600000000009</v>
      </c>
      <c r="Y476" s="170">
        <f t="shared" si="276"/>
        <v>714.94091460000004</v>
      </c>
      <c r="Z476" s="170">
        <f t="shared" si="277"/>
        <v>715</v>
      </c>
      <c r="AA476" s="407">
        <f t="shared" si="278"/>
        <v>0</v>
      </c>
      <c r="AB476" s="194"/>
    </row>
    <row r="477" spans="1:28" s="278" customFormat="1" x14ac:dyDescent="0.25">
      <c r="A477" s="200">
        <v>705120</v>
      </c>
      <c r="B477" s="313" t="s">
        <v>14648</v>
      </c>
      <c r="C477" s="248"/>
      <c r="D477" s="247" t="s">
        <v>16</v>
      </c>
      <c r="E477" s="249">
        <f t="shared" si="281"/>
        <v>300</v>
      </c>
      <c r="F477" s="170">
        <f t="shared" si="281"/>
        <v>306.40500000000003</v>
      </c>
      <c r="G477" s="250">
        <v>0.4</v>
      </c>
      <c r="H477" s="171">
        <f t="shared" si="266"/>
        <v>0.4</v>
      </c>
      <c r="I477" s="249">
        <f t="shared" si="282"/>
        <v>225</v>
      </c>
      <c r="J477" s="170">
        <f t="shared" si="282"/>
        <v>229.80375000000001</v>
      </c>
      <c r="K477" s="250">
        <v>0.3</v>
      </c>
      <c r="L477" s="172">
        <f t="shared" si="268"/>
        <v>0.3</v>
      </c>
      <c r="M477" s="249">
        <f t="shared" si="269"/>
        <v>187.5</v>
      </c>
      <c r="N477" s="170">
        <f t="shared" si="270"/>
        <v>191.50312500000001</v>
      </c>
      <c r="O477" s="250">
        <v>0.25</v>
      </c>
      <c r="P477" s="172">
        <f t="shared" si="271"/>
        <v>0.25</v>
      </c>
      <c r="Q477" s="251">
        <f t="shared" si="272"/>
        <v>37.5</v>
      </c>
      <c r="R477" s="173">
        <f t="shared" si="273"/>
        <v>38.300625000000004</v>
      </c>
      <c r="S477" s="250">
        <v>0.05</v>
      </c>
      <c r="T477" s="171">
        <f t="shared" si="274"/>
        <v>0.05</v>
      </c>
      <c r="U477" s="256">
        <v>750</v>
      </c>
      <c r="V477" s="170">
        <f t="shared" si="280"/>
        <v>766.01250000000005</v>
      </c>
      <c r="W477" s="258">
        <v>0.2</v>
      </c>
      <c r="X477" s="257">
        <f t="shared" si="275"/>
        <v>900</v>
      </c>
      <c r="Y477" s="170">
        <f t="shared" si="276"/>
        <v>919.21500000000003</v>
      </c>
      <c r="Z477" s="170">
        <f t="shared" si="277"/>
        <v>920</v>
      </c>
      <c r="AA477" s="407">
        <f t="shared" si="278"/>
        <v>0</v>
      </c>
      <c r="AB477" s="194"/>
    </row>
    <row r="478" spans="1:28" s="278" customFormat="1" x14ac:dyDescent="0.25">
      <c r="A478" s="200">
        <v>705122</v>
      </c>
      <c r="B478" s="313" t="s">
        <v>14649</v>
      </c>
      <c r="C478" s="248"/>
      <c r="D478" s="247" t="s">
        <v>16</v>
      </c>
      <c r="E478" s="249">
        <f t="shared" si="281"/>
        <v>333.33200000000005</v>
      </c>
      <c r="F478" s="170">
        <f t="shared" si="281"/>
        <v>340.44863820000006</v>
      </c>
      <c r="G478" s="250">
        <v>0.4</v>
      </c>
      <c r="H478" s="171">
        <f t="shared" si="266"/>
        <v>0.4</v>
      </c>
      <c r="I478" s="249">
        <f t="shared" si="282"/>
        <v>249.999</v>
      </c>
      <c r="J478" s="170">
        <f t="shared" si="282"/>
        <v>255.33647865000003</v>
      </c>
      <c r="K478" s="250">
        <v>0.3</v>
      </c>
      <c r="L478" s="172">
        <f t="shared" si="268"/>
        <v>0.3</v>
      </c>
      <c r="M478" s="249">
        <f t="shared" si="269"/>
        <v>208.33250000000001</v>
      </c>
      <c r="N478" s="170">
        <f t="shared" si="270"/>
        <v>212.78039887500003</v>
      </c>
      <c r="O478" s="250">
        <v>0.25</v>
      </c>
      <c r="P478" s="172">
        <f t="shared" si="271"/>
        <v>0.25</v>
      </c>
      <c r="Q478" s="251">
        <f t="shared" si="272"/>
        <v>41.666500000000006</v>
      </c>
      <c r="R478" s="173">
        <f t="shared" si="273"/>
        <v>42.556079775000008</v>
      </c>
      <c r="S478" s="250">
        <v>0.05</v>
      </c>
      <c r="T478" s="171">
        <f t="shared" si="274"/>
        <v>0.05</v>
      </c>
      <c r="U478" s="256">
        <v>833.33</v>
      </c>
      <c r="V478" s="170">
        <f t="shared" si="280"/>
        <v>851.12159550000013</v>
      </c>
      <c r="W478" s="258">
        <v>0.2</v>
      </c>
      <c r="X478" s="257">
        <f t="shared" si="275"/>
        <v>999.99600000000009</v>
      </c>
      <c r="Y478" s="170">
        <f t="shared" si="276"/>
        <v>1021.3459146000001</v>
      </c>
      <c r="Z478" s="170">
        <f t="shared" si="277"/>
        <v>1025</v>
      </c>
      <c r="AA478" s="407">
        <f t="shared" si="278"/>
        <v>0</v>
      </c>
      <c r="AB478" s="194"/>
    </row>
    <row r="479" spans="1:28" s="278" customFormat="1" x14ac:dyDescent="0.25">
      <c r="A479" s="200">
        <v>705124</v>
      </c>
      <c r="B479" s="313" t="s">
        <v>14650</v>
      </c>
      <c r="C479" s="248"/>
      <c r="D479" s="247" t="s">
        <v>16</v>
      </c>
      <c r="E479" s="249">
        <f t="shared" si="281"/>
        <v>366.66668000000004</v>
      </c>
      <c r="F479" s="170">
        <f t="shared" si="281"/>
        <v>374.49501361800003</v>
      </c>
      <c r="G479" s="250">
        <v>0.4</v>
      </c>
      <c r="H479" s="171">
        <f t="shared" si="266"/>
        <v>0.4</v>
      </c>
      <c r="I479" s="249">
        <f t="shared" si="282"/>
        <v>275.00000999999997</v>
      </c>
      <c r="J479" s="170">
        <f t="shared" si="282"/>
        <v>280.87126021350002</v>
      </c>
      <c r="K479" s="250">
        <v>0.3</v>
      </c>
      <c r="L479" s="172">
        <f t="shared" si="268"/>
        <v>0.3</v>
      </c>
      <c r="M479" s="249">
        <f t="shared" si="269"/>
        <v>229.166675</v>
      </c>
      <c r="N479" s="170">
        <f t="shared" si="270"/>
        <v>234.05938351125002</v>
      </c>
      <c r="O479" s="250">
        <v>0.25</v>
      </c>
      <c r="P479" s="172">
        <f t="shared" si="271"/>
        <v>0.25</v>
      </c>
      <c r="Q479" s="251">
        <f t="shared" si="272"/>
        <v>45.833335000000005</v>
      </c>
      <c r="R479" s="173">
        <f t="shared" si="273"/>
        <v>46.811876702250004</v>
      </c>
      <c r="S479" s="250">
        <v>0.05</v>
      </c>
      <c r="T479" s="171">
        <f t="shared" si="274"/>
        <v>0.05</v>
      </c>
      <c r="U479" s="256">
        <v>916.66669999999999</v>
      </c>
      <c r="V479" s="170">
        <f t="shared" si="280"/>
        <v>936.23753404500007</v>
      </c>
      <c r="W479" s="258">
        <v>0.2</v>
      </c>
      <c r="X479" s="257">
        <f t="shared" si="275"/>
        <v>1100.0000399999999</v>
      </c>
      <c r="Y479" s="170">
        <f t="shared" si="276"/>
        <v>1123.4850408540001</v>
      </c>
      <c r="Z479" s="170">
        <f t="shared" si="277"/>
        <v>1125</v>
      </c>
      <c r="AA479" s="407">
        <f t="shared" si="278"/>
        <v>0</v>
      </c>
      <c r="AB479" s="194"/>
    </row>
    <row r="480" spans="1:28" s="278" customFormat="1" x14ac:dyDescent="0.25">
      <c r="A480" s="200">
        <v>705158</v>
      </c>
      <c r="B480" s="313" t="s">
        <v>14651</v>
      </c>
      <c r="C480" s="248"/>
      <c r="D480" s="247" t="s">
        <v>16</v>
      </c>
      <c r="E480" s="249">
        <f t="shared" si="281"/>
        <v>116.66668</v>
      </c>
      <c r="F480" s="170">
        <f t="shared" si="281"/>
        <v>119.15751361800001</v>
      </c>
      <c r="G480" s="250">
        <v>0.4</v>
      </c>
      <c r="H480" s="171">
        <f t="shared" si="266"/>
        <v>0.4</v>
      </c>
      <c r="I480" s="249">
        <f t="shared" si="282"/>
        <v>87.500009999999989</v>
      </c>
      <c r="J480" s="170">
        <f t="shared" si="282"/>
        <v>89.368135213499997</v>
      </c>
      <c r="K480" s="250">
        <v>0.3</v>
      </c>
      <c r="L480" s="172">
        <f t="shared" si="268"/>
        <v>0.3</v>
      </c>
      <c r="M480" s="249">
        <f t="shared" si="269"/>
        <v>72.916674999999998</v>
      </c>
      <c r="N480" s="170">
        <f t="shared" si="270"/>
        <v>74.473446011250005</v>
      </c>
      <c r="O480" s="250">
        <v>0.25</v>
      </c>
      <c r="P480" s="172">
        <f t="shared" si="271"/>
        <v>0.25</v>
      </c>
      <c r="Q480" s="251">
        <f t="shared" si="272"/>
        <v>14.583335</v>
      </c>
      <c r="R480" s="173">
        <f t="shared" si="273"/>
        <v>14.894689202250001</v>
      </c>
      <c r="S480" s="250">
        <v>0.05</v>
      </c>
      <c r="T480" s="171">
        <f t="shared" si="274"/>
        <v>0.05</v>
      </c>
      <c r="U480" s="256">
        <v>291.66669999999999</v>
      </c>
      <c r="V480" s="170">
        <f t="shared" si="280"/>
        <v>297.89378404500002</v>
      </c>
      <c r="W480" s="258">
        <v>0.2</v>
      </c>
      <c r="X480" s="257">
        <f t="shared" si="275"/>
        <v>350.00004000000001</v>
      </c>
      <c r="Y480" s="170">
        <f t="shared" si="276"/>
        <v>357.47254085399999</v>
      </c>
      <c r="Z480" s="170">
        <f t="shared" si="277"/>
        <v>360</v>
      </c>
      <c r="AA480" s="407">
        <f t="shared" si="278"/>
        <v>0</v>
      </c>
      <c r="AB480" s="194"/>
    </row>
    <row r="481" spans="1:28" s="278" customFormat="1" x14ac:dyDescent="0.25">
      <c r="A481" s="200">
        <v>705159</v>
      </c>
      <c r="B481" s="313" t="s">
        <v>14652</v>
      </c>
      <c r="C481" s="248"/>
      <c r="D481" s="247" t="s">
        <v>16</v>
      </c>
      <c r="E481" s="249">
        <f t="shared" si="281"/>
        <v>133.33320000000001</v>
      </c>
      <c r="F481" s="170">
        <f t="shared" si="281"/>
        <v>136.17986382000001</v>
      </c>
      <c r="G481" s="250">
        <v>0.4</v>
      </c>
      <c r="H481" s="171">
        <f t="shared" si="266"/>
        <v>0.4</v>
      </c>
      <c r="I481" s="249">
        <f t="shared" si="282"/>
        <v>99.999900000000011</v>
      </c>
      <c r="J481" s="170">
        <f t="shared" si="282"/>
        <v>102.13489786500001</v>
      </c>
      <c r="K481" s="250">
        <v>0.3</v>
      </c>
      <c r="L481" s="172">
        <f t="shared" si="268"/>
        <v>0.3</v>
      </c>
      <c r="M481" s="249">
        <f t="shared" si="269"/>
        <v>83.333250000000007</v>
      </c>
      <c r="N481" s="170">
        <f t="shared" si="270"/>
        <v>85.112414887500009</v>
      </c>
      <c r="O481" s="250">
        <v>0.25</v>
      </c>
      <c r="P481" s="172">
        <f t="shared" si="271"/>
        <v>0.25</v>
      </c>
      <c r="Q481" s="251">
        <f t="shared" si="272"/>
        <v>16.666650000000001</v>
      </c>
      <c r="R481" s="173">
        <f t="shared" si="273"/>
        <v>17.022482977500001</v>
      </c>
      <c r="S481" s="250">
        <v>0.05</v>
      </c>
      <c r="T481" s="171">
        <f t="shared" si="274"/>
        <v>0.05</v>
      </c>
      <c r="U481" s="256">
        <v>333.33300000000003</v>
      </c>
      <c r="V481" s="170">
        <f t="shared" si="280"/>
        <v>340.44965955000004</v>
      </c>
      <c r="W481" s="258">
        <v>0.2</v>
      </c>
      <c r="X481" s="257">
        <f t="shared" si="275"/>
        <v>399.99960000000004</v>
      </c>
      <c r="Y481" s="170">
        <f t="shared" si="276"/>
        <v>408.53959146000005</v>
      </c>
      <c r="Z481" s="170">
        <f t="shared" si="277"/>
        <v>410</v>
      </c>
      <c r="AA481" s="407">
        <f t="shared" si="278"/>
        <v>0</v>
      </c>
      <c r="AB481" s="194"/>
    </row>
    <row r="482" spans="1:28" s="278" customFormat="1" x14ac:dyDescent="0.25">
      <c r="A482" s="200">
        <v>705160</v>
      </c>
      <c r="B482" s="313" t="s">
        <v>14653</v>
      </c>
      <c r="C482" s="248"/>
      <c r="D482" s="247" t="s">
        <v>16</v>
      </c>
      <c r="E482" s="249">
        <f t="shared" si="281"/>
        <v>150</v>
      </c>
      <c r="F482" s="170">
        <f t="shared" si="281"/>
        <v>153.20250000000001</v>
      </c>
      <c r="G482" s="250">
        <v>0.4</v>
      </c>
      <c r="H482" s="171">
        <f t="shared" si="266"/>
        <v>0.4</v>
      </c>
      <c r="I482" s="249">
        <f t="shared" si="282"/>
        <v>112.5</v>
      </c>
      <c r="J482" s="170">
        <f t="shared" si="282"/>
        <v>114.901875</v>
      </c>
      <c r="K482" s="250">
        <v>0.3</v>
      </c>
      <c r="L482" s="172">
        <f t="shared" si="268"/>
        <v>0.3</v>
      </c>
      <c r="M482" s="249">
        <f t="shared" si="269"/>
        <v>93.75</v>
      </c>
      <c r="N482" s="170">
        <f t="shared" si="270"/>
        <v>95.751562500000006</v>
      </c>
      <c r="O482" s="250">
        <v>0.25</v>
      </c>
      <c r="P482" s="172">
        <f t="shared" si="271"/>
        <v>0.25</v>
      </c>
      <c r="Q482" s="251">
        <f t="shared" si="272"/>
        <v>18.75</v>
      </c>
      <c r="R482" s="173">
        <f t="shared" si="273"/>
        <v>19.150312500000002</v>
      </c>
      <c r="S482" s="250">
        <v>0.05</v>
      </c>
      <c r="T482" s="171">
        <f t="shared" si="274"/>
        <v>0.05</v>
      </c>
      <c r="U482" s="256">
        <v>375</v>
      </c>
      <c r="V482" s="170">
        <f t="shared" si="280"/>
        <v>383.00625000000002</v>
      </c>
      <c r="W482" s="258">
        <v>0.2</v>
      </c>
      <c r="X482" s="257">
        <f t="shared" si="275"/>
        <v>450</v>
      </c>
      <c r="Y482" s="170">
        <f t="shared" si="276"/>
        <v>459.60750000000002</v>
      </c>
      <c r="Z482" s="170">
        <f t="shared" si="277"/>
        <v>460</v>
      </c>
      <c r="AA482" s="407">
        <f t="shared" si="278"/>
        <v>0</v>
      </c>
      <c r="AB482" s="194"/>
    </row>
    <row r="483" spans="1:28" s="278" customFormat="1" x14ac:dyDescent="0.25">
      <c r="A483" s="200">
        <v>705162</v>
      </c>
      <c r="B483" s="313" t="s">
        <v>14654</v>
      </c>
      <c r="C483" s="248"/>
      <c r="D483" s="247" t="s">
        <v>16</v>
      </c>
      <c r="E483" s="249">
        <f t="shared" si="281"/>
        <v>166.66668000000001</v>
      </c>
      <c r="F483" s="170">
        <f t="shared" si="281"/>
        <v>170.22501361800002</v>
      </c>
      <c r="G483" s="250">
        <v>0.4</v>
      </c>
      <c r="H483" s="171">
        <f t="shared" si="266"/>
        <v>0.4</v>
      </c>
      <c r="I483" s="249">
        <f t="shared" si="282"/>
        <v>125.00000999999999</v>
      </c>
      <c r="J483" s="170">
        <f t="shared" si="282"/>
        <v>127.66876021349999</v>
      </c>
      <c r="K483" s="250">
        <v>0.3</v>
      </c>
      <c r="L483" s="172">
        <f t="shared" si="268"/>
        <v>0.3</v>
      </c>
      <c r="M483" s="249">
        <f t="shared" si="269"/>
        <v>104.166675</v>
      </c>
      <c r="N483" s="170">
        <f t="shared" si="270"/>
        <v>106.39063351125</v>
      </c>
      <c r="O483" s="250">
        <v>0.25</v>
      </c>
      <c r="P483" s="172">
        <f t="shared" si="271"/>
        <v>0.25</v>
      </c>
      <c r="Q483" s="251">
        <f t="shared" si="272"/>
        <v>20.833335000000002</v>
      </c>
      <c r="R483" s="173">
        <f t="shared" si="273"/>
        <v>21.278126702250002</v>
      </c>
      <c r="S483" s="250">
        <v>0.05</v>
      </c>
      <c r="T483" s="171">
        <f t="shared" si="274"/>
        <v>0.05</v>
      </c>
      <c r="U483" s="256">
        <v>416.66669999999999</v>
      </c>
      <c r="V483" s="170">
        <f t="shared" si="280"/>
        <v>425.56253404500001</v>
      </c>
      <c r="W483" s="258">
        <v>0.2</v>
      </c>
      <c r="X483" s="257">
        <f t="shared" si="275"/>
        <v>500.00004000000001</v>
      </c>
      <c r="Y483" s="170">
        <f t="shared" si="276"/>
        <v>510.67504085399997</v>
      </c>
      <c r="Z483" s="170">
        <f t="shared" si="277"/>
        <v>515</v>
      </c>
      <c r="AA483" s="407">
        <f t="shared" si="278"/>
        <v>0</v>
      </c>
      <c r="AB483" s="194"/>
    </row>
    <row r="484" spans="1:28" s="278" customFormat="1" x14ac:dyDescent="0.25">
      <c r="A484" s="200">
        <v>705164</v>
      </c>
      <c r="B484" s="313" t="s">
        <v>14655</v>
      </c>
      <c r="C484" s="248"/>
      <c r="D484" s="247" t="s">
        <v>16</v>
      </c>
      <c r="E484" s="249">
        <f t="shared" si="281"/>
        <v>183.33199999999999</v>
      </c>
      <c r="F484" s="170">
        <f t="shared" si="281"/>
        <v>187.24613820000002</v>
      </c>
      <c r="G484" s="250">
        <v>0.4</v>
      </c>
      <c r="H484" s="171">
        <f t="shared" si="266"/>
        <v>0.4</v>
      </c>
      <c r="I484" s="249">
        <f t="shared" si="282"/>
        <v>137.499</v>
      </c>
      <c r="J484" s="170">
        <f t="shared" si="282"/>
        <v>140.43460364999999</v>
      </c>
      <c r="K484" s="250">
        <v>0.3</v>
      </c>
      <c r="L484" s="172">
        <f t="shared" si="268"/>
        <v>0.3</v>
      </c>
      <c r="M484" s="249">
        <f t="shared" si="269"/>
        <v>114.5825</v>
      </c>
      <c r="N484" s="170">
        <f t="shared" si="270"/>
        <v>117.028836375</v>
      </c>
      <c r="O484" s="250">
        <v>0.25</v>
      </c>
      <c r="P484" s="172">
        <f t="shared" si="271"/>
        <v>0.25</v>
      </c>
      <c r="Q484" s="251">
        <f t="shared" si="272"/>
        <v>22.916499999999999</v>
      </c>
      <c r="R484" s="173">
        <f t="shared" si="273"/>
        <v>23.405767275000002</v>
      </c>
      <c r="S484" s="250">
        <v>0.05</v>
      </c>
      <c r="T484" s="171">
        <f t="shared" si="274"/>
        <v>0.05</v>
      </c>
      <c r="U484" s="256">
        <v>458.33</v>
      </c>
      <c r="V484" s="170">
        <f t="shared" si="280"/>
        <v>468.11534549999999</v>
      </c>
      <c r="W484" s="258">
        <v>0.2</v>
      </c>
      <c r="X484" s="257">
        <f t="shared" si="275"/>
        <v>549.99599999999998</v>
      </c>
      <c r="Y484" s="170">
        <f t="shared" si="276"/>
        <v>561.73841459999994</v>
      </c>
      <c r="Z484" s="170">
        <f t="shared" si="277"/>
        <v>565</v>
      </c>
      <c r="AA484" s="407">
        <f t="shared" si="278"/>
        <v>0</v>
      </c>
      <c r="AB484" s="194"/>
    </row>
    <row r="485" spans="1:28" s="278" customFormat="1" x14ac:dyDescent="0.25">
      <c r="A485" s="200">
        <v>705166</v>
      </c>
      <c r="B485" s="313" t="s">
        <v>14656</v>
      </c>
      <c r="C485" s="248"/>
      <c r="D485" s="247" t="s">
        <v>16</v>
      </c>
      <c r="E485" s="249">
        <f t="shared" si="281"/>
        <v>300</v>
      </c>
      <c r="F485" s="170">
        <f t="shared" si="281"/>
        <v>306.40500000000003</v>
      </c>
      <c r="G485" s="250">
        <v>0.4</v>
      </c>
      <c r="H485" s="171">
        <f t="shared" si="266"/>
        <v>0.4</v>
      </c>
      <c r="I485" s="249">
        <f t="shared" si="282"/>
        <v>225</v>
      </c>
      <c r="J485" s="170">
        <f t="shared" si="282"/>
        <v>229.80375000000001</v>
      </c>
      <c r="K485" s="250">
        <v>0.3</v>
      </c>
      <c r="L485" s="172">
        <f t="shared" si="268"/>
        <v>0.3</v>
      </c>
      <c r="M485" s="249">
        <f t="shared" si="269"/>
        <v>187.5</v>
      </c>
      <c r="N485" s="170">
        <f t="shared" si="270"/>
        <v>191.50312500000001</v>
      </c>
      <c r="O485" s="250">
        <v>0.25</v>
      </c>
      <c r="P485" s="172">
        <f t="shared" si="271"/>
        <v>0.25</v>
      </c>
      <c r="Q485" s="251">
        <f t="shared" si="272"/>
        <v>37.5</v>
      </c>
      <c r="R485" s="173">
        <f t="shared" si="273"/>
        <v>38.300625000000004</v>
      </c>
      <c r="S485" s="250">
        <v>0.05</v>
      </c>
      <c r="T485" s="171">
        <f t="shared" si="274"/>
        <v>0.05</v>
      </c>
      <c r="U485" s="256">
        <v>750</v>
      </c>
      <c r="V485" s="170">
        <f t="shared" si="280"/>
        <v>766.01250000000005</v>
      </c>
      <c r="W485" s="258">
        <v>0.2</v>
      </c>
      <c r="X485" s="257">
        <f t="shared" si="275"/>
        <v>900</v>
      </c>
      <c r="Y485" s="170">
        <f t="shared" si="276"/>
        <v>919.21500000000003</v>
      </c>
      <c r="Z485" s="170">
        <f t="shared" si="277"/>
        <v>920</v>
      </c>
      <c r="AA485" s="407">
        <f t="shared" si="278"/>
        <v>0</v>
      </c>
      <c r="AB485" s="194"/>
    </row>
    <row r="486" spans="1:28" s="278" customFormat="1" x14ac:dyDescent="0.25">
      <c r="A486" s="200">
        <v>705168</v>
      </c>
      <c r="B486" s="313" t="s">
        <v>14657</v>
      </c>
      <c r="C486" s="248"/>
      <c r="D486" s="247" t="s">
        <v>16</v>
      </c>
      <c r="E486" s="249">
        <f t="shared" si="281"/>
        <v>316.66666800000002</v>
      </c>
      <c r="F486" s="170">
        <f t="shared" si="281"/>
        <v>323.42750136180007</v>
      </c>
      <c r="G486" s="250">
        <v>0.4</v>
      </c>
      <c r="H486" s="171">
        <f t="shared" si="266"/>
        <v>0.4</v>
      </c>
      <c r="I486" s="249">
        <f t="shared" si="282"/>
        <v>237.50000099999997</v>
      </c>
      <c r="J486" s="170">
        <f t="shared" si="282"/>
        <v>242.57062602134999</v>
      </c>
      <c r="K486" s="250">
        <v>0.3</v>
      </c>
      <c r="L486" s="172">
        <f t="shared" si="268"/>
        <v>0.3</v>
      </c>
      <c r="M486" s="249">
        <f t="shared" si="269"/>
        <v>197.91666749999999</v>
      </c>
      <c r="N486" s="170">
        <f t="shared" si="270"/>
        <v>202.14218835112501</v>
      </c>
      <c r="O486" s="250">
        <v>0.25</v>
      </c>
      <c r="P486" s="172">
        <f t="shared" si="271"/>
        <v>0.25</v>
      </c>
      <c r="Q486" s="251">
        <f t="shared" si="272"/>
        <v>39.583333500000002</v>
      </c>
      <c r="R486" s="173">
        <f t="shared" si="273"/>
        <v>40.428437670225009</v>
      </c>
      <c r="S486" s="250">
        <v>0.05</v>
      </c>
      <c r="T486" s="171">
        <f t="shared" si="274"/>
        <v>0.05</v>
      </c>
      <c r="U486" s="256">
        <v>791.66666999999995</v>
      </c>
      <c r="V486" s="170">
        <f t="shared" si="280"/>
        <v>808.56875340450006</v>
      </c>
      <c r="W486" s="258">
        <v>0.2</v>
      </c>
      <c r="X486" s="257">
        <f t="shared" si="275"/>
        <v>950.00000399999999</v>
      </c>
      <c r="Y486" s="170">
        <f t="shared" si="276"/>
        <v>970.28250408539998</v>
      </c>
      <c r="Z486" s="170">
        <f t="shared" si="277"/>
        <v>975</v>
      </c>
      <c r="AA486" s="407">
        <f t="shared" si="278"/>
        <v>0</v>
      </c>
      <c r="AB486" s="194"/>
    </row>
    <row r="487" spans="1:28" s="278" customFormat="1" x14ac:dyDescent="0.25">
      <c r="A487" s="200">
        <v>705170</v>
      </c>
      <c r="B487" s="313" t="s">
        <v>14658</v>
      </c>
      <c r="C487" s="248"/>
      <c r="D487" s="247" t="s">
        <v>16</v>
      </c>
      <c r="E487" s="249">
        <f t="shared" si="281"/>
        <v>325</v>
      </c>
      <c r="F487" s="170">
        <f t="shared" si="281"/>
        <v>331.93875000000003</v>
      </c>
      <c r="G487" s="250">
        <v>0.4</v>
      </c>
      <c r="H487" s="171">
        <f t="shared" si="266"/>
        <v>0.4</v>
      </c>
      <c r="I487" s="249">
        <f t="shared" si="282"/>
        <v>243.75</v>
      </c>
      <c r="J487" s="170">
        <f t="shared" si="282"/>
        <v>248.95406250000002</v>
      </c>
      <c r="K487" s="250">
        <v>0.3</v>
      </c>
      <c r="L487" s="172">
        <f t="shared" si="268"/>
        <v>0.3</v>
      </c>
      <c r="M487" s="249">
        <f t="shared" si="269"/>
        <v>203.125</v>
      </c>
      <c r="N487" s="170">
        <f t="shared" si="270"/>
        <v>207.46171875000002</v>
      </c>
      <c r="O487" s="250">
        <v>0.25</v>
      </c>
      <c r="P487" s="172">
        <f t="shared" si="271"/>
        <v>0.25</v>
      </c>
      <c r="Q487" s="251">
        <f t="shared" si="272"/>
        <v>40.625</v>
      </c>
      <c r="R487" s="173">
        <f t="shared" si="273"/>
        <v>41.492343750000003</v>
      </c>
      <c r="S487" s="250">
        <v>0.05</v>
      </c>
      <c r="T487" s="171">
        <f t="shared" si="274"/>
        <v>0.05</v>
      </c>
      <c r="U487" s="256">
        <v>812.5</v>
      </c>
      <c r="V487" s="170">
        <f t="shared" si="280"/>
        <v>829.84687500000007</v>
      </c>
      <c r="W487" s="258">
        <v>0.2</v>
      </c>
      <c r="X487" s="257">
        <f t="shared" si="275"/>
        <v>975</v>
      </c>
      <c r="Y487" s="170">
        <f t="shared" si="276"/>
        <v>995.81625000000008</v>
      </c>
      <c r="Z487" s="170">
        <f t="shared" si="277"/>
        <v>1000</v>
      </c>
      <c r="AA487" s="407">
        <f t="shared" si="278"/>
        <v>0</v>
      </c>
      <c r="AB487" s="194"/>
    </row>
    <row r="488" spans="1:28" s="278" customFormat="1" x14ac:dyDescent="0.25">
      <c r="A488" s="200">
        <v>705172</v>
      </c>
      <c r="B488" s="313" t="s">
        <v>14659</v>
      </c>
      <c r="C488" s="248"/>
      <c r="D488" s="247" t="s">
        <v>16</v>
      </c>
      <c r="E488" s="249">
        <f t="shared" si="281"/>
        <v>333.33320000000003</v>
      </c>
      <c r="F488" s="170">
        <f t="shared" si="281"/>
        <v>340.44986382000002</v>
      </c>
      <c r="G488" s="250">
        <v>0.4</v>
      </c>
      <c r="H488" s="171">
        <f t="shared" si="266"/>
        <v>0.4</v>
      </c>
      <c r="I488" s="249">
        <f t="shared" si="282"/>
        <v>249.99989999999997</v>
      </c>
      <c r="J488" s="170">
        <f t="shared" si="282"/>
        <v>255.33739786499996</v>
      </c>
      <c r="K488" s="250">
        <v>0.3</v>
      </c>
      <c r="L488" s="172">
        <f t="shared" si="268"/>
        <v>0.3</v>
      </c>
      <c r="M488" s="249">
        <f t="shared" si="269"/>
        <v>208.33324999999999</v>
      </c>
      <c r="N488" s="170">
        <f t="shared" si="270"/>
        <v>212.78116488749998</v>
      </c>
      <c r="O488" s="250">
        <v>0.25</v>
      </c>
      <c r="P488" s="172">
        <f t="shared" si="271"/>
        <v>0.25</v>
      </c>
      <c r="Q488" s="251">
        <f t="shared" si="272"/>
        <v>41.666650000000004</v>
      </c>
      <c r="R488" s="173">
        <f t="shared" si="273"/>
        <v>42.556232977500002</v>
      </c>
      <c r="S488" s="250">
        <v>0.05</v>
      </c>
      <c r="T488" s="171">
        <f t="shared" si="274"/>
        <v>0.05</v>
      </c>
      <c r="U488" s="256">
        <v>833.33299999999997</v>
      </c>
      <c r="V488" s="170">
        <f t="shared" si="280"/>
        <v>851.12465954999993</v>
      </c>
      <c r="W488" s="258">
        <v>0.2</v>
      </c>
      <c r="X488" s="257">
        <f t="shared" si="275"/>
        <v>999.99959999999999</v>
      </c>
      <c r="Y488" s="170">
        <f t="shared" si="276"/>
        <v>1021.3495914599998</v>
      </c>
      <c r="Z488" s="170">
        <f t="shared" si="277"/>
        <v>1025</v>
      </c>
      <c r="AA488" s="407">
        <f t="shared" si="278"/>
        <v>0</v>
      </c>
      <c r="AB488" s="194"/>
    </row>
    <row r="489" spans="1:28" s="278" customFormat="1" x14ac:dyDescent="0.25">
      <c r="A489" s="200">
        <v>705174</v>
      </c>
      <c r="B489" s="313" t="s">
        <v>14660</v>
      </c>
      <c r="C489" s="248"/>
      <c r="D489" s="247" t="s">
        <v>16</v>
      </c>
      <c r="E489" s="249">
        <f t="shared" si="281"/>
        <v>366.66668000000004</v>
      </c>
      <c r="F489" s="170">
        <f t="shared" si="281"/>
        <v>374.49501361800003</v>
      </c>
      <c r="G489" s="250">
        <v>0.4</v>
      </c>
      <c r="H489" s="171">
        <f t="shared" si="266"/>
        <v>0.4</v>
      </c>
      <c r="I489" s="249">
        <f t="shared" si="282"/>
        <v>275.00000999999997</v>
      </c>
      <c r="J489" s="170">
        <f t="shared" si="282"/>
        <v>280.87126021350002</v>
      </c>
      <c r="K489" s="250">
        <v>0.3</v>
      </c>
      <c r="L489" s="172">
        <f t="shared" si="268"/>
        <v>0.3</v>
      </c>
      <c r="M489" s="249">
        <f t="shared" si="269"/>
        <v>229.166675</v>
      </c>
      <c r="N489" s="170">
        <f t="shared" si="270"/>
        <v>234.05938351125002</v>
      </c>
      <c r="O489" s="250">
        <v>0.25</v>
      </c>
      <c r="P489" s="172">
        <f t="shared" si="271"/>
        <v>0.25</v>
      </c>
      <c r="Q489" s="251">
        <f t="shared" si="272"/>
        <v>45.833335000000005</v>
      </c>
      <c r="R489" s="173">
        <f t="shared" si="273"/>
        <v>46.811876702250004</v>
      </c>
      <c r="S489" s="250">
        <v>0.05</v>
      </c>
      <c r="T489" s="171">
        <f t="shared" si="274"/>
        <v>0.05</v>
      </c>
      <c r="U489" s="256">
        <v>916.66669999999999</v>
      </c>
      <c r="V489" s="170">
        <f t="shared" si="280"/>
        <v>936.23753404500007</v>
      </c>
      <c r="W489" s="258">
        <v>0.2</v>
      </c>
      <c r="X489" s="257">
        <f t="shared" si="275"/>
        <v>1100.0000399999999</v>
      </c>
      <c r="Y489" s="170">
        <f t="shared" si="276"/>
        <v>1123.4850408540001</v>
      </c>
      <c r="Z489" s="170">
        <f t="shared" si="277"/>
        <v>1125</v>
      </c>
      <c r="AA489" s="407">
        <f t="shared" si="278"/>
        <v>0</v>
      </c>
      <c r="AB489" s="194"/>
    </row>
    <row r="490" spans="1:28" s="278" customFormat="1" x14ac:dyDescent="0.25">
      <c r="A490" s="200">
        <v>705300</v>
      </c>
      <c r="B490" s="313" t="s">
        <v>19252</v>
      </c>
      <c r="C490" s="248"/>
      <c r="D490" s="247" t="s">
        <v>11</v>
      </c>
      <c r="E490" s="249">
        <f t="shared" si="281"/>
        <v>650</v>
      </c>
      <c r="F490" s="170">
        <f t="shared" si="281"/>
        <v>664.39750000000004</v>
      </c>
      <c r="G490" s="250">
        <v>0.65</v>
      </c>
      <c r="H490" s="171">
        <f t="shared" si="266"/>
        <v>0.65</v>
      </c>
      <c r="I490" s="249">
        <f t="shared" si="282"/>
        <v>150</v>
      </c>
      <c r="J490" s="170">
        <f t="shared" si="282"/>
        <v>153.32250000000002</v>
      </c>
      <c r="K490" s="250">
        <v>0.15</v>
      </c>
      <c r="L490" s="172">
        <f t="shared" si="268"/>
        <v>0.15</v>
      </c>
      <c r="M490" s="249">
        <f t="shared" si="269"/>
        <v>150</v>
      </c>
      <c r="N490" s="170">
        <f t="shared" si="270"/>
        <v>153.32250000000002</v>
      </c>
      <c r="O490" s="250">
        <v>0.15</v>
      </c>
      <c r="P490" s="172">
        <f t="shared" si="271"/>
        <v>0.15</v>
      </c>
      <c r="Q490" s="251">
        <f t="shared" si="272"/>
        <v>50</v>
      </c>
      <c r="R490" s="173">
        <f t="shared" si="273"/>
        <v>51.107500000000009</v>
      </c>
      <c r="S490" s="250">
        <v>0.05</v>
      </c>
      <c r="T490" s="171">
        <f t="shared" si="274"/>
        <v>0.05</v>
      </c>
      <c r="U490" s="256">
        <v>1000</v>
      </c>
      <c r="V490" s="170">
        <f t="shared" si="280"/>
        <v>1022.1500000000001</v>
      </c>
      <c r="W490" s="258">
        <v>0.2</v>
      </c>
      <c r="X490" s="257">
        <f t="shared" si="275"/>
        <v>1200</v>
      </c>
      <c r="Y490" s="170">
        <f t="shared" si="276"/>
        <v>1226.5800000000002</v>
      </c>
      <c r="Z490" s="170">
        <f t="shared" si="277"/>
        <v>1250</v>
      </c>
      <c r="AA490" s="407">
        <f t="shared" si="278"/>
        <v>0</v>
      </c>
      <c r="AB490" s="194"/>
    </row>
    <row r="491" spans="1:28" s="278" customFormat="1" x14ac:dyDescent="0.25">
      <c r="A491" s="200">
        <v>705305</v>
      </c>
      <c r="B491" s="313" t="s">
        <v>14661</v>
      </c>
      <c r="C491" s="248"/>
      <c r="D491" s="247" t="s">
        <v>11</v>
      </c>
      <c r="E491" s="249">
        <f t="shared" si="281"/>
        <v>666.66666666666674</v>
      </c>
      <c r="F491" s="170">
        <f t="shared" si="281"/>
        <v>681.06666666666683</v>
      </c>
      <c r="G491" s="250">
        <v>0.5</v>
      </c>
      <c r="H491" s="171">
        <f t="shared" si="266"/>
        <v>0.5</v>
      </c>
      <c r="I491" s="249">
        <f t="shared" si="282"/>
        <v>333.33333333333337</v>
      </c>
      <c r="J491" s="170">
        <f t="shared" si="282"/>
        <v>340.53333333333342</v>
      </c>
      <c r="K491" s="250">
        <v>0.25</v>
      </c>
      <c r="L491" s="172">
        <f t="shared" si="268"/>
        <v>0.25</v>
      </c>
      <c r="M491" s="249">
        <f t="shared" si="269"/>
        <v>266.66666666666669</v>
      </c>
      <c r="N491" s="170">
        <f t="shared" si="270"/>
        <v>272.42666666666673</v>
      </c>
      <c r="O491" s="250">
        <v>0.2</v>
      </c>
      <c r="P491" s="172">
        <f t="shared" si="271"/>
        <v>0.2</v>
      </c>
      <c r="Q491" s="251">
        <f t="shared" si="272"/>
        <v>66.666666666666671</v>
      </c>
      <c r="R491" s="173">
        <f t="shared" si="273"/>
        <v>68.106666666666683</v>
      </c>
      <c r="S491" s="250">
        <v>0.05</v>
      </c>
      <c r="T491" s="171">
        <f t="shared" si="274"/>
        <v>0.05</v>
      </c>
      <c r="U491" s="256">
        <f>1600/1.2</f>
        <v>1333.3333333333335</v>
      </c>
      <c r="V491" s="170">
        <f t="shared" si="280"/>
        <v>1362.1333333333337</v>
      </c>
      <c r="W491" s="258">
        <v>0.2</v>
      </c>
      <c r="X491" s="257">
        <v>1600</v>
      </c>
      <c r="Y491" s="170">
        <f t="shared" si="276"/>
        <v>1634.5600000000004</v>
      </c>
      <c r="Z491" s="170">
        <f t="shared" si="277"/>
        <v>1650</v>
      </c>
      <c r="AA491" s="407">
        <f t="shared" si="278"/>
        <v>0</v>
      </c>
      <c r="AB491" s="194"/>
    </row>
    <row r="492" spans="1:28" s="278" customFormat="1" x14ac:dyDescent="0.25">
      <c r="A492" s="200">
        <v>705305</v>
      </c>
      <c r="B492" s="313" t="s">
        <v>14662</v>
      </c>
      <c r="C492" s="248"/>
      <c r="D492" s="247" t="s">
        <v>11</v>
      </c>
      <c r="E492" s="249">
        <f t="shared" si="281"/>
        <v>729.16666666666674</v>
      </c>
      <c r="F492" s="170">
        <f t="shared" si="281"/>
        <v>744.91666666666674</v>
      </c>
      <c r="G492" s="250">
        <v>0.5</v>
      </c>
      <c r="H492" s="171">
        <f t="shared" si="266"/>
        <v>0.5</v>
      </c>
      <c r="I492" s="249">
        <f t="shared" si="282"/>
        <v>364.58333333333337</v>
      </c>
      <c r="J492" s="170">
        <f t="shared" si="282"/>
        <v>372.45833333333337</v>
      </c>
      <c r="K492" s="250">
        <v>0.25</v>
      </c>
      <c r="L492" s="172">
        <f t="shared" si="268"/>
        <v>0.25</v>
      </c>
      <c r="M492" s="249">
        <f t="shared" si="269"/>
        <v>291.66666666666669</v>
      </c>
      <c r="N492" s="170">
        <f t="shared" si="270"/>
        <v>297.9666666666667</v>
      </c>
      <c r="O492" s="250">
        <v>0.2</v>
      </c>
      <c r="P492" s="172">
        <f t="shared" si="271"/>
        <v>0.2</v>
      </c>
      <c r="Q492" s="251">
        <f t="shared" si="272"/>
        <v>72.916666666666671</v>
      </c>
      <c r="R492" s="173">
        <f t="shared" si="273"/>
        <v>74.491666666666674</v>
      </c>
      <c r="S492" s="250">
        <v>0.05</v>
      </c>
      <c r="T492" s="171">
        <f t="shared" si="274"/>
        <v>0.05</v>
      </c>
      <c r="U492" s="256">
        <f>1750/1.2</f>
        <v>1458.3333333333335</v>
      </c>
      <c r="V492" s="170">
        <f t="shared" si="280"/>
        <v>1489.8333333333335</v>
      </c>
      <c r="W492" s="258">
        <v>0.2</v>
      </c>
      <c r="X492" s="257">
        <v>1750</v>
      </c>
      <c r="Y492" s="170">
        <f t="shared" si="276"/>
        <v>1787.8000000000002</v>
      </c>
      <c r="Z492" s="170">
        <f t="shared" si="277"/>
        <v>1800</v>
      </c>
      <c r="AA492" s="407">
        <f t="shared" si="278"/>
        <v>0</v>
      </c>
      <c r="AB492" s="194"/>
    </row>
    <row r="493" spans="1:28" s="278" customFormat="1" x14ac:dyDescent="0.25">
      <c r="A493" s="200">
        <v>705305</v>
      </c>
      <c r="B493" s="313" t="s">
        <v>14663</v>
      </c>
      <c r="C493" s="248"/>
      <c r="D493" s="247" t="s">
        <v>11</v>
      </c>
      <c r="E493" s="249">
        <f t="shared" si="281"/>
        <v>791.66499999999996</v>
      </c>
      <c r="F493" s="170">
        <f t="shared" si="281"/>
        <v>808.76496399999996</v>
      </c>
      <c r="G493" s="250">
        <v>0.5</v>
      </c>
      <c r="H493" s="171">
        <f t="shared" si="266"/>
        <v>0.5</v>
      </c>
      <c r="I493" s="249">
        <f t="shared" si="282"/>
        <v>395.83249999999998</v>
      </c>
      <c r="J493" s="170">
        <f t="shared" si="282"/>
        <v>404.38248199999998</v>
      </c>
      <c r="K493" s="250">
        <v>0.25</v>
      </c>
      <c r="L493" s="172">
        <f t="shared" si="268"/>
        <v>0.25</v>
      </c>
      <c r="M493" s="249">
        <f t="shared" si="269"/>
        <v>316.666</v>
      </c>
      <c r="N493" s="170">
        <f t="shared" si="270"/>
        <v>323.50598560000003</v>
      </c>
      <c r="O493" s="250">
        <v>0.2</v>
      </c>
      <c r="P493" s="172">
        <f t="shared" si="271"/>
        <v>0.2</v>
      </c>
      <c r="Q493" s="251">
        <f t="shared" si="272"/>
        <v>79.166499999999999</v>
      </c>
      <c r="R493" s="173">
        <f t="shared" si="273"/>
        <v>80.876496400000008</v>
      </c>
      <c r="S493" s="250">
        <v>0.05</v>
      </c>
      <c r="T493" s="171">
        <f t="shared" si="274"/>
        <v>0.05</v>
      </c>
      <c r="U493" s="256">
        <v>1583.33</v>
      </c>
      <c r="V493" s="170">
        <f t="shared" si="280"/>
        <v>1617.5299279999999</v>
      </c>
      <c r="W493" s="258">
        <v>0.2</v>
      </c>
      <c r="X493" s="257">
        <v>1900</v>
      </c>
      <c r="Y493" s="170">
        <f t="shared" si="276"/>
        <v>1941.0359135999997</v>
      </c>
      <c r="Z493" s="170">
        <f t="shared" si="277"/>
        <v>1950</v>
      </c>
      <c r="AA493" s="407">
        <f t="shared" si="278"/>
        <v>0</v>
      </c>
      <c r="AB493" s="194"/>
    </row>
    <row r="494" spans="1:28" s="278" customFormat="1" x14ac:dyDescent="0.25">
      <c r="A494" s="200">
        <v>705352</v>
      </c>
      <c r="B494" s="313" t="s">
        <v>14664</v>
      </c>
      <c r="C494" s="248"/>
      <c r="D494" s="247" t="s">
        <v>11</v>
      </c>
      <c r="E494" s="249">
        <f t="shared" ref="E494:F519" si="283">U494*G494</f>
        <v>1137.5</v>
      </c>
      <c r="F494" s="170">
        <f t="shared" si="283"/>
        <v>1161.4443749999998</v>
      </c>
      <c r="G494" s="250">
        <v>0.35</v>
      </c>
      <c r="H494" s="171">
        <f t="shared" ref="H494:H519" si="284">G494</f>
        <v>0.35</v>
      </c>
      <c r="I494" s="249">
        <f t="shared" ref="I494:J519" si="285">U494*K494</f>
        <v>1137.5</v>
      </c>
      <c r="J494" s="170">
        <f t="shared" si="285"/>
        <v>1161.4443749999998</v>
      </c>
      <c r="K494" s="250">
        <v>0.35</v>
      </c>
      <c r="L494" s="172">
        <f t="shared" ref="L494:L519" si="286">K494</f>
        <v>0.35</v>
      </c>
      <c r="M494" s="249">
        <f t="shared" ref="M494:M519" si="287">U494*O494</f>
        <v>812.5</v>
      </c>
      <c r="N494" s="170">
        <f t="shared" ref="N494:N519" si="288">P494*V494</f>
        <v>829.60312499999998</v>
      </c>
      <c r="O494" s="250">
        <v>0.25</v>
      </c>
      <c r="P494" s="172">
        <f t="shared" ref="P494:P519" si="289">O494</f>
        <v>0.25</v>
      </c>
      <c r="Q494" s="251">
        <f t="shared" ref="Q494:Q519" si="290">U494*S494</f>
        <v>162.5</v>
      </c>
      <c r="R494" s="173">
        <f t="shared" ref="R494:R519" si="291">T494*V494</f>
        <v>165.920625</v>
      </c>
      <c r="S494" s="250">
        <v>0.05</v>
      </c>
      <c r="T494" s="171">
        <f t="shared" ref="T494:T519" si="292">S494</f>
        <v>0.05</v>
      </c>
      <c r="U494" s="256">
        <v>3250</v>
      </c>
      <c r="V494" s="170">
        <f t="shared" si="280"/>
        <v>3318.4124999999999</v>
      </c>
      <c r="W494" s="258">
        <v>0.2</v>
      </c>
      <c r="X494" s="257">
        <f t="shared" ref="X494:X519" si="293">U494+U494*W494</f>
        <v>3900</v>
      </c>
      <c r="Y494" s="170">
        <f t="shared" ref="Y494:Y519" si="294">IF(V494*(W494+1)=0,X494,V494*(W494+1))</f>
        <v>3982.0949999999998</v>
      </c>
      <c r="Z494" s="170">
        <f t="shared" ref="Z494:Z508" si="295">IF(Y494=0, 0, IF(Y494&lt;10, _xlfn.CEILING.MATH(Y494,1), IF(Y494&lt;100, _xlfn.CEILING.MATH(Y494,1),IF(Y494&lt;1000, _xlfn.CEILING.MATH(Y494,5), IF(Y494&lt;10000, _xlfn.CEILING.MATH(Y494, 25), IF(Y494&lt;100000, _xlfn.CEILING.MATH(Y494,250), IF(Y494&lt;1000000, _xlfn.CEILING.MATH(Y494,500), 0)))))))</f>
        <v>4000</v>
      </c>
      <c r="AA494" s="407">
        <f t="shared" ref="AA494:AA519" si="296">C494*Z494</f>
        <v>0</v>
      </c>
      <c r="AB494" s="194"/>
    </row>
    <row r="495" spans="1:28" s="278" customFormat="1" x14ac:dyDescent="0.25">
      <c r="A495" s="200">
        <v>705352</v>
      </c>
      <c r="B495" s="313" t="s">
        <v>14665</v>
      </c>
      <c r="C495" s="248"/>
      <c r="D495" s="247" t="s">
        <v>11</v>
      </c>
      <c r="E495" s="249">
        <f t="shared" si="283"/>
        <v>831.25</v>
      </c>
      <c r="F495" s="170">
        <f t="shared" si="283"/>
        <v>848.74781250000001</v>
      </c>
      <c r="G495" s="250">
        <v>0.35</v>
      </c>
      <c r="H495" s="171">
        <f t="shared" si="284"/>
        <v>0.35</v>
      </c>
      <c r="I495" s="249">
        <f t="shared" si="285"/>
        <v>831.25</v>
      </c>
      <c r="J495" s="170">
        <f t="shared" si="285"/>
        <v>848.74781250000001</v>
      </c>
      <c r="K495" s="250">
        <v>0.35</v>
      </c>
      <c r="L495" s="172">
        <f t="shared" si="286"/>
        <v>0.35</v>
      </c>
      <c r="M495" s="249">
        <f t="shared" si="287"/>
        <v>593.75</v>
      </c>
      <c r="N495" s="170">
        <f t="shared" si="288"/>
        <v>606.24843750000002</v>
      </c>
      <c r="O495" s="250">
        <v>0.25</v>
      </c>
      <c r="P495" s="172">
        <f t="shared" si="289"/>
        <v>0.25</v>
      </c>
      <c r="Q495" s="251">
        <f t="shared" si="290"/>
        <v>118.75</v>
      </c>
      <c r="R495" s="173">
        <f t="shared" si="291"/>
        <v>121.24968750000001</v>
      </c>
      <c r="S495" s="250">
        <v>0.05</v>
      </c>
      <c r="T495" s="171">
        <f t="shared" si="292"/>
        <v>0.05</v>
      </c>
      <c r="U495" s="256">
        <v>2375</v>
      </c>
      <c r="V495" s="170">
        <f t="shared" si="280"/>
        <v>2424.9937500000001</v>
      </c>
      <c r="W495" s="258">
        <v>0.2</v>
      </c>
      <c r="X495" s="257">
        <f t="shared" si="293"/>
        <v>2850</v>
      </c>
      <c r="Y495" s="170">
        <f t="shared" si="294"/>
        <v>2909.9924999999998</v>
      </c>
      <c r="Z495" s="170">
        <f t="shared" si="295"/>
        <v>2925</v>
      </c>
      <c r="AA495" s="407">
        <f t="shared" si="296"/>
        <v>0</v>
      </c>
      <c r="AB495" s="194"/>
    </row>
    <row r="496" spans="1:28" s="278" customFormat="1" x14ac:dyDescent="0.25">
      <c r="A496" s="200">
        <v>705353</v>
      </c>
      <c r="B496" s="313" t="s">
        <v>14666</v>
      </c>
      <c r="C496" s="248"/>
      <c r="D496" s="247" t="s">
        <v>11</v>
      </c>
      <c r="E496" s="249">
        <f t="shared" si="283"/>
        <v>904.16549999999995</v>
      </c>
      <c r="F496" s="170">
        <f t="shared" si="283"/>
        <v>923.19818377499996</v>
      </c>
      <c r="G496" s="250">
        <v>0.35</v>
      </c>
      <c r="H496" s="171">
        <f t="shared" si="284"/>
        <v>0.35</v>
      </c>
      <c r="I496" s="249">
        <f t="shared" si="285"/>
        <v>904.16549999999995</v>
      </c>
      <c r="J496" s="170">
        <f t="shared" si="285"/>
        <v>923.19818377499996</v>
      </c>
      <c r="K496" s="250">
        <v>0.35</v>
      </c>
      <c r="L496" s="172">
        <f t="shared" si="286"/>
        <v>0.35</v>
      </c>
      <c r="M496" s="249">
        <f t="shared" si="287"/>
        <v>645.83249999999998</v>
      </c>
      <c r="N496" s="170">
        <f t="shared" si="288"/>
        <v>659.42727412500005</v>
      </c>
      <c r="O496" s="250">
        <v>0.25</v>
      </c>
      <c r="P496" s="172">
        <f t="shared" si="289"/>
        <v>0.25</v>
      </c>
      <c r="Q496" s="251">
        <f t="shared" si="290"/>
        <v>129.16650000000001</v>
      </c>
      <c r="R496" s="173">
        <f t="shared" si="291"/>
        <v>131.88545482500001</v>
      </c>
      <c r="S496" s="250">
        <v>0.05</v>
      </c>
      <c r="T496" s="171">
        <f t="shared" si="292"/>
        <v>0.05</v>
      </c>
      <c r="U496" s="256">
        <v>2583.33</v>
      </c>
      <c r="V496" s="170">
        <f t="shared" si="280"/>
        <v>2637.7090965000002</v>
      </c>
      <c r="W496" s="258">
        <v>0.2</v>
      </c>
      <c r="X496" s="257">
        <f t="shared" si="293"/>
        <v>3099.9960000000001</v>
      </c>
      <c r="Y496" s="170">
        <f t="shared" si="294"/>
        <v>3165.2509158000003</v>
      </c>
      <c r="Z496" s="170">
        <f t="shared" si="295"/>
        <v>3175</v>
      </c>
      <c r="AA496" s="407">
        <f t="shared" si="296"/>
        <v>0</v>
      </c>
      <c r="AB496" s="194"/>
    </row>
    <row r="497" spans="1:28" s="278" customFormat="1" x14ac:dyDescent="0.25">
      <c r="A497" s="200">
        <v>705353</v>
      </c>
      <c r="B497" s="313" t="s">
        <v>14667</v>
      </c>
      <c r="C497" s="248"/>
      <c r="D497" s="247" t="s">
        <v>11</v>
      </c>
      <c r="E497" s="249">
        <f t="shared" si="283"/>
        <v>831.25</v>
      </c>
      <c r="F497" s="170">
        <f t="shared" si="283"/>
        <v>848.74781250000001</v>
      </c>
      <c r="G497" s="250">
        <v>0.35</v>
      </c>
      <c r="H497" s="171">
        <f t="shared" si="284"/>
        <v>0.35</v>
      </c>
      <c r="I497" s="249">
        <f t="shared" si="285"/>
        <v>831.25</v>
      </c>
      <c r="J497" s="170">
        <f t="shared" si="285"/>
        <v>848.74781250000001</v>
      </c>
      <c r="K497" s="250">
        <v>0.35</v>
      </c>
      <c r="L497" s="172">
        <f t="shared" si="286"/>
        <v>0.35</v>
      </c>
      <c r="M497" s="249">
        <f t="shared" si="287"/>
        <v>593.75</v>
      </c>
      <c r="N497" s="170">
        <f t="shared" si="288"/>
        <v>606.24843750000002</v>
      </c>
      <c r="O497" s="250">
        <v>0.25</v>
      </c>
      <c r="P497" s="172">
        <f t="shared" si="289"/>
        <v>0.25</v>
      </c>
      <c r="Q497" s="251">
        <f t="shared" si="290"/>
        <v>118.75</v>
      </c>
      <c r="R497" s="173">
        <f t="shared" si="291"/>
        <v>121.24968750000001</v>
      </c>
      <c r="S497" s="250">
        <v>0.05</v>
      </c>
      <c r="T497" s="171">
        <f t="shared" si="292"/>
        <v>0.05</v>
      </c>
      <c r="U497" s="256">
        <v>2375</v>
      </c>
      <c r="V497" s="170">
        <f t="shared" si="280"/>
        <v>2424.9937500000001</v>
      </c>
      <c r="W497" s="258">
        <v>0.2</v>
      </c>
      <c r="X497" s="257">
        <f t="shared" si="293"/>
        <v>2850</v>
      </c>
      <c r="Y497" s="170">
        <f t="shared" si="294"/>
        <v>2909.9924999999998</v>
      </c>
      <c r="Z497" s="170">
        <f t="shared" si="295"/>
        <v>2925</v>
      </c>
      <c r="AA497" s="407">
        <f t="shared" si="296"/>
        <v>0</v>
      </c>
      <c r="AB497" s="194"/>
    </row>
    <row r="498" spans="1:28" s="278" customFormat="1" x14ac:dyDescent="0.25">
      <c r="A498" s="200">
        <v>705354</v>
      </c>
      <c r="B498" s="313" t="s">
        <v>14668</v>
      </c>
      <c r="C498" s="248"/>
      <c r="D498" s="247" t="s">
        <v>11</v>
      </c>
      <c r="E498" s="249">
        <f t="shared" si="283"/>
        <v>656.25</v>
      </c>
      <c r="F498" s="170">
        <f t="shared" si="283"/>
        <v>670.06406249999998</v>
      </c>
      <c r="G498" s="250">
        <v>0.35</v>
      </c>
      <c r="H498" s="171">
        <f t="shared" si="284"/>
        <v>0.35</v>
      </c>
      <c r="I498" s="249">
        <f t="shared" si="285"/>
        <v>656.25</v>
      </c>
      <c r="J498" s="170">
        <f t="shared" si="285"/>
        <v>670.06406249999998</v>
      </c>
      <c r="K498" s="250">
        <v>0.35</v>
      </c>
      <c r="L498" s="172">
        <f t="shared" si="286"/>
        <v>0.35</v>
      </c>
      <c r="M498" s="249">
        <f t="shared" si="287"/>
        <v>468.75</v>
      </c>
      <c r="N498" s="170">
        <f t="shared" si="288"/>
        <v>478.6171875</v>
      </c>
      <c r="O498" s="250">
        <v>0.25</v>
      </c>
      <c r="P498" s="172">
        <f t="shared" si="289"/>
        <v>0.25</v>
      </c>
      <c r="Q498" s="251">
        <f t="shared" si="290"/>
        <v>93.75</v>
      </c>
      <c r="R498" s="173">
        <f t="shared" si="291"/>
        <v>95.723437500000003</v>
      </c>
      <c r="S498" s="250">
        <v>0.05</v>
      </c>
      <c r="T498" s="171">
        <f t="shared" si="292"/>
        <v>0.05</v>
      </c>
      <c r="U498" s="256">
        <v>1875</v>
      </c>
      <c r="V498" s="170">
        <f t="shared" si="280"/>
        <v>1914.46875</v>
      </c>
      <c r="W498" s="258">
        <v>0.2</v>
      </c>
      <c r="X498" s="257">
        <f t="shared" si="293"/>
        <v>2250</v>
      </c>
      <c r="Y498" s="170">
        <f t="shared" si="294"/>
        <v>2297.3624999999997</v>
      </c>
      <c r="Z498" s="170">
        <f t="shared" si="295"/>
        <v>2300</v>
      </c>
      <c r="AA498" s="407">
        <f t="shared" si="296"/>
        <v>0</v>
      </c>
      <c r="AB498" s="194"/>
    </row>
    <row r="499" spans="1:28" s="278" customFormat="1" x14ac:dyDescent="0.25">
      <c r="A499" s="200">
        <v>705354</v>
      </c>
      <c r="B499" s="313" t="s">
        <v>14669</v>
      </c>
      <c r="C499" s="248"/>
      <c r="D499" s="247" t="s">
        <v>11</v>
      </c>
      <c r="E499" s="249">
        <f t="shared" si="283"/>
        <v>583.33334500000001</v>
      </c>
      <c r="F499" s="170">
        <f t="shared" si="283"/>
        <v>595.61251191225006</v>
      </c>
      <c r="G499" s="250">
        <v>0.35</v>
      </c>
      <c r="H499" s="171">
        <f t="shared" si="284"/>
        <v>0.35</v>
      </c>
      <c r="I499" s="249">
        <f t="shared" si="285"/>
        <v>583.33334500000001</v>
      </c>
      <c r="J499" s="170">
        <f t="shared" si="285"/>
        <v>595.61251191225006</v>
      </c>
      <c r="K499" s="250">
        <v>0.35</v>
      </c>
      <c r="L499" s="172">
        <f t="shared" si="286"/>
        <v>0.35</v>
      </c>
      <c r="M499" s="249">
        <f t="shared" si="287"/>
        <v>416.666675</v>
      </c>
      <c r="N499" s="170">
        <f t="shared" si="288"/>
        <v>425.43750850875006</v>
      </c>
      <c r="O499" s="250">
        <v>0.25</v>
      </c>
      <c r="P499" s="172">
        <f t="shared" si="289"/>
        <v>0.25</v>
      </c>
      <c r="Q499" s="251">
        <f t="shared" si="290"/>
        <v>83.333335000000005</v>
      </c>
      <c r="R499" s="173">
        <f t="shared" si="291"/>
        <v>85.087501701750014</v>
      </c>
      <c r="S499" s="250">
        <v>0.05</v>
      </c>
      <c r="T499" s="171">
        <f t="shared" si="292"/>
        <v>0.05</v>
      </c>
      <c r="U499" s="256">
        <v>1666.6667</v>
      </c>
      <c r="V499" s="170">
        <f t="shared" si="280"/>
        <v>1701.7500340350002</v>
      </c>
      <c r="W499" s="258">
        <v>0.2</v>
      </c>
      <c r="X499" s="257">
        <f t="shared" si="293"/>
        <v>2000.0000399999999</v>
      </c>
      <c r="Y499" s="170">
        <f t="shared" si="294"/>
        <v>2042.1000408420002</v>
      </c>
      <c r="Z499" s="170">
        <f t="shared" si="295"/>
        <v>2050</v>
      </c>
      <c r="AA499" s="407">
        <f t="shared" si="296"/>
        <v>0</v>
      </c>
      <c r="AB499" s="194"/>
    </row>
    <row r="500" spans="1:28" s="278" customFormat="1" x14ac:dyDescent="0.25">
      <c r="A500" s="200">
        <v>705355</v>
      </c>
      <c r="B500" s="313" t="s">
        <v>14670</v>
      </c>
      <c r="C500" s="248"/>
      <c r="D500" s="247" t="s">
        <v>11</v>
      </c>
      <c r="E500" s="249">
        <f t="shared" si="283"/>
        <v>1050</v>
      </c>
      <c r="F500" s="170">
        <f t="shared" si="283"/>
        <v>1072.1025</v>
      </c>
      <c r="G500" s="250">
        <v>0.35</v>
      </c>
      <c r="H500" s="171">
        <f t="shared" si="284"/>
        <v>0.35</v>
      </c>
      <c r="I500" s="249">
        <f t="shared" si="285"/>
        <v>1050</v>
      </c>
      <c r="J500" s="170">
        <f t="shared" si="285"/>
        <v>1072.1025</v>
      </c>
      <c r="K500" s="250">
        <v>0.35</v>
      </c>
      <c r="L500" s="172">
        <f t="shared" si="286"/>
        <v>0.35</v>
      </c>
      <c r="M500" s="249">
        <f t="shared" si="287"/>
        <v>750</v>
      </c>
      <c r="N500" s="170">
        <f t="shared" si="288"/>
        <v>765.78750000000002</v>
      </c>
      <c r="O500" s="250">
        <v>0.25</v>
      </c>
      <c r="P500" s="172">
        <f t="shared" si="289"/>
        <v>0.25</v>
      </c>
      <c r="Q500" s="251">
        <f t="shared" si="290"/>
        <v>150</v>
      </c>
      <c r="R500" s="173">
        <f t="shared" si="291"/>
        <v>153.1575</v>
      </c>
      <c r="S500" s="250">
        <v>0.05</v>
      </c>
      <c r="T500" s="171">
        <f t="shared" si="292"/>
        <v>0.05</v>
      </c>
      <c r="U500" s="256">
        <v>3000</v>
      </c>
      <c r="V500" s="170">
        <f t="shared" si="280"/>
        <v>3063.15</v>
      </c>
      <c r="W500" s="258">
        <v>0.2</v>
      </c>
      <c r="X500" s="257">
        <f t="shared" si="293"/>
        <v>3600</v>
      </c>
      <c r="Y500" s="170">
        <f t="shared" si="294"/>
        <v>3675.78</v>
      </c>
      <c r="Z500" s="170">
        <f t="shared" si="295"/>
        <v>3700</v>
      </c>
      <c r="AA500" s="407">
        <f t="shared" si="296"/>
        <v>0</v>
      </c>
      <c r="AB500" s="194"/>
    </row>
    <row r="501" spans="1:28" s="278" customFormat="1" ht="14.4" thickBot="1" x14ac:dyDescent="0.3">
      <c r="A501" s="263">
        <v>705355</v>
      </c>
      <c r="B501" s="321" t="s">
        <v>14671</v>
      </c>
      <c r="C501" s="265"/>
      <c r="D501" s="264" t="s">
        <v>11</v>
      </c>
      <c r="E501" s="266">
        <f t="shared" si="283"/>
        <v>758.33333449999998</v>
      </c>
      <c r="F501" s="174">
        <f t="shared" si="283"/>
        <v>774.29625119122488</v>
      </c>
      <c r="G501" s="267">
        <v>0.35</v>
      </c>
      <c r="H501" s="268">
        <f t="shared" si="284"/>
        <v>0.35</v>
      </c>
      <c r="I501" s="266">
        <f t="shared" si="285"/>
        <v>758.33333449999998</v>
      </c>
      <c r="J501" s="174">
        <f t="shared" si="285"/>
        <v>774.29625119122488</v>
      </c>
      <c r="K501" s="267">
        <v>0.35</v>
      </c>
      <c r="L501" s="269">
        <f t="shared" si="286"/>
        <v>0.35</v>
      </c>
      <c r="M501" s="266">
        <f t="shared" si="287"/>
        <v>541.66666750000002</v>
      </c>
      <c r="N501" s="174">
        <f t="shared" si="288"/>
        <v>553.06875085087495</v>
      </c>
      <c r="O501" s="267">
        <v>0.25</v>
      </c>
      <c r="P501" s="269">
        <f t="shared" si="289"/>
        <v>0.25</v>
      </c>
      <c r="Q501" s="270">
        <f t="shared" si="290"/>
        <v>108.33333350000001</v>
      </c>
      <c r="R501" s="271">
        <f t="shared" si="291"/>
        <v>110.613750170175</v>
      </c>
      <c r="S501" s="267">
        <v>0.05</v>
      </c>
      <c r="T501" s="268">
        <f t="shared" si="292"/>
        <v>0.05</v>
      </c>
      <c r="U501" s="409">
        <v>2166.6666700000001</v>
      </c>
      <c r="V501" s="174">
        <f t="shared" si="280"/>
        <v>2212.2750034034998</v>
      </c>
      <c r="W501" s="322">
        <v>0.2</v>
      </c>
      <c r="X501" s="274">
        <f t="shared" si="293"/>
        <v>2600.000004</v>
      </c>
      <c r="Y501" s="174">
        <f t="shared" si="294"/>
        <v>2654.7300040841997</v>
      </c>
      <c r="Z501" s="174">
        <f t="shared" si="295"/>
        <v>2675</v>
      </c>
      <c r="AA501" s="410">
        <f t="shared" si="296"/>
        <v>0</v>
      </c>
      <c r="AB501" s="194"/>
    </row>
    <row r="502" spans="1:28" s="278" customFormat="1" x14ac:dyDescent="0.25">
      <c r="A502" s="200">
        <v>705356</v>
      </c>
      <c r="B502" s="313" t="s">
        <v>14672</v>
      </c>
      <c r="C502" s="248"/>
      <c r="D502" s="247" t="s">
        <v>11</v>
      </c>
      <c r="E502" s="249">
        <f t="shared" si="283"/>
        <v>947.91654999999992</v>
      </c>
      <c r="F502" s="170">
        <f t="shared" si="283"/>
        <v>967.87019337750007</v>
      </c>
      <c r="G502" s="250">
        <v>0.35</v>
      </c>
      <c r="H502" s="171">
        <f t="shared" si="284"/>
        <v>0.35</v>
      </c>
      <c r="I502" s="249">
        <f t="shared" si="285"/>
        <v>947.91654999999992</v>
      </c>
      <c r="J502" s="170">
        <f t="shared" si="285"/>
        <v>967.87019337750007</v>
      </c>
      <c r="K502" s="250">
        <v>0.35</v>
      </c>
      <c r="L502" s="172">
        <f t="shared" si="286"/>
        <v>0.35</v>
      </c>
      <c r="M502" s="249">
        <f t="shared" si="287"/>
        <v>677.08325000000002</v>
      </c>
      <c r="N502" s="170">
        <f t="shared" si="288"/>
        <v>691.33585241250012</v>
      </c>
      <c r="O502" s="250">
        <v>0.25</v>
      </c>
      <c r="P502" s="172">
        <f t="shared" si="289"/>
        <v>0.25</v>
      </c>
      <c r="Q502" s="251">
        <f t="shared" si="290"/>
        <v>135.41665</v>
      </c>
      <c r="R502" s="173">
        <f t="shared" si="291"/>
        <v>138.26717048250003</v>
      </c>
      <c r="S502" s="250">
        <v>0.05</v>
      </c>
      <c r="T502" s="171">
        <f t="shared" si="292"/>
        <v>0.05</v>
      </c>
      <c r="U502" s="256">
        <v>2708.3330000000001</v>
      </c>
      <c r="V502" s="170">
        <f t="shared" si="280"/>
        <v>2765.3434096500005</v>
      </c>
      <c r="W502" s="258">
        <v>0.2</v>
      </c>
      <c r="X502" s="257">
        <f t="shared" si="293"/>
        <v>3249.9996000000001</v>
      </c>
      <c r="Y502" s="170">
        <f t="shared" si="294"/>
        <v>3318.4120915800004</v>
      </c>
      <c r="Z502" s="170">
        <f t="shared" si="295"/>
        <v>3325</v>
      </c>
      <c r="AA502" s="407">
        <f t="shared" si="296"/>
        <v>0</v>
      </c>
      <c r="AB502" s="194"/>
    </row>
    <row r="503" spans="1:28" s="278" customFormat="1" x14ac:dyDescent="0.25">
      <c r="A503" s="200">
        <v>705356</v>
      </c>
      <c r="B503" s="313" t="s">
        <v>14673</v>
      </c>
      <c r="C503" s="248"/>
      <c r="D503" s="247" t="s">
        <v>11</v>
      </c>
      <c r="E503" s="249">
        <f t="shared" si="283"/>
        <v>787.5</v>
      </c>
      <c r="F503" s="170">
        <f t="shared" si="283"/>
        <v>804.07687499999986</v>
      </c>
      <c r="G503" s="250">
        <v>0.35</v>
      </c>
      <c r="H503" s="171">
        <f t="shared" si="284"/>
        <v>0.35</v>
      </c>
      <c r="I503" s="249">
        <f t="shared" si="285"/>
        <v>787.5</v>
      </c>
      <c r="J503" s="170">
        <f t="shared" si="285"/>
        <v>804.07687499999986</v>
      </c>
      <c r="K503" s="252">
        <v>0.35</v>
      </c>
      <c r="L503" s="172">
        <f t="shared" si="286"/>
        <v>0.35</v>
      </c>
      <c r="M503" s="249">
        <f t="shared" si="287"/>
        <v>562.5</v>
      </c>
      <c r="N503" s="170">
        <f t="shared" si="288"/>
        <v>574.34062499999993</v>
      </c>
      <c r="O503" s="250">
        <v>0.25</v>
      </c>
      <c r="P503" s="172">
        <f t="shared" si="289"/>
        <v>0.25</v>
      </c>
      <c r="Q503" s="251">
        <f t="shared" si="290"/>
        <v>112.5</v>
      </c>
      <c r="R503" s="173">
        <f t="shared" si="291"/>
        <v>114.86812499999999</v>
      </c>
      <c r="S503" s="250">
        <v>0.05</v>
      </c>
      <c r="T503" s="171">
        <f t="shared" si="292"/>
        <v>0.05</v>
      </c>
      <c r="U503" s="256">
        <v>2250</v>
      </c>
      <c r="V503" s="170">
        <f t="shared" si="280"/>
        <v>2297.3624999999997</v>
      </c>
      <c r="W503" s="258">
        <v>0.2</v>
      </c>
      <c r="X503" s="257">
        <f t="shared" si="293"/>
        <v>2700</v>
      </c>
      <c r="Y503" s="170">
        <f t="shared" si="294"/>
        <v>2756.8349999999996</v>
      </c>
      <c r="Z503" s="170">
        <f t="shared" si="295"/>
        <v>2775</v>
      </c>
      <c r="AA503" s="407">
        <f t="shared" si="296"/>
        <v>0</v>
      </c>
      <c r="AB503" s="194"/>
    </row>
    <row r="504" spans="1:28" s="278" customFormat="1" x14ac:dyDescent="0.25">
      <c r="A504" s="200">
        <v>705357</v>
      </c>
      <c r="B504" s="313" t="s">
        <v>14674</v>
      </c>
      <c r="C504" s="248"/>
      <c r="D504" s="247" t="s">
        <v>11</v>
      </c>
      <c r="E504" s="249">
        <f t="shared" si="283"/>
        <v>947.91654999999992</v>
      </c>
      <c r="F504" s="170">
        <f t="shared" si="283"/>
        <v>967.87019337750007</v>
      </c>
      <c r="G504" s="250">
        <v>0.35</v>
      </c>
      <c r="H504" s="171">
        <f t="shared" si="284"/>
        <v>0.35</v>
      </c>
      <c r="I504" s="249">
        <f t="shared" si="285"/>
        <v>947.91654999999992</v>
      </c>
      <c r="J504" s="170">
        <f t="shared" si="285"/>
        <v>967.87019337750007</v>
      </c>
      <c r="K504" s="252">
        <v>0.35</v>
      </c>
      <c r="L504" s="172">
        <f t="shared" si="286"/>
        <v>0.35</v>
      </c>
      <c r="M504" s="249">
        <f t="shared" si="287"/>
        <v>677.08325000000002</v>
      </c>
      <c r="N504" s="170">
        <f t="shared" si="288"/>
        <v>691.33585241250012</v>
      </c>
      <c r="O504" s="250">
        <v>0.25</v>
      </c>
      <c r="P504" s="172">
        <f t="shared" si="289"/>
        <v>0.25</v>
      </c>
      <c r="Q504" s="251">
        <f t="shared" si="290"/>
        <v>135.41665</v>
      </c>
      <c r="R504" s="173">
        <f t="shared" si="291"/>
        <v>138.26717048250003</v>
      </c>
      <c r="S504" s="250">
        <v>0.05</v>
      </c>
      <c r="T504" s="171">
        <f t="shared" si="292"/>
        <v>0.05</v>
      </c>
      <c r="U504" s="256">
        <v>2708.3330000000001</v>
      </c>
      <c r="V504" s="170">
        <f t="shared" si="280"/>
        <v>2765.3434096500005</v>
      </c>
      <c r="W504" s="258">
        <v>0.2</v>
      </c>
      <c r="X504" s="257">
        <f t="shared" si="293"/>
        <v>3249.9996000000001</v>
      </c>
      <c r="Y504" s="170">
        <f t="shared" si="294"/>
        <v>3318.4120915800004</v>
      </c>
      <c r="Z504" s="170">
        <f t="shared" si="295"/>
        <v>3325</v>
      </c>
      <c r="AA504" s="407">
        <f t="shared" si="296"/>
        <v>0</v>
      </c>
      <c r="AB504" s="194"/>
    </row>
    <row r="505" spans="1:28" s="278" customFormat="1" x14ac:dyDescent="0.25">
      <c r="A505" s="200">
        <v>705357</v>
      </c>
      <c r="B505" s="313" t="s">
        <v>14675</v>
      </c>
      <c r="C505" s="248"/>
      <c r="D505" s="247" t="s">
        <v>11</v>
      </c>
      <c r="E505" s="249">
        <f t="shared" si="283"/>
        <v>787.5</v>
      </c>
      <c r="F505" s="170">
        <f t="shared" si="283"/>
        <v>804.07687499999986</v>
      </c>
      <c r="G505" s="250">
        <v>0.35</v>
      </c>
      <c r="H505" s="171">
        <f t="shared" si="284"/>
        <v>0.35</v>
      </c>
      <c r="I505" s="249">
        <f t="shared" si="285"/>
        <v>787.5</v>
      </c>
      <c r="J505" s="170">
        <f t="shared" si="285"/>
        <v>804.07687499999986</v>
      </c>
      <c r="K505" s="250">
        <v>0.35</v>
      </c>
      <c r="L505" s="172">
        <f t="shared" si="286"/>
        <v>0.35</v>
      </c>
      <c r="M505" s="249">
        <f t="shared" si="287"/>
        <v>562.5</v>
      </c>
      <c r="N505" s="170">
        <f t="shared" si="288"/>
        <v>574.34062499999993</v>
      </c>
      <c r="O505" s="250">
        <v>0.25</v>
      </c>
      <c r="P505" s="172">
        <f t="shared" si="289"/>
        <v>0.25</v>
      </c>
      <c r="Q505" s="251">
        <f t="shared" si="290"/>
        <v>112.5</v>
      </c>
      <c r="R505" s="173">
        <f t="shared" si="291"/>
        <v>114.86812499999999</v>
      </c>
      <c r="S505" s="250">
        <v>0.05</v>
      </c>
      <c r="T505" s="171">
        <f t="shared" si="292"/>
        <v>0.05</v>
      </c>
      <c r="U505" s="256">
        <v>2250</v>
      </c>
      <c r="V505" s="170">
        <f t="shared" si="280"/>
        <v>2297.3624999999997</v>
      </c>
      <c r="W505" s="258">
        <v>0.2</v>
      </c>
      <c r="X505" s="257">
        <f t="shared" si="293"/>
        <v>2700</v>
      </c>
      <c r="Y505" s="170">
        <f t="shared" si="294"/>
        <v>2756.8349999999996</v>
      </c>
      <c r="Z505" s="170">
        <f t="shared" si="295"/>
        <v>2775</v>
      </c>
      <c r="AA505" s="407">
        <f t="shared" si="296"/>
        <v>0</v>
      </c>
      <c r="AB505" s="194"/>
    </row>
    <row r="506" spans="1:28" s="278" customFormat="1" x14ac:dyDescent="0.25">
      <c r="A506" s="200">
        <v>705358</v>
      </c>
      <c r="B506" s="313" t="s">
        <v>14676</v>
      </c>
      <c r="C506" s="248"/>
      <c r="D506" s="247" t="s">
        <v>11</v>
      </c>
      <c r="E506" s="249">
        <f t="shared" si="283"/>
        <v>1254.1666549999998</v>
      </c>
      <c r="F506" s="170">
        <f t="shared" si="283"/>
        <v>1280.5668630877499</v>
      </c>
      <c r="G506" s="250">
        <v>0.35</v>
      </c>
      <c r="H506" s="171">
        <f t="shared" si="284"/>
        <v>0.35</v>
      </c>
      <c r="I506" s="249">
        <f t="shared" si="285"/>
        <v>1254.1666549999998</v>
      </c>
      <c r="J506" s="170">
        <f t="shared" si="285"/>
        <v>1280.5668630877499</v>
      </c>
      <c r="K506" s="250">
        <v>0.35</v>
      </c>
      <c r="L506" s="172">
        <f t="shared" si="286"/>
        <v>0.35</v>
      </c>
      <c r="M506" s="249">
        <f t="shared" si="287"/>
        <v>895.83332499999995</v>
      </c>
      <c r="N506" s="170">
        <f t="shared" si="288"/>
        <v>914.69061649125001</v>
      </c>
      <c r="O506" s="250">
        <v>0.25</v>
      </c>
      <c r="P506" s="172">
        <f t="shared" si="289"/>
        <v>0.25</v>
      </c>
      <c r="Q506" s="251">
        <f t="shared" si="290"/>
        <v>179.16666499999999</v>
      </c>
      <c r="R506" s="173">
        <f t="shared" si="291"/>
        <v>182.93812329825002</v>
      </c>
      <c r="S506" s="250">
        <v>0.05</v>
      </c>
      <c r="T506" s="171">
        <f t="shared" si="292"/>
        <v>0.05</v>
      </c>
      <c r="U506" s="256">
        <v>3583.3332999999998</v>
      </c>
      <c r="V506" s="170">
        <f t="shared" si="280"/>
        <v>3658.762465965</v>
      </c>
      <c r="W506" s="258">
        <v>0.2</v>
      </c>
      <c r="X506" s="257">
        <f t="shared" si="293"/>
        <v>4299.9999600000001</v>
      </c>
      <c r="Y506" s="170">
        <f t="shared" si="294"/>
        <v>4390.5149591580002</v>
      </c>
      <c r="Z506" s="170">
        <f t="shared" si="295"/>
        <v>4400</v>
      </c>
      <c r="AA506" s="407">
        <f t="shared" si="296"/>
        <v>0</v>
      </c>
      <c r="AB506" s="194"/>
    </row>
    <row r="507" spans="1:28" s="278" customFormat="1" x14ac:dyDescent="0.25">
      <c r="A507" s="200">
        <v>705358</v>
      </c>
      <c r="B507" s="313" t="s">
        <v>14677</v>
      </c>
      <c r="C507" s="248"/>
      <c r="D507" s="247" t="s">
        <v>11</v>
      </c>
      <c r="E507" s="249">
        <f t="shared" si="283"/>
        <v>787.5</v>
      </c>
      <c r="F507" s="170">
        <f t="shared" si="283"/>
        <v>804.07687499999986</v>
      </c>
      <c r="G507" s="250">
        <v>0.35</v>
      </c>
      <c r="H507" s="171">
        <f t="shared" si="284"/>
        <v>0.35</v>
      </c>
      <c r="I507" s="249">
        <f t="shared" si="285"/>
        <v>787.5</v>
      </c>
      <c r="J507" s="170">
        <f t="shared" si="285"/>
        <v>804.07687499999986</v>
      </c>
      <c r="K507" s="250">
        <v>0.35</v>
      </c>
      <c r="L507" s="172">
        <f t="shared" si="286"/>
        <v>0.35</v>
      </c>
      <c r="M507" s="249">
        <f t="shared" si="287"/>
        <v>562.5</v>
      </c>
      <c r="N507" s="170">
        <f t="shared" si="288"/>
        <v>574.34062499999993</v>
      </c>
      <c r="O507" s="250">
        <v>0.25</v>
      </c>
      <c r="P507" s="172">
        <f t="shared" si="289"/>
        <v>0.25</v>
      </c>
      <c r="Q507" s="251">
        <f t="shared" si="290"/>
        <v>112.5</v>
      </c>
      <c r="R507" s="173">
        <f t="shared" si="291"/>
        <v>114.86812499999999</v>
      </c>
      <c r="S507" s="250">
        <v>0.05</v>
      </c>
      <c r="T507" s="171">
        <f t="shared" si="292"/>
        <v>0.05</v>
      </c>
      <c r="U507" s="256">
        <v>2250</v>
      </c>
      <c r="V507" s="170">
        <f t="shared" si="280"/>
        <v>2297.3624999999997</v>
      </c>
      <c r="W507" s="258">
        <v>0.2</v>
      </c>
      <c r="X507" s="257">
        <f t="shared" si="293"/>
        <v>2700</v>
      </c>
      <c r="Y507" s="170">
        <f t="shared" si="294"/>
        <v>2756.8349999999996</v>
      </c>
      <c r="Z507" s="170">
        <f t="shared" si="295"/>
        <v>2775</v>
      </c>
      <c r="AA507" s="407">
        <f t="shared" si="296"/>
        <v>0</v>
      </c>
      <c r="AB507" s="194"/>
    </row>
    <row r="508" spans="1:28" s="278" customFormat="1" x14ac:dyDescent="0.25">
      <c r="A508" s="200">
        <v>705450</v>
      </c>
      <c r="B508" s="313" t="s">
        <v>19253</v>
      </c>
      <c r="C508" s="248"/>
      <c r="D508" s="247" t="s">
        <v>11</v>
      </c>
      <c r="E508" s="249">
        <f t="shared" si="283"/>
        <v>700</v>
      </c>
      <c r="F508" s="170">
        <f t="shared" si="283"/>
        <v>714.45499999999993</v>
      </c>
      <c r="G508" s="250">
        <v>0.4</v>
      </c>
      <c r="H508" s="171">
        <f t="shared" si="284"/>
        <v>0.4</v>
      </c>
      <c r="I508" s="249">
        <f t="shared" si="285"/>
        <v>700</v>
      </c>
      <c r="J508" s="170">
        <f t="shared" si="285"/>
        <v>714.45499999999993</v>
      </c>
      <c r="K508" s="250">
        <v>0.4</v>
      </c>
      <c r="L508" s="172">
        <f t="shared" si="286"/>
        <v>0.4</v>
      </c>
      <c r="M508" s="249">
        <f t="shared" si="287"/>
        <v>262.5</v>
      </c>
      <c r="N508" s="170">
        <f t="shared" si="288"/>
        <v>267.92062499999997</v>
      </c>
      <c r="O508" s="250">
        <v>0.15</v>
      </c>
      <c r="P508" s="172">
        <f t="shared" si="289"/>
        <v>0.15</v>
      </c>
      <c r="Q508" s="251">
        <f t="shared" si="290"/>
        <v>87.5</v>
      </c>
      <c r="R508" s="173">
        <f t="shared" si="291"/>
        <v>89.306874999999991</v>
      </c>
      <c r="S508" s="250">
        <v>0.05</v>
      </c>
      <c r="T508" s="171">
        <f t="shared" si="292"/>
        <v>0.05</v>
      </c>
      <c r="U508" s="256">
        <v>1750</v>
      </c>
      <c r="V508" s="170">
        <f t="shared" si="280"/>
        <v>1786.1374999999998</v>
      </c>
      <c r="W508" s="258">
        <v>0.2</v>
      </c>
      <c r="X508" s="257">
        <f t="shared" si="293"/>
        <v>2100</v>
      </c>
      <c r="Y508" s="170">
        <f t="shared" si="294"/>
        <v>2143.3649999999998</v>
      </c>
      <c r="Z508" s="170">
        <f t="shared" si="295"/>
        <v>2150</v>
      </c>
      <c r="AA508" s="407">
        <f t="shared" si="296"/>
        <v>0</v>
      </c>
      <c r="AB508" s="194"/>
    </row>
    <row r="509" spans="1:28" s="278" customFormat="1" x14ac:dyDescent="0.25">
      <c r="A509" s="200">
        <v>705450</v>
      </c>
      <c r="B509" s="313" t="s">
        <v>19254</v>
      </c>
      <c r="C509" s="248"/>
      <c r="D509" s="247" t="s">
        <v>11</v>
      </c>
      <c r="E509" s="249">
        <f t="shared" si="283"/>
        <v>0</v>
      </c>
      <c r="F509" s="170">
        <f t="shared" si="283"/>
        <v>549.79166666666663</v>
      </c>
      <c r="G509" s="250">
        <v>0.35</v>
      </c>
      <c r="H509" s="171">
        <f t="shared" si="284"/>
        <v>0.35</v>
      </c>
      <c r="I509" s="249">
        <f t="shared" si="285"/>
        <v>0</v>
      </c>
      <c r="J509" s="170">
        <f t="shared" si="285"/>
        <v>706.87500000000011</v>
      </c>
      <c r="K509" s="250">
        <v>0.45</v>
      </c>
      <c r="L509" s="172">
        <f t="shared" si="286"/>
        <v>0.45</v>
      </c>
      <c r="M509" s="249">
        <f t="shared" si="287"/>
        <v>0</v>
      </c>
      <c r="N509" s="170">
        <f t="shared" si="288"/>
        <v>235.625</v>
      </c>
      <c r="O509" s="250">
        <v>0.15</v>
      </c>
      <c r="P509" s="172">
        <f t="shared" si="289"/>
        <v>0.15</v>
      </c>
      <c r="Q509" s="251">
        <f t="shared" si="290"/>
        <v>0</v>
      </c>
      <c r="R509" s="173">
        <f t="shared" si="291"/>
        <v>78.541666666666686</v>
      </c>
      <c r="S509" s="250">
        <v>0.05</v>
      </c>
      <c r="T509" s="171">
        <f t="shared" si="292"/>
        <v>0.05</v>
      </c>
      <c r="U509" s="256"/>
      <c r="V509" s="170">
        <f>1885/1.2</f>
        <v>1570.8333333333335</v>
      </c>
      <c r="W509" s="258">
        <v>0.2</v>
      </c>
      <c r="X509" s="257">
        <f t="shared" si="293"/>
        <v>0</v>
      </c>
      <c r="Y509" s="170">
        <f t="shared" si="294"/>
        <v>1885</v>
      </c>
      <c r="Z509" s="170">
        <f>IF(Y509=0, 0, IF(Y509&lt;10, _xlfn.CEILING.MATH(Y509,1), IF(Y509&lt;100, _xlfn.CEILING.MATH(Y509,1),IF(Y509&lt;1000, _xlfn.CEILING.MATH(Y509,5), IF(Y509&lt;10000, _xlfn.CEILING.MATH(Y509, 5), IF(Y509&lt;100000, _xlfn.CEILING.MATH(Y509,250), IF(Y509&lt;1000000, _xlfn.CEILING.MATH(Y509,500), 0)))))))</f>
        <v>1885</v>
      </c>
      <c r="AA509" s="407">
        <f t="shared" si="296"/>
        <v>0</v>
      </c>
      <c r="AB509" s="194"/>
    </row>
    <row r="510" spans="1:28" s="278" customFormat="1" x14ac:dyDescent="0.25">
      <c r="A510" s="200">
        <v>705450</v>
      </c>
      <c r="B510" s="313" t="s">
        <v>19255</v>
      </c>
      <c r="C510" s="248"/>
      <c r="D510" s="247" t="s">
        <v>11</v>
      </c>
      <c r="E510" s="249">
        <f t="shared" si="283"/>
        <v>433.33199999999999</v>
      </c>
      <c r="F510" s="170">
        <f t="shared" si="283"/>
        <v>442.28030580000006</v>
      </c>
      <c r="G510" s="250">
        <v>0.4</v>
      </c>
      <c r="H510" s="171">
        <f t="shared" si="284"/>
        <v>0.4</v>
      </c>
      <c r="I510" s="249">
        <f t="shared" si="285"/>
        <v>433.33199999999999</v>
      </c>
      <c r="J510" s="170">
        <f t="shared" si="285"/>
        <v>442.28030580000006</v>
      </c>
      <c r="K510" s="250">
        <v>0.4</v>
      </c>
      <c r="L510" s="172">
        <f t="shared" si="286"/>
        <v>0.4</v>
      </c>
      <c r="M510" s="249">
        <f t="shared" si="287"/>
        <v>162.49949999999998</v>
      </c>
      <c r="N510" s="170">
        <f t="shared" si="288"/>
        <v>165.85511467500001</v>
      </c>
      <c r="O510" s="250">
        <v>0.15</v>
      </c>
      <c r="P510" s="172">
        <f t="shared" si="289"/>
        <v>0.15</v>
      </c>
      <c r="Q510" s="251">
        <f t="shared" si="290"/>
        <v>54.166499999999999</v>
      </c>
      <c r="R510" s="173">
        <f t="shared" si="291"/>
        <v>55.285038225000008</v>
      </c>
      <c r="S510" s="250">
        <v>0.05</v>
      </c>
      <c r="T510" s="171">
        <f t="shared" si="292"/>
        <v>0.05</v>
      </c>
      <c r="U510" s="256">
        <v>1083.33</v>
      </c>
      <c r="V510" s="170">
        <f>SUM(E510*1.0235,I510*1.0175,M510*1.0245,Q510*1.0115)</f>
        <v>1105.7007645000001</v>
      </c>
      <c r="W510" s="258">
        <v>0.2</v>
      </c>
      <c r="X510" s="257">
        <f t="shared" si="293"/>
        <v>1299.9959999999999</v>
      </c>
      <c r="Y510" s="170">
        <f t="shared" si="294"/>
        <v>1326.8409174000001</v>
      </c>
      <c r="Z510" s="170">
        <f t="shared" ref="Z510:Z519" si="297">IF(Y510=0, 0, IF(Y510&lt;10, _xlfn.CEILING.MATH(Y510,1), IF(Y510&lt;100, _xlfn.CEILING.MATH(Y510,1),IF(Y510&lt;1000, _xlfn.CEILING.MATH(Y510,5), IF(Y510&lt;10000, _xlfn.CEILING.MATH(Y510, 25), IF(Y510&lt;100000, _xlfn.CEILING.MATH(Y510,250), IF(Y510&lt;1000000, _xlfn.CEILING.MATH(Y510,500), 0)))))))</f>
        <v>1350</v>
      </c>
      <c r="AA510" s="407">
        <f t="shared" si="296"/>
        <v>0</v>
      </c>
      <c r="AB510" s="194"/>
    </row>
    <row r="511" spans="1:28" s="278" customFormat="1" x14ac:dyDescent="0.25">
      <c r="A511" s="200">
        <v>705450</v>
      </c>
      <c r="B511" s="313" t="s">
        <v>19256</v>
      </c>
      <c r="C511" s="248"/>
      <c r="D511" s="247" t="s">
        <v>11</v>
      </c>
      <c r="E511" s="249">
        <f t="shared" si="283"/>
        <v>0</v>
      </c>
      <c r="F511" s="170">
        <f t="shared" si="283"/>
        <v>422.91666666666669</v>
      </c>
      <c r="G511" s="250">
        <v>0.35</v>
      </c>
      <c r="H511" s="171">
        <f t="shared" si="284"/>
        <v>0.35</v>
      </c>
      <c r="I511" s="249">
        <f t="shared" si="285"/>
        <v>0</v>
      </c>
      <c r="J511" s="170">
        <f t="shared" si="285"/>
        <v>543.75000000000011</v>
      </c>
      <c r="K511" s="250">
        <v>0.45</v>
      </c>
      <c r="L511" s="172">
        <f t="shared" si="286"/>
        <v>0.45</v>
      </c>
      <c r="M511" s="249">
        <f t="shared" si="287"/>
        <v>0</v>
      </c>
      <c r="N511" s="170">
        <f t="shared" si="288"/>
        <v>181.25000000000003</v>
      </c>
      <c r="O511" s="250">
        <v>0.15</v>
      </c>
      <c r="P511" s="172">
        <f t="shared" si="289"/>
        <v>0.15</v>
      </c>
      <c r="Q511" s="251">
        <f t="shared" si="290"/>
        <v>0</v>
      </c>
      <c r="R511" s="173">
        <f t="shared" si="291"/>
        <v>60.416666666666679</v>
      </c>
      <c r="S511" s="250">
        <v>0.05</v>
      </c>
      <c r="T511" s="171">
        <f t="shared" si="292"/>
        <v>0.05</v>
      </c>
      <c r="U511" s="256"/>
      <c r="V511" s="170">
        <f>1450/1.2</f>
        <v>1208.3333333333335</v>
      </c>
      <c r="W511" s="258">
        <v>0.2</v>
      </c>
      <c r="X511" s="257">
        <f t="shared" si="293"/>
        <v>0</v>
      </c>
      <c r="Y511" s="170">
        <f t="shared" si="294"/>
        <v>1450.0000000000002</v>
      </c>
      <c r="Z511" s="170">
        <f t="shared" si="297"/>
        <v>1450</v>
      </c>
      <c r="AA511" s="407">
        <f t="shared" si="296"/>
        <v>0</v>
      </c>
      <c r="AB511" s="194"/>
    </row>
    <row r="512" spans="1:28" s="278" customFormat="1" x14ac:dyDescent="0.25">
      <c r="A512" s="200">
        <v>705451</v>
      </c>
      <c r="B512" s="313" t="s">
        <v>19257</v>
      </c>
      <c r="C512" s="248"/>
      <c r="D512" s="247" t="s">
        <v>11</v>
      </c>
      <c r="E512" s="249">
        <f t="shared" si="283"/>
        <v>533.33320000000003</v>
      </c>
      <c r="F512" s="170">
        <f t="shared" si="283"/>
        <v>544.34653058000015</v>
      </c>
      <c r="G512" s="250">
        <v>0.4</v>
      </c>
      <c r="H512" s="171">
        <f t="shared" si="284"/>
        <v>0.4</v>
      </c>
      <c r="I512" s="249">
        <f t="shared" si="285"/>
        <v>533.33320000000003</v>
      </c>
      <c r="J512" s="170">
        <f t="shared" si="285"/>
        <v>544.34653058000015</v>
      </c>
      <c r="K512" s="250">
        <v>0.4</v>
      </c>
      <c r="L512" s="172">
        <f t="shared" si="286"/>
        <v>0.4</v>
      </c>
      <c r="M512" s="249">
        <f t="shared" si="287"/>
        <v>199.99995000000001</v>
      </c>
      <c r="N512" s="170">
        <f t="shared" si="288"/>
        <v>204.12994896750004</v>
      </c>
      <c r="O512" s="250">
        <v>0.15</v>
      </c>
      <c r="P512" s="172">
        <f t="shared" si="289"/>
        <v>0.15</v>
      </c>
      <c r="Q512" s="251">
        <f t="shared" si="290"/>
        <v>66.666650000000004</v>
      </c>
      <c r="R512" s="173">
        <f t="shared" si="291"/>
        <v>68.043316322500019</v>
      </c>
      <c r="S512" s="250">
        <v>0.05</v>
      </c>
      <c r="T512" s="171">
        <f t="shared" si="292"/>
        <v>0.05</v>
      </c>
      <c r="U512" s="256">
        <v>1333.3330000000001</v>
      </c>
      <c r="V512" s="170">
        <f t="shared" ref="V512:V519" si="298">SUM(E512*1.0235,I512*1.0175,M512*1.0245,Q512*1.0115)</f>
        <v>1360.8663264500003</v>
      </c>
      <c r="W512" s="258">
        <v>0.2</v>
      </c>
      <c r="X512" s="257">
        <f t="shared" si="293"/>
        <v>1599.9996000000001</v>
      </c>
      <c r="Y512" s="170">
        <f t="shared" si="294"/>
        <v>1633.0395917400003</v>
      </c>
      <c r="Z512" s="170">
        <f t="shared" si="297"/>
        <v>1650</v>
      </c>
      <c r="AA512" s="407">
        <f t="shared" si="296"/>
        <v>0</v>
      </c>
      <c r="AB512" s="194"/>
    </row>
    <row r="513" spans="1:28" s="278" customFormat="1" x14ac:dyDescent="0.25">
      <c r="A513" s="200">
        <v>705451</v>
      </c>
      <c r="B513" s="313" t="s">
        <v>19258</v>
      </c>
      <c r="C513" s="248"/>
      <c r="D513" s="247" t="s">
        <v>11</v>
      </c>
      <c r="E513" s="249">
        <f t="shared" si="283"/>
        <v>600</v>
      </c>
      <c r="F513" s="170">
        <f t="shared" si="283"/>
        <v>612.39</v>
      </c>
      <c r="G513" s="250">
        <v>0.4</v>
      </c>
      <c r="H513" s="171">
        <f t="shared" si="284"/>
        <v>0.4</v>
      </c>
      <c r="I513" s="249">
        <f t="shared" si="285"/>
        <v>600</v>
      </c>
      <c r="J513" s="170">
        <f t="shared" si="285"/>
        <v>612.39</v>
      </c>
      <c r="K513" s="250">
        <v>0.4</v>
      </c>
      <c r="L513" s="172">
        <f t="shared" si="286"/>
        <v>0.4</v>
      </c>
      <c r="M513" s="249">
        <f t="shared" si="287"/>
        <v>225</v>
      </c>
      <c r="N513" s="170">
        <f t="shared" si="288"/>
        <v>229.64624999999998</v>
      </c>
      <c r="O513" s="250">
        <v>0.15</v>
      </c>
      <c r="P513" s="172">
        <f t="shared" si="289"/>
        <v>0.15</v>
      </c>
      <c r="Q513" s="251">
        <f t="shared" si="290"/>
        <v>75</v>
      </c>
      <c r="R513" s="173">
        <f t="shared" si="291"/>
        <v>76.548749999999998</v>
      </c>
      <c r="S513" s="250">
        <v>0.05</v>
      </c>
      <c r="T513" s="171">
        <f t="shared" si="292"/>
        <v>0.05</v>
      </c>
      <c r="U513" s="256">
        <v>1500</v>
      </c>
      <c r="V513" s="170">
        <f t="shared" si="298"/>
        <v>1530.9749999999999</v>
      </c>
      <c r="W513" s="258">
        <v>0.2</v>
      </c>
      <c r="X513" s="257">
        <f t="shared" si="293"/>
        <v>1800</v>
      </c>
      <c r="Y513" s="170">
        <f t="shared" si="294"/>
        <v>1837.1699999999998</v>
      </c>
      <c r="Z513" s="170">
        <f t="shared" si="297"/>
        <v>1850</v>
      </c>
      <c r="AA513" s="407">
        <f t="shared" si="296"/>
        <v>0</v>
      </c>
      <c r="AB513" s="194"/>
    </row>
    <row r="514" spans="1:28" s="278" customFormat="1" x14ac:dyDescent="0.25">
      <c r="A514" s="200">
        <v>705452</v>
      </c>
      <c r="B514" s="313" t="s">
        <v>19259</v>
      </c>
      <c r="C514" s="248"/>
      <c r="D514" s="247" t="s">
        <v>11</v>
      </c>
      <c r="E514" s="249">
        <f t="shared" si="283"/>
        <v>500</v>
      </c>
      <c r="F514" s="170">
        <f t="shared" si="283"/>
        <v>510.32500000000005</v>
      </c>
      <c r="G514" s="250">
        <v>0.4</v>
      </c>
      <c r="H514" s="171">
        <f t="shared" si="284"/>
        <v>0.4</v>
      </c>
      <c r="I514" s="249">
        <f t="shared" si="285"/>
        <v>500</v>
      </c>
      <c r="J514" s="170">
        <f t="shared" si="285"/>
        <v>510.32500000000005</v>
      </c>
      <c r="K514" s="250">
        <v>0.4</v>
      </c>
      <c r="L514" s="172">
        <f t="shared" si="286"/>
        <v>0.4</v>
      </c>
      <c r="M514" s="249">
        <f t="shared" si="287"/>
        <v>187.5</v>
      </c>
      <c r="N514" s="170">
        <f t="shared" si="288"/>
        <v>191.37187499999999</v>
      </c>
      <c r="O514" s="250">
        <v>0.15</v>
      </c>
      <c r="P514" s="172">
        <f t="shared" si="289"/>
        <v>0.15</v>
      </c>
      <c r="Q514" s="251">
        <f t="shared" si="290"/>
        <v>62.5</v>
      </c>
      <c r="R514" s="173">
        <f t="shared" si="291"/>
        <v>63.790625000000006</v>
      </c>
      <c r="S514" s="250">
        <v>0.05</v>
      </c>
      <c r="T514" s="171">
        <f t="shared" si="292"/>
        <v>0.05</v>
      </c>
      <c r="U514" s="256">
        <v>1250</v>
      </c>
      <c r="V514" s="170">
        <f t="shared" si="298"/>
        <v>1275.8125</v>
      </c>
      <c r="W514" s="258">
        <v>0.2</v>
      </c>
      <c r="X514" s="257">
        <f t="shared" si="293"/>
        <v>1500</v>
      </c>
      <c r="Y514" s="170">
        <f t="shared" si="294"/>
        <v>1530.9749999999999</v>
      </c>
      <c r="Z514" s="170">
        <f t="shared" si="297"/>
        <v>1550</v>
      </c>
      <c r="AA514" s="407">
        <f t="shared" si="296"/>
        <v>0</v>
      </c>
      <c r="AB514" s="194"/>
    </row>
    <row r="515" spans="1:28" s="278" customFormat="1" x14ac:dyDescent="0.25">
      <c r="A515" s="200">
        <v>705452</v>
      </c>
      <c r="B515" s="313" t="s">
        <v>19260</v>
      </c>
      <c r="C515" s="248"/>
      <c r="D515" s="247" t="s">
        <v>11</v>
      </c>
      <c r="E515" s="249">
        <f t="shared" si="283"/>
        <v>433.33199999999999</v>
      </c>
      <c r="F515" s="170">
        <f t="shared" si="283"/>
        <v>442.28030580000006</v>
      </c>
      <c r="G515" s="250">
        <v>0.4</v>
      </c>
      <c r="H515" s="171">
        <f t="shared" si="284"/>
        <v>0.4</v>
      </c>
      <c r="I515" s="249">
        <f t="shared" si="285"/>
        <v>433.33199999999999</v>
      </c>
      <c r="J515" s="170">
        <f t="shared" si="285"/>
        <v>442.28030580000006</v>
      </c>
      <c r="K515" s="250">
        <v>0.4</v>
      </c>
      <c r="L515" s="172">
        <f t="shared" si="286"/>
        <v>0.4</v>
      </c>
      <c r="M515" s="249">
        <f t="shared" si="287"/>
        <v>162.49949999999998</v>
      </c>
      <c r="N515" s="170">
        <f t="shared" si="288"/>
        <v>165.85511467500001</v>
      </c>
      <c r="O515" s="250">
        <v>0.15</v>
      </c>
      <c r="P515" s="172">
        <f t="shared" si="289"/>
        <v>0.15</v>
      </c>
      <c r="Q515" s="251">
        <f t="shared" si="290"/>
        <v>54.166499999999999</v>
      </c>
      <c r="R515" s="173">
        <f t="shared" si="291"/>
        <v>55.285038225000008</v>
      </c>
      <c r="S515" s="250">
        <v>0.05</v>
      </c>
      <c r="T515" s="171">
        <f t="shared" si="292"/>
        <v>0.05</v>
      </c>
      <c r="U515" s="256">
        <v>1083.33</v>
      </c>
      <c r="V515" s="170">
        <f t="shared" si="298"/>
        <v>1105.7007645000001</v>
      </c>
      <c r="W515" s="258">
        <v>0.2</v>
      </c>
      <c r="X515" s="257">
        <f t="shared" si="293"/>
        <v>1299.9959999999999</v>
      </c>
      <c r="Y515" s="170">
        <f t="shared" si="294"/>
        <v>1326.8409174000001</v>
      </c>
      <c r="Z515" s="170">
        <f t="shared" si="297"/>
        <v>1350</v>
      </c>
      <c r="AA515" s="407">
        <f t="shared" si="296"/>
        <v>0</v>
      </c>
      <c r="AB515" s="194"/>
    </row>
    <row r="516" spans="1:28" s="278" customFormat="1" x14ac:dyDescent="0.25">
      <c r="A516" s="200">
        <v>705510</v>
      </c>
      <c r="B516" s="313" t="s">
        <v>19261</v>
      </c>
      <c r="C516" s="248"/>
      <c r="D516" s="247" t="s">
        <v>11</v>
      </c>
      <c r="E516" s="249">
        <f t="shared" si="283"/>
        <v>366.66668000000004</v>
      </c>
      <c r="F516" s="170">
        <f t="shared" si="283"/>
        <v>374.23834694200013</v>
      </c>
      <c r="G516" s="250">
        <v>0.4</v>
      </c>
      <c r="H516" s="171">
        <f t="shared" si="284"/>
        <v>0.4</v>
      </c>
      <c r="I516" s="249">
        <f t="shared" si="285"/>
        <v>366.66668000000004</v>
      </c>
      <c r="J516" s="170">
        <f t="shared" si="285"/>
        <v>374.23834694200013</v>
      </c>
      <c r="K516" s="250">
        <v>0.4</v>
      </c>
      <c r="L516" s="172">
        <f t="shared" si="286"/>
        <v>0.4</v>
      </c>
      <c r="M516" s="249">
        <f t="shared" si="287"/>
        <v>137.50000499999999</v>
      </c>
      <c r="N516" s="170">
        <f t="shared" si="288"/>
        <v>140.33938010325002</v>
      </c>
      <c r="O516" s="250">
        <v>0.15</v>
      </c>
      <c r="P516" s="172">
        <f t="shared" si="289"/>
        <v>0.15</v>
      </c>
      <c r="Q516" s="251">
        <f t="shared" si="290"/>
        <v>45.833335000000005</v>
      </c>
      <c r="R516" s="173">
        <f t="shared" si="291"/>
        <v>46.779793367750017</v>
      </c>
      <c r="S516" s="250">
        <v>0.05</v>
      </c>
      <c r="T516" s="171">
        <f t="shared" si="292"/>
        <v>0.05</v>
      </c>
      <c r="U516" s="256">
        <v>916.66669999999999</v>
      </c>
      <c r="V516" s="170">
        <f t="shared" si="298"/>
        <v>935.59586735500022</v>
      </c>
      <c r="W516" s="258">
        <v>0.2</v>
      </c>
      <c r="X516" s="257">
        <f t="shared" si="293"/>
        <v>1100.0000399999999</v>
      </c>
      <c r="Y516" s="170">
        <f t="shared" si="294"/>
        <v>1122.7150408260002</v>
      </c>
      <c r="Z516" s="170">
        <f t="shared" si="297"/>
        <v>1125</v>
      </c>
      <c r="AA516" s="407">
        <f t="shared" si="296"/>
        <v>0</v>
      </c>
      <c r="AB516" s="194"/>
    </row>
    <row r="517" spans="1:28" s="278" customFormat="1" x14ac:dyDescent="0.25">
      <c r="A517" s="200">
        <v>705510</v>
      </c>
      <c r="B517" s="313" t="s">
        <v>14678</v>
      </c>
      <c r="C517" s="248"/>
      <c r="D517" s="247" t="s">
        <v>11</v>
      </c>
      <c r="E517" s="249">
        <f t="shared" si="283"/>
        <v>318.74850000000004</v>
      </c>
      <c r="F517" s="170">
        <f t="shared" si="283"/>
        <v>325.53784305000005</v>
      </c>
      <c r="G517" s="250">
        <v>0.45</v>
      </c>
      <c r="H517" s="171">
        <f t="shared" si="284"/>
        <v>0.45</v>
      </c>
      <c r="I517" s="249">
        <f t="shared" si="285"/>
        <v>212.499</v>
      </c>
      <c r="J517" s="170">
        <f t="shared" si="285"/>
        <v>217.02522870000001</v>
      </c>
      <c r="K517" s="250">
        <v>0.3</v>
      </c>
      <c r="L517" s="172">
        <f t="shared" si="286"/>
        <v>0.3</v>
      </c>
      <c r="M517" s="249">
        <f t="shared" si="287"/>
        <v>141.66600000000003</v>
      </c>
      <c r="N517" s="170">
        <f t="shared" si="288"/>
        <v>144.68348580000003</v>
      </c>
      <c r="O517" s="250">
        <v>0.2</v>
      </c>
      <c r="P517" s="172">
        <f t="shared" si="289"/>
        <v>0.2</v>
      </c>
      <c r="Q517" s="251">
        <f t="shared" si="290"/>
        <v>35.416500000000006</v>
      </c>
      <c r="R517" s="173">
        <f t="shared" si="291"/>
        <v>36.170871450000007</v>
      </c>
      <c r="S517" s="250">
        <v>0.05</v>
      </c>
      <c r="T517" s="171">
        <f t="shared" si="292"/>
        <v>0.05</v>
      </c>
      <c r="U517" s="256">
        <v>708.33</v>
      </c>
      <c r="V517" s="170">
        <f t="shared" si="298"/>
        <v>723.41742900000008</v>
      </c>
      <c r="W517" s="258">
        <v>0.2</v>
      </c>
      <c r="X517" s="257">
        <f t="shared" si="293"/>
        <v>849.99600000000009</v>
      </c>
      <c r="Y517" s="170">
        <f t="shared" si="294"/>
        <v>868.10091480000006</v>
      </c>
      <c r="Z517" s="170">
        <f t="shared" si="297"/>
        <v>870</v>
      </c>
      <c r="AA517" s="407">
        <f t="shared" si="296"/>
        <v>0</v>
      </c>
      <c r="AB517" s="194"/>
    </row>
    <row r="518" spans="1:28" s="278" customFormat="1" x14ac:dyDescent="0.25">
      <c r="A518" s="200">
        <v>705600</v>
      </c>
      <c r="B518" s="313" t="s">
        <v>19262</v>
      </c>
      <c r="C518" s="248"/>
      <c r="D518" s="247" t="s">
        <v>11</v>
      </c>
      <c r="E518" s="249">
        <f t="shared" si="283"/>
        <v>900</v>
      </c>
      <c r="F518" s="170">
        <f t="shared" si="283"/>
        <v>919.17000000000007</v>
      </c>
      <c r="G518" s="250">
        <v>0.45</v>
      </c>
      <c r="H518" s="171">
        <f t="shared" si="284"/>
        <v>0.45</v>
      </c>
      <c r="I518" s="249">
        <f t="shared" si="285"/>
        <v>600</v>
      </c>
      <c r="J518" s="170">
        <f t="shared" si="285"/>
        <v>612.78</v>
      </c>
      <c r="K518" s="250">
        <v>0.3</v>
      </c>
      <c r="L518" s="172">
        <f t="shared" si="286"/>
        <v>0.3</v>
      </c>
      <c r="M518" s="249">
        <f t="shared" si="287"/>
        <v>400</v>
      </c>
      <c r="N518" s="170">
        <f t="shared" si="288"/>
        <v>408.52000000000004</v>
      </c>
      <c r="O518" s="250">
        <v>0.2</v>
      </c>
      <c r="P518" s="172">
        <f t="shared" si="289"/>
        <v>0.2</v>
      </c>
      <c r="Q518" s="251">
        <f t="shared" si="290"/>
        <v>100</v>
      </c>
      <c r="R518" s="173">
        <f t="shared" si="291"/>
        <v>102.13000000000001</v>
      </c>
      <c r="S518" s="250">
        <v>0.05</v>
      </c>
      <c r="T518" s="171">
        <f t="shared" si="292"/>
        <v>0.05</v>
      </c>
      <c r="U518" s="256">
        <v>2000</v>
      </c>
      <c r="V518" s="170">
        <f t="shared" si="298"/>
        <v>2042.6000000000001</v>
      </c>
      <c r="W518" s="258">
        <v>0.2</v>
      </c>
      <c r="X518" s="257">
        <f t="shared" si="293"/>
        <v>2400</v>
      </c>
      <c r="Y518" s="170">
        <f t="shared" si="294"/>
        <v>2451.12</v>
      </c>
      <c r="Z518" s="170">
        <f t="shared" si="297"/>
        <v>2475</v>
      </c>
      <c r="AA518" s="407">
        <f t="shared" si="296"/>
        <v>0</v>
      </c>
      <c r="AB518" s="194"/>
    </row>
    <row r="519" spans="1:28" s="278" customFormat="1" x14ac:dyDescent="0.25">
      <c r="A519" s="200">
        <v>705600</v>
      </c>
      <c r="B519" s="313" t="s">
        <v>14679</v>
      </c>
      <c r="C519" s="248"/>
      <c r="D519" s="247" t="s">
        <v>11</v>
      </c>
      <c r="E519" s="249">
        <f t="shared" si="283"/>
        <v>787.5</v>
      </c>
      <c r="F519" s="170">
        <f t="shared" si="283"/>
        <v>804.27374999999995</v>
      </c>
      <c r="G519" s="250">
        <v>0.45</v>
      </c>
      <c r="H519" s="171">
        <f t="shared" si="284"/>
        <v>0.45</v>
      </c>
      <c r="I519" s="249">
        <f t="shared" si="285"/>
        <v>525</v>
      </c>
      <c r="J519" s="170">
        <f t="shared" si="285"/>
        <v>536.18249999999989</v>
      </c>
      <c r="K519" s="250">
        <v>0.3</v>
      </c>
      <c r="L519" s="172">
        <f t="shared" si="286"/>
        <v>0.3</v>
      </c>
      <c r="M519" s="249">
        <f t="shared" si="287"/>
        <v>350</v>
      </c>
      <c r="N519" s="170">
        <f t="shared" si="288"/>
        <v>357.45499999999998</v>
      </c>
      <c r="O519" s="250">
        <v>0.2</v>
      </c>
      <c r="P519" s="172">
        <f t="shared" si="289"/>
        <v>0.2</v>
      </c>
      <c r="Q519" s="251">
        <f t="shared" si="290"/>
        <v>87.5</v>
      </c>
      <c r="R519" s="173">
        <f t="shared" si="291"/>
        <v>89.363749999999996</v>
      </c>
      <c r="S519" s="250">
        <v>0.05</v>
      </c>
      <c r="T519" s="171">
        <f t="shared" si="292"/>
        <v>0.05</v>
      </c>
      <c r="U519" s="256">
        <v>1750</v>
      </c>
      <c r="V519" s="170">
        <f t="shared" si="298"/>
        <v>1787.2749999999999</v>
      </c>
      <c r="W519" s="258">
        <v>0.2</v>
      </c>
      <c r="X519" s="257">
        <f t="shared" si="293"/>
        <v>2100</v>
      </c>
      <c r="Y519" s="170">
        <f t="shared" si="294"/>
        <v>2144.7299999999996</v>
      </c>
      <c r="Z519" s="170">
        <f t="shared" si="297"/>
        <v>2150</v>
      </c>
      <c r="AA519" s="407">
        <f t="shared" si="296"/>
        <v>0</v>
      </c>
      <c r="AB519" s="194"/>
    </row>
    <row r="520" spans="1:28" s="278" customFormat="1" x14ac:dyDescent="0.25">
      <c r="A520" s="195" t="s">
        <v>14680</v>
      </c>
      <c r="B520" s="317" t="s">
        <v>14681</v>
      </c>
      <c r="C520" s="241"/>
      <c r="D520" s="242"/>
      <c r="E520" s="243"/>
      <c r="F520" s="244"/>
      <c r="G520" s="245"/>
      <c r="H520" s="246"/>
      <c r="I520" s="243"/>
      <c r="J520" s="244"/>
      <c r="K520" s="245"/>
      <c r="L520" s="246"/>
      <c r="M520" s="243"/>
      <c r="N520" s="244"/>
      <c r="O520" s="245"/>
      <c r="P520" s="246"/>
      <c r="Q520" s="243"/>
      <c r="R520" s="244"/>
      <c r="S520" s="245"/>
      <c r="T520" s="246"/>
      <c r="U520" s="246"/>
      <c r="V520" s="246"/>
      <c r="W520" s="246"/>
      <c r="X520" s="246"/>
      <c r="Y520" s="244"/>
      <c r="Z520" s="244"/>
      <c r="AA520" s="406"/>
      <c r="AB520" s="194"/>
    </row>
    <row r="521" spans="1:28" s="278" customFormat="1" x14ac:dyDescent="0.25">
      <c r="A521" s="200">
        <v>708006</v>
      </c>
      <c r="B521" s="313" t="s">
        <v>19263</v>
      </c>
      <c r="C521" s="248"/>
      <c r="D521" s="247" t="s">
        <v>2</v>
      </c>
      <c r="E521" s="249">
        <f t="shared" ref="E521:F543" si="299">U521*G521</f>
        <v>18.958344999999998</v>
      </c>
      <c r="F521" s="170">
        <f t="shared" si="299"/>
        <v>19.350782741499998</v>
      </c>
      <c r="G521" s="250">
        <v>0.35</v>
      </c>
      <c r="H521" s="171">
        <f t="shared" ref="H521:H543" si="300">G521</f>
        <v>0.35</v>
      </c>
      <c r="I521" s="249">
        <f t="shared" ref="I521:J543" si="301">U521*K521</f>
        <v>21.666679999999999</v>
      </c>
      <c r="J521" s="170">
        <f t="shared" si="301"/>
        <v>22.115180276000004</v>
      </c>
      <c r="K521" s="250">
        <v>0.4</v>
      </c>
      <c r="L521" s="172">
        <f t="shared" ref="L521:L543" si="302">K521</f>
        <v>0.4</v>
      </c>
      <c r="M521" s="249">
        <f t="shared" ref="M521:M543" si="303">U521*O521</f>
        <v>10.83334</v>
      </c>
      <c r="N521" s="170">
        <f t="shared" ref="N521:N543" si="304">P521*V521</f>
        <v>11.057590138000002</v>
      </c>
      <c r="O521" s="250">
        <v>0.2</v>
      </c>
      <c r="P521" s="172">
        <f t="shared" ref="P521:P543" si="305">O521</f>
        <v>0.2</v>
      </c>
      <c r="Q521" s="251">
        <f t="shared" ref="Q521:Q543" si="306">U521*S521</f>
        <v>2.7083349999999999</v>
      </c>
      <c r="R521" s="173">
        <f t="shared" ref="R521:R543" si="307">T521*V521</f>
        <v>2.7643975345000005</v>
      </c>
      <c r="S521" s="250">
        <v>0.05</v>
      </c>
      <c r="T521" s="171">
        <f t="shared" ref="T521:T543" si="308">S521</f>
        <v>0.05</v>
      </c>
      <c r="U521" s="256">
        <v>54.166699999999999</v>
      </c>
      <c r="V521" s="170">
        <f t="shared" ref="V521:V543" si="309">SUM(E521*1.0235,I521*1.0175,M521*1.0245,Q521*1.0115)</f>
        <v>55.287950690000002</v>
      </c>
      <c r="W521" s="258">
        <v>0.2</v>
      </c>
      <c r="X521" s="257">
        <f t="shared" ref="X521:X543" si="310">U521+U521*W521</f>
        <v>65.000039999999998</v>
      </c>
      <c r="Y521" s="170">
        <f t="shared" ref="Y521:Y543" si="311">IF(V521*(W521+1)=0,X521,V521*(W521+1))</f>
        <v>66.345540827999997</v>
      </c>
      <c r="Z521" s="170">
        <f t="shared" ref="Z521:Z543" si="312">IF(Y521=0, 0, IF(Y521&lt;10, _xlfn.CEILING.MATH(Y521,1), IF(Y521&lt;100, _xlfn.CEILING.MATH(Y521,1),IF(Y521&lt;1000, _xlfn.CEILING.MATH(Y521,5), IF(Y521&lt;10000, _xlfn.CEILING.MATH(Y521, 25), IF(Y521&lt;100000, _xlfn.CEILING.MATH(Y521,250), IF(Y521&lt;1000000, _xlfn.CEILING.MATH(Y521,500), 0)))))))</f>
        <v>67</v>
      </c>
      <c r="AA521" s="407">
        <f t="shared" ref="AA521:AA543" si="313">C521*Z521</f>
        <v>0</v>
      </c>
      <c r="AB521" s="194"/>
    </row>
    <row r="522" spans="1:28" s="278" customFormat="1" x14ac:dyDescent="0.25">
      <c r="A522" s="200">
        <v>708006</v>
      </c>
      <c r="B522" s="313" t="s">
        <v>19264</v>
      </c>
      <c r="C522" s="248"/>
      <c r="D522" s="247" t="s">
        <v>2</v>
      </c>
      <c r="E522" s="249">
        <f t="shared" si="299"/>
        <v>13.125</v>
      </c>
      <c r="F522" s="170">
        <f t="shared" si="299"/>
        <v>13.396687500000001</v>
      </c>
      <c r="G522" s="250">
        <v>0.35</v>
      </c>
      <c r="H522" s="171">
        <f t="shared" si="300"/>
        <v>0.35</v>
      </c>
      <c r="I522" s="249">
        <f t="shared" si="301"/>
        <v>15</v>
      </c>
      <c r="J522" s="170">
        <f t="shared" si="301"/>
        <v>15.310500000000003</v>
      </c>
      <c r="K522" s="250">
        <v>0.4</v>
      </c>
      <c r="L522" s="172">
        <f t="shared" si="302"/>
        <v>0.4</v>
      </c>
      <c r="M522" s="249">
        <f t="shared" si="303"/>
        <v>7.5</v>
      </c>
      <c r="N522" s="170">
        <f t="shared" si="304"/>
        <v>7.6552500000000014</v>
      </c>
      <c r="O522" s="250">
        <v>0.2</v>
      </c>
      <c r="P522" s="172">
        <f t="shared" si="305"/>
        <v>0.2</v>
      </c>
      <c r="Q522" s="251">
        <f t="shared" si="306"/>
        <v>1.875</v>
      </c>
      <c r="R522" s="173">
        <f t="shared" si="307"/>
        <v>1.9138125000000004</v>
      </c>
      <c r="S522" s="250">
        <v>0.05</v>
      </c>
      <c r="T522" s="171">
        <f t="shared" si="308"/>
        <v>0.05</v>
      </c>
      <c r="U522" s="256">
        <v>37.5</v>
      </c>
      <c r="V522" s="170">
        <f t="shared" si="309"/>
        <v>38.276250000000005</v>
      </c>
      <c r="W522" s="258">
        <v>0.2</v>
      </c>
      <c r="X522" s="257">
        <f t="shared" si="310"/>
        <v>45</v>
      </c>
      <c r="Y522" s="170">
        <f t="shared" si="311"/>
        <v>45.931500000000007</v>
      </c>
      <c r="Z522" s="170">
        <f t="shared" si="312"/>
        <v>46</v>
      </c>
      <c r="AA522" s="407">
        <f t="shared" si="313"/>
        <v>0</v>
      </c>
      <c r="AB522" s="194"/>
    </row>
    <row r="523" spans="1:28" s="278" customFormat="1" x14ac:dyDescent="0.25">
      <c r="A523" s="200">
        <v>708008</v>
      </c>
      <c r="B523" s="313" t="s">
        <v>19265</v>
      </c>
      <c r="C523" s="248"/>
      <c r="D523" s="247" t="s">
        <v>2</v>
      </c>
      <c r="E523" s="249">
        <f t="shared" si="299"/>
        <v>21.875</v>
      </c>
      <c r="F523" s="170">
        <f t="shared" si="299"/>
        <v>22.3278125</v>
      </c>
      <c r="G523" s="250">
        <v>0.35</v>
      </c>
      <c r="H523" s="171">
        <f t="shared" si="300"/>
        <v>0.35</v>
      </c>
      <c r="I523" s="249">
        <f t="shared" si="301"/>
        <v>25</v>
      </c>
      <c r="J523" s="170">
        <f t="shared" si="301"/>
        <v>25.517500000000002</v>
      </c>
      <c r="K523" s="250">
        <v>0.4</v>
      </c>
      <c r="L523" s="172">
        <f t="shared" si="302"/>
        <v>0.4</v>
      </c>
      <c r="M523" s="249">
        <f t="shared" si="303"/>
        <v>12.5</v>
      </c>
      <c r="N523" s="170">
        <f t="shared" si="304"/>
        <v>12.758750000000001</v>
      </c>
      <c r="O523" s="250">
        <v>0.2</v>
      </c>
      <c r="P523" s="172">
        <f t="shared" si="305"/>
        <v>0.2</v>
      </c>
      <c r="Q523" s="251">
        <f t="shared" si="306"/>
        <v>3.125</v>
      </c>
      <c r="R523" s="173">
        <f t="shared" si="307"/>
        <v>3.1896875000000002</v>
      </c>
      <c r="S523" s="250">
        <v>0.05</v>
      </c>
      <c r="T523" s="171">
        <f t="shared" si="308"/>
        <v>0.05</v>
      </c>
      <c r="U523" s="256">
        <v>62.5</v>
      </c>
      <c r="V523" s="170">
        <f t="shared" si="309"/>
        <v>63.793750000000003</v>
      </c>
      <c r="W523" s="258">
        <v>0.2</v>
      </c>
      <c r="X523" s="257">
        <f t="shared" si="310"/>
        <v>75</v>
      </c>
      <c r="Y523" s="170">
        <f t="shared" si="311"/>
        <v>76.552499999999995</v>
      </c>
      <c r="Z523" s="170">
        <f t="shared" si="312"/>
        <v>77</v>
      </c>
      <c r="AA523" s="407">
        <f t="shared" si="313"/>
        <v>0</v>
      </c>
      <c r="AB523" s="194"/>
    </row>
    <row r="524" spans="1:28" s="278" customFormat="1" x14ac:dyDescent="0.25">
      <c r="A524" s="200">
        <v>708008</v>
      </c>
      <c r="B524" s="313" t="s">
        <v>19266</v>
      </c>
      <c r="C524" s="248"/>
      <c r="D524" s="247" t="s">
        <v>2</v>
      </c>
      <c r="E524" s="249">
        <f t="shared" si="299"/>
        <v>16.040499999999998</v>
      </c>
      <c r="F524" s="170">
        <f t="shared" si="299"/>
        <v>16.372538350000003</v>
      </c>
      <c r="G524" s="250">
        <v>0.35</v>
      </c>
      <c r="H524" s="171">
        <f t="shared" si="300"/>
        <v>0.35</v>
      </c>
      <c r="I524" s="249">
        <f t="shared" si="301"/>
        <v>18.332000000000001</v>
      </c>
      <c r="J524" s="170">
        <f t="shared" si="301"/>
        <v>18.711472400000002</v>
      </c>
      <c r="K524" s="250">
        <v>0.4</v>
      </c>
      <c r="L524" s="172">
        <f t="shared" si="302"/>
        <v>0.4</v>
      </c>
      <c r="M524" s="249">
        <f t="shared" si="303"/>
        <v>9.1660000000000004</v>
      </c>
      <c r="N524" s="170">
        <f t="shared" si="304"/>
        <v>9.3557362000000008</v>
      </c>
      <c r="O524" s="250">
        <v>0.2</v>
      </c>
      <c r="P524" s="172">
        <f t="shared" si="305"/>
        <v>0.2</v>
      </c>
      <c r="Q524" s="251">
        <f t="shared" si="306"/>
        <v>2.2915000000000001</v>
      </c>
      <c r="R524" s="173">
        <f t="shared" si="307"/>
        <v>2.3389340500000002</v>
      </c>
      <c r="S524" s="250">
        <v>0.05</v>
      </c>
      <c r="T524" s="171">
        <f t="shared" si="308"/>
        <v>0.05</v>
      </c>
      <c r="U524" s="256">
        <v>45.83</v>
      </c>
      <c r="V524" s="170">
        <f t="shared" si="309"/>
        <v>46.778681000000006</v>
      </c>
      <c r="W524" s="258">
        <v>0.2</v>
      </c>
      <c r="X524" s="257">
        <f t="shared" si="310"/>
        <v>54.995999999999995</v>
      </c>
      <c r="Y524" s="170">
        <f t="shared" si="311"/>
        <v>56.134417200000009</v>
      </c>
      <c r="Z524" s="170">
        <f t="shared" si="312"/>
        <v>57</v>
      </c>
      <c r="AA524" s="407">
        <f t="shared" si="313"/>
        <v>0</v>
      </c>
      <c r="AB524" s="194"/>
    </row>
    <row r="525" spans="1:28" s="278" customFormat="1" x14ac:dyDescent="0.25">
      <c r="A525" s="200">
        <v>708056</v>
      </c>
      <c r="B525" s="313" t="s">
        <v>19267</v>
      </c>
      <c r="C525" s="248"/>
      <c r="D525" s="247" t="s">
        <v>2</v>
      </c>
      <c r="E525" s="249">
        <f t="shared" si="299"/>
        <v>27.708345000000001</v>
      </c>
      <c r="F525" s="170">
        <f t="shared" si="299"/>
        <v>28.27220982075</v>
      </c>
      <c r="G525" s="250">
        <v>0.35</v>
      </c>
      <c r="H525" s="171">
        <f t="shared" si="300"/>
        <v>0.35</v>
      </c>
      <c r="I525" s="249">
        <f t="shared" si="301"/>
        <v>35.625015000000005</v>
      </c>
      <c r="J525" s="170">
        <f t="shared" si="301"/>
        <v>36.349984055250005</v>
      </c>
      <c r="K525" s="250">
        <v>0.45</v>
      </c>
      <c r="L525" s="172">
        <f t="shared" si="302"/>
        <v>0.45</v>
      </c>
      <c r="M525" s="249">
        <f t="shared" si="303"/>
        <v>11.875005</v>
      </c>
      <c r="N525" s="170">
        <f t="shared" si="304"/>
        <v>12.11666135175</v>
      </c>
      <c r="O525" s="250">
        <v>0.15</v>
      </c>
      <c r="P525" s="172">
        <f t="shared" si="305"/>
        <v>0.15</v>
      </c>
      <c r="Q525" s="251">
        <f t="shared" si="306"/>
        <v>3.9583350000000004</v>
      </c>
      <c r="R525" s="173">
        <f t="shared" si="307"/>
        <v>4.0388871172500007</v>
      </c>
      <c r="S525" s="250">
        <v>0.05</v>
      </c>
      <c r="T525" s="171">
        <f t="shared" si="308"/>
        <v>0.05</v>
      </c>
      <c r="U525" s="256">
        <v>79.166700000000006</v>
      </c>
      <c r="V525" s="170">
        <f t="shared" si="309"/>
        <v>80.777742345000007</v>
      </c>
      <c r="W525" s="258">
        <v>0.2</v>
      </c>
      <c r="X525" s="257">
        <f t="shared" si="310"/>
        <v>95.000040000000013</v>
      </c>
      <c r="Y525" s="170">
        <f t="shared" si="311"/>
        <v>96.933290814000003</v>
      </c>
      <c r="Z525" s="170">
        <f t="shared" si="312"/>
        <v>97</v>
      </c>
      <c r="AA525" s="407">
        <f t="shared" si="313"/>
        <v>0</v>
      </c>
      <c r="AB525" s="194"/>
    </row>
    <row r="526" spans="1:28" s="278" customFormat="1" x14ac:dyDescent="0.25">
      <c r="A526" s="200">
        <v>708056</v>
      </c>
      <c r="B526" s="313" t="s">
        <v>19268</v>
      </c>
      <c r="C526" s="248"/>
      <c r="D526" s="247" t="s">
        <v>2</v>
      </c>
      <c r="E526" s="249">
        <f t="shared" si="299"/>
        <v>24.791654999999995</v>
      </c>
      <c r="F526" s="170">
        <f t="shared" si="299"/>
        <v>25.29616517925</v>
      </c>
      <c r="G526" s="250">
        <v>0.35</v>
      </c>
      <c r="H526" s="171">
        <f t="shared" si="300"/>
        <v>0.35</v>
      </c>
      <c r="I526" s="249">
        <f t="shared" si="301"/>
        <v>31.874984999999999</v>
      </c>
      <c r="J526" s="170">
        <f t="shared" si="301"/>
        <v>32.523640944749999</v>
      </c>
      <c r="K526" s="250">
        <v>0.45</v>
      </c>
      <c r="L526" s="172">
        <f t="shared" si="302"/>
        <v>0.45</v>
      </c>
      <c r="M526" s="249">
        <f t="shared" si="303"/>
        <v>10.624994999999998</v>
      </c>
      <c r="N526" s="170">
        <f t="shared" si="304"/>
        <v>10.841213648249999</v>
      </c>
      <c r="O526" s="250">
        <v>0.15</v>
      </c>
      <c r="P526" s="172">
        <f t="shared" si="305"/>
        <v>0.15</v>
      </c>
      <c r="Q526" s="251">
        <f t="shared" si="306"/>
        <v>3.5416650000000001</v>
      </c>
      <c r="R526" s="173">
        <f t="shared" si="307"/>
        <v>3.6137378827500002</v>
      </c>
      <c r="S526" s="250">
        <v>0.05</v>
      </c>
      <c r="T526" s="171">
        <f t="shared" si="308"/>
        <v>0.05</v>
      </c>
      <c r="U526" s="256">
        <v>70.833299999999994</v>
      </c>
      <c r="V526" s="170">
        <f t="shared" si="309"/>
        <v>72.274757655000002</v>
      </c>
      <c r="W526" s="258">
        <v>0.2</v>
      </c>
      <c r="X526" s="257">
        <f t="shared" si="310"/>
        <v>84.999959999999987</v>
      </c>
      <c r="Y526" s="170">
        <f t="shared" si="311"/>
        <v>86.729709185999994</v>
      </c>
      <c r="Z526" s="170">
        <f t="shared" si="312"/>
        <v>87</v>
      </c>
      <c r="AA526" s="407">
        <f t="shared" si="313"/>
        <v>0</v>
      </c>
      <c r="AB526" s="194"/>
    </row>
    <row r="527" spans="1:28" s="278" customFormat="1" x14ac:dyDescent="0.25">
      <c r="A527" s="200">
        <v>708058</v>
      </c>
      <c r="B527" s="313" t="s">
        <v>19269</v>
      </c>
      <c r="C527" s="248"/>
      <c r="D527" s="247" t="s">
        <v>2</v>
      </c>
      <c r="E527" s="249">
        <f t="shared" si="299"/>
        <v>35</v>
      </c>
      <c r="F527" s="170">
        <f t="shared" si="299"/>
        <v>35.712250000000004</v>
      </c>
      <c r="G527" s="250">
        <v>0.35</v>
      </c>
      <c r="H527" s="171">
        <f t="shared" si="300"/>
        <v>0.35</v>
      </c>
      <c r="I527" s="249">
        <f t="shared" si="301"/>
        <v>45</v>
      </c>
      <c r="J527" s="170">
        <f t="shared" si="301"/>
        <v>45.91575000000001</v>
      </c>
      <c r="K527" s="250">
        <v>0.45</v>
      </c>
      <c r="L527" s="172">
        <f t="shared" si="302"/>
        <v>0.45</v>
      </c>
      <c r="M527" s="249">
        <f t="shared" si="303"/>
        <v>15</v>
      </c>
      <c r="N527" s="170">
        <f t="shared" si="304"/>
        <v>15.305250000000003</v>
      </c>
      <c r="O527" s="250">
        <v>0.15</v>
      </c>
      <c r="P527" s="172">
        <f t="shared" si="305"/>
        <v>0.15</v>
      </c>
      <c r="Q527" s="251">
        <f t="shared" si="306"/>
        <v>5</v>
      </c>
      <c r="R527" s="173">
        <f t="shared" si="307"/>
        <v>5.1017500000000018</v>
      </c>
      <c r="S527" s="250">
        <v>0.05</v>
      </c>
      <c r="T527" s="171">
        <f t="shared" si="308"/>
        <v>0.05</v>
      </c>
      <c r="U527" s="256">
        <v>100</v>
      </c>
      <c r="V527" s="170">
        <f t="shared" si="309"/>
        <v>102.03500000000003</v>
      </c>
      <c r="W527" s="258">
        <v>0.2</v>
      </c>
      <c r="X527" s="257">
        <f t="shared" si="310"/>
        <v>120</v>
      </c>
      <c r="Y527" s="170">
        <f t="shared" si="311"/>
        <v>122.44200000000002</v>
      </c>
      <c r="Z527" s="170">
        <f t="shared" si="312"/>
        <v>125</v>
      </c>
      <c r="AA527" s="407">
        <f t="shared" si="313"/>
        <v>0</v>
      </c>
      <c r="AB527" s="194"/>
    </row>
    <row r="528" spans="1:28" s="278" customFormat="1" x14ac:dyDescent="0.25">
      <c r="A528" s="200">
        <v>708058</v>
      </c>
      <c r="B528" s="313" t="s">
        <v>19270</v>
      </c>
      <c r="C528" s="248"/>
      <c r="D528" s="247" t="s">
        <v>2</v>
      </c>
      <c r="E528" s="249">
        <f t="shared" si="299"/>
        <v>29.166549999999997</v>
      </c>
      <c r="F528" s="170">
        <f t="shared" si="299"/>
        <v>29.760089292499998</v>
      </c>
      <c r="G528" s="250">
        <v>0.35</v>
      </c>
      <c r="H528" s="171">
        <f t="shared" si="300"/>
        <v>0.35</v>
      </c>
      <c r="I528" s="249">
        <f t="shared" si="301"/>
        <v>37.499850000000002</v>
      </c>
      <c r="J528" s="170">
        <f t="shared" si="301"/>
        <v>38.262971947500006</v>
      </c>
      <c r="K528" s="250">
        <v>0.45</v>
      </c>
      <c r="L528" s="172">
        <f t="shared" si="302"/>
        <v>0.45</v>
      </c>
      <c r="M528" s="249">
        <f t="shared" si="303"/>
        <v>12.49995</v>
      </c>
      <c r="N528" s="170">
        <f t="shared" si="304"/>
        <v>12.754323982500001</v>
      </c>
      <c r="O528" s="250">
        <v>0.15</v>
      </c>
      <c r="P528" s="172">
        <f t="shared" si="305"/>
        <v>0.15</v>
      </c>
      <c r="Q528" s="251">
        <f t="shared" si="306"/>
        <v>4.1666499999999997</v>
      </c>
      <c r="R528" s="173">
        <f t="shared" si="307"/>
        <v>4.2514413275000003</v>
      </c>
      <c r="S528" s="250">
        <v>0.05</v>
      </c>
      <c r="T528" s="171">
        <f t="shared" si="308"/>
        <v>0.05</v>
      </c>
      <c r="U528" s="256">
        <v>83.332999999999998</v>
      </c>
      <c r="V528" s="170">
        <f t="shared" si="309"/>
        <v>85.028826550000005</v>
      </c>
      <c r="W528" s="258">
        <v>0.2</v>
      </c>
      <c r="X528" s="257">
        <f t="shared" si="310"/>
        <v>99.999600000000001</v>
      </c>
      <c r="Y528" s="170">
        <f t="shared" si="311"/>
        <v>102.03459186000001</v>
      </c>
      <c r="Z528" s="170">
        <f t="shared" si="312"/>
        <v>105</v>
      </c>
      <c r="AA528" s="407">
        <f t="shared" si="313"/>
        <v>0</v>
      </c>
      <c r="AB528" s="194"/>
    </row>
    <row r="529" spans="1:28" s="278" customFormat="1" x14ac:dyDescent="0.25">
      <c r="A529" s="200">
        <v>708062</v>
      </c>
      <c r="B529" s="313" t="s">
        <v>19271</v>
      </c>
      <c r="C529" s="248"/>
      <c r="D529" s="247" t="s">
        <v>2</v>
      </c>
      <c r="E529" s="249">
        <f t="shared" si="299"/>
        <v>39.375</v>
      </c>
      <c r="F529" s="170">
        <f t="shared" si="299"/>
        <v>40.176281250000002</v>
      </c>
      <c r="G529" s="250">
        <v>0.35</v>
      </c>
      <c r="H529" s="171">
        <f t="shared" si="300"/>
        <v>0.35</v>
      </c>
      <c r="I529" s="249">
        <f t="shared" si="301"/>
        <v>50.625</v>
      </c>
      <c r="J529" s="170">
        <f t="shared" si="301"/>
        <v>51.655218750000003</v>
      </c>
      <c r="K529" s="250">
        <v>0.45</v>
      </c>
      <c r="L529" s="172">
        <f t="shared" si="302"/>
        <v>0.45</v>
      </c>
      <c r="M529" s="249">
        <f t="shared" si="303"/>
        <v>16.875</v>
      </c>
      <c r="N529" s="170">
        <f t="shared" si="304"/>
        <v>17.218406250000001</v>
      </c>
      <c r="O529" s="250">
        <v>0.15</v>
      </c>
      <c r="P529" s="172">
        <f t="shared" si="305"/>
        <v>0.15</v>
      </c>
      <c r="Q529" s="251">
        <f t="shared" si="306"/>
        <v>5.625</v>
      </c>
      <c r="R529" s="173">
        <f t="shared" si="307"/>
        <v>5.7394687500000003</v>
      </c>
      <c r="S529" s="250">
        <v>0.05</v>
      </c>
      <c r="T529" s="171">
        <f t="shared" si="308"/>
        <v>0.05</v>
      </c>
      <c r="U529" s="256">
        <v>112.5</v>
      </c>
      <c r="V529" s="170">
        <f t="shared" si="309"/>
        <v>114.78937500000001</v>
      </c>
      <c r="W529" s="258">
        <v>0.2</v>
      </c>
      <c r="X529" s="257">
        <f t="shared" si="310"/>
        <v>135</v>
      </c>
      <c r="Y529" s="170">
        <f t="shared" si="311"/>
        <v>137.74725000000001</v>
      </c>
      <c r="Z529" s="170">
        <f t="shared" si="312"/>
        <v>140</v>
      </c>
      <c r="AA529" s="407">
        <f t="shared" si="313"/>
        <v>0</v>
      </c>
      <c r="AB529" s="194"/>
    </row>
    <row r="530" spans="1:28" s="278" customFormat="1" x14ac:dyDescent="0.25">
      <c r="A530" s="200">
        <v>708062</v>
      </c>
      <c r="B530" s="313" t="s">
        <v>19272</v>
      </c>
      <c r="C530" s="248"/>
      <c r="D530" s="247" t="s">
        <v>2</v>
      </c>
      <c r="E530" s="249">
        <f t="shared" si="299"/>
        <v>36.458345000000001</v>
      </c>
      <c r="F530" s="170">
        <f t="shared" si="299"/>
        <v>37.200272320750003</v>
      </c>
      <c r="G530" s="250">
        <v>0.35</v>
      </c>
      <c r="H530" s="171">
        <f t="shared" si="300"/>
        <v>0.35</v>
      </c>
      <c r="I530" s="249">
        <f t="shared" si="301"/>
        <v>46.875015000000005</v>
      </c>
      <c r="J530" s="170">
        <f t="shared" si="301"/>
        <v>47.828921555250005</v>
      </c>
      <c r="K530" s="250">
        <v>0.45</v>
      </c>
      <c r="L530" s="172">
        <f t="shared" si="302"/>
        <v>0.45</v>
      </c>
      <c r="M530" s="249">
        <f t="shared" si="303"/>
        <v>15.625005</v>
      </c>
      <c r="N530" s="170">
        <f t="shared" si="304"/>
        <v>15.942973851750001</v>
      </c>
      <c r="O530" s="250">
        <v>0.15</v>
      </c>
      <c r="P530" s="172">
        <f t="shared" si="305"/>
        <v>0.15</v>
      </c>
      <c r="Q530" s="251">
        <f t="shared" si="306"/>
        <v>5.2083350000000008</v>
      </c>
      <c r="R530" s="173">
        <f t="shared" si="307"/>
        <v>5.3143246172500014</v>
      </c>
      <c r="S530" s="250">
        <v>0.05</v>
      </c>
      <c r="T530" s="171">
        <f t="shared" si="308"/>
        <v>0.05</v>
      </c>
      <c r="U530" s="256">
        <v>104.16670000000001</v>
      </c>
      <c r="V530" s="170">
        <f t="shared" si="309"/>
        <v>106.28649234500001</v>
      </c>
      <c r="W530" s="258">
        <v>0.2</v>
      </c>
      <c r="X530" s="257">
        <f t="shared" si="310"/>
        <v>125.00004000000001</v>
      </c>
      <c r="Y530" s="170">
        <f t="shared" si="311"/>
        <v>127.543790814</v>
      </c>
      <c r="Z530" s="170">
        <f t="shared" si="312"/>
        <v>130</v>
      </c>
      <c r="AA530" s="407">
        <f t="shared" si="313"/>
        <v>0</v>
      </c>
      <c r="AB530" s="194"/>
    </row>
    <row r="531" spans="1:28" s="278" customFormat="1" x14ac:dyDescent="0.25">
      <c r="A531" s="200">
        <v>708106</v>
      </c>
      <c r="B531" s="313" t="s">
        <v>19273</v>
      </c>
      <c r="C531" s="248"/>
      <c r="D531" s="247" t="s">
        <v>2</v>
      </c>
      <c r="E531" s="249">
        <f t="shared" si="299"/>
        <v>20.624849999999999</v>
      </c>
      <c r="F531" s="170">
        <f t="shared" si="299"/>
        <v>21.056940607500003</v>
      </c>
      <c r="G531" s="250">
        <v>0.45</v>
      </c>
      <c r="H531" s="171">
        <f t="shared" si="300"/>
        <v>0.45</v>
      </c>
      <c r="I531" s="249">
        <f t="shared" si="301"/>
        <v>16.041549999999997</v>
      </c>
      <c r="J531" s="170">
        <f t="shared" si="301"/>
        <v>16.377620472500002</v>
      </c>
      <c r="K531" s="250">
        <v>0.35</v>
      </c>
      <c r="L531" s="172">
        <f t="shared" si="302"/>
        <v>0.35</v>
      </c>
      <c r="M531" s="249">
        <f t="shared" si="303"/>
        <v>6.8749499999999992</v>
      </c>
      <c r="N531" s="170">
        <f t="shared" si="304"/>
        <v>7.0189802025000008</v>
      </c>
      <c r="O531" s="250">
        <v>0.15</v>
      </c>
      <c r="P531" s="172">
        <f t="shared" si="305"/>
        <v>0.15</v>
      </c>
      <c r="Q531" s="251">
        <f t="shared" si="306"/>
        <v>2.2916500000000002</v>
      </c>
      <c r="R531" s="173">
        <f t="shared" si="307"/>
        <v>2.3396600675000001</v>
      </c>
      <c r="S531" s="250">
        <v>0.05</v>
      </c>
      <c r="T531" s="171">
        <f t="shared" si="308"/>
        <v>0.05</v>
      </c>
      <c r="U531" s="256">
        <v>45.832999999999998</v>
      </c>
      <c r="V531" s="170">
        <f t="shared" si="309"/>
        <v>46.793201350000004</v>
      </c>
      <c r="W531" s="258">
        <v>0.2</v>
      </c>
      <c r="X531" s="257">
        <f t="shared" si="310"/>
        <v>54.999600000000001</v>
      </c>
      <c r="Y531" s="170">
        <f t="shared" si="311"/>
        <v>56.151841620000006</v>
      </c>
      <c r="Z531" s="170">
        <f t="shared" si="312"/>
        <v>57</v>
      </c>
      <c r="AA531" s="407">
        <f t="shared" si="313"/>
        <v>0</v>
      </c>
      <c r="AB531" s="194"/>
    </row>
    <row r="532" spans="1:28" s="278" customFormat="1" x14ac:dyDescent="0.25">
      <c r="A532" s="200">
        <v>708106</v>
      </c>
      <c r="B532" s="313" t="s">
        <v>19274</v>
      </c>
      <c r="C532" s="248"/>
      <c r="D532" s="247" t="s">
        <v>2</v>
      </c>
      <c r="E532" s="249">
        <f t="shared" si="299"/>
        <v>14.99985</v>
      </c>
      <c r="F532" s="170">
        <f t="shared" si="299"/>
        <v>15.314096857500004</v>
      </c>
      <c r="G532" s="250">
        <v>0.45</v>
      </c>
      <c r="H532" s="171">
        <f t="shared" si="300"/>
        <v>0.45</v>
      </c>
      <c r="I532" s="249">
        <f t="shared" si="301"/>
        <v>11.666549999999999</v>
      </c>
      <c r="J532" s="170">
        <f t="shared" si="301"/>
        <v>11.910964222500002</v>
      </c>
      <c r="K532" s="250">
        <v>0.35</v>
      </c>
      <c r="L532" s="172">
        <f t="shared" si="302"/>
        <v>0.35</v>
      </c>
      <c r="M532" s="249">
        <f t="shared" si="303"/>
        <v>4.9999499999999992</v>
      </c>
      <c r="N532" s="170">
        <f t="shared" si="304"/>
        <v>5.1046989525000006</v>
      </c>
      <c r="O532" s="250">
        <v>0.15</v>
      </c>
      <c r="P532" s="172">
        <f t="shared" si="305"/>
        <v>0.15</v>
      </c>
      <c r="Q532" s="251">
        <f t="shared" si="306"/>
        <v>1.66665</v>
      </c>
      <c r="R532" s="173">
        <f t="shared" si="307"/>
        <v>1.7015663175000004</v>
      </c>
      <c r="S532" s="250">
        <v>0.05</v>
      </c>
      <c r="T532" s="171">
        <f t="shared" si="308"/>
        <v>0.05</v>
      </c>
      <c r="U532" s="256">
        <v>33.332999999999998</v>
      </c>
      <c r="V532" s="170">
        <f t="shared" si="309"/>
        <v>34.031326350000008</v>
      </c>
      <c r="W532" s="258">
        <v>0.2</v>
      </c>
      <c r="X532" s="257">
        <f t="shared" si="310"/>
        <v>39.999600000000001</v>
      </c>
      <c r="Y532" s="170">
        <f t="shared" si="311"/>
        <v>40.837591620000005</v>
      </c>
      <c r="Z532" s="170">
        <f t="shared" si="312"/>
        <v>41</v>
      </c>
      <c r="AA532" s="407">
        <f t="shared" si="313"/>
        <v>0</v>
      </c>
      <c r="AB532" s="194"/>
    </row>
    <row r="533" spans="1:28" s="278" customFormat="1" x14ac:dyDescent="0.25">
      <c r="A533" s="200">
        <v>708108</v>
      </c>
      <c r="B533" s="313" t="s">
        <v>19275</v>
      </c>
      <c r="C533" s="248"/>
      <c r="D533" s="247" t="s">
        <v>2</v>
      </c>
      <c r="E533" s="249">
        <f t="shared" si="299"/>
        <v>24.375015000000001</v>
      </c>
      <c r="F533" s="170">
        <f t="shared" si="299"/>
        <v>24.885671564249996</v>
      </c>
      <c r="G533" s="250">
        <v>0.45</v>
      </c>
      <c r="H533" s="171">
        <f t="shared" si="300"/>
        <v>0.45</v>
      </c>
      <c r="I533" s="249">
        <f t="shared" si="301"/>
        <v>18.958344999999998</v>
      </c>
      <c r="J533" s="170">
        <f t="shared" si="301"/>
        <v>19.355522327749998</v>
      </c>
      <c r="K533" s="250">
        <v>0.35</v>
      </c>
      <c r="L533" s="172">
        <f t="shared" si="302"/>
        <v>0.35</v>
      </c>
      <c r="M533" s="249">
        <f t="shared" si="303"/>
        <v>8.1250049999999998</v>
      </c>
      <c r="N533" s="170">
        <f t="shared" si="304"/>
        <v>8.2952238547499988</v>
      </c>
      <c r="O533" s="250">
        <v>0.15</v>
      </c>
      <c r="P533" s="172">
        <f t="shared" si="305"/>
        <v>0.15</v>
      </c>
      <c r="Q533" s="251">
        <f t="shared" si="306"/>
        <v>2.7083349999999999</v>
      </c>
      <c r="R533" s="173">
        <f t="shared" si="307"/>
        <v>2.7650746182499999</v>
      </c>
      <c r="S533" s="250">
        <v>0.05</v>
      </c>
      <c r="T533" s="171">
        <f t="shared" si="308"/>
        <v>0.05</v>
      </c>
      <c r="U533" s="256">
        <v>54.166699999999999</v>
      </c>
      <c r="V533" s="170">
        <f t="shared" si="309"/>
        <v>55.301492364999994</v>
      </c>
      <c r="W533" s="258">
        <v>0.2</v>
      </c>
      <c r="X533" s="257">
        <f t="shared" si="310"/>
        <v>65.000039999999998</v>
      </c>
      <c r="Y533" s="170">
        <f t="shared" si="311"/>
        <v>66.36179083799999</v>
      </c>
      <c r="Z533" s="170">
        <f t="shared" si="312"/>
        <v>67</v>
      </c>
      <c r="AA533" s="407">
        <f t="shared" si="313"/>
        <v>0</v>
      </c>
      <c r="AB533" s="194"/>
    </row>
    <row r="534" spans="1:28" s="278" customFormat="1" x14ac:dyDescent="0.25">
      <c r="A534" s="200">
        <v>708108</v>
      </c>
      <c r="B534" s="313" t="s">
        <v>19276</v>
      </c>
      <c r="C534" s="248"/>
      <c r="D534" s="247" t="s">
        <v>2</v>
      </c>
      <c r="E534" s="249">
        <f t="shared" si="299"/>
        <v>18.750001500000003</v>
      </c>
      <c r="F534" s="170">
        <f t="shared" si="299"/>
        <v>19.142814031425004</v>
      </c>
      <c r="G534" s="250">
        <v>0.45</v>
      </c>
      <c r="H534" s="171">
        <f t="shared" si="300"/>
        <v>0.45</v>
      </c>
      <c r="I534" s="249">
        <f t="shared" si="301"/>
        <v>14.583334499999999</v>
      </c>
      <c r="J534" s="170">
        <f t="shared" si="301"/>
        <v>14.888855357775</v>
      </c>
      <c r="K534" s="250">
        <v>0.35</v>
      </c>
      <c r="L534" s="172">
        <f t="shared" si="302"/>
        <v>0.35</v>
      </c>
      <c r="M534" s="249">
        <f t="shared" si="303"/>
        <v>6.2500005000000005</v>
      </c>
      <c r="N534" s="170">
        <f t="shared" si="304"/>
        <v>6.3809380104750009</v>
      </c>
      <c r="O534" s="250">
        <v>0.15</v>
      </c>
      <c r="P534" s="172">
        <f t="shared" si="305"/>
        <v>0.15</v>
      </c>
      <c r="Q534" s="251">
        <f t="shared" si="306"/>
        <v>2.0833335000000002</v>
      </c>
      <c r="R534" s="173">
        <f t="shared" si="307"/>
        <v>2.1269793368250003</v>
      </c>
      <c r="S534" s="250">
        <v>0.05</v>
      </c>
      <c r="T534" s="171">
        <f t="shared" si="308"/>
        <v>0.05</v>
      </c>
      <c r="U534" s="256">
        <v>41.666670000000003</v>
      </c>
      <c r="V534" s="170">
        <f t="shared" si="309"/>
        <v>42.539586736500006</v>
      </c>
      <c r="W534" s="258">
        <v>0.2</v>
      </c>
      <c r="X534" s="257">
        <f t="shared" si="310"/>
        <v>50.000004000000004</v>
      </c>
      <c r="Y534" s="170">
        <f t="shared" si="311"/>
        <v>51.047504083800007</v>
      </c>
      <c r="Z534" s="170">
        <f t="shared" si="312"/>
        <v>52</v>
      </c>
      <c r="AA534" s="407">
        <f t="shared" si="313"/>
        <v>0</v>
      </c>
      <c r="AB534" s="194"/>
    </row>
    <row r="535" spans="1:28" s="278" customFormat="1" x14ac:dyDescent="0.25">
      <c r="A535" s="200">
        <v>708206</v>
      </c>
      <c r="B535" s="313" t="s">
        <v>14682</v>
      </c>
      <c r="C535" s="248"/>
      <c r="D535" s="247" t="s">
        <v>2</v>
      </c>
      <c r="E535" s="249">
        <f t="shared" si="299"/>
        <v>15</v>
      </c>
      <c r="F535" s="170">
        <f t="shared" si="299"/>
        <v>15.309750000000003</v>
      </c>
      <c r="G535" s="250">
        <v>0.4</v>
      </c>
      <c r="H535" s="171">
        <f t="shared" si="300"/>
        <v>0.4</v>
      </c>
      <c r="I535" s="249">
        <f t="shared" si="301"/>
        <v>15</v>
      </c>
      <c r="J535" s="170">
        <f t="shared" si="301"/>
        <v>15.309750000000003</v>
      </c>
      <c r="K535" s="250">
        <v>0.4</v>
      </c>
      <c r="L535" s="172">
        <f t="shared" si="302"/>
        <v>0.4</v>
      </c>
      <c r="M535" s="249">
        <f t="shared" si="303"/>
        <v>5.625</v>
      </c>
      <c r="N535" s="170">
        <f t="shared" si="304"/>
        <v>5.7411562500000004</v>
      </c>
      <c r="O535" s="250">
        <v>0.15</v>
      </c>
      <c r="P535" s="172">
        <f t="shared" si="305"/>
        <v>0.15</v>
      </c>
      <c r="Q535" s="251">
        <f t="shared" si="306"/>
        <v>1.875</v>
      </c>
      <c r="R535" s="173">
        <f t="shared" si="307"/>
        <v>1.9137187500000004</v>
      </c>
      <c r="S535" s="250">
        <v>0.05</v>
      </c>
      <c r="T535" s="171">
        <f t="shared" si="308"/>
        <v>0.05</v>
      </c>
      <c r="U535" s="256">
        <v>37.5</v>
      </c>
      <c r="V535" s="170">
        <f t="shared" si="309"/>
        <v>38.274375000000006</v>
      </c>
      <c r="W535" s="258">
        <v>0.2</v>
      </c>
      <c r="X535" s="257">
        <f t="shared" si="310"/>
        <v>45</v>
      </c>
      <c r="Y535" s="170">
        <f t="shared" si="311"/>
        <v>45.929250000000003</v>
      </c>
      <c r="Z535" s="170">
        <f t="shared" si="312"/>
        <v>46</v>
      </c>
      <c r="AA535" s="407">
        <f t="shared" si="313"/>
        <v>0</v>
      </c>
      <c r="AB535" s="194"/>
    </row>
    <row r="536" spans="1:28" s="278" customFormat="1" x14ac:dyDescent="0.25">
      <c r="A536" s="200">
        <v>708208</v>
      </c>
      <c r="B536" s="313" t="s">
        <v>14683</v>
      </c>
      <c r="C536" s="248"/>
      <c r="D536" s="247" t="s">
        <v>2</v>
      </c>
      <c r="E536" s="249">
        <f t="shared" si="299"/>
        <v>18.332000000000001</v>
      </c>
      <c r="F536" s="170">
        <f t="shared" si="299"/>
        <v>18.710555800000002</v>
      </c>
      <c r="G536" s="250">
        <v>0.4</v>
      </c>
      <c r="H536" s="171">
        <f t="shared" si="300"/>
        <v>0.4</v>
      </c>
      <c r="I536" s="249">
        <f t="shared" si="301"/>
        <v>18.332000000000001</v>
      </c>
      <c r="J536" s="170">
        <f t="shared" si="301"/>
        <v>18.710555800000002</v>
      </c>
      <c r="K536" s="250">
        <v>0.4</v>
      </c>
      <c r="L536" s="172">
        <f t="shared" si="302"/>
        <v>0.4</v>
      </c>
      <c r="M536" s="249">
        <f t="shared" si="303"/>
        <v>6.8744999999999994</v>
      </c>
      <c r="N536" s="170">
        <f t="shared" si="304"/>
        <v>7.0164584249999997</v>
      </c>
      <c r="O536" s="250">
        <v>0.15</v>
      </c>
      <c r="P536" s="172">
        <f t="shared" si="305"/>
        <v>0.15</v>
      </c>
      <c r="Q536" s="251">
        <f t="shared" si="306"/>
        <v>2.2915000000000001</v>
      </c>
      <c r="R536" s="173">
        <f t="shared" si="307"/>
        <v>2.3388194750000002</v>
      </c>
      <c r="S536" s="250">
        <v>0.05</v>
      </c>
      <c r="T536" s="171">
        <f t="shared" si="308"/>
        <v>0.05</v>
      </c>
      <c r="U536" s="256">
        <v>45.83</v>
      </c>
      <c r="V536" s="170">
        <f t="shared" si="309"/>
        <v>46.776389500000001</v>
      </c>
      <c r="W536" s="258">
        <v>0.2</v>
      </c>
      <c r="X536" s="257">
        <f t="shared" si="310"/>
        <v>54.995999999999995</v>
      </c>
      <c r="Y536" s="170">
        <f t="shared" si="311"/>
        <v>56.131667399999998</v>
      </c>
      <c r="Z536" s="170">
        <f t="shared" si="312"/>
        <v>57</v>
      </c>
      <c r="AA536" s="407">
        <f t="shared" si="313"/>
        <v>0</v>
      </c>
      <c r="AB536" s="194"/>
    </row>
    <row r="537" spans="1:28" s="278" customFormat="1" x14ac:dyDescent="0.25">
      <c r="A537" s="200">
        <v>708256</v>
      </c>
      <c r="B537" s="313" t="s">
        <v>14684</v>
      </c>
      <c r="C537" s="248"/>
      <c r="D537" s="247" t="s">
        <v>2</v>
      </c>
      <c r="E537" s="249">
        <f t="shared" si="299"/>
        <v>28.333320000000001</v>
      </c>
      <c r="F537" s="170">
        <f t="shared" si="299"/>
        <v>28.918403058000003</v>
      </c>
      <c r="G537" s="250">
        <v>0.4</v>
      </c>
      <c r="H537" s="171">
        <f t="shared" si="300"/>
        <v>0.4</v>
      </c>
      <c r="I537" s="249">
        <f t="shared" si="301"/>
        <v>28.333320000000001</v>
      </c>
      <c r="J537" s="170">
        <f t="shared" si="301"/>
        <v>28.918403058000003</v>
      </c>
      <c r="K537" s="250">
        <v>0.4</v>
      </c>
      <c r="L537" s="172">
        <f t="shared" si="302"/>
        <v>0.4</v>
      </c>
      <c r="M537" s="249">
        <f t="shared" si="303"/>
        <v>10.624994999999998</v>
      </c>
      <c r="N537" s="170">
        <f t="shared" si="304"/>
        <v>10.84440114675</v>
      </c>
      <c r="O537" s="250">
        <v>0.15</v>
      </c>
      <c r="P537" s="172">
        <f t="shared" si="305"/>
        <v>0.15</v>
      </c>
      <c r="Q537" s="251">
        <f t="shared" si="306"/>
        <v>3.5416650000000001</v>
      </c>
      <c r="R537" s="173">
        <f t="shared" si="307"/>
        <v>3.6148003822500003</v>
      </c>
      <c r="S537" s="250">
        <v>0.05</v>
      </c>
      <c r="T537" s="171">
        <f t="shared" si="308"/>
        <v>0.05</v>
      </c>
      <c r="U537" s="256">
        <v>70.833299999999994</v>
      </c>
      <c r="V537" s="170">
        <f t="shared" si="309"/>
        <v>72.296007645000003</v>
      </c>
      <c r="W537" s="258">
        <v>0.2</v>
      </c>
      <c r="X537" s="257">
        <f t="shared" si="310"/>
        <v>84.999959999999987</v>
      </c>
      <c r="Y537" s="170">
        <f t="shared" si="311"/>
        <v>86.755209174000001</v>
      </c>
      <c r="Z537" s="170">
        <f t="shared" si="312"/>
        <v>87</v>
      </c>
      <c r="AA537" s="407">
        <f t="shared" si="313"/>
        <v>0</v>
      </c>
      <c r="AB537" s="194"/>
    </row>
    <row r="538" spans="1:28" s="278" customFormat="1" x14ac:dyDescent="0.25">
      <c r="A538" s="200">
        <v>708258</v>
      </c>
      <c r="B538" s="313" t="s">
        <v>18893</v>
      </c>
      <c r="C538" s="248"/>
      <c r="D538" s="247" t="s">
        <v>2</v>
      </c>
      <c r="E538" s="249">
        <f t="shared" si="299"/>
        <v>36.666680000000007</v>
      </c>
      <c r="F538" s="170">
        <f t="shared" si="299"/>
        <v>37.423846942000004</v>
      </c>
      <c r="G538" s="250">
        <v>0.4</v>
      </c>
      <c r="H538" s="171">
        <f t="shared" si="300"/>
        <v>0.4</v>
      </c>
      <c r="I538" s="249">
        <f t="shared" si="301"/>
        <v>36.666680000000007</v>
      </c>
      <c r="J538" s="170">
        <f t="shared" si="301"/>
        <v>37.423846942000004</v>
      </c>
      <c r="K538" s="250">
        <v>0.4</v>
      </c>
      <c r="L538" s="172">
        <f t="shared" si="302"/>
        <v>0.4</v>
      </c>
      <c r="M538" s="249">
        <f t="shared" si="303"/>
        <v>13.750005</v>
      </c>
      <c r="N538" s="170">
        <f t="shared" si="304"/>
        <v>14.033942603250003</v>
      </c>
      <c r="O538" s="250">
        <v>0.15</v>
      </c>
      <c r="P538" s="172">
        <f t="shared" si="305"/>
        <v>0.15</v>
      </c>
      <c r="Q538" s="251">
        <f t="shared" si="306"/>
        <v>4.5833350000000008</v>
      </c>
      <c r="R538" s="173">
        <f t="shared" si="307"/>
        <v>4.6779808677500005</v>
      </c>
      <c r="S538" s="250">
        <v>0.05</v>
      </c>
      <c r="T538" s="171">
        <f t="shared" si="308"/>
        <v>0.05</v>
      </c>
      <c r="U538" s="256">
        <v>91.666700000000006</v>
      </c>
      <c r="V538" s="170">
        <f t="shared" si="309"/>
        <v>93.559617355000015</v>
      </c>
      <c r="W538" s="258">
        <v>0.2</v>
      </c>
      <c r="X538" s="257">
        <f t="shared" si="310"/>
        <v>110.00004000000001</v>
      </c>
      <c r="Y538" s="170">
        <f t="shared" si="311"/>
        <v>112.27154082600002</v>
      </c>
      <c r="Z538" s="170">
        <f t="shared" si="312"/>
        <v>115</v>
      </c>
      <c r="AA538" s="407">
        <f t="shared" si="313"/>
        <v>0</v>
      </c>
      <c r="AB538" s="194"/>
    </row>
    <row r="539" spans="1:28" s="278" customFormat="1" x14ac:dyDescent="0.25">
      <c r="A539" s="200">
        <v>708406</v>
      </c>
      <c r="B539" s="313" t="s">
        <v>14685</v>
      </c>
      <c r="C539" s="248"/>
      <c r="D539" s="247" t="s">
        <v>16</v>
      </c>
      <c r="E539" s="249">
        <f t="shared" si="299"/>
        <v>100</v>
      </c>
      <c r="F539" s="170">
        <f t="shared" si="299"/>
        <v>102.06500000000001</v>
      </c>
      <c r="G539" s="250">
        <v>0.4</v>
      </c>
      <c r="H539" s="171">
        <f t="shared" si="300"/>
        <v>0.4</v>
      </c>
      <c r="I539" s="249">
        <f t="shared" si="301"/>
        <v>100</v>
      </c>
      <c r="J539" s="170">
        <f t="shared" si="301"/>
        <v>102.06500000000001</v>
      </c>
      <c r="K539" s="250">
        <v>0.4</v>
      </c>
      <c r="L539" s="172">
        <f t="shared" si="302"/>
        <v>0.4</v>
      </c>
      <c r="M539" s="249">
        <f t="shared" si="303"/>
        <v>37.5</v>
      </c>
      <c r="N539" s="170">
        <f t="shared" si="304"/>
        <v>38.274374999999999</v>
      </c>
      <c r="O539" s="250">
        <v>0.15</v>
      </c>
      <c r="P539" s="172">
        <f t="shared" si="305"/>
        <v>0.15</v>
      </c>
      <c r="Q539" s="251">
        <f t="shared" si="306"/>
        <v>12.5</v>
      </c>
      <c r="R539" s="173">
        <f t="shared" si="307"/>
        <v>12.758125000000001</v>
      </c>
      <c r="S539" s="250">
        <v>0.05</v>
      </c>
      <c r="T539" s="171">
        <f t="shared" si="308"/>
        <v>0.05</v>
      </c>
      <c r="U539" s="256">
        <v>250</v>
      </c>
      <c r="V539" s="170">
        <f t="shared" si="309"/>
        <v>255.16250000000002</v>
      </c>
      <c r="W539" s="258">
        <v>0.2</v>
      </c>
      <c r="X539" s="257">
        <f t="shared" si="310"/>
        <v>300</v>
      </c>
      <c r="Y539" s="170">
        <f t="shared" si="311"/>
        <v>306.19499999999999</v>
      </c>
      <c r="Z539" s="170">
        <f t="shared" si="312"/>
        <v>310</v>
      </c>
      <c r="AA539" s="407">
        <f t="shared" si="313"/>
        <v>0</v>
      </c>
      <c r="AB539" s="194"/>
    </row>
    <row r="540" spans="1:28" s="278" customFormat="1" x14ac:dyDescent="0.25">
      <c r="A540" s="200">
        <v>708408</v>
      </c>
      <c r="B540" s="313" t="s">
        <v>14686</v>
      </c>
      <c r="C540" s="248"/>
      <c r="D540" s="247" t="s">
        <v>16</v>
      </c>
      <c r="E540" s="249">
        <f t="shared" si="299"/>
        <v>108.33332000000001</v>
      </c>
      <c r="F540" s="170">
        <f t="shared" si="299"/>
        <v>110.57040305800001</v>
      </c>
      <c r="G540" s="250">
        <v>0.4</v>
      </c>
      <c r="H540" s="171">
        <f t="shared" si="300"/>
        <v>0.4</v>
      </c>
      <c r="I540" s="249">
        <f t="shared" si="301"/>
        <v>108.33332000000001</v>
      </c>
      <c r="J540" s="170">
        <f t="shared" si="301"/>
        <v>110.57040305800001</v>
      </c>
      <c r="K540" s="250">
        <v>0.4</v>
      </c>
      <c r="L540" s="172">
        <f t="shared" si="302"/>
        <v>0.4</v>
      </c>
      <c r="M540" s="249">
        <f t="shared" si="303"/>
        <v>40.624994999999998</v>
      </c>
      <c r="N540" s="170">
        <f t="shared" si="304"/>
        <v>41.463901146750004</v>
      </c>
      <c r="O540" s="250">
        <v>0.15</v>
      </c>
      <c r="P540" s="172">
        <f t="shared" si="305"/>
        <v>0.15</v>
      </c>
      <c r="Q540" s="251">
        <f t="shared" si="306"/>
        <v>13.541665000000002</v>
      </c>
      <c r="R540" s="173">
        <f t="shared" si="307"/>
        <v>13.821300382250001</v>
      </c>
      <c r="S540" s="250">
        <v>0.05</v>
      </c>
      <c r="T540" s="171">
        <f t="shared" si="308"/>
        <v>0.05</v>
      </c>
      <c r="U540" s="256">
        <v>270.83330000000001</v>
      </c>
      <c r="V540" s="170">
        <f t="shared" si="309"/>
        <v>276.42600764500003</v>
      </c>
      <c r="W540" s="258">
        <v>0.2</v>
      </c>
      <c r="X540" s="257">
        <f t="shared" si="310"/>
        <v>324.99995999999999</v>
      </c>
      <c r="Y540" s="170">
        <f t="shared" si="311"/>
        <v>331.71120917400003</v>
      </c>
      <c r="Z540" s="170">
        <f t="shared" si="312"/>
        <v>335</v>
      </c>
      <c r="AA540" s="407">
        <f t="shared" si="313"/>
        <v>0</v>
      </c>
      <c r="AB540" s="194"/>
    </row>
    <row r="541" spans="1:28" s="278" customFormat="1" x14ac:dyDescent="0.25">
      <c r="A541" s="200">
        <v>708412</v>
      </c>
      <c r="B541" s="313" t="s">
        <v>14687</v>
      </c>
      <c r="C541" s="248"/>
      <c r="D541" s="247" t="s">
        <v>16</v>
      </c>
      <c r="E541" s="249">
        <f t="shared" si="299"/>
        <v>125</v>
      </c>
      <c r="F541" s="170">
        <f t="shared" si="299"/>
        <v>127.58125000000001</v>
      </c>
      <c r="G541" s="250">
        <v>0.4</v>
      </c>
      <c r="H541" s="171">
        <f t="shared" si="300"/>
        <v>0.4</v>
      </c>
      <c r="I541" s="249">
        <f t="shared" si="301"/>
        <v>125</v>
      </c>
      <c r="J541" s="170">
        <f t="shared" si="301"/>
        <v>127.58125000000001</v>
      </c>
      <c r="K541" s="250">
        <v>0.4</v>
      </c>
      <c r="L541" s="172">
        <f t="shared" si="302"/>
        <v>0.4</v>
      </c>
      <c r="M541" s="249">
        <f t="shared" si="303"/>
        <v>46.875</v>
      </c>
      <c r="N541" s="170">
        <f t="shared" si="304"/>
        <v>47.842968749999997</v>
      </c>
      <c r="O541" s="250">
        <v>0.15</v>
      </c>
      <c r="P541" s="172">
        <f t="shared" si="305"/>
        <v>0.15</v>
      </c>
      <c r="Q541" s="251">
        <f t="shared" si="306"/>
        <v>15.625</v>
      </c>
      <c r="R541" s="173">
        <f t="shared" si="307"/>
        <v>15.947656250000001</v>
      </c>
      <c r="S541" s="250">
        <v>0.05</v>
      </c>
      <c r="T541" s="171">
        <f t="shared" si="308"/>
        <v>0.05</v>
      </c>
      <c r="U541" s="256">
        <v>312.5</v>
      </c>
      <c r="V541" s="170">
        <f t="shared" si="309"/>
        <v>318.953125</v>
      </c>
      <c r="W541" s="258">
        <v>0.2</v>
      </c>
      <c r="X541" s="257">
        <f t="shared" si="310"/>
        <v>375</v>
      </c>
      <c r="Y541" s="170">
        <f t="shared" si="311"/>
        <v>382.74374999999998</v>
      </c>
      <c r="Z541" s="170">
        <f t="shared" si="312"/>
        <v>385</v>
      </c>
      <c r="AA541" s="407">
        <f t="shared" si="313"/>
        <v>0</v>
      </c>
      <c r="AB541" s="194"/>
    </row>
    <row r="542" spans="1:28" s="278" customFormat="1" x14ac:dyDescent="0.25">
      <c r="A542" s="200">
        <v>708506</v>
      </c>
      <c r="B542" s="313" t="s">
        <v>19277</v>
      </c>
      <c r="C542" s="248"/>
      <c r="D542" s="247" t="s">
        <v>2</v>
      </c>
      <c r="E542" s="249">
        <f t="shared" si="299"/>
        <v>31.874849999999999</v>
      </c>
      <c r="F542" s="170">
        <f t="shared" si="299"/>
        <v>32.542628107500001</v>
      </c>
      <c r="G542" s="250">
        <v>0.45</v>
      </c>
      <c r="H542" s="171">
        <f t="shared" si="300"/>
        <v>0.45</v>
      </c>
      <c r="I542" s="249">
        <f t="shared" si="301"/>
        <v>24.791549999999997</v>
      </c>
      <c r="J542" s="170">
        <f t="shared" si="301"/>
        <v>25.310932972499998</v>
      </c>
      <c r="K542" s="252">
        <v>0.35</v>
      </c>
      <c r="L542" s="172">
        <f t="shared" si="302"/>
        <v>0.35</v>
      </c>
      <c r="M542" s="249">
        <f t="shared" si="303"/>
        <v>10.62495</v>
      </c>
      <c r="N542" s="170">
        <f t="shared" si="304"/>
        <v>10.847542702499998</v>
      </c>
      <c r="O542" s="250">
        <v>0.15</v>
      </c>
      <c r="P542" s="172">
        <f t="shared" si="305"/>
        <v>0.15</v>
      </c>
      <c r="Q542" s="251">
        <f t="shared" si="306"/>
        <v>3.5416500000000002</v>
      </c>
      <c r="R542" s="173">
        <f t="shared" si="307"/>
        <v>3.6158475674999999</v>
      </c>
      <c r="S542" s="250">
        <v>0.05</v>
      </c>
      <c r="T542" s="171">
        <f t="shared" si="308"/>
        <v>0.05</v>
      </c>
      <c r="U542" s="256">
        <v>70.832999999999998</v>
      </c>
      <c r="V542" s="170">
        <f t="shared" si="309"/>
        <v>72.316951349999997</v>
      </c>
      <c r="W542" s="258">
        <v>0.2</v>
      </c>
      <c r="X542" s="257">
        <f t="shared" si="310"/>
        <v>84.999600000000001</v>
      </c>
      <c r="Y542" s="170">
        <f t="shared" si="311"/>
        <v>86.780341619999987</v>
      </c>
      <c r="Z542" s="170">
        <f t="shared" si="312"/>
        <v>87</v>
      </c>
      <c r="AA542" s="407">
        <f t="shared" si="313"/>
        <v>0</v>
      </c>
      <c r="AB542" s="194"/>
    </row>
    <row r="543" spans="1:28" s="278" customFormat="1" x14ac:dyDescent="0.25">
      <c r="A543" s="200">
        <v>708508</v>
      </c>
      <c r="B543" s="313" t="s">
        <v>19278</v>
      </c>
      <c r="C543" s="248"/>
      <c r="D543" s="247" t="s">
        <v>2</v>
      </c>
      <c r="E543" s="249">
        <f t="shared" si="299"/>
        <v>37.499850000000002</v>
      </c>
      <c r="F543" s="170">
        <f t="shared" si="299"/>
        <v>38.285471857499999</v>
      </c>
      <c r="G543" s="250">
        <v>0.45</v>
      </c>
      <c r="H543" s="171">
        <f t="shared" si="300"/>
        <v>0.45</v>
      </c>
      <c r="I543" s="249">
        <f t="shared" si="301"/>
        <v>29.166549999999997</v>
      </c>
      <c r="J543" s="170">
        <f t="shared" si="301"/>
        <v>29.777589222499998</v>
      </c>
      <c r="K543" s="250">
        <v>0.35</v>
      </c>
      <c r="L543" s="172">
        <f t="shared" si="302"/>
        <v>0.35</v>
      </c>
      <c r="M543" s="249">
        <f t="shared" si="303"/>
        <v>12.49995</v>
      </c>
      <c r="N543" s="170">
        <f t="shared" si="304"/>
        <v>12.7618239525</v>
      </c>
      <c r="O543" s="250">
        <v>0.15</v>
      </c>
      <c r="P543" s="172">
        <f t="shared" si="305"/>
        <v>0.15</v>
      </c>
      <c r="Q543" s="251">
        <f t="shared" si="306"/>
        <v>4.1666499999999997</v>
      </c>
      <c r="R543" s="173">
        <f t="shared" si="307"/>
        <v>4.2539413174999998</v>
      </c>
      <c r="S543" s="250">
        <v>0.05</v>
      </c>
      <c r="T543" s="171">
        <f t="shared" si="308"/>
        <v>0.05</v>
      </c>
      <c r="U543" s="256">
        <v>83.332999999999998</v>
      </c>
      <c r="V543" s="170">
        <f t="shared" si="309"/>
        <v>85.07882635</v>
      </c>
      <c r="W543" s="258">
        <v>0.2</v>
      </c>
      <c r="X543" s="257">
        <f t="shared" si="310"/>
        <v>99.999600000000001</v>
      </c>
      <c r="Y543" s="170">
        <f t="shared" si="311"/>
        <v>102.09459162</v>
      </c>
      <c r="Z543" s="170">
        <f t="shared" si="312"/>
        <v>105</v>
      </c>
      <c r="AA543" s="407">
        <f t="shared" si="313"/>
        <v>0</v>
      </c>
      <c r="AB543" s="194"/>
    </row>
    <row r="544" spans="1:28" s="278" customFormat="1" x14ac:dyDescent="0.25">
      <c r="A544" s="195" t="s">
        <v>14688</v>
      </c>
      <c r="B544" s="317" t="s">
        <v>14689</v>
      </c>
      <c r="C544" s="241"/>
      <c r="D544" s="242"/>
      <c r="E544" s="243"/>
      <c r="F544" s="244"/>
      <c r="G544" s="245"/>
      <c r="H544" s="246"/>
      <c r="I544" s="243"/>
      <c r="J544" s="244"/>
      <c r="K544" s="245"/>
      <c r="L544" s="246"/>
      <c r="M544" s="243"/>
      <c r="N544" s="244"/>
      <c r="O544" s="245"/>
      <c r="P544" s="246"/>
      <c r="Q544" s="243"/>
      <c r="R544" s="244"/>
      <c r="S544" s="245"/>
      <c r="T544" s="246"/>
      <c r="U544" s="246"/>
      <c r="V544" s="246"/>
      <c r="W544" s="246"/>
      <c r="X544" s="246"/>
      <c r="Y544" s="244"/>
      <c r="Z544" s="244"/>
      <c r="AA544" s="406"/>
      <c r="AB544" s="194"/>
    </row>
    <row r="545" spans="1:28" s="278" customFormat="1" x14ac:dyDescent="0.25">
      <c r="A545" s="200">
        <v>711004</v>
      </c>
      <c r="B545" s="313" t="s">
        <v>19279</v>
      </c>
      <c r="C545" s="248"/>
      <c r="D545" s="247" t="s">
        <v>2</v>
      </c>
      <c r="E545" s="249">
        <f t="shared" ref="E545:F564" si="314">U545*G545</f>
        <v>28.333200000000001</v>
      </c>
      <c r="F545" s="170">
        <f t="shared" si="314"/>
        <v>28.918280580000005</v>
      </c>
      <c r="G545" s="250">
        <v>0.4</v>
      </c>
      <c r="H545" s="171">
        <f t="shared" ref="H545:H564" si="315">G545</f>
        <v>0.4</v>
      </c>
      <c r="I545" s="249">
        <f t="shared" ref="I545:J564" si="316">U545*K545</f>
        <v>28.333200000000001</v>
      </c>
      <c r="J545" s="170">
        <f t="shared" si="316"/>
        <v>28.918280580000005</v>
      </c>
      <c r="K545" s="250">
        <v>0.4</v>
      </c>
      <c r="L545" s="172">
        <f t="shared" ref="L545:L564" si="317">K545</f>
        <v>0.4</v>
      </c>
      <c r="M545" s="249">
        <f t="shared" ref="M545:M564" si="318">U545*O545</f>
        <v>10.62495</v>
      </c>
      <c r="N545" s="170">
        <f t="shared" ref="N545:N564" si="319">P545*V545</f>
        <v>10.8443552175</v>
      </c>
      <c r="O545" s="250">
        <v>0.15</v>
      </c>
      <c r="P545" s="172">
        <f t="shared" ref="P545:P564" si="320">O545</f>
        <v>0.15</v>
      </c>
      <c r="Q545" s="251">
        <f t="shared" ref="Q545:Q564" si="321">U545*S545</f>
        <v>3.5416500000000002</v>
      </c>
      <c r="R545" s="173">
        <f t="shared" ref="R545:R564" si="322">T545*V545</f>
        <v>3.6147850725000006</v>
      </c>
      <c r="S545" s="250">
        <v>0.05</v>
      </c>
      <c r="T545" s="171">
        <f t="shared" ref="T545:T564" si="323">S545</f>
        <v>0.05</v>
      </c>
      <c r="U545" s="256">
        <v>70.832999999999998</v>
      </c>
      <c r="V545" s="170">
        <f t="shared" ref="V545:V564" si="324">SUM(E545*1.0235,I545*1.0175,M545*1.0245,Q545*1.0115)</f>
        <v>72.29570145000001</v>
      </c>
      <c r="W545" s="258">
        <v>0.2</v>
      </c>
      <c r="X545" s="257">
        <f t="shared" ref="X545:X564" si="325">U545+U545*W545</f>
        <v>84.999600000000001</v>
      </c>
      <c r="Y545" s="170">
        <f t="shared" ref="Y545:Y564" si="326">IF(V545*(W545+1)=0,X545,V545*(W545+1))</f>
        <v>86.754841740000003</v>
      </c>
      <c r="Z545" s="170">
        <f t="shared" ref="Z545:Z564" si="327">IF(Y545=0, 0, IF(Y545&lt;10, _xlfn.CEILING.MATH(Y545,1), IF(Y545&lt;100, _xlfn.CEILING.MATH(Y545,1),IF(Y545&lt;1000, _xlfn.CEILING.MATH(Y545,5), IF(Y545&lt;10000, _xlfn.CEILING.MATH(Y545, 25), IF(Y545&lt;100000, _xlfn.CEILING.MATH(Y545,250), IF(Y545&lt;1000000, _xlfn.CEILING.MATH(Y545,500), 0)))))))</f>
        <v>87</v>
      </c>
      <c r="AA545" s="407">
        <f t="shared" ref="AA545:AA608" si="328">C545*Z545</f>
        <v>0</v>
      </c>
      <c r="AB545" s="194"/>
    </row>
    <row r="546" spans="1:28" s="278" customFormat="1" x14ac:dyDescent="0.25">
      <c r="A546" s="200">
        <v>711004</v>
      </c>
      <c r="B546" s="313" t="s">
        <v>19280</v>
      </c>
      <c r="C546" s="248"/>
      <c r="D546" s="247" t="s">
        <v>2</v>
      </c>
      <c r="E546" s="249">
        <f t="shared" si="314"/>
        <v>26.666666666666671</v>
      </c>
      <c r="F546" s="170">
        <f t="shared" si="314"/>
        <v>27.217333333333343</v>
      </c>
      <c r="G546" s="250">
        <v>0.4</v>
      </c>
      <c r="H546" s="171">
        <f t="shared" si="315"/>
        <v>0.4</v>
      </c>
      <c r="I546" s="249">
        <f t="shared" si="316"/>
        <v>26.666666666666671</v>
      </c>
      <c r="J546" s="170">
        <f t="shared" si="316"/>
        <v>27.217333333333343</v>
      </c>
      <c r="K546" s="250">
        <v>0.4</v>
      </c>
      <c r="L546" s="172">
        <f t="shared" si="317"/>
        <v>0.4</v>
      </c>
      <c r="M546" s="249">
        <f t="shared" si="318"/>
        <v>10</v>
      </c>
      <c r="N546" s="170">
        <f t="shared" si="319"/>
        <v>10.206500000000002</v>
      </c>
      <c r="O546" s="250">
        <v>0.15</v>
      </c>
      <c r="P546" s="172">
        <f t="shared" si="320"/>
        <v>0.15</v>
      </c>
      <c r="Q546" s="251">
        <f t="shared" si="321"/>
        <v>3.3333333333333339</v>
      </c>
      <c r="R546" s="173">
        <f t="shared" si="322"/>
        <v>3.4021666666666679</v>
      </c>
      <c r="S546" s="250">
        <v>0.05</v>
      </c>
      <c r="T546" s="171">
        <f t="shared" si="323"/>
        <v>0.05</v>
      </c>
      <c r="U546" s="256">
        <f>80/1.2</f>
        <v>66.666666666666671</v>
      </c>
      <c r="V546" s="170">
        <f t="shared" si="324"/>
        <v>68.043333333333351</v>
      </c>
      <c r="W546" s="258">
        <v>0.2</v>
      </c>
      <c r="X546" s="257">
        <f t="shared" si="325"/>
        <v>80</v>
      </c>
      <c r="Y546" s="170">
        <f t="shared" si="326"/>
        <v>81.652000000000015</v>
      </c>
      <c r="Z546" s="170">
        <f t="shared" si="327"/>
        <v>82</v>
      </c>
      <c r="AA546" s="407">
        <f t="shared" si="328"/>
        <v>0</v>
      </c>
      <c r="AB546" s="194"/>
    </row>
    <row r="547" spans="1:28" s="278" customFormat="1" x14ac:dyDescent="0.25">
      <c r="A547" s="200">
        <v>711006</v>
      </c>
      <c r="B547" s="313" t="s">
        <v>19281</v>
      </c>
      <c r="C547" s="248"/>
      <c r="D547" s="247" t="s">
        <v>2</v>
      </c>
      <c r="E547" s="249">
        <f t="shared" si="314"/>
        <v>33.333333333333336</v>
      </c>
      <c r="F547" s="170">
        <f t="shared" si="314"/>
        <v>34.021666666666675</v>
      </c>
      <c r="G547" s="250">
        <v>0.4</v>
      </c>
      <c r="H547" s="171">
        <f t="shared" si="315"/>
        <v>0.4</v>
      </c>
      <c r="I547" s="249">
        <f t="shared" si="316"/>
        <v>33.333333333333336</v>
      </c>
      <c r="J547" s="170">
        <f t="shared" si="316"/>
        <v>34.021666666666675</v>
      </c>
      <c r="K547" s="250">
        <v>0.4</v>
      </c>
      <c r="L547" s="172">
        <f t="shared" si="317"/>
        <v>0.4</v>
      </c>
      <c r="M547" s="249">
        <f t="shared" si="318"/>
        <v>12.500000000000002</v>
      </c>
      <c r="N547" s="170">
        <f t="shared" si="319"/>
        <v>12.758125000000003</v>
      </c>
      <c r="O547" s="250">
        <v>0.15</v>
      </c>
      <c r="P547" s="172">
        <f t="shared" si="320"/>
        <v>0.15</v>
      </c>
      <c r="Q547" s="251">
        <f t="shared" si="321"/>
        <v>4.166666666666667</v>
      </c>
      <c r="R547" s="173">
        <f t="shared" si="322"/>
        <v>4.2527083333333344</v>
      </c>
      <c r="S547" s="250">
        <v>0.05</v>
      </c>
      <c r="T547" s="171">
        <f t="shared" si="323"/>
        <v>0.05</v>
      </c>
      <c r="U547" s="256">
        <f>100/1.2</f>
        <v>83.333333333333343</v>
      </c>
      <c r="V547" s="170">
        <f t="shared" si="324"/>
        <v>85.054166666666688</v>
      </c>
      <c r="W547" s="258">
        <v>0.2</v>
      </c>
      <c r="X547" s="257">
        <f t="shared" si="325"/>
        <v>100.00000000000001</v>
      </c>
      <c r="Y547" s="170">
        <f t="shared" si="326"/>
        <v>102.06500000000003</v>
      </c>
      <c r="Z547" s="170">
        <f t="shared" si="327"/>
        <v>105</v>
      </c>
      <c r="AA547" s="407">
        <f t="shared" si="328"/>
        <v>0</v>
      </c>
      <c r="AB547" s="194"/>
    </row>
    <row r="548" spans="1:28" s="278" customFormat="1" ht="14.4" thickBot="1" x14ac:dyDescent="0.3">
      <c r="A548" s="263">
        <v>711006</v>
      </c>
      <c r="B548" s="321" t="s">
        <v>19282</v>
      </c>
      <c r="C548" s="265"/>
      <c r="D548" s="264" t="s">
        <v>2</v>
      </c>
      <c r="E548" s="266">
        <f t="shared" si="314"/>
        <v>31.666666666666671</v>
      </c>
      <c r="F548" s="174">
        <f t="shared" si="314"/>
        <v>32.320583333333346</v>
      </c>
      <c r="G548" s="267">
        <v>0.4</v>
      </c>
      <c r="H548" s="268">
        <f t="shared" si="315"/>
        <v>0.4</v>
      </c>
      <c r="I548" s="266">
        <f t="shared" si="316"/>
        <v>31.666666666666671</v>
      </c>
      <c r="J548" s="174">
        <f t="shared" si="316"/>
        <v>32.320583333333346</v>
      </c>
      <c r="K548" s="267">
        <v>0.4</v>
      </c>
      <c r="L548" s="269">
        <f t="shared" si="317"/>
        <v>0.4</v>
      </c>
      <c r="M548" s="266">
        <f t="shared" si="318"/>
        <v>11.875</v>
      </c>
      <c r="N548" s="174">
        <f t="shared" si="319"/>
        <v>12.120218750000003</v>
      </c>
      <c r="O548" s="267">
        <v>0.15</v>
      </c>
      <c r="P548" s="269">
        <f t="shared" si="320"/>
        <v>0.15</v>
      </c>
      <c r="Q548" s="270">
        <f t="shared" si="321"/>
        <v>3.9583333333333339</v>
      </c>
      <c r="R548" s="271">
        <f t="shared" si="322"/>
        <v>4.0400729166666682</v>
      </c>
      <c r="S548" s="267">
        <v>0.05</v>
      </c>
      <c r="T548" s="268">
        <f t="shared" si="323"/>
        <v>0.05</v>
      </c>
      <c r="U548" s="409">
        <f>95/1.2</f>
        <v>79.166666666666671</v>
      </c>
      <c r="V548" s="174">
        <f t="shared" si="324"/>
        <v>80.801458333333358</v>
      </c>
      <c r="W548" s="322">
        <v>0.2</v>
      </c>
      <c r="X548" s="274">
        <f t="shared" si="325"/>
        <v>95</v>
      </c>
      <c r="Y548" s="174">
        <f t="shared" si="326"/>
        <v>96.961750000000023</v>
      </c>
      <c r="Z548" s="174">
        <f t="shared" si="327"/>
        <v>97</v>
      </c>
      <c r="AA548" s="410">
        <f t="shared" si="328"/>
        <v>0</v>
      </c>
      <c r="AB548" s="194"/>
    </row>
    <row r="549" spans="1:28" s="278" customFormat="1" x14ac:dyDescent="0.25">
      <c r="A549" s="200">
        <v>711008</v>
      </c>
      <c r="B549" s="292" t="s">
        <v>19283</v>
      </c>
      <c r="C549" s="248"/>
      <c r="D549" s="165" t="s">
        <v>2</v>
      </c>
      <c r="E549" s="249">
        <f t="shared" si="314"/>
        <v>45</v>
      </c>
      <c r="F549" s="170">
        <f t="shared" si="314"/>
        <v>45.929250000000003</v>
      </c>
      <c r="G549" s="166">
        <v>0.4</v>
      </c>
      <c r="H549" s="171">
        <f t="shared" si="315"/>
        <v>0.4</v>
      </c>
      <c r="I549" s="249">
        <f t="shared" si="316"/>
        <v>45</v>
      </c>
      <c r="J549" s="170">
        <f t="shared" si="316"/>
        <v>45.929250000000003</v>
      </c>
      <c r="K549" s="166">
        <v>0.4</v>
      </c>
      <c r="L549" s="172">
        <f t="shared" si="317"/>
        <v>0.4</v>
      </c>
      <c r="M549" s="249">
        <f t="shared" si="318"/>
        <v>16.875</v>
      </c>
      <c r="N549" s="170">
        <f t="shared" si="319"/>
        <v>17.223468749999999</v>
      </c>
      <c r="O549" s="166">
        <v>0.15</v>
      </c>
      <c r="P549" s="172">
        <f t="shared" si="320"/>
        <v>0.15</v>
      </c>
      <c r="Q549" s="251">
        <f t="shared" si="321"/>
        <v>5.625</v>
      </c>
      <c r="R549" s="173">
        <f t="shared" si="322"/>
        <v>5.7411562500000004</v>
      </c>
      <c r="S549" s="166">
        <v>0.05</v>
      </c>
      <c r="T549" s="171">
        <f t="shared" si="323"/>
        <v>0.05</v>
      </c>
      <c r="U549" s="256">
        <f>135/1.2</f>
        <v>112.5</v>
      </c>
      <c r="V549" s="170">
        <f t="shared" si="324"/>
        <v>114.823125</v>
      </c>
      <c r="W549" s="167">
        <v>0.2</v>
      </c>
      <c r="X549" s="257">
        <f t="shared" si="325"/>
        <v>135</v>
      </c>
      <c r="Y549" s="170">
        <f t="shared" si="326"/>
        <v>137.78774999999999</v>
      </c>
      <c r="Z549" s="170">
        <f t="shared" si="327"/>
        <v>140</v>
      </c>
      <c r="AA549" s="407">
        <f t="shared" si="328"/>
        <v>0</v>
      </c>
      <c r="AB549" s="194"/>
    </row>
    <row r="550" spans="1:28" s="278" customFormat="1" x14ac:dyDescent="0.25">
      <c r="A550" s="200">
        <v>711008</v>
      </c>
      <c r="B550" s="292" t="s">
        <v>19284</v>
      </c>
      <c r="C550" s="248"/>
      <c r="D550" s="165" t="s">
        <v>2</v>
      </c>
      <c r="E550" s="249">
        <f t="shared" si="314"/>
        <v>41.666666666666671</v>
      </c>
      <c r="F550" s="170">
        <f t="shared" si="314"/>
        <v>42.527083333333344</v>
      </c>
      <c r="G550" s="166">
        <v>0.4</v>
      </c>
      <c r="H550" s="171">
        <f t="shared" si="315"/>
        <v>0.4</v>
      </c>
      <c r="I550" s="249">
        <f t="shared" si="316"/>
        <v>41.666666666666671</v>
      </c>
      <c r="J550" s="170">
        <f t="shared" si="316"/>
        <v>42.527083333333344</v>
      </c>
      <c r="K550" s="166">
        <v>0.4</v>
      </c>
      <c r="L550" s="172">
        <f t="shared" si="317"/>
        <v>0.4</v>
      </c>
      <c r="M550" s="249">
        <f t="shared" si="318"/>
        <v>15.625</v>
      </c>
      <c r="N550" s="170">
        <f t="shared" si="319"/>
        <v>15.947656250000003</v>
      </c>
      <c r="O550" s="166">
        <v>0.15</v>
      </c>
      <c r="P550" s="172">
        <f t="shared" si="320"/>
        <v>0.15</v>
      </c>
      <c r="Q550" s="251">
        <f t="shared" si="321"/>
        <v>5.2083333333333339</v>
      </c>
      <c r="R550" s="173">
        <f t="shared" si="322"/>
        <v>5.315885416666668</v>
      </c>
      <c r="S550" s="166">
        <v>0.05</v>
      </c>
      <c r="T550" s="171">
        <f t="shared" si="323"/>
        <v>0.05</v>
      </c>
      <c r="U550" s="256">
        <f>125/1.2</f>
        <v>104.16666666666667</v>
      </c>
      <c r="V550" s="170">
        <f t="shared" si="324"/>
        <v>106.31770833333336</v>
      </c>
      <c r="W550" s="167">
        <v>0.2</v>
      </c>
      <c r="X550" s="257">
        <f t="shared" si="325"/>
        <v>125</v>
      </c>
      <c r="Y550" s="170">
        <f t="shared" si="326"/>
        <v>127.58125000000003</v>
      </c>
      <c r="Z550" s="170">
        <f t="shared" si="327"/>
        <v>130</v>
      </c>
      <c r="AA550" s="407">
        <f t="shared" si="328"/>
        <v>0</v>
      </c>
      <c r="AB550" s="194"/>
    </row>
    <row r="551" spans="1:28" s="278" customFormat="1" x14ac:dyDescent="0.25">
      <c r="A551" s="200">
        <v>711010</v>
      </c>
      <c r="B551" s="292" t="s">
        <v>19285</v>
      </c>
      <c r="C551" s="248"/>
      <c r="D551" s="165" t="s">
        <v>2</v>
      </c>
      <c r="E551" s="249">
        <f t="shared" si="314"/>
        <v>49</v>
      </c>
      <c r="F551" s="170">
        <f t="shared" si="314"/>
        <v>50.01185000000001</v>
      </c>
      <c r="G551" s="166">
        <v>0.4</v>
      </c>
      <c r="H551" s="171">
        <f t="shared" si="315"/>
        <v>0.4</v>
      </c>
      <c r="I551" s="249">
        <f t="shared" si="316"/>
        <v>49</v>
      </c>
      <c r="J551" s="170">
        <f t="shared" si="316"/>
        <v>50.01185000000001</v>
      </c>
      <c r="K551" s="166">
        <v>0.4</v>
      </c>
      <c r="L551" s="172">
        <f t="shared" si="317"/>
        <v>0.4</v>
      </c>
      <c r="M551" s="249">
        <f t="shared" si="318"/>
        <v>18.375</v>
      </c>
      <c r="N551" s="170">
        <f t="shared" si="319"/>
        <v>18.75444375</v>
      </c>
      <c r="O551" s="166">
        <v>0.15</v>
      </c>
      <c r="P551" s="172">
        <f t="shared" si="320"/>
        <v>0.15</v>
      </c>
      <c r="Q551" s="251">
        <f t="shared" si="321"/>
        <v>6.125</v>
      </c>
      <c r="R551" s="173">
        <f t="shared" si="322"/>
        <v>6.2514812500000012</v>
      </c>
      <c r="S551" s="166">
        <v>0.05</v>
      </c>
      <c r="T551" s="171">
        <f t="shared" si="323"/>
        <v>0.05</v>
      </c>
      <c r="U551" s="256">
        <v>122.5</v>
      </c>
      <c r="V551" s="170">
        <f t="shared" si="324"/>
        <v>125.02962500000001</v>
      </c>
      <c r="W551" s="167">
        <v>0.2</v>
      </c>
      <c r="X551" s="257">
        <f t="shared" si="325"/>
        <v>147</v>
      </c>
      <c r="Y551" s="170">
        <f t="shared" si="326"/>
        <v>150.03555</v>
      </c>
      <c r="Z551" s="170">
        <f t="shared" si="327"/>
        <v>155</v>
      </c>
      <c r="AA551" s="407">
        <f t="shared" si="328"/>
        <v>0</v>
      </c>
      <c r="AB551" s="194"/>
    </row>
    <row r="552" spans="1:28" s="278" customFormat="1" x14ac:dyDescent="0.25">
      <c r="A552" s="200">
        <v>711010</v>
      </c>
      <c r="B552" s="292" t="s">
        <v>19286</v>
      </c>
      <c r="C552" s="248"/>
      <c r="D552" s="165" t="s">
        <v>2</v>
      </c>
      <c r="E552" s="249">
        <f t="shared" si="314"/>
        <v>46.666666666666671</v>
      </c>
      <c r="F552" s="170">
        <f t="shared" si="314"/>
        <v>47.63033333333334</v>
      </c>
      <c r="G552" s="166">
        <v>0.4</v>
      </c>
      <c r="H552" s="171">
        <f t="shared" si="315"/>
        <v>0.4</v>
      </c>
      <c r="I552" s="249">
        <f t="shared" si="316"/>
        <v>46.666666666666671</v>
      </c>
      <c r="J552" s="170">
        <f t="shared" si="316"/>
        <v>47.63033333333334</v>
      </c>
      <c r="K552" s="166">
        <v>0.4</v>
      </c>
      <c r="L552" s="172">
        <f t="shared" si="317"/>
        <v>0.4</v>
      </c>
      <c r="M552" s="249">
        <f t="shared" si="318"/>
        <v>17.5</v>
      </c>
      <c r="N552" s="170">
        <f t="shared" si="319"/>
        <v>17.861375000000002</v>
      </c>
      <c r="O552" s="166">
        <v>0.15</v>
      </c>
      <c r="P552" s="172">
        <f t="shared" si="320"/>
        <v>0.15</v>
      </c>
      <c r="Q552" s="251">
        <f t="shared" si="321"/>
        <v>5.8333333333333339</v>
      </c>
      <c r="R552" s="173">
        <f t="shared" si="322"/>
        <v>5.9537916666666675</v>
      </c>
      <c r="S552" s="166">
        <v>0.05</v>
      </c>
      <c r="T552" s="171">
        <f t="shared" si="323"/>
        <v>0.05</v>
      </c>
      <c r="U552" s="256">
        <f>140/1.2</f>
        <v>116.66666666666667</v>
      </c>
      <c r="V552" s="170">
        <f t="shared" si="324"/>
        <v>119.07583333333335</v>
      </c>
      <c r="W552" s="167">
        <v>0.2</v>
      </c>
      <c r="X552" s="257">
        <f t="shared" si="325"/>
        <v>140</v>
      </c>
      <c r="Y552" s="170">
        <f t="shared" si="326"/>
        <v>142.89100000000002</v>
      </c>
      <c r="Z552" s="170">
        <f t="shared" si="327"/>
        <v>145</v>
      </c>
      <c r="AA552" s="407">
        <f t="shared" si="328"/>
        <v>0</v>
      </c>
      <c r="AB552" s="194"/>
    </row>
    <row r="553" spans="1:28" s="278" customFormat="1" x14ac:dyDescent="0.25">
      <c r="A553" s="200">
        <v>711012</v>
      </c>
      <c r="B553" s="292" t="s">
        <v>19287</v>
      </c>
      <c r="C553" s="248"/>
      <c r="D553" s="165" t="s">
        <v>2</v>
      </c>
      <c r="E553" s="249">
        <f t="shared" si="314"/>
        <v>56.666666666666679</v>
      </c>
      <c r="F553" s="170">
        <f t="shared" si="314"/>
        <v>57.836833333333345</v>
      </c>
      <c r="G553" s="166">
        <v>0.4</v>
      </c>
      <c r="H553" s="171">
        <f t="shared" si="315"/>
        <v>0.4</v>
      </c>
      <c r="I553" s="249">
        <f t="shared" si="316"/>
        <v>56.666666666666679</v>
      </c>
      <c r="J553" s="170">
        <f t="shared" si="316"/>
        <v>57.836833333333345</v>
      </c>
      <c r="K553" s="166">
        <v>0.4</v>
      </c>
      <c r="L553" s="172">
        <f t="shared" si="317"/>
        <v>0.4</v>
      </c>
      <c r="M553" s="249">
        <f t="shared" si="318"/>
        <v>21.250000000000004</v>
      </c>
      <c r="N553" s="170">
        <f t="shared" si="319"/>
        <v>21.688812500000004</v>
      </c>
      <c r="O553" s="166">
        <v>0.15</v>
      </c>
      <c r="P553" s="172">
        <f t="shared" si="320"/>
        <v>0.15</v>
      </c>
      <c r="Q553" s="251">
        <f t="shared" si="321"/>
        <v>7.0833333333333348</v>
      </c>
      <c r="R553" s="173">
        <f t="shared" si="322"/>
        <v>7.2296041666666682</v>
      </c>
      <c r="S553" s="166">
        <v>0.05</v>
      </c>
      <c r="T553" s="171">
        <f t="shared" si="323"/>
        <v>0.05</v>
      </c>
      <c r="U553" s="256">
        <f>170/1.2</f>
        <v>141.66666666666669</v>
      </c>
      <c r="V553" s="170">
        <f t="shared" si="324"/>
        <v>144.59208333333336</v>
      </c>
      <c r="W553" s="167">
        <v>0.2</v>
      </c>
      <c r="X553" s="257">
        <f t="shared" si="325"/>
        <v>170.00000000000003</v>
      </c>
      <c r="Y553" s="170">
        <f t="shared" si="326"/>
        <v>173.51050000000004</v>
      </c>
      <c r="Z553" s="170">
        <f t="shared" si="327"/>
        <v>175</v>
      </c>
      <c r="AA553" s="407">
        <f t="shared" si="328"/>
        <v>0</v>
      </c>
      <c r="AB553" s="194"/>
    </row>
    <row r="554" spans="1:28" s="278" customFormat="1" x14ac:dyDescent="0.25">
      <c r="A554" s="200">
        <v>711012</v>
      </c>
      <c r="B554" s="313" t="s">
        <v>19288</v>
      </c>
      <c r="C554" s="248"/>
      <c r="D554" s="247" t="s">
        <v>2</v>
      </c>
      <c r="E554" s="249">
        <f t="shared" si="314"/>
        <v>55</v>
      </c>
      <c r="F554" s="170">
        <f t="shared" si="314"/>
        <v>56.135750000000002</v>
      </c>
      <c r="G554" s="250">
        <v>0.4</v>
      </c>
      <c r="H554" s="171">
        <f t="shared" si="315"/>
        <v>0.4</v>
      </c>
      <c r="I554" s="249">
        <f t="shared" si="316"/>
        <v>55</v>
      </c>
      <c r="J554" s="170">
        <f t="shared" si="316"/>
        <v>56.135750000000002</v>
      </c>
      <c r="K554" s="252">
        <v>0.4</v>
      </c>
      <c r="L554" s="172">
        <f t="shared" si="317"/>
        <v>0.4</v>
      </c>
      <c r="M554" s="249">
        <f t="shared" si="318"/>
        <v>20.625</v>
      </c>
      <c r="N554" s="170">
        <f t="shared" si="319"/>
        <v>21.050906249999997</v>
      </c>
      <c r="O554" s="250">
        <v>0.15</v>
      </c>
      <c r="P554" s="172">
        <f t="shared" si="320"/>
        <v>0.15</v>
      </c>
      <c r="Q554" s="251">
        <f t="shared" si="321"/>
        <v>6.875</v>
      </c>
      <c r="R554" s="173">
        <f t="shared" si="322"/>
        <v>7.0169687500000002</v>
      </c>
      <c r="S554" s="250">
        <v>0.05</v>
      </c>
      <c r="T554" s="171">
        <f t="shared" si="323"/>
        <v>0.05</v>
      </c>
      <c r="U554" s="256">
        <f>165/1.2</f>
        <v>137.5</v>
      </c>
      <c r="V554" s="170">
        <f t="shared" si="324"/>
        <v>140.33937499999999</v>
      </c>
      <c r="W554" s="258">
        <v>0.2</v>
      </c>
      <c r="X554" s="257">
        <f t="shared" si="325"/>
        <v>165</v>
      </c>
      <c r="Y554" s="170">
        <f t="shared" si="326"/>
        <v>168.40724999999998</v>
      </c>
      <c r="Z554" s="170">
        <f t="shared" si="327"/>
        <v>170</v>
      </c>
      <c r="AA554" s="407">
        <f t="shared" si="328"/>
        <v>0</v>
      </c>
      <c r="AB554" s="194"/>
    </row>
    <row r="555" spans="1:28" s="278" customFormat="1" x14ac:dyDescent="0.25">
      <c r="A555" s="200">
        <v>711030</v>
      </c>
      <c r="B555" s="313" t="s">
        <v>19289</v>
      </c>
      <c r="C555" s="248"/>
      <c r="D555" s="247" t="s">
        <v>2</v>
      </c>
      <c r="E555" s="249">
        <f>U555*G555</f>
        <v>0</v>
      </c>
      <c r="F555" s="170">
        <f>V555*H555</f>
        <v>185.5</v>
      </c>
      <c r="G555" s="250">
        <f>185.5/442.25</f>
        <v>0.41944601469756926</v>
      </c>
      <c r="H555" s="171">
        <f>G555</f>
        <v>0.41944601469756926</v>
      </c>
      <c r="I555" s="249">
        <f>U555*K555</f>
        <v>0</v>
      </c>
      <c r="J555" s="170">
        <f>V555*L555</f>
        <v>196.3</v>
      </c>
      <c r="K555" s="252">
        <f>196.3/442.25</f>
        <v>0.44386659129451672</v>
      </c>
      <c r="L555" s="172">
        <f>K555</f>
        <v>0.44386659129451672</v>
      </c>
      <c r="M555" s="249">
        <f>U555*O555</f>
        <v>0</v>
      </c>
      <c r="N555" s="170">
        <f>P555*V555</f>
        <v>50.45</v>
      </c>
      <c r="O555" s="250">
        <f>50.45/442.25</f>
        <v>0.11407574901074054</v>
      </c>
      <c r="P555" s="172">
        <f>O555</f>
        <v>0.11407574901074054</v>
      </c>
      <c r="Q555" s="251">
        <f>U555*S555</f>
        <v>0</v>
      </c>
      <c r="R555" s="173">
        <f>T555*V555</f>
        <v>10</v>
      </c>
      <c r="S555" s="250">
        <f>10/442.25</f>
        <v>2.2611644997173545E-2</v>
      </c>
      <c r="T555" s="171">
        <f>S555</f>
        <v>2.2611644997173545E-2</v>
      </c>
      <c r="U555" s="256"/>
      <c r="V555" s="170">
        <v>442.25</v>
      </c>
      <c r="W555" s="258">
        <v>0.2</v>
      </c>
      <c r="X555" s="257">
        <f>U555+U555*W555</f>
        <v>0</v>
      </c>
      <c r="Y555" s="170">
        <f>IF(V555*(W555+1)=0,X555,V555*(W555+1))</f>
        <v>530.69999999999993</v>
      </c>
      <c r="Z555" s="170">
        <f>IF(Y555=0, 0, IF(Y555&lt;10, _xlfn.CEILING.MATH(Y555,1), IF(Y555&lt;100, _xlfn.CEILING.MATH(Y555,1),IF(Y555&lt;1000, _xlfn.CEILING.MATH(Y555,5), IF(Y555&lt;10000, _xlfn.CEILING.MATH(Y555, 25), IF(Y555&lt;100000, _xlfn.CEILING.MATH(Y555,250), IF(Y555&lt;1000000, _xlfn.CEILING.MATH(Y555,500), 0)))))))</f>
        <v>535</v>
      </c>
      <c r="AA555" s="407">
        <f>C555*Z555</f>
        <v>0</v>
      </c>
      <c r="AB555" s="194"/>
    </row>
    <row r="556" spans="1:28" s="278" customFormat="1" x14ac:dyDescent="0.25">
      <c r="A556" s="200">
        <v>711030</v>
      </c>
      <c r="B556" s="313" t="s">
        <v>19290</v>
      </c>
      <c r="C556" s="248"/>
      <c r="D556" s="247" t="s">
        <v>2</v>
      </c>
      <c r="E556" s="249">
        <f>U556*G556</f>
        <v>0</v>
      </c>
      <c r="F556" s="170">
        <f>V556*H556</f>
        <v>166.71</v>
      </c>
      <c r="G556" s="250">
        <f>166.71/414.41</f>
        <v>0.40228276344682801</v>
      </c>
      <c r="H556" s="171">
        <f>G556</f>
        <v>0.40228276344682801</v>
      </c>
      <c r="I556" s="249">
        <f>U556*K556</f>
        <v>0</v>
      </c>
      <c r="J556" s="170">
        <f>V556*L556</f>
        <v>196.3</v>
      </c>
      <c r="K556" s="252">
        <f>196.3/414.41</f>
        <v>0.47368548056272775</v>
      </c>
      <c r="L556" s="172">
        <f>K556</f>
        <v>0.47368548056272775</v>
      </c>
      <c r="M556" s="249">
        <f>U556*O556</f>
        <v>0</v>
      </c>
      <c r="N556" s="170">
        <f>P556*V556</f>
        <v>42.9</v>
      </c>
      <c r="O556" s="250">
        <f>42.9/414.41</f>
        <v>0.10352066793754976</v>
      </c>
      <c r="P556" s="172">
        <f>O556</f>
        <v>0.10352066793754976</v>
      </c>
      <c r="Q556" s="251">
        <f>U556*S556</f>
        <v>0</v>
      </c>
      <c r="R556" s="173">
        <f>T556*V556</f>
        <v>8.5</v>
      </c>
      <c r="S556" s="250">
        <f>8.5/414.41</f>
        <v>2.0511088052894474E-2</v>
      </c>
      <c r="T556" s="171">
        <f>S556</f>
        <v>2.0511088052894474E-2</v>
      </c>
      <c r="U556" s="256"/>
      <c r="V556" s="170">
        <v>414.41</v>
      </c>
      <c r="W556" s="258">
        <v>0.2</v>
      </c>
      <c r="X556" s="257">
        <f>U556+U556*W556</f>
        <v>0</v>
      </c>
      <c r="Y556" s="170">
        <f>IF(V556*(W556+1)=0,X556,V556*(W556+1))</f>
        <v>497.29200000000003</v>
      </c>
      <c r="Z556" s="170">
        <f>IF(Y556=0, 0, IF(Y556&lt;10, _xlfn.CEILING.MATH(Y556,1), IF(Y556&lt;100, _xlfn.CEILING.MATH(Y556,1),IF(Y556&lt;1000, _xlfn.CEILING.MATH(Y556,5), IF(Y556&lt;10000, _xlfn.CEILING.MATH(Y556, 25), IF(Y556&lt;100000, _xlfn.CEILING.MATH(Y556,250), IF(Y556&lt;1000000, _xlfn.CEILING.MATH(Y556,500), 0)))))))</f>
        <v>500</v>
      </c>
      <c r="AA556" s="407">
        <f>C556*Z556</f>
        <v>0</v>
      </c>
      <c r="AB556" s="194"/>
    </row>
    <row r="557" spans="1:28" s="278" customFormat="1" x14ac:dyDescent="0.25">
      <c r="A557" s="200">
        <v>711106</v>
      </c>
      <c r="B557" s="292" t="s">
        <v>19291</v>
      </c>
      <c r="C557" s="248"/>
      <c r="D557" s="165" t="s">
        <v>2</v>
      </c>
      <c r="E557" s="249">
        <f t="shared" si="314"/>
        <v>35</v>
      </c>
      <c r="F557" s="170">
        <f t="shared" si="314"/>
        <v>35.712250000000004</v>
      </c>
      <c r="G557" s="166">
        <v>0.35</v>
      </c>
      <c r="H557" s="171">
        <f t="shared" si="315"/>
        <v>0.35</v>
      </c>
      <c r="I557" s="249">
        <f t="shared" si="316"/>
        <v>45</v>
      </c>
      <c r="J557" s="170">
        <f t="shared" si="316"/>
        <v>45.91575000000001</v>
      </c>
      <c r="K557" s="166">
        <v>0.45</v>
      </c>
      <c r="L557" s="172">
        <f t="shared" si="317"/>
        <v>0.45</v>
      </c>
      <c r="M557" s="249">
        <f t="shared" si="318"/>
        <v>15</v>
      </c>
      <c r="N557" s="170">
        <f t="shared" si="319"/>
        <v>15.305250000000003</v>
      </c>
      <c r="O557" s="166">
        <v>0.15</v>
      </c>
      <c r="P557" s="172">
        <f t="shared" si="320"/>
        <v>0.15</v>
      </c>
      <c r="Q557" s="251">
        <f t="shared" si="321"/>
        <v>5</v>
      </c>
      <c r="R557" s="173">
        <f t="shared" si="322"/>
        <v>5.1017500000000018</v>
      </c>
      <c r="S557" s="166">
        <v>0.05</v>
      </c>
      <c r="T557" s="171">
        <f t="shared" si="323"/>
        <v>0.05</v>
      </c>
      <c r="U557" s="256">
        <f>120/1.2</f>
        <v>100</v>
      </c>
      <c r="V557" s="170">
        <f t="shared" si="324"/>
        <v>102.03500000000003</v>
      </c>
      <c r="W557" s="167">
        <v>0.2</v>
      </c>
      <c r="X557" s="257">
        <f t="shared" si="325"/>
        <v>120</v>
      </c>
      <c r="Y557" s="170">
        <f t="shared" si="326"/>
        <v>122.44200000000002</v>
      </c>
      <c r="Z557" s="170">
        <f t="shared" si="327"/>
        <v>125</v>
      </c>
      <c r="AA557" s="407">
        <f t="shared" si="328"/>
        <v>0</v>
      </c>
      <c r="AB557" s="194"/>
    </row>
    <row r="558" spans="1:28" s="278" customFormat="1" x14ac:dyDescent="0.25">
      <c r="A558" s="200">
        <v>711106</v>
      </c>
      <c r="B558" s="292" t="s">
        <v>19292</v>
      </c>
      <c r="C558" s="248"/>
      <c r="D558" s="165" t="s">
        <v>2</v>
      </c>
      <c r="E558" s="249">
        <f t="shared" si="314"/>
        <v>33.541666666666671</v>
      </c>
      <c r="F558" s="170">
        <f t="shared" si="314"/>
        <v>34.224239583333336</v>
      </c>
      <c r="G558" s="166">
        <v>0.35</v>
      </c>
      <c r="H558" s="171">
        <f t="shared" si="315"/>
        <v>0.35</v>
      </c>
      <c r="I558" s="249">
        <f t="shared" si="316"/>
        <v>43.125000000000007</v>
      </c>
      <c r="J558" s="170">
        <f t="shared" si="316"/>
        <v>44.00259375000001</v>
      </c>
      <c r="K558" s="166">
        <v>0.45</v>
      </c>
      <c r="L558" s="172">
        <f t="shared" si="317"/>
        <v>0.45</v>
      </c>
      <c r="M558" s="249">
        <f t="shared" si="318"/>
        <v>14.375000000000002</v>
      </c>
      <c r="N558" s="170">
        <f t="shared" si="319"/>
        <v>14.667531250000001</v>
      </c>
      <c r="O558" s="166">
        <v>0.15</v>
      </c>
      <c r="P558" s="172">
        <f t="shared" si="320"/>
        <v>0.15</v>
      </c>
      <c r="Q558" s="251">
        <f t="shared" si="321"/>
        <v>4.791666666666667</v>
      </c>
      <c r="R558" s="173">
        <f t="shared" si="322"/>
        <v>4.8891770833333341</v>
      </c>
      <c r="S558" s="166">
        <v>0.05</v>
      </c>
      <c r="T558" s="171">
        <f t="shared" si="323"/>
        <v>0.05</v>
      </c>
      <c r="U558" s="256">
        <f>115/1.2</f>
        <v>95.833333333333343</v>
      </c>
      <c r="V558" s="170">
        <f t="shared" si="324"/>
        <v>97.783541666666679</v>
      </c>
      <c r="W558" s="167">
        <v>0.2</v>
      </c>
      <c r="X558" s="257">
        <f t="shared" si="325"/>
        <v>115.00000000000001</v>
      </c>
      <c r="Y558" s="170">
        <f t="shared" si="326"/>
        <v>117.34025000000001</v>
      </c>
      <c r="Z558" s="170">
        <f t="shared" si="327"/>
        <v>120</v>
      </c>
      <c r="AA558" s="407">
        <f t="shared" si="328"/>
        <v>0</v>
      </c>
      <c r="AB558" s="194"/>
    </row>
    <row r="559" spans="1:28" s="278" customFormat="1" x14ac:dyDescent="0.25">
      <c r="A559" s="200">
        <v>711108</v>
      </c>
      <c r="B559" s="292" t="s">
        <v>19293</v>
      </c>
      <c r="C559" s="248"/>
      <c r="D559" s="165" t="s">
        <v>2</v>
      </c>
      <c r="E559" s="249">
        <f t="shared" si="314"/>
        <v>40.833333333333336</v>
      </c>
      <c r="F559" s="170">
        <f t="shared" si="314"/>
        <v>41.664291666666671</v>
      </c>
      <c r="G559" s="166">
        <v>0.35</v>
      </c>
      <c r="H559" s="171">
        <f t="shared" si="315"/>
        <v>0.35</v>
      </c>
      <c r="I559" s="249">
        <f t="shared" si="316"/>
        <v>52.5</v>
      </c>
      <c r="J559" s="170">
        <f t="shared" si="316"/>
        <v>53.56837500000001</v>
      </c>
      <c r="K559" s="166">
        <v>0.45</v>
      </c>
      <c r="L559" s="172">
        <f t="shared" si="317"/>
        <v>0.45</v>
      </c>
      <c r="M559" s="249">
        <f t="shared" si="318"/>
        <v>17.5</v>
      </c>
      <c r="N559" s="170">
        <f t="shared" si="319"/>
        <v>17.856125000000002</v>
      </c>
      <c r="O559" s="166">
        <v>0.15</v>
      </c>
      <c r="P559" s="172">
        <f t="shared" si="320"/>
        <v>0.15</v>
      </c>
      <c r="Q559" s="251">
        <f t="shared" si="321"/>
        <v>5.8333333333333339</v>
      </c>
      <c r="R559" s="173">
        <f t="shared" si="322"/>
        <v>5.952041666666668</v>
      </c>
      <c r="S559" s="166">
        <v>0.05</v>
      </c>
      <c r="T559" s="171">
        <f t="shared" si="323"/>
        <v>0.05</v>
      </c>
      <c r="U559" s="259">
        <f>140/1.2</f>
        <v>116.66666666666667</v>
      </c>
      <c r="V559" s="170">
        <f t="shared" si="324"/>
        <v>119.04083333333335</v>
      </c>
      <c r="W559" s="167">
        <v>0.2</v>
      </c>
      <c r="X559" s="257">
        <f t="shared" si="325"/>
        <v>140</v>
      </c>
      <c r="Y559" s="170">
        <f t="shared" si="326"/>
        <v>142.84900000000002</v>
      </c>
      <c r="Z559" s="170">
        <f t="shared" si="327"/>
        <v>145</v>
      </c>
      <c r="AA559" s="407">
        <f t="shared" si="328"/>
        <v>0</v>
      </c>
      <c r="AB559" s="194"/>
    </row>
    <row r="560" spans="1:28" s="278" customFormat="1" x14ac:dyDescent="0.25">
      <c r="A560" s="200">
        <v>711108</v>
      </c>
      <c r="B560" s="292" t="s">
        <v>19294</v>
      </c>
      <c r="C560" s="248"/>
      <c r="D560" s="165" t="s">
        <v>2</v>
      </c>
      <c r="E560" s="249">
        <f t="shared" si="314"/>
        <v>39.375</v>
      </c>
      <c r="F560" s="170">
        <f t="shared" si="314"/>
        <v>40.176281250000002</v>
      </c>
      <c r="G560" s="166">
        <v>0.35</v>
      </c>
      <c r="H560" s="171">
        <f t="shared" si="315"/>
        <v>0.35</v>
      </c>
      <c r="I560" s="249">
        <f t="shared" si="316"/>
        <v>50.625</v>
      </c>
      <c r="J560" s="170">
        <f t="shared" si="316"/>
        <v>51.655218750000003</v>
      </c>
      <c r="K560" s="166">
        <v>0.45</v>
      </c>
      <c r="L560" s="172">
        <f t="shared" si="317"/>
        <v>0.45</v>
      </c>
      <c r="M560" s="249">
        <f t="shared" si="318"/>
        <v>16.875</v>
      </c>
      <c r="N560" s="170">
        <f t="shared" si="319"/>
        <v>17.218406250000001</v>
      </c>
      <c r="O560" s="166">
        <v>0.15</v>
      </c>
      <c r="P560" s="172">
        <f t="shared" si="320"/>
        <v>0.15</v>
      </c>
      <c r="Q560" s="251">
        <f t="shared" si="321"/>
        <v>5.625</v>
      </c>
      <c r="R560" s="173">
        <f t="shared" si="322"/>
        <v>5.7394687500000003</v>
      </c>
      <c r="S560" s="166">
        <v>0.05</v>
      </c>
      <c r="T560" s="171">
        <f t="shared" si="323"/>
        <v>0.05</v>
      </c>
      <c r="U560" s="259">
        <f>135/1.2</f>
        <v>112.5</v>
      </c>
      <c r="V560" s="170">
        <f t="shared" si="324"/>
        <v>114.78937500000001</v>
      </c>
      <c r="W560" s="167">
        <v>0.2</v>
      </c>
      <c r="X560" s="257">
        <f t="shared" si="325"/>
        <v>135</v>
      </c>
      <c r="Y560" s="170">
        <f t="shared" si="326"/>
        <v>137.74725000000001</v>
      </c>
      <c r="Z560" s="170">
        <f t="shared" si="327"/>
        <v>140</v>
      </c>
      <c r="AA560" s="407">
        <f t="shared" si="328"/>
        <v>0</v>
      </c>
      <c r="AB560" s="194"/>
    </row>
    <row r="561" spans="1:28" s="278" customFormat="1" x14ac:dyDescent="0.25">
      <c r="A561" s="200">
        <v>711112</v>
      </c>
      <c r="B561" s="292" t="s">
        <v>19295</v>
      </c>
      <c r="C561" s="248"/>
      <c r="D561" s="165" t="s">
        <v>2</v>
      </c>
      <c r="E561" s="249">
        <f t="shared" si="314"/>
        <v>53.958333333333336</v>
      </c>
      <c r="F561" s="170">
        <f t="shared" si="314"/>
        <v>55.056385416666672</v>
      </c>
      <c r="G561" s="166">
        <v>0.35</v>
      </c>
      <c r="H561" s="171">
        <f t="shared" si="315"/>
        <v>0.35</v>
      </c>
      <c r="I561" s="249">
        <f t="shared" si="316"/>
        <v>69.375000000000014</v>
      </c>
      <c r="J561" s="170">
        <f t="shared" si="316"/>
        <v>70.786781250000018</v>
      </c>
      <c r="K561" s="166">
        <v>0.45</v>
      </c>
      <c r="L561" s="172">
        <f t="shared" si="317"/>
        <v>0.45</v>
      </c>
      <c r="M561" s="249">
        <f t="shared" si="318"/>
        <v>23.125000000000004</v>
      </c>
      <c r="N561" s="170">
        <f t="shared" si="319"/>
        <v>23.595593750000003</v>
      </c>
      <c r="O561" s="166">
        <v>0.15</v>
      </c>
      <c r="P561" s="172">
        <f t="shared" si="320"/>
        <v>0.15</v>
      </c>
      <c r="Q561" s="251">
        <f t="shared" si="321"/>
        <v>7.7083333333333348</v>
      </c>
      <c r="R561" s="173">
        <f t="shared" si="322"/>
        <v>7.8651979166666681</v>
      </c>
      <c r="S561" s="166">
        <v>0.05</v>
      </c>
      <c r="T561" s="171">
        <f t="shared" si="323"/>
        <v>0.05</v>
      </c>
      <c r="U561" s="259">
        <f>185/1.2</f>
        <v>154.16666666666669</v>
      </c>
      <c r="V561" s="170">
        <f t="shared" si="324"/>
        <v>157.30395833333336</v>
      </c>
      <c r="W561" s="167">
        <v>0.2</v>
      </c>
      <c r="X561" s="257">
        <f t="shared" si="325"/>
        <v>185.00000000000003</v>
      </c>
      <c r="Y561" s="170">
        <f t="shared" si="326"/>
        <v>188.76475000000002</v>
      </c>
      <c r="Z561" s="170">
        <f t="shared" si="327"/>
        <v>190</v>
      </c>
      <c r="AA561" s="407">
        <f t="shared" si="328"/>
        <v>0</v>
      </c>
      <c r="AB561" s="194"/>
    </row>
    <row r="562" spans="1:28" s="278" customFormat="1" x14ac:dyDescent="0.25">
      <c r="A562" s="200">
        <v>711112</v>
      </c>
      <c r="B562" s="292" t="s">
        <v>19296</v>
      </c>
      <c r="C562" s="248"/>
      <c r="D562" s="165" t="s">
        <v>2</v>
      </c>
      <c r="E562" s="249">
        <f t="shared" si="314"/>
        <v>52.5</v>
      </c>
      <c r="F562" s="170">
        <f t="shared" si="314"/>
        <v>53.568375000000003</v>
      </c>
      <c r="G562" s="166">
        <v>0.35</v>
      </c>
      <c r="H562" s="171">
        <f t="shared" si="315"/>
        <v>0.35</v>
      </c>
      <c r="I562" s="249">
        <f t="shared" si="316"/>
        <v>67.5</v>
      </c>
      <c r="J562" s="170">
        <f t="shared" si="316"/>
        <v>68.873625000000004</v>
      </c>
      <c r="K562" s="166">
        <v>0.45</v>
      </c>
      <c r="L562" s="172">
        <f t="shared" si="317"/>
        <v>0.45</v>
      </c>
      <c r="M562" s="249">
        <f t="shared" si="318"/>
        <v>22.5</v>
      </c>
      <c r="N562" s="170">
        <f t="shared" si="319"/>
        <v>22.957875000000001</v>
      </c>
      <c r="O562" s="166">
        <v>0.15</v>
      </c>
      <c r="P562" s="172">
        <f t="shared" si="320"/>
        <v>0.15</v>
      </c>
      <c r="Q562" s="251">
        <f t="shared" si="321"/>
        <v>7.5</v>
      </c>
      <c r="R562" s="173">
        <f t="shared" si="322"/>
        <v>7.6526250000000005</v>
      </c>
      <c r="S562" s="166">
        <v>0.05</v>
      </c>
      <c r="T562" s="171">
        <f t="shared" si="323"/>
        <v>0.05</v>
      </c>
      <c r="U562" s="259">
        <f>180/1.2</f>
        <v>150</v>
      </c>
      <c r="V562" s="170">
        <f t="shared" si="324"/>
        <v>153.05250000000001</v>
      </c>
      <c r="W562" s="167">
        <v>0.2</v>
      </c>
      <c r="X562" s="257">
        <f t="shared" si="325"/>
        <v>180</v>
      </c>
      <c r="Y562" s="170">
        <f t="shared" si="326"/>
        <v>183.66300000000001</v>
      </c>
      <c r="Z562" s="170">
        <f t="shared" si="327"/>
        <v>185</v>
      </c>
      <c r="AA562" s="407">
        <f t="shared" si="328"/>
        <v>0</v>
      </c>
      <c r="AB562" s="194"/>
    </row>
    <row r="563" spans="1:28" s="278" customFormat="1" x14ac:dyDescent="0.25">
      <c r="A563" s="200">
        <v>711116</v>
      </c>
      <c r="B563" s="292" t="s">
        <v>19297</v>
      </c>
      <c r="C563" s="248"/>
      <c r="D563" s="165" t="s">
        <v>2</v>
      </c>
      <c r="E563" s="249">
        <f t="shared" si="314"/>
        <v>87.5</v>
      </c>
      <c r="F563" s="170">
        <f t="shared" si="314"/>
        <v>89.280625000000001</v>
      </c>
      <c r="G563" s="166">
        <v>0.35</v>
      </c>
      <c r="H563" s="171">
        <f t="shared" si="315"/>
        <v>0.35</v>
      </c>
      <c r="I563" s="249">
        <f t="shared" si="316"/>
        <v>112.5</v>
      </c>
      <c r="J563" s="170">
        <f t="shared" si="316"/>
        <v>114.78937500000002</v>
      </c>
      <c r="K563" s="166">
        <v>0.45</v>
      </c>
      <c r="L563" s="172">
        <f t="shared" si="317"/>
        <v>0.45</v>
      </c>
      <c r="M563" s="249">
        <f t="shared" si="318"/>
        <v>37.5</v>
      </c>
      <c r="N563" s="170">
        <f t="shared" si="319"/>
        <v>38.263125000000002</v>
      </c>
      <c r="O563" s="166">
        <v>0.15</v>
      </c>
      <c r="P563" s="172">
        <f t="shared" si="320"/>
        <v>0.15</v>
      </c>
      <c r="Q563" s="251">
        <f t="shared" si="321"/>
        <v>12.5</v>
      </c>
      <c r="R563" s="173">
        <f t="shared" si="322"/>
        <v>12.754375000000003</v>
      </c>
      <c r="S563" s="166">
        <v>0.05</v>
      </c>
      <c r="T563" s="171">
        <f t="shared" si="323"/>
        <v>0.05</v>
      </c>
      <c r="U563" s="259">
        <f>300/1.2</f>
        <v>250</v>
      </c>
      <c r="V563" s="170">
        <f t="shared" si="324"/>
        <v>255.08750000000003</v>
      </c>
      <c r="W563" s="167">
        <v>0.2</v>
      </c>
      <c r="X563" s="257">
        <f t="shared" si="325"/>
        <v>300</v>
      </c>
      <c r="Y563" s="170">
        <f t="shared" si="326"/>
        <v>306.10500000000002</v>
      </c>
      <c r="Z563" s="170">
        <f t="shared" si="327"/>
        <v>310</v>
      </c>
      <c r="AA563" s="407">
        <f t="shared" si="328"/>
        <v>0</v>
      </c>
      <c r="AB563" s="194"/>
    </row>
    <row r="564" spans="1:28" s="278" customFormat="1" x14ac:dyDescent="0.25">
      <c r="A564" s="200">
        <v>711116</v>
      </c>
      <c r="B564" s="313" t="s">
        <v>19298</v>
      </c>
      <c r="C564" s="248"/>
      <c r="D564" s="247" t="s">
        <v>2</v>
      </c>
      <c r="E564" s="249">
        <f t="shared" si="314"/>
        <v>78.75</v>
      </c>
      <c r="F564" s="170">
        <f t="shared" si="314"/>
        <v>80.352562500000005</v>
      </c>
      <c r="G564" s="250">
        <v>0.35</v>
      </c>
      <c r="H564" s="171">
        <f t="shared" si="315"/>
        <v>0.35</v>
      </c>
      <c r="I564" s="249">
        <f t="shared" si="316"/>
        <v>101.25</v>
      </c>
      <c r="J564" s="170">
        <f t="shared" si="316"/>
        <v>103.31043750000001</v>
      </c>
      <c r="K564" s="250">
        <v>0.45</v>
      </c>
      <c r="L564" s="172">
        <f t="shared" si="317"/>
        <v>0.45</v>
      </c>
      <c r="M564" s="249">
        <f t="shared" si="318"/>
        <v>33.75</v>
      </c>
      <c r="N564" s="170">
        <f t="shared" si="319"/>
        <v>34.436812500000002</v>
      </c>
      <c r="O564" s="250">
        <v>0.15</v>
      </c>
      <c r="P564" s="172">
        <f t="shared" si="320"/>
        <v>0.15</v>
      </c>
      <c r="Q564" s="251">
        <f t="shared" si="321"/>
        <v>11.25</v>
      </c>
      <c r="R564" s="173">
        <f t="shared" si="322"/>
        <v>11.478937500000001</v>
      </c>
      <c r="S564" s="250">
        <v>0.05</v>
      </c>
      <c r="T564" s="171">
        <f t="shared" si="323"/>
        <v>0.05</v>
      </c>
      <c r="U564" s="256">
        <f>270/1.2</f>
        <v>225</v>
      </c>
      <c r="V564" s="170">
        <f t="shared" si="324"/>
        <v>229.57875000000001</v>
      </c>
      <c r="W564" s="258">
        <v>0.2</v>
      </c>
      <c r="X564" s="257">
        <f t="shared" si="325"/>
        <v>270</v>
      </c>
      <c r="Y564" s="170">
        <f t="shared" si="326"/>
        <v>275.49450000000002</v>
      </c>
      <c r="Z564" s="170">
        <f t="shared" si="327"/>
        <v>280</v>
      </c>
      <c r="AA564" s="407">
        <f t="shared" si="328"/>
        <v>0</v>
      </c>
      <c r="AB564" s="194"/>
    </row>
    <row r="565" spans="1:28" s="278" customFormat="1" x14ac:dyDescent="0.25">
      <c r="A565" s="200">
        <v>711120</v>
      </c>
      <c r="B565" s="313" t="s">
        <v>19299</v>
      </c>
      <c r="C565" s="248"/>
      <c r="D565" s="247" t="s">
        <v>2</v>
      </c>
      <c r="E565" s="249">
        <f>U565*G565</f>
        <v>0</v>
      </c>
      <c r="F565" s="170">
        <f>V565*H565</f>
        <v>175</v>
      </c>
      <c r="G565" s="250">
        <v>0.35</v>
      </c>
      <c r="H565" s="171">
        <f>G565</f>
        <v>0.35</v>
      </c>
      <c r="I565" s="249">
        <f>U565*K565</f>
        <v>0</v>
      </c>
      <c r="J565" s="170">
        <f>V565*L565</f>
        <v>175</v>
      </c>
      <c r="K565" s="250">
        <v>0.35</v>
      </c>
      <c r="L565" s="172">
        <f>K565</f>
        <v>0.35</v>
      </c>
      <c r="M565" s="249">
        <f>U565*O565</f>
        <v>0</v>
      </c>
      <c r="N565" s="170">
        <f>P565*V565</f>
        <v>125</v>
      </c>
      <c r="O565" s="250">
        <v>0.25</v>
      </c>
      <c r="P565" s="172">
        <f>O565</f>
        <v>0.25</v>
      </c>
      <c r="Q565" s="251">
        <f>U565*S565</f>
        <v>0</v>
      </c>
      <c r="R565" s="173">
        <f>T565*V565</f>
        <v>25</v>
      </c>
      <c r="S565" s="250">
        <v>0.05</v>
      </c>
      <c r="T565" s="171">
        <f>S565</f>
        <v>0.05</v>
      </c>
      <c r="U565" s="256"/>
      <c r="V565" s="170">
        <v>500</v>
      </c>
      <c r="W565" s="258">
        <v>0.2</v>
      </c>
      <c r="X565" s="257">
        <f>U565+U565*W565</f>
        <v>0</v>
      </c>
      <c r="Y565" s="170">
        <f>IF(V565*(W565+1)=0,X565,V565*(W565+1))</f>
        <v>600</v>
      </c>
      <c r="Z565" s="170">
        <f>IF(Y565=0, 0, IF(Y565&lt;10, _xlfn.CEILING.MATH(Y565,1), IF(Y565&lt;100, _xlfn.CEILING.MATH(Y565,1),IF(Y565&lt;1000, _xlfn.CEILING.MATH(Y565,5), IF(Y565&lt;10000, _xlfn.CEILING.MATH(Y565, 25), IF(Y565&lt;100000, _xlfn.CEILING.MATH(Y565,250), IF(Y565&lt;1000000, _xlfn.CEILING.MATH(Y565,500), 0)))))))</f>
        <v>600</v>
      </c>
      <c r="AA565" s="407">
        <f>C565*Z565</f>
        <v>0</v>
      </c>
      <c r="AB565" s="194"/>
    </row>
    <row r="566" spans="1:28" s="278" customFormat="1" x14ac:dyDescent="0.25">
      <c r="A566" s="200">
        <v>711120</v>
      </c>
      <c r="B566" s="313" t="s">
        <v>19300</v>
      </c>
      <c r="C566" s="248"/>
      <c r="D566" s="247" t="s">
        <v>2</v>
      </c>
      <c r="E566" s="249">
        <f>U566*G566</f>
        <v>0</v>
      </c>
      <c r="F566" s="170">
        <f>V566*H566</f>
        <v>145.83275</v>
      </c>
      <c r="G566" s="250">
        <v>0.35</v>
      </c>
      <c r="H566" s="171">
        <f>G566</f>
        <v>0.35</v>
      </c>
      <c r="I566" s="249">
        <f>U566*K566</f>
        <v>0</v>
      </c>
      <c r="J566" s="170">
        <f>V566*L566</f>
        <v>145.83275</v>
      </c>
      <c r="K566" s="252">
        <v>0.35</v>
      </c>
      <c r="L566" s="172">
        <f>K566</f>
        <v>0.35</v>
      </c>
      <c r="M566" s="249">
        <f>U566*O566</f>
        <v>0</v>
      </c>
      <c r="N566" s="170">
        <f>P566*V566</f>
        <v>104.16625000000001</v>
      </c>
      <c r="O566" s="250">
        <v>0.25</v>
      </c>
      <c r="P566" s="172">
        <f>O566</f>
        <v>0.25</v>
      </c>
      <c r="Q566" s="251">
        <f>U566*S566</f>
        <v>0</v>
      </c>
      <c r="R566" s="173">
        <f>T566*V566</f>
        <v>20.833250000000003</v>
      </c>
      <c r="S566" s="250">
        <v>0.05</v>
      </c>
      <c r="T566" s="171">
        <f>S566</f>
        <v>0.05</v>
      </c>
      <c r="U566" s="256"/>
      <c r="V566" s="170">
        <v>416.66500000000002</v>
      </c>
      <c r="W566" s="258">
        <v>0.2</v>
      </c>
      <c r="X566" s="257">
        <f>U566+U566*W566</f>
        <v>0</v>
      </c>
      <c r="Y566" s="170">
        <f>IF(V566*(W566+1)=0,X566,V566*(W566+1))</f>
        <v>499.99799999999999</v>
      </c>
      <c r="Z566" s="170">
        <f>IF(Y566=0, 0, IF(Y566&lt;10, _xlfn.CEILING.MATH(Y566,1), IF(Y566&lt;100, _xlfn.CEILING.MATH(Y566,1),IF(Y566&lt;1000, _xlfn.CEILING.MATH(Y566,5), IF(Y566&lt;10000, _xlfn.CEILING.MATH(Y566, 25), IF(Y566&lt;100000, _xlfn.CEILING.MATH(Y566,250), IF(Y566&lt;1000000, _xlfn.CEILING.MATH(Y566,500), 0)))))))</f>
        <v>500</v>
      </c>
      <c r="AA566" s="407">
        <f>C566*Z566</f>
        <v>0</v>
      </c>
      <c r="AB566" s="194"/>
    </row>
    <row r="567" spans="1:28" s="278" customFormat="1" x14ac:dyDescent="0.25">
      <c r="A567" s="200">
        <v>711130</v>
      </c>
      <c r="B567" s="292" t="s">
        <v>19301</v>
      </c>
      <c r="C567" s="248"/>
      <c r="D567" s="165" t="s">
        <v>2</v>
      </c>
      <c r="E567" s="249">
        <f t="shared" ref="E567:F591" si="329">U567*G567</f>
        <v>320.83333333333331</v>
      </c>
      <c r="F567" s="170">
        <f t="shared" si="329"/>
        <v>327.36229166666669</v>
      </c>
      <c r="G567" s="166">
        <v>0.35</v>
      </c>
      <c r="H567" s="171">
        <f t="shared" ref="H567:H630" si="330">G567</f>
        <v>0.35</v>
      </c>
      <c r="I567" s="249">
        <f t="shared" ref="I567:J591" si="331">U567*K567</f>
        <v>412.50000000000006</v>
      </c>
      <c r="J567" s="170">
        <f t="shared" si="331"/>
        <v>420.89437500000008</v>
      </c>
      <c r="K567" s="166">
        <v>0.45</v>
      </c>
      <c r="L567" s="172">
        <f t="shared" ref="L567:L630" si="332">K567</f>
        <v>0.45</v>
      </c>
      <c r="M567" s="249">
        <f t="shared" ref="M567:M630" si="333">U567*O567</f>
        <v>137.5</v>
      </c>
      <c r="N567" s="170">
        <f t="shared" ref="N567:N630" si="334">P567*V567</f>
        <v>140.298125</v>
      </c>
      <c r="O567" s="166">
        <v>0.15</v>
      </c>
      <c r="P567" s="172">
        <f t="shared" ref="P567:P630" si="335">O567</f>
        <v>0.15</v>
      </c>
      <c r="Q567" s="251">
        <f t="shared" ref="Q567:Q630" si="336">U567*S567</f>
        <v>45.833333333333343</v>
      </c>
      <c r="R567" s="173">
        <f t="shared" ref="R567:R630" si="337">T567*V567</f>
        <v>46.766041666666673</v>
      </c>
      <c r="S567" s="166">
        <v>0.05</v>
      </c>
      <c r="T567" s="171">
        <f t="shared" ref="T567:T630" si="338">S567</f>
        <v>0.05</v>
      </c>
      <c r="U567" s="256">
        <f>1100/1.2</f>
        <v>916.66666666666674</v>
      </c>
      <c r="V567" s="170">
        <f>SUM(E567*1.0235,I567*1.0175,M567*1.0245,Q567*1.0115)</f>
        <v>935.32083333333344</v>
      </c>
      <c r="W567" s="167">
        <v>0.2</v>
      </c>
      <c r="X567" s="257">
        <f t="shared" ref="X567:X572" si="339">U567+U567*W567</f>
        <v>1100</v>
      </c>
      <c r="Y567" s="170">
        <f t="shared" ref="Y567:Y572" si="340">IF(V567*(W567+1)=0,X567,V567*(W567+1))</f>
        <v>1122.385</v>
      </c>
      <c r="Z567" s="170">
        <f t="shared" ref="Z567:Z572" si="341">IF(Y567=0, 0, IF(Y567&lt;10, _xlfn.CEILING.MATH(Y567,1), IF(Y567&lt;100, _xlfn.CEILING.MATH(Y567,1),IF(Y567&lt;1000, _xlfn.CEILING.MATH(Y567,5), IF(Y567&lt;10000, _xlfn.CEILING.MATH(Y567, 25), IF(Y567&lt;100000, _xlfn.CEILING.MATH(Y567,250), IF(Y567&lt;1000000, _xlfn.CEILING.MATH(Y567,500), 0)))))))</f>
        <v>1125</v>
      </c>
      <c r="AA567" s="407">
        <f t="shared" si="328"/>
        <v>0</v>
      </c>
      <c r="AB567" s="194"/>
    </row>
    <row r="568" spans="1:28" s="278" customFormat="1" x14ac:dyDescent="0.25">
      <c r="A568" s="200">
        <v>711130</v>
      </c>
      <c r="B568" s="292" t="s">
        <v>19302</v>
      </c>
      <c r="C568" s="248"/>
      <c r="D568" s="165" t="s">
        <v>2</v>
      </c>
      <c r="E568" s="249">
        <f t="shared" si="329"/>
        <v>277.08333333333331</v>
      </c>
      <c r="F568" s="170">
        <f t="shared" si="329"/>
        <v>282.72197916666664</v>
      </c>
      <c r="G568" s="166">
        <v>0.35</v>
      </c>
      <c r="H568" s="171">
        <f t="shared" si="330"/>
        <v>0.35</v>
      </c>
      <c r="I568" s="249">
        <f t="shared" si="331"/>
        <v>356.25000000000006</v>
      </c>
      <c r="J568" s="170">
        <f t="shared" si="331"/>
        <v>363.49968749999999</v>
      </c>
      <c r="K568" s="166">
        <v>0.45</v>
      </c>
      <c r="L568" s="172">
        <f t="shared" si="332"/>
        <v>0.45</v>
      </c>
      <c r="M568" s="249">
        <f t="shared" si="333"/>
        <v>118.75</v>
      </c>
      <c r="N568" s="170">
        <f t="shared" si="334"/>
        <v>121.16656249999998</v>
      </c>
      <c r="O568" s="166">
        <v>0.15</v>
      </c>
      <c r="P568" s="172">
        <f t="shared" si="335"/>
        <v>0.15</v>
      </c>
      <c r="Q568" s="251">
        <f t="shared" si="336"/>
        <v>39.583333333333343</v>
      </c>
      <c r="R568" s="173">
        <f t="shared" si="337"/>
        <v>40.388854166666668</v>
      </c>
      <c r="S568" s="166">
        <v>0.05</v>
      </c>
      <c r="T568" s="171">
        <f t="shared" si="338"/>
        <v>0.05</v>
      </c>
      <c r="U568" s="256">
        <f>950/1.2</f>
        <v>791.66666666666674</v>
      </c>
      <c r="V568" s="170">
        <f t="shared" ref="V568:V604" si="342">SUM(E568*1.0235,I568*1.0175,M568*1.0245,Q568*1.0115)</f>
        <v>807.77708333333328</v>
      </c>
      <c r="W568" s="167">
        <v>0.2</v>
      </c>
      <c r="X568" s="257">
        <f t="shared" si="339"/>
        <v>950.00000000000011</v>
      </c>
      <c r="Y568" s="170">
        <f t="shared" si="340"/>
        <v>969.33249999999987</v>
      </c>
      <c r="Z568" s="170">
        <f t="shared" si="341"/>
        <v>970</v>
      </c>
      <c r="AA568" s="407">
        <f t="shared" si="328"/>
        <v>0</v>
      </c>
      <c r="AB568" s="194"/>
    </row>
    <row r="569" spans="1:28" s="278" customFormat="1" x14ac:dyDescent="0.25">
      <c r="A569" s="200">
        <v>711206</v>
      </c>
      <c r="B569" s="313" t="s">
        <v>19303</v>
      </c>
      <c r="C569" s="248"/>
      <c r="D569" s="247" t="s">
        <v>2</v>
      </c>
      <c r="E569" s="249">
        <f t="shared" si="329"/>
        <v>4.1250000000000009</v>
      </c>
      <c r="F569" s="170">
        <f t="shared" si="329"/>
        <v>4.2143062500000008</v>
      </c>
      <c r="G569" s="250">
        <v>0.45</v>
      </c>
      <c r="H569" s="171">
        <f t="shared" si="330"/>
        <v>0.45</v>
      </c>
      <c r="I569" s="249">
        <f t="shared" si="331"/>
        <v>2.291666666666667</v>
      </c>
      <c r="J569" s="170">
        <f t="shared" si="331"/>
        <v>2.3412812500000002</v>
      </c>
      <c r="K569" s="250">
        <v>0.25</v>
      </c>
      <c r="L569" s="172">
        <f t="shared" si="332"/>
        <v>0.25</v>
      </c>
      <c r="M569" s="249">
        <f t="shared" si="333"/>
        <v>2.291666666666667</v>
      </c>
      <c r="N569" s="170">
        <f t="shared" si="334"/>
        <v>2.3412812500000002</v>
      </c>
      <c r="O569" s="250">
        <v>0.25</v>
      </c>
      <c r="P569" s="172">
        <f t="shared" si="335"/>
        <v>0.25</v>
      </c>
      <c r="Q569" s="251">
        <f t="shared" si="336"/>
        <v>0.45833333333333343</v>
      </c>
      <c r="R569" s="173">
        <f t="shared" si="337"/>
        <v>0.46825625000000004</v>
      </c>
      <c r="S569" s="250">
        <v>0.05</v>
      </c>
      <c r="T569" s="171">
        <f t="shared" si="338"/>
        <v>0.05</v>
      </c>
      <c r="U569" s="259">
        <f>11/1.2</f>
        <v>9.1666666666666679</v>
      </c>
      <c r="V569" s="170">
        <f t="shared" si="342"/>
        <v>9.3651250000000008</v>
      </c>
      <c r="W569" s="258">
        <v>0.2</v>
      </c>
      <c r="X569" s="257">
        <f t="shared" si="339"/>
        <v>11.000000000000002</v>
      </c>
      <c r="Y569" s="170">
        <f t="shared" si="340"/>
        <v>11.238150000000001</v>
      </c>
      <c r="Z569" s="170">
        <f t="shared" si="341"/>
        <v>12</v>
      </c>
      <c r="AA569" s="407">
        <f t="shared" si="328"/>
        <v>0</v>
      </c>
      <c r="AB569" s="194"/>
    </row>
    <row r="570" spans="1:28" s="278" customFormat="1" x14ac:dyDescent="0.25">
      <c r="A570" s="200">
        <v>711208</v>
      </c>
      <c r="B570" s="313" t="s">
        <v>19304</v>
      </c>
      <c r="C570" s="248"/>
      <c r="D570" s="247" t="s">
        <v>2</v>
      </c>
      <c r="E570" s="249">
        <f t="shared" si="329"/>
        <v>4.875</v>
      </c>
      <c r="F570" s="170">
        <f t="shared" si="329"/>
        <v>4.9805437500000016</v>
      </c>
      <c r="G570" s="250">
        <v>0.45</v>
      </c>
      <c r="H570" s="171">
        <f t="shared" si="330"/>
        <v>0.45</v>
      </c>
      <c r="I570" s="249">
        <f t="shared" si="331"/>
        <v>2.7083333333333335</v>
      </c>
      <c r="J570" s="170">
        <f t="shared" si="331"/>
        <v>2.7669687500000006</v>
      </c>
      <c r="K570" s="250">
        <v>0.25</v>
      </c>
      <c r="L570" s="172">
        <f t="shared" si="332"/>
        <v>0.25</v>
      </c>
      <c r="M570" s="249">
        <f t="shared" si="333"/>
        <v>2.7083333333333335</v>
      </c>
      <c r="N570" s="170">
        <f t="shared" si="334"/>
        <v>2.7669687500000006</v>
      </c>
      <c r="O570" s="250">
        <v>0.25</v>
      </c>
      <c r="P570" s="172">
        <f t="shared" si="335"/>
        <v>0.25</v>
      </c>
      <c r="Q570" s="251">
        <f t="shared" si="336"/>
        <v>0.54166666666666674</v>
      </c>
      <c r="R570" s="173">
        <f t="shared" si="337"/>
        <v>0.55339375000000013</v>
      </c>
      <c r="S570" s="250">
        <v>0.05</v>
      </c>
      <c r="T570" s="171">
        <f t="shared" si="338"/>
        <v>0.05</v>
      </c>
      <c r="U570" s="259">
        <f>13/1.2</f>
        <v>10.833333333333334</v>
      </c>
      <c r="V570" s="170">
        <f t="shared" si="342"/>
        <v>11.067875000000003</v>
      </c>
      <c r="W570" s="258">
        <v>0.2</v>
      </c>
      <c r="X570" s="257">
        <f t="shared" si="339"/>
        <v>13</v>
      </c>
      <c r="Y570" s="170">
        <f t="shared" si="340"/>
        <v>13.281450000000003</v>
      </c>
      <c r="Z570" s="170">
        <f t="shared" si="341"/>
        <v>14</v>
      </c>
      <c r="AA570" s="407">
        <f t="shared" si="328"/>
        <v>0</v>
      </c>
      <c r="AB570" s="194"/>
    </row>
    <row r="571" spans="1:28" s="278" customFormat="1" x14ac:dyDescent="0.25">
      <c r="A571" s="200">
        <v>711210</v>
      </c>
      <c r="B571" s="313" t="s">
        <v>19305</v>
      </c>
      <c r="C571" s="248"/>
      <c r="D571" s="247" t="s">
        <v>2</v>
      </c>
      <c r="E571" s="249">
        <f t="shared" si="329"/>
        <v>5.2500000000000009</v>
      </c>
      <c r="F571" s="170">
        <f t="shared" si="329"/>
        <v>5.3636625000000011</v>
      </c>
      <c r="G571" s="250">
        <v>0.45</v>
      </c>
      <c r="H571" s="171">
        <f t="shared" si="330"/>
        <v>0.45</v>
      </c>
      <c r="I571" s="249">
        <f t="shared" si="331"/>
        <v>2.916666666666667</v>
      </c>
      <c r="J571" s="170">
        <f t="shared" si="331"/>
        <v>2.9798125000000004</v>
      </c>
      <c r="K571" s="250">
        <v>0.25</v>
      </c>
      <c r="L571" s="172">
        <f t="shared" si="332"/>
        <v>0.25</v>
      </c>
      <c r="M571" s="249">
        <f t="shared" si="333"/>
        <v>2.916666666666667</v>
      </c>
      <c r="N571" s="170">
        <f t="shared" si="334"/>
        <v>2.9798125000000004</v>
      </c>
      <c r="O571" s="250">
        <v>0.25</v>
      </c>
      <c r="P571" s="172">
        <f t="shared" si="335"/>
        <v>0.25</v>
      </c>
      <c r="Q571" s="251">
        <f t="shared" si="336"/>
        <v>0.58333333333333337</v>
      </c>
      <c r="R571" s="173">
        <f t="shared" si="337"/>
        <v>0.59596250000000006</v>
      </c>
      <c r="S571" s="250">
        <v>0.05</v>
      </c>
      <c r="T571" s="171">
        <f t="shared" si="338"/>
        <v>0.05</v>
      </c>
      <c r="U571" s="259">
        <f>14/1.2</f>
        <v>11.666666666666668</v>
      </c>
      <c r="V571" s="170">
        <f t="shared" si="342"/>
        <v>11.919250000000002</v>
      </c>
      <c r="W571" s="258">
        <v>0.2</v>
      </c>
      <c r="X571" s="257">
        <f t="shared" si="339"/>
        <v>14.000000000000002</v>
      </c>
      <c r="Y571" s="170">
        <f t="shared" si="340"/>
        <v>14.303100000000002</v>
      </c>
      <c r="Z571" s="170">
        <f t="shared" si="341"/>
        <v>15</v>
      </c>
      <c r="AA571" s="407">
        <f t="shared" si="328"/>
        <v>0</v>
      </c>
      <c r="AB571" s="194"/>
    </row>
    <row r="572" spans="1:28" s="278" customFormat="1" x14ac:dyDescent="0.25">
      <c r="A572" s="200">
        <v>711212</v>
      </c>
      <c r="B572" s="313" t="s">
        <v>19306</v>
      </c>
      <c r="C572" s="248"/>
      <c r="D572" s="247" t="s">
        <v>2</v>
      </c>
      <c r="E572" s="249">
        <f t="shared" si="329"/>
        <v>5.625</v>
      </c>
      <c r="F572" s="170">
        <f t="shared" si="329"/>
        <v>5.7467812500000006</v>
      </c>
      <c r="G572" s="250">
        <v>0.45</v>
      </c>
      <c r="H572" s="171">
        <f t="shared" si="330"/>
        <v>0.45</v>
      </c>
      <c r="I572" s="249">
        <f t="shared" si="331"/>
        <v>3.125</v>
      </c>
      <c r="J572" s="170">
        <f t="shared" si="331"/>
        <v>3.1926562500000002</v>
      </c>
      <c r="K572" s="250">
        <v>0.25</v>
      </c>
      <c r="L572" s="172">
        <f t="shared" si="332"/>
        <v>0.25</v>
      </c>
      <c r="M572" s="249">
        <f t="shared" si="333"/>
        <v>3.125</v>
      </c>
      <c r="N572" s="170">
        <f t="shared" si="334"/>
        <v>3.1926562500000002</v>
      </c>
      <c r="O572" s="250">
        <v>0.25</v>
      </c>
      <c r="P572" s="172">
        <f t="shared" si="335"/>
        <v>0.25</v>
      </c>
      <c r="Q572" s="251">
        <f t="shared" si="336"/>
        <v>0.625</v>
      </c>
      <c r="R572" s="173">
        <f t="shared" si="337"/>
        <v>0.63853125000000011</v>
      </c>
      <c r="S572" s="250">
        <v>0.05</v>
      </c>
      <c r="T572" s="171">
        <f t="shared" si="338"/>
        <v>0.05</v>
      </c>
      <c r="U572" s="259">
        <f>15/1.2</f>
        <v>12.5</v>
      </c>
      <c r="V572" s="170">
        <f t="shared" si="342"/>
        <v>12.770625000000001</v>
      </c>
      <c r="W572" s="258">
        <v>0.2</v>
      </c>
      <c r="X572" s="257">
        <f t="shared" si="339"/>
        <v>15</v>
      </c>
      <c r="Y572" s="170">
        <f t="shared" si="340"/>
        <v>15.32475</v>
      </c>
      <c r="Z572" s="170">
        <f t="shared" si="341"/>
        <v>16</v>
      </c>
      <c r="AA572" s="407">
        <f t="shared" si="328"/>
        <v>0</v>
      </c>
      <c r="AB572" s="194"/>
    </row>
    <row r="573" spans="1:28" s="278" customFormat="1" x14ac:dyDescent="0.25">
      <c r="A573" s="200">
        <v>711214</v>
      </c>
      <c r="B573" s="313" t="s">
        <v>19307</v>
      </c>
      <c r="C573" s="248"/>
      <c r="D573" s="247" t="s">
        <v>2</v>
      </c>
      <c r="E573" s="249">
        <f t="shared" si="329"/>
        <v>0</v>
      </c>
      <c r="F573" s="170">
        <f t="shared" si="329"/>
        <v>20.6235</v>
      </c>
      <c r="G573" s="250">
        <v>0.45</v>
      </c>
      <c r="H573" s="171">
        <f t="shared" si="330"/>
        <v>0.45</v>
      </c>
      <c r="I573" s="249">
        <f t="shared" si="331"/>
        <v>0</v>
      </c>
      <c r="J573" s="170">
        <f t="shared" si="331"/>
        <v>11.4575</v>
      </c>
      <c r="K573" s="250">
        <v>0.25</v>
      </c>
      <c r="L573" s="172">
        <f t="shared" si="332"/>
        <v>0.25</v>
      </c>
      <c r="M573" s="249">
        <f t="shared" si="333"/>
        <v>0</v>
      </c>
      <c r="N573" s="170">
        <f t="shared" si="334"/>
        <v>11.4575</v>
      </c>
      <c r="O573" s="250">
        <v>0.25</v>
      </c>
      <c r="P573" s="172">
        <f t="shared" si="335"/>
        <v>0.25</v>
      </c>
      <c r="Q573" s="251">
        <f t="shared" si="336"/>
        <v>0</v>
      </c>
      <c r="R573" s="173">
        <f t="shared" si="337"/>
        <v>2.2915000000000001</v>
      </c>
      <c r="S573" s="250">
        <v>0.05</v>
      </c>
      <c r="T573" s="171">
        <f t="shared" si="338"/>
        <v>0.05</v>
      </c>
      <c r="U573" s="259"/>
      <c r="V573" s="170">
        <v>45.83</v>
      </c>
      <c r="W573" s="258">
        <v>0.2</v>
      </c>
      <c r="X573" s="257">
        <f>U573+U573*W573</f>
        <v>0</v>
      </c>
      <c r="Y573" s="170">
        <f>IF(V573*(W573+1)=0,X573,V573*(W573+1))</f>
        <v>54.995999999999995</v>
      </c>
      <c r="Z573" s="170">
        <f>IF(Y573=0, 0, IF(Y573&lt;10, _xlfn.CEILING.MATH(Y573,1), IF(Y573&lt;100, _xlfn.CEILING.MATH(Y573,1),IF(Y573&lt;1000, _xlfn.CEILING.MATH(Y573,5), IF(Y573&lt;10000, _xlfn.CEILING.MATH(Y573, 25), IF(Y573&lt;100000, _xlfn.CEILING.MATH(Y573,250), IF(Y573&lt;1000000, _xlfn.CEILING.MATH(Y573,500), 0)))))))</f>
        <v>55</v>
      </c>
      <c r="AA573" s="407">
        <f t="shared" si="328"/>
        <v>0</v>
      </c>
      <c r="AB573" s="194"/>
    </row>
    <row r="574" spans="1:28" s="278" customFormat="1" x14ac:dyDescent="0.25">
      <c r="A574" s="200">
        <v>711216</v>
      </c>
      <c r="B574" s="313" t="s">
        <v>19308</v>
      </c>
      <c r="C574" s="248"/>
      <c r="D574" s="247" t="s">
        <v>2</v>
      </c>
      <c r="E574" s="249">
        <f t="shared" si="329"/>
        <v>0</v>
      </c>
      <c r="F574" s="170">
        <f t="shared" si="329"/>
        <v>21.375</v>
      </c>
      <c r="G574" s="250">
        <v>0.45</v>
      </c>
      <c r="H574" s="171">
        <f t="shared" si="330"/>
        <v>0.45</v>
      </c>
      <c r="I574" s="249">
        <f t="shared" si="331"/>
        <v>0</v>
      </c>
      <c r="J574" s="170">
        <f t="shared" si="331"/>
        <v>11.875</v>
      </c>
      <c r="K574" s="250">
        <v>0.25</v>
      </c>
      <c r="L574" s="172">
        <f t="shared" si="332"/>
        <v>0.25</v>
      </c>
      <c r="M574" s="249">
        <f t="shared" si="333"/>
        <v>0</v>
      </c>
      <c r="N574" s="170">
        <f t="shared" si="334"/>
        <v>11.875</v>
      </c>
      <c r="O574" s="250">
        <v>0.25</v>
      </c>
      <c r="P574" s="172">
        <f t="shared" si="335"/>
        <v>0.25</v>
      </c>
      <c r="Q574" s="251">
        <f t="shared" si="336"/>
        <v>0</v>
      </c>
      <c r="R574" s="173">
        <f t="shared" si="337"/>
        <v>2.375</v>
      </c>
      <c r="S574" s="250">
        <v>0.05</v>
      </c>
      <c r="T574" s="171">
        <f t="shared" si="338"/>
        <v>0.05</v>
      </c>
      <c r="U574" s="259"/>
      <c r="V574" s="170">
        <v>47.5</v>
      </c>
      <c r="W574" s="258">
        <v>0.2</v>
      </c>
      <c r="X574" s="257">
        <f>U574+U574*W574</f>
        <v>0</v>
      </c>
      <c r="Y574" s="170">
        <f>IF(V574*(W574+1)=0,X574,V574*(W574+1))</f>
        <v>57</v>
      </c>
      <c r="Z574" s="170">
        <f>IF(Y574=0, 0, IF(Y574&lt;10, _xlfn.CEILING.MATH(Y574,1), IF(Y574&lt;100, _xlfn.CEILING.MATH(Y574,1),IF(Y574&lt;1000, _xlfn.CEILING.MATH(Y574,5), IF(Y574&lt;10000, _xlfn.CEILING.MATH(Y574, 25), IF(Y574&lt;100000, _xlfn.CEILING.MATH(Y574,250), IF(Y574&lt;1000000, _xlfn.CEILING.MATH(Y574,500), 0)))))))</f>
        <v>57</v>
      </c>
      <c r="AA574" s="407">
        <f t="shared" si="328"/>
        <v>0</v>
      </c>
      <c r="AB574" s="194"/>
    </row>
    <row r="575" spans="1:28" s="278" customFormat="1" x14ac:dyDescent="0.25">
      <c r="A575" s="200">
        <v>711220</v>
      </c>
      <c r="B575" s="313" t="s">
        <v>19309</v>
      </c>
      <c r="C575" s="248"/>
      <c r="D575" s="247" t="s">
        <v>2</v>
      </c>
      <c r="E575" s="249">
        <f t="shared" si="329"/>
        <v>0</v>
      </c>
      <c r="F575" s="170">
        <f t="shared" si="329"/>
        <v>22.122</v>
      </c>
      <c r="G575" s="250">
        <v>0.45</v>
      </c>
      <c r="H575" s="171">
        <f t="shared" si="330"/>
        <v>0.45</v>
      </c>
      <c r="I575" s="249">
        <f t="shared" si="331"/>
        <v>0</v>
      </c>
      <c r="J575" s="170">
        <f t="shared" si="331"/>
        <v>12.29</v>
      </c>
      <c r="K575" s="250">
        <v>0.25</v>
      </c>
      <c r="L575" s="172">
        <f t="shared" si="332"/>
        <v>0.25</v>
      </c>
      <c r="M575" s="249">
        <f t="shared" si="333"/>
        <v>0</v>
      </c>
      <c r="N575" s="170">
        <f t="shared" si="334"/>
        <v>12.29</v>
      </c>
      <c r="O575" s="250">
        <v>0.25</v>
      </c>
      <c r="P575" s="172">
        <f t="shared" si="335"/>
        <v>0.25</v>
      </c>
      <c r="Q575" s="251">
        <f t="shared" si="336"/>
        <v>0</v>
      </c>
      <c r="R575" s="173">
        <f t="shared" si="337"/>
        <v>2.4580000000000002</v>
      </c>
      <c r="S575" s="250">
        <v>0.05</v>
      </c>
      <c r="T575" s="171">
        <f t="shared" si="338"/>
        <v>0.05</v>
      </c>
      <c r="U575" s="259"/>
      <c r="V575" s="170">
        <v>49.16</v>
      </c>
      <c r="W575" s="258">
        <v>0.2</v>
      </c>
      <c r="X575" s="257">
        <f>U575+U575*W575</f>
        <v>0</v>
      </c>
      <c r="Y575" s="170">
        <f>IF(V575*(W575+1)=0,X575,V575*(W575+1))</f>
        <v>58.99199999999999</v>
      </c>
      <c r="Z575" s="170">
        <f>IF(Y575=0, 0, IF(Y575&lt;10, _xlfn.CEILING.MATH(Y575,1), IF(Y575&lt;100, _xlfn.CEILING.MATH(Y575,1),IF(Y575&lt;1000, _xlfn.CEILING.MATH(Y575,5), IF(Y575&lt;10000, _xlfn.CEILING.MATH(Y575, 25), IF(Y575&lt;100000, _xlfn.CEILING.MATH(Y575,250), IF(Y575&lt;1000000, _xlfn.CEILING.MATH(Y575,500), 0)))))))</f>
        <v>59</v>
      </c>
      <c r="AA575" s="407">
        <f t="shared" si="328"/>
        <v>0</v>
      </c>
      <c r="AB575" s="194"/>
    </row>
    <row r="576" spans="1:28" s="278" customFormat="1" x14ac:dyDescent="0.25">
      <c r="A576" s="200">
        <v>711224</v>
      </c>
      <c r="B576" s="313" t="s">
        <v>19310</v>
      </c>
      <c r="C576" s="248"/>
      <c r="D576" s="247" t="s">
        <v>2</v>
      </c>
      <c r="E576" s="249">
        <f t="shared" si="329"/>
        <v>0</v>
      </c>
      <c r="F576" s="170">
        <f t="shared" si="329"/>
        <v>22.5</v>
      </c>
      <c r="G576" s="250">
        <v>0.45</v>
      </c>
      <c r="H576" s="171">
        <f t="shared" si="330"/>
        <v>0.45</v>
      </c>
      <c r="I576" s="249">
        <f t="shared" si="331"/>
        <v>0</v>
      </c>
      <c r="J576" s="170">
        <f t="shared" si="331"/>
        <v>12.5</v>
      </c>
      <c r="K576" s="250">
        <v>0.25</v>
      </c>
      <c r="L576" s="172">
        <f t="shared" si="332"/>
        <v>0.25</v>
      </c>
      <c r="M576" s="249">
        <f t="shared" si="333"/>
        <v>0</v>
      </c>
      <c r="N576" s="170">
        <f t="shared" si="334"/>
        <v>12.5</v>
      </c>
      <c r="O576" s="250">
        <v>0.25</v>
      </c>
      <c r="P576" s="172">
        <f t="shared" si="335"/>
        <v>0.25</v>
      </c>
      <c r="Q576" s="251">
        <f t="shared" si="336"/>
        <v>0</v>
      </c>
      <c r="R576" s="173">
        <f t="shared" si="337"/>
        <v>2.5</v>
      </c>
      <c r="S576" s="250">
        <v>0.05</v>
      </c>
      <c r="T576" s="171">
        <f t="shared" si="338"/>
        <v>0.05</v>
      </c>
      <c r="U576" s="259"/>
      <c r="V576" s="170">
        <v>50</v>
      </c>
      <c r="W576" s="258">
        <v>0.2</v>
      </c>
      <c r="X576" s="257">
        <f>U576+U576*W576</f>
        <v>0</v>
      </c>
      <c r="Y576" s="170">
        <f>IF(V576*(W576+1)=0,X576,V576*(W576+1))</f>
        <v>60</v>
      </c>
      <c r="Z576" s="170">
        <f>IF(Y576=0, 0, IF(Y576&lt;10, _xlfn.CEILING.MATH(Y576,1), IF(Y576&lt;100, _xlfn.CEILING.MATH(Y576,1),IF(Y576&lt;1000, _xlfn.CEILING.MATH(Y576,5), IF(Y576&lt;10000, _xlfn.CEILING.MATH(Y576, 25), IF(Y576&lt;100000, _xlfn.CEILING.MATH(Y576,250), IF(Y576&lt;1000000, _xlfn.CEILING.MATH(Y576,500), 0)))))))</f>
        <v>60</v>
      </c>
      <c r="AA576" s="407">
        <f t="shared" si="328"/>
        <v>0</v>
      </c>
      <c r="AB576" s="194"/>
    </row>
    <row r="577" spans="1:28" s="278" customFormat="1" x14ac:dyDescent="0.25">
      <c r="A577" s="200">
        <v>711230</v>
      </c>
      <c r="B577" s="313" t="s">
        <v>19311</v>
      </c>
      <c r="C577" s="248"/>
      <c r="D577" s="247" t="s">
        <v>2</v>
      </c>
      <c r="E577" s="249">
        <f t="shared" si="329"/>
        <v>16.875</v>
      </c>
      <c r="F577" s="170">
        <f t="shared" si="329"/>
        <v>17.240343750000001</v>
      </c>
      <c r="G577" s="250">
        <v>0.45</v>
      </c>
      <c r="H577" s="171">
        <f t="shared" si="330"/>
        <v>0.45</v>
      </c>
      <c r="I577" s="249">
        <f t="shared" si="331"/>
        <v>9.375</v>
      </c>
      <c r="J577" s="170">
        <f t="shared" si="331"/>
        <v>9.5779687500000001</v>
      </c>
      <c r="K577" s="250">
        <v>0.25</v>
      </c>
      <c r="L577" s="172">
        <f t="shared" si="332"/>
        <v>0.25</v>
      </c>
      <c r="M577" s="249">
        <f t="shared" si="333"/>
        <v>9.375</v>
      </c>
      <c r="N577" s="170">
        <f t="shared" si="334"/>
        <v>9.5779687500000001</v>
      </c>
      <c r="O577" s="250">
        <v>0.25</v>
      </c>
      <c r="P577" s="172">
        <f t="shared" si="335"/>
        <v>0.25</v>
      </c>
      <c r="Q577" s="251">
        <f t="shared" si="336"/>
        <v>1.875</v>
      </c>
      <c r="R577" s="173">
        <f t="shared" si="337"/>
        <v>1.9155937500000002</v>
      </c>
      <c r="S577" s="250">
        <v>0.05</v>
      </c>
      <c r="T577" s="171">
        <f t="shared" si="338"/>
        <v>0.05</v>
      </c>
      <c r="U577" s="259">
        <f>45/1.2</f>
        <v>37.5</v>
      </c>
      <c r="V577" s="170">
        <f t="shared" si="342"/>
        <v>38.311875000000001</v>
      </c>
      <c r="W577" s="258">
        <v>0.2</v>
      </c>
      <c r="X577" s="257">
        <f>U577+U577*W577</f>
        <v>45</v>
      </c>
      <c r="Y577" s="170">
        <f>IF(V577*(W577+1)=0,X577,V577*(W577+1))</f>
        <v>45.974249999999998</v>
      </c>
      <c r="Z577" s="170">
        <f>IF(Y577=0, 0, IF(Y577&lt;10, _xlfn.CEILING.MATH(Y577,1), IF(Y577&lt;100, _xlfn.CEILING.MATH(Y577,1),IF(Y577&lt;1000, _xlfn.CEILING.MATH(Y577,5), IF(Y577&lt;10000, _xlfn.CEILING.MATH(Y577, 25), IF(Y577&lt;100000, _xlfn.CEILING.MATH(Y577,250), IF(Y577&lt;1000000, _xlfn.CEILING.MATH(Y577,500), 0)))))))</f>
        <v>46</v>
      </c>
      <c r="AA577" s="407">
        <f t="shared" si="328"/>
        <v>0</v>
      </c>
      <c r="AB577" s="194"/>
    </row>
    <row r="578" spans="1:28" s="278" customFormat="1" x14ac:dyDescent="0.25">
      <c r="A578" s="200">
        <v>711236</v>
      </c>
      <c r="B578" s="313" t="s">
        <v>19312</v>
      </c>
      <c r="C578" s="248"/>
      <c r="D578" s="247" t="s">
        <v>2</v>
      </c>
      <c r="E578" s="249">
        <f t="shared" si="329"/>
        <v>0</v>
      </c>
      <c r="F578" s="170">
        <f t="shared" si="329"/>
        <v>26.2485</v>
      </c>
      <c r="G578" s="250">
        <v>0.45</v>
      </c>
      <c r="H578" s="171">
        <f t="shared" si="330"/>
        <v>0.45</v>
      </c>
      <c r="I578" s="249">
        <f t="shared" si="331"/>
        <v>0</v>
      </c>
      <c r="J578" s="170">
        <f t="shared" si="331"/>
        <v>14.5825</v>
      </c>
      <c r="K578" s="250">
        <v>0.25</v>
      </c>
      <c r="L578" s="172">
        <f t="shared" si="332"/>
        <v>0.25</v>
      </c>
      <c r="M578" s="249">
        <f t="shared" si="333"/>
        <v>0</v>
      </c>
      <c r="N578" s="170">
        <f t="shared" si="334"/>
        <v>14.5825</v>
      </c>
      <c r="O578" s="250">
        <v>0.25</v>
      </c>
      <c r="P578" s="172">
        <f t="shared" si="335"/>
        <v>0.25</v>
      </c>
      <c r="Q578" s="251">
        <f t="shared" si="336"/>
        <v>0</v>
      </c>
      <c r="R578" s="173">
        <f t="shared" si="337"/>
        <v>2.9165000000000001</v>
      </c>
      <c r="S578" s="250">
        <v>0.05</v>
      </c>
      <c r="T578" s="171">
        <f t="shared" si="338"/>
        <v>0.05</v>
      </c>
      <c r="U578" s="259"/>
      <c r="V578" s="170">
        <v>58.33</v>
      </c>
      <c r="W578" s="258">
        <v>0.2</v>
      </c>
      <c r="X578" s="257">
        <f t="shared" ref="X578:X593" si="343">U578+U578*W578</f>
        <v>0</v>
      </c>
      <c r="Y578" s="170">
        <f t="shared" ref="Y578:Y593" si="344">IF(V578*(W578+1)=0,X578,V578*(W578+1))</f>
        <v>69.995999999999995</v>
      </c>
      <c r="Z578" s="170">
        <f t="shared" ref="Z578:Z593" si="345">IF(Y578=0, 0, IF(Y578&lt;10, _xlfn.CEILING.MATH(Y578,1), IF(Y578&lt;100, _xlfn.CEILING.MATH(Y578,1),IF(Y578&lt;1000, _xlfn.CEILING.MATH(Y578,5), IF(Y578&lt;10000, _xlfn.CEILING.MATH(Y578, 25), IF(Y578&lt;100000, _xlfn.CEILING.MATH(Y578,250), IF(Y578&lt;1000000, _xlfn.CEILING.MATH(Y578,500), 0)))))))</f>
        <v>70</v>
      </c>
      <c r="AA578" s="407">
        <f t="shared" si="328"/>
        <v>0</v>
      </c>
      <c r="AB578" s="194"/>
    </row>
    <row r="579" spans="1:28" s="278" customFormat="1" x14ac:dyDescent="0.25">
      <c r="A579" s="200">
        <v>711240</v>
      </c>
      <c r="B579" s="313" t="s">
        <v>19313</v>
      </c>
      <c r="C579" s="248"/>
      <c r="D579" s="247" t="s">
        <v>2</v>
      </c>
      <c r="E579" s="249">
        <f t="shared" si="329"/>
        <v>0</v>
      </c>
      <c r="F579" s="170">
        <f t="shared" si="329"/>
        <v>27.3735</v>
      </c>
      <c r="G579" s="250">
        <v>0.45</v>
      </c>
      <c r="H579" s="171">
        <f t="shared" si="330"/>
        <v>0.45</v>
      </c>
      <c r="I579" s="249">
        <f t="shared" si="331"/>
        <v>0</v>
      </c>
      <c r="J579" s="170">
        <f t="shared" si="331"/>
        <v>15.2075</v>
      </c>
      <c r="K579" s="250">
        <v>0.25</v>
      </c>
      <c r="L579" s="172">
        <f t="shared" si="332"/>
        <v>0.25</v>
      </c>
      <c r="M579" s="249">
        <f t="shared" si="333"/>
        <v>0</v>
      </c>
      <c r="N579" s="170">
        <f t="shared" si="334"/>
        <v>15.2075</v>
      </c>
      <c r="O579" s="250">
        <v>0.25</v>
      </c>
      <c r="P579" s="172">
        <f t="shared" si="335"/>
        <v>0.25</v>
      </c>
      <c r="Q579" s="251">
        <f t="shared" si="336"/>
        <v>0</v>
      </c>
      <c r="R579" s="173">
        <f t="shared" si="337"/>
        <v>3.0415000000000001</v>
      </c>
      <c r="S579" s="250">
        <v>0.05</v>
      </c>
      <c r="T579" s="171">
        <f t="shared" si="338"/>
        <v>0.05</v>
      </c>
      <c r="U579" s="259"/>
      <c r="V579" s="170">
        <v>60.83</v>
      </c>
      <c r="W579" s="258">
        <v>0.2</v>
      </c>
      <c r="X579" s="257">
        <f t="shared" si="343"/>
        <v>0</v>
      </c>
      <c r="Y579" s="170">
        <f t="shared" si="344"/>
        <v>72.995999999999995</v>
      </c>
      <c r="Z579" s="170">
        <f t="shared" si="345"/>
        <v>73</v>
      </c>
      <c r="AA579" s="407">
        <f t="shared" si="328"/>
        <v>0</v>
      </c>
      <c r="AB579" s="194"/>
    </row>
    <row r="580" spans="1:28" s="278" customFormat="1" x14ac:dyDescent="0.25">
      <c r="A580" s="200">
        <v>711242</v>
      </c>
      <c r="B580" s="313" t="s">
        <v>19314</v>
      </c>
      <c r="C580" s="248"/>
      <c r="D580" s="247" t="s">
        <v>2</v>
      </c>
      <c r="E580" s="249">
        <f t="shared" si="329"/>
        <v>0</v>
      </c>
      <c r="F580" s="170">
        <f t="shared" si="329"/>
        <v>28.863</v>
      </c>
      <c r="G580" s="250">
        <v>0.45</v>
      </c>
      <c r="H580" s="171">
        <f t="shared" si="330"/>
        <v>0.45</v>
      </c>
      <c r="I580" s="249">
        <f t="shared" si="331"/>
        <v>0</v>
      </c>
      <c r="J580" s="170">
        <f t="shared" si="331"/>
        <v>16.035</v>
      </c>
      <c r="K580" s="250">
        <v>0.25</v>
      </c>
      <c r="L580" s="172">
        <f t="shared" si="332"/>
        <v>0.25</v>
      </c>
      <c r="M580" s="249">
        <f t="shared" si="333"/>
        <v>0</v>
      </c>
      <c r="N580" s="170">
        <f t="shared" si="334"/>
        <v>16.035</v>
      </c>
      <c r="O580" s="250">
        <v>0.25</v>
      </c>
      <c r="P580" s="172">
        <f t="shared" si="335"/>
        <v>0.25</v>
      </c>
      <c r="Q580" s="251">
        <f t="shared" si="336"/>
        <v>0</v>
      </c>
      <c r="R580" s="173">
        <f t="shared" si="337"/>
        <v>3.2070000000000003</v>
      </c>
      <c r="S580" s="250">
        <v>0.05</v>
      </c>
      <c r="T580" s="171">
        <f t="shared" si="338"/>
        <v>0.05</v>
      </c>
      <c r="U580" s="259"/>
      <c r="V580" s="170">
        <v>64.14</v>
      </c>
      <c r="W580" s="258">
        <v>0.2</v>
      </c>
      <c r="X580" s="257">
        <f t="shared" si="343"/>
        <v>0</v>
      </c>
      <c r="Y580" s="170">
        <f t="shared" si="344"/>
        <v>76.968000000000004</v>
      </c>
      <c r="Z580" s="170">
        <f t="shared" si="345"/>
        <v>77</v>
      </c>
      <c r="AA580" s="407">
        <f t="shared" si="328"/>
        <v>0</v>
      </c>
      <c r="AB580" s="194"/>
    </row>
    <row r="581" spans="1:28" s="278" customFormat="1" x14ac:dyDescent="0.25">
      <c r="A581" s="200">
        <v>711250</v>
      </c>
      <c r="B581" s="313" t="s">
        <v>19315</v>
      </c>
      <c r="C581" s="248"/>
      <c r="D581" s="247" t="s">
        <v>2</v>
      </c>
      <c r="E581" s="249">
        <f t="shared" si="329"/>
        <v>0</v>
      </c>
      <c r="F581" s="170">
        <f t="shared" si="329"/>
        <v>30.7485</v>
      </c>
      <c r="G581" s="250">
        <v>0.45</v>
      </c>
      <c r="H581" s="171">
        <f t="shared" si="330"/>
        <v>0.45</v>
      </c>
      <c r="I581" s="249">
        <f t="shared" si="331"/>
        <v>0</v>
      </c>
      <c r="J581" s="170">
        <f t="shared" si="331"/>
        <v>17.0825</v>
      </c>
      <c r="K581" s="250">
        <v>0.25</v>
      </c>
      <c r="L581" s="172">
        <f t="shared" si="332"/>
        <v>0.25</v>
      </c>
      <c r="M581" s="249">
        <f t="shared" si="333"/>
        <v>0</v>
      </c>
      <c r="N581" s="170">
        <f t="shared" si="334"/>
        <v>17.0825</v>
      </c>
      <c r="O581" s="250">
        <v>0.25</v>
      </c>
      <c r="P581" s="172">
        <f t="shared" si="335"/>
        <v>0.25</v>
      </c>
      <c r="Q581" s="251">
        <f t="shared" si="336"/>
        <v>0</v>
      </c>
      <c r="R581" s="173">
        <f t="shared" si="337"/>
        <v>3.4165000000000001</v>
      </c>
      <c r="S581" s="250">
        <v>0.05</v>
      </c>
      <c r="T581" s="171">
        <f t="shared" si="338"/>
        <v>0.05</v>
      </c>
      <c r="U581" s="259"/>
      <c r="V581" s="170">
        <v>68.33</v>
      </c>
      <c r="W581" s="258">
        <v>0.2</v>
      </c>
      <c r="X581" s="257">
        <f t="shared" si="343"/>
        <v>0</v>
      </c>
      <c r="Y581" s="170">
        <f t="shared" si="344"/>
        <v>81.995999999999995</v>
      </c>
      <c r="Z581" s="170">
        <f t="shared" si="345"/>
        <v>82</v>
      </c>
      <c r="AA581" s="407">
        <f t="shared" si="328"/>
        <v>0</v>
      </c>
      <c r="AB581" s="194"/>
    </row>
    <row r="582" spans="1:28" s="278" customFormat="1" x14ac:dyDescent="0.25">
      <c r="A582" s="200">
        <v>711252</v>
      </c>
      <c r="B582" s="313" t="s">
        <v>19316</v>
      </c>
      <c r="C582" s="248"/>
      <c r="D582" s="247" t="s">
        <v>2</v>
      </c>
      <c r="E582" s="249">
        <f t="shared" si="329"/>
        <v>0</v>
      </c>
      <c r="F582" s="170">
        <f t="shared" si="329"/>
        <v>32.625</v>
      </c>
      <c r="G582" s="250">
        <v>0.45</v>
      </c>
      <c r="H582" s="171">
        <f t="shared" si="330"/>
        <v>0.45</v>
      </c>
      <c r="I582" s="249">
        <f t="shared" si="331"/>
        <v>0</v>
      </c>
      <c r="J582" s="170">
        <f t="shared" si="331"/>
        <v>18.125</v>
      </c>
      <c r="K582" s="250">
        <v>0.25</v>
      </c>
      <c r="L582" s="172">
        <f t="shared" si="332"/>
        <v>0.25</v>
      </c>
      <c r="M582" s="249">
        <f t="shared" si="333"/>
        <v>0</v>
      </c>
      <c r="N582" s="170">
        <f t="shared" si="334"/>
        <v>18.125</v>
      </c>
      <c r="O582" s="250">
        <v>0.25</v>
      </c>
      <c r="P582" s="172">
        <f t="shared" si="335"/>
        <v>0.25</v>
      </c>
      <c r="Q582" s="251">
        <f t="shared" si="336"/>
        <v>0</v>
      </c>
      <c r="R582" s="173">
        <f t="shared" si="337"/>
        <v>3.625</v>
      </c>
      <c r="S582" s="250">
        <v>0.05</v>
      </c>
      <c r="T582" s="171">
        <f t="shared" si="338"/>
        <v>0.05</v>
      </c>
      <c r="U582" s="259"/>
      <c r="V582" s="170">
        <v>72.5</v>
      </c>
      <c r="W582" s="258">
        <v>0.2</v>
      </c>
      <c r="X582" s="257">
        <f t="shared" si="343"/>
        <v>0</v>
      </c>
      <c r="Y582" s="170">
        <f t="shared" si="344"/>
        <v>87</v>
      </c>
      <c r="Z582" s="170">
        <f t="shared" si="345"/>
        <v>87</v>
      </c>
      <c r="AA582" s="407">
        <f t="shared" si="328"/>
        <v>0</v>
      </c>
      <c r="AB582" s="194"/>
    </row>
    <row r="583" spans="1:28" s="278" customFormat="1" x14ac:dyDescent="0.25">
      <c r="A583" s="200">
        <v>711254</v>
      </c>
      <c r="B583" s="313" t="s">
        <v>19317</v>
      </c>
      <c r="C583" s="248"/>
      <c r="D583" s="247" t="s">
        <v>2</v>
      </c>
      <c r="E583" s="249">
        <f t="shared" si="329"/>
        <v>0</v>
      </c>
      <c r="F583" s="170">
        <f t="shared" si="329"/>
        <v>34.488</v>
      </c>
      <c r="G583" s="250">
        <v>0.45</v>
      </c>
      <c r="H583" s="171">
        <f t="shared" si="330"/>
        <v>0.45</v>
      </c>
      <c r="I583" s="249">
        <f t="shared" si="331"/>
        <v>0</v>
      </c>
      <c r="J583" s="170">
        <f t="shared" si="331"/>
        <v>19.16</v>
      </c>
      <c r="K583" s="250">
        <v>0.25</v>
      </c>
      <c r="L583" s="172">
        <f t="shared" si="332"/>
        <v>0.25</v>
      </c>
      <c r="M583" s="249">
        <f t="shared" si="333"/>
        <v>0</v>
      </c>
      <c r="N583" s="170">
        <f t="shared" si="334"/>
        <v>19.16</v>
      </c>
      <c r="O583" s="250">
        <v>0.25</v>
      </c>
      <c r="P583" s="172">
        <f t="shared" si="335"/>
        <v>0.25</v>
      </c>
      <c r="Q583" s="251">
        <f t="shared" si="336"/>
        <v>0</v>
      </c>
      <c r="R583" s="173">
        <f t="shared" si="337"/>
        <v>3.8320000000000003</v>
      </c>
      <c r="S583" s="250">
        <v>0.05</v>
      </c>
      <c r="T583" s="171">
        <f t="shared" si="338"/>
        <v>0.05</v>
      </c>
      <c r="U583" s="259"/>
      <c r="V583" s="170">
        <v>76.64</v>
      </c>
      <c r="W583" s="258">
        <v>0.2</v>
      </c>
      <c r="X583" s="257">
        <f t="shared" si="343"/>
        <v>0</v>
      </c>
      <c r="Y583" s="170">
        <f t="shared" si="344"/>
        <v>91.968000000000004</v>
      </c>
      <c r="Z583" s="170">
        <f t="shared" si="345"/>
        <v>92</v>
      </c>
      <c r="AA583" s="407">
        <f t="shared" si="328"/>
        <v>0</v>
      </c>
      <c r="AB583" s="194"/>
    </row>
    <row r="584" spans="1:28" s="278" customFormat="1" x14ac:dyDescent="0.25">
      <c r="A584" s="200">
        <v>711260</v>
      </c>
      <c r="B584" s="313" t="s">
        <v>19318</v>
      </c>
      <c r="C584" s="248"/>
      <c r="D584" s="247" t="s">
        <v>2</v>
      </c>
      <c r="E584" s="249">
        <f t="shared" si="329"/>
        <v>0</v>
      </c>
      <c r="F584" s="170">
        <f t="shared" si="329"/>
        <v>32.332000000000001</v>
      </c>
      <c r="G584" s="250">
        <v>0.4</v>
      </c>
      <c r="H584" s="171">
        <f t="shared" si="330"/>
        <v>0.4</v>
      </c>
      <c r="I584" s="249">
        <f t="shared" si="331"/>
        <v>0</v>
      </c>
      <c r="J584" s="170">
        <f t="shared" si="331"/>
        <v>20.2075</v>
      </c>
      <c r="K584" s="250">
        <v>0.25</v>
      </c>
      <c r="L584" s="172">
        <f t="shared" si="332"/>
        <v>0.25</v>
      </c>
      <c r="M584" s="249">
        <f t="shared" si="333"/>
        <v>0</v>
      </c>
      <c r="N584" s="170">
        <f t="shared" si="334"/>
        <v>24.248999999999999</v>
      </c>
      <c r="O584" s="250">
        <v>0.3</v>
      </c>
      <c r="P584" s="172">
        <f t="shared" si="335"/>
        <v>0.3</v>
      </c>
      <c r="Q584" s="251">
        <f t="shared" si="336"/>
        <v>0</v>
      </c>
      <c r="R584" s="173">
        <f t="shared" si="337"/>
        <v>4.0415000000000001</v>
      </c>
      <c r="S584" s="250">
        <v>0.05</v>
      </c>
      <c r="T584" s="171">
        <f t="shared" si="338"/>
        <v>0.05</v>
      </c>
      <c r="U584" s="259"/>
      <c r="V584" s="170">
        <v>80.83</v>
      </c>
      <c r="W584" s="258">
        <v>0.2</v>
      </c>
      <c r="X584" s="257">
        <f t="shared" si="343"/>
        <v>0</v>
      </c>
      <c r="Y584" s="170">
        <f t="shared" si="344"/>
        <v>96.995999999999995</v>
      </c>
      <c r="Z584" s="170">
        <f t="shared" si="345"/>
        <v>97</v>
      </c>
      <c r="AA584" s="407">
        <f t="shared" si="328"/>
        <v>0</v>
      </c>
      <c r="AB584" s="194"/>
    </row>
    <row r="585" spans="1:28" s="278" customFormat="1" x14ac:dyDescent="0.25">
      <c r="A585" s="200">
        <v>711263</v>
      </c>
      <c r="B585" s="313" t="s">
        <v>19319</v>
      </c>
      <c r="C585" s="248"/>
      <c r="D585" s="247" t="s">
        <v>2</v>
      </c>
      <c r="E585" s="249">
        <f t="shared" si="329"/>
        <v>0</v>
      </c>
      <c r="F585" s="170">
        <f t="shared" si="329"/>
        <v>39.375</v>
      </c>
      <c r="G585" s="250">
        <v>0.45</v>
      </c>
      <c r="H585" s="171">
        <f t="shared" si="330"/>
        <v>0.45</v>
      </c>
      <c r="I585" s="249">
        <f t="shared" si="331"/>
        <v>0</v>
      </c>
      <c r="J585" s="170">
        <f t="shared" si="331"/>
        <v>21.875</v>
      </c>
      <c r="K585" s="250">
        <v>0.25</v>
      </c>
      <c r="L585" s="172">
        <f t="shared" si="332"/>
        <v>0.25</v>
      </c>
      <c r="M585" s="249">
        <f t="shared" si="333"/>
        <v>0</v>
      </c>
      <c r="N585" s="170">
        <f t="shared" si="334"/>
        <v>21.875</v>
      </c>
      <c r="O585" s="250">
        <v>0.25</v>
      </c>
      <c r="P585" s="172">
        <f t="shared" si="335"/>
        <v>0.25</v>
      </c>
      <c r="Q585" s="251">
        <f t="shared" si="336"/>
        <v>0</v>
      </c>
      <c r="R585" s="173">
        <f t="shared" si="337"/>
        <v>4.375</v>
      </c>
      <c r="S585" s="250">
        <v>0.05</v>
      </c>
      <c r="T585" s="171">
        <f t="shared" si="338"/>
        <v>0.05</v>
      </c>
      <c r="U585" s="259"/>
      <c r="V585" s="170">
        <v>87.5</v>
      </c>
      <c r="W585" s="258">
        <v>0.2</v>
      </c>
      <c r="X585" s="257">
        <f t="shared" si="343"/>
        <v>0</v>
      </c>
      <c r="Y585" s="170">
        <f t="shared" si="344"/>
        <v>105</v>
      </c>
      <c r="Z585" s="170">
        <f t="shared" si="345"/>
        <v>105</v>
      </c>
      <c r="AA585" s="407">
        <f t="shared" si="328"/>
        <v>0</v>
      </c>
      <c r="AB585" s="194"/>
    </row>
    <row r="586" spans="1:28" s="278" customFormat="1" x14ac:dyDescent="0.25">
      <c r="A586" s="200">
        <v>711400</v>
      </c>
      <c r="B586" s="313" t="s">
        <v>19320</v>
      </c>
      <c r="C586" s="248"/>
      <c r="D586" s="247" t="s">
        <v>3</v>
      </c>
      <c r="E586" s="249">
        <f t="shared" si="329"/>
        <v>166.66668000000001</v>
      </c>
      <c r="F586" s="170">
        <f t="shared" si="329"/>
        <v>170.00001360000002</v>
      </c>
      <c r="G586" s="250">
        <v>0.4</v>
      </c>
      <c r="H586" s="171">
        <f t="shared" si="330"/>
        <v>0.4</v>
      </c>
      <c r="I586" s="249">
        <f t="shared" si="331"/>
        <v>166.66668000000001</v>
      </c>
      <c r="J586" s="170">
        <f t="shared" si="331"/>
        <v>170.00001360000002</v>
      </c>
      <c r="K586" s="250">
        <v>0.4</v>
      </c>
      <c r="L586" s="172">
        <f t="shared" si="332"/>
        <v>0.4</v>
      </c>
      <c r="M586" s="249">
        <f t="shared" si="333"/>
        <v>41.666670000000003</v>
      </c>
      <c r="N586" s="170">
        <f t="shared" si="334"/>
        <v>42.500003400000004</v>
      </c>
      <c r="O586" s="250">
        <v>0.1</v>
      </c>
      <c r="P586" s="172">
        <f t="shared" si="335"/>
        <v>0.1</v>
      </c>
      <c r="Q586" s="251">
        <f t="shared" si="336"/>
        <v>41.666670000000003</v>
      </c>
      <c r="R586" s="173">
        <f t="shared" si="337"/>
        <v>42.500003400000004</v>
      </c>
      <c r="S586" s="250">
        <v>0.1</v>
      </c>
      <c r="T586" s="171">
        <f t="shared" si="338"/>
        <v>0.1</v>
      </c>
      <c r="U586" s="256">
        <v>416.66669999999999</v>
      </c>
      <c r="V586" s="170">
        <f t="shared" si="342"/>
        <v>425.00003400000003</v>
      </c>
      <c r="W586" s="258">
        <v>0.2</v>
      </c>
      <c r="X586" s="257">
        <f t="shared" si="343"/>
        <v>500.00004000000001</v>
      </c>
      <c r="Y586" s="170">
        <f t="shared" si="344"/>
        <v>510.00004080000002</v>
      </c>
      <c r="Z586" s="170">
        <f t="shared" si="345"/>
        <v>515</v>
      </c>
      <c r="AA586" s="407">
        <f t="shared" si="328"/>
        <v>0</v>
      </c>
      <c r="AB586" s="194"/>
    </row>
    <row r="587" spans="1:28" s="278" customFormat="1" x14ac:dyDescent="0.25">
      <c r="A587" s="200">
        <v>711400</v>
      </c>
      <c r="B587" s="313" t="s">
        <v>19321</v>
      </c>
      <c r="C587" s="248"/>
      <c r="D587" s="247" t="s">
        <v>3</v>
      </c>
      <c r="E587" s="249">
        <f t="shared" si="329"/>
        <v>133.33320000000001</v>
      </c>
      <c r="F587" s="170">
        <f t="shared" si="329"/>
        <v>135.99986400000003</v>
      </c>
      <c r="G587" s="250">
        <v>0.4</v>
      </c>
      <c r="H587" s="171">
        <f t="shared" si="330"/>
        <v>0.4</v>
      </c>
      <c r="I587" s="249">
        <f t="shared" si="331"/>
        <v>133.33320000000001</v>
      </c>
      <c r="J587" s="170">
        <f t="shared" si="331"/>
        <v>135.99986400000003</v>
      </c>
      <c r="K587" s="250">
        <v>0.4</v>
      </c>
      <c r="L587" s="172">
        <f t="shared" si="332"/>
        <v>0.4</v>
      </c>
      <c r="M587" s="249">
        <f t="shared" si="333"/>
        <v>33.333300000000001</v>
      </c>
      <c r="N587" s="170">
        <f t="shared" si="334"/>
        <v>33.999966000000008</v>
      </c>
      <c r="O587" s="250">
        <v>0.1</v>
      </c>
      <c r="P587" s="172">
        <f t="shared" si="335"/>
        <v>0.1</v>
      </c>
      <c r="Q587" s="251">
        <f t="shared" si="336"/>
        <v>33.333300000000001</v>
      </c>
      <c r="R587" s="173">
        <f t="shared" si="337"/>
        <v>33.999966000000008</v>
      </c>
      <c r="S587" s="250">
        <v>0.1</v>
      </c>
      <c r="T587" s="171">
        <f t="shared" si="338"/>
        <v>0.1</v>
      </c>
      <c r="U587" s="256">
        <v>333.33300000000003</v>
      </c>
      <c r="V587" s="170">
        <f t="shared" si="342"/>
        <v>339.99966000000006</v>
      </c>
      <c r="W587" s="258">
        <v>0.2</v>
      </c>
      <c r="X587" s="257">
        <f t="shared" si="343"/>
        <v>399.99960000000004</v>
      </c>
      <c r="Y587" s="170">
        <f t="shared" si="344"/>
        <v>407.99959200000006</v>
      </c>
      <c r="Z587" s="170">
        <f t="shared" si="345"/>
        <v>410</v>
      </c>
      <c r="AA587" s="407">
        <f t="shared" si="328"/>
        <v>0</v>
      </c>
      <c r="AB587" s="194"/>
    </row>
    <row r="588" spans="1:28" s="278" customFormat="1" x14ac:dyDescent="0.25">
      <c r="A588" s="200">
        <v>711401</v>
      </c>
      <c r="B588" s="313" t="s">
        <v>14691</v>
      </c>
      <c r="C588" s="248"/>
      <c r="D588" s="247" t="s">
        <v>11</v>
      </c>
      <c r="E588" s="249">
        <f t="shared" si="329"/>
        <v>99.999989999999997</v>
      </c>
      <c r="F588" s="170">
        <f t="shared" si="329"/>
        <v>102.03998979600001</v>
      </c>
      <c r="G588" s="250">
        <v>0.3</v>
      </c>
      <c r="H588" s="171">
        <f t="shared" si="330"/>
        <v>0.3</v>
      </c>
      <c r="I588" s="249">
        <f t="shared" si="331"/>
        <v>149.99998500000001</v>
      </c>
      <c r="J588" s="170">
        <f t="shared" si="331"/>
        <v>153.05998469400004</v>
      </c>
      <c r="K588" s="250">
        <v>0.45</v>
      </c>
      <c r="L588" s="172">
        <f t="shared" si="332"/>
        <v>0.45</v>
      </c>
      <c r="M588" s="249">
        <f t="shared" si="333"/>
        <v>66.666660000000007</v>
      </c>
      <c r="N588" s="170">
        <f t="shared" si="334"/>
        <v>68.02665986400001</v>
      </c>
      <c r="O588" s="250">
        <v>0.2</v>
      </c>
      <c r="P588" s="172">
        <f t="shared" si="335"/>
        <v>0.2</v>
      </c>
      <c r="Q588" s="251">
        <f t="shared" si="336"/>
        <v>16.666665000000002</v>
      </c>
      <c r="R588" s="173">
        <f t="shared" si="337"/>
        <v>17.006664966000002</v>
      </c>
      <c r="S588" s="250">
        <v>0.05</v>
      </c>
      <c r="T588" s="171">
        <f t="shared" si="338"/>
        <v>0.05</v>
      </c>
      <c r="U588" s="256">
        <v>333.33330000000001</v>
      </c>
      <c r="V588" s="170">
        <f t="shared" si="342"/>
        <v>340.13329932000005</v>
      </c>
      <c r="W588" s="258">
        <v>0.2</v>
      </c>
      <c r="X588" s="257">
        <f t="shared" si="343"/>
        <v>399.99995999999999</v>
      </c>
      <c r="Y588" s="170">
        <f t="shared" si="344"/>
        <v>408.15995918400006</v>
      </c>
      <c r="Z588" s="170">
        <f t="shared" si="345"/>
        <v>410</v>
      </c>
      <c r="AA588" s="407">
        <f t="shared" si="328"/>
        <v>0</v>
      </c>
      <c r="AB588" s="194"/>
    </row>
    <row r="589" spans="1:28" s="278" customFormat="1" x14ac:dyDescent="0.25">
      <c r="A589" s="200">
        <v>711401</v>
      </c>
      <c r="B589" s="313" t="s">
        <v>14692</v>
      </c>
      <c r="C589" s="248"/>
      <c r="D589" s="247" t="s">
        <v>11</v>
      </c>
      <c r="E589" s="249">
        <f t="shared" si="329"/>
        <v>50.000009999999996</v>
      </c>
      <c r="F589" s="170">
        <f t="shared" si="329"/>
        <v>51.020010204000009</v>
      </c>
      <c r="G589" s="250">
        <v>0.3</v>
      </c>
      <c r="H589" s="171">
        <f t="shared" si="330"/>
        <v>0.3</v>
      </c>
      <c r="I589" s="249">
        <f t="shared" si="331"/>
        <v>75.000015000000005</v>
      </c>
      <c r="J589" s="170">
        <f t="shared" si="331"/>
        <v>76.53001530600001</v>
      </c>
      <c r="K589" s="250">
        <v>0.45</v>
      </c>
      <c r="L589" s="172">
        <f t="shared" si="332"/>
        <v>0.45</v>
      </c>
      <c r="M589" s="249">
        <f t="shared" si="333"/>
        <v>33.33334</v>
      </c>
      <c r="N589" s="170">
        <f t="shared" si="334"/>
        <v>34.013340136000004</v>
      </c>
      <c r="O589" s="250">
        <v>0.2</v>
      </c>
      <c r="P589" s="172">
        <f t="shared" si="335"/>
        <v>0.2</v>
      </c>
      <c r="Q589" s="251">
        <f t="shared" si="336"/>
        <v>8.3333349999999999</v>
      </c>
      <c r="R589" s="173">
        <f t="shared" si="337"/>
        <v>8.5033350340000009</v>
      </c>
      <c r="S589" s="250">
        <v>0.05</v>
      </c>
      <c r="T589" s="171">
        <f t="shared" si="338"/>
        <v>0.05</v>
      </c>
      <c r="U589" s="256">
        <v>166.66669999999999</v>
      </c>
      <c r="V589" s="170">
        <f t="shared" si="342"/>
        <v>170.06670068000003</v>
      </c>
      <c r="W589" s="258">
        <v>0.2</v>
      </c>
      <c r="X589" s="257">
        <f t="shared" si="343"/>
        <v>200.00003999999998</v>
      </c>
      <c r="Y589" s="170">
        <f t="shared" si="344"/>
        <v>204.08004081600004</v>
      </c>
      <c r="Z589" s="170">
        <f t="shared" si="345"/>
        <v>205</v>
      </c>
      <c r="AA589" s="407">
        <f t="shared" si="328"/>
        <v>0</v>
      </c>
      <c r="AB589" s="194"/>
    </row>
    <row r="590" spans="1:28" s="278" customFormat="1" x14ac:dyDescent="0.25">
      <c r="A590" s="200">
        <v>711402</v>
      </c>
      <c r="B590" s="313" t="s">
        <v>19322</v>
      </c>
      <c r="C590" s="248"/>
      <c r="D590" s="247" t="s">
        <v>11</v>
      </c>
      <c r="E590" s="249">
        <f t="shared" si="329"/>
        <v>1499.9998500000002</v>
      </c>
      <c r="F590" s="170">
        <f t="shared" si="329"/>
        <v>1531.4248468575001</v>
      </c>
      <c r="G590" s="250">
        <v>0.45</v>
      </c>
      <c r="H590" s="171">
        <f t="shared" si="330"/>
        <v>0.45</v>
      </c>
      <c r="I590" s="249">
        <f t="shared" si="331"/>
        <v>1166.6665499999999</v>
      </c>
      <c r="J590" s="170">
        <f t="shared" si="331"/>
        <v>1191.1082142225</v>
      </c>
      <c r="K590" s="250">
        <v>0.35</v>
      </c>
      <c r="L590" s="172">
        <f t="shared" si="332"/>
        <v>0.35</v>
      </c>
      <c r="M590" s="249">
        <f t="shared" si="333"/>
        <v>499.99995000000001</v>
      </c>
      <c r="N590" s="170">
        <f t="shared" si="334"/>
        <v>510.47494895250003</v>
      </c>
      <c r="O590" s="250">
        <v>0.15</v>
      </c>
      <c r="P590" s="172">
        <f t="shared" si="335"/>
        <v>0.15</v>
      </c>
      <c r="Q590" s="251">
        <f t="shared" si="336"/>
        <v>166.66665</v>
      </c>
      <c r="R590" s="173">
        <f t="shared" si="337"/>
        <v>170.15831631750004</v>
      </c>
      <c r="S590" s="250">
        <v>0.05</v>
      </c>
      <c r="T590" s="171">
        <f t="shared" si="338"/>
        <v>0.05</v>
      </c>
      <c r="U590" s="256">
        <v>3333.3330000000001</v>
      </c>
      <c r="V590" s="170">
        <f t="shared" si="342"/>
        <v>3403.1663263500004</v>
      </c>
      <c r="W590" s="258">
        <v>0.2</v>
      </c>
      <c r="X590" s="257">
        <f t="shared" si="343"/>
        <v>3999.9996000000001</v>
      </c>
      <c r="Y590" s="170">
        <f t="shared" si="344"/>
        <v>4083.7995916200002</v>
      </c>
      <c r="Z590" s="170">
        <f t="shared" si="345"/>
        <v>4100</v>
      </c>
      <c r="AA590" s="407">
        <f t="shared" si="328"/>
        <v>0</v>
      </c>
      <c r="AB590" s="194"/>
    </row>
    <row r="591" spans="1:28" s="278" customFormat="1" x14ac:dyDescent="0.25">
      <c r="A591" s="200">
        <v>711402</v>
      </c>
      <c r="B591" s="313" t="s">
        <v>19323</v>
      </c>
      <c r="C591" s="248"/>
      <c r="D591" s="247" t="s">
        <v>11</v>
      </c>
      <c r="E591" s="249">
        <f t="shared" si="329"/>
        <v>1049.9998500000002</v>
      </c>
      <c r="F591" s="170">
        <f t="shared" si="329"/>
        <v>1071.9973468575001</v>
      </c>
      <c r="G591" s="250">
        <v>0.45</v>
      </c>
      <c r="H591" s="171">
        <f t="shared" si="330"/>
        <v>0.45</v>
      </c>
      <c r="I591" s="249">
        <f t="shared" si="331"/>
        <v>816.66655000000003</v>
      </c>
      <c r="J591" s="170">
        <f t="shared" si="331"/>
        <v>833.77571422250003</v>
      </c>
      <c r="K591" s="250">
        <v>0.35</v>
      </c>
      <c r="L591" s="172">
        <f t="shared" si="332"/>
        <v>0.35</v>
      </c>
      <c r="M591" s="249">
        <f t="shared" si="333"/>
        <v>349.99995000000001</v>
      </c>
      <c r="N591" s="170">
        <f t="shared" si="334"/>
        <v>357.33244895249999</v>
      </c>
      <c r="O591" s="250">
        <v>0.15</v>
      </c>
      <c r="P591" s="172">
        <f t="shared" si="335"/>
        <v>0.15</v>
      </c>
      <c r="Q591" s="251">
        <f t="shared" si="336"/>
        <v>116.66665</v>
      </c>
      <c r="R591" s="173">
        <f t="shared" si="337"/>
        <v>119.11081631750001</v>
      </c>
      <c r="S591" s="250">
        <v>0.05</v>
      </c>
      <c r="T591" s="171">
        <f t="shared" si="338"/>
        <v>0.05</v>
      </c>
      <c r="U591" s="256">
        <v>2333.3330000000001</v>
      </c>
      <c r="V591" s="170">
        <f t="shared" si="342"/>
        <v>2382.2163263500001</v>
      </c>
      <c r="W591" s="258">
        <v>0.2</v>
      </c>
      <c r="X591" s="257">
        <f t="shared" si="343"/>
        <v>2799.9996000000001</v>
      </c>
      <c r="Y591" s="170">
        <f t="shared" si="344"/>
        <v>2858.6595916199999</v>
      </c>
      <c r="Z591" s="170">
        <f t="shared" si="345"/>
        <v>2875</v>
      </c>
      <c r="AA591" s="407">
        <f t="shared" si="328"/>
        <v>0</v>
      </c>
      <c r="AB591" s="194"/>
    </row>
    <row r="592" spans="1:28" s="278" customFormat="1" x14ac:dyDescent="0.25">
      <c r="A592" s="200">
        <v>711500</v>
      </c>
      <c r="B592" s="313" t="s">
        <v>19324</v>
      </c>
      <c r="C592" s="248"/>
      <c r="D592" s="247" t="s">
        <v>11</v>
      </c>
      <c r="E592" s="249">
        <f t="shared" ref="E592:F655" si="346">U592*G592</f>
        <v>576.92306999999994</v>
      </c>
      <c r="F592" s="170">
        <f t="shared" si="346"/>
        <v>585.69230066400007</v>
      </c>
      <c r="G592" s="250">
        <v>0.15</v>
      </c>
      <c r="H592" s="171">
        <f t="shared" si="330"/>
        <v>0.15</v>
      </c>
      <c r="I592" s="249">
        <f t="shared" ref="I592:J655" si="347">U592*K592</f>
        <v>384.61538000000002</v>
      </c>
      <c r="J592" s="170">
        <f t="shared" si="347"/>
        <v>390.46153377600007</v>
      </c>
      <c r="K592" s="250">
        <v>0.1</v>
      </c>
      <c r="L592" s="172">
        <f t="shared" si="332"/>
        <v>0.1</v>
      </c>
      <c r="M592" s="249">
        <f t="shared" si="333"/>
        <v>384.61538000000002</v>
      </c>
      <c r="N592" s="170">
        <f t="shared" si="334"/>
        <v>390.46153377600007</v>
      </c>
      <c r="O592" s="250">
        <v>0.1</v>
      </c>
      <c r="P592" s="172">
        <f t="shared" si="335"/>
        <v>0.1</v>
      </c>
      <c r="Q592" s="251">
        <f t="shared" si="336"/>
        <v>2499.9999700000003</v>
      </c>
      <c r="R592" s="173">
        <f t="shared" si="337"/>
        <v>2537.9999695440001</v>
      </c>
      <c r="S592" s="250">
        <v>0.65</v>
      </c>
      <c r="T592" s="171">
        <f t="shared" si="338"/>
        <v>0.65</v>
      </c>
      <c r="U592" s="256">
        <v>3846.1538</v>
      </c>
      <c r="V592" s="170">
        <f t="shared" si="342"/>
        <v>3904.6153377600003</v>
      </c>
      <c r="W592" s="258">
        <v>0.3</v>
      </c>
      <c r="X592" s="257">
        <f t="shared" si="343"/>
        <v>4999.9999399999997</v>
      </c>
      <c r="Y592" s="170">
        <f t="shared" si="344"/>
        <v>5075.9999390880002</v>
      </c>
      <c r="Z592" s="170">
        <f t="shared" si="345"/>
        <v>5100</v>
      </c>
      <c r="AA592" s="407">
        <f t="shared" si="328"/>
        <v>0</v>
      </c>
      <c r="AB592" s="194"/>
    </row>
    <row r="593" spans="1:28" s="278" customFormat="1" x14ac:dyDescent="0.25">
      <c r="A593" s="200">
        <v>711500</v>
      </c>
      <c r="B593" s="313" t="s">
        <v>19325</v>
      </c>
      <c r="C593" s="248"/>
      <c r="D593" s="247" t="s">
        <v>11</v>
      </c>
      <c r="E593" s="249">
        <f t="shared" si="346"/>
        <v>288.46153499999997</v>
      </c>
      <c r="F593" s="170">
        <f t="shared" si="346"/>
        <v>292.84615033200004</v>
      </c>
      <c r="G593" s="250">
        <v>0.15</v>
      </c>
      <c r="H593" s="171">
        <f t="shared" si="330"/>
        <v>0.15</v>
      </c>
      <c r="I593" s="249">
        <f t="shared" si="347"/>
        <v>192.30769000000001</v>
      </c>
      <c r="J593" s="170">
        <f t="shared" si="347"/>
        <v>195.23076688800003</v>
      </c>
      <c r="K593" s="250">
        <v>0.1</v>
      </c>
      <c r="L593" s="172">
        <f t="shared" si="332"/>
        <v>0.1</v>
      </c>
      <c r="M593" s="249">
        <f t="shared" si="333"/>
        <v>192.30769000000001</v>
      </c>
      <c r="N593" s="170">
        <f t="shared" si="334"/>
        <v>195.23076688800003</v>
      </c>
      <c r="O593" s="250">
        <v>0.1</v>
      </c>
      <c r="P593" s="172">
        <f t="shared" si="335"/>
        <v>0.1</v>
      </c>
      <c r="Q593" s="251">
        <f t="shared" si="336"/>
        <v>1249.9999850000002</v>
      </c>
      <c r="R593" s="173">
        <f t="shared" si="337"/>
        <v>1268.9999847720001</v>
      </c>
      <c r="S593" s="250">
        <v>0.65</v>
      </c>
      <c r="T593" s="171">
        <f t="shared" si="338"/>
        <v>0.65</v>
      </c>
      <c r="U593" s="256">
        <v>1923.0769</v>
      </c>
      <c r="V593" s="170">
        <f t="shared" si="342"/>
        <v>1952.3076688800002</v>
      </c>
      <c r="W593" s="258">
        <v>0.3</v>
      </c>
      <c r="X593" s="257">
        <f t="shared" si="343"/>
        <v>2499.9999699999998</v>
      </c>
      <c r="Y593" s="170">
        <f t="shared" si="344"/>
        <v>2537.9999695440001</v>
      </c>
      <c r="Z593" s="170">
        <f t="shared" si="345"/>
        <v>2550</v>
      </c>
      <c r="AA593" s="407">
        <f t="shared" si="328"/>
        <v>0</v>
      </c>
      <c r="AB593" s="194"/>
    </row>
    <row r="594" spans="1:28" s="278" customFormat="1" x14ac:dyDescent="0.25">
      <c r="A594" s="200">
        <v>711510</v>
      </c>
      <c r="B594" s="313" t="s">
        <v>16093</v>
      </c>
      <c r="C594" s="248"/>
      <c r="D594" s="247" t="s">
        <v>11</v>
      </c>
      <c r="E594" s="249">
        <f t="shared" si="346"/>
        <v>0</v>
      </c>
      <c r="F594" s="170">
        <f t="shared" si="346"/>
        <v>168</v>
      </c>
      <c r="G594" s="250">
        <v>0.42</v>
      </c>
      <c r="H594" s="171">
        <f t="shared" si="330"/>
        <v>0.42</v>
      </c>
      <c r="I594" s="249">
        <f t="shared" si="347"/>
        <v>0</v>
      </c>
      <c r="J594" s="170">
        <f t="shared" si="347"/>
        <v>152</v>
      </c>
      <c r="K594" s="252">
        <v>0.38</v>
      </c>
      <c r="L594" s="172">
        <f t="shared" si="332"/>
        <v>0.38</v>
      </c>
      <c r="M594" s="249">
        <f t="shared" si="333"/>
        <v>0</v>
      </c>
      <c r="N594" s="170">
        <f t="shared" si="334"/>
        <v>60</v>
      </c>
      <c r="O594" s="250">
        <v>0.15</v>
      </c>
      <c r="P594" s="172">
        <f t="shared" si="335"/>
        <v>0.15</v>
      </c>
      <c r="Q594" s="251">
        <f t="shared" si="336"/>
        <v>0</v>
      </c>
      <c r="R594" s="173">
        <f t="shared" si="337"/>
        <v>20</v>
      </c>
      <c r="S594" s="250">
        <v>0.05</v>
      </c>
      <c r="T594" s="171">
        <f t="shared" si="338"/>
        <v>0.05</v>
      </c>
      <c r="U594" s="256"/>
      <c r="V594" s="170">
        <f>500/1.25</f>
        <v>400</v>
      </c>
      <c r="W594" s="258">
        <v>0.25</v>
      </c>
      <c r="X594" s="257">
        <f>U594+U594*W594</f>
        <v>0</v>
      </c>
      <c r="Y594" s="170">
        <f>IF(V594*(W594+1)=0,X594,V594*(W594+1))</f>
        <v>500</v>
      </c>
      <c r="Z594" s="170">
        <f>IF(Y594=0, 0, IF(Y594&lt;10, _xlfn.CEILING.MATH(Y594,1), IF(Y594&lt;100, _xlfn.CEILING.MATH(Y594,1),IF(Y594&lt;1000, _xlfn.CEILING.MATH(Y594,5), IF(Y594&lt;10000, _xlfn.CEILING.MATH(Y594, 25), IF(Y594&lt;100000, _xlfn.CEILING.MATH(Y594,250), IF(Y594&lt;1000000, _xlfn.CEILING.MATH(Y594,500), 0)))))))</f>
        <v>500</v>
      </c>
      <c r="AA594" s="407">
        <f>C594*Z594</f>
        <v>0</v>
      </c>
      <c r="AB594" s="194"/>
    </row>
    <row r="595" spans="1:28" s="278" customFormat="1" ht="14.4" thickBot="1" x14ac:dyDescent="0.3">
      <c r="A595" s="263">
        <v>711510</v>
      </c>
      <c r="B595" s="321" t="s">
        <v>16094</v>
      </c>
      <c r="C595" s="265"/>
      <c r="D595" s="264" t="s">
        <v>11</v>
      </c>
      <c r="E595" s="266">
        <f t="shared" si="346"/>
        <v>0</v>
      </c>
      <c r="F595" s="174">
        <f t="shared" si="346"/>
        <v>128</v>
      </c>
      <c r="G595" s="267">
        <v>0.4</v>
      </c>
      <c r="H595" s="268">
        <f t="shared" si="330"/>
        <v>0.4</v>
      </c>
      <c r="I595" s="266">
        <f t="shared" si="347"/>
        <v>0</v>
      </c>
      <c r="J595" s="174">
        <f t="shared" si="347"/>
        <v>140.80000000000001</v>
      </c>
      <c r="K595" s="408">
        <v>0.44</v>
      </c>
      <c r="L595" s="269">
        <f t="shared" si="332"/>
        <v>0.44</v>
      </c>
      <c r="M595" s="266">
        <f t="shared" si="333"/>
        <v>0</v>
      </c>
      <c r="N595" s="174">
        <f t="shared" si="334"/>
        <v>41.6</v>
      </c>
      <c r="O595" s="267">
        <v>0.13</v>
      </c>
      <c r="P595" s="269">
        <f t="shared" si="335"/>
        <v>0.13</v>
      </c>
      <c r="Q595" s="270">
        <f t="shared" si="336"/>
        <v>0</v>
      </c>
      <c r="R595" s="271">
        <f t="shared" si="337"/>
        <v>9.6</v>
      </c>
      <c r="S595" s="267">
        <v>0.03</v>
      </c>
      <c r="T595" s="268">
        <f t="shared" si="338"/>
        <v>0.03</v>
      </c>
      <c r="U595" s="409"/>
      <c r="V595" s="174">
        <f>400/1.25</f>
        <v>320</v>
      </c>
      <c r="W595" s="322">
        <v>0.25</v>
      </c>
      <c r="X595" s="274">
        <f>U595+U595*W595</f>
        <v>0</v>
      </c>
      <c r="Y595" s="174">
        <f>IF(V595*(W595+1)=0,X595,V595*(W595+1))</f>
        <v>400</v>
      </c>
      <c r="Z595" s="174">
        <f>IF(Y595=0, 0, IF(Y595&lt;10, _xlfn.CEILING.MATH(Y595,1), IF(Y595&lt;100, _xlfn.CEILING.MATH(Y595,1),IF(Y595&lt;1000, _xlfn.CEILING.MATH(Y595,5), IF(Y595&lt;10000, _xlfn.CEILING.MATH(Y595, 25), IF(Y595&lt;100000, _xlfn.CEILING.MATH(Y595,250), IF(Y595&lt;1000000, _xlfn.CEILING.MATH(Y595,500), 0)))))))</f>
        <v>400</v>
      </c>
      <c r="AA595" s="410">
        <f>C595*Z595</f>
        <v>0</v>
      </c>
      <c r="AB595" s="194"/>
    </row>
    <row r="596" spans="1:28" s="278" customFormat="1" x14ac:dyDescent="0.25">
      <c r="A596" s="195" t="s">
        <v>14693</v>
      </c>
      <c r="B596" s="317" t="s">
        <v>14694</v>
      </c>
      <c r="C596" s="241"/>
      <c r="D596" s="242"/>
      <c r="E596" s="243"/>
      <c r="F596" s="244"/>
      <c r="G596" s="245"/>
      <c r="H596" s="246"/>
      <c r="I596" s="243"/>
      <c r="J596" s="244"/>
      <c r="K596" s="245"/>
      <c r="L596" s="246"/>
      <c r="M596" s="243"/>
      <c r="N596" s="244"/>
      <c r="O596" s="245"/>
      <c r="P596" s="246"/>
      <c r="Q596" s="243"/>
      <c r="R596" s="244"/>
      <c r="S596" s="245"/>
      <c r="T596" s="246"/>
      <c r="U596" s="246"/>
      <c r="V596" s="246"/>
      <c r="W596" s="246"/>
      <c r="X596" s="246"/>
      <c r="Y596" s="244"/>
      <c r="Z596" s="244"/>
      <c r="AA596" s="406"/>
      <c r="AB596" s="194"/>
    </row>
    <row r="597" spans="1:28" s="278" customFormat="1" x14ac:dyDescent="0.25">
      <c r="A597" s="200">
        <v>712004</v>
      </c>
      <c r="B597" s="313" t="s">
        <v>19326</v>
      </c>
      <c r="C597" s="248"/>
      <c r="D597" s="247" t="s">
        <v>11</v>
      </c>
      <c r="E597" s="249">
        <f t="shared" si="346"/>
        <v>275.00000999999997</v>
      </c>
      <c r="F597" s="170">
        <f t="shared" si="346"/>
        <v>280.51376020049997</v>
      </c>
      <c r="G597" s="250">
        <v>0.3</v>
      </c>
      <c r="H597" s="171">
        <f t="shared" si="330"/>
        <v>0.3</v>
      </c>
      <c r="I597" s="249">
        <f t="shared" si="347"/>
        <v>458.33335</v>
      </c>
      <c r="J597" s="170">
        <f t="shared" si="347"/>
        <v>467.52293366750001</v>
      </c>
      <c r="K597" s="250">
        <v>0.5</v>
      </c>
      <c r="L597" s="172">
        <f t="shared" si="332"/>
        <v>0.5</v>
      </c>
      <c r="M597" s="249">
        <f t="shared" si="333"/>
        <v>137.50000499999999</v>
      </c>
      <c r="N597" s="170">
        <f t="shared" si="334"/>
        <v>140.25688010024999</v>
      </c>
      <c r="O597" s="250">
        <v>0.15</v>
      </c>
      <c r="P597" s="172">
        <f t="shared" si="335"/>
        <v>0.15</v>
      </c>
      <c r="Q597" s="251">
        <f t="shared" si="336"/>
        <v>45.833335000000005</v>
      </c>
      <c r="R597" s="173">
        <f t="shared" si="337"/>
        <v>46.752293366750003</v>
      </c>
      <c r="S597" s="250">
        <v>0.05</v>
      </c>
      <c r="T597" s="171">
        <f t="shared" si="338"/>
        <v>0.05</v>
      </c>
      <c r="U597" s="256">
        <v>916.66669999999999</v>
      </c>
      <c r="V597" s="170">
        <f t="shared" si="342"/>
        <v>935.04586733500003</v>
      </c>
      <c r="W597" s="258">
        <v>0.2</v>
      </c>
      <c r="X597" s="257">
        <f>U597+U597*W597</f>
        <v>1100.0000399999999</v>
      </c>
      <c r="Y597" s="170">
        <f>IF(V597*(W597+1)=0,X597,V597*(W597+1))</f>
        <v>1122.0550408019999</v>
      </c>
      <c r="Z597" s="170">
        <f t="shared" ref="Z597:Z606" si="348">IF(Y597=0, 0, IF(Y597&lt;10, _xlfn.CEILING.MATH(Y597,1), IF(Y597&lt;100, _xlfn.CEILING.MATH(Y597,1),IF(Y597&lt;1000, _xlfn.CEILING.MATH(Y597,5), IF(Y597&lt;10000, _xlfn.CEILING.MATH(Y597, 25), IF(Y597&lt;100000, _xlfn.CEILING.MATH(Y597,250), IF(Y597&lt;1000000, _xlfn.CEILING.MATH(Y597,500), 0)))))))</f>
        <v>1125</v>
      </c>
      <c r="AA597" s="407">
        <f t="shared" si="328"/>
        <v>0</v>
      </c>
      <c r="AB597" s="194"/>
    </row>
    <row r="598" spans="1:28" s="278" customFormat="1" x14ac:dyDescent="0.25">
      <c r="A598" s="200">
        <v>712004</v>
      </c>
      <c r="B598" s="313" t="s">
        <v>19327</v>
      </c>
      <c r="C598" s="248"/>
      <c r="D598" s="247" t="s">
        <v>11</v>
      </c>
      <c r="E598" s="249">
        <f t="shared" si="346"/>
        <v>237.50000999999997</v>
      </c>
      <c r="F598" s="170">
        <f t="shared" si="346"/>
        <v>242.26188520050002</v>
      </c>
      <c r="G598" s="250">
        <v>0.3</v>
      </c>
      <c r="H598" s="171">
        <f t="shared" si="330"/>
        <v>0.3</v>
      </c>
      <c r="I598" s="249">
        <f t="shared" si="347"/>
        <v>395.83335</v>
      </c>
      <c r="J598" s="170">
        <f t="shared" si="347"/>
        <v>403.76980866750006</v>
      </c>
      <c r="K598" s="250">
        <v>0.5</v>
      </c>
      <c r="L598" s="172">
        <f t="shared" si="332"/>
        <v>0.5</v>
      </c>
      <c r="M598" s="249">
        <f t="shared" si="333"/>
        <v>118.75000499999999</v>
      </c>
      <c r="N598" s="170">
        <f t="shared" si="334"/>
        <v>121.13094260025001</v>
      </c>
      <c r="O598" s="250">
        <v>0.15</v>
      </c>
      <c r="P598" s="172">
        <f t="shared" si="335"/>
        <v>0.15</v>
      </c>
      <c r="Q598" s="251">
        <f t="shared" si="336"/>
        <v>39.583335000000005</v>
      </c>
      <c r="R598" s="173">
        <f t="shared" si="337"/>
        <v>40.37698086675001</v>
      </c>
      <c r="S598" s="250">
        <v>0.05</v>
      </c>
      <c r="T598" s="171">
        <f t="shared" si="338"/>
        <v>0.05</v>
      </c>
      <c r="U598" s="256">
        <v>791.66669999999999</v>
      </c>
      <c r="V598" s="170">
        <f t="shared" si="342"/>
        <v>807.53961733500012</v>
      </c>
      <c r="W598" s="258">
        <v>0.2</v>
      </c>
      <c r="X598" s="257">
        <f>U598+U598*W598</f>
        <v>950.00004000000001</v>
      </c>
      <c r="Y598" s="170">
        <f>IF(V598*(W598+1)=0,X598,V598*(W598+1))</f>
        <v>969.04754080200007</v>
      </c>
      <c r="Z598" s="170">
        <f t="shared" si="348"/>
        <v>970</v>
      </c>
      <c r="AA598" s="407">
        <f t="shared" si="328"/>
        <v>0</v>
      </c>
      <c r="AB598" s="194"/>
    </row>
    <row r="599" spans="1:28" s="278" customFormat="1" x14ac:dyDescent="0.25">
      <c r="A599" s="200">
        <v>712006</v>
      </c>
      <c r="B599" s="313" t="s">
        <v>19328</v>
      </c>
      <c r="C599" s="248"/>
      <c r="D599" s="247" t="s">
        <v>11</v>
      </c>
      <c r="E599" s="249">
        <f t="shared" si="346"/>
        <v>312.50000999999997</v>
      </c>
      <c r="F599" s="170">
        <f t="shared" si="346"/>
        <v>318.76563520050001</v>
      </c>
      <c r="G599" s="250">
        <v>0.3</v>
      </c>
      <c r="H599" s="171">
        <f t="shared" si="330"/>
        <v>0.3</v>
      </c>
      <c r="I599" s="249">
        <f t="shared" si="347"/>
        <v>520.83335</v>
      </c>
      <c r="J599" s="170">
        <f t="shared" si="347"/>
        <v>531.27605866750002</v>
      </c>
      <c r="K599" s="250">
        <v>0.5</v>
      </c>
      <c r="L599" s="172">
        <f t="shared" si="332"/>
        <v>0.5</v>
      </c>
      <c r="M599" s="249">
        <f t="shared" si="333"/>
        <v>156.25000499999999</v>
      </c>
      <c r="N599" s="170">
        <f t="shared" si="334"/>
        <v>159.38281760025001</v>
      </c>
      <c r="O599" s="250">
        <v>0.15</v>
      </c>
      <c r="P599" s="172">
        <f t="shared" si="335"/>
        <v>0.15</v>
      </c>
      <c r="Q599" s="251">
        <f t="shared" si="336"/>
        <v>52.083335000000005</v>
      </c>
      <c r="R599" s="173">
        <f t="shared" si="337"/>
        <v>53.127605866750002</v>
      </c>
      <c r="S599" s="250">
        <v>0.05</v>
      </c>
      <c r="T599" s="171">
        <f t="shared" si="338"/>
        <v>0.05</v>
      </c>
      <c r="U599" s="256">
        <v>1041.6667</v>
      </c>
      <c r="V599" s="170">
        <f t="shared" si="342"/>
        <v>1062.552117335</v>
      </c>
      <c r="W599" s="258">
        <v>0.2</v>
      </c>
      <c r="X599" s="257">
        <f>U599+U599*W599</f>
        <v>1250.0000399999999</v>
      </c>
      <c r="Y599" s="170">
        <f t="shared" ref="Y599:Y669" si="349">IF(V599*(W599+1)=0,X599,V599*(W599+1))</f>
        <v>1275.0625408020001</v>
      </c>
      <c r="Z599" s="170">
        <f t="shared" si="348"/>
        <v>1300</v>
      </c>
      <c r="AA599" s="407">
        <f t="shared" si="328"/>
        <v>0</v>
      </c>
      <c r="AB599" s="194"/>
    </row>
    <row r="600" spans="1:28" s="278" customFormat="1" x14ac:dyDescent="0.25">
      <c r="A600" s="200">
        <v>712006</v>
      </c>
      <c r="B600" s="313" t="s">
        <v>19329</v>
      </c>
      <c r="C600" s="248"/>
      <c r="D600" s="247" t="s">
        <v>11</v>
      </c>
      <c r="E600" s="249">
        <f t="shared" si="346"/>
        <v>249.99999</v>
      </c>
      <c r="F600" s="170">
        <f t="shared" si="346"/>
        <v>255.01248979950003</v>
      </c>
      <c r="G600" s="250">
        <v>0.3</v>
      </c>
      <c r="H600" s="171">
        <f t="shared" si="330"/>
        <v>0.3</v>
      </c>
      <c r="I600" s="249">
        <f t="shared" si="347"/>
        <v>416.66665</v>
      </c>
      <c r="J600" s="170">
        <f t="shared" si="347"/>
        <v>425.02081633250009</v>
      </c>
      <c r="K600" s="250">
        <v>0.5</v>
      </c>
      <c r="L600" s="172">
        <f t="shared" si="332"/>
        <v>0.5</v>
      </c>
      <c r="M600" s="249">
        <f t="shared" si="333"/>
        <v>124.999995</v>
      </c>
      <c r="N600" s="170">
        <f t="shared" si="334"/>
        <v>127.50624489975002</v>
      </c>
      <c r="O600" s="250">
        <v>0.15</v>
      </c>
      <c r="P600" s="172">
        <f t="shared" si="335"/>
        <v>0.15</v>
      </c>
      <c r="Q600" s="251">
        <f t="shared" si="336"/>
        <v>41.666665000000002</v>
      </c>
      <c r="R600" s="173">
        <f t="shared" si="337"/>
        <v>42.502081633250015</v>
      </c>
      <c r="S600" s="250">
        <v>0.05</v>
      </c>
      <c r="T600" s="171">
        <f t="shared" si="338"/>
        <v>0.05</v>
      </c>
      <c r="U600" s="256">
        <v>833.33330000000001</v>
      </c>
      <c r="V600" s="170">
        <f t="shared" si="342"/>
        <v>850.04163266500018</v>
      </c>
      <c r="W600" s="258">
        <v>0.2</v>
      </c>
      <c r="X600" s="257">
        <v>1100</v>
      </c>
      <c r="Y600" s="170">
        <f t="shared" si="349"/>
        <v>1020.0499591980001</v>
      </c>
      <c r="Z600" s="170">
        <f t="shared" si="348"/>
        <v>1025</v>
      </c>
      <c r="AA600" s="407">
        <f t="shared" si="328"/>
        <v>0</v>
      </c>
      <c r="AB600" s="194"/>
    </row>
    <row r="601" spans="1:28" s="278" customFormat="1" x14ac:dyDescent="0.25">
      <c r="A601" s="200">
        <v>712008</v>
      </c>
      <c r="B601" s="313" t="s">
        <v>19330</v>
      </c>
      <c r="C601" s="248"/>
      <c r="D601" s="247" t="s">
        <v>11</v>
      </c>
      <c r="E601" s="249">
        <f t="shared" si="346"/>
        <v>500.00000999999997</v>
      </c>
      <c r="F601" s="170">
        <f t="shared" si="346"/>
        <v>510.02501020049999</v>
      </c>
      <c r="G601" s="250">
        <v>0.3</v>
      </c>
      <c r="H601" s="171">
        <f t="shared" si="330"/>
        <v>0.3</v>
      </c>
      <c r="I601" s="249">
        <f t="shared" si="347"/>
        <v>833.33335</v>
      </c>
      <c r="J601" s="170">
        <f t="shared" si="347"/>
        <v>850.04168366750002</v>
      </c>
      <c r="K601" s="250">
        <v>0.5</v>
      </c>
      <c r="L601" s="172">
        <f t="shared" si="332"/>
        <v>0.5</v>
      </c>
      <c r="M601" s="249">
        <f t="shared" si="333"/>
        <v>250.00000499999999</v>
      </c>
      <c r="N601" s="170">
        <f t="shared" si="334"/>
        <v>255.01250510025</v>
      </c>
      <c r="O601" s="250">
        <v>0.15</v>
      </c>
      <c r="P601" s="172">
        <f t="shared" si="335"/>
        <v>0.15</v>
      </c>
      <c r="Q601" s="251">
        <f t="shared" si="336"/>
        <v>83.333335000000005</v>
      </c>
      <c r="R601" s="173">
        <f t="shared" si="337"/>
        <v>85.004168366750008</v>
      </c>
      <c r="S601" s="250">
        <v>0.05</v>
      </c>
      <c r="T601" s="171">
        <f t="shared" si="338"/>
        <v>0.05</v>
      </c>
      <c r="U601" s="256">
        <v>1666.6667</v>
      </c>
      <c r="V601" s="170">
        <f t="shared" si="342"/>
        <v>1700.083367335</v>
      </c>
      <c r="W601" s="258">
        <v>0.2</v>
      </c>
      <c r="X601" s="257">
        <f t="shared" ref="X601:X632" si="350">U601+U601*W601</f>
        <v>2000.0000399999999</v>
      </c>
      <c r="Y601" s="170">
        <f t="shared" si="349"/>
        <v>2040.100040802</v>
      </c>
      <c r="Z601" s="170">
        <f t="shared" si="348"/>
        <v>2050</v>
      </c>
      <c r="AA601" s="407">
        <f t="shared" si="328"/>
        <v>0</v>
      </c>
      <c r="AB601" s="194"/>
    </row>
    <row r="602" spans="1:28" s="278" customFormat="1" x14ac:dyDescent="0.25">
      <c r="A602" s="200">
        <v>712008</v>
      </c>
      <c r="B602" s="313" t="s">
        <v>19331</v>
      </c>
      <c r="C602" s="248"/>
      <c r="D602" s="247" t="s">
        <v>11</v>
      </c>
      <c r="E602" s="249">
        <f t="shared" si="346"/>
        <v>450</v>
      </c>
      <c r="F602" s="170">
        <f t="shared" si="346"/>
        <v>459.02249999999998</v>
      </c>
      <c r="G602" s="250">
        <v>0.3</v>
      </c>
      <c r="H602" s="171">
        <f t="shared" si="330"/>
        <v>0.3</v>
      </c>
      <c r="I602" s="249">
        <f t="shared" si="347"/>
        <v>750</v>
      </c>
      <c r="J602" s="170">
        <f t="shared" si="347"/>
        <v>765.03750000000002</v>
      </c>
      <c r="K602" s="250">
        <v>0.5</v>
      </c>
      <c r="L602" s="172">
        <f t="shared" si="332"/>
        <v>0.5</v>
      </c>
      <c r="M602" s="249">
        <f t="shared" si="333"/>
        <v>225</v>
      </c>
      <c r="N602" s="170">
        <f t="shared" si="334"/>
        <v>229.51124999999999</v>
      </c>
      <c r="O602" s="250">
        <v>0.15</v>
      </c>
      <c r="P602" s="172">
        <f t="shared" si="335"/>
        <v>0.15</v>
      </c>
      <c r="Q602" s="251">
        <f t="shared" si="336"/>
        <v>75</v>
      </c>
      <c r="R602" s="173">
        <f t="shared" si="337"/>
        <v>76.503750000000011</v>
      </c>
      <c r="S602" s="250">
        <v>0.05</v>
      </c>
      <c r="T602" s="171">
        <f t="shared" si="338"/>
        <v>0.05</v>
      </c>
      <c r="U602" s="256">
        <v>1500</v>
      </c>
      <c r="V602" s="170">
        <f t="shared" si="342"/>
        <v>1530.075</v>
      </c>
      <c r="W602" s="258">
        <v>0.2</v>
      </c>
      <c r="X602" s="257">
        <f t="shared" si="350"/>
        <v>1800</v>
      </c>
      <c r="Y602" s="170">
        <f t="shared" si="349"/>
        <v>1836.09</v>
      </c>
      <c r="Z602" s="170">
        <f t="shared" si="348"/>
        <v>1850</v>
      </c>
      <c r="AA602" s="407">
        <f t="shared" si="328"/>
        <v>0</v>
      </c>
      <c r="AB602" s="194"/>
    </row>
    <row r="603" spans="1:28" s="278" customFormat="1" x14ac:dyDescent="0.25">
      <c r="A603" s="200">
        <v>712010</v>
      </c>
      <c r="B603" s="313" t="s">
        <v>19332</v>
      </c>
      <c r="C603" s="248"/>
      <c r="D603" s="247" t="s">
        <v>11</v>
      </c>
      <c r="E603" s="249">
        <f t="shared" si="346"/>
        <v>549.99990000000003</v>
      </c>
      <c r="F603" s="170">
        <f t="shared" si="346"/>
        <v>561.02739799500011</v>
      </c>
      <c r="G603" s="250">
        <v>0.3</v>
      </c>
      <c r="H603" s="171">
        <f t="shared" si="330"/>
        <v>0.3</v>
      </c>
      <c r="I603" s="249">
        <f t="shared" si="347"/>
        <v>916.66650000000004</v>
      </c>
      <c r="J603" s="170">
        <f t="shared" si="347"/>
        <v>935.04566332500019</v>
      </c>
      <c r="K603" s="250">
        <v>0.5</v>
      </c>
      <c r="L603" s="172">
        <f t="shared" si="332"/>
        <v>0.5</v>
      </c>
      <c r="M603" s="249">
        <f t="shared" si="333"/>
        <v>274.99995000000001</v>
      </c>
      <c r="N603" s="170">
        <f t="shared" si="334"/>
        <v>280.51369899750006</v>
      </c>
      <c r="O603" s="250">
        <v>0.15</v>
      </c>
      <c r="P603" s="172">
        <f t="shared" si="335"/>
        <v>0.15</v>
      </c>
      <c r="Q603" s="251">
        <f t="shared" si="336"/>
        <v>91.666650000000004</v>
      </c>
      <c r="R603" s="173">
        <f t="shared" si="337"/>
        <v>93.504566332500019</v>
      </c>
      <c r="S603" s="250">
        <v>0.05</v>
      </c>
      <c r="T603" s="171">
        <f t="shared" si="338"/>
        <v>0.05</v>
      </c>
      <c r="U603" s="256">
        <v>1833.3330000000001</v>
      </c>
      <c r="V603" s="170">
        <f t="shared" si="342"/>
        <v>1870.0913266500004</v>
      </c>
      <c r="W603" s="258">
        <v>0.2</v>
      </c>
      <c r="X603" s="257">
        <f t="shared" si="350"/>
        <v>2199.9996000000001</v>
      </c>
      <c r="Y603" s="170">
        <f t="shared" si="349"/>
        <v>2244.1095919800005</v>
      </c>
      <c r="Z603" s="170">
        <f t="shared" si="348"/>
        <v>2250</v>
      </c>
      <c r="AA603" s="407">
        <f t="shared" si="328"/>
        <v>0</v>
      </c>
      <c r="AB603" s="194"/>
    </row>
    <row r="604" spans="1:28" s="278" customFormat="1" x14ac:dyDescent="0.25">
      <c r="A604" s="200">
        <v>712010</v>
      </c>
      <c r="B604" s="313" t="s">
        <v>19333</v>
      </c>
      <c r="C604" s="248"/>
      <c r="D604" s="247" t="s">
        <v>11</v>
      </c>
      <c r="E604" s="249">
        <f t="shared" si="346"/>
        <v>500.00009999999997</v>
      </c>
      <c r="F604" s="170">
        <f t="shared" si="346"/>
        <v>510.02510200499989</v>
      </c>
      <c r="G604" s="250">
        <v>0.3</v>
      </c>
      <c r="H604" s="171">
        <f t="shared" si="330"/>
        <v>0.3</v>
      </c>
      <c r="I604" s="249">
        <f t="shared" si="347"/>
        <v>833.33349999999996</v>
      </c>
      <c r="J604" s="170">
        <f t="shared" si="347"/>
        <v>850.0418366749999</v>
      </c>
      <c r="K604" s="250">
        <v>0.5</v>
      </c>
      <c r="L604" s="172">
        <f t="shared" si="332"/>
        <v>0.5</v>
      </c>
      <c r="M604" s="249">
        <f t="shared" si="333"/>
        <v>250.00004999999999</v>
      </c>
      <c r="N604" s="170">
        <f t="shared" si="334"/>
        <v>255.01255100249995</v>
      </c>
      <c r="O604" s="250">
        <v>0.15</v>
      </c>
      <c r="P604" s="172">
        <f t="shared" si="335"/>
        <v>0.15</v>
      </c>
      <c r="Q604" s="251">
        <f t="shared" si="336"/>
        <v>83.333349999999996</v>
      </c>
      <c r="R604" s="173">
        <f t="shared" si="337"/>
        <v>85.004183667500001</v>
      </c>
      <c r="S604" s="250">
        <v>0.05</v>
      </c>
      <c r="T604" s="171">
        <f t="shared" si="338"/>
        <v>0.05</v>
      </c>
      <c r="U604" s="256">
        <v>1666.6669999999999</v>
      </c>
      <c r="V604" s="170">
        <f t="shared" si="342"/>
        <v>1700.0836733499998</v>
      </c>
      <c r="W604" s="258">
        <v>0.2</v>
      </c>
      <c r="X604" s="257">
        <f t="shared" si="350"/>
        <v>2000.0003999999999</v>
      </c>
      <c r="Y604" s="170">
        <f t="shared" si="349"/>
        <v>2040.1004080199996</v>
      </c>
      <c r="Z604" s="170">
        <f t="shared" si="348"/>
        <v>2050</v>
      </c>
      <c r="AA604" s="407">
        <f t="shared" si="328"/>
        <v>0</v>
      </c>
      <c r="AB604" s="194"/>
    </row>
    <row r="605" spans="1:28" s="278" customFormat="1" x14ac:dyDescent="0.25">
      <c r="A605" s="200">
        <v>712012</v>
      </c>
      <c r="B605" s="313" t="s">
        <v>19334</v>
      </c>
      <c r="C605" s="248"/>
      <c r="D605" s="247" t="s">
        <v>11</v>
      </c>
      <c r="E605" s="249">
        <f t="shared" si="346"/>
        <v>687.500001</v>
      </c>
      <c r="F605" s="170">
        <f t="shared" si="346"/>
        <v>874.99799999999993</v>
      </c>
      <c r="G605" s="250">
        <v>0.3</v>
      </c>
      <c r="H605" s="171">
        <f t="shared" si="330"/>
        <v>0.3</v>
      </c>
      <c r="I605" s="249">
        <f t="shared" si="347"/>
        <v>1145.833335</v>
      </c>
      <c r="J605" s="170">
        <f t="shared" si="347"/>
        <v>1458.33</v>
      </c>
      <c r="K605" s="250">
        <v>0.5</v>
      </c>
      <c r="L605" s="172">
        <f t="shared" si="332"/>
        <v>0.5</v>
      </c>
      <c r="M605" s="249">
        <f t="shared" si="333"/>
        <v>343.7500005</v>
      </c>
      <c r="N605" s="170">
        <f t="shared" si="334"/>
        <v>437.49899999999997</v>
      </c>
      <c r="O605" s="250">
        <v>0.15</v>
      </c>
      <c r="P605" s="172">
        <f t="shared" si="335"/>
        <v>0.15</v>
      </c>
      <c r="Q605" s="251">
        <f t="shared" si="336"/>
        <v>114.58333350000001</v>
      </c>
      <c r="R605" s="173">
        <f t="shared" si="337"/>
        <v>145.833</v>
      </c>
      <c r="S605" s="250">
        <v>0.05</v>
      </c>
      <c r="T605" s="171">
        <f t="shared" si="338"/>
        <v>0.05</v>
      </c>
      <c r="U605" s="256">
        <v>2291.6666700000001</v>
      </c>
      <c r="V605" s="170">
        <v>2916.66</v>
      </c>
      <c r="W605" s="258">
        <v>0.2</v>
      </c>
      <c r="X605" s="257">
        <f t="shared" si="350"/>
        <v>2750.000004</v>
      </c>
      <c r="Y605" s="170">
        <f t="shared" si="349"/>
        <v>3499.9919999999997</v>
      </c>
      <c r="Z605" s="170">
        <f t="shared" si="348"/>
        <v>3500</v>
      </c>
      <c r="AA605" s="407">
        <f t="shared" si="328"/>
        <v>0</v>
      </c>
      <c r="AB605" s="194"/>
    </row>
    <row r="606" spans="1:28" s="278" customFormat="1" x14ac:dyDescent="0.25">
      <c r="A606" s="200">
        <v>712012</v>
      </c>
      <c r="B606" s="313" t="s">
        <v>19335</v>
      </c>
      <c r="C606" s="248"/>
      <c r="D606" s="247" t="s">
        <v>11</v>
      </c>
      <c r="E606" s="249">
        <f t="shared" si="346"/>
        <v>680</v>
      </c>
      <c r="F606" s="170">
        <f t="shared" si="346"/>
        <v>892.50000000000011</v>
      </c>
      <c r="G606" s="250">
        <v>0.34</v>
      </c>
      <c r="H606" s="171">
        <f t="shared" si="330"/>
        <v>0.34</v>
      </c>
      <c r="I606" s="249">
        <f t="shared" si="347"/>
        <v>1000</v>
      </c>
      <c r="J606" s="170">
        <f t="shared" si="347"/>
        <v>1312.5</v>
      </c>
      <c r="K606" s="250">
        <v>0.5</v>
      </c>
      <c r="L606" s="172">
        <f t="shared" si="332"/>
        <v>0.5</v>
      </c>
      <c r="M606" s="249">
        <f t="shared" si="333"/>
        <v>280</v>
      </c>
      <c r="N606" s="170">
        <f t="shared" si="334"/>
        <v>367.50000000000006</v>
      </c>
      <c r="O606" s="250">
        <v>0.14000000000000001</v>
      </c>
      <c r="P606" s="172">
        <f t="shared" si="335"/>
        <v>0.14000000000000001</v>
      </c>
      <c r="Q606" s="251">
        <f t="shared" si="336"/>
        <v>40</v>
      </c>
      <c r="R606" s="173">
        <f t="shared" si="337"/>
        <v>52.5</v>
      </c>
      <c r="S606" s="250">
        <v>0.02</v>
      </c>
      <c r="T606" s="171">
        <f t="shared" si="338"/>
        <v>0.02</v>
      </c>
      <c r="U606" s="256">
        <v>2000</v>
      </c>
      <c r="V606" s="170">
        <v>2625</v>
      </c>
      <c r="W606" s="258">
        <v>0.2</v>
      </c>
      <c r="X606" s="257">
        <f t="shared" si="350"/>
        <v>2400</v>
      </c>
      <c r="Y606" s="170">
        <f t="shared" si="349"/>
        <v>3150</v>
      </c>
      <c r="Z606" s="170">
        <f t="shared" si="348"/>
        <v>3150</v>
      </c>
      <c r="AA606" s="407">
        <f t="shared" si="328"/>
        <v>0</v>
      </c>
      <c r="AB606" s="194"/>
    </row>
    <row r="607" spans="1:28" s="278" customFormat="1" x14ac:dyDescent="0.25">
      <c r="A607" s="200">
        <v>712014</v>
      </c>
      <c r="B607" s="313" t="s">
        <v>19336</v>
      </c>
      <c r="C607" s="248"/>
      <c r="D607" s="247" t="s">
        <v>11</v>
      </c>
      <c r="E607" s="249">
        <f t="shared" si="346"/>
        <v>0</v>
      </c>
      <c r="F607" s="170">
        <f t="shared" si="346"/>
        <v>1093.75</v>
      </c>
      <c r="G607" s="250">
        <v>0.3</v>
      </c>
      <c r="H607" s="171">
        <f t="shared" si="330"/>
        <v>0.3</v>
      </c>
      <c r="I607" s="249">
        <f t="shared" si="347"/>
        <v>0</v>
      </c>
      <c r="J607" s="170">
        <f t="shared" si="347"/>
        <v>1822.9166666666667</v>
      </c>
      <c r="K607" s="250">
        <v>0.5</v>
      </c>
      <c r="L607" s="172">
        <f t="shared" si="332"/>
        <v>0.5</v>
      </c>
      <c r="M607" s="249">
        <f t="shared" si="333"/>
        <v>0</v>
      </c>
      <c r="N607" s="170">
        <f t="shared" si="334"/>
        <v>546.875</v>
      </c>
      <c r="O607" s="250">
        <v>0.15</v>
      </c>
      <c r="P607" s="172">
        <f t="shared" si="335"/>
        <v>0.15</v>
      </c>
      <c r="Q607" s="251">
        <f t="shared" si="336"/>
        <v>0</v>
      </c>
      <c r="R607" s="173">
        <f t="shared" si="337"/>
        <v>182.29166666666669</v>
      </c>
      <c r="S607" s="250">
        <v>0.05</v>
      </c>
      <c r="T607" s="171">
        <f t="shared" si="338"/>
        <v>0.05</v>
      </c>
      <c r="U607" s="256"/>
      <c r="V607" s="170">
        <f>4375/1.2</f>
        <v>3645.8333333333335</v>
      </c>
      <c r="W607" s="258">
        <v>0.2</v>
      </c>
      <c r="X607" s="257">
        <f t="shared" si="350"/>
        <v>0</v>
      </c>
      <c r="Y607" s="170">
        <f t="shared" si="349"/>
        <v>4375</v>
      </c>
      <c r="Z607" s="170">
        <f>IF(Y607=0, 0, IF(Y607&lt;10, _xlfn.CEILING.MATH(Y607,1), IF(Y607&lt;100, _xlfn.CEILING.MATH(Y607,1),IF(Y607&lt;1000, _xlfn.CEILING.MATH(Y607,5), IF(Y607&lt;10000, _xlfn.CEILING.MATH(Y607, 25), IF(Y607&lt;100000, _xlfn.CEILING.MATH(Y607,250), IF(Y607&lt;1000000, _xlfn.CEILING.MATH(Y607,500), 0)))))))</f>
        <v>4375</v>
      </c>
      <c r="AA607" s="407">
        <f t="shared" si="328"/>
        <v>0</v>
      </c>
      <c r="AB607" s="194"/>
    </row>
    <row r="608" spans="1:28" s="278" customFormat="1" x14ac:dyDescent="0.25">
      <c r="A608" s="200">
        <v>712014</v>
      </c>
      <c r="B608" s="313" t="s">
        <v>19337</v>
      </c>
      <c r="C608" s="248"/>
      <c r="D608" s="247" t="s">
        <v>11</v>
      </c>
      <c r="E608" s="249">
        <f t="shared" si="346"/>
        <v>0</v>
      </c>
      <c r="F608" s="170">
        <f t="shared" si="346"/>
        <v>1116.3333333333335</v>
      </c>
      <c r="G608" s="250">
        <v>0.34</v>
      </c>
      <c r="H608" s="171">
        <f t="shared" si="330"/>
        <v>0.34</v>
      </c>
      <c r="I608" s="249">
        <f t="shared" si="347"/>
        <v>0</v>
      </c>
      <c r="J608" s="170">
        <f t="shared" si="347"/>
        <v>1641.6666666666667</v>
      </c>
      <c r="K608" s="250">
        <v>0.5</v>
      </c>
      <c r="L608" s="172">
        <f t="shared" si="332"/>
        <v>0.5</v>
      </c>
      <c r="M608" s="249">
        <f t="shared" si="333"/>
        <v>0</v>
      </c>
      <c r="N608" s="170">
        <f t="shared" si="334"/>
        <v>459.66666666666674</v>
      </c>
      <c r="O608" s="250">
        <v>0.14000000000000001</v>
      </c>
      <c r="P608" s="172">
        <f t="shared" si="335"/>
        <v>0.14000000000000001</v>
      </c>
      <c r="Q608" s="251">
        <f t="shared" si="336"/>
        <v>0</v>
      </c>
      <c r="R608" s="173">
        <f t="shared" si="337"/>
        <v>65.666666666666671</v>
      </c>
      <c r="S608" s="250">
        <v>0.02</v>
      </c>
      <c r="T608" s="171">
        <f t="shared" si="338"/>
        <v>0.02</v>
      </c>
      <c r="U608" s="256"/>
      <c r="V608" s="170">
        <f>3940/1.2</f>
        <v>3283.3333333333335</v>
      </c>
      <c r="W608" s="258">
        <v>0.2</v>
      </c>
      <c r="X608" s="257">
        <f t="shared" si="350"/>
        <v>0</v>
      </c>
      <c r="Y608" s="170">
        <f t="shared" si="349"/>
        <v>3940</v>
      </c>
      <c r="Z608" s="170">
        <f>IF(Y608=0, 0, IF(Y608&lt;10, _xlfn.CEILING.MATH(Y608,1), IF(Y608&lt;100, _xlfn.CEILING.MATH(Y608,1),IF(Y608&lt;1000, _xlfn.CEILING.MATH(Y608,5), IF(Y608&lt;10000, _xlfn.CEILING.MATH(Y608, 5), IF(Y608&lt;100000, _xlfn.CEILING.MATH(Y608,250), IF(Y608&lt;1000000, _xlfn.CEILING.MATH(Y608,500), 0)))))))</f>
        <v>3940</v>
      </c>
      <c r="AA608" s="407">
        <f t="shared" si="328"/>
        <v>0</v>
      </c>
      <c r="AB608" s="194"/>
    </row>
    <row r="609" spans="1:28" s="278" customFormat="1" x14ac:dyDescent="0.25">
      <c r="A609" s="200">
        <v>712016</v>
      </c>
      <c r="B609" s="313" t="s">
        <v>19338</v>
      </c>
      <c r="C609" s="248"/>
      <c r="D609" s="247" t="s">
        <v>11</v>
      </c>
      <c r="E609" s="249">
        <f t="shared" si="346"/>
        <v>0</v>
      </c>
      <c r="F609" s="170">
        <f t="shared" si="346"/>
        <v>1368.75</v>
      </c>
      <c r="G609" s="250">
        <v>0.3</v>
      </c>
      <c r="H609" s="171">
        <f t="shared" si="330"/>
        <v>0.3</v>
      </c>
      <c r="I609" s="249">
        <f t="shared" si="347"/>
        <v>0</v>
      </c>
      <c r="J609" s="170">
        <f t="shared" si="347"/>
        <v>2281.25</v>
      </c>
      <c r="K609" s="250">
        <v>0.5</v>
      </c>
      <c r="L609" s="172">
        <f t="shared" si="332"/>
        <v>0.5</v>
      </c>
      <c r="M609" s="249">
        <f t="shared" si="333"/>
        <v>0</v>
      </c>
      <c r="N609" s="170">
        <f t="shared" si="334"/>
        <v>684.375</v>
      </c>
      <c r="O609" s="250">
        <v>0.15</v>
      </c>
      <c r="P609" s="172">
        <f t="shared" si="335"/>
        <v>0.15</v>
      </c>
      <c r="Q609" s="251">
        <f t="shared" si="336"/>
        <v>0</v>
      </c>
      <c r="R609" s="173">
        <f t="shared" si="337"/>
        <v>228.125</v>
      </c>
      <c r="S609" s="250">
        <v>0.05</v>
      </c>
      <c r="T609" s="171">
        <f t="shared" si="338"/>
        <v>0.05</v>
      </c>
      <c r="U609" s="256"/>
      <c r="V609" s="170">
        <f>5475/1.2</f>
        <v>4562.5</v>
      </c>
      <c r="W609" s="258">
        <v>0.2</v>
      </c>
      <c r="X609" s="257">
        <f t="shared" si="350"/>
        <v>0</v>
      </c>
      <c r="Y609" s="170">
        <f t="shared" si="349"/>
        <v>5475</v>
      </c>
      <c r="Z609" s="170">
        <f>IF(Y609=0, 0, IF(Y609&lt;10, _xlfn.CEILING.MATH(Y609,1), IF(Y609&lt;100, _xlfn.CEILING.MATH(Y609,1),IF(Y609&lt;1000, _xlfn.CEILING.MATH(Y609,5), IF(Y609&lt;10000, _xlfn.CEILING.MATH(Y609, 25), IF(Y609&lt;100000, _xlfn.CEILING.MATH(Y609,10), IF(Y609&lt;1000000, _xlfn.CEILING.MATH(Y609,500), 0)))))))</f>
        <v>5475</v>
      </c>
      <c r="AA609" s="407">
        <f t="shared" ref="AA609:AA672" si="351">C609*Z609</f>
        <v>0</v>
      </c>
      <c r="AB609" s="194"/>
    </row>
    <row r="610" spans="1:28" s="278" customFormat="1" x14ac:dyDescent="0.25">
      <c r="A610" s="200">
        <v>712016</v>
      </c>
      <c r="B610" s="313" t="s">
        <v>19339</v>
      </c>
      <c r="C610" s="248"/>
      <c r="D610" s="247" t="s">
        <v>11</v>
      </c>
      <c r="E610" s="249">
        <f t="shared" si="346"/>
        <v>0</v>
      </c>
      <c r="F610" s="170">
        <f t="shared" si="346"/>
        <v>1474.75</v>
      </c>
      <c r="G610" s="250">
        <v>0.34</v>
      </c>
      <c r="H610" s="171">
        <f t="shared" si="330"/>
        <v>0.34</v>
      </c>
      <c r="I610" s="249">
        <f t="shared" si="347"/>
        <v>0</v>
      </c>
      <c r="J610" s="170">
        <f t="shared" si="347"/>
        <v>2168.75</v>
      </c>
      <c r="K610" s="250">
        <v>0.5</v>
      </c>
      <c r="L610" s="172">
        <f t="shared" si="332"/>
        <v>0.5</v>
      </c>
      <c r="M610" s="249">
        <f t="shared" si="333"/>
        <v>0</v>
      </c>
      <c r="N610" s="170">
        <f t="shared" si="334"/>
        <v>607.25000000000011</v>
      </c>
      <c r="O610" s="250">
        <v>0.14000000000000001</v>
      </c>
      <c r="P610" s="172">
        <f t="shared" si="335"/>
        <v>0.14000000000000001</v>
      </c>
      <c r="Q610" s="251">
        <f t="shared" si="336"/>
        <v>0</v>
      </c>
      <c r="R610" s="173">
        <f t="shared" si="337"/>
        <v>86.75</v>
      </c>
      <c r="S610" s="250">
        <v>0.02</v>
      </c>
      <c r="T610" s="171">
        <f t="shared" si="338"/>
        <v>0.02</v>
      </c>
      <c r="U610" s="256"/>
      <c r="V610" s="170">
        <f>5205/1.2</f>
        <v>4337.5</v>
      </c>
      <c r="W610" s="258">
        <v>0.2</v>
      </c>
      <c r="X610" s="257">
        <f t="shared" si="350"/>
        <v>0</v>
      </c>
      <c r="Y610" s="170">
        <f t="shared" si="349"/>
        <v>5205</v>
      </c>
      <c r="Z610" s="170">
        <f>IF(Y610=0, 0, IF(Y610&lt;10, _xlfn.CEILING.MATH(Y610,1), IF(Y610&lt;100, _xlfn.CEILING.MATH(Y610,1),IF(Y610&lt;1000, _xlfn.CEILING.MATH(Y610,5), IF(Y610&lt;10000, _xlfn.CEILING.MATH(Y610, 5), IF(Y610&lt;100000, _xlfn.CEILING.MATH(Y610,10), IF(Y610&lt;1000000, _xlfn.CEILING.MATH(Y610,500), 0)))))))</f>
        <v>5205</v>
      </c>
      <c r="AA610" s="407">
        <f t="shared" si="351"/>
        <v>0</v>
      </c>
      <c r="AB610" s="194"/>
    </row>
    <row r="611" spans="1:28" s="278" customFormat="1" x14ac:dyDescent="0.25">
      <c r="A611" s="200">
        <v>712020</v>
      </c>
      <c r="B611" s="313" t="s">
        <v>19340</v>
      </c>
      <c r="C611" s="248"/>
      <c r="D611" s="247" t="s">
        <v>11</v>
      </c>
      <c r="E611" s="249">
        <f t="shared" si="346"/>
        <v>0</v>
      </c>
      <c r="F611" s="170">
        <f t="shared" si="346"/>
        <v>1712.5000000000002</v>
      </c>
      <c r="G611" s="250">
        <v>0.3</v>
      </c>
      <c r="H611" s="171">
        <f t="shared" si="330"/>
        <v>0.3</v>
      </c>
      <c r="I611" s="249">
        <f t="shared" si="347"/>
        <v>0</v>
      </c>
      <c r="J611" s="170">
        <f t="shared" si="347"/>
        <v>2854.166666666667</v>
      </c>
      <c r="K611" s="250">
        <v>0.5</v>
      </c>
      <c r="L611" s="172">
        <f t="shared" si="332"/>
        <v>0.5</v>
      </c>
      <c r="M611" s="249">
        <f t="shared" si="333"/>
        <v>0</v>
      </c>
      <c r="N611" s="170">
        <f t="shared" si="334"/>
        <v>856.25000000000011</v>
      </c>
      <c r="O611" s="250">
        <v>0.15</v>
      </c>
      <c r="P611" s="172">
        <f t="shared" si="335"/>
        <v>0.15</v>
      </c>
      <c r="Q611" s="251">
        <f t="shared" si="336"/>
        <v>0</v>
      </c>
      <c r="R611" s="173">
        <f t="shared" si="337"/>
        <v>285.41666666666669</v>
      </c>
      <c r="S611" s="250">
        <v>0.05</v>
      </c>
      <c r="T611" s="171">
        <f t="shared" si="338"/>
        <v>0.05</v>
      </c>
      <c r="U611" s="256"/>
      <c r="V611" s="170">
        <f>6850/1.2</f>
        <v>5708.3333333333339</v>
      </c>
      <c r="W611" s="258">
        <v>0.2</v>
      </c>
      <c r="X611" s="257">
        <f t="shared" si="350"/>
        <v>0</v>
      </c>
      <c r="Y611" s="170">
        <f t="shared" si="349"/>
        <v>6850.0000000000009</v>
      </c>
      <c r="Z611" s="170">
        <f>IF(Y611=0, 0, IF(Y611&lt;10, _xlfn.CEILING.MATH(Y611,1), IF(Y611&lt;100, _xlfn.CEILING.MATH(Y611,1),IF(Y611&lt;1000, _xlfn.CEILING.MATH(Y611,5), IF(Y611&lt;10000, _xlfn.CEILING.MATH(Y611, 25), IF(Y611&lt;100000, _xlfn.CEILING.MATH(Y611,250), IF(Y611&lt;1000000, _xlfn.CEILING.MATH(Y611,500), 0)))))))</f>
        <v>6850</v>
      </c>
      <c r="AA611" s="407">
        <f t="shared" si="351"/>
        <v>0</v>
      </c>
      <c r="AB611" s="194"/>
    </row>
    <row r="612" spans="1:28" s="278" customFormat="1" x14ac:dyDescent="0.25">
      <c r="A612" s="200">
        <v>712020</v>
      </c>
      <c r="B612" s="313" t="s">
        <v>16095</v>
      </c>
      <c r="C612" s="248"/>
      <c r="D612" s="247" t="s">
        <v>11</v>
      </c>
      <c r="E612" s="249">
        <f t="shared" si="346"/>
        <v>0</v>
      </c>
      <c r="F612" s="170">
        <f t="shared" si="346"/>
        <v>1844.5000000000002</v>
      </c>
      <c r="G612" s="250">
        <v>0.34</v>
      </c>
      <c r="H612" s="171">
        <f t="shared" si="330"/>
        <v>0.34</v>
      </c>
      <c r="I612" s="249">
        <f t="shared" si="347"/>
        <v>0</v>
      </c>
      <c r="J612" s="170">
        <f t="shared" si="347"/>
        <v>2712.5</v>
      </c>
      <c r="K612" s="250">
        <v>0.5</v>
      </c>
      <c r="L612" s="172">
        <f t="shared" si="332"/>
        <v>0.5</v>
      </c>
      <c r="M612" s="249">
        <f t="shared" si="333"/>
        <v>0</v>
      </c>
      <c r="N612" s="170">
        <f t="shared" si="334"/>
        <v>759.50000000000011</v>
      </c>
      <c r="O612" s="250">
        <v>0.14000000000000001</v>
      </c>
      <c r="P612" s="172">
        <f t="shared" si="335"/>
        <v>0.14000000000000001</v>
      </c>
      <c r="Q612" s="251">
        <f t="shared" si="336"/>
        <v>0</v>
      </c>
      <c r="R612" s="173">
        <f t="shared" si="337"/>
        <v>108.5</v>
      </c>
      <c r="S612" s="250">
        <v>0.02</v>
      </c>
      <c r="T612" s="171">
        <f t="shared" si="338"/>
        <v>0.02</v>
      </c>
      <c r="U612" s="256"/>
      <c r="V612" s="170">
        <f>6510/1.2</f>
        <v>5425</v>
      </c>
      <c r="W612" s="258">
        <v>0.2</v>
      </c>
      <c r="X612" s="257">
        <f t="shared" si="350"/>
        <v>0</v>
      </c>
      <c r="Y612" s="170">
        <f t="shared" si="349"/>
        <v>6510</v>
      </c>
      <c r="Z612" s="170">
        <f>IF(Y612=0, 0, IF(Y612&lt;10, _xlfn.CEILING.MATH(Y612,1), IF(Y612&lt;100, _xlfn.CEILING.MATH(Y612,1),IF(Y612&lt;1000, _xlfn.CEILING.MATH(Y612,5), IF(Y612&lt;10000, _xlfn.CEILING.MATH(Y612, 5), IF(Y612&lt;100000, _xlfn.CEILING.MATH(Y612,250), IF(Y612&lt;1000000, _xlfn.CEILING.MATH(Y612,500), 0)))))))</f>
        <v>6510</v>
      </c>
      <c r="AA612" s="407">
        <f t="shared" si="351"/>
        <v>0</v>
      </c>
      <c r="AB612" s="194"/>
    </row>
    <row r="613" spans="1:28" s="278" customFormat="1" x14ac:dyDescent="0.25">
      <c r="A613" s="200">
        <v>712106</v>
      </c>
      <c r="B613" s="313" t="s">
        <v>19341</v>
      </c>
      <c r="C613" s="248"/>
      <c r="D613" s="247" t="s">
        <v>11</v>
      </c>
      <c r="E613" s="249">
        <f t="shared" si="346"/>
        <v>449.55472155680695</v>
      </c>
      <c r="F613" s="170">
        <f t="shared" si="346"/>
        <v>1153.7767982188864</v>
      </c>
      <c r="G613" s="250">
        <v>0.35964377724544555</v>
      </c>
      <c r="H613" s="171">
        <f t="shared" si="330"/>
        <v>0.35964377724544555</v>
      </c>
      <c r="I613" s="249">
        <f t="shared" si="347"/>
        <v>471.24782387110139</v>
      </c>
      <c r="J613" s="170">
        <f t="shared" si="347"/>
        <v>1209.4518849912954</v>
      </c>
      <c r="K613" s="250">
        <v>0.37699825909688112</v>
      </c>
      <c r="L613" s="172">
        <f t="shared" si="332"/>
        <v>0.37699825909688112</v>
      </c>
      <c r="M613" s="249">
        <f t="shared" si="333"/>
        <v>270.75173661709954</v>
      </c>
      <c r="N613" s="170">
        <f t="shared" si="334"/>
        <v>694.8810830069466</v>
      </c>
      <c r="O613" s="250">
        <v>0.21660138929367964</v>
      </c>
      <c r="P613" s="172">
        <f t="shared" si="335"/>
        <v>0.21660138929367964</v>
      </c>
      <c r="Q613" s="251">
        <f t="shared" si="336"/>
        <v>58.445717954992126</v>
      </c>
      <c r="R613" s="173">
        <f t="shared" si="337"/>
        <v>150.00023378287182</v>
      </c>
      <c r="S613" s="250">
        <v>4.6756574363993698E-2</v>
      </c>
      <c r="T613" s="171">
        <f t="shared" si="338"/>
        <v>4.6756574363993698E-2</v>
      </c>
      <c r="U613" s="256">
        <v>1250</v>
      </c>
      <c r="V613" s="170">
        <v>3208.11</v>
      </c>
      <c r="W613" s="258">
        <v>0.2</v>
      </c>
      <c r="X613" s="257">
        <f t="shared" si="350"/>
        <v>1500</v>
      </c>
      <c r="Y613" s="170">
        <f t="shared" si="349"/>
        <v>3849.732</v>
      </c>
      <c r="Z613" s="170">
        <f>IF(Y613=0, 0, IF(Y613&lt;10, _xlfn.CEILING.MATH(Y613,1), IF(Y613&lt;100, _xlfn.CEILING.MATH(Y613,1),IF(Y613&lt;1000, _xlfn.CEILING.MATH(Y613,5), IF(Y613&lt;10000, _xlfn.CEILING.MATH(Y613, 25), IF(Y613&lt;100000, _xlfn.CEILING.MATH(Y613,250), IF(Y613&lt;1000000, _xlfn.CEILING.MATH(Y613,500), 0)))))))</f>
        <v>3850</v>
      </c>
      <c r="AA613" s="407">
        <f t="shared" si="351"/>
        <v>0</v>
      </c>
      <c r="AB613" s="194"/>
    </row>
    <row r="614" spans="1:28" s="278" customFormat="1" x14ac:dyDescent="0.25">
      <c r="A614" s="200">
        <v>712106</v>
      </c>
      <c r="B614" s="313" t="s">
        <v>19342</v>
      </c>
      <c r="C614" s="248"/>
      <c r="D614" s="247" t="s">
        <v>11</v>
      </c>
      <c r="E614" s="249">
        <f t="shared" si="346"/>
        <v>311.07053650362479</v>
      </c>
      <c r="F614" s="170">
        <f t="shared" si="346"/>
        <v>1033.5230090226632</v>
      </c>
      <c r="G614" s="250">
        <v>0.33934844219143728</v>
      </c>
      <c r="H614" s="171">
        <f t="shared" si="330"/>
        <v>0.33934844219143728</v>
      </c>
      <c r="I614" s="249">
        <f t="shared" si="347"/>
        <v>364.02135451749621</v>
      </c>
      <c r="J614" s="170">
        <f t="shared" si="347"/>
        <v>1209.4505956691412</v>
      </c>
      <c r="K614" s="250">
        <v>0.3971127608817745</v>
      </c>
      <c r="L614" s="172">
        <f t="shared" si="332"/>
        <v>0.3971127608817745</v>
      </c>
      <c r="M614" s="249">
        <f t="shared" si="333"/>
        <v>198.68833013829587</v>
      </c>
      <c r="N614" s="170">
        <f t="shared" si="334"/>
        <v>660.13632512517631</v>
      </c>
      <c r="O614" s="250">
        <v>0.21675011742316852</v>
      </c>
      <c r="P614" s="172">
        <f t="shared" si="335"/>
        <v>0.21675011742316852</v>
      </c>
      <c r="Q614" s="251">
        <f t="shared" si="336"/>
        <v>42.889778840583091</v>
      </c>
      <c r="R614" s="173">
        <f t="shared" si="337"/>
        <v>142.50007018301926</v>
      </c>
      <c r="S614" s="250">
        <v>4.6788679503619722E-2</v>
      </c>
      <c r="T614" s="171">
        <f t="shared" si="338"/>
        <v>4.6788679503619722E-2</v>
      </c>
      <c r="U614" s="256">
        <v>916.67</v>
      </c>
      <c r="V614" s="170">
        <v>3045.61</v>
      </c>
      <c r="W614" s="258">
        <v>0.2</v>
      </c>
      <c r="X614" s="257">
        <f t="shared" si="350"/>
        <v>1100.0039999999999</v>
      </c>
      <c r="Y614" s="170">
        <f t="shared" si="349"/>
        <v>3654.732</v>
      </c>
      <c r="Z614" s="170">
        <f t="shared" ref="Z614:Z621" si="352">IF(Y614=0, 0, IF(Y614&lt;10, _xlfn.CEILING.MATH(Y614,1), IF(Y614&lt;100, _xlfn.CEILING.MATH(Y614,1),IF(Y614&lt;1000, _xlfn.CEILING.MATH(Y614,5), IF(Y614&lt;10000, _xlfn.CEILING.MATH(Y614, 5), IF(Y614&lt;100000, _xlfn.CEILING.MATH(Y614,250), IF(Y614&lt;1000000, _xlfn.CEILING.MATH(Y614,500), 0)))))))</f>
        <v>3655</v>
      </c>
      <c r="AA614" s="407">
        <f t="shared" si="351"/>
        <v>0</v>
      </c>
      <c r="AB614" s="194"/>
    </row>
    <row r="615" spans="1:28" s="278" customFormat="1" x14ac:dyDescent="0.25">
      <c r="A615" s="200">
        <v>712108</v>
      </c>
      <c r="B615" s="313" t="s">
        <v>19343</v>
      </c>
      <c r="C615" s="248"/>
      <c r="D615" s="247" t="s">
        <v>11</v>
      </c>
      <c r="E615" s="249">
        <f t="shared" si="346"/>
        <v>538.40758081437389</v>
      </c>
      <c r="F615" s="170">
        <f t="shared" si="346"/>
        <v>1321.4891026540317</v>
      </c>
      <c r="G615" s="250">
        <v>0.3589383872095826</v>
      </c>
      <c r="H615" s="171">
        <f t="shared" si="330"/>
        <v>0.3589383872095826</v>
      </c>
      <c r="I615" s="249">
        <f t="shared" si="347"/>
        <v>571.15331728532976</v>
      </c>
      <c r="J615" s="170">
        <f t="shared" si="347"/>
        <v>1401.8615480778046</v>
      </c>
      <c r="K615" s="250">
        <v>0.38076887819021982</v>
      </c>
      <c r="L615" s="172">
        <f t="shared" si="332"/>
        <v>0.38076887819021982</v>
      </c>
      <c r="M615" s="249">
        <f t="shared" si="333"/>
        <v>319.13979078744995</v>
      </c>
      <c r="N615" s="170">
        <f t="shared" si="334"/>
        <v>783.30946810034868</v>
      </c>
      <c r="O615" s="250">
        <v>0.21275986052496665</v>
      </c>
      <c r="P615" s="172">
        <f t="shared" si="335"/>
        <v>0.21275986052496665</v>
      </c>
      <c r="Q615" s="251">
        <f t="shared" si="336"/>
        <v>71.299311112846439</v>
      </c>
      <c r="R615" s="173">
        <f t="shared" si="337"/>
        <v>174.99988116781483</v>
      </c>
      <c r="S615" s="250">
        <v>4.7532874075230963E-2</v>
      </c>
      <c r="T615" s="171">
        <f t="shared" si="338"/>
        <v>4.7532874075230963E-2</v>
      </c>
      <c r="U615" s="256">
        <v>1500</v>
      </c>
      <c r="V615" s="170">
        <v>3681.66</v>
      </c>
      <c r="W615" s="258">
        <v>0.2</v>
      </c>
      <c r="X615" s="257">
        <f t="shared" si="350"/>
        <v>1800</v>
      </c>
      <c r="Y615" s="170">
        <f t="shared" si="349"/>
        <v>4417.9919999999993</v>
      </c>
      <c r="Z615" s="170">
        <f t="shared" si="352"/>
        <v>4420</v>
      </c>
      <c r="AA615" s="407">
        <f t="shared" si="351"/>
        <v>0</v>
      </c>
      <c r="AB615" s="194"/>
    </row>
    <row r="616" spans="1:28" s="278" customFormat="1" x14ac:dyDescent="0.25">
      <c r="A616" s="200">
        <v>712108</v>
      </c>
      <c r="B616" s="313" t="s">
        <v>19344</v>
      </c>
      <c r="C616" s="248"/>
      <c r="D616" s="247" t="s">
        <v>11</v>
      </c>
      <c r="E616" s="249">
        <f t="shared" si="346"/>
        <v>392.21969092277391</v>
      </c>
      <c r="F616" s="170">
        <f t="shared" si="346"/>
        <v>1237.6326743198629</v>
      </c>
      <c r="G616" s="250">
        <v>0.34863972526468789</v>
      </c>
      <c r="H616" s="171">
        <f t="shared" si="330"/>
        <v>0.34863972526468789</v>
      </c>
      <c r="I616" s="249">
        <f t="shared" si="347"/>
        <v>444.26602926654482</v>
      </c>
      <c r="J616" s="170">
        <f t="shared" si="347"/>
        <v>1401.8626974515685</v>
      </c>
      <c r="K616" s="250">
        <v>0.39490313712581759</v>
      </c>
      <c r="L616" s="172">
        <f t="shared" si="332"/>
        <v>0.39490313712581759</v>
      </c>
      <c r="M616" s="249">
        <f t="shared" si="333"/>
        <v>235.82778069570895</v>
      </c>
      <c r="N616" s="170">
        <f t="shared" si="334"/>
        <v>744.14460481234687</v>
      </c>
      <c r="O616" s="250">
        <v>0.2096246939517413</v>
      </c>
      <c r="P616" s="172">
        <f t="shared" si="335"/>
        <v>0.2096246939517413</v>
      </c>
      <c r="Q616" s="251">
        <f t="shared" si="336"/>
        <v>52.686499114972449</v>
      </c>
      <c r="R616" s="173">
        <f t="shared" si="337"/>
        <v>166.25002341622184</v>
      </c>
      <c r="S616" s="250">
        <v>4.6832443657753291E-2</v>
      </c>
      <c r="T616" s="171">
        <f t="shared" si="338"/>
        <v>4.6832443657753291E-2</v>
      </c>
      <c r="U616" s="256">
        <v>1125</v>
      </c>
      <c r="V616" s="170">
        <v>3549.89</v>
      </c>
      <c r="W616" s="258">
        <v>0.2</v>
      </c>
      <c r="X616" s="257">
        <f t="shared" si="350"/>
        <v>1350</v>
      </c>
      <c r="Y616" s="170">
        <f t="shared" si="349"/>
        <v>4259.8679999999995</v>
      </c>
      <c r="Z616" s="170">
        <f t="shared" si="352"/>
        <v>4260</v>
      </c>
      <c r="AA616" s="407">
        <f t="shared" si="351"/>
        <v>0</v>
      </c>
      <c r="AB616" s="194"/>
    </row>
    <row r="617" spans="1:28" s="278" customFormat="1" x14ac:dyDescent="0.25">
      <c r="A617" s="200">
        <v>712110</v>
      </c>
      <c r="B617" s="313" t="s">
        <v>19345</v>
      </c>
      <c r="C617" s="248"/>
      <c r="D617" s="247" t="s">
        <v>11</v>
      </c>
      <c r="E617" s="249">
        <f t="shared" si="346"/>
        <v>915.03341334116135</v>
      </c>
      <c r="F617" s="170">
        <f t="shared" si="346"/>
        <v>1589.7168300668266</v>
      </c>
      <c r="G617" s="250">
        <v>0.36601336533646456</v>
      </c>
      <c r="H617" s="171">
        <f t="shared" si="330"/>
        <v>0.36601336533646456</v>
      </c>
      <c r="I617" s="249">
        <f t="shared" si="347"/>
        <v>949.30151439277506</v>
      </c>
      <c r="J617" s="170">
        <f t="shared" si="347"/>
        <v>1649.2518986030286</v>
      </c>
      <c r="K617" s="250">
        <v>0.37972060575711003</v>
      </c>
      <c r="L617" s="172">
        <f t="shared" si="332"/>
        <v>0.37972060575711003</v>
      </c>
      <c r="M617" s="249">
        <f t="shared" si="333"/>
        <v>520.54589513794156</v>
      </c>
      <c r="N617" s="170">
        <f t="shared" si="334"/>
        <v>904.3610410917903</v>
      </c>
      <c r="O617" s="250">
        <v>0.20821835805517663</v>
      </c>
      <c r="P617" s="172">
        <f t="shared" si="335"/>
        <v>0.20821835805517663</v>
      </c>
      <c r="Q617" s="251">
        <f t="shared" si="336"/>
        <v>115.11917712812189</v>
      </c>
      <c r="R617" s="173">
        <f t="shared" si="337"/>
        <v>200.00023023835428</v>
      </c>
      <c r="S617" s="250">
        <v>4.6047670851248758E-2</v>
      </c>
      <c r="T617" s="171">
        <f t="shared" si="338"/>
        <v>4.6047670851248758E-2</v>
      </c>
      <c r="U617" s="256">
        <v>2500</v>
      </c>
      <c r="V617" s="170">
        <v>4343.33</v>
      </c>
      <c r="W617" s="258">
        <v>0.2</v>
      </c>
      <c r="X617" s="257">
        <f t="shared" si="350"/>
        <v>3000</v>
      </c>
      <c r="Y617" s="170">
        <f t="shared" si="349"/>
        <v>5211.9960000000001</v>
      </c>
      <c r="Z617" s="170">
        <f t="shared" si="352"/>
        <v>5215</v>
      </c>
      <c r="AA617" s="407">
        <f t="shared" si="351"/>
        <v>0</v>
      </c>
      <c r="AB617" s="194"/>
    </row>
    <row r="618" spans="1:28" s="278" customFormat="1" x14ac:dyDescent="0.25">
      <c r="A618" s="200">
        <v>712110</v>
      </c>
      <c r="B618" s="313" t="s">
        <v>19346</v>
      </c>
      <c r="C618" s="248"/>
      <c r="D618" s="247" t="s">
        <v>11</v>
      </c>
      <c r="E618" s="249">
        <f t="shared" si="346"/>
        <v>797.93930130035289</v>
      </c>
      <c r="F618" s="170">
        <f t="shared" si="346"/>
        <v>1505.8594150573874</v>
      </c>
      <c r="G618" s="250">
        <v>0.38301147744253333</v>
      </c>
      <c r="H618" s="171">
        <f t="shared" si="330"/>
        <v>0.38301147744253333</v>
      </c>
      <c r="I618" s="249">
        <f t="shared" si="347"/>
        <v>873.92159793978294</v>
      </c>
      <c r="J618" s="170">
        <f t="shared" si="347"/>
        <v>1649.2520974151907</v>
      </c>
      <c r="K618" s="250">
        <v>0.41948303818395694</v>
      </c>
      <c r="L618" s="172">
        <f t="shared" si="332"/>
        <v>0.41948303818395694</v>
      </c>
      <c r="M618" s="249">
        <f t="shared" si="333"/>
        <v>310.78994137920074</v>
      </c>
      <c r="N618" s="170">
        <f t="shared" si="334"/>
        <v>586.51824589705291</v>
      </c>
      <c r="O618" s="250">
        <v>0.14917941054907324</v>
      </c>
      <c r="P618" s="172">
        <f t="shared" si="335"/>
        <v>0.14917941054907324</v>
      </c>
      <c r="Q618" s="251">
        <f t="shared" si="336"/>
        <v>100.67915938066321</v>
      </c>
      <c r="R618" s="173">
        <f t="shared" si="337"/>
        <v>190.00024163036912</v>
      </c>
      <c r="S618" s="250">
        <v>4.8326073824436461E-2</v>
      </c>
      <c r="T618" s="171">
        <f t="shared" si="338"/>
        <v>4.8326073824436461E-2</v>
      </c>
      <c r="U618" s="256">
        <v>2083.33</v>
      </c>
      <c r="V618" s="170">
        <v>3931.63</v>
      </c>
      <c r="W618" s="258">
        <v>0.2</v>
      </c>
      <c r="X618" s="257">
        <f t="shared" si="350"/>
        <v>2499.9960000000001</v>
      </c>
      <c r="Y618" s="170">
        <f t="shared" si="349"/>
        <v>4717.9560000000001</v>
      </c>
      <c r="Z618" s="170">
        <f t="shared" si="352"/>
        <v>4720</v>
      </c>
      <c r="AA618" s="407">
        <f t="shared" si="351"/>
        <v>0</v>
      </c>
      <c r="AB618" s="194"/>
    </row>
    <row r="619" spans="1:28" s="278" customFormat="1" x14ac:dyDescent="0.25">
      <c r="A619" s="200">
        <v>712112</v>
      </c>
      <c r="B619" s="313" t="s">
        <v>19347</v>
      </c>
      <c r="C619" s="248"/>
      <c r="D619" s="247" t="s">
        <v>11</v>
      </c>
      <c r="E619" s="249">
        <f t="shared" si="346"/>
        <v>1229.5486645411427</v>
      </c>
      <c r="F619" s="170">
        <f t="shared" si="346"/>
        <v>1925.1468443248411</v>
      </c>
      <c r="G619" s="250">
        <v>0.36886496822731102</v>
      </c>
      <c r="H619" s="171">
        <f t="shared" si="330"/>
        <v>0.36886496822731102</v>
      </c>
      <c r="I619" s="249">
        <f t="shared" si="347"/>
        <v>1264.0085614295938</v>
      </c>
      <c r="J619" s="170">
        <f t="shared" si="347"/>
        <v>1979.101896014738</v>
      </c>
      <c r="K619" s="250">
        <v>0.37920294763182577</v>
      </c>
      <c r="L619" s="172">
        <f t="shared" si="332"/>
        <v>0.37920294763182577</v>
      </c>
      <c r="M619" s="249">
        <f t="shared" si="333"/>
        <v>680.10315634577182</v>
      </c>
      <c r="N619" s="170">
        <f t="shared" si="334"/>
        <v>1064.8610201557544</v>
      </c>
      <c r="O619" s="250">
        <v>0.2040311509348825</v>
      </c>
      <c r="P619" s="172">
        <f t="shared" si="335"/>
        <v>0.2040311509348825</v>
      </c>
      <c r="Q619" s="251">
        <f t="shared" si="336"/>
        <v>159.66961768349174</v>
      </c>
      <c r="R619" s="173">
        <f t="shared" si="337"/>
        <v>250.00023950466604</v>
      </c>
      <c r="S619" s="250">
        <v>4.7900933205980725E-2</v>
      </c>
      <c r="T619" s="171">
        <f t="shared" si="338"/>
        <v>4.7900933205980725E-2</v>
      </c>
      <c r="U619" s="256">
        <v>3333.33</v>
      </c>
      <c r="V619" s="170">
        <v>5219.1099999999997</v>
      </c>
      <c r="W619" s="258">
        <v>0.2</v>
      </c>
      <c r="X619" s="257">
        <f t="shared" si="350"/>
        <v>3999.9960000000001</v>
      </c>
      <c r="Y619" s="170">
        <f t="shared" si="349"/>
        <v>6262.9319999999998</v>
      </c>
      <c r="Z619" s="170">
        <f t="shared" si="352"/>
        <v>6265</v>
      </c>
      <c r="AA619" s="407">
        <f t="shared" si="351"/>
        <v>0</v>
      </c>
      <c r="AB619" s="194"/>
    </row>
    <row r="620" spans="1:28" s="278" customFormat="1" x14ac:dyDescent="0.25">
      <c r="A620" s="200">
        <v>712112</v>
      </c>
      <c r="B620" s="313" t="s">
        <v>19348</v>
      </c>
      <c r="C620" s="248"/>
      <c r="D620" s="247" t="s">
        <v>11</v>
      </c>
      <c r="E620" s="249">
        <f t="shared" si="346"/>
        <v>908.0214348364816</v>
      </c>
      <c r="F620" s="170">
        <f t="shared" si="346"/>
        <v>1841.2858655614175</v>
      </c>
      <c r="G620" s="250">
        <v>0.36320857393459266</v>
      </c>
      <c r="H620" s="171">
        <f t="shared" si="330"/>
        <v>0.36320857393459266</v>
      </c>
      <c r="I620" s="249">
        <f t="shared" si="347"/>
        <v>975.98295849229442</v>
      </c>
      <c r="J620" s="170">
        <f t="shared" si="347"/>
        <v>1979.0982432306746</v>
      </c>
      <c r="K620" s="250">
        <v>0.39039318339691775</v>
      </c>
      <c r="L620" s="172">
        <f t="shared" si="332"/>
        <v>0.39039318339691775</v>
      </c>
      <c r="M620" s="249">
        <f t="shared" si="333"/>
        <v>498.87370649340573</v>
      </c>
      <c r="N620" s="170">
        <f t="shared" si="334"/>
        <v>1011.6161020273282</v>
      </c>
      <c r="O620" s="250">
        <v>0.1995494825973623</v>
      </c>
      <c r="P620" s="172">
        <f t="shared" si="335"/>
        <v>0.1995494825973623</v>
      </c>
      <c r="Q620" s="251">
        <f t="shared" si="336"/>
        <v>117.12190017781816</v>
      </c>
      <c r="R620" s="173">
        <f t="shared" si="337"/>
        <v>237.49978918057968</v>
      </c>
      <c r="S620" s="250">
        <v>4.6848760071127267E-2</v>
      </c>
      <c r="T620" s="171">
        <f t="shared" si="338"/>
        <v>4.6848760071127267E-2</v>
      </c>
      <c r="U620" s="256">
        <v>2500</v>
      </c>
      <c r="V620" s="170">
        <v>5069.5</v>
      </c>
      <c r="W620" s="258">
        <v>0.2</v>
      </c>
      <c r="X620" s="257">
        <f t="shared" si="350"/>
        <v>3000</v>
      </c>
      <c r="Y620" s="170">
        <f t="shared" si="349"/>
        <v>6083.4</v>
      </c>
      <c r="Z620" s="170">
        <f t="shared" si="352"/>
        <v>6085</v>
      </c>
      <c r="AA620" s="407">
        <f t="shared" si="351"/>
        <v>0</v>
      </c>
      <c r="AB620" s="194"/>
    </row>
    <row r="621" spans="1:28" s="278" customFormat="1" x14ac:dyDescent="0.25">
      <c r="A621" s="200">
        <v>712116</v>
      </c>
      <c r="B621" s="313" t="s">
        <v>19349</v>
      </c>
      <c r="C621" s="248"/>
      <c r="D621" s="247" t="s">
        <v>11</v>
      </c>
      <c r="E621" s="249">
        <f t="shared" si="346"/>
        <v>1311.6156046689189</v>
      </c>
      <c r="F621" s="170">
        <f t="shared" si="346"/>
        <v>2193.37</v>
      </c>
      <c r="G621" s="250">
        <v>0.31478749329054589</v>
      </c>
      <c r="H621" s="171">
        <f t="shared" si="330"/>
        <v>0.31478749329054589</v>
      </c>
      <c r="I621" s="249">
        <f t="shared" si="347"/>
        <v>1972.4734413256444</v>
      </c>
      <c r="J621" s="170">
        <f t="shared" si="347"/>
        <v>3298.4999999999995</v>
      </c>
      <c r="K621" s="250">
        <v>0.47339324720355691</v>
      </c>
      <c r="L621" s="172">
        <f t="shared" si="332"/>
        <v>0.47339324720355691</v>
      </c>
      <c r="M621" s="249">
        <f t="shared" si="333"/>
        <v>709.16355276716558</v>
      </c>
      <c r="N621" s="170">
        <f t="shared" si="334"/>
        <v>1185.9100000000001</v>
      </c>
      <c r="O621" s="250">
        <v>0.17019911650482653</v>
      </c>
      <c r="P621" s="172">
        <f t="shared" si="335"/>
        <v>0.17019911650482653</v>
      </c>
      <c r="Q621" s="251">
        <f t="shared" si="336"/>
        <v>173.41740123827103</v>
      </c>
      <c r="R621" s="173">
        <f t="shared" si="337"/>
        <v>290</v>
      </c>
      <c r="S621" s="250">
        <v>4.1620143001070642E-2</v>
      </c>
      <c r="T621" s="171">
        <f t="shared" si="338"/>
        <v>4.1620143001070642E-2</v>
      </c>
      <c r="U621" s="256">
        <v>4166.67</v>
      </c>
      <c r="V621" s="170">
        <v>6967.78</v>
      </c>
      <c r="W621" s="258">
        <v>0.2</v>
      </c>
      <c r="X621" s="257">
        <f t="shared" si="350"/>
        <v>5000.0039999999999</v>
      </c>
      <c r="Y621" s="170">
        <f t="shared" si="349"/>
        <v>8361.3359999999993</v>
      </c>
      <c r="Z621" s="170">
        <f t="shared" si="352"/>
        <v>8365</v>
      </c>
      <c r="AA621" s="407">
        <f t="shared" si="351"/>
        <v>0</v>
      </c>
      <c r="AB621" s="194"/>
    </row>
    <row r="622" spans="1:28" s="278" customFormat="1" x14ac:dyDescent="0.25">
      <c r="A622" s="200">
        <v>712116</v>
      </c>
      <c r="B622" s="313" t="s">
        <v>19350</v>
      </c>
      <c r="C622" s="248"/>
      <c r="D622" s="247" t="s">
        <v>11</v>
      </c>
      <c r="E622" s="249">
        <f t="shared" si="346"/>
        <v>1032.536001402764</v>
      </c>
      <c r="F622" s="170">
        <f t="shared" si="346"/>
        <v>2109.5134292833309</v>
      </c>
      <c r="G622" s="250">
        <v>0.30976111018193936</v>
      </c>
      <c r="H622" s="171">
        <f t="shared" si="330"/>
        <v>0.30976111018193936</v>
      </c>
      <c r="I622" s="249">
        <f t="shared" si="347"/>
        <v>1614.5057214057827</v>
      </c>
      <c r="J622" s="170">
        <f t="shared" si="347"/>
        <v>3298.5014530566023</v>
      </c>
      <c r="K622" s="250">
        <v>0.48435220077393559</v>
      </c>
      <c r="L622" s="172">
        <f t="shared" si="332"/>
        <v>0.48435220077393559</v>
      </c>
      <c r="M622" s="249">
        <f t="shared" si="333"/>
        <v>551.44021708919684</v>
      </c>
      <c r="N622" s="170">
        <f t="shared" si="334"/>
        <v>1126.614996296692</v>
      </c>
      <c r="O622" s="250">
        <v>0.16543223055898962</v>
      </c>
      <c r="P622" s="172">
        <f t="shared" si="335"/>
        <v>0.16543223055898962</v>
      </c>
      <c r="Q622" s="251">
        <f t="shared" si="336"/>
        <v>134.84806010225654</v>
      </c>
      <c r="R622" s="173">
        <f t="shared" si="337"/>
        <v>275.50012136337551</v>
      </c>
      <c r="S622" s="250">
        <v>4.0454458485135451E-2</v>
      </c>
      <c r="T622" s="171">
        <f t="shared" si="338"/>
        <v>4.0454458485135451E-2</v>
      </c>
      <c r="U622" s="256">
        <v>3333.33</v>
      </c>
      <c r="V622" s="170">
        <v>6810.13</v>
      </c>
      <c r="W622" s="258">
        <v>0.2</v>
      </c>
      <c r="X622" s="257">
        <f t="shared" si="350"/>
        <v>3999.9960000000001</v>
      </c>
      <c r="Y622" s="170">
        <f t="shared" si="349"/>
        <v>8172.1559999999999</v>
      </c>
      <c r="Z622" s="170">
        <f t="shared" ref="Z622:Z685" si="353">IF(Y622=0, 0, IF(Y622&lt;10, _xlfn.CEILING.MATH(Y622,1), IF(Y622&lt;100, _xlfn.CEILING.MATH(Y622,1),IF(Y622&lt;1000, _xlfn.CEILING.MATH(Y622,5), IF(Y622&lt;10000, _xlfn.CEILING.MATH(Y622, 25), IF(Y622&lt;100000, _xlfn.CEILING.MATH(Y622,250), IF(Y622&lt;1000000, _xlfn.CEILING.MATH(Y622,500), 0)))))))</f>
        <v>8175</v>
      </c>
      <c r="AA622" s="407">
        <f t="shared" si="351"/>
        <v>0</v>
      </c>
      <c r="AB622" s="194"/>
    </row>
    <row r="623" spans="1:28" s="278" customFormat="1" x14ac:dyDescent="0.25">
      <c r="A623" s="200">
        <v>712120</v>
      </c>
      <c r="B623" s="313" t="s">
        <v>19351</v>
      </c>
      <c r="C623" s="248"/>
      <c r="D623" s="247" t="s">
        <v>11</v>
      </c>
      <c r="E623" s="249">
        <f t="shared" si="346"/>
        <v>2163.5983135374986</v>
      </c>
      <c r="F623" s="170">
        <f t="shared" si="346"/>
        <v>2715.788990320787</v>
      </c>
      <c r="G623" s="250">
        <v>0.28847977513833312</v>
      </c>
      <c r="H623" s="171">
        <f t="shared" si="330"/>
        <v>0.28847977513833312</v>
      </c>
      <c r="I623" s="249">
        <f t="shared" si="347"/>
        <v>3848.0161525050044</v>
      </c>
      <c r="J623" s="170">
        <f t="shared" si="347"/>
        <v>4830.1017042591284</v>
      </c>
      <c r="K623" s="250">
        <v>0.51306882033400059</v>
      </c>
      <c r="L623" s="172">
        <f t="shared" si="332"/>
        <v>0.51306882033400059</v>
      </c>
      <c r="M623" s="249">
        <f t="shared" si="333"/>
        <v>1189.6329177476423</v>
      </c>
      <c r="N623" s="170">
        <f t="shared" si="334"/>
        <v>1493.2494448379716</v>
      </c>
      <c r="O623" s="250">
        <v>0.1586177223663523</v>
      </c>
      <c r="P623" s="172">
        <f t="shared" si="335"/>
        <v>0.1586177223663523</v>
      </c>
      <c r="Q623" s="251">
        <f t="shared" si="336"/>
        <v>298.75261620985486</v>
      </c>
      <c r="R623" s="173">
        <f t="shared" si="337"/>
        <v>374.99986058211243</v>
      </c>
      <c r="S623" s="250">
        <v>3.9833682161313985E-2</v>
      </c>
      <c r="T623" s="171">
        <f t="shared" si="338"/>
        <v>3.9833682161313985E-2</v>
      </c>
      <c r="U623" s="256">
        <v>7500</v>
      </c>
      <c r="V623" s="170">
        <v>9414.14</v>
      </c>
      <c r="W623" s="258">
        <v>0.2</v>
      </c>
      <c r="X623" s="257">
        <f t="shared" si="350"/>
        <v>9000</v>
      </c>
      <c r="Y623" s="170">
        <f t="shared" si="349"/>
        <v>11296.967999999999</v>
      </c>
      <c r="Z623" s="170">
        <f>IF(Y623=0, 0, IF(Y623&lt;10, _xlfn.CEILING.MATH(Y623,1), IF(Y623&lt;100, _xlfn.CEILING.MATH(Y623,1),IF(Y623&lt;1000, _xlfn.CEILING.MATH(Y623,5), IF(Y623&lt;10000, _xlfn.CEILING.MATH(Y623, 25), IF(Y623&lt;100000, _xlfn.CEILING.MATH(Y623,5), IF(Y623&lt;1000000, _xlfn.CEILING.MATH(Y623,500), 0)))))))</f>
        <v>11300</v>
      </c>
      <c r="AA623" s="407">
        <f t="shared" si="351"/>
        <v>0</v>
      </c>
      <c r="AB623" s="194"/>
    </row>
    <row r="624" spans="1:28" s="278" customFormat="1" x14ac:dyDescent="0.25">
      <c r="A624" s="200">
        <v>712120</v>
      </c>
      <c r="B624" s="313" t="s">
        <v>19352</v>
      </c>
      <c r="C624" s="248"/>
      <c r="D624" s="247" t="s">
        <v>11</v>
      </c>
      <c r="E624" s="249">
        <f t="shared" si="346"/>
        <v>1899.5849017283826</v>
      </c>
      <c r="F624" s="170">
        <f t="shared" si="346"/>
        <v>2631.9315027184257</v>
      </c>
      <c r="G624" s="250">
        <v>0.28493759279046099</v>
      </c>
      <c r="H624" s="171">
        <f t="shared" si="330"/>
        <v>0.28493759279046099</v>
      </c>
      <c r="I624" s="249">
        <f t="shared" si="347"/>
        <v>3486.1044811694128</v>
      </c>
      <c r="J624" s="170">
        <f t="shared" si="347"/>
        <v>4830.1016697960622</v>
      </c>
      <c r="K624" s="250">
        <v>0.52291541071770653</v>
      </c>
      <c r="L624" s="172">
        <f t="shared" si="332"/>
        <v>0.52291541071770653</v>
      </c>
      <c r="M624" s="249">
        <f t="shared" si="333"/>
        <v>1023.8588553394176</v>
      </c>
      <c r="N624" s="170">
        <f t="shared" si="334"/>
        <v>1418.5869624743698</v>
      </c>
      <c r="O624" s="250">
        <v>0.15357875151153688</v>
      </c>
      <c r="P624" s="172">
        <f t="shared" si="335"/>
        <v>0.15357875151153688</v>
      </c>
      <c r="Q624" s="251">
        <f t="shared" si="336"/>
        <v>257.12176176278695</v>
      </c>
      <c r="R624" s="173">
        <f t="shared" si="337"/>
        <v>356.24986501114262</v>
      </c>
      <c r="S624" s="250">
        <v>3.8568244980295555E-2</v>
      </c>
      <c r="T624" s="171">
        <f t="shared" si="338"/>
        <v>3.8568244980295555E-2</v>
      </c>
      <c r="U624" s="256">
        <v>6666.67</v>
      </c>
      <c r="V624" s="170">
        <v>9236.8700000000008</v>
      </c>
      <c r="W624" s="258">
        <v>0.2</v>
      </c>
      <c r="X624" s="257">
        <f t="shared" si="350"/>
        <v>8000.0039999999999</v>
      </c>
      <c r="Y624" s="170">
        <f t="shared" si="349"/>
        <v>11084.244000000001</v>
      </c>
      <c r="Z624" s="170">
        <f t="shared" ref="Z624:Z630" si="354">IF(Y624=0, 0, IF(Y624&lt;10, _xlfn.CEILING.MATH(Y624,1), IF(Y624&lt;100, _xlfn.CEILING.MATH(Y624,1),IF(Y624&lt;1000, _xlfn.CEILING.MATH(Y624,5), IF(Y624&lt;10000, _xlfn.CEILING.MATH(Y624, 25), IF(Y624&lt;100000, _xlfn.CEILING.MATH(Y624,5), IF(Y624&lt;1000000, _xlfn.CEILING.MATH(Y624,500), 0)))))))</f>
        <v>11085</v>
      </c>
      <c r="AA624" s="407">
        <f t="shared" si="351"/>
        <v>0</v>
      </c>
      <c r="AB624" s="194"/>
    </row>
    <row r="625" spans="1:28" s="278" customFormat="1" x14ac:dyDescent="0.25">
      <c r="A625" s="200">
        <v>712124</v>
      </c>
      <c r="B625" s="313" t="s">
        <v>19353</v>
      </c>
      <c r="C625" s="248"/>
      <c r="D625" s="247" t="s">
        <v>11</v>
      </c>
      <c r="E625" s="249">
        <f t="shared" si="346"/>
        <v>3292.1870399230475</v>
      </c>
      <c r="F625" s="170">
        <f t="shared" si="346"/>
        <v>5481.08</v>
      </c>
      <c r="G625" s="250">
        <v>0.35914754648340647</v>
      </c>
      <c r="H625" s="171">
        <f t="shared" si="330"/>
        <v>0.35914754648340647</v>
      </c>
      <c r="I625" s="249">
        <f t="shared" si="347"/>
        <v>4358.7055274890317</v>
      </c>
      <c r="J625" s="170">
        <f t="shared" si="347"/>
        <v>7256.7000000000007</v>
      </c>
      <c r="K625" s="250">
        <v>0.47549497554608505</v>
      </c>
      <c r="L625" s="172">
        <f t="shared" si="332"/>
        <v>0.47549497554608505</v>
      </c>
      <c r="M625" s="249">
        <f t="shared" si="333"/>
        <v>1140.3738807419522</v>
      </c>
      <c r="N625" s="170">
        <f t="shared" si="334"/>
        <v>1898.5800000000002</v>
      </c>
      <c r="O625" s="250">
        <v>0.12440437811571184</v>
      </c>
      <c r="P625" s="172">
        <f t="shared" si="335"/>
        <v>0.12440437811571184</v>
      </c>
      <c r="Q625" s="251">
        <f t="shared" si="336"/>
        <v>375.40355184596922</v>
      </c>
      <c r="R625" s="173">
        <f t="shared" si="337"/>
        <v>625.00000000000011</v>
      </c>
      <c r="S625" s="250">
        <v>4.0953099854796692E-2</v>
      </c>
      <c r="T625" s="171">
        <f t="shared" si="338"/>
        <v>4.0953099854796692E-2</v>
      </c>
      <c r="U625" s="256">
        <v>9166.67</v>
      </c>
      <c r="V625" s="170">
        <v>15261.36</v>
      </c>
      <c r="W625" s="258">
        <v>0.2</v>
      </c>
      <c r="X625" s="257">
        <f t="shared" si="350"/>
        <v>11000.004000000001</v>
      </c>
      <c r="Y625" s="170">
        <f>IF(V625*(W625+1)=0,X625,V625*(W625+1))-3.64</f>
        <v>18309.992000000002</v>
      </c>
      <c r="Z625" s="170">
        <f t="shared" si="354"/>
        <v>18310</v>
      </c>
      <c r="AA625" s="407">
        <f t="shared" si="351"/>
        <v>0</v>
      </c>
      <c r="AB625" s="194"/>
    </row>
    <row r="626" spans="1:28" s="278" customFormat="1" x14ac:dyDescent="0.25">
      <c r="A626" s="200">
        <v>712124</v>
      </c>
      <c r="B626" s="313" t="s">
        <v>19354</v>
      </c>
      <c r="C626" s="248"/>
      <c r="D626" s="247" t="s">
        <v>11</v>
      </c>
      <c r="E626" s="249">
        <f t="shared" si="346"/>
        <v>2836.5770831948676</v>
      </c>
      <c r="F626" s="170">
        <f t="shared" si="346"/>
        <v>4932.9706384424553</v>
      </c>
      <c r="G626" s="250">
        <v>0.34038938613913855</v>
      </c>
      <c r="H626" s="171">
        <f t="shared" si="330"/>
        <v>0.34038938613913855</v>
      </c>
      <c r="I626" s="249">
        <f t="shared" si="347"/>
        <v>4172.7763546235819</v>
      </c>
      <c r="J626" s="170">
        <f t="shared" si="347"/>
        <v>7256.6979970665498</v>
      </c>
      <c r="K626" s="250">
        <v>0.50073336284817493</v>
      </c>
      <c r="L626" s="172">
        <f t="shared" si="332"/>
        <v>0.50073336284817493</v>
      </c>
      <c r="M626" s="249">
        <f t="shared" si="333"/>
        <v>982.55608723319347</v>
      </c>
      <c r="N626" s="170">
        <f t="shared" si="334"/>
        <v>1708.7215283728895</v>
      </c>
      <c r="O626" s="250">
        <v>0.11790677763069426</v>
      </c>
      <c r="P626" s="172">
        <f t="shared" si="335"/>
        <v>0.11790677763069426</v>
      </c>
      <c r="Q626" s="251">
        <f t="shared" si="336"/>
        <v>341.42047494835828</v>
      </c>
      <c r="R626" s="173">
        <f t="shared" si="337"/>
        <v>593.7498361181066</v>
      </c>
      <c r="S626" s="250">
        <v>4.0970473381992348E-2</v>
      </c>
      <c r="T626" s="171">
        <f t="shared" si="338"/>
        <v>4.0970473381992348E-2</v>
      </c>
      <c r="U626" s="256">
        <v>8333.33</v>
      </c>
      <c r="V626" s="170">
        <v>14492.14</v>
      </c>
      <c r="W626" s="258">
        <v>0.2</v>
      </c>
      <c r="X626" s="257">
        <f t="shared" si="350"/>
        <v>9999.9959999999992</v>
      </c>
      <c r="Y626" s="170">
        <f>IF(V626*(W626+1)=0,X626,V626*(W626+1))-0.57</f>
        <v>17389.998</v>
      </c>
      <c r="Z626" s="170">
        <f t="shared" si="354"/>
        <v>17390</v>
      </c>
      <c r="AA626" s="407">
        <f t="shared" si="351"/>
        <v>0</v>
      </c>
      <c r="AB626" s="194"/>
    </row>
    <row r="627" spans="1:28" s="278" customFormat="1" x14ac:dyDescent="0.25">
      <c r="A627" s="200">
        <v>712130</v>
      </c>
      <c r="B627" s="313" t="s">
        <v>19355</v>
      </c>
      <c r="C627" s="248"/>
      <c r="D627" s="247" t="s">
        <v>11</v>
      </c>
      <c r="E627" s="249">
        <f t="shared" si="346"/>
        <v>4354.243104250897</v>
      </c>
      <c r="F627" s="170">
        <f t="shared" si="346"/>
        <v>6955.1600000000017</v>
      </c>
      <c r="G627" s="250">
        <v>0.29857673825188741</v>
      </c>
      <c r="H627" s="171">
        <f t="shared" si="330"/>
        <v>0.29857673825188741</v>
      </c>
      <c r="I627" s="249">
        <f t="shared" si="347"/>
        <v>8588.5547688970473</v>
      </c>
      <c r="J627" s="170">
        <f t="shared" si="347"/>
        <v>13718.75</v>
      </c>
      <c r="K627" s="250">
        <v>0.5889296044797071</v>
      </c>
      <c r="L627" s="172">
        <f t="shared" si="332"/>
        <v>0.5889296044797071</v>
      </c>
      <c r="M627" s="249">
        <f t="shared" si="333"/>
        <v>1202.3006306714326</v>
      </c>
      <c r="N627" s="170">
        <f t="shared" si="334"/>
        <v>1920.4700000000003</v>
      </c>
      <c r="O627" s="250">
        <v>8.2443490661696095E-2</v>
      </c>
      <c r="P627" s="172">
        <f t="shared" si="335"/>
        <v>8.2443490661696095E-2</v>
      </c>
      <c r="Q627" s="251">
        <f t="shared" si="336"/>
        <v>438.23149618062388</v>
      </c>
      <c r="R627" s="173">
        <f t="shared" si="337"/>
        <v>700.00000000000011</v>
      </c>
      <c r="S627" s="250">
        <v>3.0050166606709432E-2</v>
      </c>
      <c r="T627" s="171">
        <f t="shared" si="338"/>
        <v>3.0050166606709432E-2</v>
      </c>
      <c r="U627" s="256">
        <v>14583.33</v>
      </c>
      <c r="V627" s="170">
        <v>23294.38</v>
      </c>
      <c r="W627" s="258">
        <v>0.2</v>
      </c>
      <c r="X627" s="257">
        <f t="shared" si="350"/>
        <v>17499.995999999999</v>
      </c>
      <c r="Y627" s="170">
        <f t="shared" si="349"/>
        <v>27953.256000000001</v>
      </c>
      <c r="Z627" s="170">
        <f t="shared" si="354"/>
        <v>27955</v>
      </c>
      <c r="AA627" s="407">
        <f t="shared" si="351"/>
        <v>0</v>
      </c>
      <c r="AB627" s="194"/>
    </row>
    <row r="628" spans="1:28" s="278" customFormat="1" x14ac:dyDescent="0.25">
      <c r="A628" s="200">
        <v>712130</v>
      </c>
      <c r="B628" s="313" t="s">
        <v>19356</v>
      </c>
      <c r="C628" s="248"/>
      <c r="D628" s="247" t="s">
        <v>11</v>
      </c>
      <c r="E628" s="249">
        <f t="shared" si="346"/>
        <v>3502.9856760701409</v>
      </c>
      <c r="F628" s="170">
        <f t="shared" si="346"/>
        <v>6259.6448407165635</v>
      </c>
      <c r="G628" s="250">
        <v>0.28023885408561128</v>
      </c>
      <c r="H628" s="171">
        <f t="shared" si="330"/>
        <v>0.28023885408561128</v>
      </c>
      <c r="I628" s="249">
        <f t="shared" si="347"/>
        <v>7677.2073209893779</v>
      </c>
      <c r="J628" s="170">
        <f t="shared" si="347"/>
        <v>13718.751842529757</v>
      </c>
      <c r="K628" s="250">
        <v>0.61417658567915023</v>
      </c>
      <c r="L628" s="172">
        <f t="shared" si="332"/>
        <v>0.61417658567915023</v>
      </c>
      <c r="M628" s="249">
        <f t="shared" si="333"/>
        <v>967.2500562636119</v>
      </c>
      <c r="N628" s="170">
        <f t="shared" si="334"/>
        <v>1728.4232321400136</v>
      </c>
      <c r="O628" s="250">
        <v>7.738000450108895E-2</v>
      </c>
      <c r="P628" s="172">
        <f t="shared" si="335"/>
        <v>7.738000450108895E-2</v>
      </c>
      <c r="Q628" s="251">
        <f t="shared" si="336"/>
        <v>352.55694667686987</v>
      </c>
      <c r="R628" s="173">
        <f t="shared" si="337"/>
        <v>630.00008461366713</v>
      </c>
      <c r="S628" s="250">
        <v>2.8204555734149588E-2</v>
      </c>
      <c r="T628" s="171">
        <f t="shared" si="338"/>
        <v>2.8204555734149588E-2</v>
      </c>
      <c r="U628" s="256">
        <v>12500</v>
      </c>
      <c r="V628" s="170">
        <v>22336.82</v>
      </c>
      <c r="W628" s="258">
        <v>0.2</v>
      </c>
      <c r="X628" s="257">
        <f t="shared" si="350"/>
        <v>15000</v>
      </c>
      <c r="Y628" s="170">
        <f>IF(V628*(W628+1)=0,X628,V628*(W628+1))-4.19</f>
        <v>26799.993999999999</v>
      </c>
      <c r="Z628" s="170">
        <f t="shared" si="354"/>
        <v>26800</v>
      </c>
      <c r="AA628" s="407">
        <f t="shared" si="351"/>
        <v>0</v>
      </c>
      <c r="AB628" s="194"/>
    </row>
    <row r="629" spans="1:28" s="278" customFormat="1" x14ac:dyDescent="0.25">
      <c r="A629" s="200">
        <v>712136</v>
      </c>
      <c r="B629" s="313" t="s">
        <v>19357</v>
      </c>
      <c r="C629" s="248"/>
      <c r="D629" s="247" t="s">
        <v>11</v>
      </c>
      <c r="E629" s="249">
        <f t="shared" si="346"/>
        <v>0</v>
      </c>
      <c r="F629" s="170">
        <f t="shared" si="346"/>
        <v>7885.76</v>
      </c>
      <c r="G629" s="250">
        <v>0.27414103222836927</v>
      </c>
      <c r="H629" s="171">
        <f t="shared" si="330"/>
        <v>0.27414103222836927</v>
      </c>
      <c r="I629" s="249">
        <f t="shared" si="347"/>
        <v>0</v>
      </c>
      <c r="J629" s="170">
        <f t="shared" si="347"/>
        <v>17559.999999999996</v>
      </c>
      <c r="K629" s="250">
        <v>0.6104568901323606</v>
      </c>
      <c r="L629" s="172">
        <f t="shared" si="332"/>
        <v>0.6104568901323606</v>
      </c>
      <c r="M629" s="249">
        <f t="shared" si="333"/>
        <v>0</v>
      </c>
      <c r="N629" s="170">
        <f t="shared" si="334"/>
        <v>2219.5799999999995</v>
      </c>
      <c r="O629" s="250">
        <v>7.7161611856491161E-2</v>
      </c>
      <c r="P629" s="172">
        <f t="shared" si="335"/>
        <v>7.7161611856491161E-2</v>
      </c>
      <c r="Q629" s="251">
        <f t="shared" si="336"/>
        <v>0</v>
      </c>
      <c r="R629" s="173">
        <f t="shared" si="337"/>
        <v>1099.9999999999998</v>
      </c>
      <c r="S629" s="250">
        <v>3.824046578277885E-2</v>
      </c>
      <c r="T629" s="171">
        <f t="shared" si="338"/>
        <v>3.824046578277885E-2</v>
      </c>
      <c r="U629" s="256"/>
      <c r="V629" s="170">
        <v>28765.34</v>
      </c>
      <c r="W629" s="258">
        <v>0.2</v>
      </c>
      <c r="X629" s="257">
        <f>U629+U629*W629</f>
        <v>0</v>
      </c>
      <c r="Y629" s="170">
        <f t="shared" si="349"/>
        <v>34518.407999999996</v>
      </c>
      <c r="Z629" s="170">
        <f t="shared" si="354"/>
        <v>34520</v>
      </c>
      <c r="AA629" s="407">
        <f t="shared" si="351"/>
        <v>0</v>
      </c>
      <c r="AB629" s="194"/>
    </row>
    <row r="630" spans="1:28" s="278" customFormat="1" x14ac:dyDescent="0.25">
      <c r="A630" s="200">
        <v>712136</v>
      </c>
      <c r="B630" s="313" t="s">
        <v>19358</v>
      </c>
      <c r="C630" s="248"/>
      <c r="D630" s="247" t="s">
        <v>11</v>
      </c>
      <c r="E630" s="249">
        <f t="shared" si="346"/>
        <v>0</v>
      </c>
      <c r="F630" s="170">
        <f t="shared" si="346"/>
        <v>7097.1850248712935</v>
      </c>
      <c r="G630" s="250">
        <v>0.25621782333060383</v>
      </c>
      <c r="H630" s="171">
        <f t="shared" si="330"/>
        <v>0.25621782333060383</v>
      </c>
      <c r="I630" s="249">
        <f t="shared" si="347"/>
        <v>0</v>
      </c>
      <c r="J630" s="170">
        <f t="shared" si="347"/>
        <v>17560.002535757831</v>
      </c>
      <c r="K630" s="250">
        <v>0.63393945791533701</v>
      </c>
      <c r="L630" s="172">
        <f t="shared" si="332"/>
        <v>0.63393945791533701</v>
      </c>
      <c r="M630" s="249">
        <f t="shared" si="333"/>
        <v>0</v>
      </c>
      <c r="N630" s="170">
        <f t="shared" si="334"/>
        <v>1997.6222884672911</v>
      </c>
      <c r="O630" s="250">
        <v>7.2116822767639602E-2</v>
      </c>
      <c r="P630" s="172">
        <f t="shared" si="335"/>
        <v>7.2116822767639602E-2</v>
      </c>
      <c r="Q630" s="251">
        <f t="shared" si="336"/>
        <v>0</v>
      </c>
      <c r="R630" s="173">
        <f t="shared" si="337"/>
        <v>1045.000150903584</v>
      </c>
      <c r="S630" s="250">
        <v>3.7725895986419546E-2</v>
      </c>
      <c r="T630" s="171">
        <f t="shared" si="338"/>
        <v>3.7725895986419546E-2</v>
      </c>
      <c r="U630" s="256"/>
      <c r="V630" s="170">
        <v>27699.81</v>
      </c>
      <c r="W630" s="258">
        <v>0.2</v>
      </c>
      <c r="X630" s="257">
        <f>U630+U630*W630</f>
        <v>0</v>
      </c>
      <c r="Y630" s="170">
        <f t="shared" si="349"/>
        <v>33239.771999999997</v>
      </c>
      <c r="Z630" s="170">
        <f t="shared" si="354"/>
        <v>33240</v>
      </c>
      <c r="AA630" s="407">
        <f t="shared" si="351"/>
        <v>0</v>
      </c>
      <c r="AB630" s="194"/>
    </row>
    <row r="631" spans="1:28" s="278" customFormat="1" x14ac:dyDescent="0.25">
      <c r="A631" s="200">
        <v>712500</v>
      </c>
      <c r="B631" s="313" t="s">
        <v>14695</v>
      </c>
      <c r="C631" s="248"/>
      <c r="D631" s="247" t="s">
        <v>11</v>
      </c>
      <c r="E631" s="249">
        <f t="shared" si="346"/>
        <v>116.66655</v>
      </c>
      <c r="F631" s="170">
        <f t="shared" si="346"/>
        <v>119.04071429249998</v>
      </c>
      <c r="G631" s="250">
        <v>0.35</v>
      </c>
      <c r="H631" s="171">
        <f t="shared" ref="H631:H694" si="355">G631</f>
        <v>0.35</v>
      </c>
      <c r="I631" s="249">
        <f t="shared" si="347"/>
        <v>149.99985000000001</v>
      </c>
      <c r="J631" s="170">
        <f t="shared" si="347"/>
        <v>153.05234694750001</v>
      </c>
      <c r="K631" s="250">
        <v>0.45</v>
      </c>
      <c r="L631" s="172">
        <f t="shared" ref="L631:L694" si="356">K631</f>
        <v>0.45</v>
      </c>
      <c r="M631" s="249">
        <f t="shared" ref="M631:M694" si="357">U631*O631</f>
        <v>49.999950000000005</v>
      </c>
      <c r="N631" s="170">
        <f t="shared" ref="N631:N694" si="358">P631*V631</f>
        <v>51.017448982499999</v>
      </c>
      <c r="O631" s="250">
        <v>0.15</v>
      </c>
      <c r="P631" s="172">
        <f t="shared" ref="P631:P694" si="359">O631</f>
        <v>0.15</v>
      </c>
      <c r="Q631" s="251">
        <f t="shared" ref="Q631:Q694" si="360">U631*S631</f>
        <v>16.666650000000001</v>
      </c>
      <c r="R631" s="173">
        <f t="shared" ref="R631:R694" si="361">T631*V631</f>
        <v>17.0058163275</v>
      </c>
      <c r="S631" s="250">
        <v>0.05</v>
      </c>
      <c r="T631" s="171">
        <f t="shared" ref="T631:T694" si="362">S631</f>
        <v>0.05</v>
      </c>
      <c r="U631" s="256">
        <v>333.33300000000003</v>
      </c>
      <c r="V631" s="170">
        <f t="shared" ref="V631:V694" si="363">SUM(E631*1.0235,I631*1.0175,M631*1.0245,Q631*1.0115)</f>
        <v>340.11632655</v>
      </c>
      <c r="W631" s="258">
        <v>0.2</v>
      </c>
      <c r="X631" s="257">
        <f t="shared" si="350"/>
        <v>399.99960000000004</v>
      </c>
      <c r="Y631" s="170">
        <f t="shared" si="349"/>
        <v>408.13959186</v>
      </c>
      <c r="Z631" s="170">
        <f t="shared" si="353"/>
        <v>410</v>
      </c>
      <c r="AA631" s="407">
        <f t="shared" si="351"/>
        <v>0</v>
      </c>
      <c r="AB631" s="194"/>
    </row>
    <row r="632" spans="1:28" s="278" customFormat="1" x14ac:dyDescent="0.25">
      <c r="A632" s="200">
        <v>712500</v>
      </c>
      <c r="B632" s="313" t="s">
        <v>14696</v>
      </c>
      <c r="C632" s="248"/>
      <c r="D632" s="247" t="s">
        <v>11</v>
      </c>
      <c r="E632" s="249">
        <f t="shared" si="346"/>
        <v>102.08334499999999</v>
      </c>
      <c r="F632" s="170">
        <f t="shared" si="346"/>
        <v>104.16074107074999</v>
      </c>
      <c r="G632" s="250">
        <v>0.35</v>
      </c>
      <c r="H632" s="171">
        <f t="shared" si="355"/>
        <v>0.35</v>
      </c>
      <c r="I632" s="249">
        <f t="shared" si="347"/>
        <v>131.25001499999999</v>
      </c>
      <c r="J632" s="170">
        <f t="shared" si="347"/>
        <v>133.92095280525001</v>
      </c>
      <c r="K632" s="250">
        <v>0.45</v>
      </c>
      <c r="L632" s="172">
        <f t="shared" si="356"/>
        <v>0.45</v>
      </c>
      <c r="M632" s="249">
        <f t="shared" si="357"/>
        <v>43.750004999999994</v>
      </c>
      <c r="N632" s="170">
        <f t="shared" si="358"/>
        <v>44.640317601749999</v>
      </c>
      <c r="O632" s="250">
        <v>0.15</v>
      </c>
      <c r="P632" s="172">
        <f t="shared" si="359"/>
        <v>0.15</v>
      </c>
      <c r="Q632" s="251">
        <f t="shared" si="360"/>
        <v>14.583335</v>
      </c>
      <c r="R632" s="173">
        <f t="shared" si="361"/>
        <v>14.880105867250002</v>
      </c>
      <c r="S632" s="250">
        <v>0.05</v>
      </c>
      <c r="T632" s="171">
        <f t="shared" si="362"/>
        <v>0.05</v>
      </c>
      <c r="U632" s="256">
        <v>291.66669999999999</v>
      </c>
      <c r="V632" s="170">
        <f t="shared" si="363"/>
        <v>297.60211734500001</v>
      </c>
      <c r="W632" s="258">
        <v>0.2</v>
      </c>
      <c r="X632" s="257">
        <f t="shared" si="350"/>
        <v>350.00004000000001</v>
      </c>
      <c r="Y632" s="170">
        <f t="shared" si="349"/>
        <v>357.12254081399999</v>
      </c>
      <c r="Z632" s="170">
        <f t="shared" si="353"/>
        <v>360</v>
      </c>
      <c r="AA632" s="407">
        <f t="shared" si="351"/>
        <v>0</v>
      </c>
      <c r="AB632" s="194"/>
    </row>
    <row r="633" spans="1:28" s="278" customFormat="1" x14ac:dyDescent="0.25">
      <c r="A633" s="195" t="s">
        <v>14697</v>
      </c>
      <c r="B633" s="317" t="s">
        <v>14698</v>
      </c>
      <c r="C633" s="241"/>
      <c r="D633" s="242"/>
      <c r="E633" s="243"/>
      <c r="F633" s="244"/>
      <c r="G633" s="245"/>
      <c r="H633" s="246"/>
      <c r="I633" s="243"/>
      <c r="J633" s="244"/>
      <c r="K633" s="245"/>
      <c r="L633" s="246"/>
      <c r="M633" s="243"/>
      <c r="N633" s="244"/>
      <c r="O633" s="245"/>
      <c r="P633" s="246"/>
      <c r="Q633" s="243"/>
      <c r="R633" s="244"/>
      <c r="S633" s="245"/>
      <c r="T633" s="246"/>
      <c r="U633" s="246"/>
      <c r="V633" s="246"/>
      <c r="W633" s="246"/>
      <c r="X633" s="246"/>
      <c r="Y633" s="244"/>
      <c r="Z633" s="244"/>
      <c r="AA633" s="406"/>
      <c r="AB633" s="194"/>
    </row>
    <row r="634" spans="1:28" s="278" customFormat="1" x14ac:dyDescent="0.25">
      <c r="A634" s="200">
        <v>714007</v>
      </c>
      <c r="B634" s="313" t="s">
        <v>16096</v>
      </c>
      <c r="C634" s="248"/>
      <c r="D634" s="247" t="s">
        <v>11</v>
      </c>
      <c r="E634" s="249">
        <f t="shared" si="346"/>
        <v>0</v>
      </c>
      <c r="F634" s="170">
        <f t="shared" si="346"/>
        <v>2843.75</v>
      </c>
      <c r="G634" s="250">
        <v>0.65</v>
      </c>
      <c r="H634" s="171">
        <f t="shared" si="355"/>
        <v>0.65</v>
      </c>
      <c r="I634" s="249">
        <f t="shared" si="347"/>
        <v>0</v>
      </c>
      <c r="J634" s="170">
        <f t="shared" si="347"/>
        <v>0</v>
      </c>
      <c r="K634" s="250"/>
      <c r="L634" s="172">
        <f t="shared" si="356"/>
        <v>0</v>
      </c>
      <c r="M634" s="249">
        <f t="shared" si="357"/>
        <v>0</v>
      </c>
      <c r="N634" s="170">
        <f t="shared" si="358"/>
        <v>1531.25</v>
      </c>
      <c r="O634" s="250">
        <v>0.35</v>
      </c>
      <c r="P634" s="172">
        <f t="shared" si="359"/>
        <v>0.35</v>
      </c>
      <c r="Q634" s="251">
        <f t="shared" si="360"/>
        <v>0</v>
      </c>
      <c r="R634" s="173">
        <f t="shared" si="361"/>
        <v>0</v>
      </c>
      <c r="S634" s="250"/>
      <c r="T634" s="171">
        <f t="shared" si="362"/>
        <v>0</v>
      </c>
      <c r="U634" s="256"/>
      <c r="V634" s="170">
        <f>5250/1.2</f>
        <v>4375</v>
      </c>
      <c r="W634" s="258">
        <v>0.2</v>
      </c>
      <c r="X634" s="257">
        <f>U634+U634*W634</f>
        <v>0</v>
      </c>
      <c r="Y634" s="170">
        <f>IF(V634*(W634+1)=0,X634,V634*(W634+1))</f>
        <v>5250</v>
      </c>
      <c r="Z634" s="170">
        <f>IF(Y634=0, 0, IF(Y634&lt;10, _xlfn.CEILING.MATH(Y634,1), IF(Y634&lt;100, _xlfn.CEILING.MATH(Y634,1),IF(Y634&lt;1000, _xlfn.CEILING.MATH(Y634,5), IF(Y634&lt;10000, _xlfn.CEILING.MATH(Y634, 25), IF(Y634&lt;100000, _xlfn.CEILING.MATH(Y634,250), IF(Y634&lt;1000000, _xlfn.CEILING.MATH(Y634,500), 0)))))))</f>
        <v>5250</v>
      </c>
      <c r="AA634" s="407">
        <f>C634*Z634</f>
        <v>0</v>
      </c>
      <c r="AB634" s="194"/>
    </row>
    <row r="635" spans="1:28" s="278" customFormat="1" x14ac:dyDescent="0.25">
      <c r="A635" s="200">
        <v>714008</v>
      </c>
      <c r="B635" s="313" t="s">
        <v>16097</v>
      </c>
      <c r="C635" s="248"/>
      <c r="D635" s="247" t="s">
        <v>11</v>
      </c>
      <c r="E635" s="249">
        <f t="shared" si="346"/>
        <v>0</v>
      </c>
      <c r="F635" s="170">
        <f t="shared" si="346"/>
        <v>2843.75</v>
      </c>
      <c r="G635" s="250">
        <v>0.65</v>
      </c>
      <c r="H635" s="171">
        <f t="shared" si="355"/>
        <v>0.65</v>
      </c>
      <c r="I635" s="249">
        <f t="shared" si="347"/>
        <v>0</v>
      </c>
      <c r="J635" s="170">
        <f t="shared" si="347"/>
        <v>0</v>
      </c>
      <c r="K635" s="250"/>
      <c r="L635" s="172">
        <f t="shared" si="356"/>
        <v>0</v>
      </c>
      <c r="M635" s="249">
        <f t="shared" si="357"/>
        <v>0</v>
      </c>
      <c r="N635" s="170">
        <f t="shared" si="358"/>
        <v>1531.25</v>
      </c>
      <c r="O635" s="250">
        <v>0.35</v>
      </c>
      <c r="P635" s="172">
        <f t="shared" si="359"/>
        <v>0.35</v>
      </c>
      <c r="Q635" s="251">
        <f t="shared" si="360"/>
        <v>0</v>
      </c>
      <c r="R635" s="173">
        <f t="shared" si="361"/>
        <v>0</v>
      </c>
      <c r="S635" s="250"/>
      <c r="T635" s="171">
        <f t="shared" si="362"/>
        <v>0</v>
      </c>
      <c r="U635" s="256"/>
      <c r="V635" s="170">
        <f>5250/1.2</f>
        <v>4375</v>
      </c>
      <c r="W635" s="258">
        <v>0.2</v>
      </c>
      <c r="X635" s="257">
        <f>U635+U635*W635</f>
        <v>0</v>
      </c>
      <c r="Y635" s="170">
        <f>IF(V635*(W635+1)=0,X635,V635*(W635+1))</f>
        <v>5250</v>
      </c>
      <c r="Z635" s="170">
        <f>IF(Y635=0, 0, IF(Y635&lt;10, _xlfn.CEILING.MATH(Y635,1), IF(Y635&lt;100, _xlfn.CEILING.MATH(Y635,1),IF(Y635&lt;1000, _xlfn.CEILING.MATH(Y635,5), IF(Y635&lt;10000, _xlfn.CEILING.MATH(Y635, 25), IF(Y635&lt;100000, _xlfn.CEILING.MATH(Y635,250), IF(Y635&lt;1000000, _xlfn.CEILING.MATH(Y635,500), 0)))))))</f>
        <v>5250</v>
      </c>
      <c r="AA635" s="407">
        <f>C635*Z635</f>
        <v>0</v>
      </c>
      <c r="AB635" s="194"/>
    </row>
    <row r="636" spans="1:28" s="278" customFormat="1" x14ac:dyDescent="0.25">
      <c r="A636" s="195" t="s">
        <v>14699</v>
      </c>
      <c r="B636" s="317" t="s">
        <v>14700</v>
      </c>
      <c r="C636" s="241"/>
      <c r="D636" s="242"/>
      <c r="E636" s="243"/>
      <c r="F636" s="244"/>
      <c r="G636" s="245"/>
      <c r="H636" s="246"/>
      <c r="I636" s="243"/>
      <c r="J636" s="244"/>
      <c r="K636" s="245"/>
      <c r="L636" s="246"/>
      <c r="M636" s="243"/>
      <c r="N636" s="244"/>
      <c r="O636" s="245"/>
      <c r="P636" s="246"/>
      <c r="Q636" s="243"/>
      <c r="R636" s="244"/>
      <c r="S636" s="245"/>
      <c r="T636" s="246"/>
      <c r="U636" s="246"/>
      <c r="V636" s="246"/>
      <c r="W636" s="246"/>
      <c r="X636" s="246"/>
      <c r="Y636" s="244"/>
      <c r="Z636" s="244"/>
      <c r="AA636" s="406"/>
      <c r="AB636" s="194"/>
    </row>
    <row r="637" spans="1:28" s="278" customFormat="1" x14ac:dyDescent="0.25">
      <c r="A637" s="200">
        <v>716010</v>
      </c>
      <c r="B637" s="313" t="s">
        <v>19359</v>
      </c>
      <c r="C637" s="248"/>
      <c r="D637" s="247" t="s">
        <v>11</v>
      </c>
      <c r="E637" s="249">
        <f t="shared" si="346"/>
        <v>1400</v>
      </c>
      <c r="F637" s="170">
        <f t="shared" si="346"/>
        <v>1428.49</v>
      </c>
      <c r="G637" s="250">
        <v>0.35</v>
      </c>
      <c r="H637" s="171">
        <f t="shared" si="355"/>
        <v>0.35</v>
      </c>
      <c r="I637" s="249">
        <f t="shared" si="347"/>
        <v>1800</v>
      </c>
      <c r="J637" s="170">
        <f t="shared" si="347"/>
        <v>1836.6300000000003</v>
      </c>
      <c r="K637" s="250">
        <v>0.45</v>
      </c>
      <c r="L637" s="172">
        <f t="shared" si="356"/>
        <v>0.45</v>
      </c>
      <c r="M637" s="249">
        <f t="shared" si="357"/>
        <v>600</v>
      </c>
      <c r="N637" s="170">
        <f t="shared" si="358"/>
        <v>612.21</v>
      </c>
      <c r="O637" s="250">
        <v>0.15</v>
      </c>
      <c r="P637" s="172">
        <f t="shared" si="359"/>
        <v>0.15</v>
      </c>
      <c r="Q637" s="251">
        <f t="shared" si="360"/>
        <v>200</v>
      </c>
      <c r="R637" s="173">
        <f t="shared" si="361"/>
        <v>204.07000000000005</v>
      </c>
      <c r="S637" s="250">
        <v>0.05</v>
      </c>
      <c r="T637" s="171">
        <f t="shared" si="362"/>
        <v>0.05</v>
      </c>
      <c r="U637" s="253">
        <v>4000</v>
      </c>
      <c r="V637" s="170">
        <f t="shared" si="363"/>
        <v>4081.4000000000005</v>
      </c>
      <c r="W637" s="258">
        <v>0.2</v>
      </c>
      <c r="X637" s="257">
        <f t="shared" ref="X637:X670" si="364">U637+U637*W637</f>
        <v>4800</v>
      </c>
      <c r="Y637" s="170">
        <f t="shared" si="349"/>
        <v>4897.68</v>
      </c>
      <c r="Z637" s="170">
        <f t="shared" si="353"/>
        <v>4900</v>
      </c>
      <c r="AA637" s="407">
        <f t="shared" si="351"/>
        <v>0</v>
      </c>
      <c r="AB637" s="194"/>
    </row>
    <row r="638" spans="1:28" s="278" customFormat="1" x14ac:dyDescent="0.25">
      <c r="A638" s="200">
        <v>716010</v>
      </c>
      <c r="B638" s="313" t="s">
        <v>19360</v>
      </c>
      <c r="C638" s="248"/>
      <c r="D638" s="247" t="s">
        <v>11</v>
      </c>
      <c r="E638" s="249">
        <f t="shared" si="346"/>
        <v>729.16655000000003</v>
      </c>
      <c r="F638" s="170">
        <f t="shared" si="346"/>
        <v>744.0050892925002</v>
      </c>
      <c r="G638" s="250">
        <v>0.35</v>
      </c>
      <c r="H638" s="171">
        <f t="shared" si="355"/>
        <v>0.35</v>
      </c>
      <c r="I638" s="249">
        <f t="shared" si="347"/>
        <v>937.49985000000004</v>
      </c>
      <c r="J638" s="170">
        <f t="shared" si="347"/>
        <v>956.57797194750026</v>
      </c>
      <c r="K638" s="250">
        <v>0.45</v>
      </c>
      <c r="L638" s="172">
        <f t="shared" si="356"/>
        <v>0.45</v>
      </c>
      <c r="M638" s="249">
        <f t="shared" si="357"/>
        <v>312.49995000000001</v>
      </c>
      <c r="N638" s="170">
        <f t="shared" si="358"/>
        <v>318.85932398250009</v>
      </c>
      <c r="O638" s="250">
        <v>0.15</v>
      </c>
      <c r="P638" s="172">
        <f t="shared" si="359"/>
        <v>0.15</v>
      </c>
      <c r="Q638" s="251">
        <f t="shared" si="360"/>
        <v>104.16665</v>
      </c>
      <c r="R638" s="173">
        <f t="shared" si="361"/>
        <v>106.28644132750003</v>
      </c>
      <c r="S638" s="250">
        <v>0.05</v>
      </c>
      <c r="T638" s="171">
        <f t="shared" si="362"/>
        <v>0.05</v>
      </c>
      <c r="U638" s="253">
        <v>2083.3330000000001</v>
      </c>
      <c r="V638" s="170">
        <f t="shared" si="363"/>
        <v>2125.7288265500006</v>
      </c>
      <c r="W638" s="258">
        <v>0.2</v>
      </c>
      <c r="X638" s="257">
        <f t="shared" si="364"/>
        <v>2499.9996000000001</v>
      </c>
      <c r="Y638" s="170">
        <f t="shared" si="349"/>
        <v>2550.8745918600007</v>
      </c>
      <c r="Z638" s="170">
        <f t="shared" si="353"/>
        <v>2575</v>
      </c>
      <c r="AA638" s="407">
        <f t="shared" si="351"/>
        <v>0</v>
      </c>
      <c r="AB638" s="194"/>
    </row>
    <row r="639" spans="1:28" s="278" customFormat="1" x14ac:dyDescent="0.25">
      <c r="A639" s="200">
        <v>716124</v>
      </c>
      <c r="B639" s="313" t="s">
        <v>19361</v>
      </c>
      <c r="C639" s="248"/>
      <c r="D639" s="247" t="s">
        <v>2</v>
      </c>
      <c r="E639" s="249">
        <f t="shared" si="346"/>
        <v>37.915499999999994</v>
      </c>
      <c r="F639" s="170">
        <f t="shared" si="346"/>
        <v>38.70035085</v>
      </c>
      <c r="G639" s="250">
        <v>0.35</v>
      </c>
      <c r="H639" s="171">
        <f t="shared" si="355"/>
        <v>0.35</v>
      </c>
      <c r="I639" s="249">
        <f t="shared" si="347"/>
        <v>43.332000000000001</v>
      </c>
      <c r="J639" s="170">
        <f t="shared" si="347"/>
        <v>44.228972400000004</v>
      </c>
      <c r="K639" s="250">
        <v>0.4</v>
      </c>
      <c r="L639" s="172">
        <f t="shared" si="356"/>
        <v>0.4</v>
      </c>
      <c r="M639" s="249">
        <f t="shared" si="357"/>
        <v>21.666</v>
      </c>
      <c r="N639" s="170">
        <f t="shared" si="358"/>
        <v>22.114486200000002</v>
      </c>
      <c r="O639" s="250">
        <v>0.2</v>
      </c>
      <c r="P639" s="172">
        <f t="shared" si="359"/>
        <v>0.2</v>
      </c>
      <c r="Q639" s="251">
        <f t="shared" si="360"/>
        <v>5.4165000000000001</v>
      </c>
      <c r="R639" s="173">
        <f t="shared" si="361"/>
        <v>5.5286215500000004</v>
      </c>
      <c r="S639" s="250">
        <v>0.05</v>
      </c>
      <c r="T639" s="171">
        <f t="shared" si="362"/>
        <v>0.05</v>
      </c>
      <c r="U639" s="256">
        <v>108.33</v>
      </c>
      <c r="V639" s="170">
        <f t="shared" si="363"/>
        <v>110.57243100000001</v>
      </c>
      <c r="W639" s="258">
        <v>0.2</v>
      </c>
      <c r="X639" s="257">
        <f t="shared" si="364"/>
        <v>129.99600000000001</v>
      </c>
      <c r="Y639" s="170">
        <f t="shared" si="349"/>
        <v>132.68691720000001</v>
      </c>
      <c r="Z639" s="170">
        <f t="shared" si="353"/>
        <v>135</v>
      </c>
      <c r="AA639" s="407">
        <f t="shared" si="351"/>
        <v>0</v>
      </c>
      <c r="AB639" s="194"/>
    </row>
    <row r="640" spans="1:28" s="278" customFormat="1" x14ac:dyDescent="0.25">
      <c r="A640" s="200">
        <v>716124</v>
      </c>
      <c r="B640" s="313" t="s">
        <v>19362</v>
      </c>
      <c r="C640" s="248"/>
      <c r="D640" s="247" t="s">
        <v>2</v>
      </c>
      <c r="E640" s="249">
        <f t="shared" si="346"/>
        <v>51.041549999999994</v>
      </c>
      <c r="F640" s="170">
        <f t="shared" si="346"/>
        <v>52.098110085000002</v>
      </c>
      <c r="G640" s="250">
        <v>0.35</v>
      </c>
      <c r="H640" s="171">
        <f t="shared" si="355"/>
        <v>0.35</v>
      </c>
      <c r="I640" s="249">
        <f t="shared" si="347"/>
        <v>58.333200000000005</v>
      </c>
      <c r="J640" s="170">
        <f t="shared" si="347"/>
        <v>59.540697240000014</v>
      </c>
      <c r="K640" s="250">
        <v>0.4</v>
      </c>
      <c r="L640" s="172">
        <f t="shared" si="356"/>
        <v>0.4</v>
      </c>
      <c r="M640" s="249">
        <f t="shared" si="357"/>
        <v>29.166600000000003</v>
      </c>
      <c r="N640" s="170">
        <f t="shared" si="358"/>
        <v>29.770348620000007</v>
      </c>
      <c r="O640" s="250">
        <v>0.2</v>
      </c>
      <c r="P640" s="172">
        <f t="shared" si="359"/>
        <v>0.2</v>
      </c>
      <c r="Q640" s="251">
        <f t="shared" si="360"/>
        <v>7.2916500000000006</v>
      </c>
      <c r="R640" s="173">
        <f t="shared" si="361"/>
        <v>7.4425871550000018</v>
      </c>
      <c r="S640" s="250">
        <v>0.05</v>
      </c>
      <c r="T640" s="171">
        <f t="shared" si="362"/>
        <v>0.05</v>
      </c>
      <c r="U640" s="256">
        <v>145.833</v>
      </c>
      <c r="V640" s="170">
        <f t="shared" si="363"/>
        <v>148.85174310000002</v>
      </c>
      <c r="W640" s="258">
        <v>0.2</v>
      </c>
      <c r="X640" s="257">
        <f t="shared" si="364"/>
        <v>174.99959999999999</v>
      </c>
      <c r="Y640" s="170">
        <f t="shared" si="349"/>
        <v>178.62209172000001</v>
      </c>
      <c r="Z640" s="170">
        <f t="shared" si="353"/>
        <v>180</v>
      </c>
      <c r="AA640" s="407">
        <f t="shared" si="351"/>
        <v>0</v>
      </c>
      <c r="AB640" s="194"/>
    </row>
    <row r="641" spans="1:28" s="278" customFormat="1" x14ac:dyDescent="0.25">
      <c r="A641" s="200">
        <v>716130</v>
      </c>
      <c r="B641" s="313" t="s">
        <v>19363</v>
      </c>
      <c r="C641" s="248"/>
      <c r="D641" s="247" t="s">
        <v>2</v>
      </c>
      <c r="E641" s="249">
        <f t="shared" si="346"/>
        <v>40.833345000000001</v>
      </c>
      <c r="F641" s="170">
        <f t="shared" si="346"/>
        <v>41.678595241499998</v>
      </c>
      <c r="G641" s="250">
        <v>0.35</v>
      </c>
      <c r="H641" s="171">
        <f t="shared" si="355"/>
        <v>0.35</v>
      </c>
      <c r="I641" s="249">
        <f t="shared" si="347"/>
        <v>46.666680000000007</v>
      </c>
      <c r="J641" s="170">
        <f t="shared" si="347"/>
        <v>47.632680276000002</v>
      </c>
      <c r="K641" s="250">
        <v>0.4</v>
      </c>
      <c r="L641" s="172">
        <f t="shared" si="356"/>
        <v>0.4</v>
      </c>
      <c r="M641" s="249">
        <f t="shared" si="357"/>
        <v>23.333340000000003</v>
      </c>
      <c r="N641" s="170">
        <f t="shared" si="358"/>
        <v>23.816340138000001</v>
      </c>
      <c r="O641" s="250">
        <v>0.2</v>
      </c>
      <c r="P641" s="172">
        <f t="shared" si="359"/>
        <v>0.2</v>
      </c>
      <c r="Q641" s="251">
        <f t="shared" si="360"/>
        <v>5.8333350000000008</v>
      </c>
      <c r="R641" s="173">
        <f t="shared" si="361"/>
        <v>5.9540850345000003</v>
      </c>
      <c r="S641" s="250">
        <v>0.05</v>
      </c>
      <c r="T641" s="171">
        <f t="shared" si="362"/>
        <v>0.05</v>
      </c>
      <c r="U641" s="256">
        <v>116.66670000000001</v>
      </c>
      <c r="V641" s="170">
        <f t="shared" si="363"/>
        <v>119.08170069000001</v>
      </c>
      <c r="W641" s="258">
        <v>0.2</v>
      </c>
      <c r="X641" s="257">
        <f t="shared" si="364"/>
        <v>140.00004000000001</v>
      </c>
      <c r="Y641" s="170">
        <f t="shared" si="349"/>
        <v>142.89804082800001</v>
      </c>
      <c r="Z641" s="170">
        <f t="shared" si="353"/>
        <v>145</v>
      </c>
      <c r="AA641" s="407">
        <f t="shared" si="351"/>
        <v>0</v>
      </c>
      <c r="AB641" s="194"/>
    </row>
    <row r="642" spans="1:28" s="278" customFormat="1" ht="14.4" thickBot="1" x14ac:dyDescent="0.3">
      <c r="A642" s="263">
        <v>716130</v>
      </c>
      <c r="B642" s="321" t="s">
        <v>19364</v>
      </c>
      <c r="C642" s="265"/>
      <c r="D642" s="264" t="s">
        <v>2</v>
      </c>
      <c r="E642" s="266">
        <f t="shared" si="346"/>
        <v>56.874999999999993</v>
      </c>
      <c r="F642" s="174">
        <f t="shared" si="346"/>
        <v>58.052312499999992</v>
      </c>
      <c r="G642" s="267">
        <v>0.35</v>
      </c>
      <c r="H642" s="268">
        <f t="shared" si="355"/>
        <v>0.35</v>
      </c>
      <c r="I642" s="266">
        <f t="shared" si="347"/>
        <v>65</v>
      </c>
      <c r="J642" s="174">
        <f t="shared" si="347"/>
        <v>66.345500000000001</v>
      </c>
      <c r="K642" s="267">
        <v>0.4</v>
      </c>
      <c r="L642" s="269">
        <f t="shared" si="356"/>
        <v>0.4</v>
      </c>
      <c r="M642" s="266">
        <f t="shared" si="357"/>
        <v>32.5</v>
      </c>
      <c r="N642" s="174">
        <f t="shared" si="358"/>
        <v>33.172750000000001</v>
      </c>
      <c r="O642" s="267">
        <v>0.2</v>
      </c>
      <c r="P642" s="269">
        <f t="shared" si="359"/>
        <v>0.2</v>
      </c>
      <c r="Q642" s="270">
        <f t="shared" si="360"/>
        <v>8.125</v>
      </c>
      <c r="R642" s="271">
        <f t="shared" si="361"/>
        <v>8.2931875000000002</v>
      </c>
      <c r="S642" s="267">
        <v>0.05</v>
      </c>
      <c r="T642" s="268">
        <f t="shared" si="362"/>
        <v>0.05</v>
      </c>
      <c r="U642" s="409">
        <v>162.5</v>
      </c>
      <c r="V642" s="174">
        <f t="shared" si="363"/>
        <v>165.86374999999998</v>
      </c>
      <c r="W642" s="322">
        <v>0.2</v>
      </c>
      <c r="X642" s="274">
        <f t="shared" si="364"/>
        <v>195</v>
      </c>
      <c r="Y642" s="174">
        <f t="shared" si="349"/>
        <v>199.03649999999996</v>
      </c>
      <c r="Z642" s="174">
        <f t="shared" si="353"/>
        <v>200</v>
      </c>
      <c r="AA642" s="410">
        <f t="shared" si="351"/>
        <v>0</v>
      </c>
      <c r="AB642" s="194"/>
    </row>
    <row r="643" spans="1:28" s="278" customFormat="1" x14ac:dyDescent="0.25">
      <c r="A643" s="200">
        <v>716136</v>
      </c>
      <c r="B643" s="313" t="s">
        <v>19365</v>
      </c>
      <c r="C643" s="248"/>
      <c r="D643" s="247" t="s">
        <v>2</v>
      </c>
      <c r="E643" s="249">
        <f t="shared" si="346"/>
        <v>43.75</v>
      </c>
      <c r="F643" s="170">
        <f t="shared" si="346"/>
        <v>44.655625000000001</v>
      </c>
      <c r="G643" s="250">
        <v>0.35</v>
      </c>
      <c r="H643" s="171">
        <f t="shared" si="355"/>
        <v>0.35</v>
      </c>
      <c r="I643" s="249">
        <f t="shared" si="347"/>
        <v>50</v>
      </c>
      <c r="J643" s="170">
        <f t="shared" si="347"/>
        <v>51.035000000000004</v>
      </c>
      <c r="K643" s="250">
        <v>0.4</v>
      </c>
      <c r="L643" s="172">
        <f t="shared" si="356"/>
        <v>0.4</v>
      </c>
      <c r="M643" s="249">
        <f t="shared" si="357"/>
        <v>25</v>
      </c>
      <c r="N643" s="170">
        <f t="shared" si="358"/>
        <v>25.517500000000002</v>
      </c>
      <c r="O643" s="250">
        <v>0.2</v>
      </c>
      <c r="P643" s="172">
        <f t="shared" si="359"/>
        <v>0.2</v>
      </c>
      <c r="Q643" s="251">
        <f t="shared" si="360"/>
        <v>6.25</v>
      </c>
      <c r="R643" s="173">
        <f t="shared" si="361"/>
        <v>6.3793750000000005</v>
      </c>
      <c r="S643" s="250">
        <v>0.05</v>
      </c>
      <c r="T643" s="171">
        <f t="shared" si="362"/>
        <v>0.05</v>
      </c>
      <c r="U643" s="256">
        <v>125</v>
      </c>
      <c r="V643" s="170">
        <f t="shared" si="363"/>
        <v>127.58750000000001</v>
      </c>
      <c r="W643" s="258">
        <v>0.2</v>
      </c>
      <c r="X643" s="257">
        <f t="shared" si="364"/>
        <v>150</v>
      </c>
      <c r="Y643" s="170">
        <f t="shared" si="349"/>
        <v>153.10499999999999</v>
      </c>
      <c r="Z643" s="170">
        <f t="shared" si="353"/>
        <v>155</v>
      </c>
      <c r="AA643" s="407">
        <f t="shared" si="351"/>
        <v>0</v>
      </c>
      <c r="AB643" s="194"/>
    </row>
    <row r="644" spans="1:28" s="278" customFormat="1" x14ac:dyDescent="0.25">
      <c r="A644" s="200">
        <v>716136</v>
      </c>
      <c r="B644" s="313" t="s">
        <v>19366</v>
      </c>
      <c r="C644" s="248"/>
      <c r="D644" s="247" t="s">
        <v>2</v>
      </c>
      <c r="E644" s="249">
        <f t="shared" si="346"/>
        <v>87.5</v>
      </c>
      <c r="F644" s="170">
        <f t="shared" si="346"/>
        <v>89.311250000000001</v>
      </c>
      <c r="G644" s="250">
        <v>0.35</v>
      </c>
      <c r="H644" s="171">
        <f t="shared" si="355"/>
        <v>0.35</v>
      </c>
      <c r="I644" s="249">
        <f t="shared" si="347"/>
        <v>100</v>
      </c>
      <c r="J644" s="170">
        <f t="shared" si="347"/>
        <v>102.07000000000001</v>
      </c>
      <c r="K644" s="250">
        <v>0.4</v>
      </c>
      <c r="L644" s="172">
        <f t="shared" si="356"/>
        <v>0.4</v>
      </c>
      <c r="M644" s="249">
        <f t="shared" si="357"/>
        <v>50</v>
      </c>
      <c r="N644" s="170">
        <f t="shared" si="358"/>
        <v>51.035000000000004</v>
      </c>
      <c r="O644" s="250">
        <v>0.2</v>
      </c>
      <c r="P644" s="172">
        <f t="shared" si="359"/>
        <v>0.2</v>
      </c>
      <c r="Q644" s="251">
        <f t="shared" si="360"/>
        <v>12.5</v>
      </c>
      <c r="R644" s="173">
        <f t="shared" si="361"/>
        <v>12.758750000000001</v>
      </c>
      <c r="S644" s="250">
        <v>0.05</v>
      </c>
      <c r="T644" s="171">
        <f t="shared" si="362"/>
        <v>0.05</v>
      </c>
      <c r="U644" s="256">
        <v>250</v>
      </c>
      <c r="V644" s="170">
        <f t="shared" si="363"/>
        <v>255.17500000000001</v>
      </c>
      <c r="W644" s="258">
        <v>0.2</v>
      </c>
      <c r="X644" s="257">
        <f t="shared" si="364"/>
        <v>300</v>
      </c>
      <c r="Y644" s="170">
        <f t="shared" si="349"/>
        <v>306.20999999999998</v>
      </c>
      <c r="Z644" s="170">
        <f t="shared" si="353"/>
        <v>310</v>
      </c>
      <c r="AA644" s="407">
        <f t="shared" si="351"/>
        <v>0</v>
      </c>
      <c r="AB644" s="194"/>
    </row>
    <row r="645" spans="1:28" s="278" customFormat="1" x14ac:dyDescent="0.25">
      <c r="A645" s="200">
        <v>716154</v>
      </c>
      <c r="B645" s="313" t="s">
        <v>19367</v>
      </c>
      <c r="C645" s="248"/>
      <c r="D645" s="247" t="s">
        <v>2</v>
      </c>
      <c r="E645" s="249">
        <f t="shared" si="346"/>
        <v>90</v>
      </c>
      <c r="F645" s="170">
        <f t="shared" si="346"/>
        <v>91.867500000000007</v>
      </c>
      <c r="G645" s="250">
        <v>0.3</v>
      </c>
      <c r="H645" s="171">
        <f t="shared" si="355"/>
        <v>0.3</v>
      </c>
      <c r="I645" s="249">
        <f t="shared" si="347"/>
        <v>120</v>
      </c>
      <c r="J645" s="170">
        <f t="shared" si="347"/>
        <v>122.49000000000001</v>
      </c>
      <c r="K645" s="250">
        <v>0.4</v>
      </c>
      <c r="L645" s="172">
        <f t="shared" si="356"/>
        <v>0.4</v>
      </c>
      <c r="M645" s="249">
        <f t="shared" si="357"/>
        <v>75</v>
      </c>
      <c r="N645" s="170">
        <f t="shared" si="358"/>
        <v>76.556250000000006</v>
      </c>
      <c r="O645" s="250">
        <v>0.25</v>
      </c>
      <c r="P645" s="172">
        <f t="shared" si="359"/>
        <v>0.25</v>
      </c>
      <c r="Q645" s="251">
        <f t="shared" si="360"/>
        <v>15</v>
      </c>
      <c r="R645" s="173">
        <f t="shared" si="361"/>
        <v>15.311250000000001</v>
      </c>
      <c r="S645" s="250">
        <v>0.05</v>
      </c>
      <c r="T645" s="171">
        <f t="shared" si="362"/>
        <v>0.05</v>
      </c>
      <c r="U645" s="256">
        <v>300</v>
      </c>
      <c r="V645" s="170">
        <f t="shared" si="363"/>
        <v>306.22500000000002</v>
      </c>
      <c r="W645" s="258">
        <v>0.2</v>
      </c>
      <c r="X645" s="257">
        <f t="shared" si="364"/>
        <v>360</v>
      </c>
      <c r="Y645" s="170">
        <f t="shared" si="349"/>
        <v>367.47</v>
      </c>
      <c r="Z645" s="170">
        <f t="shared" si="353"/>
        <v>370</v>
      </c>
      <c r="AA645" s="407">
        <f t="shared" si="351"/>
        <v>0</v>
      </c>
      <c r="AB645" s="194"/>
    </row>
    <row r="646" spans="1:28" s="278" customFormat="1" x14ac:dyDescent="0.25">
      <c r="A646" s="200">
        <v>716154</v>
      </c>
      <c r="B646" s="313" t="s">
        <v>19368</v>
      </c>
      <c r="C646" s="248"/>
      <c r="D646" s="247" t="s">
        <v>2</v>
      </c>
      <c r="E646" s="249">
        <f t="shared" si="346"/>
        <v>162.50001</v>
      </c>
      <c r="F646" s="170">
        <f t="shared" si="346"/>
        <v>165.87188520749999</v>
      </c>
      <c r="G646" s="250">
        <v>0.3</v>
      </c>
      <c r="H646" s="171">
        <f t="shared" si="355"/>
        <v>0.3</v>
      </c>
      <c r="I646" s="249">
        <f t="shared" si="347"/>
        <v>216.66668000000001</v>
      </c>
      <c r="J646" s="170">
        <f t="shared" si="347"/>
        <v>221.16251361000002</v>
      </c>
      <c r="K646" s="250">
        <v>0.4</v>
      </c>
      <c r="L646" s="172">
        <f t="shared" si="356"/>
        <v>0.4</v>
      </c>
      <c r="M646" s="249">
        <f t="shared" si="357"/>
        <v>135.416675</v>
      </c>
      <c r="N646" s="170">
        <f t="shared" si="358"/>
        <v>138.22657100625</v>
      </c>
      <c r="O646" s="250">
        <v>0.25</v>
      </c>
      <c r="P646" s="172">
        <f t="shared" si="359"/>
        <v>0.25</v>
      </c>
      <c r="Q646" s="251">
        <f t="shared" si="360"/>
        <v>27.083335000000002</v>
      </c>
      <c r="R646" s="173">
        <f t="shared" si="361"/>
        <v>27.645314201250002</v>
      </c>
      <c r="S646" s="250">
        <v>0.05</v>
      </c>
      <c r="T646" s="171">
        <f t="shared" si="362"/>
        <v>0.05</v>
      </c>
      <c r="U646" s="256">
        <v>541.66669999999999</v>
      </c>
      <c r="V646" s="170">
        <f t="shared" si="363"/>
        <v>552.90628402499999</v>
      </c>
      <c r="W646" s="258">
        <v>0.2</v>
      </c>
      <c r="X646" s="257">
        <f t="shared" si="364"/>
        <v>650.00004000000001</v>
      </c>
      <c r="Y646" s="170">
        <f t="shared" si="349"/>
        <v>663.48754082999994</v>
      </c>
      <c r="Z646" s="170">
        <f t="shared" si="353"/>
        <v>665</v>
      </c>
      <c r="AA646" s="407">
        <f t="shared" si="351"/>
        <v>0</v>
      </c>
      <c r="AB646" s="194"/>
    </row>
    <row r="647" spans="1:28" s="278" customFormat="1" x14ac:dyDescent="0.25">
      <c r="A647" s="200">
        <v>716160</v>
      </c>
      <c r="B647" s="313" t="s">
        <v>19369</v>
      </c>
      <c r="C647" s="248"/>
      <c r="D647" s="247" t="s">
        <v>2</v>
      </c>
      <c r="E647" s="249">
        <f t="shared" si="346"/>
        <v>120</v>
      </c>
      <c r="F647" s="170">
        <f t="shared" si="346"/>
        <v>122.49</v>
      </c>
      <c r="G647" s="250">
        <v>0.3</v>
      </c>
      <c r="H647" s="171">
        <f t="shared" si="355"/>
        <v>0.3</v>
      </c>
      <c r="I647" s="249">
        <f t="shared" si="347"/>
        <v>160</v>
      </c>
      <c r="J647" s="170">
        <f t="shared" si="347"/>
        <v>163.32000000000002</v>
      </c>
      <c r="K647" s="250">
        <v>0.4</v>
      </c>
      <c r="L647" s="172">
        <f t="shared" si="356"/>
        <v>0.4</v>
      </c>
      <c r="M647" s="249">
        <f t="shared" si="357"/>
        <v>100</v>
      </c>
      <c r="N647" s="170">
        <f t="shared" si="358"/>
        <v>102.075</v>
      </c>
      <c r="O647" s="250">
        <v>0.25</v>
      </c>
      <c r="P647" s="172">
        <f t="shared" si="359"/>
        <v>0.25</v>
      </c>
      <c r="Q647" s="251">
        <f t="shared" si="360"/>
        <v>20</v>
      </c>
      <c r="R647" s="173">
        <f t="shared" si="361"/>
        <v>20.415000000000003</v>
      </c>
      <c r="S647" s="250">
        <v>0.05</v>
      </c>
      <c r="T647" s="171">
        <f t="shared" si="362"/>
        <v>0.05</v>
      </c>
      <c r="U647" s="256">
        <v>400</v>
      </c>
      <c r="V647" s="170">
        <f t="shared" si="363"/>
        <v>408.3</v>
      </c>
      <c r="W647" s="258">
        <v>0.2</v>
      </c>
      <c r="X647" s="257">
        <f t="shared" si="364"/>
        <v>480</v>
      </c>
      <c r="Y647" s="170">
        <f t="shared" si="349"/>
        <v>489.96</v>
      </c>
      <c r="Z647" s="170">
        <f t="shared" si="353"/>
        <v>490</v>
      </c>
      <c r="AA647" s="407">
        <f t="shared" si="351"/>
        <v>0</v>
      </c>
      <c r="AB647" s="194"/>
    </row>
    <row r="648" spans="1:28" s="278" customFormat="1" x14ac:dyDescent="0.25">
      <c r="A648" s="200">
        <v>716160</v>
      </c>
      <c r="B648" s="313" t="s">
        <v>19370</v>
      </c>
      <c r="C648" s="248"/>
      <c r="D648" s="247" t="s">
        <v>2</v>
      </c>
      <c r="E648" s="249">
        <f t="shared" si="346"/>
        <v>181.25001</v>
      </c>
      <c r="F648" s="170">
        <f t="shared" si="346"/>
        <v>185.01094770749998</v>
      </c>
      <c r="G648" s="250">
        <v>0.3</v>
      </c>
      <c r="H648" s="171">
        <f t="shared" si="355"/>
        <v>0.3</v>
      </c>
      <c r="I648" s="249">
        <f t="shared" si="347"/>
        <v>241.66668000000001</v>
      </c>
      <c r="J648" s="170">
        <f t="shared" si="347"/>
        <v>246.68126361</v>
      </c>
      <c r="K648" s="250">
        <v>0.4</v>
      </c>
      <c r="L648" s="172">
        <f t="shared" si="356"/>
        <v>0.4</v>
      </c>
      <c r="M648" s="249">
        <f t="shared" si="357"/>
        <v>151.041675</v>
      </c>
      <c r="N648" s="170">
        <f t="shared" si="358"/>
        <v>154.17578975625</v>
      </c>
      <c r="O648" s="250">
        <v>0.25</v>
      </c>
      <c r="P648" s="172">
        <f t="shared" si="359"/>
        <v>0.25</v>
      </c>
      <c r="Q648" s="251">
        <f t="shared" si="360"/>
        <v>30.208335000000002</v>
      </c>
      <c r="R648" s="173">
        <f t="shared" si="361"/>
        <v>30.83515795125</v>
      </c>
      <c r="S648" s="250">
        <v>0.05</v>
      </c>
      <c r="T648" s="171">
        <f t="shared" si="362"/>
        <v>0.05</v>
      </c>
      <c r="U648" s="256">
        <v>604.16669999999999</v>
      </c>
      <c r="V648" s="170">
        <f t="shared" si="363"/>
        <v>616.70315902499999</v>
      </c>
      <c r="W648" s="258">
        <v>0.2</v>
      </c>
      <c r="X648" s="257">
        <f t="shared" si="364"/>
        <v>725.00004000000001</v>
      </c>
      <c r="Y648" s="170">
        <f t="shared" si="349"/>
        <v>740.04379082999992</v>
      </c>
      <c r="Z648" s="170">
        <f t="shared" si="353"/>
        <v>745</v>
      </c>
      <c r="AA648" s="407">
        <f t="shared" si="351"/>
        <v>0</v>
      </c>
      <c r="AB648" s="194"/>
    </row>
    <row r="649" spans="1:28" s="278" customFormat="1" x14ac:dyDescent="0.25">
      <c r="A649" s="200">
        <v>716172</v>
      </c>
      <c r="B649" s="313" t="s">
        <v>19371</v>
      </c>
      <c r="C649" s="248"/>
      <c r="D649" s="247" t="s">
        <v>2</v>
      </c>
      <c r="E649" s="249">
        <f t="shared" si="346"/>
        <v>135</v>
      </c>
      <c r="F649" s="170">
        <f t="shared" si="346"/>
        <v>137.80125000000001</v>
      </c>
      <c r="G649" s="250">
        <v>0.3</v>
      </c>
      <c r="H649" s="171">
        <f t="shared" si="355"/>
        <v>0.3</v>
      </c>
      <c r="I649" s="249">
        <f t="shared" si="347"/>
        <v>180</v>
      </c>
      <c r="J649" s="170">
        <f t="shared" si="347"/>
        <v>183.73500000000001</v>
      </c>
      <c r="K649" s="250">
        <v>0.4</v>
      </c>
      <c r="L649" s="172">
        <f t="shared" si="356"/>
        <v>0.4</v>
      </c>
      <c r="M649" s="249">
        <f t="shared" si="357"/>
        <v>112.5</v>
      </c>
      <c r="N649" s="170">
        <f t="shared" si="358"/>
        <v>114.83437500000001</v>
      </c>
      <c r="O649" s="250">
        <v>0.25</v>
      </c>
      <c r="P649" s="172">
        <f t="shared" si="359"/>
        <v>0.25</v>
      </c>
      <c r="Q649" s="251">
        <f t="shared" si="360"/>
        <v>22.5</v>
      </c>
      <c r="R649" s="173">
        <f t="shared" si="361"/>
        <v>22.966875000000002</v>
      </c>
      <c r="S649" s="250">
        <v>0.05</v>
      </c>
      <c r="T649" s="171">
        <f t="shared" si="362"/>
        <v>0.05</v>
      </c>
      <c r="U649" s="256">
        <v>450</v>
      </c>
      <c r="V649" s="170">
        <f t="shared" si="363"/>
        <v>459.33750000000003</v>
      </c>
      <c r="W649" s="258">
        <v>0.2</v>
      </c>
      <c r="X649" s="257">
        <f t="shared" si="364"/>
        <v>540</v>
      </c>
      <c r="Y649" s="170">
        <f t="shared" si="349"/>
        <v>551.20500000000004</v>
      </c>
      <c r="Z649" s="170">
        <f t="shared" si="353"/>
        <v>555</v>
      </c>
      <c r="AA649" s="407">
        <f t="shared" si="351"/>
        <v>0</v>
      </c>
      <c r="AB649" s="194"/>
    </row>
    <row r="650" spans="1:28" s="278" customFormat="1" x14ac:dyDescent="0.25">
      <c r="A650" s="200">
        <v>716172</v>
      </c>
      <c r="B650" s="313" t="s">
        <v>19372</v>
      </c>
      <c r="C650" s="248"/>
      <c r="D650" s="247" t="s">
        <v>2</v>
      </c>
      <c r="E650" s="249">
        <f t="shared" si="346"/>
        <v>200.00001</v>
      </c>
      <c r="F650" s="170">
        <f t="shared" si="346"/>
        <v>204.1500102075</v>
      </c>
      <c r="G650" s="250">
        <v>0.3</v>
      </c>
      <c r="H650" s="171">
        <f t="shared" si="355"/>
        <v>0.3</v>
      </c>
      <c r="I650" s="249">
        <f t="shared" si="347"/>
        <v>266.66667999999999</v>
      </c>
      <c r="J650" s="170">
        <f t="shared" si="347"/>
        <v>272.20001360999998</v>
      </c>
      <c r="K650" s="250">
        <v>0.4</v>
      </c>
      <c r="L650" s="172">
        <f t="shared" si="356"/>
        <v>0.4</v>
      </c>
      <c r="M650" s="249">
        <f t="shared" si="357"/>
        <v>166.666675</v>
      </c>
      <c r="N650" s="170">
        <f t="shared" si="358"/>
        <v>170.12500850625</v>
      </c>
      <c r="O650" s="250">
        <v>0.25</v>
      </c>
      <c r="P650" s="172">
        <f t="shared" si="359"/>
        <v>0.25</v>
      </c>
      <c r="Q650" s="251">
        <f t="shared" si="360"/>
        <v>33.333334999999998</v>
      </c>
      <c r="R650" s="173">
        <f t="shared" si="361"/>
        <v>34.025001701249998</v>
      </c>
      <c r="S650" s="250">
        <v>0.05</v>
      </c>
      <c r="T650" s="171">
        <f t="shared" si="362"/>
        <v>0.05</v>
      </c>
      <c r="U650" s="256">
        <v>666.66669999999999</v>
      </c>
      <c r="V650" s="170">
        <f t="shared" si="363"/>
        <v>680.50003402499999</v>
      </c>
      <c r="W650" s="258">
        <v>0.2</v>
      </c>
      <c r="X650" s="257">
        <f t="shared" si="364"/>
        <v>800.00004000000001</v>
      </c>
      <c r="Y650" s="170">
        <f t="shared" si="349"/>
        <v>816.60004083000001</v>
      </c>
      <c r="Z650" s="170">
        <f t="shared" si="353"/>
        <v>820</v>
      </c>
      <c r="AA650" s="407">
        <f t="shared" si="351"/>
        <v>0</v>
      </c>
      <c r="AB650" s="194"/>
    </row>
    <row r="651" spans="1:28" s="278" customFormat="1" x14ac:dyDescent="0.25">
      <c r="A651" s="200">
        <v>716224</v>
      </c>
      <c r="B651" s="313" t="s">
        <v>19373</v>
      </c>
      <c r="C651" s="248"/>
      <c r="D651" s="247" t="s">
        <v>2</v>
      </c>
      <c r="E651" s="249">
        <f t="shared" si="346"/>
        <v>43.75</v>
      </c>
      <c r="F651" s="170">
        <f t="shared" si="346"/>
        <v>44.670937500000001</v>
      </c>
      <c r="G651" s="250">
        <v>0.35</v>
      </c>
      <c r="H651" s="171">
        <f t="shared" si="355"/>
        <v>0.35</v>
      </c>
      <c r="I651" s="249">
        <f t="shared" si="347"/>
        <v>43.75</v>
      </c>
      <c r="J651" s="170">
        <f t="shared" si="347"/>
        <v>44.670937500000001</v>
      </c>
      <c r="K651" s="250">
        <v>0.35</v>
      </c>
      <c r="L651" s="172">
        <f t="shared" si="356"/>
        <v>0.35</v>
      </c>
      <c r="M651" s="249">
        <f t="shared" si="357"/>
        <v>31.25</v>
      </c>
      <c r="N651" s="170">
        <f t="shared" si="358"/>
        <v>31.907812500000002</v>
      </c>
      <c r="O651" s="250">
        <v>0.25</v>
      </c>
      <c r="P651" s="172">
        <f t="shared" si="359"/>
        <v>0.25</v>
      </c>
      <c r="Q651" s="251">
        <f t="shared" si="360"/>
        <v>6.25</v>
      </c>
      <c r="R651" s="173">
        <f t="shared" si="361"/>
        <v>6.3815625000000011</v>
      </c>
      <c r="S651" s="250">
        <v>0.05</v>
      </c>
      <c r="T651" s="171">
        <f t="shared" si="362"/>
        <v>0.05</v>
      </c>
      <c r="U651" s="256">
        <v>125</v>
      </c>
      <c r="V651" s="170">
        <f t="shared" si="363"/>
        <v>127.63125000000001</v>
      </c>
      <c r="W651" s="258">
        <v>0.2</v>
      </c>
      <c r="X651" s="257">
        <f t="shared" si="364"/>
        <v>150</v>
      </c>
      <c r="Y651" s="170">
        <f t="shared" si="349"/>
        <v>153.1575</v>
      </c>
      <c r="Z651" s="170">
        <f t="shared" si="353"/>
        <v>155</v>
      </c>
      <c r="AA651" s="407">
        <f t="shared" si="351"/>
        <v>0</v>
      </c>
      <c r="AB651" s="194"/>
    </row>
    <row r="652" spans="1:28" s="278" customFormat="1" x14ac:dyDescent="0.25">
      <c r="A652" s="200">
        <v>716224</v>
      </c>
      <c r="B652" s="313" t="s">
        <v>19374</v>
      </c>
      <c r="C652" s="248"/>
      <c r="D652" s="247" t="s">
        <v>2</v>
      </c>
      <c r="E652" s="249">
        <f t="shared" si="346"/>
        <v>102.08309999999999</v>
      </c>
      <c r="F652" s="170">
        <f t="shared" si="346"/>
        <v>104.23194925499999</v>
      </c>
      <c r="G652" s="250">
        <v>0.35</v>
      </c>
      <c r="H652" s="171">
        <f t="shared" si="355"/>
        <v>0.35</v>
      </c>
      <c r="I652" s="249">
        <f t="shared" si="347"/>
        <v>102.08309999999999</v>
      </c>
      <c r="J652" s="170">
        <f t="shared" si="347"/>
        <v>104.23194925499999</v>
      </c>
      <c r="K652" s="250">
        <v>0.35</v>
      </c>
      <c r="L652" s="172">
        <f t="shared" si="356"/>
        <v>0.35</v>
      </c>
      <c r="M652" s="249">
        <f t="shared" si="357"/>
        <v>72.916499999999999</v>
      </c>
      <c r="N652" s="170">
        <f t="shared" si="358"/>
        <v>74.451392325</v>
      </c>
      <c r="O652" s="250">
        <v>0.25</v>
      </c>
      <c r="P652" s="172">
        <f t="shared" si="359"/>
        <v>0.25</v>
      </c>
      <c r="Q652" s="251">
        <f t="shared" si="360"/>
        <v>14.583300000000001</v>
      </c>
      <c r="R652" s="173">
        <f t="shared" si="361"/>
        <v>14.890278465000002</v>
      </c>
      <c r="S652" s="250">
        <v>0.05</v>
      </c>
      <c r="T652" s="171">
        <f t="shared" si="362"/>
        <v>0.05</v>
      </c>
      <c r="U652" s="256">
        <v>291.666</v>
      </c>
      <c r="V652" s="170">
        <f t="shared" si="363"/>
        <v>297.8055693</v>
      </c>
      <c r="W652" s="258">
        <v>0.2</v>
      </c>
      <c r="X652" s="257">
        <f t="shared" si="364"/>
        <v>349.99919999999997</v>
      </c>
      <c r="Y652" s="170">
        <f t="shared" si="349"/>
        <v>357.36668315999998</v>
      </c>
      <c r="Z652" s="170">
        <f t="shared" si="353"/>
        <v>360</v>
      </c>
      <c r="AA652" s="407">
        <f t="shared" si="351"/>
        <v>0</v>
      </c>
      <c r="AB652" s="194"/>
    </row>
    <row r="653" spans="1:28" s="278" customFormat="1" x14ac:dyDescent="0.25">
      <c r="A653" s="200">
        <v>716230</v>
      </c>
      <c r="B653" s="313" t="s">
        <v>19375</v>
      </c>
      <c r="C653" s="248"/>
      <c r="D653" s="247" t="s">
        <v>2</v>
      </c>
      <c r="E653" s="249">
        <f t="shared" si="346"/>
        <v>87.5</v>
      </c>
      <c r="F653" s="170">
        <f t="shared" si="346"/>
        <v>89.341875000000002</v>
      </c>
      <c r="G653" s="250">
        <v>0.35</v>
      </c>
      <c r="H653" s="171">
        <f t="shared" si="355"/>
        <v>0.35</v>
      </c>
      <c r="I653" s="249">
        <f t="shared" si="347"/>
        <v>87.5</v>
      </c>
      <c r="J653" s="170">
        <f t="shared" si="347"/>
        <v>89.341875000000002</v>
      </c>
      <c r="K653" s="250">
        <v>0.35</v>
      </c>
      <c r="L653" s="172">
        <f t="shared" si="356"/>
        <v>0.35</v>
      </c>
      <c r="M653" s="249">
        <f t="shared" si="357"/>
        <v>62.5</v>
      </c>
      <c r="N653" s="170">
        <f t="shared" si="358"/>
        <v>63.815625000000004</v>
      </c>
      <c r="O653" s="250">
        <v>0.25</v>
      </c>
      <c r="P653" s="172">
        <f t="shared" si="359"/>
        <v>0.25</v>
      </c>
      <c r="Q653" s="251">
        <f t="shared" si="360"/>
        <v>12.5</v>
      </c>
      <c r="R653" s="173">
        <f t="shared" si="361"/>
        <v>12.763125000000002</v>
      </c>
      <c r="S653" s="250">
        <v>0.05</v>
      </c>
      <c r="T653" s="171">
        <f t="shared" si="362"/>
        <v>0.05</v>
      </c>
      <c r="U653" s="253">
        <v>250</v>
      </c>
      <c r="V653" s="170">
        <f t="shared" si="363"/>
        <v>255.26250000000002</v>
      </c>
      <c r="W653" s="258">
        <v>0.2</v>
      </c>
      <c r="X653" s="257">
        <f t="shared" si="364"/>
        <v>300</v>
      </c>
      <c r="Y653" s="170">
        <f t="shared" si="349"/>
        <v>306.315</v>
      </c>
      <c r="Z653" s="170">
        <f t="shared" si="353"/>
        <v>310</v>
      </c>
      <c r="AA653" s="407">
        <f t="shared" si="351"/>
        <v>0</v>
      </c>
      <c r="AB653" s="194"/>
    </row>
    <row r="654" spans="1:28" s="278" customFormat="1" x14ac:dyDescent="0.25">
      <c r="A654" s="200">
        <v>716230</v>
      </c>
      <c r="B654" s="313" t="s">
        <v>19376</v>
      </c>
      <c r="C654" s="248"/>
      <c r="D654" s="247" t="s">
        <v>2</v>
      </c>
      <c r="E654" s="249">
        <f t="shared" si="346"/>
        <v>160.41655</v>
      </c>
      <c r="F654" s="170">
        <f t="shared" si="346"/>
        <v>163.79331837750001</v>
      </c>
      <c r="G654" s="250">
        <v>0.35</v>
      </c>
      <c r="H654" s="171">
        <f t="shared" si="355"/>
        <v>0.35</v>
      </c>
      <c r="I654" s="249">
        <f t="shared" si="347"/>
        <v>160.41655</v>
      </c>
      <c r="J654" s="170">
        <f t="shared" si="347"/>
        <v>163.79331837750001</v>
      </c>
      <c r="K654" s="250">
        <v>0.35</v>
      </c>
      <c r="L654" s="172">
        <f t="shared" si="356"/>
        <v>0.35</v>
      </c>
      <c r="M654" s="249">
        <f t="shared" si="357"/>
        <v>114.58325000000001</v>
      </c>
      <c r="N654" s="170">
        <f t="shared" si="358"/>
        <v>116.99522741250001</v>
      </c>
      <c r="O654" s="250">
        <v>0.25</v>
      </c>
      <c r="P654" s="172">
        <f t="shared" si="359"/>
        <v>0.25</v>
      </c>
      <c r="Q654" s="251">
        <f t="shared" si="360"/>
        <v>22.916650000000004</v>
      </c>
      <c r="R654" s="173">
        <f t="shared" si="361"/>
        <v>23.399045482500004</v>
      </c>
      <c r="S654" s="250">
        <v>0.05</v>
      </c>
      <c r="T654" s="171">
        <f t="shared" si="362"/>
        <v>0.05</v>
      </c>
      <c r="U654" s="256">
        <v>458.33300000000003</v>
      </c>
      <c r="V654" s="170">
        <f t="shared" si="363"/>
        <v>467.98090965000006</v>
      </c>
      <c r="W654" s="258">
        <v>0.2</v>
      </c>
      <c r="X654" s="257">
        <f t="shared" si="364"/>
        <v>549.9996000000001</v>
      </c>
      <c r="Y654" s="170">
        <f t="shared" si="349"/>
        <v>561.57709158</v>
      </c>
      <c r="Z654" s="170">
        <f t="shared" si="353"/>
        <v>565</v>
      </c>
      <c r="AA654" s="407">
        <f t="shared" si="351"/>
        <v>0</v>
      </c>
      <c r="AB654" s="194"/>
    </row>
    <row r="655" spans="1:28" s="278" customFormat="1" x14ac:dyDescent="0.25">
      <c r="A655" s="200">
        <v>716236</v>
      </c>
      <c r="B655" s="313" t="s">
        <v>19377</v>
      </c>
      <c r="C655" s="248"/>
      <c r="D655" s="247" t="s">
        <v>2</v>
      </c>
      <c r="E655" s="249">
        <f t="shared" si="346"/>
        <v>77.499900000000011</v>
      </c>
      <c r="F655" s="170">
        <f t="shared" si="346"/>
        <v>79.135147890000013</v>
      </c>
      <c r="G655" s="250">
        <v>0.3</v>
      </c>
      <c r="H655" s="171">
        <f t="shared" si="355"/>
        <v>0.3</v>
      </c>
      <c r="I655" s="249">
        <f t="shared" si="347"/>
        <v>90.416550000000001</v>
      </c>
      <c r="J655" s="170">
        <f t="shared" si="347"/>
        <v>92.324339205000015</v>
      </c>
      <c r="K655" s="250">
        <v>0.35</v>
      </c>
      <c r="L655" s="172">
        <f t="shared" si="356"/>
        <v>0.35</v>
      </c>
      <c r="M655" s="249">
        <f t="shared" si="357"/>
        <v>77.499900000000011</v>
      </c>
      <c r="N655" s="170">
        <f t="shared" si="358"/>
        <v>79.135147890000013</v>
      </c>
      <c r="O655" s="250">
        <v>0.3</v>
      </c>
      <c r="P655" s="172">
        <f t="shared" si="359"/>
        <v>0.3</v>
      </c>
      <c r="Q655" s="251">
        <f t="shared" si="360"/>
        <v>12.916650000000002</v>
      </c>
      <c r="R655" s="173">
        <f t="shared" si="361"/>
        <v>13.189191315000002</v>
      </c>
      <c r="S655" s="250">
        <v>0.05</v>
      </c>
      <c r="T655" s="171">
        <f t="shared" si="362"/>
        <v>0.05</v>
      </c>
      <c r="U655" s="256">
        <v>258.33300000000003</v>
      </c>
      <c r="V655" s="170">
        <f t="shared" si="363"/>
        <v>263.78382630000004</v>
      </c>
      <c r="W655" s="258">
        <v>0.2</v>
      </c>
      <c r="X655" s="257">
        <f t="shared" si="364"/>
        <v>309.99960000000004</v>
      </c>
      <c r="Y655" s="170">
        <f t="shared" si="349"/>
        <v>316.54059156000005</v>
      </c>
      <c r="Z655" s="170">
        <f t="shared" si="353"/>
        <v>320</v>
      </c>
      <c r="AA655" s="407">
        <f t="shared" si="351"/>
        <v>0</v>
      </c>
      <c r="AB655" s="194"/>
    </row>
    <row r="656" spans="1:28" s="278" customFormat="1" x14ac:dyDescent="0.25">
      <c r="A656" s="200">
        <v>716236</v>
      </c>
      <c r="B656" s="313" t="s">
        <v>19378</v>
      </c>
      <c r="C656" s="248"/>
      <c r="D656" s="247" t="s">
        <v>2</v>
      </c>
      <c r="E656" s="249">
        <f t="shared" ref="E656:F719" si="365">U656*G656</f>
        <v>143.750001</v>
      </c>
      <c r="F656" s="170">
        <f t="shared" si="365"/>
        <v>146.7831260211</v>
      </c>
      <c r="G656" s="250">
        <v>0.3</v>
      </c>
      <c r="H656" s="171">
        <f t="shared" si="355"/>
        <v>0.3</v>
      </c>
      <c r="I656" s="249">
        <f t="shared" ref="I656:J719" si="366">U656*K656</f>
        <v>167.70833450000001</v>
      </c>
      <c r="J656" s="170">
        <f t="shared" si="366"/>
        <v>171.24698035795001</v>
      </c>
      <c r="K656" s="250">
        <v>0.35</v>
      </c>
      <c r="L656" s="172">
        <f t="shared" si="356"/>
        <v>0.35</v>
      </c>
      <c r="M656" s="249">
        <f t="shared" si="357"/>
        <v>143.750001</v>
      </c>
      <c r="N656" s="170">
        <f t="shared" si="358"/>
        <v>146.7831260211</v>
      </c>
      <c r="O656" s="250">
        <v>0.3</v>
      </c>
      <c r="P656" s="172">
        <f t="shared" si="359"/>
        <v>0.3</v>
      </c>
      <c r="Q656" s="251">
        <f t="shared" si="360"/>
        <v>23.958333500000002</v>
      </c>
      <c r="R656" s="173">
        <f t="shared" si="361"/>
        <v>24.463854336850005</v>
      </c>
      <c r="S656" s="250">
        <v>0.05</v>
      </c>
      <c r="T656" s="171">
        <f t="shared" si="362"/>
        <v>0.05</v>
      </c>
      <c r="U656" s="256">
        <v>479.16667000000001</v>
      </c>
      <c r="V656" s="170">
        <f t="shared" si="363"/>
        <v>489.27708673700005</v>
      </c>
      <c r="W656" s="258">
        <v>0.2</v>
      </c>
      <c r="X656" s="257">
        <f t="shared" si="364"/>
        <v>575.00000399999999</v>
      </c>
      <c r="Y656" s="170">
        <f t="shared" si="349"/>
        <v>587.13250408440001</v>
      </c>
      <c r="Z656" s="170">
        <f t="shared" si="353"/>
        <v>590</v>
      </c>
      <c r="AA656" s="407">
        <f t="shared" si="351"/>
        <v>0</v>
      </c>
      <c r="AB656" s="194"/>
    </row>
    <row r="657" spans="1:28" s="278" customFormat="1" x14ac:dyDescent="0.25">
      <c r="A657" s="200">
        <v>716254</v>
      </c>
      <c r="B657" s="313" t="s">
        <v>19379</v>
      </c>
      <c r="C657" s="248"/>
      <c r="D657" s="247" t="s">
        <v>2</v>
      </c>
      <c r="E657" s="249">
        <f t="shared" si="365"/>
        <v>125.00000999999999</v>
      </c>
      <c r="F657" s="170">
        <f t="shared" si="365"/>
        <v>127.63751021099998</v>
      </c>
      <c r="G657" s="250">
        <v>0.3</v>
      </c>
      <c r="H657" s="171">
        <f t="shared" si="355"/>
        <v>0.3</v>
      </c>
      <c r="I657" s="249">
        <f t="shared" si="366"/>
        <v>145.83334499999998</v>
      </c>
      <c r="J657" s="170">
        <f t="shared" si="366"/>
        <v>148.91042857949998</v>
      </c>
      <c r="K657" s="250">
        <v>0.35</v>
      </c>
      <c r="L657" s="172">
        <f t="shared" si="356"/>
        <v>0.35</v>
      </c>
      <c r="M657" s="249">
        <f t="shared" si="357"/>
        <v>125.00000999999999</v>
      </c>
      <c r="N657" s="170">
        <f t="shared" si="358"/>
        <v>127.63751021099998</v>
      </c>
      <c r="O657" s="250">
        <v>0.3</v>
      </c>
      <c r="P657" s="172">
        <f t="shared" si="359"/>
        <v>0.3</v>
      </c>
      <c r="Q657" s="251">
        <f t="shared" si="360"/>
        <v>20.833335000000002</v>
      </c>
      <c r="R657" s="173">
        <f t="shared" si="361"/>
        <v>21.272918368500001</v>
      </c>
      <c r="S657" s="250">
        <v>0.05</v>
      </c>
      <c r="T657" s="171">
        <f t="shared" si="362"/>
        <v>0.05</v>
      </c>
      <c r="U657" s="256">
        <v>416.66669999999999</v>
      </c>
      <c r="V657" s="170">
        <f t="shared" si="363"/>
        <v>425.45836736999996</v>
      </c>
      <c r="W657" s="258">
        <v>0.2</v>
      </c>
      <c r="X657" s="257">
        <f t="shared" si="364"/>
        <v>500.00004000000001</v>
      </c>
      <c r="Y657" s="170">
        <f t="shared" si="349"/>
        <v>510.55004084399991</v>
      </c>
      <c r="Z657" s="170">
        <f t="shared" si="353"/>
        <v>515</v>
      </c>
      <c r="AA657" s="407">
        <f t="shared" si="351"/>
        <v>0</v>
      </c>
      <c r="AB657" s="194"/>
    </row>
    <row r="658" spans="1:28" s="278" customFormat="1" x14ac:dyDescent="0.25">
      <c r="A658" s="200">
        <v>716254</v>
      </c>
      <c r="B658" s="313" t="s">
        <v>19380</v>
      </c>
      <c r="C658" s="248"/>
      <c r="D658" s="247" t="s">
        <v>2</v>
      </c>
      <c r="E658" s="249">
        <f t="shared" si="365"/>
        <v>187.5</v>
      </c>
      <c r="F658" s="170">
        <f t="shared" si="365"/>
        <v>191.45624999999998</v>
      </c>
      <c r="G658" s="250">
        <v>0.3</v>
      </c>
      <c r="H658" s="171">
        <f t="shared" si="355"/>
        <v>0.3</v>
      </c>
      <c r="I658" s="249">
        <f t="shared" si="366"/>
        <v>218.75</v>
      </c>
      <c r="J658" s="170">
        <f t="shared" si="366"/>
        <v>223.36562499999999</v>
      </c>
      <c r="K658" s="250">
        <v>0.35</v>
      </c>
      <c r="L658" s="172">
        <f t="shared" si="356"/>
        <v>0.35</v>
      </c>
      <c r="M658" s="249">
        <f t="shared" si="357"/>
        <v>187.5</v>
      </c>
      <c r="N658" s="170">
        <f t="shared" si="358"/>
        <v>191.45624999999998</v>
      </c>
      <c r="O658" s="250">
        <v>0.3</v>
      </c>
      <c r="P658" s="172">
        <f t="shared" si="359"/>
        <v>0.3</v>
      </c>
      <c r="Q658" s="251">
        <f t="shared" si="360"/>
        <v>31.25</v>
      </c>
      <c r="R658" s="173">
        <f t="shared" si="361"/>
        <v>31.909375000000001</v>
      </c>
      <c r="S658" s="250">
        <v>0.05</v>
      </c>
      <c r="T658" s="171">
        <f t="shared" si="362"/>
        <v>0.05</v>
      </c>
      <c r="U658" s="256">
        <v>625</v>
      </c>
      <c r="V658" s="170">
        <f t="shared" si="363"/>
        <v>638.1875</v>
      </c>
      <c r="W658" s="258">
        <v>0.2</v>
      </c>
      <c r="X658" s="257">
        <f t="shared" si="364"/>
        <v>750</v>
      </c>
      <c r="Y658" s="170">
        <f t="shared" si="349"/>
        <v>765.82499999999993</v>
      </c>
      <c r="Z658" s="170">
        <f t="shared" si="353"/>
        <v>770</v>
      </c>
      <c r="AA658" s="407">
        <f t="shared" si="351"/>
        <v>0</v>
      </c>
      <c r="AB658" s="194"/>
    </row>
    <row r="659" spans="1:28" s="278" customFormat="1" x14ac:dyDescent="0.25">
      <c r="A659" s="200">
        <v>716260</v>
      </c>
      <c r="B659" s="313" t="s">
        <v>19381</v>
      </c>
      <c r="C659" s="248"/>
      <c r="D659" s="247" t="s">
        <v>2</v>
      </c>
      <c r="E659" s="249">
        <f t="shared" si="365"/>
        <v>150</v>
      </c>
      <c r="F659" s="170">
        <f t="shared" si="365"/>
        <v>153.16499999999999</v>
      </c>
      <c r="G659" s="250">
        <v>0.3</v>
      </c>
      <c r="H659" s="171">
        <f t="shared" si="355"/>
        <v>0.3</v>
      </c>
      <c r="I659" s="249">
        <f t="shared" si="366"/>
        <v>175</v>
      </c>
      <c r="J659" s="170">
        <f t="shared" si="366"/>
        <v>178.69249999999997</v>
      </c>
      <c r="K659" s="250">
        <v>0.35</v>
      </c>
      <c r="L659" s="172">
        <f t="shared" si="356"/>
        <v>0.35</v>
      </c>
      <c r="M659" s="249">
        <f t="shared" si="357"/>
        <v>150</v>
      </c>
      <c r="N659" s="170">
        <f t="shared" si="358"/>
        <v>153.16499999999999</v>
      </c>
      <c r="O659" s="250">
        <v>0.3</v>
      </c>
      <c r="P659" s="172">
        <f t="shared" si="359"/>
        <v>0.3</v>
      </c>
      <c r="Q659" s="251">
        <f t="shared" si="360"/>
        <v>25</v>
      </c>
      <c r="R659" s="173">
        <f t="shared" si="361"/>
        <v>25.5275</v>
      </c>
      <c r="S659" s="250">
        <v>0.05</v>
      </c>
      <c r="T659" s="171">
        <f t="shared" si="362"/>
        <v>0.05</v>
      </c>
      <c r="U659" s="256">
        <v>500</v>
      </c>
      <c r="V659" s="170">
        <f t="shared" si="363"/>
        <v>510.54999999999995</v>
      </c>
      <c r="W659" s="258">
        <v>0.2</v>
      </c>
      <c r="X659" s="257">
        <f t="shared" si="364"/>
        <v>600</v>
      </c>
      <c r="Y659" s="170">
        <f t="shared" si="349"/>
        <v>612.66</v>
      </c>
      <c r="Z659" s="170">
        <f t="shared" si="353"/>
        <v>615</v>
      </c>
      <c r="AA659" s="407">
        <f t="shared" si="351"/>
        <v>0</v>
      </c>
      <c r="AB659" s="194"/>
    </row>
    <row r="660" spans="1:28" s="278" customFormat="1" x14ac:dyDescent="0.25">
      <c r="A660" s="200">
        <v>716260</v>
      </c>
      <c r="B660" s="313" t="s">
        <v>19382</v>
      </c>
      <c r="C660" s="248"/>
      <c r="D660" s="247" t="s">
        <v>2</v>
      </c>
      <c r="E660" s="249">
        <f t="shared" si="365"/>
        <v>237.50000999999997</v>
      </c>
      <c r="F660" s="170">
        <f t="shared" si="365"/>
        <v>242.51126021100001</v>
      </c>
      <c r="G660" s="250">
        <v>0.3</v>
      </c>
      <c r="H660" s="171">
        <f t="shared" si="355"/>
        <v>0.3</v>
      </c>
      <c r="I660" s="249">
        <f t="shared" si="366"/>
        <v>277.08334499999995</v>
      </c>
      <c r="J660" s="170">
        <f t="shared" si="366"/>
        <v>282.9298035795</v>
      </c>
      <c r="K660" s="250">
        <v>0.35</v>
      </c>
      <c r="L660" s="172">
        <f t="shared" si="356"/>
        <v>0.35</v>
      </c>
      <c r="M660" s="249">
        <f t="shared" si="357"/>
        <v>237.50000999999997</v>
      </c>
      <c r="N660" s="170">
        <f t="shared" si="358"/>
        <v>242.51126021100001</v>
      </c>
      <c r="O660" s="250">
        <v>0.3</v>
      </c>
      <c r="P660" s="172">
        <f t="shared" si="359"/>
        <v>0.3</v>
      </c>
      <c r="Q660" s="251">
        <f t="shared" si="360"/>
        <v>39.583335000000005</v>
      </c>
      <c r="R660" s="173">
        <f t="shared" si="361"/>
        <v>40.418543368500004</v>
      </c>
      <c r="S660" s="250">
        <v>0.05</v>
      </c>
      <c r="T660" s="171">
        <f t="shared" si="362"/>
        <v>0.05</v>
      </c>
      <c r="U660" s="256">
        <v>791.66669999999999</v>
      </c>
      <c r="V660" s="170">
        <f t="shared" si="363"/>
        <v>808.37086737000004</v>
      </c>
      <c r="W660" s="258">
        <v>0.2</v>
      </c>
      <c r="X660" s="257">
        <f t="shared" si="364"/>
        <v>950.00004000000001</v>
      </c>
      <c r="Y660" s="170">
        <f t="shared" si="349"/>
        <v>970.04504084400003</v>
      </c>
      <c r="Z660" s="170">
        <f t="shared" si="353"/>
        <v>975</v>
      </c>
      <c r="AA660" s="407">
        <f t="shared" si="351"/>
        <v>0</v>
      </c>
      <c r="AB660" s="194"/>
    </row>
    <row r="661" spans="1:28" s="278" customFormat="1" x14ac:dyDescent="0.25">
      <c r="A661" s="200">
        <v>716324</v>
      </c>
      <c r="B661" s="313" t="s">
        <v>19383</v>
      </c>
      <c r="C661" s="248"/>
      <c r="D661" s="247" t="s">
        <v>2</v>
      </c>
      <c r="E661" s="249">
        <f t="shared" si="365"/>
        <v>52.083350000000003</v>
      </c>
      <c r="F661" s="170">
        <f t="shared" si="365"/>
        <v>53.208350360000004</v>
      </c>
      <c r="G661" s="250">
        <v>0.5</v>
      </c>
      <c r="H661" s="171">
        <f t="shared" si="355"/>
        <v>0.5</v>
      </c>
      <c r="I661" s="249">
        <f t="shared" si="366"/>
        <v>26.041675000000001</v>
      </c>
      <c r="J661" s="170">
        <f t="shared" si="366"/>
        <v>26.604175180000002</v>
      </c>
      <c r="K661" s="250">
        <v>0.25</v>
      </c>
      <c r="L661" s="172">
        <f t="shared" si="356"/>
        <v>0.25</v>
      </c>
      <c r="M661" s="249">
        <f t="shared" si="357"/>
        <v>20.833340000000003</v>
      </c>
      <c r="N661" s="170">
        <f t="shared" si="358"/>
        <v>21.283340144000004</v>
      </c>
      <c r="O661" s="250">
        <v>0.2</v>
      </c>
      <c r="P661" s="172">
        <f t="shared" si="359"/>
        <v>0.2</v>
      </c>
      <c r="Q661" s="251">
        <f t="shared" si="360"/>
        <v>5.2083350000000008</v>
      </c>
      <c r="R661" s="173">
        <f t="shared" si="361"/>
        <v>5.320835036000001</v>
      </c>
      <c r="S661" s="250">
        <v>0.05</v>
      </c>
      <c r="T661" s="171">
        <f t="shared" si="362"/>
        <v>0.05</v>
      </c>
      <c r="U661" s="256">
        <v>104.16670000000001</v>
      </c>
      <c r="V661" s="170">
        <f t="shared" si="363"/>
        <v>106.41670072000001</v>
      </c>
      <c r="W661" s="258">
        <v>0.2</v>
      </c>
      <c r="X661" s="257">
        <f t="shared" si="364"/>
        <v>125.00004000000001</v>
      </c>
      <c r="Y661" s="170">
        <f t="shared" si="349"/>
        <v>127.700040864</v>
      </c>
      <c r="Z661" s="170">
        <f t="shared" si="353"/>
        <v>130</v>
      </c>
      <c r="AA661" s="407">
        <f t="shared" si="351"/>
        <v>0</v>
      </c>
      <c r="AB661" s="194"/>
    </row>
    <row r="662" spans="1:28" s="278" customFormat="1" x14ac:dyDescent="0.25">
      <c r="A662" s="200">
        <v>716324</v>
      </c>
      <c r="B662" s="313" t="s">
        <v>19384</v>
      </c>
      <c r="C662" s="248"/>
      <c r="D662" s="247" t="s">
        <v>2</v>
      </c>
      <c r="E662" s="249">
        <f t="shared" si="365"/>
        <v>56.25</v>
      </c>
      <c r="F662" s="170">
        <f t="shared" si="365"/>
        <v>57.465000000000003</v>
      </c>
      <c r="G662" s="250">
        <v>0.5</v>
      </c>
      <c r="H662" s="171">
        <f t="shared" si="355"/>
        <v>0.5</v>
      </c>
      <c r="I662" s="249">
        <f t="shared" si="366"/>
        <v>28.125</v>
      </c>
      <c r="J662" s="170">
        <f t="shared" si="366"/>
        <v>28.732500000000002</v>
      </c>
      <c r="K662" s="250">
        <v>0.25</v>
      </c>
      <c r="L662" s="172">
        <f t="shared" si="356"/>
        <v>0.25</v>
      </c>
      <c r="M662" s="249">
        <f t="shared" si="357"/>
        <v>22.5</v>
      </c>
      <c r="N662" s="170">
        <f t="shared" si="358"/>
        <v>22.986000000000004</v>
      </c>
      <c r="O662" s="250">
        <v>0.2</v>
      </c>
      <c r="P662" s="172">
        <f t="shared" si="359"/>
        <v>0.2</v>
      </c>
      <c r="Q662" s="251">
        <f t="shared" si="360"/>
        <v>5.625</v>
      </c>
      <c r="R662" s="173">
        <f t="shared" si="361"/>
        <v>5.7465000000000011</v>
      </c>
      <c r="S662" s="250">
        <v>0.05</v>
      </c>
      <c r="T662" s="171">
        <f t="shared" si="362"/>
        <v>0.05</v>
      </c>
      <c r="U662" s="256">
        <v>112.5</v>
      </c>
      <c r="V662" s="170">
        <f t="shared" si="363"/>
        <v>114.93</v>
      </c>
      <c r="W662" s="258">
        <v>0.2</v>
      </c>
      <c r="X662" s="257">
        <f t="shared" si="364"/>
        <v>135</v>
      </c>
      <c r="Y662" s="170">
        <f t="shared" si="349"/>
        <v>137.916</v>
      </c>
      <c r="Z662" s="170">
        <f t="shared" si="353"/>
        <v>140</v>
      </c>
      <c r="AA662" s="407">
        <f t="shared" si="351"/>
        <v>0</v>
      </c>
      <c r="AB662" s="194"/>
    </row>
    <row r="663" spans="1:28" s="278" customFormat="1" x14ac:dyDescent="0.25">
      <c r="A663" s="200">
        <v>716330</v>
      </c>
      <c r="B663" s="313" t="s">
        <v>19385</v>
      </c>
      <c r="C663" s="248"/>
      <c r="D663" s="247" t="s">
        <v>2</v>
      </c>
      <c r="E663" s="249">
        <f t="shared" si="365"/>
        <v>72.915000000000006</v>
      </c>
      <c r="F663" s="170">
        <f t="shared" si="365"/>
        <v>74.489964000000015</v>
      </c>
      <c r="G663" s="250">
        <v>0.5</v>
      </c>
      <c r="H663" s="171">
        <f t="shared" si="355"/>
        <v>0.5</v>
      </c>
      <c r="I663" s="249">
        <f t="shared" si="366"/>
        <v>36.457500000000003</v>
      </c>
      <c r="J663" s="170">
        <f t="shared" si="366"/>
        <v>37.244982000000007</v>
      </c>
      <c r="K663" s="250">
        <v>0.25</v>
      </c>
      <c r="L663" s="172">
        <f t="shared" si="356"/>
        <v>0.25</v>
      </c>
      <c r="M663" s="249">
        <f t="shared" si="357"/>
        <v>29.166000000000004</v>
      </c>
      <c r="N663" s="170">
        <f t="shared" si="358"/>
        <v>29.795985600000009</v>
      </c>
      <c r="O663" s="250">
        <v>0.2</v>
      </c>
      <c r="P663" s="172">
        <f t="shared" si="359"/>
        <v>0.2</v>
      </c>
      <c r="Q663" s="251">
        <f t="shared" si="360"/>
        <v>7.291500000000001</v>
      </c>
      <c r="R663" s="173">
        <f t="shared" si="361"/>
        <v>7.4489964000000022</v>
      </c>
      <c r="S663" s="250">
        <v>0.05</v>
      </c>
      <c r="T663" s="171">
        <f t="shared" si="362"/>
        <v>0.05</v>
      </c>
      <c r="U663" s="256">
        <v>145.83000000000001</v>
      </c>
      <c r="V663" s="170">
        <f t="shared" si="363"/>
        <v>148.97992800000003</v>
      </c>
      <c r="W663" s="258">
        <v>0.2</v>
      </c>
      <c r="X663" s="257">
        <f t="shared" si="364"/>
        <v>174.99600000000001</v>
      </c>
      <c r="Y663" s="170">
        <f t="shared" si="349"/>
        <v>178.77591360000002</v>
      </c>
      <c r="Z663" s="170">
        <f t="shared" si="353"/>
        <v>180</v>
      </c>
      <c r="AA663" s="407">
        <f t="shared" si="351"/>
        <v>0</v>
      </c>
      <c r="AB663" s="194"/>
    </row>
    <row r="664" spans="1:28" s="278" customFormat="1" x14ac:dyDescent="0.25">
      <c r="A664" s="200">
        <v>716330</v>
      </c>
      <c r="B664" s="313" t="s">
        <v>19386</v>
      </c>
      <c r="C664" s="248"/>
      <c r="D664" s="247" t="s">
        <v>2</v>
      </c>
      <c r="E664" s="249">
        <f t="shared" si="365"/>
        <v>83.333349999999996</v>
      </c>
      <c r="F664" s="170">
        <f t="shared" si="365"/>
        <v>85.133350359999994</v>
      </c>
      <c r="G664" s="250">
        <v>0.5</v>
      </c>
      <c r="H664" s="171">
        <f t="shared" si="355"/>
        <v>0.5</v>
      </c>
      <c r="I664" s="249">
        <f t="shared" si="366"/>
        <v>41.666674999999998</v>
      </c>
      <c r="J664" s="170">
        <f t="shared" si="366"/>
        <v>42.566675179999997</v>
      </c>
      <c r="K664" s="250">
        <v>0.25</v>
      </c>
      <c r="L664" s="172">
        <f t="shared" si="356"/>
        <v>0.25</v>
      </c>
      <c r="M664" s="249">
        <f t="shared" si="357"/>
        <v>33.33334</v>
      </c>
      <c r="N664" s="170">
        <f t="shared" si="358"/>
        <v>34.053340143999996</v>
      </c>
      <c r="O664" s="250">
        <v>0.2</v>
      </c>
      <c r="P664" s="172">
        <f t="shared" si="359"/>
        <v>0.2</v>
      </c>
      <c r="Q664" s="251">
        <f t="shared" si="360"/>
        <v>8.3333349999999999</v>
      </c>
      <c r="R664" s="173">
        <f t="shared" si="361"/>
        <v>8.5133350359999991</v>
      </c>
      <c r="S664" s="250">
        <v>0.05</v>
      </c>
      <c r="T664" s="171">
        <f t="shared" si="362"/>
        <v>0.05</v>
      </c>
      <c r="U664" s="256">
        <v>166.66669999999999</v>
      </c>
      <c r="V664" s="170">
        <f t="shared" si="363"/>
        <v>170.26670071999999</v>
      </c>
      <c r="W664" s="258">
        <v>0.2</v>
      </c>
      <c r="X664" s="257">
        <f t="shared" si="364"/>
        <v>200.00003999999998</v>
      </c>
      <c r="Y664" s="170">
        <f t="shared" si="349"/>
        <v>204.32004086399999</v>
      </c>
      <c r="Z664" s="170">
        <f t="shared" si="353"/>
        <v>205</v>
      </c>
      <c r="AA664" s="407">
        <f t="shared" si="351"/>
        <v>0</v>
      </c>
      <c r="AB664" s="194"/>
    </row>
    <row r="665" spans="1:28" s="278" customFormat="1" x14ac:dyDescent="0.25">
      <c r="A665" s="200">
        <v>716336</v>
      </c>
      <c r="B665" s="313" t="s">
        <v>19387</v>
      </c>
      <c r="C665" s="248"/>
      <c r="D665" s="247" t="s">
        <v>2</v>
      </c>
      <c r="E665" s="249">
        <f t="shared" si="365"/>
        <v>93.75</v>
      </c>
      <c r="F665" s="170">
        <f t="shared" si="365"/>
        <v>95.774999999999991</v>
      </c>
      <c r="G665" s="250">
        <v>0.5</v>
      </c>
      <c r="H665" s="171">
        <f t="shared" si="355"/>
        <v>0.5</v>
      </c>
      <c r="I665" s="249">
        <f t="shared" si="366"/>
        <v>46.875</v>
      </c>
      <c r="J665" s="170">
        <f t="shared" si="366"/>
        <v>47.887499999999996</v>
      </c>
      <c r="K665" s="250">
        <v>0.25</v>
      </c>
      <c r="L665" s="172">
        <f t="shared" si="356"/>
        <v>0.25</v>
      </c>
      <c r="M665" s="249">
        <f t="shared" si="357"/>
        <v>37.5</v>
      </c>
      <c r="N665" s="170">
        <f t="shared" si="358"/>
        <v>38.309999999999995</v>
      </c>
      <c r="O665" s="250">
        <v>0.2</v>
      </c>
      <c r="P665" s="172">
        <f t="shared" si="359"/>
        <v>0.2</v>
      </c>
      <c r="Q665" s="251">
        <f t="shared" si="360"/>
        <v>9.375</v>
      </c>
      <c r="R665" s="173">
        <f t="shared" si="361"/>
        <v>9.5774999999999988</v>
      </c>
      <c r="S665" s="250">
        <v>0.05</v>
      </c>
      <c r="T665" s="171">
        <f t="shared" si="362"/>
        <v>0.05</v>
      </c>
      <c r="U665" s="256">
        <v>187.5</v>
      </c>
      <c r="V665" s="170">
        <f t="shared" si="363"/>
        <v>191.54999999999998</v>
      </c>
      <c r="W665" s="258">
        <v>0.2</v>
      </c>
      <c r="X665" s="257">
        <f t="shared" si="364"/>
        <v>225</v>
      </c>
      <c r="Y665" s="170">
        <f t="shared" si="349"/>
        <v>229.85999999999999</v>
      </c>
      <c r="Z665" s="170">
        <f t="shared" si="353"/>
        <v>230</v>
      </c>
      <c r="AA665" s="407">
        <f t="shared" si="351"/>
        <v>0</v>
      </c>
      <c r="AB665" s="194"/>
    </row>
    <row r="666" spans="1:28" s="278" customFormat="1" x14ac:dyDescent="0.25">
      <c r="A666" s="200">
        <v>716336</v>
      </c>
      <c r="B666" s="313" t="s">
        <v>19388</v>
      </c>
      <c r="C666" s="248"/>
      <c r="D666" s="247" t="s">
        <v>2</v>
      </c>
      <c r="E666" s="249">
        <f t="shared" si="365"/>
        <v>104.1665</v>
      </c>
      <c r="F666" s="170">
        <f t="shared" si="365"/>
        <v>106.4164964</v>
      </c>
      <c r="G666" s="250">
        <v>0.5</v>
      </c>
      <c r="H666" s="171">
        <f t="shared" si="355"/>
        <v>0.5</v>
      </c>
      <c r="I666" s="249">
        <f t="shared" si="366"/>
        <v>52.08325</v>
      </c>
      <c r="J666" s="170">
        <f t="shared" si="366"/>
        <v>53.2082482</v>
      </c>
      <c r="K666" s="250">
        <v>0.25</v>
      </c>
      <c r="L666" s="172">
        <f t="shared" si="356"/>
        <v>0.25</v>
      </c>
      <c r="M666" s="249">
        <f t="shared" si="357"/>
        <v>41.666600000000003</v>
      </c>
      <c r="N666" s="170">
        <f t="shared" si="358"/>
        <v>42.566598560000003</v>
      </c>
      <c r="O666" s="250">
        <v>0.2</v>
      </c>
      <c r="P666" s="172">
        <f t="shared" si="359"/>
        <v>0.2</v>
      </c>
      <c r="Q666" s="251">
        <f t="shared" si="360"/>
        <v>10.416650000000001</v>
      </c>
      <c r="R666" s="173">
        <f t="shared" si="361"/>
        <v>10.641649640000001</v>
      </c>
      <c r="S666" s="250">
        <v>0.05</v>
      </c>
      <c r="T666" s="171">
        <f t="shared" si="362"/>
        <v>0.05</v>
      </c>
      <c r="U666" s="256">
        <v>208.333</v>
      </c>
      <c r="V666" s="170">
        <f t="shared" si="363"/>
        <v>212.8329928</v>
      </c>
      <c r="W666" s="258">
        <v>0.2</v>
      </c>
      <c r="X666" s="257">
        <f t="shared" si="364"/>
        <v>249.99959999999999</v>
      </c>
      <c r="Y666" s="170">
        <f t="shared" si="349"/>
        <v>255.39959135999999</v>
      </c>
      <c r="Z666" s="170">
        <f t="shared" si="353"/>
        <v>260</v>
      </c>
      <c r="AA666" s="407">
        <f t="shared" si="351"/>
        <v>0</v>
      </c>
      <c r="AB666" s="194"/>
    </row>
    <row r="667" spans="1:28" s="278" customFormat="1" x14ac:dyDescent="0.25">
      <c r="A667" s="200">
        <v>716354</v>
      </c>
      <c r="B667" s="313" t="s">
        <v>19389</v>
      </c>
      <c r="C667" s="248"/>
      <c r="D667" s="247" t="s">
        <v>2</v>
      </c>
      <c r="E667" s="249">
        <f t="shared" si="365"/>
        <v>145.83335</v>
      </c>
      <c r="F667" s="170">
        <f t="shared" si="365"/>
        <v>148.98335036</v>
      </c>
      <c r="G667" s="250">
        <v>0.5</v>
      </c>
      <c r="H667" s="171">
        <f t="shared" si="355"/>
        <v>0.5</v>
      </c>
      <c r="I667" s="249">
        <f t="shared" si="366"/>
        <v>72.916674999999998</v>
      </c>
      <c r="J667" s="170">
        <f t="shared" si="366"/>
        <v>74.491675180000001</v>
      </c>
      <c r="K667" s="250">
        <v>0.25</v>
      </c>
      <c r="L667" s="172">
        <f t="shared" si="356"/>
        <v>0.25</v>
      </c>
      <c r="M667" s="249">
        <f t="shared" si="357"/>
        <v>58.33334</v>
      </c>
      <c r="N667" s="170">
        <f t="shared" si="358"/>
        <v>59.593340144000003</v>
      </c>
      <c r="O667" s="250">
        <v>0.2</v>
      </c>
      <c r="P667" s="172">
        <f t="shared" si="359"/>
        <v>0.2</v>
      </c>
      <c r="Q667" s="251">
        <f t="shared" si="360"/>
        <v>14.583335</v>
      </c>
      <c r="R667" s="173">
        <f t="shared" si="361"/>
        <v>14.898335036000001</v>
      </c>
      <c r="S667" s="250">
        <v>0.05</v>
      </c>
      <c r="T667" s="171">
        <f t="shared" si="362"/>
        <v>0.05</v>
      </c>
      <c r="U667" s="256">
        <v>291.66669999999999</v>
      </c>
      <c r="V667" s="170">
        <f t="shared" si="363"/>
        <v>297.96670072000001</v>
      </c>
      <c r="W667" s="258">
        <v>0.2</v>
      </c>
      <c r="X667" s="257">
        <f t="shared" si="364"/>
        <v>350.00004000000001</v>
      </c>
      <c r="Y667" s="170">
        <f t="shared" si="349"/>
        <v>357.56004086399997</v>
      </c>
      <c r="Z667" s="170">
        <f t="shared" si="353"/>
        <v>360</v>
      </c>
      <c r="AA667" s="407">
        <f t="shared" si="351"/>
        <v>0</v>
      </c>
      <c r="AB667" s="194"/>
    </row>
    <row r="668" spans="1:28" s="278" customFormat="1" x14ac:dyDescent="0.25">
      <c r="A668" s="200">
        <v>716354</v>
      </c>
      <c r="B668" s="313" t="s">
        <v>19390</v>
      </c>
      <c r="C668" s="248"/>
      <c r="D668" s="247" t="s">
        <v>2</v>
      </c>
      <c r="E668" s="249">
        <f t="shared" si="365"/>
        <v>166.66665</v>
      </c>
      <c r="F668" s="170">
        <f t="shared" si="365"/>
        <v>170.26664964</v>
      </c>
      <c r="G668" s="250">
        <v>0.5</v>
      </c>
      <c r="H668" s="171">
        <f t="shared" si="355"/>
        <v>0.5</v>
      </c>
      <c r="I668" s="249">
        <f t="shared" si="366"/>
        <v>83.333325000000002</v>
      </c>
      <c r="J668" s="170">
        <f t="shared" si="366"/>
        <v>85.133324819999999</v>
      </c>
      <c r="K668" s="250">
        <v>0.25</v>
      </c>
      <c r="L668" s="172">
        <f t="shared" si="356"/>
        <v>0.25</v>
      </c>
      <c r="M668" s="249">
        <f t="shared" si="357"/>
        <v>66.666660000000007</v>
      </c>
      <c r="N668" s="170">
        <f t="shared" si="358"/>
        <v>68.106659856000007</v>
      </c>
      <c r="O668" s="250">
        <v>0.2</v>
      </c>
      <c r="P668" s="172">
        <f t="shared" si="359"/>
        <v>0.2</v>
      </c>
      <c r="Q668" s="251">
        <f t="shared" si="360"/>
        <v>16.666665000000002</v>
      </c>
      <c r="R668" s="173">
        <f t="shared" si="361"/>
        <v>17.026664964000002</v>
      </c>
      <c r="S668" s="250">
        <v>0.05</v>
      </c>
      <c r="T668" s="171">
        <f t="shared" si="362"/>
        <v>0.05</v>
      </c>
      <c r="U668" s="256">
        <v>333.33330000000001</v>
      </c>
      <c r="V668" s="170">
        <f t="shared" si="363"/>
        <v>340.53329927999999</v>
      </c>
      <c r="W668" s="258">
        <v>0.2</v>
      </c>
      <c r="X668" s="257">
        <f t="shared" si="364"/>
        <v>399.99995999999999</v>
      </c>
      <c r="Y668" s="170">
        <f t="shared" si="349"/>
        <v>408.63995913599996</v>
      </c>
      <c r="Z668" s="170">
        <f t="shared" si="353"/>
        <v>410</v>
      </c>
      <c r="AA668" s="407">
        <f t="shared" si="351"/>
        <v>0</v>
      </c>
      <c r="AB668" s="194"/>
    </row>
    <row r="669" spans="1:28" s="278" customFormat="1" x14ac:dyDescent="0.25">
      <c r="A669" s="200">
        <v>716360</v>
      </c>
      <c r="B669" s="313" t="s">
        <v>19391</v>
      </c>
      <c r="C669" s="248"/>
      <c r="D669" s="247" t="s">
        <v>2</v>
      </c>
      <c r="E669" s="249">
        <f t="shared" si="365"/>
        <v>187.5</v>
      </c>
      <c r="F669" s="170">
        <f t="shared" si="365"/>
        <v>191.54999999999998</v>
      </c>
      <c r="G669" s="250">
        <v>0.5</v>
      </c>
      <c r="H669" s="171">
        <f t="shared" si="355"/>
        <v>0.5</v>
      </c>
      <c r="I669" s="249">
        <f t="shared" si="366"/>
        <v>93.75</v>
      </c>
      <c r="J669" s="170">
        <f t="shared" si="366"/>
        <v>95.774999999999991</v>
      </c>
      <c r="K669" s="250">
        <v>0.25</v>
      </c>
      <c r="L669" s="172">
        <f t="shared" si="356"/>
        <v>0.25</v>
      </c>
      <c r="M669" s="249">
        <f t="shared" si="357"/>
        <v>75</v>
      </c>
      <c r="N669" s="170">
        <f t="shared" si="358"/>
        <v>76.61999999999999</v>
      </c>
      <c r="O669" s="250">
        <v>0.2</v>
      </c>
      <c r="P669" s="172">
        <f t="shared" si="359"/>
        <v>0.2</v>
      </c>
      <c r="Q669" s="251">
        <f t="shared" si="360"/>
        <v>18.75</v>
      </c>
      <c r="R669" s="173">
        <f t="shared" si="361"/>
        <v>19.154999999999998</v>
      </c>
      <c r="S669" s="250">
        <v>0.05</v>
      </c>
      <c r="T669" s="171">
        <f t="shared" si="362"/>
        <v>0.05</v>
      </c>
      <c r="U669" s="256">
        <v>375</v>
      </c>
      <c r="V669" s="170">
        <f t="shared" si="363"/>
        <v>383.09999999999997</v>
      </c>
      <c r="W669" s="258">
        <v>0.2</v>
      </c>
      <c r="X669" s="257">
        <f t="shared" si="364"/>
        <v>450</v>
      </c>
      <c r="Y669" s="170">
        <f t="shared" si="349"/>
        <v>459.71999999999997</v>
      </c>
      <c r="Z669" s="170">
        <f t="shared" si="353"/>
        <v>460</v>
      </c>
      <c r="AA669" s="407">
        <f t="shared" si="351"/>
        <v>0</v>
      </c>
      <c r="AB669" s="194"/>
    </row>
    <row r="670" spans="1:28" s="278" customFormat="1" x14ac:dyDescent="0.25">
      <c r="A670" s="200">
        <v>716360</v>
      </c>
      <c r="B670" s="313" t="s">
        <v>19392</v>
      </c>
      <c r="C670" s="248"/>
      <c r="D670" s="247" t="s">
        <v>2</v>
      </c>
      <c r="E670" s="249">
        <f t="shared" si="365"/>
        <v>208.33500000000001</v>
      </c>
      <c r="F670" s="170">
        <f t="shared" si="365"/>
        <v>212.83503600000003</v>
      </c>
      <c r="G670" s="250">
        <v>0.5</v>
      </c>
      <c r="H670" s="171">
        <f t="shared" si="355"/>
        <v>0.5</v>
      </c>
      <c r="I670" s="249">
        <f t="shared" si="366"/>
        <v>104.1675</v>
      </c>
      <c r="J670" s="170">
        <f t="shared" si="366"/>
        <v>106.41751800000002</v>
      </c>
      <c r="K670" s="250">
        <v>0.25</v>
      </c>
      <c r="L670" s="172">
        <f t="shared" si="356"/>
        <v>0.25</v>
      </c>
      <c r="M670" s="249">
        <f t="shared" si="357"/>
        <v>83.334000000000003</v>
      </c>
      <c r="N670" s="170">
        <f t="shared" si="358"/>
        <v>85.134014400000012</v>
      </c>
      <c r="O670" s="250">
        <v>0.2</v>
      </c>
      <c r="P670" s="172">
        <f t="shared" si="359"/>
        <v>0.2</v>
      </c>
      <c r="Q670" s="251">
        <f t="shared" si="360"/>
        <v>20.833500000000001</v>
      </c>
      <c r="R670" s="173">
        <f t="shared" si="361"/>
        <v>21.283503600000003</v>
      </c>
      <c r="S670" s="250">
        <v>0.05</v>
      </c>
      <c r="T670" s="171">
        <f t="shared" si="362"/>
        <v>0.05</v>
      </c>
      <c r="U670" s="256">
        <v>416.67</v>
      </c>
      <c r="V670" s="170">
        <f t="shared" si="363"/>
        <v>425.67007200000006</v>
      </c>
      <c r="W670" s="258">
        <v>0.2</v>
      </c>
      <c r="X670" s="257">
        <f t="shared" si="364"/>
        <v>500.00400000000002</v>
      </c>
      <c r="Y670" s="170">
        <f t="shared" ref="Y670:Y733" si="367">IF(V670*(W670+1)=0,X670,V670*(W670+1))</f>
        <v>510.80408640000007</v>
      </c>
      <c r="Z670" s="170">
        <f t="shared" si="353"/>
        <v>515</v>
      </c>
      <c r="AA670" s="407">
        <f t="shared" si="351"/>
        <v>0</v>
      </c>
      <c r="AB670" s="194"/>
    </row>
    <row r="671" spans="1:28" s="278" customFormat="1" x14ac:dyDescent="0.25">
      <c r="A671" s="195" t="s">
        <v>14701</v>
      </c>
      <c r="B671" s="317" t="s">
        <v>18894</v>
      </c>
      <c r="C671" s="241"/>
      <c r="D671" s="242"/>
      <c r="E671" s="243"/>
      <c r="F671" s="244"/>
      <c r="G671" s="245"/>
      <c r="H671" s="246"/>
      <c r="I671" s="243"/>
      <c r="J671" s="244"/>
      <c r="K671" s="245"/>
      <c r="L671" s="246"/>
      <c r="M671" s="243"/>
      <c r="N671" s="244"/>
      <c r="O671" s="245"/>
      <c r="P671" s="246"/>
      <c r="Q671" s="243"/>
      <c r="R671" s="244"/>
      <c r="S671" s="245"/>
      <c r="T671" s="246"/>
      <c r="U671" s="246"/>
      <c r="V671" s="246"/>
      <c r="W671" s="246"/>
      <c r="X671" s="246"/>
      <c r="Y671" s="244"/>
      <c r="Z671" s="244"/>
      <c r="AA671" s="406"/>
      <c r="AB671" s="194"/>
    </row>
    <row r="672" spans="1:28" s="278" customFormat="1" x14ac:dyDescent="0.25">
      <c r="A672" s="209">
        <v>717006</v>
      </c>
      <c r="B672" s="387" t="s">
        <v>19393</v>
      </c>
      <c r="C672" s="248"/>
      <c r="D672" s="247" t="s">
        <v>2</v>
      </c>
      <c r="E672" s="249">
        <f t="shared" si="365"/>
        <v>0</v>
      </c>
      <c r="F672" s="170">
        <f t="shared" si="365"/>
        <v>5.5845000000000002</v>
      </c>
      <c r="G672" s="250">
        <v>0.438</v>
      </c>
      <c r="H672" s="171">
        <f t="shared" si="355"/>
        <v>0.438</v>
      </c>
      <c r="I672" s="249">
        <f t="shared" si="366"/>
        <v>0</v>
      </c>
      <c r="J672" s="170">
        <f t="shared" si="366"/>
        <v>4.4114999999999993</v>
      </c>
      <c r="K672" s="250">
        <v>0.34599999999999997</v>
      </c>
      <c r="L672" s="172">
        <f t="shared" si="356"/>
        <v>0.34599999999999997</v>
      </c>
      <c r="M672" s="249">
        <f t="shared" si="357"/>
        <v>0</v>
      </c>
      <c r="N672" s="170">
        <f t="shared" si="358"/>
        <v>2.1037500000000002</v>
      </c>
      <c r="O672" s="250">
        <v>0.16500000000000001</v>
      </c>
      <c r="P672" s="172">
        <f t="shared" si="359"/>
        <v>0.16500000000000001</v>
      </c>
      <c r="Q672" s="251">
        <f t="shared" si="360"/>
        <v>0</v>
      </c>
      <c r="R672" s="173">
        <f t="shared" si="361"/>
        <v>0.65024999999999999</v>
      </c>
      <c r="S672" s="250">
        <v>5.0999999999999997E-2</v>
      </c>
      <c r="T672" s="171">
        <f t="shared" si="362"/>
        <v>5.0999999999999997E-2</v>
      </c>
      <c r="U672" s="256"/>
      <c r="V672" s="170">
        <v>12.75</v>
      </c>
      <c r="W672" s="258">
        <v>0.2</v>
      </c>
      <c r="X672" s="257">
        <f>U672+U672*W672</f>
        <v>0</v>
      </c>
      <c r="Y672" s="170">
        <f>IF(V672*(W672+1)=0,X672,V672*(W672+1))</f>
        <v>15.299999999999999</v>
      </c>
      <c r="Z672" s="170">
        <f>IF(Y672=0, 0, IF(Y672&lt;10, _xlfn.CEILING.MATH(Y672,1), IF(Y672&lt;100, _xlfn.CEILING.MATH(Y672,1),IF(Y672&lt;1000, _xlfn.CEILING.MATH(Y672,5), IF(Y672&lt;10000, _xlfn.CEILING.MATH(Y672, 25), IF(Y672&lt;100000, _xlfn.CEILING.MATH(Y672,250), IF(Y672&lt;1000000, _xlfn.CEILING.MATH(Y672,500), 0)))))))</f>
        <v>16</v>
      </c>
      <c r="AA672" s="407">
        <f t="shared" si="351"/>
        <v>0</v>
      </c>
      <c r="AB672" s="194"/>
    </row>
    <row r="673" spans="1:28" s="278" customFormat="1" x14ac:dyDescent="0.25">
      <c r="A673" s="209">
        <v>717006</v>
      </c>
      <c r="B673" s="387" t="s">
        <v>19394</v>
      </c>
      <c r="C673" s="248"/>
      <c r="D673" s="247" t="s">
        <v>2</v>
      </c>
      <c r="E673" s="249">
        <f t="shared" si="365"/>
        <v>0</v>
      </c>
      <c r="F673" s="170">
        <f t="shared" si="365"/>
        <v>4.4270399999999999</v>
      </c>
      <c r="G673" s="250">
        <v>0.40100000000000002</v>
      </c>
      <c r="H673" s="171">
        <f t="shared" si="355"/>
        <v>0.40100000000000002</v>
      </c>
      <c r="I673" s="249">
        <f t="shared" si="366"/>
        <v>0</v>
      </c>
      <c r="J673" s="170">
        <f t="shared" si="366"/>
        <v>4.4159999999999995</v>
      </c>
      <c r="K673" s="250">
        <v>0.4</v>
      </c>
      <c r="L673" s="172">
        <f t="shared" si="356"/>
        <v>0.4</v>
      </c>
      <c r="M673" s="249">
        <f t="shared" si="357"/>
        <v>0</v>
      </c>
      <c r="N673" s="170">
        <f t="shared" si="358"/>
        <v>1.6559999999999999</v>
      </c>
      <c r="O673" s="250">
        <v>0.15</v>
      </c>
      <c r="P673" s="172">
        <f t="shared" si="359"/>
        <v>0.15</v>
      </c>
      <c r="Q673" s="251">
        <f t="shared" si="360"/>
        <v>0</v>
      </c>
      <c r="R673" s="173">
        <f t="shared" si="361"/>
        <v>0.54096</v>
      </c>
      <c r="S673" s="250">
        <v>4.9000000000000002E-2</v>
      </c>
      <c r="T673" s="171">
        <f t="shared" si="362"/>
        <v>4.9000000000000002E-2</v>
      </c>
      <c r="U673" s="256"/>
      <c r="V673" s="170">
        <v>11.04</v>
      </c>
      <c r="W673" s="258">
        <v>0.2</v>
      </c>
      <c r="X673" s="257">
        <f>U673+U673*W673</f>
        <v>0</v>
      </c>
      <c r="Y673" s="170">
        <f>IF(V673*(W673+1)=0,X673,V673*(W673+1))</f>
        <v>13.247999999999999</v>
      </c>
      <c r="Z673" s="170">
        <f>IF(Y673=0, 0, IF(Y673&lt;10, _xlfn.CEILING.MATH(Y673,1), IF(Y673&lt;100, _xlfn.CEILING.MATH(Y673,1),IF(Y673&lt;1000, _xlfn.CEILING.MATH(Y673,5), IF(Y673&lt;10000, _xlfn.CEILING.MATH(Y673, 25), IF(Y673&lt;100000, _xlfn.CEILING.MATH(Y673,250), IF(Y673&lt;1000000, _xlfn.CEILING.MATH(Y673,500), 0)))))))</f>
        <v>14</v>
      </c>
      <c r="AA673" s="407">
        <f t="shared" ref="AA673:AA736" si="368">C673*Z673</f>
        <v>0</v>
      </c>
      <c r="AB673" s="194"/>
    </row>
    <row r="674" spans="1:28" s="278" customFormat="1" x14ac:dyDescent="0.25">
      <c r="A674" s="209">
        <v>717006</v>
      </c>
      <c r="B674" s="387" t="s">
        <v>19395</v>
      </c>
      <c r="C674" s="248"/>
      <c r="D674" s="247" t="s">
        <v>2</v>
      </c>
      <c r="E674" s="249">
        <f t="shared" si="365"/>
        <v>4.3332000000000006</v>
      </c>
      <c r="F674" s="170">
        <f t="shared" si="365"/>
        <v>4.4226805800000006</v>
      </c>
      <c r="G674" s="250">
        <v>0.4</v>
      </c>
      <c r="H674" s="171">
        <f t="shared" si="355"/>
        <v>0.4</v>
      </c>
      <c r="I674" s="249">
        <f t="shared" si="366"/>
        <v>4.3332000000000006</v>
      </c>
      <c r="J674" s="170">
        <f t="shared" si="366"/>
        <v>4.4226805800000006</v>
      </c>
      <c r="K674" s="250">
        <v>0.4</v>
      </c>
      <c r="L674" s="172">
        <f t="shared" si="356"/>
        <v>0.4</v>
      </c>
      <c r="M674" s="249">
        <f t="shared" si="357"/>
        <v>1.6249499999999999</v>
      </c>
      <c r="N674" s="170">
        <f t="shared" si="358"/>
        <v>1.6585052175000004</v>
      </c>
      <c r="O674" s="250">
        <v>0.15</v>
      </c>
      <c r="P674" s="172">
        <f t="shared" si="359"/>
        <v>0.15</v>
      </c>
      <c r="Q674" s="251">
        <f t="shared" si="360"/>
        <v>0.54165000000000008</v>
      </c>
      <c r="R674" s="173">
        <f t="shared" si="361"/>
        <v>0.55283507250000008</v>
      </c>
      <c r="S674" s="250">
        <v>0.05</v>
      </c>
      <c r="T674" s="171">
        <f t="shared" si="362"/>
        <v>0.05</v>
      </c>
      <c r="U674" s="256">
        <v>10.833</v>
      </c>
      <c r="V674" s="170">
        <f t="shared" si="363"/>
        <v>11.056701450000002</v>
      </c>
      <c r="W674" s="258">
        <v>0.2</v>
      </c>
      <c r="X674" s="257">
        <f t="shared" ref="X674:X737" si="369">U674+U674*W674</f>
        <v>12.999600000000001</v>
      </c>
      <c r="Y674" s="170">
        <f t="shared" si="367"/>
        <v>13.268041740000003</v>
      </c>
      <c r="Z674" s="170">
        <f t="shared" si="353"/>
        <v>14</v>
      </c>
      <c r="AA674" s="407">
        <f t="shared" si="368"/>
        <v>0</v>
      </c>
      <c r="AB674" s="194"/>
    </row>
    <row r="675" spans="1:28" s="278" customFormat="1" x14ac:dyDescent="0.25">
      <c r="A675" s="209">
        <v>717006</v>
      </c>
      <c r="B675" s="387" t="s">
        <v>19396</v>
      </c>
      <c r="C675" s="248"/>
      <c r="D675" s="247" t="s">
        <v>2</v>
      </c>
      <c r="E675" s="249">
        <f t="shared" si="365"/>
        <v>3.666668</v>
      </c>
      <c r="F675" s="170">
        <f t="shared" si="365"/>
        <v>3.7423846942000005</v>
      </c>
      <c r="G675" s="250">
        <v>0.4</v>
      </c>
      <c r="H675" s="171">
        <f t="shared" si="355"/>
        <v>0.4</v>
      </c>
      <c r="I675" s="249">
        <f t="shared" si="366"/>
        <v>3.666668</v>
      </c>
      <c r="J675" s="170">
        <f t="shared" si="366"/>
        <v>3.7423846942000005</v>
      </c>
      <c r="K675" s="250">
        <v>0.4</v>
      </c>
      <c r="L675" s="172">
        <f t="shared" si="356"/>
        <v>0.4</v>
      </c>
      <c r="M675" s="249">
        <f t="shared" si="357"/>
        <v>1.3750004999999998</v>
      </c>
      <c r="N675" s="170">
        <f t="shared" si="358"/>
        <v>1.403394260325</v>
      </c>
      <c r="O675" s="250">
        <v>0.15</v>
      </c>
      <c r="P675" s="172">
        <f t="shared" si="359"/>
        <v>0.15</v>
      </c>
      <c r="Q675" s="251">
        <f t="shared" si="360"/>
        <v>0.4583335</v>
      </c>
      <c r="R675" s="173">
        <f t="shared" si="361"/>
        <v>0.46779808677500007</v>
      </c>
      <c r="S675" s="250">
        <v>0.05</v>
      </c>
      <c r="T675" s="171">
        <f t="shared" si="362"/>
        <v>0.05</v>
      </c>
      <c r="U675" s="256">
        <v>9.1666699999999999</v>
      </c>
      <c r="V675" s="170">
        <f t="shared" si="363"/>
        <v>9.3559617355000011</v>
      </c>
      <c r="W675" s="258">
        <v>0.2</v>
      </c>
      <c r="X675" s="257">
        <f t="shared" si="369"/>
        <v>11.000004000000001</v>
      </c>
      <c r="Y675" s="170">
        <f t="shared" si="367"/>
        <v>11.2271540826</v>
      </c>
      <c r="Z675" s="170">
        <f t="shared" si="353"/>
        <v>12</v>
      </c>
      <c r="AA675" s="407">
        <f t="shared" si="368"/>
        <v>0</v>
      </c>
      <c r="AB675" s="194"/>
    </row>
    <row r="676" spans="1:28" s="278" customFormat="1" x14ac:dyDescent="0.25">
      <c r="A676" s="209">
        <v>717008</v>
      </c>
      <c r="B676" s="387" t="s">
        <v>19397</v>
      </c>
      <c r="C676" s="248"/>
      <c r="D676" s="247" t="s">
        <v>2</v>
      </c>
      <c r="E676" s="249">
        <f t="shared" si="365"/>
        <v>5.6666800000000004</v>
      </c>
      <c r="F676" s="170">
        <f t="shared" si="365"/>
        <v>5.7836969420000006</v>
      </c>
      <c r="G676" s="250">
        <v>0.4</v>
      </c>
      <c r="H676" s="171">
        <f t="shared" si="355"/>
        <v>0.4</v>
      </c>
      <c r="I676" s="249">
        <f t="shared" si="366"/>
        <v>5.6666800000000004</v>
      </c>
      <c r="J676" s="170">
        <f t="shared" si="366"/>
        <v>5.7836969420000006</v>
      </c>
      <c r="K676" s="250">
        <v>0.4</v>
      </c>
      <c r="L676" s="172">
        <f t="shared" si="356"/>
        <v>0.4</v>
      </c>
      <c r="M676" s="249">
        <f t="shared" si="357"/>
        <v>2.1250049999999998</v>
      </c>
      <c r="N676" s="170">
        <f t="shared" si="358"/>
        <v>2.16888635325</v>
      </c>
      <c r="O676" s="250">
        <v>0.15</v>
      </c>
      <c r="P676" s="172">
        <f t="shared" si="359"/>
        <v>0.15</v>
      </c>
      <c r="Q676" s="251">
        <f t="shared" si="360"/>
        <v>0.70833500000000005</v>
      </c>
      <c r="R676" s="173">
        <f t="shared" si="361"/>
        <v>0.72296211775000008</v>
      </c>
      <c r="S676" s="250">
        <v>0.05</v>
      </c>
      <c r="T676" s="171">
        <f t="shared" si="362"/>
        <v>0.05</v>
      </c>
      <c r="U676" s="256">
        <v>14.166700000000001</v>
      </c>
      <c r="V676" s="170">
        <f t="shared" si="363"/>
        <v>14.459242355000001</v>
      </c>
      <c r="W676" s="258">
        <v>0.2</v>
      </c>
      <c r="X676" s="257">
        <f t="shared" si="369"/>
        <v>17.000040000000002</v>
      </c>
      <c r="Y676" s="170">
        <f t="shared" si="367"/>
        <v>17.351090826</v>
      </c>
      <c r="Z676" s="170">
        <f t="shared" si="353"/>
        <v>18</v>
      </c>
      <c r="AA676" s="407">
        <f t="shared" si="368"/>
        <v>0</v>
      </c>
      <c r="AB676" s="194"/>
    </row>
    <row r="677" spans="1:28" s="278" customFormat="1" x14ac:dyDescent="0.25">
      <c r="A677" s="209">
        <v>717008</v>
      </c>
      <c r="B677" s="387" t="s">
        <v>19398</v>
      </c>
      <c r="C677" s="248"/>
      <c r="D677" s="247" t="s">
        <v>2</v>
      </c>
      <c r="E677" s="249">
        <f t="shared" si="365"/>
        <v>4.6666800000000004</v>
      </c>
      <c r="F677" s="170">
        <f t="shared" si="365"/>
        <v>4.7630469420000008</v>
      </c>
      <c r="G677" s="250">
        <v>0.4</v>
      </c>
      <c r="H677" s="171">
        <f t="shared" si="355"/>
        <v>0.4</v>
      </c>
      <c r="I677" s="249">
        <f t="shared" si="366"/>
        <v>4.6666800000000004</v>
      </c>
      <c r="J677" s="170">
        <f t="shared" si="366"/>
        <v>4.7630469420000008</v>
      </c>
      <c r="K677" s="250">
        <v>0.4</v>
      </c>
      <c r="L677" s="172">
        <f t="shared" si="356"/>
        <v>0.4</v>
      </c>
      <c r="M677" s="249">
        <f t="shared" si="357"/>
        <v>1.750005</v>
      </c>
      <c r="N677" s="170">
        <f t="shared" si="358"/>
        <v>1.7861426032500001</v>
      </c>
      <c r="O677" s="250">
        <v>0.15</v>
      </c>
      <c r="P677" s="172">
        <f t="shared" si="359"/>
        <v>0.15</v>
      </c>
      <c r="Q677" s="251">
        <f t="shared" si="360"/>
        <v>0.58333500000000005</v>
      </c>
      <c r="R677" s="173">
        <f t="shared" si="361"/>
        <v>0.5953808677500001</v>
      </c>
      <c r="S677" s="250">
        <v>0.05</v>
      </c>
      <c r="T677" s="171">
        <f t="shared" si="362"/>
        <v>0.05</v>
      </c>
      <c r="U677" s="256">
        <v>11.666700000000001</v>
      </c>
      <c r="V677" s="170">
        <f t="shared" si="363"/>
        <v>11.907617355000001</v>
      </c>
      <c r="W677" s="258">
        <v>0.2</v>
      </c>
      <c r="X677" s="257">
        <f t="shared" si="369"/>
        <v>14.00004</v>
      </c>
      <c r="Y677" s="170">
        <f t="shared" si="367"/>
        <v>14.289140826000001</v>
      </c>
      <c r="Z677" s="170">
        <f t="shared" si="353"/>
        <v>15</v>
      </c>
      <c r="AA677" s="407">
        <f t="shared" si="368"/>
        <v>0</v>
      </c>
      <c r="AB677" s="194"/>
    </row>
    <row r="678" spans="1:28" s="278" customFormat="1" x14ac:dyDescent="0.25">
      <c r="A678" s="209">
        <v>717010</v>
      </c>
      <c r="B678" s="387" t="s">
        <v>19399</v>
      </c>
      <c r="C678" s="248"/>
      <c r="D678" s="247" t="s">
        <v>2</v>
      </c>
      <c r="E678" s="249">
        <f t="shared" si="365"/>
        <v>6.6666799999999995</v>
      </c>
      <c r="F678" s="170">
        <f t="shared" si="365"/>
        <v>6.8043469419999996</v>
      </c>
      <c r="G678" s="250">
        <v>0.4</v>
      </c>
      <c r="H678" s="171">
        <f t="shared" si="355"/>
        <v>0.4</v>
      </c>
      <c r="I678" s="249">
        <f t="shared" si="366"/>
        <v>6.6666799999999995</v>
      </c>
      <c r="J678" s="170">
        <f t="shared" si="366"/>
        <v>6.8043469419999996</v>
      </c>
      <c r="K678" s="250">
        <v>0.4</v>
      </c>
      <c r="L678" s="172">
        <f t="shared" si="356"/>
        <v>0.4</v>
      </c>
      <c r="M678" s="249">
        <f t="shared" si="357"/>
        <v>2.5000049999999998</v>
      </c>
      <c r="N678" s="170">
        <f t="shared" si="358"/>
        <v>2.5516301032499995</v>
      </c>
      <c r="O678" s="250">
        <v>0.15</v>
      </c>
      <c r="P678" s="172">
        <f t="shared" si="359"/>
        <v>0.15</v>
      </c>
      <c r="Q678" s="251">
        <f t="shared" si="360"/>
        <v>0.83333499999999994</v>
      </c>
      <c r="R678" s="173">
        <f t="shared" si="361"/>
        <v>0.85054336774999995</v>
      </c>
      <c r="S678" s="250">
        <v>0.05</v>
      </c>
      <c r="T678" s="171">
        <f t="shared" si="362"/>
        <v>0.05</v>
      </c>
      <c r="U678" s="256">
        <v>16.666699999999999</v>
      </c>
      <c r="V678" s="170">
        <f t="shared" si="363"/>
        <v>17.010867354999998</v>
      </c>
      <c r="W678" s="258">
        <v>0.2</v>
      </c>
      <c r="X678" s="257">
        <f t="shared" si="369"/>
        <v>20.000039999999998</v>
      </c>
      <c r="Y678" s="170">
        <f t="shared" si="367"/>
        <v>20.413040825999996</v>
      </c>
      <c r="Z678" s="170">
        <f t="shared" si="353"/>
        <v>21</v>
      </c>
      <c r="AA678" s="407">
        <f t="shared" si="368"/>
        <v>0</v>
      </c>
      <c r="AB678" s="194"/>
    </row>
    <row r="679" spans="1:28" s="278" customFormat="1" x14ac:dyDescent="0.25">
      <c r="A679" s="209">
        <v>717010</v>
      </c>
      <c r="B679" s="387" t="s">
        <v>19400</v>
      </c>
      <c r="C679" s="248"/>
      <c r="D679" s="247" t="s">
        <v>2</v>
      </c>
      <c r="E679" s="249">
        <f t="shared" si="365"/>
        <v>5</v>
      </c>
      <c r="F679" s="170">
        <f t="shared" si="365"/>
        <v>5.1032500000000018</v>
      </c>
      <c r="G679" s="250">
        <v>0.4</v>
      </c>
      <c r="H679" s="171">
        <f t="shared" si="355"/>
        <v>0.4</v>
      </c>
      <c r="I679" s="249">
        <f t="shared" si="366"/>
        <v>5</v>
      </c>
      <c r="J679" s="170">
        <f t="shared" si="366"/>
        <v>5.1032500000000018</v>
      </c>
      <c r="K679" s="250">
        <v>0.4</v>
      </c>
      <c r="L679" s="172">
        <f t="shared" si="356"/>
        <v>0.4</v>
      </c>
      <c r="M679" s="249">
        <f t="shared" si="357"/>
        <v>1.875</v>
      </c>
      <c r="N679" s="170">
        <f t="shared" si="358"/>
        <v>1.9137187500000004</v>
      </c>
      <c r="O679" s="250">
        <v>0.15</v>
      </c>
      <c r="P679" s="172">
        <f t="shared" si="359"/>
        <v>0.15</v>
      </c>
      <c r="Q679" s="251">
        <f t="shared" si="360"/>
        <v>0.625</v>
      </c>
      <c r="R679" s="173">
        <f t="shared" si="361"/>
        <v>0.63790625000000023</v>
      </c>
      <c r="S679" s="250">
        <v>0.05</v>
      </c>
      <c r="T679" s="171">
        <f t="shared" si="362"/>
        <v>0.05</v>
      </c>
      <c r="U679" s="256">
        <v>12.5</v>
      </c>
      <c r="V679" s="170">
        <f t="shared" si="363"/>
        <v>12.758125000000003</v>
      </c>
      <c r="W679" s="258">
        <v>0.2</v>
      </c>
      <c r="X679" s="257">
        <f t="shared" si="369"/>
        <v>15</v>
      </c>
      <c r="Y679" s="170">
        <f t="shared" si="367"/>
        <v>15.309750000000003</v>
      </c>
      <c r="Z679" s="170">
        <f t="shared" si="353"/>
        <v>16</v>
      </c>
      <c r="AA679" s="407">
        <f t="shared" si="368"/>
        <v>0</v>
      </c>
      <c r="AB679" s="194"/>
    </row>
    <row r="680" spans="1:28" s="278" customFormat="1" x14ac:dyDescent="0.25">
      <c r="A680" s="209">
        <v>717012</v>
      </c>
      <c r="B680" s="387" t="s">
        <v>19401</v>
      </c>
      <c r="C680" s="248"/>
      <c r="D680" s="247" t="s">
        <v>2</v>
      </c>
      <c r="E680" s="249">
        <f t="shared" si="365"/>
        <v>7.3331999999999997</v>
      </c>
      <c r="F680" s="170">
        <f t="shared" si="365"/>
        <v>7.4846305800000001</v>
      </c>
      <c r="G680" s="250">
        <v>0.4</v>
      </c>
      <c r="H680" s="171">
        <f t="shared" si="355"/>
        <v>0.4</v>
      </c>
      <c r="I680" s="249">
        <f t="shared" si="366"/>
        <v>7.3331999999999997</v>
      </c>
      <c r="J680" s="170">
        <f t="shared" si="366"/>
        <v>7.4846305800000001</v>
      </c>
      <c r="K680" s="250">
        <v>0.4</v>
      </c>
      <c r="L680" s="172">
        <f t="shared" si="356"/>
        <v>0.4</v>
      </c>
      <c r="M680" s="249">
        <f t="shared" si="357"/>
        <v>2.7499499999999997</v>
      </c>
      <c r="N680" s="170">
        <f t="shared" si="358"/>
        <v>2.8067364674999999</v>
      </c>
      <c r="O680" s="250">
        <v>0.15</v>
      </c>
      <c r="P680" s="172">
        <f t="shared" si="359"/>
        <v>0.15</v>
      </c>
      <c r="Q680" s="251">
        <f t="shared" si="360"/>
        <v>0.91664999999999996</v>
      </c>
      <c r="R680" s="173">
        <f t="shared" si="361"/>
        <v>0.93557882250000002</v>
      </c>
      <c r="S680" s="250">
        <v>0.05</v>
      </c>
      <c r="T680" s="171">
        <f t="shared" si="362"/>
        <v>0.05</v>
      </c>
      <c r="U680" s="256">
        <v>18.332999999999998</v>
      </c>
      <c r="V680" s="170">
        <f t="shared" si="363"/>
        <v>18.711576449999999</v>
      </c>
      <c r="W680" s="258">
        <v>0.2</v>
      </c>
      <c r="X680" s="257">
        <f t="shared" si="369"/>
        <v>21.999599999999997</v>
      </c>
      <c r="Y680" s="170">
        <f t="shared" si="367"/>
        <v>22.45389174</v>
      </c>
      <c r="Z680" s="170">
        <f t="shared" si="353"/>
        <v>23</v>
      </c>
      <c r="AA680" s="407">
        <f t="shared" si="368"/>
        <v>0</v>
      </c>
      <c r="AB680" s="194"/>
    </row>
    <row r="681" spans="1:28" s="278" customFormat="1" x14ac:dyDescent="0.25">
      <c r="A681" s="209">
        <v>717012</v>
      </c>
      <c r="B681" s="387" t="s">
        <v>19402</v>
      </c>
      <c r="C681" s="248"/>
      <c r="D681" s="247" t="s">
        <v>2</v>
      </c>
      <c r="E681" s="249">
        <f t="shared" si="365"/>
        <v>5.6666800000000004</v>
      </c>
      <c r="F681" s="170">
        <f t="shared" si="365"/>
        <v>5.7836969420000006</v>
      </c>
      <c r="G681" s="250">
        <v>0.4</v>
      </c>
      <c r="H681" s="171">
        <f t="shared" si="355"/>
        <v>0.4</v>
      </c>
      <c r="I681" s="249">
        <f t="shared" si="366"/>
        <v>5.6666800000000004</v>
      </c>
      <c r="J681" s="170">
        <f t="shared" si="366"/>
        <v>5.7836969420000006</v>
      </c>
      <c r="K681" s="250">
        <v>0.4</v>
      </c>
      <c r="L681" s="172">
        <f t="shared" si="356"/>
        <v>0.4</v>
      </c>
      <c r="M681" s="249">
        <f t="shared" si="357"/>
        <v>2.1250049999999998</v>
      </c>
      <c r="N681" s="170">
        <f t="shared" si="358"/>
        <v>2.16888635325</v>
      </c>
      <c r="O681" s="250">
        <v>0.15</v>
      </c>
      <c r="P681" s="172">
        <f t="shared" si="359"/>
        <v>0.15</v>
      </c>
      <c r="Q681" s="251">
        <f t="shared" si="360"/>
        <v>0.70833500000000005</v>
      </c>
      <c r="R681" s="173">
        <f t="shared" si="361"/>
        <v>0.72296211775000008</v>
      </c>
      <c r="S681" s="250">
        <v>0.05</v>
      </c>
      <c r="T681" s="171">
        <f t="shared" si="362"/>
        <v>0.05</v>
      </c>
      <c r="U681" s="256">
        <v>14.166700000000001</v>
      </c>
      <c r="V681" s="170">
        <f t="shared" si="363"/>
        <v>14.459242355000001</v>
      </c>
      <c r="W681" s="258">
        <v>0.2</v>
      </c>
      <c r="X681" s="257">
        <f t="shared" si="369"/>
        <v>17.000040000000002</v>
      </c>
      <c r="Y681" s="170">
        <f t="shared" si="367"/>
        <v>17.351090826</v>
      </c>
      <c r="Z681" s="170">
        <f t="shared" si="353"/>
        <v>18</v>
      </c>
      <c r="AA681" s="407">
        <f t="shared" si="368"/>
        <v>0</v>
      </c>
      <c r="AB681" s="194"/>
    </row>
    <row r="682" spans="1:28" s="278" customFormat="1" x14ac:dyDescent="0.25">
      <c r="A682" s="209">
        <v>717015</v>
      </c>
      <c r="B682" s="387" t="s">
        <v>19403</v>
      </c>
      <c r="C682" s="248"/>
      <c r="D682" s="247" t="s">
        <v>2</v>
      </c>
      <c r="E682" s="249">
        <f t="shared" si="365"/>
        <v>8</v>
      </c>
      <c r="F682" s="170">
        <f t="shared" si="365"/>
        <v>8.1652000000000022</v>
      </c>
      <c r="G682" s="250">
        <v>0.4</v>
      </c>
      <c r="H682" s="171">
        <f t="shared" si="355"/>
        <v>0.4</v>
      </c>
      <c r="I682" s="249">
        <f t="shared" si="366"/>
        <v>8</v>
      </c>
      <c r="J682" s="170">
        <f t="shared" si="366"/>
        <v>8.1652000000000022</v>
      </c>
      <c r="K682" s="250">
        <v>0.4</v>
      </c>
      <c r="L682" s="172">
        <f t="shared" si="356"/>
        <v>0.4</v>
      </c>
      <c r="M682" s="249">
        <f t="shared" si="357"/>
        <v>3</v>
      </c>
      <c r="N682" s="170">
        <f t="shared" si="358"/>
        <v>3.0619500000000004</v>
      </c>
      <c r="O682" s="250">
        <v>0.15</v>
      </c>
      <c r="P682" s="172">
        <f t="shared" si="359"/>
        <v>0.15</v>
      </c>
      <c r="Q682" s="251">
        <f t="shared" si="360"/>
        <v>1</v>
      </c>
      <c r="R682" s="173">
        <f t="shared" si="361"/>
        <v>1.0206500000000003</v>
      </c>
      <c r="S682" s="250">
        <v>0.05</v>
      </c>
      <c r="T682" s="171">
        <f t="shared" si="362"/>
        <v>0.05</v>
      </c>
      <c r="U682" s="256">
        <v>20</v>
      </c>
      <c r="V682" s="170">
        <f t="shared" si="363"/>
        <v>20.413000000000004</v>
      </c>
      <c r="W682" s="258">
        <v>0.2</v>
      </c>
      <c r="X682" s="257">
        <f t="shared" si="369"/>
        <v>24</v>
      </c>
      <c r="Y682" s="170">
        <f t="shared" si="367"/>
        <v>24.495600000000003</v>
      </c>
      <c r="Z682" s="170">
        <f t="shared" si="353"/>
        <v>25</v>
      </c>
      <c r="AA682" s="407">
        <f t="shared" si="368"/>
        <v>0</v>
      </c>
      <c r="AB682" s="194"/>
    </row>
    <row r="683" spans="1:28" s="278" customFormat="1" x14ac:dyDescent="0.25">
      <c r="A683" s="209">
        <v>717015</v>
      </c>
      <c r="B683" s="387" t="s">
        <v>19404</v>
      </c>
      <c r="C683" s="248"/>
      <c r="D683" s="247" t="s">
        <v>2</v>
      </c>
      <c r="E683" s="249">
        <f t="shared" si="365"/>
        <v>6</v>
      </c>
      <c r="F683" s="170">
        <f t="shared" si="365"/>
        <v>6.1239000000000008</v>
      </c>
      <c r="G683" s="250">
        <v>0.4</v>
      </c>
      <c r="H683" s="171">
        <f t="shared" si="355"/>
        <v>0.4</v>
      </c>
      <c r="I683" s="249">
        <f t="shared" si="366"/>
        <v>6</v>
      </c>
      <c r="J683" s="170">
        <f t="shared" si="366"/>
        <v>6.1239000000000008</v>
      </c>
      <c r="K683" s="250">
        <v>0.4</v>
      </c>
      <c r="L683" s="172">
        <f t="shared" si="356"/>
        <v>0.4</v>
      </c>
      <c r="M683" s="249">
        <f t="shared" si="357"/>
        <v>2.25</v>
      </c>
      <c r="N683" s="170">
        <f t="shared" si="358"/>
        <v>2.2964625000000001</v>
      </c>
      <c r="O683" s="250">
        <v>0.15</v>
      </c>
      <c r="P683" s="172">
        <f t="shared" si="359"/>
        <v>0.15</v>
      </c>
      <c r="Q683" s="251">
        <f t="shared" si="360"/>
        <v>0.75</v>
      </c>
      <c r="R683" s="173">
        <f t="shared" si="361"/>
        <v>0.7654875000000001</v>
      </c>
      <c r="S683" s="250">
        <v>0.05</v>
      </c>
      <c r="T683" s="171">
        <f t="shared" si="362"/>
        <v>0.05</v>
      </c>
      <c r="U683" s="256">
        <v>15</v>
      </c>
      <c r="V683" s="170">
        <f t="shared" si="363"/>
        <v>15.309750000000001</v>
      </c>
      <c r="W683" s="258">
        <v>0.2</v>
      </c>
      <c r="X683" s="257">
        <f t="shared" si="369"/>
        <v>18</v>
      </c>
      <c r="Y683" s="170">
        <f t="shared" si="367"/>
        <v>18.371700000000001</v>
      </c>
      <c r="Z683" s="170">
        <f t="shared" si="353"/>
        <v>19</v>
      </c>
      <c r="AA683" s="407">
        <f t="shared" si="368"/>
        <v>0</v>
      </c>
      <c r="AB683" s="194"/>
    </row>
    <row r="684" spans="1:28" s="278" customFormat="1" x14ac:dyDescent="0.25">
      <c r="A684" s="209">
        <v>717018</v>
      </c>
      <c r="B684" s="387" t="s">
        <v>19405</v>
      </c>
      <c r="C684" s="248"/>
      <c r="D684" s="247" t="s">
        <v>2</v>
      </c>
      <c r="E684" s="249">
        <f t="shared" si="365"/>
        <v>8.3333200000000005</v>
      </c>
      <c r="F684" s="170">
        <f t="shared" si="365"/>
        <v>8.5054030580000006</v>
      </c>
      <c r="G684" s="250">
        <v>0.4</v>
      </c>
      <c r="H684" s="171">
        <f t="shared" si="355"/>
        <v>0.4</v>
      </c>
      <c r="I684" s="249">
        <f t="shared" si="366"/>
        <v>8.3333200000000005</v>
      </c>
      <c r="J684" s="170">
        <f t="shared" si="366"/>
        <v>8.5054030580000006</v>
      </c>
      <c r="K684" s="250">
        <v>0.4</v>
      </c>
      <c r="L684" s="172">
        <f t="shared" si="356"/>
        <v>0.4</v>
      </c>
      <c r="M684" s="249">
        <f t="shared" si="357"/>
        <v>3.1249950000000002</v>
      </c>
      <c r="N684" s="170">
        <f t="shared" si="358"/>
        <v>3.18952614675</v>
      </c>
      <c r="O684" s="250">
        <v>0.15</v>
      </c>
      <c r="P684" s="172">
        <f t="shared" si="359"/>
        <v>0.15</v>
      </c>
      <c r="Q684" s="251">
        <f t="shared" si="360"/>
        <v>1.0416650000000001</v>
      </c>
      <c r="R684" s="173">
        <f t="shared" si="361"/>
        <v>1.0631753822500001</v>
      </c>
      <c r="S684" s="250">
        <v>0.05</v>
      </c>
      <c r="T684" s="171">
        <f t="shared" si="362"/>
        <v>0.05</v>
      </c>
      <c r="U684" s="256">
        <v>20.833300000000001</v>
      </c>
      <c r="V684" s="170">
        <f t="shared" si="363"/>
        <v>21.263507645000001</v>
      </c>
      <c r="W684" s="258">
        <v>0.2</v>
      </c>
      <c r="X684" s="257">
        <f t="shared" si="369"/>
        <v>24.999960000000002</v>
      </c>
      <c r="Y684" s="170">
        <f t="shared" si="367"/>
        <v>25.516209174</v>
      </c>
      <c r="Z684" s="170">
        <f t="shared" si="353"/>
        <v>26</v>
      </c>
      <c r="AA684" s="407">
        <f t="shared" si="368"/>
        <v>0</v>
      </c>
      <c r="AB684" s="194"/>
    </row>
    <row r="685" spans="1:28" s="278" customFormat="1" x14ac:dyDescent="0.25">
      <c r="A685" s="209">
        <v>717018</v>
      </c>
      <c r="B685" s="387" t="s">
        <v>19406</v>
      </c>
      <c r="C685" s="248"/>
      <c r="D685" s="247" t="s">
        <v>2</v>
      </c>
      <c r="E685" s="249">
        <f t="shared" si="365"/>
        <v>6.3333200000000005</v>
      </c>
      <c r="F685" s="170">
        <f t="shared" si="365"/>
        <v>6.464103058000001</v>
      </c>
      <c r="G685" s="250">
        <v>0.4</v>
      </c>
      <c r="H685" s="171">
        <f t="shared" si="355"/>
        <v>0.4</v>
      </c>
      <c r="I685" s="249">
        <f t="shared" si="366"/>
        <v>6.3333200000000005</v>
      </c>
      <c r="J685" s="170">
        <f t="shared" si="366"/>
        <v>6.464103058000001</v>
      </c>
      <c r="K685" s="250">
        <v>0.4</v>
      </c>
      <c r="L685" s="172">
        <f t="shared" si="356"/>
        <v>0.4</v>
      </c>
      <c r="M685" s="249">
        <f t="shared" si="357"/>
        <v>2.3749949999999997</v>
      </c>
      <c r="N685" s="170">
        <f t="shared" si="358"/>
        <v>2.4240386467500001</v>
      </c>
      <c r="O685" s="250">
        <v>0.15</v>
      </c>
      <c r="P685" s="172">
        <f t="shared" si="359"/>
        <v>0.15</v>
      </c>
      <c r="Q685" s="251">
        <f t="shared" si="360"/>
        <v>0.79166500000000006</v>
      </c>
      <c r="R685" s="173">
        <f t="shared" si="361"/>
        <v>0.80801288225000012</v>
      </c>
      <c r="S685" s="250">
        <v>0.05</v>
      </c>
      <c r="T685" s="171">
        <f t="shared" si="362"/>
        <v>0.05</v>
      </c>
      <c r="U685" s="256">
        <v>15.833299999999999</v>
      </c>
      <c r="V685" s="170">
        <f t="shared" si="363"/>
        <v>16.160257645000002</v>
      </c>
      <c r="W685" s="258">
        <v>0.2</v>
      </c>
      <c r="X685" s="257">
        <f t="shared" si="369"/>
        <v>18.999960000000002</v>
      </c>
      <c r="Y685" s="170">
        <f t="shared" si="367"/>
        <v>19.392309174000001</v>
      </c>
      <c r="Z685" s="170">
        <f t="shared" si="353"/>
        <v>20</v>
      </c>
      <c r="AA685" s="407">
        <f t="shared" si="368"/>
        <v>0</v>
      </c>
      <c r="AB685" s="194"/>
    </row>
    <row r="686" spans="1:28" s="278" customFormat="1" x14ac:dyDescent="0.25">
      <c r="A686" s="209">
        <v>717024</v>
      </c>
      <c r="B686" s="387" t="s">
        <v>19407</v>
      </c>
      <c r="C686" s="248"/>
      <c r="D686" s="247" t="s">
        <v>2</v>
      </c>
      <c r="E686" s="249">
        <f t="shared" si="365"/>
        <v>9</v>
      </c>
      <c r="F686" s="170">
        <f t="shared" si="365"/>
        <v>9.1858500000000003</v>
      </c>
      <c r="G686" s="250">
        <v>0.4</v>
      </c>
      <c r="H686" s="171">
        <f t="shared" si="355"/>
        <v>0.4</v>
      </c>
      <c r="I686" s="249">
        <f t="shared" si="366"/>
        <v>9</v>
      </c>
      <c r="J686" s="170">
        <f t="shared" si="366"/>
        <v>9.1858500000000003</v>
      </c>
      <c r="K686" s="250">
        <v>0.4</v>
      </c>
      <c r="L686" s="172">
        <f t="shared" si="356"/>
        <v>0.4</v>
      </c>
      <c r="M686" s="249">
        <f t="shared" si="357"/>
        <v>3.375</v>
      </c>
      <c r="N686" s="170">
        <f t="shared" si="358"/>
        <v>3.4446937499999994</v>
      </c>
      <c r="O686" s="250">
        <v>0.15</v>
      </c>
      <c r="P686" s="172">
        <f t="shared" si="359"/>
        <v>0.15</v>
      </c>
      <c r="Q686" s="251">
        <f t="shared" si="360"/>
        <v>1.125</v>
      </c>
      <c r="R686" s="173">
        <f t="shared" si="361"/>
        <v>1.14823125</v>
      </c>
      <c r="S686" s="250">
        <v>0.05</v>
      </c>
      <c r="T686" s="171">
        <f t="shared" si="362"/>
        <v>0.05</v>
      </c>
      <c r="U686" s="256">
        <v>22.5</v>
      </c>
      <c r="V686" s="170">
        <f t="shared" si="363"/>
        <v>22.964624999999998</v>
      </c>
      <c r="W686" s="258">
        <v>0.2</v>
      </c>
      <c r="X686" s="257">
        <f t="shared" si="369"/>
        <v>27</v>
      </c>
      <c r="Y686" s="170">
        <f t="shared" si="367"/>
        <v>27.557549999999996</v>
      </c>
      <c r="Z686" s="170">
        <f t="shared" ref="Z686:Z749" si="370">IF(Y686=0, 0, IF(Y686&lt;10, _xlfn.CEILING.MATH(Y686,1), IF(Y686&lt;100, _xlfn.CEILING.MATH(Y686,1),IF(Y686&lt;1000, _xlfn.CEILING.MATH(Y686,5), IF(Y686&lt;10000, _xlfn.CEILING.MATH(Y686, 25), IF(Y686&lt;100000, _xlfn.CEILING.MATH(Y686,250), IF(Y686&lt;1000000, _xlfn.CEILING.MATH(Y686,500), 0)))))))</f>
        <v>28</v>
      </c>
      <c r="AA686" s="407">
        <f t="shared" si="368"/>
        <v>0</v>
      </c>
      <c r="AB686" s="194"/>
    </row>
    <row r="687" spans="1:28" s="278" customFormat="1" x14ac:dyDescent="0.25">
      <c r="A687" s="209">
        <v>717024</v>
      </c>
      <c r="B687" s="387" t="s">
        <v>19408</v>
      </c>
      <c r="C687" s="248"/>
      <c r="D687" s="247" t="s">
        <v>2</v>
      </c>
      <c r="E687" s="249">
        <f t="shared" si="365"/>
        <v>7</v>
      </c>
      <c r="F687" s="170">
        <f t="shared" si="365"/>
        <v>7.1445499999999997</v>
      </c>
      <c r="G687" s="250">
        <v>0.4</v>
      </c>
      <c r="H687" s="171">
        <f t="shared" si="355"/>
        <v>0.4</v>
      </c>
      <c r="I687" s="249">
        <f t="shared" si="366"/>
        <v>7</v>
      </c>
      <c r="J687" s="170">
        <f t="shared" si="366"/>
        <v>7.1445499999999997</v>
      </c>
      <c r="K687" s="250">
        <v>0.4</v>
      </c>
      <c r="L687" s="172">
        <f t="shared" si="356"/>
        <v>0.4</v>
      </c>
      <c r="M687" s="249">
        <f t="shared" si="357"/>
        <v>2.625</v>
      </c>
      <c r="N687" s="170">
        <f t="shared" si="358"/>
        <v>2.6792062499999996</v>
      </c>
      <c r="O687" s="250">
        <v>0.15</v>
      </c>
      <c r="P687" s="172">
        <f t="shared" si="359"/>
        <v>0.15</v>
      </c>
      <c r="Q687" s="251">
        <f t="shared" si="360"/>
        <v>0.875</v>
      </c>
      <c r="R687" s="173">
        <f t="shared" si="361"/>
        <v>0.89306874999999997</v>
      </c>
      <c r="S687" s="250">
        <v>0.05</v>
      </c>
      <c r="T687" s="171">
        <f t="shared" si="362"/>
        <v>0.05</v>
      </c>
      <c r="U687" s="256">
        <v>17.5</v>
      </c>
      <c r="V687" s="170">
        <f t="shared" si="363"/>
        <v>17.861374999999999</v>
      </c>
      <c r="W687" s="258">
        <v>0.2</v>
      </c>
      <c r="X687" s="257">
        <f t="shared" si="369"/>
        <v>21</v>
      </c>
      <c r="Y687" s="170">
        <f t="shared" si="367"/>
        <v>21.433649999999997</v>
      </c>
      <c r="Z687" s="170">
        <f t="shared" si="370"/>
        <v>22</v>
      </c>
      <c r="AA687" s="407">
        <f t="shared" si="368"/>
        <v>0</v>
      </c>
      <c r="AB687" s="194"/>
    </row>
    <row r="688" spans="1:28" s="278" customFormat="1" x14ac:dyDescent="0.25">
      <c r="A688" s="209">
        <v>717030</v>
      </c>
      <c r="B688" s="387" t="s">
        <v>19409</v>
      </c>
      <c r="C688" s="248"/>
      <c r="D688" s="247" t="s">
        <v>2</v>
      </c>
      <c r="E688" s="249">
        <f t="shared" si="365"/>
        <v>10</v>
      </c>
      <c r="F688" s="170">
        <f t="shared" si="365"/>
        <v>10.206500000000004</v>
      </c>
      <c r="G688" s="250">
        <v>0.4</v>
      </c>
      <c r="H688" s="171">
        <f t="shared" si="355"/>
        <v>0.4</v>
      </c>
      <c r="I688" s="249">
        <f t="shared" si="366"/>
        <v>10</v>
      </c>
      <c r="J688" s="170">
        <f t="shared" si="366"/>
        <v>10.206500000000004</v>
      </c>
      <c r="K688" s="250">
        <v>0.4</v>
      </c>
      <c r="L688" s="172">
        <f t="shared" si="356"/>
        <v>0.4</v>
      </c>
      <c r="M688" s="249">
        <f t="shared" si="357"/>
        <v>3.75</v>
      </c>
      <c r="N688" s="170">
        <f t="shared" si="358"/>
        <v>3.8274375000000007</v>
      </c>
      <c r="O688" s="250">
        <v>0.15</v>
      </c>
      <c r="P688" s="172">
        <f t="shared" si="359"/>
        <v>0.15</v>
      </c>
      <c r="Q688" s="251">
        <f t="shared" si="360"/>
        <v>1.25</v>
      </c>
      <c r="R688" s="173">
        <f t="shared" si="361"/>
        <v>1.2758125000000005</v>
      </c>
      <c r="S688" s="250">
        <v>0.05</v>
      </c>
      <c r="T688" s="171">
        <f t="shared" si="362"/>
        <v>0.05</v>
      </c>
      <c r="U688" s="256">
        <v>25</v>
      </c>
      <c r="V688" s="170">
        <f t="shared" si="363"/>
        <v>25.516250000000007</v>
      </c>
      <c r="W688" s="258">
        <v>0.2</v>
      </c>
      <c r="X688" s="257">
        <f t="shared" si="369"/>
        <v>30</v>
      </c>
      <c r="Y688" s="170">
        <f t="shared" si="367"/>
        <v>30.619500000000006</v>
      </c>
      <c r="Z688" s="170">
        <f t="shared" si="370"/>
        <v>31</v>
      </c>
      <c r="AA688" s="407">
        <f t="shared" si="368"/>
        <v>0</v>
      </c>
      <c r="AB688" s="194"/>
    </row>
    <row r="689" spans="1:28" s="278" customFormat="1" ht="14.4" thickBot="1" x14ac:dyDescent="0.3">
      <c r="A689" s="378">
        <v>717030</v>
      </c>
      <c r="B689" s="411" t="s">
        <v>19410</v>
      </c>
      <c r="C689" s="265"/>
      <c r="D689" s="264" t="s">
        <v>2</v>
      </c>
      <c r="E689" s="266">
        <f t="shared" si="365"/>
        <v>9</v>
      </c>
      <c r="F689" s="174">
        <f t="shared" si="365"/>
        <v>9.1858500000000003</v>
      </c>
      <c r="G689" s="267">
        <v>0.4</v>
      </c>
      <c r="H689" s="268">
        <f t="shared" si="355"/>
        <v>0.4</v>
      </c>
      <c r="I689" s="266">
        <f t="shared" si="366"/>
        <v>9</v>
      </c>
      <c r="J689" s="174">
        <f t="shared" si="366"/>
        <v>9.1858500000000003</v>
      </c>
      <c r="K689" s="267">
        <v>0.4</v>
      </c>
      <c r="L689" s="269">
        <f t="shared" si="356"/>
        <v>0.4</v>
      </c>
      <c r="M689" s="266">
        <f t="shared" si="357"/>
        <v>3.375</v>
      </c>
      <c r="N689" s="174">
        <f t="shared" si="358"/>
        <v>3.4446937499999994</v>
      </c>
      <c r="O689" s="267">
        <v>0.15</v>
      </c>
      <c r="P689" s="269">
        <f t="shared" si="359"/>
        <v>0.15</v>
      </c>
      <c r="Q689" s="270">
        <f t="shared" si="360"/>
        <v>1.125</v>
      </c>
      <c r="R689" s="271">
        <f t="shared" si="361"/>
        <v>1.14823125</v>
      </c>
      <c r="S689" s="267">
        <v>0.05</v>
      </c>
      <c r="T689" s="268">
        <f t="shared" si="362"/>
        <v>0.05</v>
      </c>
      <c r="U689" s="409">
        <v>22.5</v>
      </c>
      <c r="V689" s="174">
        <f t="shared" si="363"/>
        <v>22.964624999999998</v>
      </c>
      <c r="W689" s="322">
        <v>0.2</v>
      </c>
      <c r="X689" s="274">
        <f t="shared" si="369"/>
        <v>27</v>
      </c>
      <c r="Y689" s="174">
        <f t="shared" si="367"/>
        <v>27.557549999999996</v>
      </c>
      <c r="Z689" s="174">
        <f t="shared" si="370"/>
        <v>28</v>
      </c>
      <c r="AA689" s="410">
        <f t="shared" si="368"/>
        <v>0</v>
      </c>
      <c r="AB689" s="194"/>
    </row>
    <row r="690" spans="1:28" s="278" customFormat="1" x14ac:dyDescent="0.25">
      <c r="A690" s="209">
        <v>717036</v>
      </c>
      <c r="B690" s="387" t="s">
        <v>19411</v>
      </c>
      <c r="C690" s="248"/>
      <c r="D690" s="247" t="s">
        <v>2</v>
      </c>
      <c r="E690" s="249">
        <f t="shared" si="365"/>
        <v>11.666668000000001</v>
      </c>
      <c r="F690" s="170">
        <f t="shared" si="365"/>
        <v>11.907584694200004</v>
      </c>
      <c r="G690" s="250">
        <v>0.4</v>
      </c>
      <c r="H690" s="171">
        <f t="shared" si="355"/>
        <v>0.4</v>
      </c>
      <c r="I690" s="249">
        <f t="shared" si="366"/>
        <v>11.666668000000001</v>
      </c>
      <c r="J690" s="170">
        <f t="shared" si="366"/>
        <v>11.907584694200004</v>
      </c>
      <c r="K690" s="250">
        <v>0.4</v>
      </c>
      <c r="L690" s="172">
        <f t="shared" si="356"/>
        <v>0.4</v>
      </c>
      <c r="M690" s="249">
        <f t="shared" si="357"/>
        <v>4.3750004999999996</v>
      </c>
      <c r="N690" s="170">
        <f t="shared" si="358"/>
        <v>4.4653442603250006</v>
      </c>
      <c r="O690" s="250">
        <v>0.15</v>
      </c>
      <c r="P690" s="172">
        <f t="shared" si="359"/>
        <v>0.15</v>
      </c>
      <c r="Q690" s="251">
        <f t="shared" si="360"/>
        <v>1.4583335000000002</v>
      </c>
      <c r="R690" s="173">
        <f t="shared" si="361"/>
        <v>1.4884480867750005</v>
      </c>
      <c r="S690" s="250">
        <v>0.05</v>
      </c>
      <c r="T690" s="171">
        <f t="shared" si="362"/>
        <v>0.05</v>
      </c>
      <c r="U690" s="256">
        <v>29.16667</v>
      </c>
      <c r="V690" s="170">
        <f t="shared" si="363"/>
        <v>29.768961735500007</v>
      </c>
      <c r="W690" s="258">
        <v>0.2</v>
      </c>
      <c r="X690" s="257">
        <f t="shared" si="369"/>
        <v>35.000004000000004</v>
      </c>
      <c r="Y690" s="170">
        <f t="shared" si="367"/>
        <v>35.722754082600005</v>
      </c>
      <c r="Z690" s="170">
        <f t="shared" si="370"/>
        <v>36</v>
      </c>
      <c r="AA690" s="407">
        <f t="shared" si="368"/>
        <v>0</v>
      </c>
      <c r="AB690" s="194"/>
    </row>
    <row r="691" spans="1:28" s="278" customFormat="1" x14ac:dyDescent="0.25">
      <c r="A691" s="209">
        <v>717036</v>
      </c>
      <c r="B691" s="387" t="s">
        <v>19412</v>
      </c>
      <c r="C691" s="248"/>
      <c r="D691" s="247" t="s">
        <v>2</v>
      </c>
      <c r="E691" s="249">
        <f t="shared" si="365"/>
        <v>10.666679999999999</v>
      </c>
      <c r="F691" s="170">
        <f t="shared" si="365"/>
        <v>10.886946942000002</v>
      </c>
      <c r="G691" s="250">
        <v>0.4</v>
      </c>
      <c r="H691" s="171">
        <f t="shared" si="355"/>
        <v>0.4</v>
      </c>
      <c r="I691" s="249">
        <f t="shared" si="366"/>
        <v>10.666679999999999</v>
      </c>
      <c r="J691" s="170">
        <f t="shared" si="366"/>
        <v>10.886946942000002</v>
      </c>
      <c r="K691" s="250">
        <v>0.4</v>
      </c>
      <c r="L691" s="172">
        <f t="shared" si="356"/>
        <v>0.4</v>
      </c>
      <c r="M691" s="249">
        <f t="shared" si="357"/>
        <v>4.0000049999999998</v>
      </c>
      <c r="N691" s="170">
        <f t="shared" si="358"/>
        <v>4.0826051032499997</v>
      </c>
      <c r="O691" s="250">
        <v>0.15</v>
      </c>
      <c r="P691" s="172">
        <f t="shared" si="359"/>
        <v>0.15</v>
      </c>
      <c r="Q691" s="251">
        <f t="shared" si="360"/>
        <v>1.3333349999999999</v>
      </c>
      <c r="R691" s="173">
        <f t="shared" si="361"/>
        <v>1.3608683677500002</v>
      </c>
      <c r="S691" s="250">
        <v>0.05</v>
      </c>
      <c r="T691" s="171">
        <f t="shared" si="362"/>
        <v>0.05</v>
      </c>
      <c r="U691" s="256">
        <v>26.666699999999999</v>
      </c>
      <c r="V691" s="170">
        <f t="shared" si="363"/>
        <v>27.217367355</v>
      </c>
      <c r="W691" s="258">
        <v>0.2</v>
      </c>
      <c r="X691" s="257">
        <f t="shared" si="369"/>
        <v>32.000039999999998</v>
      </c>
      <c r="Y691" s="170">
        <f t="shared" si="367"/>
        <v>32.660840825999998</v>
      </c>
      <c r="Z691" s="170">
        <f t="shared" si="370"/>
        <v>33</v>
      </c>
      <c r="AA691" s="407">
        <f t="shared" si="368"/>
        <v>0</v>
      </c>
      <c r="AB691" s="194"/>
    </row>
    <row r="692" spans="1:28" s="278" customFormat="1" x14ac:dyDescent="0.25">
      <c r="A692" s="209">
        <v>717042</v>
      </c>
      <c r="B692" s="387" t="s">
        <v>19413</v>
      </c>
      <c r="C692" s="248"/>
      <c r="D692" s="247" t="s">
        <v>2</v>
      </c>
      <c r="E692" s="249">
        <f t="shared" si="365"/>
        <v>15.666679999999999</v>
      </c>
      <c r="F692" s="170">
        <f t="shared" si="365"/>
        <v>15.990196942000001</v>
      </c>
      <c r="G692" s="250">
        <v>0.4</v>
      </c>
      <c r="H692" s="171">
        <f t="shared" si="355"/>
        <v>0.4</v>
      </c>
      <c r="I692" s="249">
        <f t="shared" si="366"/>
        <v>15.666679999999999</v>
      </c>
      <c r="J692" s="170">
        <f t="shared" si="366"/>
        <v>15.990196942000001</v>
      </c>
      <c r="K692" s="250">
        <v>0.4</v>
      </c>
      <c r="L692" s="172">
        <f t="shared" si="356"/>
        <v>0.4</v>
      </c>
      <c r="M692" s="249">
        <f t="shared" si="357"/>
        <v>5.8750049999999998</v>
      </c>
      <c r="N692" s="170">
        <f t="shared" si="358"/>
        <v>5.9963238532499998</v>
      </c>
      <c r="O692" s="250">
        <v>0.15</v>
      </c>
      <c r="P692" s="172">
        <f t="shared" si="359"/>
        <v>0.15</v>
      </c>
      <c r="Q692" s="251">
        <f t="shared" si="360"/>
        <v>1.9583349999999999</v>
      </c>
      <c r="R692" s="173">
        <f t="shared" si="361"/>
        <v>1.9987746177500001</v>
      </c>
      <c r="S692" s="250">
        <v>0.05</v>
      </c>
      <c r="T692" s="171">
        <f t="shared" si="362"/>
        <v>0.05</v>
      </c>
      <c r="U692" s="256">
        <v>39.166699999999999</v>
      </c>
      <c r="V692" s="170">
        <f t="shared" si="363"/>
        <v>39.975492355</v>
      </c>
      <c r="W692" s="258">
        <v>0.2</v>
      </c>
      <c r="X692" s="257">
        <f t="shared" si="369"/>
        <v>47.000039999999998</v>
      </c>
      <c r="Y692" s="170">
        <f t="shared" si="367"/>
        <v>47.970590825999999</v>
      </c>
      <c r="Z692" s="170">
        <f t="shared" si="370"/>
        <v>48</v>
      </c>
      <c r="AA692" s="407">
        <f t="shared" si="368"/>
        <v>0</v>
      </c>
      <c r="AB692" s="194"/>
    </row>
    <row r="693" spans="1:28" s="278" customFormat="1" x14ac:dyDescent="0.25">
      <c r="A693" s="209">
        <v>717042</v>
      </c>
      <c r="B693" s="387" t="s">
        <v>19414</v>
      </c>
      <c r="C693" s="248"/>
      <c r="D693" s="247" t="s">
        <v>2</v>
      </c>
      <c r="E693" s="249">
        <f t="shared" si="365"/>
        <v>13.3332</v>
      </c>
      <c r="F693" s="170">
        <f t="shared" si="365"/>
        <v>13.608530580000002</v>
      </c>
      <c r="G693" s="250">
        <v>0.4</v>
      </c>
      <c r="H693" s="171">
        <f t="shared" si="355"/>
        <v>0.4</v>
      </c>
      <c r="I693" s="249">
        <f t="shared" si="366"/>
        <v>13.3332</v>
      </c>
      <c r="J693" s="170">
        <f t="shared" si="366"/>
        <v>13.608530580000002</v>
      </c>
      <c r="K693" s="250">
        <v>0.4</v>
      </c>
      <c r="L693" s="172">
        <f t="shared" si="356"/>
        <v>0.4</v>
      </c>
      <c r="M693" s="249">
        <f t="shared" si="357"/>
        <v>4.9999499999999992</v>
      </c>
      <c r="N693" s="170">
        <f t="shared" si="358"/>
        <v>5.1031989675</v>
      </c>
      <c r="O693" s="250">
        <v>0.15</v>
      </c>
      <c r="P693" s="172">
        <f t="shared" si="359"/>
        <v>0.15</v>
      </c>
      <c r="Q693" s="251">
        <f t="shared" si="360"/>
        <v>1.66665</v>
      </c>
      <c r="R693" s="173">
        <f t="shared" si="361"/>
        <v>1.7010663225000002</v>
      </c>
      <c r="S693" s="250">
        <v>0.05</v>
      </c>
      <c r="T693" s="171">
        <f t="shared" si="362"/>
        <v>0.05</v>
      </c>
      <c r="U693" s="256">
        <v>33.332999999999998</v>
      </c>
      <c r="V693" s="170">
        <f t="shared" si="363"/>
        <v>34.021326450000004</v>
      </c>
      <c r="W693" s="258">
        <v>0.2</v>
      </c>
      <c r="X693" s="257">
        <f t="shared" si="369"/>
        <v>39.999600000000001</v>
      </c>
      <c r="Y693" s="170">
        <f t="shared" si="367"/>
        <v>40.82559174</v>
      </c>
      <c r="Z693" s="170">
        <f t="shared" si="370"/>
        <v>41</v>
      </c>
      <c r="AA693" s="407">
        <f t="shared" si="368"/>
        <v>0</v>
      </c>
      <c r="AB693" s="194"/>
    </row>
    <row r="694" spans="1:28" s="278" customFormat="1" x14ac:dyDescent="0.25">
      <c r="A694" s="209">
        <v>717048</v>
      </c>
      <c r="B694" s="387" t="s">
        <v>19415</v>
      </c>
      <c r="C694" s="248"/>
      <c r="D694" s="247" t="s">
        <v>2</v>
      </c>
      <c r="E694" s="249">
        <f t="shared" si="365"/>
        <v>16.666679999999999</v>
      </c>
      <c r="F694" s="170">
        <f t="shared" si="365"/>
        <v>17.010846942000004</v>
      </c>
      <c r="G694" s="250">
        <v>0.4</v>
      </c>
      <c r="H694" s="171">
        <f t="shared" si="355"/>
        <v>0.4</v>
      </c>
      <c r="I694" s="249">
        <f t="shared" si="366"/>
        <v>16.666679999999999</v>
      </c>
      <c r="J694" s="170">
        <f t="shared" si="366"/>
        <v>17.010846942000004</v>
      </c>
      <c r="K694" s="250">
        <v>0.4</v>
      </c>
      <c r="L694" s="172">
        <f t="shared" si="356"/>
        <v>0.4</v>
      </c>
      <c r="M694" s="249">
        <f t="shared" si="357"/>
        <v>6.2500049999999998</v>
      </c>
      <c r="N694" s="170">
        <f t="shared" si="358"/>
        <v>6.3790676032500011</v>
      </c>
      <c r="O694" s="250">
        <v>0.15</v>
      </c>
      <c r="P694" s="172">
        <f t="shared" si="359"/>
        <v>0.15</v>
      </c>
      <c r="Q694" s="251">
        <f t="shared" si="360"/>
        <v>2.0833349999999999</v>
      </c>
      <c r="R694" s="173">
        <f t="shared" si="361"/>
        <v>2.1263558677500005</v>
      </c>
      <c r="S694" s="250">
        <v>0.05</v>
      </c>
      <c r="T694" s="171">
        <f t="shared" si="362"/>
        <v>0.05</v>
      </c>
      <c r="U694" s="256">
        <v>41.666699999999999</v>
      </c>
      <c r="V694" s="170">
        <f t="shared" si="363"/>
        <v>42.527117355000009</v>
      </c>
      <c r="W694" s="258">
        <v>0.2</v>
      </c>
      <c r="X694" s="257">
        <f t="shared" si="369"/>
        <v>50.000039999999998</v>
      </c>
      <c r="Y694" s="170">
        <f t="shared" si="367"/>
        <v>51.032540826000009</v>
      </c>
      <c r="Z694" s="170">
        <f t="shared" si="370"/>
        <v>52</v>
      </c>
      <c r="AA694" s="407">
        <f t="shared" si="368"/>
        <v>0</v>
      </c>
      <c r="AB694" s="194"/>
    </row>
    <row r="695" spans="1:28" s="278" customFormat="1" x14ac:dyDescent="0.25">
      <c r="A695" s="209">
        <v>717048</v>
      </c>
      <c r="B695" s="387" t="s">
        <v>19416</v>
      </c>
      <c r="C695" s="248"/>
      <c r="D695" s="247" t="s">
        <v>2</v>
      </c>
      <c r="E695" s="249">
        <f t="shared" si="365"/>
        <v>15.3332</v>
      </c>
      <c r="F695" s="170">
        <f t="shared" si="365"/>
        <v>15.64983058</v>
      </c>
      <c r="G695" s="250">
        <v>0.4</v>
      </c>
      <c r="H695" s="171">
        <f t="shared" ref="H695:H758" si="371">G695</f>
        <v>0.4</v>
      </c>
      <c r="I695" s="249">
        <f t="shared" si="366"/>
        <v>15.3332</v>
      </c>
      <c r="J695" s="170">
        <f t="shared" si="366"/>
        <v>15.64983058</v>
      </c>
      <c r="K695" s="250">
        <v>0.4</v>
      </c>
      <c r="L695" s="172">
        <f t="shared" ref="L695:L758" si="372">K695</f>
        <v>0.4</v>
      </c>
      <c r="M695" s="249">
        <f t="shared" ref="M695:M758" si="373">U695*O695</f>
        <v>5.7499499999999992</v>
      </c>
      <c r="N695" s="170">
        <f t="shared" ref="N695:N758" si="374">P695*V695</f>
        <v>5.8686864674999999</v>
      </c>
      <c r="O695" s="250">
        <v>0.15</v>
      </c>
      <c r="P695" s="172">
        <f t="shared" ref="P695:P758" si="375">O695</f>
        <v>0.15</v>
      </c>
      <c r="Q695" s="251">
        <f t="shared" ref="Q695:Q758" si="376">U695*S695</f>
        <v>1.91665</v>
      </c>
      <c r="R695" s="173">
        <f t="shared" ref="R695:R758" si="377">T695*V695</f>
        <v>1.9562288225</v>
      </c>
      <c r="S695" s="250">
        <v>0.05</v>
      </c>
      <c r="T695" s="171">
        <f t="shared" ref="T695:T758" si="378">S695</f>
        <v>0.05</v>
      </c>
      <c r="U695" s="256">
        <v>38.332999999999998</v>
      </c>
      <c r="V695" s="170">
        <f t="shared" ref="V695:V751" si="379">SUM(E695*1.0235,I695*1.0175,M695*1.0245,Q695*1.0115)</f>
        <v>39.124576449999999</v>
      </c>
      <c r="W695" s="258">
        <v>0.2</v>
      </c>
      <c r="X695" s="257">
        <f t="shared" si="369"/>
        <v>45.999600000000001</v>
      </c>
      <c r="Y695" s="170">
        <f t="shared" si="367"/>
        <v>46.949491739999999</v>
      </c>
      <c r="Z695" s="170">
        <f t="shared" si="370"/>
        <v>47</v>
      </c>
      <c r="AA695" s="407">
        <f t="shared" si="368"/>
        <v>0</v>
      </c>
      <c r="AB695" s="194"/>
    </row>
    <row r="696" spans="1:28" s="278" customFormat="1" x14ac:dyDescent="0.25">
      <c r="A696" s="209">
        <v>717054</v>
      </c>
      <c r="B696" s="387" t="s">
        <v>19417</v>
      </c>
      <c r="C696" s="248"/>
      <c r="D696" s="247" t="s">
        <v>2</v>
      </c>
      <c r="E696" s="249">
        <f t="shared" si="365"/>
        <v>17.666679999999999</v>
      </c>
      <c r="F696" s="170">
        <f t="shared" si="365"/>
        <v>18.031496942</v>
      </c>
      <c r="G696" s="250">
        <v>0.4</v>
      </c>
      <c r="H696" s="171">
        <f t="shared" si="371"/>
        <v>0.4</v>
      </c>
      <c r="I696" s="249">
        <f t="shared" si="366"/>
        <v>17.666679999999999</v>
      </c>
      <c r="J696" s="170">
        <f t="shared" si="366"/>
        <v>18.031496942</v>
      </c>
      <c r="K696" s="250">
        <v>0.4</v>
      </c>
      <c r="L696" s="172">
        <f t="shared" si="372"/>
        <v>0.4</v>
      </c>
      <c r="M696" s="249">
        <f t="shared" si="373"/>
        <v>6.6250049999999998</v>
      </c>
      <c r="N696" s="170">
        <f t="shared" si="374"/>
        <v>6.7618113532500006</v>
      </c>
      <c r="O696" s="250">
        <v>0.15</v>
      </c>
      <c r="P696" s="172">
        <f t="shared" si="375"/>
        <v>0.15</v>
      </c>
      <c r="Q696" s="251">
        <f t="shared" si="376"/>
        <v>2.2083349999999999</v>
      </c>
      <c r="R696" s="173">
        <f t="shared" si="377"/>
        <v>2.2539371177500001</v>
      </c>
      <c r="S696" s="250">
        <v>0.05</v>
      </c>
      <c r="T696" s="171">
        <f t="shared" si="378"/>
        <v>0.05</v>
      </c>
      <c r="U696" s="256">
        <v>44.166699999999999</v>
      </c>
      <c r="V696" s="170">
        <f t="shared" si="379"/>
        <v>45.078742355000003</v>
      </c>
      <c r="W696" s="258">
        <v>0.2</v>
      </c>
      <c r="X696" s="257">
        <f t="shared" si="369"/>
        <v>53.000039999999998</v>
      </c>
      <c r="Y696" s="170">
        <f t="shared" si="367"/>
        <v>54.094490826000005</v>
      </c>
      <c r="Z696" s="170">
        <f t="shared" si="370"/>
        <v>55</v>
      </c>
      <c r="AA696" s="407">
        <f t="shared" si="368"/>
        <v>0</v>
      </c>
      <c r="AB696" s="194"/>
    </row>
    <row r="697" spans="1:28" s="278" customFormat="1" x14ac:dyDescent="0.25">
      <c r="A697" s="209">
        <v>717054</v>
      </c>
      <c r="B697" s="387" t="s">
        <v>19418</v>
      </c>
      <c r="C697" s="248"/>
      <c r="D697" s="247" t="s">
        <v>2</v>
      </c>
      <c r="E697" s="249">
        <f t="shared" si="365"/>
        <v>16.666692000000001</v>
      </c>
      <c r="F697" s="170">
        <f t="shared" si="365"/>
        <v>17.010859189800001</v>
      </c>
      <c r="G697" s="250">
        <v>0.4</v>
      </c>
      <c r="H697" s="171">
        <f t="shared" si="371"/>
        <v>0.4</v>
      </c>
      <c r="I697" s="249">
        <f t="shared" si="366"/>
        <v>16.666692000000001</v>
      </c>
      <c r="J697" s="170">
        <f t="shared" si="366"/>
        <v>17.010859189800001</v>
      </c>
      <c r="K697" s="250">
        <v>0.4</v>
      </c>
      <c r="L697" s="172">
        <f t="shared" si="372"/>
        <v>0.4</v>
      </c>
      <c r="M697" s="249">
        <f t="shared" si="373"/>
        <v>6.2500095</v>
      </c>
      <c r="N697" s="170">
        <f t="shared" si="374"/>
        <v>6.3790721961750005</v>
      </c>
      <c r="O697" s="250">
        <v>0.15</v>
      </c>
      <c r="P697" s="172">
        <f t="shared" si="375"/>
        <v>0.15</v>
      </c>
      <c r="Q697" s="251">
        <f t="shared" si="376"/>
        <v>2.0833365000000001</v>
      </c>
      <c r="R697" s="173">
        <f t="shared" si="377"/>
        <v>2.1263573987250002</v>
      </c>
      <c r="S697" s="250">
        <v>0.05</v>
      </c>
      <c r="T697" s="171">
        <f t="shared" si="378"/>
        <v>0.05</v>
      </c>
      <c r="U697" s="256">
        <v>41.666730000000001</v>
      </c>
      <c r="V697" s="170">
        <f t="shared" si="379"/>
        <v>42.527147974500004</v>
      </c>
      <c r="W697" s="258">
        <v>0.2</v>
      </c>
      <c r="X697" s="257">
        <f t="shared" si="369"/>
        <v>50.000076</v>
      </c>
      <c r="Y697" s="170">
        <f t="shared" si="367"/>
        <v>51.032577569400004</v>
      </c>
      <c r="Z697" s="170">
        <f t="shared" si="370"/>
        <v>52</v>
      </c>
      <c r="AA697" s="407">
        <f t="shared" si="368"/>
        <v>0</v>
      </c>
      <c r="AB697" s="194"/>
    </row>
    <row r="698" spans="1:28" s="278" customFormat="1" x14ac:dyDescent="0.25">
      <c r="A698" s="209">
        <v>717060</v>
      </c>
      <c r="B698" s="387" t="s">
        <v>19419</v>
      </c>
      <c r="C698" s="248"/>
      <c r="D698" s="247" t="s">
        <v>2</v>
      </c>
      <c r="E698" s="249">
        <f t="shared" si="365"/>
        <v>21.666640000000001</v>
      </c>
      <c r="F698" s="170">
        <f t="shared" si="365"/>
        <v>22.114056116</v>
      </c>
      <c r="G698" s="250">
        <v>0.4</v>
      </c>
      <c r="H698" s="171">
        <f t="shared" si="371"/>
        <v>0.4</v>
      </c>
      <c r="I698" s="249">
        <f t="shared" si="366"/>
        <v>21.666640000000001</v>
      </c>
      <c r="J698" s="170">
        <f t="shared" si="366"/>
        <v>22.114056116</v>
      </c>
      <c r="K698" s="250">
        <v>0.4</v>
      </c>
      <c r="L698" s="172">
        <f t="shared" si="372"/>
        <v>0.4</v>
      </c>
      <c r="M698" s="249">
        <f t="shared" si="373"/>
        <v>8.1249900000000004</v>
      </c>
      <c r="N698" s="170">
        <f t="shared" si="374"/>
        <v>8.2927710434999984</v>
      </c>
      <c r="O698" s="250">
        <v>0.15</v>
      </c>
      <c r="P698" s="172">
        <f t="shared" si="375"/>
        <v>0.15</v>
      </c>
      <c r="Q698" s="251">
        <f t="shared" si="376"/>
        <v>2.7083300000000001</v>
      </c>
      <c r="R698" s="173">
        <f t="shared" si="377"/>
        <v>2.7642570145000001</v>
      </c>
      <c r="S698" s="250">
        <v>0.05</v>
      </c>
      <c r="T698" s="171">
        <f t="shared" si="378"/>
        <v>0.05</v>
      </c>
      <c r="U698" s="256">
        <v>54.166600000000003</v>
      </c>
      <c r="V698" s="170">
        <f t="shared" si="379"/>
        <v>55.285140289999994</v>
      </c>
      <c r="W698" s="258">
        <v>0.2</v>
      </c>
      <c r="X698" s="257">
        <f t="shared" si="369"/>
        <v>64.999920000000003</v>
      </c>
      <c r="Y698" s="170">
        <f t="shared" si="367"/>
        <v>66.342168347999987</v>
      </c>
      <c r="Z698" s="170">
        <f t="shared" si="370"/>
        <v>67</v>
      </c>
      <c r="AA698" s="407">
        <f t="shared" si="368"/>
        <v>0</v>
      </c>
      <c r="AB698" s="194"/>
    </row>
    <row r="699" spans="1:28" s="278" customFormat="1" x14ac:dyDescent="0.25">
      <c r="A699" s="209">
        <v>717060</v>
      </c>
      <c r="B699" s="387" t="s">
        <v>19420</v>
      </c>
      <c r="C699" s="248"/>
      <c r="D699" s="247" t="s">
        <v>2</v>
      </c>
      <c r="E699" s="249">
        <f t="shared" si="365"/>
        <v>20</v>
      </c>
      <c r="F699" s="170">
        <f t="shared" si="365"/>
        <v>20.413000000000007</v>
      </c>
      <c r="G699" s="250">
        <v>0.4</v>
      </c>
      <c r="H699" s="171">
        <f t="shared" si="371"/>
        <v>0.4</v>
      </c>
      <c r="I699" s="249">
        <f t="shared" si="366"/>
        <v>20</v>
      </c>
      <c r="J699" s="170">
        <f t="shared" si="366"/>
        <v>20.413000000000007</v>
      </c>
      <c r="K699" s="250">
        <v>0.4</v>
      </c>
      <c r="L699" s="172">
        <f t="shared" si="372"/>
        <v>0.4</v>
      </c>
      <c r="M699" s="249">
        <f t="shared" si="373"/>
        <v>7.5</v>
      </c>
      <c r="N699" s="170">
        <f t="shared" si="374"/>
        <v>7.6548750000000014</v>
      </c>
      <c r="O699" s="250">
        <v>0.15</v>
      </c>
      <c r="P699" s="172">
        <f t="shared" si="375"/>
        <v>0.15</v>
      </c>
      <c r="Q699" s="251">
        <f t="shared" si="376"/>
        <v>2.5</v>
      </c>
      <c r="R699" s="173">
        <f t="shared" si="377"/>
        <v>2.5516250000000009</v>
      </c>
      <c r="S699" s="250">
        <v>0.05</v>
      </c>
      <c r="T699" s="171">
        <f t="shared" si="378"/>
        <v>0.05</v>
      </c>
      <c r="U699" s="256">
        <v>50</v>
      </c>
      <c r="V699" s="170">
        <f t="shared" si="379"/>
        <v>51.032500000000013</v>
      </c>
      <c r="W699" s="258">
        <v>0.2</v>
      </c>
      <c r="X699" s="257">
        <f t="shared" si="369"/>
        <v>60</v>
      </c>
      <c r="Y699" s="170">
        <f t="shared" si="367"/>
        <v>61.239000000000011</v>
      </c>
      <c r="Z699" s="170">
        <f t="shared" si="370"/>
        <v>62</v>
      </c>
      <c r="AA699" s="407">
        <f t="shared" si="368"/>
        <v>0</v>
      </c>
      <c r="AB699" s="194"/>
    </row>
    <row r="700" spans="1:28" s="278" customFormat="1" x14ac:dyDescent="0.25">
      <c r="A700" s="209">
        <v>717072</v>
      </c>
      <c r="B700" s="387" t="s">
        <v>19421</v>
      </c>
      <c r="C700" s="248"/>
      <c r="D700" s="247" t="s">
        <v>2</v>
      </c>
      <c r="E700" s="249">
        <f t="shared" si="365"/>
        <v>25</v>
      </c>
      <c r="F700" s="170">
        <f t="shared" si="365"/>
        <v>25.516250000000003</v>
      </c>
      <c r="G700" s="250">
        <v>0.4</v>
      </c>
      <c r="H700" s="171">
        <f t="shared" si="371"/>
        <v>0.4</v>
      </c>
      <c r="I700" s="249">
        <f t="shared" si="366"/>
        <v>25</v>
      </c>
      <c r="J700" s="170">
        <f t="shared" si="366"/>
        <v>25.516250000000003</v>
      </c>
      <c r="K700" s="250">
        <v>0.4</v>
      </c>
      <c r="L700" s="172">
        <f t="shared" si="372"/>
        <v>0.4</v>
      </c>
      <c r="M700" s="249">
        <f t="shared" si="373"/>
        <v>9.375</v>
      </c>
      <c r="N700" s="170">
        <f t="shared" si="374"/>
        <v>9.5685937499999998</v>
      </c>
      <c r="O700" s="250">
        <v>0.15</v>
      </c>
      <c r="P700" s="172">
        <f t="shared" si="375"/>
        <v>0.15</v>
      </c>
      <c r="Q700" s="251">
        <f t="shared" si="376"/>
        <v>3.125</v>
      </c>
      <c r="R700" s="173">
        <f t="shared" si="377"/>
        <v>3.1895312500000004</v>
      </c>
      <c r="S700" s="250">
        <v>0.05</v>
      </c>
      <c r="T700" s="171">
        <f t="shared" si="378"/>
        <v>0.05</v>
      </c>
      <c r="U700" s="256">
        <v>62.5</v>
      </c>
      <c r="V700" s="170">
        <f t="shared" si="379"/>
        <v>63.790625000000006</v>
      </c>
      <c r="W700" s="258">
        <v>0.2</v>
      </c>
      <c r="X700" s="257">
        <f t="shared" si="369"/>
        <v>75</v>
      </c>
      <c r="Y700" s="170">
        <f t="shared" si="367"/>
        <v>76.548749999999998</v>
      </c>
      <c r="Z700" s="170">
        <f t="shared" si="370"/>
        <v>77</v>
      </c>
      <c r="AA700" s="407">
        <f t="shared" si="368"/>
        <v>0</v>
      </c>
      <c r="AB700" s="194"/>
    </row>
    <row r="701" spans="1:28" s="278" customFormat="1" x14ac:dyDescent="0.25">
      <c r="A701" s="209">
        <v>717072</v>
      </c>
      <c r="B701" s="387" t="s">
        <v>19422</v>
      </c>
      <c r="C701" s="248"/>
      <c r="D701" s="247" t="s">
        <v>2</v>
      </c>
      <c r="E701" s="249">
        <f t="shared" si="365"/>
        <v>23.333200000000001</v>
      </c>
      <c r="F701" s="170">
        <f t="shared" si="365"/>
        <v>23.815030580000002</v>
      </c>
      <c r="G701" s="250">
        <v>0.4</v>
      </c>
      <c r="H701" s="171">
        <f t="shared" si="371"/>
        <v>0.4</v>
      </c>
      <c r="I701" s="249">
        <f t="shared" si="366"/>
        <v>23.333200000000001</v>
      </c>
      <c r="J701" s="170">
        <f t="shared" si="366"/>
        <v>23.815030580000002</v>
      </c>
      <c r="K701" s="250">
        <v>0.4</v>
      </c>
      <c r="L701" s="172">
        <f t="shared" si="372"/>
        <v>0.4</v>
      </c>
      <c r="M701" s="249">
        <f t="shared" si="373"/>
        <v>8.7499500000000001</v>
      </c>
      <c r="N701" s="170">
        <f t="shared" si="374"/>
        <v>8.9306364674999994</v>
      </c>
      <c r="O701" s="250">
        <v>0.15</v>
      </c>
      <c r="P701" s="172">
        <f t="shared" si="375"/>
        <v>0.15</v>
      </c>
      <c r="Q701" s="251">
        <f t="shared" si="376"/>
        <v>2.9166500000000002</v>
      </c>
      <c r="R701" s="173">
        <f t="shared" si="377"/>
        <v>2.9768788225000002</v>
      </c>
      <c r="S701" s="250">
        <v>0.05</v>
      </c>
      <c r="T701" s="171">
        <f t="shared" si="378"/>
        <v>0.05</v>
      </c>
      <c r="U701" s="256">
        <v>58.332999999999998</v>
      </c>
      <c r="V701" s="170">
        <f t="shared" si="379"/>
        <v>59.537576450000003</v>
      </c>
      <c r="W701" s="258">
        <v>0.2</v>
      </c>
      <c r="X701" s="257">
        <f t="shared" si="369"/>
        <v>69.999600000000001</v>
      </c>
      <c r="Y701" s="170">
        <f t="shared" si="367"/>
        <v>71.445091739999995</v>
      </c>
      <c r="Z701" s="170">
        <f t="shared" si="370"/>
        <v>72</v>
      </c>
      <c r="AA701" s="407">
        <f t="shared" si="368"/>
        <v>0</v>
      </c>
      <c r="AB701" s="194"/>
    </row>
    <row r="702" spans="1:28" s="278" customFormat="1" x14ac:dyDescent="0.25">
      <c r="A702" s="209">
        <v>717106</v>
      </c>
      <c r="B702" s="387" t="s">
        <v>19423</v>
      </c>
      <c r="C702" s="248"/>
      <c r="D702" s="247" t="s">
        <v>2</v>
      </c>
      <c r="E702" s="249">
        <f t="shared" si="365"/>
        <v>2.91655</v>
      </c>
      <c r="F702" s="170">
        <f t="shared" si="365"/>
        <v>2.9759017925000002</v>
      </c>
      <c r="G702" s="250">
        <v>0.35</v>
      </c>
      <c r="H702" s="171">
        <f t="shared" si="371"/>
        <v>0.35</v>
      </c>
      <c r="I702" s="249">
        <f t="shared" si="366"/>
        <v>3.7498500000000003</v>
      </c>
      <c r="J702" s="170">
        <f t="shared" si="366"/>
        <v>3.8261594475000003</v>
      </c>
      <c r="K702" s="250">
        <v>0.45</v>
      </c>
      <c r="L702" s="172">
        <f t="shared" si="372"/>
        <v>0.45</v>
      </c>
      <c r="M702" s="249">
        <f t="shared" si="373"/>
        <v>1.2499499999999999</v>
      </c>
      <c r="N702" s="170">
        <f t="shared" si="374"/>
        <v>1.2753864825000001</v>
      </c>
      <c r="O702" s="250">
        <v>0.15</v>
      </c>
      <c r="P702" s="172">
        <f t="shared" si="375"/>
        <v>0.15</v>
      </c>
      <c r="Q702" s="251">
        <f t="shared" si="376"/>
        <v>0.41665000000000002</v>
      </c>
      <c r="R702" s="173">
        <f t="shared" si="377"/>
        <v>0.42512882750000003</v>
      </c>
      <c r="S702" s="250">
        <v>0.05</v>
      </c>
      <c r="T702" s="171">
        <f t="shared" si="378"/>
        <v>0.05</v>
      </c>
      <c r="U702" s="256">
        <v>8.3330000000000002</v>
      </c>
      <c r="V702" s="170">
        <f t="shared" si="379"/>
        <v>8.5025765500000006</v>
      </c>
      <c r="W702" s="258">
        <v>0.2</v>
      </c>
      <c r="X702" s="257">
        <f t="shared" si="369"/>
        <v>9.9996000000000009</v>
      </c>
      <c r="Y702" s="170">
        <f t="shared" si="367"/>
        <v>10.203091860000001</v>
      </c>
      <c r="Z702" s="170">
        <f t="shared" si="370"/>
        <v>11</v>
      </c>
      <c r="AA702" s="407">
        <f t="shared" si="368"/>
        <v>0</v>
      </c>
      <c r="AB702" s="194"/>
    </row>
    <row r="703" spans="1:28" s="278" customFormat="1" x14ac:dyDescent="0.25">
      <c r="A703" s="209">
        <v>717106</v>
      </c>
      <c r="B703" s="387" t="s">
        <v>19424</v>
      </c>
      <c r="C703" s="248"/>
      <c r="D703" s="247" t="s">
        <v>2</v>
      </c>
      <c r="E703" s="249">
        <f t="shared" si="365"/>
        <v>2.04155</v>
      </c>
      <c r="F703" s="170">
        <f t="shared" si="365"/>
        <v>2.0830955425000006</v>
      </c>
      <c r="G703" s="250">
        <v>0.35</v>
      </c>
      <c r="H703" s="171">
        <f t="shared" si="371"/>
        <v>0.35</v>
      </c>
      <c r="I703" s="249">
        <f t="shared" si="366"/>
        <v>2.6248500000000003</v>
      </c>
      <c r="J703" s="170">
        <f t="shared" si="366"/>
        <v>2.678265697500001</v>
      </c>
      <c r="K703" s="250">
        <v>0.45</v>
      </c>
      <c r="L703" s="172">
        <f t="shared" si="372"/>
        <v>0.45</v>
      </c>
      <c r="M703" s="249">
        <f t="shared" si="373"/>
        <v>0.87495000000000001</v>
      </c>
      <c r="N703" s="170">
        <f t="shared" si="374"/>
        <v>0.89275523250000022</v>
      </c>
      <c r="O703" s="250">
        <v>0.15</v>
      </c>
      <c r="P703" s="172">
        <f t="shared" si="375"/>
        <v>0.15</v>
      </c>
      <c r="Q703" s="251">
        <f t="shared" si="376"/>
        <v>0.29165000000000002</v>
      </c>
      <c r="R703" s="173">
        <f t="shared" si="377"/>
        <v>0.29758507750000013</v>
      </c>
      <c r="S703" s="250">
        <v>0.05</v>
      </c>
      <c r="T703" s="171">
        <f t="shared" si="378"/>
        <v>0.05</v>
      </c>
      <c r="U703" s="256">
        <v>5.8330000000000002</v>
      </c>
      <c r="V703" s="170">
        <f t="shared" si="379"/>
        <v>5.9517015500000019</v>
      </c>
      <c r="W703" s="258">
        <v>0.2</v>
      </c>
      <c r="X703" s="257">
        <f t="shared" si="369"/>
        <v>6.9996</v>
      </c>
      <c r="Y703" s="170">
        <f t="shared" si="367"/>
        <v>7.1420418600000017</v>
      </c>
      <c r="Z703" s="170">
        <f t="shared" si="370"/>
        <v>8</v>
      </c>
      <c r="AA703" s="407">
        <f t="shared" si="368"/>
        <v>0</v>
      </c>
      <c r="AB703" s="194"/>
    </row>
    <row r="704" spans="1:28" s="278" customFormat="1" x14ac:dyDescent="0.25">
      <c r="A704" s="209">
        <v>717108</v>
      </c>
      <c r="B704" s="387" t="s">
        <v>19425</v>
      </c>
      <c r="C704" s="248"/>
      <c r="D704" s="247" t="s">
        <v>2</v>
      </c>
      <c r="E704" s="249">
        <f t="shared" si="365"/>
        <v>3.5</v>
      </c>
      <c r="F704" s="170">
        <f t="shared" si="365"/>
        <v>3.5712250000000005</v>
      </c>
      <c r="G704" s="250">
        <v>0.35</v>
      </c>
      <c r="H704" s="171">
        <f t="shared" si="371"/>
        <v>0.35</v>
      </c>
      <c r="I704" s="249">
        <f t="shared" si="366"/>
        <v>4.5</v>
      </c>
      <c r="J704" s="170">
        <f t="shared" si="366"/>
        <v>4.5915750000000006</v>
      </c>
      <c r="K704" s="250">
        <v>0.45</v>
      </c>
      <c r="L704" s="172">
        <f t="shared" si="372"/>
        <v>0.45</v>
      </c>
      <c r="M704" s="249">
        <f t="shared" si="373"/>
        <v>1.5</v>
      </c>
      <c r="N704" s="170">
        <f t="shared" si="374"/>
        <v>1.5305250000000001</v>
      </c>
      <c r="O704" s="250">
        <v>0.15</v>
      </c>
      <c r="P704" s="172">
        <f t="shared" si="375"/>
        <v>0.15</v>
      </c>
      <c r="Q704" s="251">
        <f t="shared" si="376"/>
        <v>0.5</v>
      </c>
      <c r="R704" s="173">
        <f t="shared" si="377"/>
        <v>0.51017500000000016</v>
      </c>
      <c r="S704" s="250">
        <v>0.05</v>
      </c>
      <c r="T704" s="171">
        <f t="shared" si="378"/>
        <v>0.05</v>
      </c>
      <c r="U704" s="256">
        <v>10</v>
      </c>
      <c r="V704" s="170">
        <f t="shared" si="379"/>
        <v>10.203500000000002</v>
      </c>
      <c r="W704" s="258">
        <v>0.2</v>
      </c>
      <c r="X704" s="257">
        <f t="shared" si="369"/>
        <v>12</v>
      </c>
      <c r="Y704" s="170">
        <f t="shared" si="367"/>
        <v>12.244200000000001</v>
      </c>
      <c r="Z704" s="170">
        <f t="shared" si="370"/>
        <v>13</v>
      </c>
      <c r="AA704" s="407">
        <f t="shared" si="368"/>
        <v>0</v>
      </c>
      <c r="AB704" s="194"/>
    </row>
    <row r="705" spans="1:28" s="278" customFormat="1" x14ac:dyDescent="0.25">
      <c r="A705" s="209">
        <v>717108</v>
      </c>
      <c r="B705" s="387" t="s">
        <v>19426</v>
      </c>
      <c r="C705" s="248"/>
      <c r="D705" s="247" t="s">
        <v>2</v>
      </c>
      <c r="E705" s="249">
        <f t="shared" si="365"/>
        <v>2.625</v>
      </c>
      <c r="F705" s="170">
        <f t="shared" si="365"/>
        <v>2.6784187500000005</v>
      </c>
      <c r="G705" s="250">
        <v>0.35</v>
      </c>
      <c r="H705" s="171">
        <f t="shared" si="371"/>
        <v>0.35</v>
      </c>
      <c r="I705" s="249">
        <f t="shared" si="366"/>
        <v>3.375</v>
      </c>
      <c r="J705" s="170">
        <f t="shared" si="366"/>
        <v>3.4436812500000005</v>
      </c>
      <c r="K705" s="250">
        <v>0.45</v>
      </c>
      <c r="L705" s="172">
        <f t="shared" si="372"/>
        <v>0.45</v>
      </c>
      <c r="M705" s="249">
        <f t="shared" si="373"/>
        <v>1.125</v>
      </c>
      <c r="N705" s="170">
        <f t="shared" si="374"/>
        <v>1.1478937500000002</v>
      </c>
      <c r="O705" s="250">
        <v>0.15</v>
      </c>
      <c r="P705" s="172">
        <f t="shared" si="375"/>
        <v>0.15</v>
      </c>
      <c r="Q705" s="251">
        <f t="shared" si="376"/>
        <v>0.375</v>
      </c>
      <c r="R705" s="173">
        <f t="shared" si="377"/>
        <v>0.38263125000000009</v>
      </c>
      <c r="S705" s="250">
        <v>0.05</v>
      </c>
      <c r="T705" s="171">
        <f t="shared" si="378"/>
        <v>0.05</v>
      </c>
      <c r="U705" s="256">
        <v>7.5</v>
      </c>
      <c r="V705" s="170">
        <f t="shared" si="379"/>
        <v>7.6526250000000013</v>
      </c>
      <c r="W705" s="258">
        <v>0.2</v>
      </c>
      <c r="X705" s="257">
        <f t="shared" si="369"/>
        <v>9</v>
      </c>
      <c r="Y705" s="170">
        <f t="shared" si="367"/>
        <v>9.1831500000000013</v>
      </c>
      <c r="Z705" s="170">
        <f t="shared" si="370"/>
        <v>10</v>
      </c>
      <c r="AA705" s="407">
        <f t="shared" si="368"/>
        <v>0</v>
      </c>
      <c r="AB705" s="194"/>
    </row>
    <row r="706" spans="1:28" s="278" customFormat="1" x14ac:dyDescent="0.25">
      <c r="A706" s="209">
        <v>717110</v>
      </c>
      <c r="B706" s="387" t="s">
        <v>19427</v>
      </c>
      <c r="C706" s="248"/>
      <c r="D706" s="247" t="s">
        <v>2</v>
      </c>
      <c r="E706" s="249">
        <f t="shared" si="365"/>
        <v>4.375</v>
      </c>
      <c r="F706" s="170">
        <f t="shared" si="365"/>
        <v>4.4640312500000006</v>
      </c>
      <c r="G706" s="250">
        <v>0.35</v>
      </c>
      <c r="H706" s="171">
        <f t="shared" si="371"/>
        <v>0.35</v>
      </c>
      <c r="I706" s="249">
        <f t="shared" si="366"/>
        <v>5.625</v>
      </c>
      <c r="J706" s="170">
        <f t="shared" si="366"/>
        <v>5.7394687500000012</v>
      </c>
      <c r="K706" s="250">
        <v>0.45</v>
      </c>
      <c r="L706" s="172">
        <f t="shared" si="372"/>
        <v>0.45</v>
      </c>
      <c r="M706" s="249">
        <f t="shared" si="373"/>
        <v>1.875</v>
      </c>
      <c r="N706" s="170">
        <f t="shared" si="374"/>
        <v>1.9131562500000003</v>
      </c>
      <c r="O706" s="250">
        <v>0.15</v>
      </c>
      <c r="P706" s="172">
        <f t="shared" si="375"/>
        <v>0.15</v>
      </c>
      <c r="Q706" s="251">
        <f t="shared" si="376"/>
        <v>0.625</v>
      </c>
      <c r="R706" s="173">
        <f t="shared" si="377"/>
        <v>0.63771875000000022</v>
      </c>
      <c r="S706" s="250">
        <v>0.05</v>
      </c>
      <c r="T706" s="171">
        <f t="shared" si="378"/>
        <v>0.05</v>
      </c>
      <c r="U706" s="256">
        <v>12.5</v>
      </c>
      <c r="V706" s="170">
        <f t="shared" si="379"/>
        <v>12.754375000000003</v>
      </c>
      <c r="W706" s="258">
        <v>0.2</v>
      </c>
      <c r="X706" s="257">
        <f t="shared" si="369"/>
        <v>15</v>
      </c>
      <c r="Y706" s="170">
        <f t="shared" si="367"/>
        <v>15.305250000000003</v>
      </c>
      <c r="Z706" s="170">
        <f t="shared" si="370"/>
        <v>16</v>
      </c>
      <c r="AA706" s="407">
        <f t="shared" si="368"/>
        <v>0</v>
      </c>
      <c r="AB706" s="194"/>
    </row>
    <row r="707" spans="1:28" s="278" customFormat="1" x14ac:dyDescent="0.25">
      <c r="A707" s="209">
        <v>717110</v>
      </c>
      <c r="B707" s="387" t="s">
        <v>19428</v>
      </c>
      <c r="C707" s="248"/>
      <c r="D707" s="247" t="s">
        <v>2</v>
      </c>
      <c r="E707" s="249">
        <f t="shared" si="365"/>
        <v>2.9166549999999996</v>
      </c>
      <c r="F707" s="170">
        <f t="shared" si="365"/>
        <v>2.9760089292499994</v>
      </c>
      <c r="G707" s="250">
        <v>0.35</v>
      </c>
      <c r="H707" s="171">
        <f t="shared" si="371"/>
        <v>0.35</v>
      </c>
      <c r="I707" s="249">
        <f t="shared" si="366"/>
        <v>3.7499849999999997</v>
      </c>
      <c r="J707" s="170">
        <f t="shared" si="366"/>
        <v>3.8262971947499995</v>
      </c>
      <c r="K707" s="250">
        <v>0.45</v>
      </c>
      <c r="L707" s="172">
        <f t="shared" si="372"/>
        <v>0.45</v>
      </c>
      <c r="M707" s="249">
        <f t="shared" si="373"/>
        <v>1.249995</v>
      </c>
      <c r="N707" s="170">
        <f t="shared" si="374"/>
        <v>1.2754323982499998</v>
      </c>
      <c r="O707" s="250">
        <v>0.15</v>
      </c>
      <c r="P707" s="172">
        <f t="shared" si="375"/>
        <v>0.15</v>
      </c>
      <c r="Q707" s="251">
        <f t="shared" si="376"/>
        <v>0.41666500000000001</v>
      </c>
      <c r="R707" s="173">
        <f t="shared" si="377"/>
        <v>0.42514413274999996</v>
      </c>
      <c r="S707" s="250">
        <v>0.05</v>
      </c>
      <c r="T707" s="171">
        <f t="shared" si="378"/>
        <v>0.05</v>
      </c>
      <c r="U707" s="256">
        <v>8.3332999999999995</v>
      </c>
      <c r="V707" s="170">
        <f t="shared" si="379"/>
        <v>8.5028826549999987</v>
      </c>
      <c r="W707" s="258">
        <v>0.2</v>
      </c>
      <c r="X707" s="257">
        <f t="shared" si="369"/>
        <v>9.9999599999999997</v>
      </c>
      <c r="Y707" s="170">
        <f t="shared" si="367"/>
        <v>10.203459185999998</v>
      </c>
      <c r="Z707" s="170">
        <f t="shared" si="370"/>
        <v>11</v>
      </c>
      <c r="AA707" s="407">
        <f t="shared" si="368"/>
        <v>0</v>
      </c>
      <c r="AB707" s="194"/>
    </row>
    <row r="708" spans="1:28" s="278" customFormat="1" x14ac:dyDescent="0.25">
      <c r="A708" s="209">
        <v>717112</v>
      </c>
      <c r="B708" s="387" t="s">
        <v>19429</v>
      </c>
      <c r="C708" s="248"/>
      <c r="D708" s="247" t="s">
        <v>2</v>
      </c>
      <c r="E708" s="249">
        <f t="shared" si="365"/>
        <v>6.4165499999999991</v>
      </c>
      <c r="F708" s="170">
        <f t="shared" si="365"/>
        <v>6.5471267925000003</v>
      </c>
      <c r="G708" s="250">
        <v>0.35</v>
      </c>
      <c r="H708" s="171">
        <f t="shared" si="371"/>
        <v>0.35</v>
      </c>
      <c r="I708" s="249">
        <f t="shared" si="366"/>
        <v>8.2498500000000003</v>
      </c>
      <c r="J708" s="170">
        <f t="shared" si="366"/>
        <v>8.4177344475000009</v>
      </c>
      <c r="K708" s="250">
        <v>0.45</v>
      </c>
      <c r="L708" s="172">
        <f t="shared" si="372"/>
        <v>0.45</v>
      </c>
      <c r="M708" s="249">
        <f t="shared" si="373"/>
        <v>2.7499499999999997</v>
      </c>
      <c r="N708" s="170">
        <f t="shared" si="374"/>
        <v>2.8059114825000004</v>
      </c>
      <c r="O708" s="250">
        <v>0.15</v>
      </c>
      <c r="P708" s="172">
        <f t="shared" si="375"/>
        <v>0.15</v>
      </c>
      <c r="Q708" s="251">
        <f t="shared" si="376"/>
        <v>0.91664999999999996</v>
      </c>
      <c r="R708" s="173">
        <f t="shared" si="377"/>
        <v>0.93530382750000018</v>
      </c>
      <c r="S708" s="250">
        <v>0.05</v>
      </c>
      <c r="T708" s="171">
        <f t="shared" si="378"/>
        <v>0.05</v>
      </c>
      <c r="U708" s="256">
        <v>18.332999999999998</v>
      </c>
      <c r="V708" s="170">
        <f t="shared" si="379"/>
        <v>18.706076550000002</v>
      </c>
      <c r="W708" s="258">
        <v>0.2</v>
      </c>
      <c r="X708" s="257">
        <f t="shared" si="369"/>
        <v>21.999599999999997</v>
      </c>
      <c r="Y708" s="170">
        <f t="shared" si="367"/>
        <v>22.447291860000004</v>
      </c>
      <c r="Z708" s="170">
        <f t="shared" si="370"/>
        <v>23</v>
      </c>
      <c r="AA708" s="407">
        <f t="shared" si="368"/>
        <v>0</v>
      </c>
      <c r="AB708" s="194"/>
    </row>
    <row r="709" spans="1:28" s="278" customFormat="1" x14ac:dyDescent="0.25">
      <c r="A709" s="209">
        <v>717112</v>
      </c>
      <c r="B709" s="387" t="s">
        <v>19430</v>
      </c>
      <c r="C709" s="248"/>
      <c r="D709" s="247" t="s">
        <v>2</v>
      </c>
      <c r="E709" s="249">
        <f t="shared" si="365"/>
        <v>3.2083344999999999</v>
      </c>
      <c r="F709" s="170">
        <f t="shared" si="365"/>
        <v>3.2736241070749998</v>
      </c>
      <c r="G709" s="250">
        <v>0.35</v>
      </c>
      <c r="H709" s="171">
        <f t="shared" si="371"/>
        <v>0.35</v>
      </c>
      <c r="I709" s="249">
        <f t="shared" si="366"/>
        <v>4.1250014999999998</v>
      </c>
      <c r="J709" s="170">
        <f t="shared" si="366"/>
        <v>4.2089452805250005</v>
      </c>
      <c r="K709" s="250">
        <v>0.45</v>
      </c>
      <c r="L709" s="172">
        <f t="shared" si="372"/>
        <v>0.45</v>
      </c>
      <c r="M709" s="249">
        <f t="shared" si="373"/>
        <v>1.3750004999999998</v>
      </c>
      <c r="N709" s="170">
        <f t="shared" si="374"/>
        <v>1.4029817601750001</v>
      </c>
      <c r="O709" s="250">
        <v>0.15</v>
      </c>
      <c r="P709" s="172">
        <f t="shared" si="375"/>
        <v>0.15</v>
      </c>
      <c r="Q709" s="251">
        <f t="shared" si="376"/>
        <v>0.4583335</v>
      </c>
      <c r="R709" s="173">
        <f t="shared" si="377"/>
        <v>0.46766058672500005</v>
      </c>
      <c r="S709" s="250">
        <v>0.05</v>
      </c>
      <c r="T709" s="171">
        <f t="shared" si="378"/>
        <v>0.05</v>
      </c>
      <c r="U709" s="256">
        <v>9.1666699999999999</v>
      </c>
      <c r="V709" s="170">
        <f t="shared" si="379"/>
        <v>9.3532117345000003</v>
      </c>
      <c r="W709" s="258">
        <v>0.2</v>
      </c>
      <c r="X709" s="257">
        <f t="shared" si="369"/>
        <v>11.000004000000001</v>
      </c>
      <c r="Y709" s="170">
        <f t="shared" si="367"/>
        <v>11.223854081400001</v>
      </c>
      <c r="Z709" s="170">
        <f t="shared" si="370"/>
        <v>12</v>
      </c>
      <c r="AA709" s="407">
        <f t="shared" si="368"/>
        <v>0</v>
      </c>
      <c r="AB709" s="194"/>
    </row>
    <row r="710" spans="1:28" s="278" customFormat="1" x14ac:dyDescent="0.25">
      <c r="A710" s="209">
        <v>717115</v>
      </c>
      <c r="B710" s="387" t="s">
        <v>19431</v>
      </c>
      <c r="C710" s="248"/>
      <c r="D710" s="247" t="s">
        <v>2</v>
      </c>
      <c r="E710" s="249">
        <f t="shared" si="365"/>
        <v>7.2916549999999996</v>
      </c>
      <c r="F710" s="170">
        <f t="shared" si="365"/>
        <v>7.4400401792500004</v>
      </c>
      <c r="G710" s="250">
        <v>0.35</v>
      </c>
      <c r="H710" s="171">
        <f t="shared" si="371"/>
        <v>0.35</v>
      </c>
      <c r="I710" s="249">
        <f t="shared" si="366"/>
        <v>9.3749850000000006</v>
      </c>
      <c r="J710" s="170">
        <f t="shared" si="366"/>
        <v>9.5657659447500016</v>
      </c>
      <c r="K710" s="250">
        <v>0.45</v>
      </c>
      <c r="L710" s="172">
        <f t="shared" si="372"/>
        <v>0.45</v>
      </c>
      <c r="M710" s="249">
        <f t="shared" si="373"/>
        <v>3.1249950000000002</v>
      </c>
      <c r="N710" s="170">
        <f t="shared" si="374"/>
        <v>3.1885886482500005</v>
      </c>
      <c r="O710" s="250">
        <v>0.15</v>
      </c>
      <c r="P710" s="172">
        <f t="shared" si="375"/>
        <v>0.15</v>
      </c>
      <c r="Q710" s="251">
        <f t="shared" si="376"/>
        <v>1.0416650000000001</v>
      </c>
      <c r="R710" s="173">
        <f t="shared" si="377"/>
        <v>1.0628628827500002</v>
      </c>
      <c r="S710" s="250">
        <v>0.05</v>
      </c>
      <c r="T710" s="171">
        <f t="shared" si="378"/>
        <v>0.05</v>
      </c>
      <c r="U710" s="256">
        <v>20.833300000000001</v>
      </c>
      <c r="V710" s="170">
        <f t="shared" si="379"/>
        <v>21.257257655000004</v>
      </c>
      <c r="W710" s="258">
        <v>0.2</v>
      </c>
      <c r="X710" s="257">
        <f t="shared" si="369"/>
        <v>24.999960000000002</v>
      </c>
      <c r="Y710" s="170">
        <f t="shared" si="367"/>
        <v>25.508709186000004</v>
      </c>
      <c r="Z710" s="170">
        <f t="shared" si="370"/>
        <v>26</v>
      </c>
      <c r="AA710" s="407">
        <f t="shared" si="368"/>
        <v>0</v>
      </c>
      <c r="AB710" s="194"/>
    </row>
    <row r="711" spans="1:28" s="278" customFormat="1" x14ac:dyDescent="0.25">
      <c r="A711" s="200">
        <v>717115</v>
      </c>
      <c r="B711" s="313" t="s">
        <v>19432</v>
      </c>
      <c r="C711" s="248"/>
      <c r="D711" s="247" t="s">
        <v>2</v>
      </c>
      <c r="E711" s="249">
        <f t="shared" si="365"/>
        <v>3.5</v>
      </c>
      <c r="F711" s="170">
        <f t="shared" si="365"/>
        <v>3.5712250000000005</v>
      </c>
      <c r="G711" s="250">
        <v>0.35</v>
      </c>
      <c r="H711" s="171">
        <f t="shared" si="371"/>
        <v>0.35</v>
      </c>
      <c r="I711" s="249">
        <f t="shared" si="366"/>
        <v>4.5</v>
      </c>
      <c r="J711" s="170">
        <f t="shared" si="366"/>
        <v>4.5915750000000006</v>
      </c>
      <c r="K711" s="250">
        <v>0.45</v>
      </c>
      <c r="L711" s="172">
        <f t="shared" si="372"/>
        <v>0.45</v>
      </c>
      <c r="M711" s="249">
        <f t="shared" si="373"/>
        <v>1.5</v>
      </c>
      <c r="N711" s="170">
        <f t="shared" si="374"/>
        <v>1.5305250000000001</v>
      </c>
      <c r="O711" s="250">
        <v>0.15</v>
      </c>
      <c r="P711" s="172">
        <f t="shared" si="375"/>
        <v>0.15</v>
      </c>
      <c r="Q711" s="251">
        <f t="shared" si="376"/>
        <v>0.5</v>
      </c>
      <c r="R711" s="173">
        <f t="shared" si="377"/>
        <v>0.51017500000000016</v>
      </c>
      <c r="S711" s="250">
        <v>0.05</v>
      </c>
      <c r="T711" s="171">
        <f t="shared" si="378"/>
        <v>0.05</v>
      </c>
      <c r="U711" s="256">
        <v>10</v>
      </c>
      <c r="V711" s="170">
        <f t="shared" si="379"/>
        <v>10.203500000000002</v>
      </c>
      <c r="W711" s="258">
        <v>0.2</v>
      </c>
      <c r="X711" s="257">
        <f t="shared" si="369"/>
        <v>12</v>
      </c>
      <c r="Y711" s="170">
        <f t="shared" si="367"/>
        <v>12.244200000000001</v>
      </c>
      <c r="Z711" s="170">
        <f t="shared" si="370"/>
        <v>13</v>
      </c>
      <c r="AA711" s="407">
        <f t="shared" si="368"/>
        <v>0</v>
      </c>
      <c r="AB711" s="194"/>
    </row>
    <row r="712" spans="1:28" s="278" customFormat="1" x14ac:dyDescent="0.25">
      <c r="A712" s="200">
        <v>717118</v>
      </c>
      <c r="B712" s="313" t="s">
        <v>19433</v>
      </c>
      <c r="C712" s="248"/>
      <c r="D712" s="247" t="s">
        <v>2</v>
      </c>
      <c r="E712" s="249">
        <f t="shared" si="365"/>
        <v>7.8749999999999991</v>
      </c>
      <c r="F712" s="170">
        <f t="shared" si="365"/>
        <v>8.035256249999998</v>
      </c>
      <c r="G712" s="250">
        <v>0.35</v>
      </c>
      <c r="H712" s="171">
        <f t="shared" si="371"/>
        <v>0.35</v>
      </c>
      <c r="I712" s="249">
        <f t="shared" si="366"/>
        <v>10.125</v>
      </c>
      <c r="J712" s="170">
        <f t="shared" si="366"/>
        <v>10.331043749999999</v>
      </c>
      <c r="K712" s="250">
        <v>0.45</v>
      </c>
      <c r="L712" s="172">
        <f t="shared" si="372"/>
        <v>0.45</v>
      </c>
      <c r="M712" s="249">
        <f t="shared" si="373"/>
        <v>3.375</v>
      </c>
      <c r="N712" s="170">
        <f t="shared" si="374"/>
        <v>3.4436812499999996</v>
      </c>
      <c r="O712" s="250">
        <v>0.15</v>
      </c>
      <c r="P712" s="172">
        <f t="shared" si="375"/>
        <v>0.15</v>
      </c>
      <c r="Q712" s="251">
        <f t="shared" si="376"/>
        <v>1.125</v>
      </c>
      <c r="R712" s="173">
        <f t="shared" si="377"/>
        <v>1.1478937499999999</v>
      </c>
      <c r="S712" s="250">
        <v>0.05</v>
      </c>
      <c r="T712" s="171">
        <f t="shared" si="378"/>
        <v>0.05</v>
      </c>
      <c r="U712" s="256">
        <v>22.5</v>
      </c>
      <c r="V712" s="170">
        <f t="shared" si="379"/>
        <v>22.957874999999998</v>
      </c>
      <c r="W712" s="258">
        <v>0.2</v>
      </c>
      <c r="X712" s="257">
        <f t="shared" si="369"/>
        <v>27</v>
      </c>
      <c r="Y712" s="170">
        <f t="shared" si="367"/>
        <v>27.549449999999997</v>
      </c>
      <c r="Z712" s="170">
        <f t="shared" si="370"/>
        <v>28</v>
      </c>
      <c r="AA712" s="407">
        <f t="shared" si="368"/>
        <v>0</v>
      </c>
      <c r="AB712" s="194"/>
    </row>
    <row r="713" spans="1:28" s="278" customFormat="1" x14ac:dyDescent="0.25">
      <c r="A713" s="209">
        <v>717118</v>
      </c>
      <c r="B713" s="387" t="s">
        <v>19434</v>
      </c>
      <c r="C713" s="248"/>
      <c r="D713" s="247" t="s">
        <v>2</v>
      </c>
      <c r="E713" s="249">
        <f t="shared" si="365"/>
        <v>3.7916549999999996</v>
      </c>
      <c r="F713" s="170">
        <f t="shared" si="365"/>
        <v>3.868815179249999</v>
      </c>
      <c r="G713" s="250">
        <v>0.35</v>
      </c>
      <c r="H713" s="171">
        <f t="shared" si="371"/>
        <v>0.35</v>
      </c>
      <c r="I713" s="249">
        <f t="shared" si="366"/>
        <v>4.8749849999999997</v>
      </c>
      <c r="J713" s="170">
        <f t="shared" si="366"/>
        <v>4.9741909447499992</v>
      </c>
      <c r="K713" s="250">
        <v>0.45</v>
      </c>
      <c r="L713" s="172">
        <f t="shared" si="372"/>
        <v>0.45</v>
      </c>
      <c r="M713" s="249">
        <f t="shared" si="373"/>
        <v>1.624995</v>
      </c>
      <c r="N713" s="170">
        <f t="shared" si="374"/>
        <v>1.6580636482499997</v>
      </c>
      <c r="O713" s="250">
        <v>0.15</v>
      </c>
      <c r="P713" s="172">
        <f t="shared" si="375"/>
        <v>0.15</v>
      </c>
      <c r="Q713" s="251">
        <f t="shared" si="376"/>
        <v>0.54166499999999995</v>
      </c>
      <c r="R713" s="173">
        <f t="shared" si="377"/>
        <v>0.55268788274999991</v>
      </c>
      <c r="S713" s="250">
        <v>0.05</v>
      </c>
      <c r="T713" s="171">
        <f t="shared" si="378"/>
        <v>0.05</v>
      </c>
      <c r="U713" s="256">
        <v>10.833299999999999</v>
      </c>
      <c r="V713" s="170">
        <f t="shared" si="379"/>
        <v>11.053757654999998</v>
      </c>
      <c r="W713" s="258">
        <v>0.2</v>
      </c>
      <c r="X713" s="257">
        <f t="shared" si="369"/>
        <v>12.99996</v>
      </c>
      <c r="Y713" s="170">
        <f t="shared" si="367"/>
        <v>13.264509185999998</v>
      </c>
      <c r="Z713" s="170">
        <f t="shared" si="370"/>
        <v>14</v>
      </c>
      <c r="AA713" s="407">
        <f t="shared" si="368"/>
        <v>0</v>
      </c>
      <c r="AB713" s="194"/>
    </row>
    <row r="714" spans="1:28" s="278" customFormat="1" x14ac:dyDescent="0.25">
      <c r="A714" s="209">
        <v>717124</v>
      </c>
      <c r="B714" s="387" t="s">
        <v>19435</v>
      </c>
      <c r="C714" s="248"/>
      <c r="D714" s="247" t="s">
        <v>2</v>
      </c>
      <c r="E714" s="249">
        <f t="shared" si="365"/>
        <v>8.4583449999999996</v>
      </c>
      <c r="F714" s="170">
        <f t="shared" si="365"/>
        <v>8.6304723207499983</v>
      </c>
      <c r="G714" s="250">
        <v>0.35</v>
      </c>
      <c r="H714" s="171">
        <f t="shared" si="371"/>
        <v>0.35</v>
      </c>
      <c r="I714" s="249">
        <f t="shared" si="366"/>
        <v>10.875014999999999</v>
      </c>
      <c r="J714" s="170">
        <f t="shared" si="366"/>
        <v>11.09632155525</v>
      </c>
      <c r="K714" s="250">
        <v>0.45</v>
      </c>
      <c r="L714" s="172">
        <f t="shared" si="372"/>
        <v>0.45</v>
      </c>
      <c r="M714" s="249">
        <f t="shared" si="373"/>
        <v>3.6250049999999998</v>
      </c>
      <c r="N714" s="170">
        <f t="shared" si="374"/>
        <v>3.6987738517499995</v>
      </c>
      <c r="O714" s="250">
        <v>0.15</v>
      </c>
      <c r="P714" s="172">
        <f t="shared" si="375"/>
        <v>0.15</v>
      </c>
      <c r="Q714" s="251">
        <f t="shared" si="376"/>
        <v>1.2083349999999999</v>
      </c>
      <c r="R714" s="173">
        <f t="shared" si="377"/>
        <v>1.2329246172500001</v>
      </c>
      <c r="S714" s="250">
        <v>0.05</v>
      </c>
      <c r="T714" s="171">
        <f t="shared" si="378"/>
        <v>0.05</v>
      </c>
      <c r="U714" s="256">
        <v>24.166699999999999</v>
      </c>
      <c r="V714" s="170">
        <f t="shared" si="379"/>
        <v>24.658492344999999</v>
      </c>
      <c r="W714" s="258">
        <v>0.2</v>
      </c>
      <c r="X714" s="257">
        <f t="shared" si="369"/>
        <v>29.000039999999998</v>
      </c>
      <c r="Y714" s="170">
        <f t="shared" si="367"/>
        <v>29.590190813999996</v>
      </c>
      <c r="Z714" s="170">
        <f t="shared" si="370"/>
        <v>30</v>
      </c>
      <c r="AA714" s="407">
        <f t="shared" si="368"/>
        <v>0</v>
      </c>
      <c r="AB714" s="194"/>
    </row>
    <row r="715" spans="1:28" s="278" customFormat="1" x14ac:dyDescent="0.25">
      <c r="A715" s="209">
        <v>717124</v>
      </c>
      <c r="B715" s="387" t="s">
        <v>19436</v>
      </c>
      <c r="C715" s="248"/>
      <c r="D715" s="247" t="s">
        <v>2</v>
      </c>
      <c r="E715" s="249">
        <f t="shared" si="365"/>
        <v>4.0833449999999996</v>
      </c>
      <c r="F715" s="170">
        <f t="shared" si="365"/>
        <v>4.1664410707500004</v>
      </c>
      <c r="G715" s="250">
        <v>0.35</v>
      </c>
      <c r="H715" s="171">
        <f t="shared" si="371"/>
        <v>0.35</v>
      </c>
      <c r="I715" s="249">
        <f t="shared" si="366"/>
        <v>5.2500150000000003</v>
      </c>
      <c r="J715" s="170">
        <f t="shared" si="366"/>
        <v>5.3568528052500008</v>
      </c>
      <c r="K715" s="250">
        <v>0.45</v>
      </c>
      <c r="L715" s="172">
        <f t="shared" si="372"/>
        <v>0.45</v>
      </c>
      <c r="M715" s="249">
        <f t="shared" si="373"/>
        <v>1.750005</v>
      </c>
      <c r="N715" s="170">
        <f t="shared" si="374"/>
        <v>1.7856176017500001</v>
      </c>
      <c r="O715" s="250">
        <v>0.15</v>
      </c>
      <c r="P715" s="172">
        <f t="shared" si="375"/>
        <v>0.15</v>
      </c>
      <c r="Q715" s="251">
        <f t="shared" si="376"/>
        <v>0.58333500000000005</v>
      </c>
      <c r="R715" s="173">
        <f t="shared" si="377"/>
        <v>0.59520586725000013</v>
      </c>
      <c r="S715" s="250">
        <v>0.05</v>
      </c>
      <c r="T715" s="171">
        <f t="shared" si="378"/>
        <v>0.05</v>
      </c>
      <c r="U715" s="256">
        <v>11.666700000000001</v>
      </c>
      <c r="V715" s="170">
        <f t="shared" si="379"/>
        <v>11.904117345000001</v>
      </c>
      <c r="W715" s="258">
        <v>0.2</v>
      </c>
      <c r="X715" s="257">
        <f t="shared" si="369"/>
        <v>14.00004</v>
      </c>
      <c r="Y715" s="170">
        <f t="shared" si="367"/>
        <v>14.284940814</v>
      </c>
      <c r="Z715" s="170">
        <f t="shared" si="370"/>
        <v>15</v>
      </c>
      <c r="AA715" s="407">
        <f t="shared" si="368"/>
        <v>0</v>
      </c>
      <c r="AB715" s="194"/>
    </row>
    <row r="716" spans="1:28" s="278" customFormat="1" x14ac:dyDescent="0.25">
      <c r="A716" s="209">
        <v>717130</v>
      </c>
      <c r="B716" s="387" t="s">
        <v>19437</v>
      </c>
      <c r="C716" s="248"/>
      <c r="D716" s="247" t="s">
        <v>2</v>
      </c>
      <c r="E716" s="249">
        <f t="shared" si="365"/>
        <v>8.75</v>
      </c>
      <c r="F716" s="170">
        <f t="shared" si="365"/>
        <v>8.9280625000000011</v>
      </c>
      <c r="G716" s="250">
        <v>0.35</v>
      </c>
      <c r="H716" s="171">
        <f t="shared" si="371"/>
        <v>0.35</v>
      </c>
      <c r="I716" s="249">
        <f t="shared" si="366"/>
        <v>11.25</v>
      </c>
      <c r="J716" s="170">
        <f t="shared" si="366"/>
        <v>11.478937500000002</v>
      </c>
      <c r="K716" s="250">
        <v>0.45</v>
      </c>
      <c r="L716" s="172">
        <f t="shared" si="372"/>
        <v>0.45</v>
      </c>
      <c r="M716" s="249">
        <f t="shared" si="373"/>
        <v>3.75</v>
      </c>
      <c r="N716" s="170">
        <f t="shared" si="374"/>
        <v>3.8263125000000007</v>
      </c>
      <c r="O716" s="250">
        <v>0.15</v>
      </c>
      <c r="P716" s="172">
        <f t="shared" si="375"/>
        <v>0.15</v>
      </c>
      <c r="Q716" s="251">
        <f t="shared" si="376"/>
        <v>1.25</v>
      </c>
      <c r="R716" s="173">
        <f t="shared" si="377"/>
        <v>1.2754375000000004</v>
      </c>
      <c r="S716" s="250">
        <v>0.05</v>
      </c>
      <c r="T716" s="171">
        <f t="shared" si="378"/>
        <v>0.05</v>
      </c>
      <c r="U716" s="256">
        <v>25</v>
      </c>
      <c r="V716" s="170">
        <f t="shared" si="379"/>
        <v>25.508750000000006</v>
      </c>
      <c r="W716" s="258">
        <v>0.2</v>
      </c>
      <c r="X716" s="257">
        <f t="shared" si="369"/>
        <v>30</v>
      </c>
      <c r="Y716" s="170">
        <f t="shared" si="367"/>
        <v>30.610500000000005</v>
      </c>
      <c r="Z716" s="170">
        <f t="shared" si="370"/>
        <v>31</v>
      </c>
      <c r="AA716" s="407">
        <f t="shared" si="368"/>
        <v>0</v>
      </c>
      <c r="AB716" s="194"/>
    </row>
    <row r="717" spans="1:28" s="278" customFormat="1" x14ac:dyDescent="0.25">
      <c r="A717" s="209">
        <v>717130</v>
      </c>
      <c r="B717" s="387" t="s">
        <v>19438</v>
      </c>
      <c r="C717" s="248"/>
      <c r="D717" s="247" t="s">
        <v>2</v>
      </c>
      <c r="E717" s="249">
        <f t="shared" si="365"/>
        <v>5.25</v>
      </c>
      <c r="F717" s="170">
        <f t="shared" si="365"/>
        <v>5.356837500000001</v>
      </c>
      <c r="G717" s="250">
        <v>0.35</v>
      </c>
      <c r="H717" s="171">
        <f t="shared" si="371"/>
        <v>0.35</v>
      </c>
      <c r="I717" s="249">
        <f t="shared" si="366"/>
        <v>6.75</v>
      </c>
      <c r="J717" s="170">
        <f t="shared" si="366"/>
        <v>6.8873625000000009</v>
      </c>
      <c r="K717" s="250">
        <v>0.45</v>
      </c>
      <c r="L717" s="172">
        <f t="shared" si="372"/>
        <v>0.45</v>
      </c>
      <c r="M717" s="249">
        <f t="shared" si="373"/>
        <v>2.25</v>
      </c>
      <c r="N717" s="170">
        <f t="shared" si="374"/>
        <v>2.2957875000000003</v>
      </c>
      <c r="O717" s="250">
        <v>0.15</v>
      </c>
      <c r="P717" s="172">
        <f t="shared" si="375"/>
        <v>0.15</v>
      </c>
      <c r="Q717" s="251">
        <f t="shared" si="376"/>
        <v>0.75</v>
      </c>
      <c r="R717" s="173">
        <f t="shared" si="377"/>
        <v>0.76526250000000018</v>
      </c>
      <c r="S717" s="250">
        <v>0.05</v>
      </c>
      <c r="T717" s="171">
        <f t="shared" si="378"/>
        <v>0.05</v>
      </c>
      <c r="U717" s="256">
        <v>15</v>
      </c>
      <c r="V717" s="170">
        <f t="shared" si="379"/>
        <v>15.305250000000003</v>
      </c>
      <c r="W717" s="258">
        <v>0.2</v>
      </c>
      <c r="X717" s="257">
        <f t="shared" si="369"/>
        <v>18</v>
      </c>
      <c r="Y717" s="170">
        <f t="shared" si="367"/>
        <v>18.366300000000003</v>
      </c>
      <c r="Z717" s="170">
        <f t="shared" si="370"/>
        <v>19</v>
      </c>
      <c r="AA717" s="407">
        <f t="shared" si="368"/>
        <v>0</v>
      </c>
      <c r="AB717" s="194"/>
    </row>
    <row r="718" spans="1:28" s="278" customFormat="1" x14ac:dyDescent="0.25">
      <c r="A718" s="209">
        <v>717136</v>
      </c>
      <c r="B718" s="387" t="s">
        <v>19439</v>
      </c>
      <c r="C718" s="248"/>
      <c r="D718" s="247" t="s">
        <v>2</v>
      </c>
      <c r="E718" s="249">
        <f t="shared" si="365"/>
        <v>9.3333449999999996</v>
      </c>
      <c r="F718" s="170">
        <f t="shared" si="365"/>
        <v>9.5232785707499978</v>
      </c>
      <c r="G718" s="250">
        <v>0.35</v>
      </c>
      <c r="H718" s="171">
        <f t="shared" si="371"/>
        <v>0.35</v>
      </c>
      <c r="I718" s="249">
        <f t="shared" si="366"/>
        <v>12.000014999999999</v>
      </c>
      <c r="J718" s="170">
        <f t="shared" si="366"/>
        <v>12.244215305249998</v>
      </c>
      <c r="K718" s="250">
        <v>0.45</v>
      </c>
      <c r="L718" s="172">
        <f t="shared" si="372"/>
        <v>0.45</v>
      </c>
      <c r="M718" s="249">
        <f t="shared" si="373"/>
        <v>4.0000049999999998</v>
      </c>
      <c r="N718" s="170">
        <f t="shared" si="374"/>
        <v>4.0814051017499997</v>
      </c>
      <c r="O718" s="250">
        <v>0.15</v>
      </c>
      <c r="P718" s="172">
        <f t="shared" si="375"/>
        <v>0.15</v>
      </c>
      <c r="Q718" s="251">
        <f t="shared" si="376"/>
        <v>1.3333349999999999</v>
      </c>
      <c r="R718" s="173">
        <f t="shared" si="377"/>
        <v>1.36046836725</v>
      </c>
      <c r="S718" s="250">
        <v>0.05</v>
      </c>
      <c r="T718" s="171">
        <f t="shared" si="378"/>
        <v>0.05</v>
      </c>
      <c r="U718" s="256">
        <v>26.666699999999999</v>
      </c>
      <c r="V718" s="170">
        <f t="shared" si="379"/>
        <v>27.209367344999997</v>
      </c>
      <c r="W718" s="258">
        <v>0.2</v>
      </c>
      <c r="X718" s="257">
        <f t="shared" si="369"/>
        <v>32.000039999999998</v>
      </c>
      <c r="Y718" s="170">
        <f t="shared" si="367"/>
        <v>32.651240813999998</v>
      </c>
      <c r="Z718" s="170">
        <f t="shared" si="370"/>
        <v>33</v>
      </c>
      <c r="AA718" s="407">
        <f t="shared" si="368"/>
        <v>0</v>
      </c>
      <c r="AB718" s="194"/>
    </row>
    <row r="719" spans="1:28" s="278" customFormat="1" x14ac:dyDescent="0.25">
      <c r="A719" s="209">
        <v>717136</v>
      </c>
      <c r="B719" s="387" t="s">
        <v>19440</v>
      </c>
      <c r="C719" s="248"/>
      <c r="D719" s="247" t="s">
        <v>2</v>
      </c>
      <c r="E719" s="249">
        <f t="shared" si="365"/>
        <v>6.125</v>
      </c>
      <c r="F719" s="170">
        <f t="shared" si="365"/>
        <v>6.2496437500000006</v>
      </c>
      <c r="G719" s="250">
        <v>0.35</v>
      </c>
      <c r="H719" s="171">
        <f t="shared" si="371"/>
        <v>0.35</v>
      </c>
      <c r="I719" s="249">
        <f t="shared" si="366"/>
        <v>7.875</v>
      </c>
      <c r="J719" s="170">
        <f t="shared" si="366"/>
        <v>8.0352562500000015</v>
      </c>
      <c r="K719" s="250">
        <v>0.45</v>
      </c>
      <c r="L719" s="172">
        <f t="shared" si="372"/>
        <v>0.45</v>
      </c>
      <c r="M719" s="249">
        <f t="shared" si="373"/>
        <v>2.625</v>
      </c>
      <c r="N719" s="170">
        <f t="shared" si="374"/>
        <v>2.6784187500000001</v>
      </c>
      <c r="O719" s="250">
        <v>0.15</v>
      </c>
      <c r="P719" s="172">
        <f t="shared" si="375"/>
        <v>0.15</v>
      </c>
      <c r="Q719" s="251">
        <f t="shared" si="376"/>
        <v>0.875</v>
      </c>
      <c r="R719" s="173">
        <f t="shared" si="377"/>
        <v>0.89280625000000013</v>
      </c>
      <c r="S719" s="250">
        <v>0.05</v>
      </c>
      <c r="T719" s="171">
        <f t="shared" si="378"/>
        <v>0.05</v>
      </c>
      <c r="U719" s="256">
        <v>17.5</v>
      </c>
      <c r="V719" s="170">
        <f t="shared" si="379"/>
        <v>17.856125000000002</v>
      </c>
      <c r="W719" s="258">
        <v>0.2</v>
      </c>
      <c r="X719" s="257">
        <f t="shared" si="369"/>
        <v>21</v>
      </c>
      <c r="Y719" s="170">
        <f t="shared" si="367"/>
        <v>21.427350000000001</v>
      </c>
      <c r="Z719" s="170">
        <f t="shared" si="370"/>
        <v>22</v>
      </c>
      <c r="AA719" s="407">
        <f t="shared" si="368"/>
        <v>0</v>
      </c>
      <c r="AB719" s="194"/>
    </row>
    <row r="720" spans="1:28" s="278" customFormat="1" x14ac:dyDescent="0.25">
      <c r="A720" s="209">
        <v>717142</v>
      </c>
      <c r="B720" s="387" t="s">
        <v>19441</v>
      </c>
      <c r="C720" s="248"/>
      <c r="D720" s="247" t="s">
        <v>2</v>
      </c>
      <c r="E720" s="249">
        <f t="shared" ref="E720:F785" si="380">U720*G720</f>
        <v>10.208334499999999</v>
      </c>
      <c r="F720" s="170">
        <f t="shared" si="380"/>
        <v>10.416074107074998</v>
      </c>
      <c r="G720" s="250">
        <v>0.35</v>
      </c>
      <c r="H720" s="171">
        <f t="shared" si="371"/>
        <v>0.35</v>
      </c>
      <c r="I720" s="249">
        <f t="shared" ref="I720:J785" si="381">U720*K720</f>
        <v>13.1250015</v>
      </c>
      <c r="J720" s="170">
        <f t="shared" si="381"/>
        <v>13.392095280524998</v>
      </c>
      <c r="K720" s="250">
        <v>0.45</v>
      </c>
      <c r="L720" s="172">
        <f t="shared" si="372"/>
        <v>0.45</v>
      </c>
      <c r="M720" s="249">
        <f t="shared" si="373"/>
        <v>4.3750004999999996</v>
      </c>
      <c r="N720" s="170">
        <f t="shared" si="374"/>
        <v>4.4640317601749997</v>
      </c>
      <c r="O720" s="250">
        <v>0.15</v>
      </c>
      <c r="P720" s="172">
        <f t="shared" si="375"/>
        <v>0.15</v>
      </c>
      <c r="Q720" s="251">
        <f t="shared" si="376"/>
        <v>1.4583335000000002</v>
      </c>
      <c r="R720" s="173">
        <f t="shared" si="377"/>
        <v>1.488010586725</v>
      </c>
      <c r="S720" s="250">
        <v>0.05</v>
      </c>
      <c r="T720" s="171">
        <f t="shared" si="378"/>
        <v>0.05</v>
      </c>
      <c r="U720" s="256">
        <v>29.16667</v>
      </c>
      <c r="V720" s="170">
        <f t="shared" si="379"/>
        <v>29.760211734499997</v>
      </c>
      <c r="W720" s="258">
        <v>0.2</v>
      </c>
      <c r="X720" s="257">
        <f t="shared" si="369"/>
        <v>35.000004000000004</v>
      </c>
      <c r="Y720" s="170">
        <f t="shared" si="367"/>
        <v>35.712254081399998</v>
      </c>
      <c r="Z720" s="170">
        <f t="shared" si="370"/>
        <v>36</v>
      </c>
      <c r="AA720" s="407">
        <f t="shared" si="368"/>
        <v>0</v>
      </c>
      <c r="AB720" s="194"/>
    </row>
    <row r="721" spans="1:28" s="278" customFormat="1" x14ac:dyDescent="0.25">
      <c r="A721" s="209">
        <v>717142</v>
      </c>
      <c r="B721" s="387" t="s">
        <v>19442</v>
      </c>
      <c r="C721" s="248"/>
      <c r="D721" s="247" t="s">
        <v>2</v>
      </c>
      <c r="E721" s="249">
        <f t="shared" si="380"/>
        <v>7.8749999999999991</v>
      </c>
      <c r="F721" s="170">
        <f t="shared" si="380"/>
        <v>8.035256249999998</v>
      </c>
      <c r="G721" s="250">
        <v>0.35</v>
      </c>
      <c r="H721" s="171">
        <f t="shared" si="371"/>
        <v>0.35</v>
      </c>
      <c r="I721" s="249">
        <f t="shared" si="381"/>
        <v>10.125</v>
      </c>
      <c r="J721" s="170">
        <f t="shared" si="381"/>
        <v>10.331043749999999</v>
      </c>
      <c r="K721" s="250">
        <v>0.45</v>
      </c>
      <c r="L721" s="172">
        <f t="shared" si="372"/>
        <v>0.45</v>
      </c>
      <c r="M721" s="249">
        <f t="shared" si="373"/>
        <v>3.375</v>
      </c>
      <c r="N721" s="170">
        <f t="shared" si="374"/>
        <v>3.4436812499999996</v>
      </c>
      <c r="O721" s="250">
        <v>0.15</v>
      </c>
      <c r="P721" s="172">
        <f t="shared" si="375"/>
        <v>0.15</v>
      </c>
      <c r="Q721" s="251">
        <f t="shared" si="376"/>
        <v>1.125</v>
      </c>
      <c r="R721" s="173">
        <f t="shared" si="377"/>
        <v>1.1478937499999999</v>
      </c>
      <c r="S721" s="250">
        <v>0.05</v>
      </c>
      <c r="T721" s="171">
        <f t="shared" si="378"/>
        <v>0.05</v>
      </c>
      <c r="U721" s="256">
        <v>22.5</v>
      </c>
      <c r="V721" s="170">
        <f t="shared" si="379"/>
        <v>22.957874999999998</v>
      </c>
      <c r="W721" s="258">
        <v>0.2</v>
      </c>
      <c r="X721" s="257">
        <f t="shared" si="369"/>
        <v>27</v>
      </c>
      <c r="Y721" s="170">
        <f t="shared" si="367"/>
        <v>27.549449999999997</v>
      </c>
      <c r="Z721" s="170">
        <f t="shared" si="370"/>
        <v>28</v>
      </c>
      <c r="AA721" s="407">
        <f t="shared" si="368"/>
        <v>0</v>
      </c>
      <c r="AB721" s="194"/>
    </row>
    <row r="722" spans="1:28" s="278" customFormat="1" x14ac:dyDescent="0.25">
      <c r="A722" s="209">
        <v>717148</v>
      </c>
      <c r="B722" s="387" t="s">
        <v>19443</v>
      </c>
      <c r="C722" s="248"/>
      <c r="D722" s="247" t="s">
        <v>2</v>
      </c>
      <c r="E722" s="249">
        <f t="shared" si="380"/>
        <v>10.791655</v>
      </c>
      <c r="F722" s="170">
        <f t="shared" si="380"/>
        <v>11.01126517925</v>
      </c>
      <c r="G722" s="250">
        <v>0.35</v>
      </c>
      <c r="H722" s="171">
        <f t="shared" si="371"/>
        <v>0.35</v>
      </c>
      <c r="I722" s="249">
        <f t="shared" si="381"/>
        <v>13.874985000000001</v>
      </c>
      <c r="J722" s="170">
        <f t="shared" si="381"/>
        <v>14.15734094475</v>
      </c>
      <c r="K722" s="250">
        <v>0.45</v>
      </c>
      <c r="L722" s="172">
        <f t="shared" si="372"/>
        <v>0.45</v>
      </c>
      <c r="M722" s="249">
        <f t="shared" si="373"/>
        <v>4.6249950000000002</v>
      </c>
      <c r="N722" s="170">
        <f t="shared" si="374"/>
        <v>4.7191136482500005</v>
      </c>
      <c r="O722" s="250">
        <v>0.15</v>
      </c>
      <c r="P722" s="172">
        <f t="shared" si="375"/>
        <v>0.15</v>
      </c>
      <c r="Q722" s="251">
        <f t="shared" si="376"/>
        <v>1.5416650000000001</v>
      </c>
      <c r="R722" s="173">
        <f t="shared" si="377"/>
        <v>1.5730378827500002</v>
      </c>
      <c r="S722" s="250">
        <v>0.05</v>
      </c>
      <c r="T722" s="171">
        <f t="shared" si="378"/>
        <v>0.05</v>
      </c>
      <c r="U722" s="256">
        <v>30.833300000000001</v>
      </c>
      <c r="V722" s="170">
        <f t="shared" si="379"/>
        <v>31.460757655000002</v>
      </c>
      <c r="W722" s="258">
        <v>0.2</v>
      </c>
      <c r="X722" s="257">
        <f t="shared" si="369"/>
        <v>36.999960000000002</v>
      </c>
      <c r="Y722" s="170">
        <f t="shared" si="367"/>
        <v>37.752909186000004</v>
      </c>
      <c r="Z722" s="170">
        <f t="shared" si="370"/>
        <v>38</v>
      </c>
      <c r="AA722" s="407">
        <f t="shared" si="368"/>
        <v>0</v>
      </c>
      <c r="AB722" s="194"/>
    </row>
    <row r="723" spans="1:28" s="278" customFormat="1" x14ac:dyDescent="0.25">
      <c r="A723" s="209">
        <v>717148</v>
      </c>
      <c r="B723" s="387" t="s">
        <v>19444</v>
      </c>
      <c r="C723" s="248"/>
      <c r="D723" s="247" t="s">
        <v>2</v>
      </c>
      <c r="E723" s="249">
        <f t="shared" si="380"/>
        <v>9.0416550000000004</v>
      </c>
      <c r="F723" s="170">
        <f t="shared" si="380"/>
        <v>9.2256526792500004</v>
      </c>
      <c r="G723" s="250">
        <v>0.35</v>
      </c>
      <c r="H723" s="171">
        <f t="shared" si="371"/>
        <v>0.35</v>
      </c>
      <c r="I723" s="249">
        <f t="shared" si="381"/>
        <v>11.624985000000001</v>
      </c>
      <c r="J723" s="170">
        <f t="shared" si="381"/>
        <v>11.861553444750001</v>
      </c>
      <c r="K723" s="250">
        <v>0.45</v>
      </c>
      <c r="L723" s="172">
        <f t="shared" si="372"/>
        <v>0.45</v>
      </c>
      <c r="M723" s="249">
        <f t="shared" si="373"/>
        <v>3.8749950000000002</v>
      </c>
      <c r="N723" s="170">
        <f t="shared" si="374"/>
        <v>3.9538511482500001</v>
      </c>
      <c r="O723" s="250">
        <v>0.15</v>
      </c>
      <c r="P723" s="172">
        <f t="shared" si="375"/>
        <v>0.15</v>
      </c>
      <c r="Q723" s="251">
        <f t="shared" si="376"/>
        <v>1.2916650000000001</v>
      </c>
      <c r="R723" s="173">
        <f t="shared" si="377"/>
        <v>1.3179503827500003</v>
      </c>
      <c r="S723" s="250">
        <v>0.05</v>
      </c>
      <c r="T723" s="171">
        <f t="shared" si="378"/>
        <v>0.05</v>
      </c>
      <c r="U723" s="256">
        <v>25.833300000000001</v>
      </c>
      <c r="V723" s="170">
        <f t="shared" si="379"/>
        <v>26.359007655000003</v>
      </c>
      <c r="W723" s="258">
        <v>0.2</v>
      </c>
      <c r="X723" s="257">
        <f t="shared" si="369"/>
        <v>30.999960000000002</v>
      </c>
      <c r="Y723" s="170">
        <f t="shared" si="367"/>
        <v>31.630809186</v>
      </c>
      <c r="Z723" s="170">
        <f t="shared" si="370"/>
        <v>32</v>
      </c>
      <c r="AA723" s="407">
        <f t="shared" si="368"/>
        <v>0</v>
      </c>
      <c r="AB723" s="194"/>
    </row>
    <row r="724" spans="1:28" s="278" customFormat="1" x14ac:dyDescent="0.25">
      <c r="A724" s="209">
        <v>717154</v>
      </c>
      <c r="B724" s="387" t="s">
        <v>19445</v>
      </c>
      <c r="C724" s="248"/>
      <c r="D724" s="247" t="s">
        <v>2</v>
      </c>
      <c r="E724" s="249">
        <f t="shared" si="380"/>
        <v>9.75</v>
      </c>
      <c r="F724" s="170">
        <f t="shared" si="380"/>
        <v>9.9489000000000001</v>
      </c>
      <c r="G724" s="250">
        <v>0.3</v>
      </c>
      <c r="H724" s="171">
        <f t="shared" si="371"/>
        <v>0.3</v>
      </c>
      <c r="I724" s="249">
        <f t="shared" si="381"/>
        <v>14.625</v>
      </c>
      <c r="J724" s="170">
        <f t="shared" si="381"/>
        <v>14.923350000000003</v>
      </c>
      <c r="K724" s="250">
        <v>0.45</v>
      </c>
      <c r="L724" s="172">
        <f t="shared" si="372"/>
        <v>0.45</v>
      </c>
      <c r="M724" s="249">
        <f t="shared" si="373"/>
        <v>6.5</v>
      </c>
      <c r="N724" s="170">
        <f t="shared" si="374"/>
        <v>6.6326000000000009</v>
      </c>
      <c r="O724" s="250">
        <v>0.2</v>
      </c>
      <c r="P724" s="172">
        <f t="shared" si="375"/>
        <v>0.2</v>
      </c>
      <c r="Q724" s="251">
        <f t="shared" si="376"/>
        <v>1.625</v>
      </c>
      <c r="R724" s="173">
        <f t="shared" si="377"/>
        <v>1.6581500000000002</v>
      </c>
      <c r="S724" s="250">
        <v>0.05</v>
      </c>
      <c r="T724" s="171">
        <f t="shared" si="378"/>
        <v>0.05</v>
      </c>
      <c r="U724" s="256">
        <v>32.5</v>
      </c>
      <c r="V724" s="170">
        <f t="shared" si="379"/>
        <v>33.163000000000004</v>
      </c>
      <c r="W724" s="258">
        <v>0.2</v>
      </c>
      <c r="X724" s="257">
        <f t="shared" si="369"/>
        <v>39</v>
      </c>
      <c r="Y724" s="170">
        <f t="shared" si="367"/>
        <v>39.7956</v>
      </c>
      <c r="Z724" s="170">
        <f t="shared" si="370"/>
        <v>40</v>
      </c>
      <c r="AA724" s="407">
        <f t="shared" si="368"/>
        <v>0</v>
      </c>
      <c r="AB724" s="194"/>
    </row>
    <row r="725" spans="1:28" s="278" customFormat="1" x14ac:dyDescent="0.25">
      <c r="A725" s="209">
        <v>717154</v>
      </c>
      <c r="B725" s="387" t="s">
        <v>19446</v>
      </c>
      <c r="C725" s="248"/>
      <c r="D725" s="247" t="s">
        <v>2</v>
      </c>
      <c r="E725" s="249">
        <f t="shared" si="380"/>
        <v>8.4998999999999985</v>
      </c>
      <c r="F725" s="170">
        <f t="shared" si="380"/>
        <v>8.6732979599999993</v>
      </c>
      <c r="G725" s="250">
        <v>0.3</v>
      </c>
      <c r="H725" s="171">
        <f t="shared" si="371"/>
        <v>0.3</v>
      </c>
      <c r="I725" s="249">
        <f t="shared" si="381"/>
        <v>12.74985</v>
      </c>
      <c r="J725" s="170">
        <f t="shared" si="381"/>
        <v>13.009946940000001</v>
      </c>
      <c r="K725" s="250">
        <v>0.45</v>
      </c>
      <c r="L725" s="172">
        <f t="shared" si="372"/>
        <v>0.45</v>
      </c>
      <c r="M725" s="249">
        <f t="shared" si="373"/>
        <v>5.6665999999999999</v>
      </c>
      <c r="N725" s="170">
        <f t="shared" si="374"/>
        <v>5.7821986400000007</v>
      </c>
      <c r="O725" s="250">
        <v>0.2</v>
      </c>
      <c r="P725" s="172">
        <f t="shared" si="375"/>
        <v>0.2</v>
      </c>
      <c r="Q725" s="251">
        <f t="shared" si="376"/>
        <v>1.41665</v>
      </c>
      <c r="R725" s="173">
        <f t="shared" si="377"/>
        <v>1.4455496600000002</v>
      </c>
      <c r="S725" s="250">
        <v>0.05</v>
      </c>
      <c r="T725" s="171">
        <f t="shared" si="378"/>
        <v>0.05</v>
      </c>
      <c r="U725" s="256">
        <v>28.332999999999998</v>
      </c>
      <c r="V725" s="170">
        <f t="shared" si="379"/>
        <v>28.9109932</v>
      </c>
      <c r="W725" s="258">
        <v>0.2</v>
      </c>
      <c r="X725" s="257">
        <f t="shared" si="369"/>
        <v>33.999600000000001</v>
      </c>
      <c r="Y725" s="170">
        <f t="shared" si="367"/>
        <v>34.693191839999997</v>
      </c>
      <c r="Z725" s="170">
        <f t="shared" si="370"/>
        <v>35</v>
      </c>
      <c r="AA725" s="407">
        <f t="shared" si="368"/>
        <v>0</v>
      </c>
      <c r="AB725" s="194"/>
    </row>
    <row r="726" spans="1:28" s="278" customFormat="1" x14ac:dyDescent="0.25">
      <c r="A726" s="209">
        <v>717160</v>
      </c>
      <c r="B726" s="387" t="s">
        <v>19447</v>
      </c>
      <c r="C726" s="248"/>
      <c r="D726" s="247" t="s">
        <v>2</v>
      </c>
      <c r="E726" s="249">
        <f t="shared" si="380"/>
        <v>10.5</v>
      </c>
      <c r="F726" s="170">
        <f t="shared" si="380"/>
        <v>10.714200000000002</v>
      </c>
      <c r="G726" s="250">
        <v>0.3</v>
      </c>
      <c r="H726" s="171">
        <f t="shared" si="371"/>
        <v>0.3</v>
      </c>
      <c r="I726" s="249">
        <f t="shared" si="381"/>
        <v>15.75</v>
      </c>
      <c r="J726" s="170">
        <f t="shared" si="381"/>
        <v>16.071300000000004</v>
      </c>
      <c r="K726" s="250">
        <v>0.45</v>
      </c>
      <c r="L726" s="172">
        <f t="shared" si="372"/>
        <v>0.45</v>
      </c>
      <c r="M726" s="249">
        <f t="shared" si="373"/>
        <v>7</v>
      </c>
      <c r="N726" s="170">
        <f t="shared" si="374"/>
        <v>7.1428000000000011</v>
      </c>
      <c r="O726" s="250">
        <v>0.2</v>
      </c>
      <c r="P726" s="172">
        <f t="shared" si="375"/>
        <v>0.2</v>
      </c>
      <c r="Q726" s="251">
        <f t="shared" si="376"/>
        <v>1.75</v>
      </c>
      <c r="R726" s="173">
        <f t="shared" si="377"/>
        <v>1.7857000000000003</v>
      </c>
      <c r="S726" s="250">
        <v>0.05</v>
      </c>
      <c r="T726" s="171">
        <f t="shared" si="378"/>
        <v>0.05</v>
      </c>
      <c r="U726" s="256">
        <v>35</v>
      </c>
      <c r="V726" s="170">
        <f t="shared" si="379"/>
        <v>35.714000000000006</v>
      </c>
      <c r="W726" s="258">
        <v>0.2</v>
      </c>
      <c r="X726" s="257">
        <f t="shared" si="369"/>
        <v>42</v>
      </c>
      <c r="Y726" s="170">
        <f t="shared" si="367"/>
        <v>42.856800000000007</v>
      </c>
      <c r="Z726" s="170">
        <f t="shared" si="370"/>
        <v>43</v>
      </c>
      <c r="AA726" s="407">
        <f t="shared" si="368"/>
        <v>0</v>
      </c>
      <c r="AB726" s="194"/>
    </row>
    <row r="727" spans="1:28" s="278" customFormat="1" x14ac:dyDescent="0.25">
      <c r="A727" s="209">
        <v>717160</v>
      </c>
      <c r="B727" s="387" t="s">
        <v>19448</v>
      </c>
      <c r="C727" s="248"/>
      <c r="D727" s="247" t="s">
        <v>2</v>
      </c>
      <c r="E727" s="249">
        <f t="shared" si="380"/>
        <v>9.9998999999999985</v>
      </c>
      <c r="F727" s="170">
        <f t="shared" si="380"/>
        <v>10.203897960000001</v>
      </c>
      <c r="G727" s="250">
        <v>0.3</v>
      </c>
      <c r="H727" s="171">
        <f t="shared" si="371"/>
        <v>0.3</v>
      </c>
      <c r="I727" s="249">
        <f t="shared" si="381"/>
        <v>14.99985</v>
      </c>
      <c r="J727" s="170">
        <f t="shared" si="381"/>
        <v>15.305846940000002</v>
      </c>
      <c r="K727" s="250">
        <v>0.45</v>
      </c>
      <c r="L727" s="172">
        <f t="shared" si="372"/>
        <v>0.45</v>
      </c>
      <c r="M727" s="249">
        <f t="shared" si="373"/>
        <v>6.6665999999999999</v>
      </c>
      <c r="N727" s="170">
        <f t="shared" si="374"/>
        <v>6.8025986400000011</v>
      </c>
      <c r="O727" s="250">
        <v>0.2</v>
      </c>
      <c r="P727" s="172">
        <f t="shared" si="375"/>
        <v>0.2</v>
      </c>
      <c r="Q727" s="251">
        <f t="shared" si="376"/>
        <v>1.66665</v>
      </c>
      <c r="R727" s="173">
        <f t="shared" si="377"/>
        <v>1.7006496600000003</v>
      </c>
      <c r="S727" s="250">
        <v>0.05</v>
      </c>
      <c r="T727" s="171">
        <f t="shared" si="378"/>
        <v>0.05</v>
      </c>
      <c r="U727" s="256">
        <v>33.332999999999998</v>
      </c>
      <c r="V727" s="170">
        <f t="shared" si="379"/>
        <v>34.012993200000004</v>
      </c>
      <c r="W727" s="258">
        <v>0.2</v>
      </c>
      <c r="X727" s="257">
        <f t="shared" si="369"/>
        <v>39.999600000000001</v>
      </c>
      <c r="Y727" s="170">
        <f t="shared" si="367"/>
        <v>40.815591840000003</v>
      </c>
      <c r="Z727" s="170">
        <f t="shared" si="370"/>
        <v>41</v>
      </c>
      <c r="AA727" s="407">
        <f t="shared" si="368"/>
        <v>0</v>
      </c>
      <c r="AB727" s="194"/>
    </row>
    <row r="728" spans="1:28" s="278" customFormat="1" x14ac:dyDescent="0.25">
      <c r="A728" s="209">
        <v>717172</v>
      </c>
      <c r="B728" s="387" t="s">
        <v>19449</v>
      </c>
      <c r="C728" s="248"/>
      <c r="D728" s="247" t="s">
        <v>2</v>
      </c>
      <c r="E728" s="249">
        <f t="shared" si="380"/>
        <v>11.25</v>
      </c>
      <c r="F728" s="170">
        <f t="shared" si="380"/>
        <v>11.4795</v>
      </c>
      <c r="G728" s="250">
        <v>0.3</v>
      </c>
      <c r="H728" s="171">
        <f t="shared" si="371"/>
        <v>0.3</v>
      </c>
      <c r="I728" s="249">
        <f t="shared" si="381"/>
        <v>16.875</v>
      </c>
      <c r="J728" s="170">
        <f t="shared" si="381"/>
        <v>17.219250000000002</v>
      </c>
      <c r="K728" s="250">
        <v>0.45</v>
      </c>
      <c r="L728" s="172">
        <f t="shared" si="372"/>
        <v>0.45</v>
      </c>
      <c r="M728" s="249">
        <f t="shared" si="373"/>
        <v>7.5</v>
      </c>
      <c r="N728" s="170">
        <f t="shared" si="374"/>
        <v>7.6530000000000005</v>
      </c>
      <c r="O728" s="250">
        <v>0.2</v>
      </c>
      <c r="P728" s="172">
        <f t="shared" si="375"/>
        <v>0.2</v>
      </c>
      <c r="Q728" s="251">
        <f t="shared" si="376"/>
        <v>1.875</v>
      </c>
      <c r="R728" s="173">
        <f t="shared" si="377"/>
        <v>1.9132500000000001</v>
      </c>
      <c r="S728" s="250">
        <v>0.05</v>
      </c>
      <c r="T728" s="171">
        <f t="shared" si="378"/>
        <v>0.05</v>
      </c>
      <c r="U728" s="256">
        <v>37.5</v>
      </c>
      <c r="V728" s="170">
        <f t="shared" si="379"/>
        <v>38.265000000000001</v>
      </c>
      <c r="W728" s="258">
        <v>0.2</v>
      </c>
      <c r="X728" s="257">
        <f t="shared" si="369"/>
        <v>45</v>
      </c>
      <c r="Y728" s="170">
        <f t="shared" si="367"/>
        <v>45.917999999999999</v>
      </c>
      <c r="Z728" s="170">
        <f t="shared" si="370"/>
        <v>46</v>
      </c>
      <c r="AA728" s="407">
        <f t="shared" si="368"/>
        <v>0</v>
      </c>
      <c r="AB728" s="194"/>
    </row>
    <row r="729" spans="1:28" s="278" customFormat="1" x14ac:dyDescent="0.25">
      <c r="A729" s="209">
        <v>717172</v>
      </c>
      <c r="B729" s="387" t="s">
        <v>19450</v>
      </c>
      <c r="C729" s="248"/>
      <c r="D729" s="247" t="s">
        <v>2</v>
      </c>
      <c r="E729" s="249">
        <f t="shared" si="380"/>
        <v>11.750001000000001</v>
      </c>
      <c r="F729" s="170">
        <f t="shared" si="380"/>
        <v>11.989701020400002</v>
      </c>
      <c r="G729" s="250">
        <v>0.3</v>
      </c>
      <c r="H729" s="171">
        <f t="shared" si="371"/>
        <v>0.3</v>
      </c>
      <c r="I729" s="249">
        <f t="shared" si="381"/>
        <v>17.625001500000003</v>
      </c>
      <c r="J729" s="170">
        <f t="shared" si="381"/>
        <v>17.984551530600005</v>
      </c>
      <c r="K729" s="250">
        <v>0.45</v>
      </c>
      <c r="L729" s="172">
        <f t="shared" si="372"/>
        <v>0.45</v>
      </c>
      <c r="M729" s="249">
        <f t="shared" si="373"/>
        <v>7.8333340000000007</v>
      </c>
      <c r="N729" s="170">
        <f t="shared" si="374"/>
        <v>7.9931340136000024</v>
      </c>
      <c r="O729" s="250">
        <v>0.2</v>
      </c>
      <c r="P729" s="172">
        <f t="shared" si="375"/>
        <v>0.2</v>
      </c>
      <c r="Q729" s="251">
        <f t="shared" si="376"/>
        <v>1.9583335000000002</v>
      </c>
      <c r="R729" s="173">
        <f t="shared" si="377"/>
        <v>1.9982835034000006</v>
      </c>
      <c r="S729" s="250">
        <v>0.05</v>
      </c>
      <c r="T729" s="171">
        <f t="shared" si="378"/>
        <v>0.05</v>
      </c>
      <c r="U729" s="256">
        <v>39.166670000000003</v>
      </c>
      <c r="V729" s="170">
        <f t="shared" si="379"/>
        <v>39.965670068000009</v>
      </c>
      <c r="W729" s="258">
        <v>0.2</v>
      </c>
      <c r="X729" s="257">
        <f t="shared" si="369"/>
        <v>47.000004000000004</v>
      </c>
      <c r="Y729" s="170">
        <f t="shared" si="367"/>
        <v>47.958804081600007</v>
      </c>
      <c r="Z729" s="170">
        <f t="shared" si="370"/>
        <v>48</v>
      </c>
      <c r="AA729" s="407">
        <f t="shared" si="368"/>
        <v>0</v>
      </c>
      <c r="AB729" s="194"/>
    </row>
    <row r="730" spans="1:28" s="278" customFormat="1" x14ac:dyDescent="0.25">
      <c r="A730" s="209">
        <v>717208</v>
      </c>
      <c r="B730" s="387" t="s">
        <v>19451</v>
      </c>
      <c r="C730" s="248"/>
      <c r="D730" s="247" t="s">
        <v>2</v>
      </c>
      <c r="E730" s="249">
        <f t="shared" si="380"/>
        <v>26.25</v>
      </c>
      <c r="F730" s="170">
        <f t="shared" si="380"/>
        <v>26.802562499999997</v>
      </c>
      <c r="G730" s="250">
        <v>0.35</v>
      </c>
      <c r="H730" s="171">
        <f t="shared" si="371"/>
        <v>0.35</v>
      </c>
      <c r="I730" s="249">
        <f t="shared" si="381"/>
        <v>26.25</v>
      </c>
      <c r="J730" s="170">
        <f t="shared" si="381"/>
        <v>26.802562499999997</v>
      </c>
      <c r="K730" s="250">
        <v>0.35</v>
      </c>
      <c r="L730" s="172">
        <f t="shared" si="372"/>
        <v>0.35</v>
      </c>
      <c r="M730" s="249">
        <f t="shared" si="373"/>
        <v>18.75</v>
      </c>
      <c r="N730" s="170">
        <f t="shared" si="374"/>
        <v>19.1446875</v>
      </c>
      <c r="O730" s="250">
        <v>0.25</v>
      </c>
      <c r="P730" s="172">
        <f t="shared" si="375"/>
        <v>0.25</v>
      </c>
      <c r="Q730" s="251">
        <f t="shared" si="376"/>
        <v>3.75</v>
      </c>
      <c r="R730" s="173">
        <f t="shared" si="377"/>
        <v>3.8289375000000003</v>
      </c>
      <c r="S730" s="250">
        <v>0.05</v>
      </c>
      <c r="T730" s="171">
        <f t="shared" si="378"/>
        <v>0.05</v>
      </c>
      <c r="U730" s="256">
        <v>75</v>
      </c>
      <c r="V730" s="170">
        <f t="shared" si="379"/>
        <v>76.578749999999999</v>
      </c>
      <c r="W730" s="258">
        <v>0.2</v>
      </c>
      <c r="X730" s="257">
        <f t="shared" si="369"/>
        <v>90</v>
      </c>
      <c r="Y730" s="170">
        <f t="shared" si="367"/>
        <v>91.894499999999994</v>
      </c>
      <c r="Z730" s="170">
        <f t="shared" si="370"/>
        <v>92</v>
      </c>
      <c r="AA730" s="407">
        <f t="shared" si="368"/>
        <v>0</v>
      </c>
      <c r="AB730" s="194"/>
    </row>
    <row r="731" spans="1:28" s="278" customFormat="1" x14ac:dyDescent="0.25">
      <c r="A731" s="209">
        <v>717208</v>
      </c>
      <c r="B731" s="387" t="s">
        <v>19452</v>
      </c>
      <c r="C731" s="248"/>
      <c r="D731" s="247" t="s">
        <v>2</v>
      </c>
      <c r="E731" s="249">
        <f t="shared" si="380"/>
        <v>18.958344999999998</v>
      </c>
      <c r="F731" s="170">
        <f t="shared" si="380"/>
        <v>19.357418162249999</v>
      </c>
      <c r="G731" s="250">
        <v>0.35</v>
      </c>
      <c r="H731" s="171">
        <f t="shared" si="371"/>
        <v>0.35</v>
      </c>
      <c r="I731" s="249">
        <f t="shared" si="381"/>
        <v>18.958344999999998</v>
      </c>
      <c r="J731" s="170">
        <f t="shared" si="381"/>
        <v>19.357418162249999</v>
      </c>
      <c r="K731" s="250">
        <v>0.35</v>
      </c>
      <c r="L731" s="172">
        <f t="shared" si="372"/>
        <v>0.35</v>
      </c>
      <c r="M731" s="249">
        <f t="shared" si="373"/>
        <v>13.541675</v>
      </c>
      <c r="N731" s="170">
        <f t="shared" si="374"/>
        <v>13.826727258749999</v>
      </c>
      <c r="O731" s="250">
        <v>0.25</v>
      </c>
      <c r="P731" s="172">
        <f t="shared" si="375"/>
        <v>0.25</v>
      </c>
      <c r="Q731" s="251">
        <f t="shared" si="376"/>
        <v>2.7083349999999999</v>
      </c>
      <c r="R731" s="173">
        <f t="shared" si="377"/>
        <v>2.76534545175</v>
      </c>
      <c r="S731" s="250">
        <v>0.05</v>
      </c>
      <c r="T731" s="171">
        <f t="shared" si="378"/>
        <v>0.05</v>
      </c>
      <c r="U731" s="256">
        <v>54.166699999999999</v>
      </c>
      <c r="V731" s="170">
        <f t="shared" si="379"/>
        <v>55.306909034999997</v>
      </c>
      <c r="W731" s="258">
        <v>0.2</v>
      </c>
      <c r="X731" s="257">
        <f t="shared" si="369"/>
        <v>65.000039999999998</v>
      </c>
      <c r="Y731" s="170">
        <f t="shared" si="367"/>
        <v>66.368290841999993</v>
      </c>
      <c r="Z731" s="170">
        <f t="shared" si="370"/>
        <v>67</v>
      </c>
      <c r="AA731" s="407">
        <f t="shared" si="368"/>
        <v>0</v>
      </c>
      <c r="AB731" s="194"/>
    </row>
    <row r="732" spans="1:28" s="278" customFormat="1" x14ac:dyDescent="0.25">
      <c r="A732" s="209">
        <v>717210</v>
      </c>
      <c r="B732" s="387" t="s">
        <v>19453</v>
      </c>
      <c r="C732" s="248"/>
      <c r="D732" s="247" t="s">
        <v>2</v>
      </c>
      <c r="E732" s="249">
        <f t="shared" si="380"/>
        <v>29.166549999999997</v>
      </c>
      <c r="F732" s="170">
        <f t="shared" si="380"/>
        <v>29.780505877499998</v>
      </c>
      <c r="G732" s="250">
        <v>0.35</v>
      </c>
      <c r="H732" s="171">
        <f t="shared" si="371"/>
        <v>0.35</v>
      </c>
      <c r="I732" s="249">
        <f t="shared" si="381"/>
        <v>29.166549999999997</v>
      </c>
      <c r="J732" s="170">
        <f t="shared" si="381"/>
        <v>29.780505877499998</v>
      </c>
      <c r="K732" s="250">
        <v>0.35</v>
      </c>
      <c r="L732" s="172">
        <f t="shared" si="372"/>
        <v>0.35</v>
      </c>
      <c r="M732" s="249">
        <f t="shared" si="373"/>
        <v>20.83325</v>
      </c>
      <c r="N732" s="170">
        <f t="shared" si="374"/>
        <v>21.271789912500001</v>
      </c>
      <c r="O732" s="250">
        <v>0.25</v>
      </c>
      <c r="P732" s="172">
        <f t="shared" si="375"/>
        <v>0.25</v>
      </c>
      <c r="Q732" s="251">
        <f t="shared" si="376"/>
        <v>4.1666499999999997</v>
      </c>
      <c r="R732" s="173">
        <f t="shared" si="377"/>
        <v>4.2543579825000002</v>
      </c>
      <c r="S732" s="250">
        <v>0.05</v>
      </c>
      <c r="T732" s="171">
        <f t="shared" si="378"/>
        <v>0.05</v>
      </c>
      <c r="U732" s="256">
        <v>83.332999999999998</v>
      </c>
      <c r="V732" s="170">
        <f t="shared" si="379"/>
        <v>85.087159650000004</v>
      </c>
      <c r="W732" s="258">
        <v>0.2</v>
      </c>
      <c r="X732" s="257">
        <f t="shared" si="369"/>
        <v>99.999600000000001</v>
      </c>
      <c r="Y732" s="170">
        <f t="shared" si="367"/>
        <v>102.10459158</v>
      </c>
      <c r="Z732" s="170">
        <f t="shared" si="370"/>
        <v>105</v>
      </c>
      <c r="AA732" s="407">
        <f t="shared" si="368"/>
        <v>0</v>
      </c>
      <c r="AB732" s="194"/>
    </row>
    <row r="733" spans="1:28" s="278" customFormat="1" x14ac:dyDescent="0.25">
      <c r="A733" s="209">
        <v>717210</v>
      </c>
      <c r="B733" s="387" t="s">
        <v>19454</v>
      </c>
      <c r="C733" s="248"/>
      <c r="D733" s="247" t="s">
        <v>2</v>
      </c>
      <c r="E733" s="249">
        <f t="shared" si="380"/>
        <v>20.416549999999997</v>
      </c>
      <c r="F733" s="170">
        <f t="shared" si="380"/>
        <v>20.846318377499998</v>
      </c>
      <c r="G733" s="250">
        <v>0.35</v>
      </c>
      <c r="H733" s="171">
        <f t="shared" si="371"/>
        <v>0.35</v>
      </c>
      <c r="I733" s="249">
        <f t="shared" si="381"/>
        <v>20.416549999999997</v>
      </c>
      <c r="J733" s="170">
        <f t="shared" si="381"/>
        <v>20.846318377499998</v>
      </c>
      <c r="K733" s="250">
        <v>0.35</v>
      </c>
      <c r="L733" s="172">
        <f t="shared" si="372"/>
        <v>0.35</v>
      </c>
      <c r="M733" s="249">
        <f t="shared" si="373"/>
        <v>14.58325</v>
      </c>
      <c r="N733" s="170">
        <f t="shared" si="374"/>
        <v>14.8902274125</v>
      </c>
      <c r="O733" s="250">
        <v>0.25</v>
      </c>
      <c r="P733" s="172">
        <f t="shared" si="375"/>
        <v>0.25</v>
      </c>
      <c r="Q733" s="251">
        <f t="shared" si="376"/>
        <v>2.9166500000000002</v>
      </c>
      <c r="R733" s="173">
        <f t="shared" si="377"/>
        <v>2.9780454825000002</v>
      </c>
      <c r="S733" s="250">
        <v>0.05</v>
      </c>
      <c r="T733" s="171">
        <f t="shared" si="378"/>
        <v>0.05</v>
      </c>
      <c r="U733" s="256">
        <v>58.332999999999998</v>
      </c>
      <c r="V733" s="170">
        <f t="shared" si="379"/>
        <v>59.560909649999999</v>
      </c>
      <c r="W733" s="258">
        <v>0.2</v>
      </c>
      <c r="X733" s="257">
        <f t="shared" si="369"/>
        <v>69.999600000000001</v>
      </c>
      <c r="Y733" s="170">
        <f t="shared" si="367"/>
        <v>71.473091580000002</v>
      </c>
      <c r="Z733" s="170">
        <f t="shared" si="370"/>
        <v>72</v>
      </c>
      <c r="AA733" s="407">
        <f t="shared" si="368"/>
        <v>0</v>
      </c>
      <c r="AB733" s="194"/>
    </row>
    <row r="734" spans="1:28" s="278" customFormat="1" x14ac:dyDescent="0.25">
      <c r="A734" s="209">
        <v>717213</v>
      </c>
      <c r="B734" s="387" t="s">
        <v>19455</v>
      </c>
      <c r="C734" s="248"/>
      <c r="D734" s="247" t="s">
        <v>2</v>
      </c>
      <c r="E734" s="249">
        <f t="shared" si="380"/>
        <v>32.083345000000001</v>
      </c>
      <c r="F734" s="170">
        <f t="shared" si="380"/>
        <v>32.758699412250003</v>
      </c>
      <c r="G734" s="250">
        <v>0.35</v>
      </c>
      <c r="H734" s="171">
        <f t="shared" si="371"/>
        <v>0.35</v>
      </c>
      <c r="I734" s="249">
        <f t="shared" si="381"/>
        <v>32.083345000000001</v>
      </c>
      <c r="J734" s="170">
        <f t="shared" si="381"/>
        <v>32.758699412250003</v>
      </c>
      <c r="K734" s="250">
        <v>0.35</v>
      </c>
      <c r="L734" s="172">
        <f t="shared" si="372"/>
        <v>0.35</v>
      </c>
      <c r="M734" s="249">
        <f t="shared" si="373"/>
        <v>22.916675000000001</v>
      </c>
      <c r="N734" s="170">
        <f t="shared" si="374"/>
        <v>23.399071008750003</v>
      </c>
      <c r="O734" s="250">
        <v>0.25</v>
      </c>
      <c r="P734" s="172">
        <f t="shared" si="375"/>
        <v>0.25</v>
      </c>
      <c r="Q734" s="251">
        <f t="shared" si="376"/>
        <v>4.5833350000000008</v>
      </c>
      <c r="R734" s="173">
        <f t="shared" si="377"/>
        <v>4.6798142017500011</v>
      </c>
      <c r="S734" s="250">
        <v>0.05</v>
      </c>
      <c r="T734" s="171">
        <f t="shared" si="378"/>
        <v>0.05</v>
      </c>
      <c r="U734" s="256">
        <v>91.666700000000006</v>
      </c>
      <c r="V734" s="170">
        <f t="shared" si="379"/>
        <v>93.596284035000011</v>
      </c>
      <c r="W734" s="258">
        <v>0.2</v>
      </c>
      <c r="X734" s="257">
        <f t="shared" si="369"/>
        <v>110.00004000000001</v>
      </c>
      <c r="Y734" s="170">
        <f t="shared" ref="Y734:Y810" si="382">IF(V734*(W734+1)=0,X734,V734*(W734+1))</f>
        <v>112.315540842</v>
      </c>
      <c r="Z734" s="170">
        <f t="shared" si="370"/>
        <v>115</v>
      </c>
      <c r="AA734" s="407">
        <f t="shared" si="368"/>
        <v>0</v>
      </c>
      <c r="AB734" s="194"/>
    </row>
    <row r="735" spans="1:28" s="278" customFormat="1" x14ac:dyDescent="0.25">
      <c r="A735" s="209">
        <v>717213</v>
      </c>
      <c r="B735" s="387" t="s">
        <v>19456</v>
      </c>
      <c r="C735" s="248"/>
      <c r="D735" s="247" t="s">
        <v>2</v>
      </c>
      <c r="E735" s="249">
        <f t="shared" si="380"/>
        <v>21.875</v>
      </c>
      <c r="F735" s="170">
        <f t="shared" si="380"/>
        <v>22.33546875</v>
      </c>
      <c r="G735" s="250">
        <v>0.35</v>
      </c>
      <c r="H735" s="171">
        <f t="shared" si="371"/>
        <v>0.35</v>
      </c>
      <c r="I735" s="249">
        <f t="shared" si="381"/>
        <v>21.875</v>
      </c>
      <c r="J735" s="170">
        <f t="shared" si="381"/>
        <v>22.33546875</v>
      </c>
      <c r="K735" s="250">
        <v>0.35</v>
      </c>
      <c r="L735" s="172">
        <f t="shared" si="372"/>
        <v>0.35</v>
      </c>
      <c r="M735" s="249">
        <f t="shared" si="373"/>
        <v>15.625</v>
      </c>
      <c r="N735" s="170">
        <f t="shared" si="374"/>
        <v>15.953906250000001</v>
      </c>
      <c r="O735" s="250">
        <v>0.25</v>
      </c>
      <c r="P735" s="172">
        <f t="shared" si="375"/>
        <v>0.25</v>
      </c>
      <c r="Q735" s="251">
        <f t="shared" si="376"/>
        <v>3.125</v>
      </c>
      <c r="R735" s="173">
        <f t="shared" si="377"/>
        <v>3.1907812500000006</v>
      </c>
      <c r="S735" s="250">
        <v>0.05</v>
      </c>
      <c r="T735" s="171">
        <f t="shared" si="378"/>
        <v>0.05</v>
      </c>
      <c r="U735" s="256">
        <v>62.5</v>
      </c>
      <c r="V735" s="170">
        <f t="shared" si="379"/>
        <v>63.815625000000004</v>
      </c>
      <c r="W735" s="258">
        <v>0.2</v>
      </c>
      <c r="X735" s="257">
        <f t="shared" si="369"/>
        <v>75</v>
      </c>
      <c r="Y735" s="170">
        <f t="shared" si="382"/>
        <v>76.578749999999999</v>
      </c>
      <c r="Z735" s="170">
        <f t="shared" si="370"/>
        <v>77</v>
      </c>
      <c r="AA735" s="407">
        <f t="shared" si="368"/>
        <v>0</v>
      </c>
      <c r="AB735" s="194"/>
    </row>
    <row r="736" spans="1:28" s="278" customFormat="1" ht="14.4" thickBot="1" x14ac:dyDescent="0.3">
      <c r="A736" s="378">
        <v>717216</v>
      </c>
      <c r="B736" s="411" t="s">
        <v>19457</v>
      </c>
      <c r="C736" s="265"/>
      <c r="D736" s="264" t="s">
        <v>2</v>
      </c>
      <c r="E736" s="266">
        <f t="shared" si="380"/>
        <v>33.541654999999999</v>
      </c>
      <c r="F736" s="174">
        <f t="shared" si="380"/>
        <v>34.247706837749995</v>
      </c>
      <c r="G736" s="267">
        <v>0.35</v>
      </c>
      <c r="H736" s="268">
        <f t="shared" si="371"/>
        <v>0.35</v>
      </c>
      <c r="I736" s="266">
        <f t="shared" si="381"/>
        <v>33.541654999999999</v>
      </c>
      <c r="J736" s="174">
        <f t="shared" si="381"/>
        <v>34.247706837749995</v>
      </c>
      <c r="K736" s="267">
        <v>0.35</v>
      </c>
      <c r="L736" s="269">
        <f t="shared" si="372"/>
        <v>0.35</v>
      </c>
      <c r="M736" s="266">
        <f t="shared" si="373"/>
        <v>23.958324999999999</v>
      </c>
      <c r="N736" s="174">
        <f t="shared" si="374"/>
        <v>24.462647741249999</v>
      </c>
      <c r="O736" s="267">
        <v>0.25</v>
      </c>
      <c r="P736" s="269">
        <f t="shared" si="375"/>
        <v>0.25</v>
      </c>
      <c r="Q736" s="270">
        <f t="shared" si="376"/>
        <v>4.7916650000000001</v>
      </c>
      <c r="R736" s="271">
        <f t="shared" si="377"/>
        <v>4.8925295482499997</v>
      </c>
      <c r="S736" s="267">
        <v>0.05</v>
      </c>
      <c r="T736" s="268">
        <f t="shared" si="378"/>
        <v>0.05</v>
      </c>
      <c r="U736" s="409">
        <v>95.833299999999994</v>
      </c>
      <c r="V736" s="174">
        <f t="shared" si="379"/>
        <v>97.850590964999995</v>
      </c>
      <c r="W736" s="322">
        <v>0.2</v>
      </c>
      <c r="X736" s="274">
        <f t="shared" si="369"/>
        <v>114.99995999999999</v>
      </c>
      <c r="Y736" s="174">
        <f t="shared" si="382"/>
        <v>117.42070915799999</v>
      </c>
      <c r="Z736" s="174">
        <f t="shared" si="370"/>
        <v>120</v>
      </c>
      <c r="AA736" s="410">
        <f t="shared" si="368"/>
        <v>0</v>
      </c>
      <c r="AB736" s="194"/>
    </row>
    <row r="737" spans="1:28" s="278" customFormat="1" x14ac:dyDescent="0.25">
      <c r="A737" s="209">
        <v>717216</v>
      </c>
      <c r="B737" s="387" t="s">
        <v>19458</v>
      </c>
      <c r="C737" s="248"/>
      <c r="D737" s="247" t="s">
        <v>2</v>
      </c>
      <c r="E737" s="249">
        <f t="shared" si="380"/>
        <v>23.333345000000001</v>
      </c>
      <c r="F737" s="170">
        <f t="shared" si="380"/>
        <v>23.824511912249999</v>
      </c>
      <c r="G737" s="250">
        <v>0.35</v>
      </c>
      <c r="H737" s="171">
        <f t="shared" si="371"/>
        <v>0.35</v>
      </c>
      <c r="I737" s="249">
        <f t="shared" si="381"/>
        <v>23.333345000000001</v>
      </c>
      <c r="J737" s="170">
        <f t="shared" si="381"/>
        <v>23.824511912249999</v>
      </c>
      <c r="K737" s="250">
        <v>0.35</v>
      </c>
      <c r="L737" s="172">
        <f t="shared" si="372"/>
        <v>0.35</v>
      </c>
      <c r="M737" s="249">
        <f t="shared" si="373"/>
        <v>16.666675000000001</v>
      </c>
      <c r="N737" s="170">
        <f t="shared" si="374"/>
        <v>17.017508508750002</v>
      </c>
      <c r="O737" s="250">
        <v>0.25</v>
      </c>
      <c r="P737" s="172">
        <f t="shared" si="375"/>
        <v>0.25</v>
      </c>
      <c r="Q737" s="251">
        <f t="shared" si="376"/>
        <v>3.3333350000000004</v>
      </c>
      <c r="R737" s="173">
        <f t="shared" si="377"/>
        <v>3.4035017017500007</v>
      </c>
      <c r="S737" s="250">
        <v>0.05</v>
      </c>
      <c r="T737" s="171">
        <f t="shared" si="378"/>
        <v>0.05</v>
      </c>
      <c r="U737" s="256">
        <v>66.666700000000006</v>
      </c>
      <c r="V737" s="170">
        <f t="shared" si="379"/>
        <v>68.070034035000006</v>
      </c>
      <c r="W737" s="258">
        <v>0.2</v>
      </c>
      <c r="X737" s="257">
        <f t="shared" si="369"/>
        <v>80.000040000000013</v>
      </c>
      <c r="Y737" s="170">
        <f t="shared" si="382"/>
        <v>81.684040842000002</v>
      </c>
      <c r="Z737" s="170">
        <f t="shared" si="370"/>
        <v>82</v>
      </c>
      <c r="AA737" s="407">
        <f t="shared" ref="AA737:AA800" si="383">C737*Z737</f>
        <v>0</v>
      </c>
      <c r="AB737" s="194"/>
    </row>
    <row r="738" spans="1:28" s="278" customFormat="1" x14ac:dyDescent="0.25">
      <c r="A738" s="209">
        <v>717218</v>
      </c>
      <c r="B738" s="387" t="s">
        <v>19459</v>
      </c>
      <c r="C738" s="248"/>
      <c r="D738" s="247" t="s">
        <v>2</v>
      </c>
      <c r="E738" s="249">
        <f t="shared" si="380"/>
        <v>35</v>
      </c>
      <c r="F738" s="170">
        <f t="shared" si="380"/>
        <v>35.736750000000001</v>
      </c>
      <c r="G738" s="250">
        <v>0.35</v>
      </c>
      <c r="H738" s="171">
        <f t="shared" si="371"/>
        <v>0.35</v>
      </c>
      <c r="I738" s="249">
        <f t="shared" si="381"/>
        <v>35</v>
      </c>
      <c r="J738" s="170">
        <f t="shared" si="381"/>
        <v>35.736750000000001</v>
      </c>
      <c r="K738" s="250">
        <v>0.35</v>
      </c>
      <c r="L738" s="172">
        <f t="shared" si="372"/>
        <v>0.35</v>
      </c>
      <c r="M738" s="249">
        <f t="shared" si="373"/>
        <v>25</v>
      </c>
      <c r="N738" s="170">
        <f t="shared" si="374"/>
        <v>25.526250000000001</v>
      </c>
      <c r="O738" s="250">
        <v>0.25</v>
      </c>
      <c r="P738" s="172">
        <f t="shared" si="375"/>
        <v>0.25</v>
      </c>
      <c r="Q738" s="251">
        <f t="shared" si="376"/>
        <v>5</v>
      </c>
      <c r="R738" s="173">
        <f t="shared" si="377"/>
        <v>5.1052500000000007</v>
      </c>
      <c r="S738" s="250">
        <v>0.05</v>
      </c>
      <c r="T738" s="171">
        <f t="shared" si="378"/>
        <v>0.05</v>
      </c>
      <c r="U738" s="256">
        <v>100</v>
      </c>
      <c r="V738" s="170">
        <f t="shared" si="379"/>
        <v>102.105</v>
      </c>
      <c r="W738" s="258">
        <v>0.2</v>
      </c>
      <c r="X738" s="257">
        <f t="shared" ref="X738:X815" si="384">U738+U738*W738</f>
        <v>120</v>
      </c>
      <c r="Y738" s="170">
        <f t="shared" si="382"/>
        <v>122.526</v>
      </c>
      <c r="Z738" s="170">
        <f t="shared" si="370"/>
        <v>125</v>
      </c>
      <c r="AA738" s="407">
        <f t="shared" si="383"/>
        <v>0</v>
      </c>
      <c r="AB738" s="194"/>
    </row>
    <row r="739" spans="1:28" s="278" customFormat="1" x14ac:dyDescent="0.25">
      <c r="A739" s="209">
        <v>717218</v>
      </c>
      <c r="B739" s="387" t="s">
        <v>19460</v>
      </c>
      <c r="C739" s="248"/>
      <c r="D739" s="247" t="s">
        <v>2</v>
      </c>
      <c r="E739" s="249">
        <f t="shared" si="380"/>
        <v>26.25</v>
      </c>
      <c r="F739" s="170">
        <f t="shared" si="380"/>
        <v>26.802562499999997</v>
      </c>
      <c r="G739" s="250">
        <v>0.35</v>
      </c>
      <c r="H739" s="171">
        <f t="shared" si="371"/>
        <v>0.35</v>
      </c>
      <c r="I739" s="249">
        <f t="shared" si="381"/>
        <v>26.25</v>
      </c>
      <c r="J739" s="170">
        <f t="shared" si="381"/>
        <v>26.802562499999997</v>
      </c>
      <c r="K739" s="250">
        <v>0.35</v>
      </c>
      <c r="L739" s="172">
        <f t="shared" si="372"/>
        <v>0.35</v>
      </c>
      <c r="M739" s="249">
        <f t="shared" si="373"/>
        <v>18.75</v>
      </c>
      <c r="N739" s="170">
        <f t="shared" si="374"/>
        <v>19.1446875</v>
      </c>
      <c r="O739" s="250">
        <v>0.25</v>
      </c>
      <c r="P739" s="172">
        <f t="shared" si="375"/>
        <v>0.25</v>
      </c>
      <c r="Q739" s="251">
        <f t="shared" si="376"/>
        <v>3.75</v>
      </c>
      <c r="R739" s="173">
        <f t="shared" si="377"/>
        <v>3.8289375000000003</v>
      </c>
      <c r="S739" s="250">
        <v>0.05</v>
      </c>
      <c r="T739" s="171">
        <f t="shared" si="378"/>
        <v>0.05</v>
      </c>
      <c r="U739" s="256">
        <v>75</v>
      </c>
      <c r="V739" s="170">
        <f t="shared" si="379"/>
        <v>76.578749999999999</v>
      </c>
      <c r="W739" s="258">
        <v>0.2</v>
      </c>
      <c r="X739" s="257">
        <f t="shared" si="384"/>
        <v>90</v>
      </c>
      <c r="Y739" s="170">
        <f t="shared" si="382"/>
        <v>91.894499999999994</v>
      </c>
      <c r="Z739" s="170">
        <f t="shared" si="370"/>
        <v>92</v>
      </c>
      <c r="AA739" s="407">
        <f t="shared" si="383"/>
        <v>0</v>
      </c>
      <c r="AB739" s="194"/>
    </row>
    <row r="740" spans="1:28" s="278" customFormat="1" x14ac:dyDescent="0.25">
      <c r="A740" s="209">
        <v>717221</v>
      </c>
      <c r="B740" s="387" t="s">
        <v>19461</v>
      </c>
      <c r="C740" s="248"/>
      <c r="D740" s="247" t="s">
        <v>2</v>
      </c>
      <c r="E740" s="249">
        <f t="shared" si="380"/>
        <v>39.375</v>
      </c>
      <c r="F740" s="170">
        <f t="shared" si="380"/>
        <v>40.203843749999997</v>
      </c>
      <c r="G740" s="250">
        <v>0.35</v>
      </c>
      <c r="H740" s="171">
        <f t="shared" si="371"/>
        <v>0.35</v>
      </c>
      <c r="I740" s="249">
        <f t="shared" si="381"/>
        <v>39.375</v>
      </c>
      <c r="J740" s="170">
        <f t="shared" si="381"/>
        <v>40.203843749999997</v>
      </c>
      <c r="K740" s="250">
        <v>0.35</v>
      </c>
      <c r="L740" s="172">
        <f t="shared" si="372"/>
        <v>0.35</v>
      </c>
      <c r="M740" s="249">
        <f t="shared" si="373"/>
        <v>28.125</v>
      </c>
      <c r="N740" s="170">
        <f t="shared" si="374"/>
        <v>28.717031250000002</v>
      </c>
      <c r="O740" s="250">
        <v>0.25</v>
      </c>
      <c r="P740" s="172">
        <f t="shared" si="375"/>
        <v>0.25</v>
      </c>
      <c r="Q740" s="251">
        <f t="shared" si="376"/>
        <v>5.625</v>
      </c>
      <c r="R740" s="173">
        <f t="shared" si="377"/>
        <v>5.7434062500000005</v>
      </c>
      <c r="S740" s="250">
        <v>0.05</v>
      </c>
      <c r="T740" s="171">
        <f t="shared" si="378"/>
        <v>0.05</v>
      </c>
      <c r="U740" s="256">
        <v>112.5</v>
      </c>
      <c r="V740" s="170">
        <f t="shared" si="379"/>
        <v>114.86812500000001</v>
      </c>
      <c r="W740" s="258">
        <v>0.2</v>
      </c>
      <c r="X740" s="257">
        <f t="shared" si="384"/>
        <v>135</v>
      </c>
      <c r="Y740" s="170">
        <f t="shared" si="382"/>
        <v>137.84174999999999</v>
      </c>
      <c r="Z740" s="170">
        <f t="shared" si="370"/>
        <v>140</v>
      </c>
      <c r="AA740" s="407">
        <f t="shared" si="383"/>
        <v>0</v>
      </c>
      <c r="AB740" s="194"/>
    </row>
    <row r="741" spans="1:28" s="278" customFormat="1" x14ac:dyDescent="0.25">
      <c r="A741" s="209">
        <v>717221</v>
      </c>
      <c r="B741" s="387" t="s">
        <v>19462</v>
      </c>
      <c r="C741" s="248"/>
      <c r="D741" s="247" t="s">
        <v>2</v>
      </c>
      <c r="E741" s="249">
        <f t="shared" si="380"/>
        <v>32.083345000000001</v>
      </c>
      <c r="F741" s="170">
        <f t="shared" si="380"/>
        <v>32.758699412250003</v>
      </c>
      <c r="G741" s="250">
        <v>0.35</v>
      </c>
      <c r="H741" s="171">
        <f t="shared" si="371"/>
        <v>0.35</v>
      </c>
      <c r="I741" s="249">
        <f t="shared" si="381"/>
        <v>32.083345000000001</v>
      </c>
      <c r="J741" s="170">
        <f t="shared" si="381"/>
        <v>32.758699412250003</v>
      </c>
      <c r="K741" s="250">
        <v>0.35</v>
      </c>
      <c r="L741" s="172">
        <f t="shared" si="372"/>
        <v>0.35</v>
      </c>
      <c r="M741" s="249">
        <f t="shared" si="373"/>
        <v>22.916675000000001</v>
      </c>
      <c r="N741" s="170">
        <f t="shared" si="374"/>
        <v>23.399071008750003</v>
      </c>
      <c r="O741" s="250">
        <v>0.25</v>
      </c>
      <c r="P741" s="172">
        <f t="shared" si="375"/>
        <v>0.25</v>
      </c>
      <c r="Q741" s="251">
        <f t="shared" si="376"/>
        <v>4.5833350000000008</v>
      </c>
      <c r="R741" s="173">
        <f t="shared" si="377"/>
        <v>4.6798142017500011</v>
      </c>
      <c r="S741" s="250">
        <v>0.05</v>
      </c>
      <c r="T741" s="171">
        <f t="shared" si="378"/>
        <v>0.05</v>
      </c>
      <c r="U741" s="256">
        <v>91.666700000000006</v>
      </c>
      <c r="V741" s="170">
        <f t="shared" si="379"/>
        <v>93.596284035000011</v>
      </c>
      <c r="W741" s="258">
        <v>0.2</v>
      </c>
      <c r="X741" s="257">
        <f t="shared" si="384"/>
        <v>110.00004000000001</v>
      </c>
      <c r="Y741" s="170">
        <f t="shared" si="382"/>
        <v>112.315540842</v>
      </c>
      <c r="Z741" s="170">
        <f t="shared" si="370"/>
        <v>115</v>
      </c>
      <c r="AA741" s="407">
        <f t="shared" si="383"/>
        <v>0</v>
      </c>
      <c r="AB741" s="194"/>
    </row>
    <row r="742" spans="1:28" s="278" customFormat="1" x14ac:dyDescent="0.25">
      <c r="A742" s="209">
        <v>717224</v>
      </c>
      <c r="B742" s="387" t="s">
        <v>19463</v>
      </c>
      <c r="C742" s="248"/>
      <c r="D742" s="247" t="s">
        <v>2</v>
      </c>
      <c r="E742" s="249">
        <f t="shared" si="380"/>
        <v>42.291654999999999</v>
      </c>
      <c r="F742" s="170">
        <f t="shared" si="380"/>
        <v>43.181894337750002</v>
      </c>
      <c r="G742" s="250">
        <v>0.35</v>
      </c>
      <c r="H742" s="171">
        <f t="shared" si="371"/>
        <v>0.35</v>
      </c>
      <c r="I742" s="249">
        <f t="shared" si="381"/>
        <v>42.291654999999999</v>
      </c>
      <c r="J742" s="170">
        <f t="shared" si="381"/>
        <v>43.181894337750002</v>
      </c>
      <c r="K742" s="250">
        <v>0.35</v>
      </c>
      <c r="L742" s="172">
        <f t="shared" si="372"/>
        <v>0.35</v>
      </c>
      <c r="M742" s="249">
        <f t="shared" si="373"/>
        <v>30.208324999999999</v>
      </c>
      <c r="N742" s="170">
        <f t="shared" si="374"/>
        <v>30.844210241250003</v>
      </c>
      <c r="O742" s="250">
        <v>0.25</v>
      </c>
      <c r="P742" s="172">
        <f t="shared" si="375"/>
        <v>0.25</v>
      </c>
      <c r="Q742" s="251">
        <f t="shared" si="376"/>
        <v>6.0416650000000001</v>
      </c>
      <c r="R742" s="173">
        <f t="shared" si="377"/>
        <v>6.168842048250001</v>
      </c>
      <c r="S742" s="250">
        <v>0.05</v>
      </c>
      <c r="T742" s="171">
        <f t="shared" si="378"/>
        <v>0.05</v>
      </c>
      <c r="U742" s="256">
        <v>120.83329999999999</v>
      </c>
      <c r="V742" s="170">
        <f t="shared" si="379"/>
        <v>123.37684096500001</v>
      </c>
      <c r="W742" s="258">
        <v>0.2</v>
      </c>
      <c r="X742" s="257">
        <f t="shared" si="384"/>
        <v>144.99995999999999</v>
      </c>
      <c r="Y742" s="170">
        <f t="shared" si="382"/>
        <v>148.05220915800001</v>
      </c>
      <c r="Z742" s="170">
        <f t="shared" si="370"/>
        <v>150</v>
      </c>
      <c r="AA742" s="407">
        <f t="shared" si="383"/>
        <v>0</v>
      </c>
      <c r="AB742" s="194"/>
    </row>
    <row r="743" spans="1:28" s="278" customFormat="1" x14ac:dyDescent="0.25">
      <c r="A743" s="209">
        <v>717224</v>
      </c>
      <c r="B743" s="387" t="s">
        <v>19464</v>
      </c>
      <c r="C743" s="248"/>
      <c r="D743" s="247" t="s">
        <v>2</v>
      </c>
      <c r="E743" s="249">
        <f t="shared" si="380"/>
        <v>37.915499999999994</v>
      </c>
      <c r="F743" s="170">
        <f t="shared" si="380"/>
        <v>38.713621275000001</v>
      </c>
      <c r="G743" s="250">
        <v>0.35</v>
      </c>
      <c r="H743" s="171">
        <f t="shared" si="371"/>
        <v>0.35</v>
      </c>
      <c r="I743" s="249">
        <f t="shared" si="381"/>
        <v>37.915499999999994</v>
      </c>
      <c r="J743" s="170">
        <f t="shared" si="381"/>
        <v>38.713621275000001</v>
      </c>
      <c r="K743" s="250">
        <v>0.35</v>
      </c>
      <c r="L743" s="172">
        <f t="shared" si="372"/>
        <v>0.35</v>
      </c>
      <c r="M743" s="249">
        <f t="shared" si="373"/>
        <v>27.0825</v>
      </c>
      <c r="N743" s="170">
        <f t="shared" si="374"/>
        <v>27.652586625000001</v>
      </c>
      <c r="O743" s="250">
        <v>0.25</v>
      </c>
      <c r="P743" s="172">
        <f t="shared" si="375"/>
        <v>0.25</v>
      </c>
      <c r="Q743" s="251">
        <f t="shared" si="376"/>
        <v>5.4165000000000001</v>
      </c>
      <c r="R743" s="173">
        <f t="shared" si="377"/>
        <v>5.5305173250000008</v>
      </c>
      <c r="S743" s="250">
        <v>0.05</v>
      </c>
      <c r="T743" s="171">
        <f t="shared" si="378"/>
        <v>0.05</v>
      </c>
      <c r="U743" s="256">
        <v>108.33</v>
      </c>
      <c r="V743" s="170">
        <f t="shared" si="379"/>
        <v>110.61034650000001</v>
      </c>
      <c r="W743" s="258">
        <v>0.2</v>
      </c>
      <c r="X743" s="257">
        <f t="shared" si="384"/>
        <v>129.99600000000001</v>
      </c>
      <c r="Y743" s="170">
        <f t="shared" si="382"/>
        <v>132.73241580000001</v>
      </c>
      <c r="Z743" s="170">
        <f t="shared" si="370"/>
        <v>135</v>
      </c>
      <c r="AA743" s="407">
        <f t="shared" si="383"/>
        <v>0</v>
      </c>
      <c r="AB743" s="194"/>
    </row>
    <row r="744" spans="1:28" s="278" customFormat="1" x14ac:dyDescent="0.25">
      <c r="A744" s="209">
        <v>717230</v>
      </c>
      <c r="B744" s="387" t="s">
        <v>19465</v>
      </c>
      <c r="C744" s="248"/>
      <c r="D744" s="247" t="s">
        <v>2</v>
      </c>
      <c r="E744" s="249">
        <f t="shared" si="380"/>
        <v>39.999899999999997</v>
      </c>
      <c r="F744" s="170">
        <f t="shared" si="380"/>
        <v>40.843897890000001</v>
      </c>
      <c r="G744" s="250">
        <v>0.3</v>
      </c>
      <c r="H744" s="171">
        <f t="shared" si="371"/>
        <v>0.3</v>
      </c>
      <c r="I744" s="249">
        <f t="shared" si="381"/>
        <v>46.666549999999994</v>
      </c>
      <c r="J744" s="170">
        <f t="shared" si="381"/>
        <v>47.651214204999995</v>
      </c>
      <c r="K744" s="250">
        <v>0.35</v>
      </c>
      <c r="L744" s="172">
        <f t="shared" si="372"/>
        <v>0.35</v>
      </c>
      <c r="M744" s="249">
        <f t="shared" si="373"/>
        <v>39.999899999999997</v>
      </c>
      <c r="N744" s="170">
        <f t="shared" si="374"/>
        <v>40.843897890000001</v>
      </c>
      <c r="O744" s="250">
        <v>0.3</v>
      </c>
      <c r="P744" s="172">
        <f t="shared" si="375"/>
        <v>0.3</v>
      </c>
      <c r="Q744" s="251">
        <f t="shared" si="376"/>
        <v>6.6666500000000006</v>
      </c>
      <c r="R744" s="173">
        <f t="shared" si="377"/>
        <v>6.8073163150000005</v>
      </c>
      <c r="S744" s="250">
        <v>0.05</v>
      </c>
      <c r="T744" s="171">
        <f t="shared" si="378"/>
        <v>0.05</v>
      </c>
      <c r="U744" s="256">
        <v>133.333</v>
      </c>
      <c r="V744" s="170">
        <f t="shared" si="379"/>
        <v>136.1463263</v>
      </c>
      <c r="W744" s="258">
        <v>0.2</v>
      </c>
      <c r="X744" s="257">
        <f t="shared" si="384"/>
        <v>159.99959999999999</v>
      </c>
      <c r="Y744" s="170">
        <f t="shared" si="382"/>
        <v>163.37559156</v>
      </c>
      <c r="Z744" s="170">
        <f t="shared" si="370"/>
        <v>165</v>
      </c>
      <c r="AA744" s="407">
        <f t="shared" si="383"/>
        <v>0</v>
      </c>
      <c r="AB744" s="194"/>
    </row>
    <row r="745" spans="1:28" s="278" customFormat="1" x14ac:dyDescent="0.25">
      <c r="A745" s="209">
        <v>717230</v>
      </c>
      <c r="B745" s="387" t="s">
        <v>19466</v>
      </c>
      <c r="C745" s="248"/>
      <c r="D745" s="247" t="s">
        <v>2</v>
      </c>
      <c r="E745" s="249">
        <f t="shared" si="380"/>
        <v>35.000000999999997</v>
      </c>
      <c r="F745" s="170">
        <f t="shared" si="380"/>
        <v>35.738501021099999</v>
      </c>
      <c r="G745" s="250">
        <v>0.3</v>
      </c>
      <c r="H745" s="171">
        <f t="shared" si="371"/>
        <v>0.3</v>
      </c>
      <c r="I745" s="249">
        <f t="shared" si="381"/>
        <v>40.833334499999999</v>
      </c>
      <c r="J745" s="170">
        <f t="shared" si="381"/>
        <v>41.694917857949996</v>
      </c>
      <c r="K745" s="250">
        <v>0.35</v>
      </c>
      <c r="L745" s="172">
        <f t="shared" si="372"/>
        <v>0.35</v>
      </c>
      <c r="M745" s="249">
        <f t="shared" si="373"/>
        <v>35.000000999999997</v>
      </c>
      <c r="N745" s="170">
        <f t="shared" si="374"/>
        <v>35.738501021099999</v>
      </c>
      <c r="O745" s="250">
        <v>0.3</v>
      </c>
      <c r="P745" s="172">
        <f t="shared" si="375"/>
        <v>0.3</v>
      </c>
      <c r="Q745" s="251">
        <f t="shared" si="376"/>
        <v>5.8333335000000002</v>
      </c>
      <c r="R745" s="173">
        <f t="shared" si="377"/>
        <v>5.9564168368499999</v>
      </c>
      <c r="S745" s="250">
        <v>0.05</v>
      </c>
      <c r="T745" s="171">
        <f t="shared" si="378"/>
        <v>0.05</v>
      </c>
      <c r="U745" s="256">
        <v>116.66667</v>
      </c>
      <c r="V745" s="170">
        <f t="shared" si="379"/>
        <v>119.128336737</v>
      </c>
      <c r="W745" s="258">
        <v>0.2</v>
      </c>
      <c r="X745" s="257">
        <f t="shared" si="384"/>
        <v>140.00000399999999</v>
      </c>
      <c r="Y745" s="170">
        <f t="shared" si="382"/>
        <v>142.9540040844</v>
      </c>
      <c r="Z745" s="170">
        <f t="shared" si="370"/>
        <v>145</v>
      </c>
      <c r="AA745" s="407">
        <f t="shared" si="383"/>
        <v>0</v>
      </c>
      <c r="AB745" s="194"/>
    </row>
    <row r="746" spans="1:28" s="278" customFormat="1" x14ac:dyDescent="0.25">
      <c r="A746" s="209">
        <v>717236</v>
      </c>
      <c r="B746" s="387" t="s">
        <v>19467</v>
      </c>
      <c r="C746" s="248"/>
      <c r="D746" s="247" t="s">
        <v>2</v>
      </c>
      <c r="E746" s="249">
        <f t="shared" si="380"/>
        <v>43.749990000000004</v>
      </c>
      <c r="F746" s="170">
        <f t="shared" si="380"/>
        <v>44.673114789000003</v>
      </c>
      <c r="G746" s="250">
        <v>0.3</v>
      </c>
      <c r="H746" s="171">
        <f t="shared" si="371"/>
        <v>0.3</v>
      </c>
      <c r="I746" s="249">
        <f t="shared" si="381"/>
        <v>51.041654999999999</v>
      </c>
      <c r="J746" s="170">
        <f t="shared" si="381"/>
        <v>52.118633920500002</v>
      </c>
      <c r="K746" s="250">
        <v>0.35</v>
      </c>
      <c r="L746" s="172">
        <f t="shared" si="372"/>
        <v>0.35</v>
      </c>
      <c r="M746" s="249">
        <f t="shared" si="373"/>
        <v>43.749990000000004</v>
      </c>
      <c r="N746" s="170">
        <f t="shared" si="374"/>
        <v>44.673114789000003</v>
      </c>
      <c r="O746" s="250">
        <v>0.3</v>
      </c>
      <c r="P746" s="172">
        <f t="shared" si="375"/>
        <v>0.3</v>
      </c>
      <c r="Q746" s="251">
        <f t="shared" si="376"/>
        <v>7.291665000000001</v>
      </c>
      <c r="R746" s="173">
        <f t="shared" si="377"/>
        <v>7.4455191315000011</v>
      </c>
      <c r="S746" s="250">
        <v>0.05</v>
      </c>
      <c r="T746" s="171">
        <f t="shared" si="378"/>
        <v>0.05</v>
      </c>
      <c r="U746" s="256">
        <v>145.83330000000001</v>
      </c>
      <c r="V746" s="170">
        <f t="shared" si="379"/>
        <v>148.91038263000002</v>
      </c>
      <c r="W746" s="258">
        <v>0.2</v>
      </c>
      <c r="X746" s="257">
        <f t="shared" si="384"/>
        <v>174.99996000000002</v>
      </c>
      <c r="Y746" s="170">
        <f t="shared" si="382"/>
        <v>178.69245915600001</v>
      </c>
      <c r="Z746" s="170">
        <f t="shared" si="370"/>
        <v>180</v>
      </c>
      <c r="AA746" s="407">
        <f t="shared" si="383"/>
        <v>0</v>
      </c>
      <c r="AB746" s="194"/>
    </row>
    <row r="747" spans="1:28" s="278" customFormat="1" x14ac:dyDescent="0.25">
      <c r="A747" s="209">
        <v>717236</v>
      </c>
      <c r="B747" s="387" t="s">
        <v>19468</v>
      </c>
      <c r="C747" s="248"/>
      <c r="D747" s="247" t="s">
        <v>2</v>
      </c>
      <c r="E747" s="249">
        <f t="shared" si="380"/>
        <v>37.5</v>
      </c>
      <c r="F747" s="170">
        <f t="shared" si="380"/>
        <v>38.291249999999998</v>
      </c>
      <c r="G747" s="250">
        <v>0.3</v>
      </c>
      <c r="H747" s="171">
        <f t="shared" si="371"/>
        <v>0.3</v>
      </c>
      <c r="I747" s="249">
        <f t="shared" si="381"/>
        <v>43.75</v>
      </c>
      <c r="J747" s="170">
        <f t="shared" si="381"/>
        <v>44.673124999999992</v>
      </c>
      <c r="K747" s="250">
        <v>0.35</v>
      </c>
      <c r="L747" s="172">
        <f t="shared" si="372"/>
        <v>0.35</v>
      </c>
      <c r="M747" s="249">
        <f t="shared" si="373"/>
        <v>37.5</v>
      </c>
      <c r="N747" s="170">
        <f t="shared" si="374"/>
        <v>38.291249999999998</v>
      </c>
      <c r="O747" s="250">
        <v>0.3</v>
      </c>
      <c r="P747" s="172">
        <f t="shared" si="375"/>
        <v>0.3</v>
      </c>
      <c r="Q747" s="251">
        <f t="shared" si="376"/>
        <v>6.25</v>
      </c>
      <c r="R747" s="173">
        <f t="shared" si="377"/>
        <v>6.381875</v>
      </c>
      <c r="S747" s="250">
        <v>0.05</v>
      </c>
      <c r="T747" s="171">
        <f t="shared" si="378"/>
        <v>0.05</v>
      </c>
      <c r="U747" s="256">
        <v>125</v>
      </c>
      <c r="V747" s="170">
        <f t="shared" si="379"/>
        <v>127.63749999999999</v>
      </c>
      <c r="W747" s="258">
        <v>0.2</v>
      </c>
      <c r="X747" s="257">
        <f t="shared" si="384"/>
        <v>150</v>
      </c>
      <c r="Y747" s="170">
        <f t="shared" si="382"/>
        <v>153.16499999999999</v>
      </c>
      <c r="Z747" s="170">
        <f t="shared" si="370"/>
        <v>155</v>
      </c>
      <c r="AA747" s="407">
        <f t="shared" si="383"/>
        <v>0</v>
      </c>
      <c r="AB747" s="194"/>
    </row>
    <row r="748" spans="1:28" s="278" customFormat="1" x14ac:dyDescent="0.25">
      <c r="A748" s="209">
        <v>717254</v>
      </c>
      <c r="B748" s="387" t="s">
        <v>19469</v>
      </c>
      <c r="C748" s="248"/>
      <c r="D748" s="247" t="s">
        <v>2</v>
      </c>
      <c r="E748" s="249">
        <f t="shared" si="380"/>
        <v>105</v>
      </c>
      <c r="F748" s="170">
        <f t="shared" si="380"/>
        <v>107.21549999999999</v>
      </c>
      <c r="G748" s="250">
        <v>0.3</v>
      </c>
      <c r="H748" s="171">
        <f t="shared" si="371"/>
        <v>0.3</v>
      </c>
      <c r="I748" s="249">
        <f t="shared" si="381"/>
        <v>122.49999999999999</v>
      </c>
      <c r="J748" s="170">
        <f t="shared" si="381"/>
        <v>125.08474999999999</v>
      </c>
      <c r="K748" s="250">
        <v>0.35</v>
      </c>
      <c r="L748" s="172">
        <f t="shared" si="372"/>
        <v>0.35</v>
      </c>
      <c r="M748" s="249">
        <f t="shared" si="373"/>
        <v>105</v>
      </c>
      <c r="N748" s="170">
        <f t="shared" si="374"/>
        <v>107.21549999999999</v>
      </c>
      <c r="O748" s="250">
        <v>0.3</v>
      </c>
      <c r="P748" s="172">
        <f t="shared" si="375"/>
        <v>0.3</v>
      </c>
      <c r="Q748" s="251">
        <f t="shared" si="376"/>
        <v>17.5</v>
      </c>
      <c r="R748" s="173">
        <f t="shared" si="377"/>
        <v>17.869250000000001</v>
      </c>
      <c r="S748" s="250">
        <v>0.05</v>
      </c>
      <c r="T748" s="171">
        <f t="shared" si="378"/>
        <v>0.05</v>
      </c>
      <c r="U748" s="256">
        <v>350</v>
      </c>
      <c r="V748" s="170">
        <f t="shared" si="379"/>
        <v>357.38499999999999</v>
      </c>
      <c r="W748" s="258">
        <v>0.2</v>
      </c>
      <c r="X748" s="257">
        <f t="shared" si="384"/>
        <v>420</v>
      </c>
      <c r="Y748" s="170">
        <f t="shared" si="382"/>
        <v>428.86199999999997</v>
      </c>
      <c r="Z748" s="170">
        <f t="shared" si="370"/>
        <v>430</v>
      </c>
      <c r="AA748" s="407">
        <f t="shared" si="383"/>
        <v>0</v>
      </c>
      <c r="AB748" s="194"/>
    </row>
    <row r="749" spans="1:28" s="278" customFormat="1" x14ac:dyDescent="0.25">
      <c r="A749" s="209">
        <v>717254</v>
      </c>
      <c r="B749" s="387" t="s">
        <v>19470</v>
      </c>
      <c r="C749" s="248"/>
      <c r="D749" s="247" t="s">
        <v>2</v>
      </c>
      <c r="E749" s="249">
        <f t="shared" si="380"/>
        <v>90</v>
      </c>
      <c r="F749" s="170">
        <f t="shared" si="380"/>
        <v>91.899000000000015</v>
      </c>
      <c r="G749" s="250">
        <v>0.3</v>
      </c>
      <c r="H749" s="171">
        <f t="shared" si="371"/>
        <v>0.3</v>
      </c>
      <c r="I749" s="249">
        <f t="shared" si="381"/>
        <v>105</v>
      </c>
      <c r="J749" s="170">
        <f t="shared" si="381"/>
        <v>107.21550000000001</v>
      </c>
      <c r="K749" s="250">
        <v>0.35</v>
      </c>
      <c r="L749" s="172">
        <f t="shared" si="372"/>
        <v>0.35</v>
      </c>
      <c r="M749" s="249">
        <f t="shared" si="373"/>
        <v>90</v>
      </c>
      <c r="N749" s="170">
        <f t="shared" si="374"/>
        <v>91.899000000000015</v>
      </c>
      <c r="O749" s="250">
        <v>0.3</v>
      </c>
      <c r="P749" s="172">
        <f t="shared" si="375"/>
        <v>0.3</v>
      </c>
      <c r="Q749" s="251">
        <f t="shared" si="376"/>
        <v>15</v>
      </c>
      <c r="R749" s="173">
        <f t="shared" si="377"/>
        <v>15.316500000000003</v>
      </c>
      <c r="S749" s="250">
        <v>0.05</v>
      </c>
      <c r="T749" s="171">
        <f t="shared" si="378"/>
        <v>0.05</v>
      </c>
      <c r="U749" s="256">
        <v>300</v>
      </c>
      <c r="V749" s="170">
        <f t="shared" si="379"/>
        <v>306.33000000000004</v>
      </c>
      <c r="W749" s="258">
        <v>0.2</v>
      </c>
      <c r="X749" s="257">
        <f t="shared" si="384"/>
        <v>360</v>
      </c>
      <c r="Y749" s="170">
        <f t="shared" si="382"/>
        <v>367.59600000000006</v>
      </c>
      <c r="Z749" s="170">
        <f t="shared" si="370"/>
        <v>370</v>
      </c>
      <c r="AA749" s="407">
        <f t="shared" si="383"/>
        <v>0</v>
      </c>
      <c r="AB749" s="194"/>
    </row>
    <row r="750" spans="1:28" s="278" customFormat="1" x14ac:dyDescent="0.25">
      <c r="A750" s="209">
        <v>717304</v>
      </c>
      <c r="B750" s="387" t="s">
        <v>19471</v>
      </c>
      <c r="C750" s="248"/>
      <c r="D750" s="247" t="s">
        <v>2</v>
      </c>
      <c r="E750" s="249">
        <f t="shared" si="380"/>
        <v>31.666668000000001</v>
      </c>
      <c r="F750" s="170">
        <f t="shared" si="380"/>
        <v>32.309501360399999</v>
      </c>
      <c r="G750" s="250">
        <v>0.4</v>
      </c>
      <c r="H750" s="171">
        <f t="shared" si="371"/>
        <v>0.4</v>
      </c>
      <c r="I750" s="249">
        <f t="shared" si="381"/>
        <v>35.625001499999996</v>
      </c>
      <c r="J750" s="170">
        <f t="shared" si="381"/>
        <v>36.348189030450001</v>
      </c>
      <c r="K750" s="250">
        <v>0.45</v>
      </c>
      <c r="L750" s="172">
        <f t="shared" si="372"/>
        <v>0.45</v>
      </c>
      <c r="M750" s="249">
        <f t="shared" si="373"/>
        <v>7.9166670000000003</v>
      </c>
      <c r="N750" s="170">
        <f t="shared" si="374"/>
        <v>8.0773753400999997</v>
      </c>
      <c r="O750" s="250">
        <v>0.1</v>
      </c>
      <c r="P750" s="172">
        <f t="shared" si="375"/>
        <v>0.1</v>
      </c>
      <c r="Q750" s="251">
        <f t="shared" si="376"/>
        <v>3.9583335000000002</v>
      </c>
      <c r="R750" s="173">
        <f t="shared" si="377"/>
        <v>4.0386876700499998</v>
      </c>
      <c r="S750" s="250">
        <v>0.05</v>
      </c>
      <c r="T750" s="171">
        <f t="shared" si="378"/>
        <v>0.05</v>
      </c>
      <c r="U750" s="256">
        <v>79.166669999999996</v>
      </c>
      <c r="V750" s="170">
        <f t="shared" si="379"/>
        <v>80.773753400999993</v>
      </c>
      <c r="W750" s="258">
        <v>0.2</v>
      </c>
      <c r="X750" s="257">
        <f t="shared" si="384"/>
        <v>95.00000399999999</v>
      </c>
      <c r="Y750" s="170">
        <f t="shared" si="382"/>
        <v>96.928504081199989</v>
      </c>
      <c r="Z750" s="170">
        <f t="shared" ref="Z750:Z827" si="385">IF(Y750=0, 0, IF(Y750&lt;10, _xlfn.CEILING.MATH(Y750,1), IF(Y750&lt;100, _xlfn.CEILING.MATH(Y750,1),IF(Y750&lt;1000, _xlfn.CEILING.MATH(Y750,5), IF(Y750&lt;10000, _xlfn.CEILING.MATH(Y750, 25), IF(Y750&lt;100000, _xlfn.CEILING.MATH(Y750,250), IF(Y750&lt;1000000, _xlfn.CEILING.MATH(Y750,500), 0)))))))</f>
        <v>97</v>
      </c>
      <c r="AA750" s="407">
        <f t="shared" si="383"/>
        <v>0</v>
      </c>
      <c r="AB750" s="194"/>
    </row>
    <row r="751" spans="1:28" s="278" customFormat="1" x14ac:dyDescent="0.25">
      <c r="A751" s="209">
        <v>717304</v>
      </c>
      <c r="B751" s="387" t="s">
        <v>19472</v>
      </c>
      <c r="C751" s="248"/>
      <c r="D751" s="247" t="s">
        <v>2</v>
      </c>
      <c r="E751" s="249">
        <f t="shared" si="380"/>
        <v>26.666680000000003</v>
      </c>
      <c r="F751" s="170">
        <f t="shared" si="380"/>
        <v>27.208013604000008</v>
      </c>
      <c r="G751" s="250">
        <v>0.4</v>
      </c>
      <c r="H751" s="171">
        <f t="shared" si="371"/>
        <v>0.4</v>
      </c>
      <c r="I751" s="249">
        <f t="shared" si="381"/>
        <v>30.000015000000005</v>
      </c>
      <c r="J751" s="170">
        <f t="shared" si="381"/>
        <v>30.609015304500009</v>
      </c>
      <c r="K751" s="250">
        <v>0.45</v>
      </c>
      <c r="L751" s="172">
        <f t="shared" si="372"/>
        <v>0.45</v>
      </c>
      <c r="M751" s="249">
        <f t="shared" si="373"/>
        <v>6.6666700000000008</v>
      </c>
      <c r="N751" s="170">
        <f t="shared" si="374"/>
        <v>6.8020034010000021</v>
      </c>
      <c r="O751" s="250">
        <v>0.1</v>
      </c>
      <c r="P751" s="172">
        <f t="shared" si="375"/>
        <v>0.1</v>
      </c>
      <c r="Q751" s="251">
        <f t="shared" si="376"/>
        <v>3.3333350000000004</v>
      </c>
      <c r="R751" s="173">
        <f t="shared" si="377"/>
        <v>3.4010017005000011</v>
      </c>
      <c r="S751" s="250">
        <v>0.05</v>
      </c>
      <c r="T751" s="171">
        <f t="shared" si="378"/>
        <v>0.05</v>
      </c>
      <c r="U751" s="256">
        <v>66.666700000000006</v>
      </c>
      <c r="V751" s="170">
        <f t="shared" si="379"/>
        <v>68.020034010000018</v>
      </c>
      <c r="W751" s="258">
        <v>0.2</v>
      </c>
      <c r="X751" s="257">
        <f t="shared" si="384"/>
        <v>80.000040000000013</v>
      </c>
      <c r="Y751" s="170">
        <f t="shared" si="382"/>
        <v>81.624040812000018</v>
      </c>
      <c r="Z751" s="170">
        <f t="shared" si="385"/>
        <v>82</v>
      </c>
      <c r="AA751" s="407">
        <f t="shared" si="383"/>
        <v>0</v>
      </c>
      <c r="AB751" s="194"/>
    </row>
    <row r="752" spans="1:28" s="278" customFormat="1" x14ac:dyDescent="0.25">
      <c r="A752" s="209">
        <v>717306</v>
      </c>
      <c r="B752" s="387" t="s">
        <v>19473</v>
      </c>
      <c r="C752" s="248"/>
      <c r="D752" s="247" t="s">
        <v>2</v>
      </c>
      <c r="E752" s="249">
        <f t="shared" si="380"/>
        <v>36.667999999999999</v>
      </c>
      <c r="F752" s="170">
        <f t="shared" si="380"/>
        <v>58.333333333333343</v>
      </c>
      <c r="G752" s="250">
        <v>0.4</v>
      </c>
      <c r="H752" s="171">
        <f t="shared" si="371"/>
        <v>0.4</v>
      </c>
      <c r="I752" s="249">
        <f t="shared" si="381"/>
        <v>41.2515</v>
      </c>
      <c r="J752" s="170">
        <f t="shared" si="381"/>
        <v>65.625</v>
      </c>
      <c r="K752" s="250">
        <v>0.45</v>
      </c>
      <c r="L752" s="172">
        <f t="shared" si="372"/>
        <v>0.45</v>
      </c>
      <c r="M752" s="249">
        <f t="shared" si="373"/>
        <v>9.1669999999999998</v>
      </c>
      <c r="N752" s="170">
        <f t="shared" si="374"/>
        <v>14.583333333333336</v>
      </c>
      <c r="O752" s="250">
        <v>0.1</v>
      </c>
      <c r="P752" s="172">
        <f t="shared" si="375"/>
        <v>0.1</v>
      </c>
      <c r="Q752" s="251">
        <f t="shared" si="376"/>
        <v>4.5834999999999999</v>
      </c>
      <c r="R752" s="173">
        <f t="shared" si="377"/>
        <v>7.2916666666666679</v>
      </c>
      <c r="S752" s="250">
        <v>0.05</v>
      </c>
      <c r="T752" s="171">
        <f t="shared" si="378"/>
        <v>0.05</v>
      </c>
      <c r="U752" s="256">
        <v>91.67</v>
      </c>
      <c r="V752" s="170">
        <f>175/1.2</f>
        <v>145.83333333333334</v>
      </c>
      <c r="W752" s="258">
        <v>0.2</v>
      </c>
      <c r="X752" s="257">
        <f t="shared" si="384"/>
        <v>110.004</v>
      </c>
      <c r="Y752" s="170">
        <f t="shared" si="382"/>
        <v>175</v>
      </c>
      <c r="Z752" s="170">
        <f t="shared" si="385"/>
        <v>175</v>
      </c>
      <c r="AA752" s="407">
        <f t="shared" si="383"/>
        <v>0</v>
      </c>
      <c r="AB752" s="194"/>
    </row>
    <row r="753" spans="1:28" s="278" customFormat="1" x14ac:dyDescent="0.25">
      <c r="A753" s="209">
        <v>717306</v>
      </c>
      <c r="B753" s="387" t="s">
        <v>19474</v>
      </c>
      <c r="C753" s="248"/>
      <c r="D753" s="247" t="s">
        <v>2</v>
      </c>
      <c r="E753" s="249">
        <f t="shared" si="380"/>
        <v>30</v>
      </c>
      <c r="F753" s="170">
        <f t="shared" si="380"/>
        <v>43.333333333333343</v>
      </c>
      <c r="G753" s="250">
        <v>0.4</v>
      </c>
      <c r="H753" s="171">
        <f t="shared" si="371"/>
        <v>0.4</v>
      </c>
      <c r="I753" s="249">
        <f t="shared" si="381"/>
        <v>33.75</v>
      </c>
      <c r="J753" s="170">
        <f t="shared" si="381"/>
        <v>48.750000000000007</v>
      </c>
      <c r="K753" s="250">
        <v>0.45</v>
      </c>
      <c r="L753" s="172">
        <f t="shared" si="372"/>
        <v>0.45</v>
      </c>
      <c r="M753" s="249">
        <f t="shared" si="373"/>
        <v>7.5</v>
      </c>
      <c r="N753" s="170">
        <f t="shared" si="374"/>
        <v>10.833333333333336</v>
      </c>
      <c r="O753" s="250">
        <v>0.1</v>
      </c>
      <c r="P753" s="172">
        <f t="shared" si="375"/>
        <v>0.1</v>
      </c>
      <c r="Q753" s="251">
        <f t="shared" si="376"/>
        <v>3.75</v>
      </c>
      <c r="R753" s="173">
        <f t="shared" si="377"/>
        <v>5.4166666666666679</v>
      </c>
      <c r="S753" s="250">
        <v>0.05</v>
      </c>
      <c r="T753" s="171">
        <f t="shared" si="378"/>
        <v>0.05</v>
      </c>
      <c r="U753" s="256">
        <v>75</v>
      </c>
      <c r="V753" s="170">
        <f>130/1.2</f>
        <v>108.33333333333334</v>
      </c>
      <c r="W753" s="258">
        <v>0.2</v>
      </c>
      <c r="X753" s="257">
        <f t="shared" si="384"/>
        <v>90</v>
      </c>
      <c r="Y753" s="170">
        <f t="shared" si="382"/>
        <v>130</v>
      </c>
      <c r="Z753" s="170">
        <f t="shared" si="385"/>
        <v>130</v>
      </c>
      <c r="AA753" s="407">
        <f t="shared" si="383"/>
        <v>0</v>
      </c>
      <c r="AB753" s="194"/>
    </row>
    <row r="754" spans="1:28" s="278" customFormat="1" x14ac:dyDescent="0.25">
      <c r="A754" s="209">
        <v>717308</v>
      </c>
      <c r="B754" s="387" t="s">
        <v>19475</v>
      </c>
      <c r="C754" s="248"/>
      <c r="D754" s="247" t="s">
        <v>2</v>
      </c>
      <c r="E754" s="249">
        <f t="shared" si="380"/>
        <v>46.668000000000006</v>
      </c>
      <c r="F754" s="170">
        <f t="shared" si="380"/>
        <v>61.666666666666679</v>
      </c>
      <c r="G754" s="250">
        <v>0.4</v>
      </c>
      <c r="H754" s="171">
        <f t="shared" si="371"/>
        <v>0.4</v>
      </c>
      <c r="I754" s="249">
        <f t="shared" si="381"/>
        <v>52.5015</v>
      </c>
      <c r="J754" s="170">
        <f t="shared" si="381"/>
        <v>69.375000000000014</v>
      </c>
      <c r="K754" s="250">
        <v>0.45</v>
      </c>
      <c r="L754" s="172">
        <f t="shared" si="372"/>
        <v>0.45</v>
      </c>
      <c r="M754" s="249">
        <f t="shared" si="373"/>
        <v>11.667000000000002</v>
      </c>
      <c r="N754" s="170">
        <f t="shared" si="374"/>
        <v>15.41666666666667</v>
      </c>
      <c r="O754" s="250">
        <v>0.1</v>
      </c>
      <c r="P754" s="172">
        <f t="shared" si="375"/>
        <v>0.1</v>
      </c>
      <c r="Q754" s="251">
        <f t="shared" si="376"/>
        <v>5.8335000000000008</v>
      </c>
      <c r="R754" s="173">
        <f t="shared" si="377"/>
        <v>7.7083333333333348</v>
      </c>
      <c r="S754" s="250">
        <v>0.05</v>
      </c>
      <c r="T754" s="171">
        <f t="shared" si="378"/>
        <v>0.05</v>
      </c>
      <c r="U754" s="256">
        <v>116.67</v>
      </c>
      <c r="V754" s="170">
        <f>185/1.2</f>
        <v>154.16666666666669</v>
      </c>
      <c r="W754" s="258">
        <v>0.2</v>
      </c>
      <c r="X754" s="257">
        <f t="shared" si="384"/>
        <v>140.00400000000002</v>
      </c>
      <c r="Y754" s="170">
        <f t="shared" si="382"/>
        <v>185.00000000000003</v>
      </c>
      <c r="Z754" s="170">
        <f t="shared" si="385"/>
        <v>185</v>
      </c>
      <c r="AA754" s="407">
        <f t="shared" si="383"/>
        <v>0</v>
      </c>
      <c r="AB754" s="194"/>
    </row>
    <row r="755" spans="1:28" s="278" customFormat="1" x14ac:dyDescent="0.25">
      <c r="A755" s="209">
        <v>717308</v>
      </c>
      <c r="B755" s="387" t="s">
        <v>19476</v>
      </c>
      <c r="C755" s="248"/>
      <c r="D755" s="247" t="s">
        <v>2</v>
      </c>
      <c r="E755" s="249">
        <f t="shared" si="380"/>
        <v>33.332000000000001</v>
      </c>
      <c r="F755" s="170">
        <f t="shared" si="380"/>
        <v>46.666666666666671</v>
      </c>
      <c r="G755" s="250">
        <v>0.4</v>
      </c>
      <c r="H755" s="171">
        <f t="shared" si="371"/>
        <v>0.4</v>
      </c>
      <c r="I755" s="249">
        <f t="shared" si="381"/>
        <v>37.4985</v>
      </c>
      <c r="J755" s="170">
        <f t="shared" si="381"/>
        <v>52.5</v>
      </c>
      <c r="K755" s="250">
        <v>0.45</v>
      </c>
      <c r="L755" s="172">
        <f t="shared" si="372"/>
        <v>0.45</v>
      </c>
      <c r="M755" s="249">
        <f t="shared" si="373"/>
        <v>8.3330000000000002</v>
      </c>
      <c r="N755" s="170">
        <f t="shared" si="374"/>
        <v>11.666666666666668</v>
      </c>
      <c r="O755" s="250">
        <v>0.1</v>
      </c>
      <c r="P755" s="172">
        <f t="shared" si="375"/>
        <v>0.1</v>
      </c>
      <c r="Q755" s="251">
        <f t="shared" si="376"/>
        <v>4.1665000000000001</v>
      </c>
      <c r="R755" s="173">
        <f t="shared" si="377"/>
        <v>5.8333333333333339</v>
      </c>
      <c r="S755" s="250">
        <v>0.05</v>
      </c>
      <c r="T755" s="171">
        <f t="shared" si="378"/>
        <v>0.05</v>
      </c>
      <c r="U755" s="256">
        <v>83.33</v>
      </c>
      <c r="V755" s="170">
        <f>140/1.2</f>
        <v>116.66666666666667</v>
      </c>
      <c r="W755" s="258">
        <v>0.2</v>
      </c>
      <c r="X755" s="257">
        <f t="shared" si="384"/>
        <v>99.995999999999995</v>
      </c>
      <c r="Y755" s="170">
        <f t="shared" si="382"/>
        <v>140</v>
      </c>
      <c r="Z755" s="170">
        <f t="shared" si="385"/>
        <v>140</v>
      </c>
      <c r="AA755" s="407">
        <f t="shared" si="383"/>
        <v>0</v>
      </c>
      <c r="AB755" s="194"/>
    </row>
    <row r="756" spans="1:28" s="278" customFormat="1" x14ac:dyDescent="0.25">
      <c r="A756" s="209">
        <v>717310</v>
      </c>
      <c r="B756" s="387" t="s">
        <v>19477</v>
      </c>
      <c r="C756" s="248"/>
      <c r="D756" s="247" t="s">
        <v>2</v>
      </c>
      <c r="E756" s="249">
        <f t="shared" si="380"/>
        <v>50</v>
      </c>
      <c r="F756" s="170">
        <f t="shared" si="380"/>
        <v>63.333333333333343</v>
      </c>
      <c r="G756" s="250">
        <v>0.4</v>
      </c>
      <c r="H756" s="171">
        <f t="shared" si="371"/>
        <v>0.4</v>
      </c>
      <c r="I756" s="249">
        <f t="shared" si="381"/>
        <v>56.25</v>
      </c>
      <c r="J756" s="170">
        <f t="shared" si="381"/>
        <v>71.25</v>
      </c>
      <c r="K756" s="250">
        <v>0.45</v>
      </c>
      <c r="L756" s="172">
        <f t="shared" si="372"/>
        <v>0.45</v>
      </c>
      <c r="M756" s="249">
        <f t="shared" si="373"/>
        <v>12.5</v>
      </c>
      <c r="N756" s="170">
        <f t="shared" si="374"/>
        <v>15.833333333333336</v>
      </c>
      <c r="O756" s="250">
        <v>0.1</v>
      </c>
      <c r="P756" s="172">
        <f t="shared" si="375"/>
        <v>0.1</v>
      </c>
      <c r="Q756" s="251">
        <f t="shared" si="376"/>
        <v>6.25</v>
      </c>
      <c r="R756" s="173">
        <f t="shared" si="377"/>
        <v>7.9166666666666679</v>
      </c>
      <c r="S756" s="250">
        <v>0.05</v>
      </c>
      <c r="T756" s="171">
        <f t="shared" si="378"/>
        <v>0.05</v>
      </c>
      <c r="U756" s="256">
        <v>125</v>
      </c>
      <c r="V756" s="170">
        <f>190/1.2</f>
        <v>158.33333333333334</v>
      </c>
      <c r="W756" s="258">
        <v>0.2</v>
      </c>
      <c r="X756" s="257">
        <f t="shared" si="384"/>
        <v>150</v>
      </c>
      <c r="Y756" s="170">
        <f t="shared" si="382"/>
        <v>190</v>
      </c>
      <c r="Z756" s="170">
        <f t="shared" si="385"/>
        <v>190</v>
      </c>
      <c r="AA756" s="407">
        <f t="shared" si="383"/>
        <v>0</v>
      </c>
      <c r="AB756" s="194"/>
    </row>
    <row r="757" spans="1:28" s="278" customFormat="1" x14ac:dyDescent="0.25">
      <c r="A757" s="209">
        <v>717310</v>
      </c>
      <c r="B757" s="387" t="s">
        <v>19478</v>
      </c>
      <c r="C757" s="248"/>
      <c r="D757" s="247" t="s">
        <v>2</v>
      </c>
      <c r="E757" s="249">
        <f t="shared" si="380"/>
        <v>36.667999999999999</v>
      </c>
      <c r="F757" s="170">
        <f t="shared" si="380"/>
        <v>48.333333333333343</v>
      </c>
      <c r="G757" s="250">
        <v>0.4</v>
      </c>
      <c r="H757" s="171">
        <f t="shared" si="371"/>
        <v>0.4</v>
      </c>
      <c r="I757" s="249">
        <f t="shared" si="381"/>
        <v>41.2515</v>
      </c>
      <c r="J757" s="170">
        <f t="shared" si="381"/>
        <v>54.375000000000007</v>
      </c>
      <c r="K757" s="250">
        <v>0.45</v>
      </c>
      <c r="L757" s="172">
        <f t="shared" si="372"/>
        <v>0.45</v>
      </c>
      <c r="M757" s="249">
        <f t="shared" si="373"/>
        <v>9.1669999999999998</v>
      </c>
      <c r="N757" s="170">
        <f t="shared" si="374"/>
        <v>12.083333333333336</v>
      </c>
      <c r="O757" s="250">
        <v>0.1</v>
      </c>
      <c r="P757" s="172">
        <f t="shared" si="375"/>
        <v>0.1</v>
      </c>
      <c r="Q757" s="251">
        <f t="shared" si="376"/>
        <v>4.5834999999999999</v>
      </c>
      <c r="R757" s="173">
        <f t="shared" si="377"/>
        <v>6.0416666666666679</v>
      </c>
      <c r="S757" s="250">
        <v>0.05</v>
      </c>
      <c r="T757" s="171">
        <f t="shared" si="378"/>
        <v>0.05</v>
      </c>
      <c r="U757" s="256">
        <v>91.67</v>
      </c>
      <c r="V757" s="170">
        <f>145/1.2</f>
        <v>120.83333333333334</v>
      </c>
      <c r="W757" s="258">
        <v>0.2</v>
      </c>
      <c r="X757" s="257">
        <f t="shared" si="384"/>
        <v>110.004</v>
      </c>
      <c r="Y757" s="170">
        <f t="shared" si="382"/>
        <v>145</v>
      </c>
      <c r="Z757" s="170">
        <f t="shared" si="385"/>
        <v>145</v>
      </c>
      <c r="AA757" s="407">
        <f t="shared" si="383"/>
        <v>0</v>
      </c>
      <c r="AB757" s="194"/>
    </row>
    <row r="758" spans="1:28" s="278" customFormat="1" x14ac:dyDescent="0.25">
      <c r="A758" s="209">
        <v>717312</v>
      </c>
      <c r="B758" s="387" t="s">
        <v>19479</v>
      </c>
      <c r="C758" s="248"/>
      <c r="D758" s="247" t="s">
        <v>2</v>
      </c>
      <c r="E758" s="249">
        <f t="shared" si="380"/>
        <v>53.332000000000008</v>
      </c>
      <c r="F758" s="170">
        <f t="shared" si="380"/>
        <v>66.666666666666671</v>
      </c>
      <c r="G758" s="250">
        <v>0.4</v>
      </c>
      <c r="H758" s="171">
        <f t="shared" si="371"/>
        <v>0.4</v>
      </c>
      <c r="I758" s="249">
        <f t="shared" si="381"/>
        <v>59.998500000000007</v>
      </c>
      <c r="J758" s="170">
        <f t="shared" si="381"/>
        <v>75.000000000000014</v>
      </c>
      <c r="K758" s="250">
        <v>0.45</v>
      </c>
      <c r="L758" s="172">
        <f t="shared" si="372"/>
        <v>0.45</v>
      </c>
      <c r="M758" s="249">
        <f t="shared" si="373"/>
        <v>13.333000000000002</v>
      </c>
      <c r="N758" s="170">
        <f t="shared" si="374"/>
        <v>16.666666666666668</v>
      </c>
      <c r="O758" s="250">
        <v>0.1</v>
      </c>
      <c r="P758" s="172">
        <f t="shared" si="375"/>
        <v>0.1</v>
      </c>
      <c r="Q758" s="251">
        <f t="shared" si="376"/>
        <v>6.666500000000001</v>
      </c>
      <c r="R758" s="173">
        <f t="shared" si="377"/>
        <v>8.3333333333333339</v>
      </c>
      <c r="S758" s="250">
        <v>0.05</v>
      </c>
      <c r="T758" s="171">
        <f t="shared" si="378"/>
        <v>0.05</v>
      </c>
      <c r="U758" s="256">
        <v>133.33000000000001</v>
      </c>
      <c r="V758" s="170">
        <f>200/1.2</f>
        <v>166.66666666666669</v>
      </c>
      <c r="W758" s="258">
        <v>0.2</v>
      </c>
      <c r="X758" s="257">
        <f t="shared" si="384"/>
        <v>159.99600000000001</v>
      </c>
      <c r="Y758" s="170">
        <f t="shared" si="382"/>
        <v>200.00000000000003</v>
      </c>
      <c r="Z758" s="170">
        <f t="shared" si="385"/>
        <v>200</v>
      </c>
      <c r="AA758" s="407">
        <f t="shared" si="383"/>
        <v>0</v>
      </c>
      <c r="AB758" s="194"/>
    </row>
    <row r="759" spans="1:28" s="278" customFormat="1" x14ac:dyDescent="0.25">
      <c r="A759" s="209">
        <v>717312</v>
      </c>
      <c r="B759" s="387" t="s">
        <v>19480</v>
      </c>
      <c r="C759" s="248"/>
      <c r="D759" s="247" t="s">
        <v>2</v>
      </c>
      <c r="E759" s="249">
        <f t="shared" si="380"/>
        <v>38.332000000000001</v>
      </c>
      <c r="F759" s="170">
        <f t="shared" si="380"/>
        <v>51.666666666666679</v>
      </c>
      <c r="G759" s="250">
        <v>0.4</v>
      </c>
      <c r="H759" s="171">
        <f t="shared" ref="H759:H824" si="386">G759</f>
        <v>0.4</v>
      </c>
      <c r="I759" s="249">
        <f t="shared" si="381"/>
        <v>43.1235</v>
      </c>
      <c r="J759" s="170">
        <f t="shared" si="381"/>
        <v>58.125000000000007</v>
      </c>
      <c r="K759" s="250">
        <v>0.45</v>
      </c>
      <c r="L759" s="172">
        <f t="shared" ref="L759:L824" si="387">K759</f>
        <v>0.45</v>
      </c>
      <c r="M759" s="249">
        <f t="shared" ref="M759:M824" si="388">U759*O759</f>
        <v>9.5830000000000002</v>
      </c>
      <c r="N759" s="170">
        <f t="shared" ref="N759:N824" si="389">P759*V759</f>
        <v>12.91666666666667</v>
      </c>
      <c r="O759" s="250">
        <v>0.1</v>
      </c>
      <c r="P759" s="172">
        <f t="shared" ref="P759:P824" si="390">O759</f>
        <v>0.1</v>
      </c>
      <c r="Q759" s="251">
        <f t="shared" ref="Q759:Q824" si="391">U759*S759</f>
        <v>4.7915000000000001</v>
      </c>
      <c r="R759" s="173">
        <f t="shared" ref="R759:R824" si="392">T759*V759</f>
        <v>6.4583333333333348</v>
      </c>
      <c r="S759" s="250">
        <v>0.05</v>
      </c>
      <c r="T759" s="171">
        <f t="shared" ref="T759:T824" si="393">S759</f>
        <v>0.05</v>
      </c>
      <c r="U759" s="256">
        <v>95.83</v>
      </c>
      <c r="V759" s="170">
        <f>155/1.2</f>
        <v>129.16666666666669</v>
      </c>
      <c r="W759" s="258">
        <v>0.2</v>
      </c>
      <c r="X759" s="257">
        <f t="shared" si="384"/>
        <v>114.996</v>
      </c>
      <c r="Y759" s="170">
        <f t="shared" si="382"/>
        <v>155.00000000000003</v>
      </c>
      <c r="Z759" s="170">
        <f t="shared" si="385"/>
        <v>155</v>
      </c>
      <c r="AA759" s="407">
        <f t="shared" si="383"/>
        <v>0</v>
      </c>
      <c r="AB759" s="194"/>
    </row>
    <row r="760" spans="1:28" s="278" customFormat="1" x14ac:dyDescent="0.25">
      <c r="A760" s="200">
        <v>717314</v>
      </c>
      <c r="B760" s="313" t="s">
        <v>19481</v>
      </c>
      <c r="C760" s="248"/>
      <c r="D760" s="247" t="s">
        <v>2</v>
      </c>
      <c r="E760" s="249">
        <f>U760*G760</f>
        <v>56.667999999999999</v>
      </c>
      <c r="F760" s="170">
        <f>V760*H760</f>
        <v>57.81836040000001</v>
      </c>
      <c r="G760" s="250">
        <v>0.4</v>
      </c>
      <c r="H760" s="171">
        <f>G760</f>
        <v>0.4</v>
      </c>
      <c r="I760" s="249">
        <f>U760*K760</f>
        <v>63.751499999999993</v>
      </c>
      <c r="J760" s="170">
        <f>V760*L760</f>
        <v>65.045655450000012</v>
      </c>
      <c r="K760" s="250">
        <v>0.45</v>
      </c>
      <c r="L760" s="172">
        <f>K760</f>
        <v>0.45</v>
      </c>
      <c r="M760" s="249">
        <f>U760*O760</f>
        <v>14.167</v>
      </c>
      <c r="N760" s="170">
        <f>P760*V760</f>
        <v>14.454590100000003</v>
      </c>
      <c r="O760" s="250">
        <v>0.1</v>
      </c>
      <c r="P760" s="172">
        <f>O760</f>
        <v>0.1</v>
      </c>
      <c r="Q760" s="251">
        <f>U760*S760</f>
        <v>7.0834999999999999</v>
      </c>
      <c r="R760" s="173">
        <f>T760*V760</f>
        <v>7.2272950500000013</v>
      </c>
      <c r="S760" s="250">
        <v>0.05</v>
      </c>
      <c r="T760" s="171">
        <f>S760</f>
        <v>0.05</v>
      </c>
      <c r="U760" s="256">
        <v>141.66999999999999</v>
      </c>
      <c r="V760" s="170">
        <f t="shared" ref="V760:V823" si="394">SUM(E760*1.0235,I760*1.0175,M760*1.0245,Q760*1.0115)</f>
        <v>144.54590100000001</v>
      </c>
      <c r="W760" s="258">
        <v>0.2</v>
      </c>
      <c r="X760" s="257">
        <f>U760+U760*W760</f>
        <v>170.00399999999999</v>
      </c>
      <c r="Y760" s="170">
        <f>IF(V760*(W760+1)=0,X760,V760*(W760+1))</f>
        <v>173.45508120000002</v>
      </c>
      <c r="Z760" s="170">
        <f>IF(Y760=0, 0, IF(Y760&lt;10, _xlfn.CEILING.MATH(Y760,1), IF(Y760&lt;100, _xlfn.CEILING.MATH(Y760,1),IF(Y760&lt;1000, _xlfn.CEILING.MATH(Y760,5), IF(Y760&lt;10000, _xlfn.CEILING.MATH(Y760, 25), IF(Y760&lt;100000, _xlfn.CEILING.MATH(Y760,250), IF(Y760&lt;1000000, _xlfn.CEILING.MATH(Y760,500), 0)))))))</f>
        <v>175</v>
      </c>
      <c r="AA760" s="407">
        <f>C760*Z760</f>
        <v>0</v>
      </c>
      <c r="AB760" s="194"/>
    </row>
    <row r="761" spans="1:28" s="278" customFormat="1" x14ac:dyDescent="0.25">
      <c r="A761" s="200">
        <v>717314</v>
      </c>
      <c r="B761" s="313" t="s">
        <v>19482</v>
      </c>
      <c r="C761" s="248"/>
      <c r="D761" s="247" t="s">
        <v>2</v>
      </c>
      <c r="E761" s="249">
        <f>U761*G761</f>
        <v>41.668000000000006</v>
      </c>
      <c r="F761" s="170">
        <f>V761*H761</f>
        <v>42.513860400000013</v>
      </c>
      <c r="G761" s="250">
        <v>0.4</v>
      </c>
      <c r="H761" s="171">
        <f>G761</f>
        <v>0.4</v>
      </c>
      <c r="I761" s="249">
        <f>U761*K761</f>
        <v>46.8765</v>
      </c>
      <c r="J761" s="170">
        <f>V761*L761</f>
        <v>47.828092950000013</v>
      </c>
      <c r="K761" s="250">
        <v>0.45</v>
      </c>
      <c r="L761" s="172">
        <f>K761</f>
        <v>0.45</v>
      </c>
      <c r="M761" s="249">
        <f>U761*O761</f>
        <v>10.417000000000002</v>
      </c>
      <c r="N761" s="170">
        <f>P761*V761</f>
        <v>10.628465100000003</v>
      </c>
      <c r="O761" s="250">
        <v>0.1</v>
      </c>
      <c r="P761" s="172">
        <f>O761</f>
        <v>0.1</v>
      </c>
      <c r="Q761" s="251">
        <f>U761*S761</f>
        <v>5.2085000000000008</v>
      </c>
      <c r="R761" s="173">
        <f>T761*V761</f>
        <v>5.3142325500000016</v>
      </c>
      <c r="S761" s="250">
        <v>0.05</v>
      </c>
      <c r="T761" s="171">
        <f>S761</f>
        <v>0.05</v>
      </c>
      <c r="U761" s="256">
        <v>104.17</v>
      </c>
      <c r="V761" s="170">
        <f t="shared" si="394"/>
        <v>106.28465100000003</v>
      </c>
      <c r="W761" s="258">
        <v>0.2</v>
      </c>
      <c r="X761" s="257">
        <f>U761+U761*W761</f>
        <v>125.004</v>
      </c>
      <c r="Y761" s="170">
        <f>IF(V761*(W761+1)=0,X761,V761*(W761+1))</f>
        <v>127.54158120000002</v>
      </c>
      <c r="Z761" s="170">
        <f>IF(Y761=0, 0, IF(Y761&lt;10, _xlfn.CEILING.MATH(Y761,1), IF(Y761&lt;100, _xlfn.CEILING.MATH(Y761,1),IF(Y761&lt;1000, _xlfn.CEILING.MATH(Y761,5), IF(Y761&lt;10000, _xlfn.CEILING.MATH(Y761, 25), IF(Y761&lt;100000, _xlfn.CEILING.MATH(Y761,250), IF(Y761&lt;1000000, _xlfn.CEILING.MATH(Y761,500), 0)))))))</f>
        <v>130</v>
      </c>
      <c r="AA761" s="407">
        <f>C761*Z761</f>
        <v>0</v>
      </c>
      <c r="AB761" s="194"/>
    </row>
    <row r="762" spans="1:28" s="278" customFormat="1" x14ac:dyDescent="0.25">
      <c r="A762" s="209">
        <v>717316</v>
      </c>
      <c r="B762" s="387" t="s">
        <v>19483</v>
      </c>
      <c r="C762" s="248"/>
      <c r="D762" s="247" t="s">
        <v>2</v>
      </c>
      <c r="E762" s="249">
        <f t="shared" si="380"/>
        <v>55.415500000000002</v>
      </c>
      <c r="F762" s="170">
        <f t="shared" si="380"/>
        <v>62.708333333333336</v>
      </c>
      <c r="G762" s="250">
        <v>0.35</v>
      </c>
      <c r="H762" s="171">
        <f t="shared" si="386"/>
        <v>0.35</v>
      </c>
      <c r="I762" s="249">
        <f t="shared" si="381"/>
        <v>71.248500000000007</v>
      </c>
      <c r="J762" s="170">
        <f t="shared" si="381"/>
        <v>80.625000000000014</v>
      </c>
      <c r="K762" s="250">
        <v>0.45</v>
      </c>
      <c r="L762" s="172">
        <f t="shared" si="387"/>
        <v>0.45</v>
      </c>
      <c r="M762" s="249">
        <f t="shared" si="388"/>
        <v>23.749500000000001</v>
      </c>
      <c r="N762" s="170">
        <f t="shared" si="389"/>
        <v>26.875000000000004</v>
      </c>
      <c r="O762" s="250">
        <v>0.15</v>
      </c>
      <c r="P762" s="172">
        <f t="shared" si="390"/>
        <v>0.15</v>
      </c>
      <c r="Q762" s="251">
        <f t="shared" si="391"/>
        <v>7.916500000000001</v>
      </c>
      <c r="R762" s="173">
        <f t="shared" si="392"/>
        <v>8.9583333333333339</v>
      </c>
      <c r="S762" s="250">
        <v>0.05</v>
      </c>
      <c r="T762" s="171">
        <f t="shared" si="393"/>
        <v>0.05</v>
      </c>
      <c r="U762" s="256">
        <v>158.33000000000001</v>
      </c>
      <c r="V762" s="170">
        <f>215/1.2</f>
        <v>179.16666666666669</v>
      </c>
      <c r="W762" s="258">
        <v>0.2</v>
      </c>
      <c r="X762" s="257">
        <f t="shared" si="384"/>
        <v>189.99600000000001</v>
      </c>
      <c r="Y762" s="170">
        <f t="shared" si="382"/>
        <v>215.00000000000003</v>
      </c>
      <c r="Z762" s="170">
        <f t="shared" si="385"/>
        <v>215</v>
      </c>
      <c r="AA762" s="407">
        <f t="shared" si="383"/>
        <v>0</v>
      </c>
      <c r="AB762" s="194"/>
    </row>
    <row r="763" spans="1:28" s="278" customFormat="1" x14ac:dyDescent="0.25">
      <c r="A763" s="209">
        <v>717316</v>
      </c>
      <c r="B763" s="387" t="s">
        <v>19484</v>
      </c>
      <c r="C763" s="248"/>
      <c r="D763" s="247" t="s">
        <v>2</v>
      </c>
      <c r="E763" s="249">
        <f t="shared" si="380"/>
        <v>39.375</v>
      </c>
      <c r="F763" s="170">
        <f t="shared" si="380"/>
        <v>49.583333333333336</v>
      </c>
      <c r="G763" s="250">
        <v>0.35</v>
      </c>
      <c r="H763" s="171">
        <f t="shared" si="386"/>
        <v>0.35</v>
      </c>
      <c r="I763" s="249">
        <f t="shared" si="381"/>
        <v>50.625</v>
      </c>
      <c r="J763" s="170">
        <f t="shared" si="381"/>
        <v>63.750000000000007</v>
      </c>
      <c r="K763" s="250">
        <v>0.45</v>
      </c>
      <c r="L763" s="172">
        <f t="shared" si="387"/>
        <v>0.45</v>
      </c>
      <c r="M763" s="249">
        <f t="shared" si="388"/>
        <v>16.875</v>
      </c>
      <c r="N763" s="170">
        <f t="shared" si="389"/>
        <v>21.250000000000004</v>
      </c>
      <c r="O763" s="250">
        <v>0.15</v>
      </c>
      <c r="P763" s="172">
        <f t="shared" si="390"/>
        <v>0.15</v>
      </c>
      <c r="Q763" s="251">
        <f t="shared" si="391"/>
        <v>5.625</v>
      </c>
      <c r="R763" s="173">
        <f t="shared" si="392"/>
        <v>7.0833333333333348</v>
      </c>
      <c r="S763" s="250">
        <v>0.05</v>
      </c>
      <c r="T763" s="171">
        <f t="shared" si="393"/>
        <v>0.05</v>
      </c>
      <c r="U763" s="256">
        <v>112.5</v>
      </c>
      <c r="V763" s="170">
        <f>170/1.2</f>
        <v>141.66666666666669</v>
      </c>
      <c r="W763" s="258">
        <v>0.2</v>
      </c>
      <c r="X763" s="257">
        <f t="shared" si="384"/>
        <v>135</v>
      </c>
      <c r="Y763" s="170">
        <f t="shared" si="382"/>
        <v>170.00000000000003</v>
      </c>
      <c r="Z763" s="170">
        <f t="shared" si="385"/>
        <v>170</v>
      </c>
      <c r="AA763" s="407">
        <f t="shared" si="383"/>
        <v>0</v>
      </c>
      <c r="AB763" s="194"/>
    </row>
    <row r="764" spans="1:28" s="278" customFormat="1" x14ac:dyDescent="0.25">
      <c r="A764" s="209">
        <v>717318</v>
      </c>
      <c r="B764" s="387" t="s">
        <v>19485</v>
      </c>
      <c r="C764" s="248"/>
      <c r="D764" s="247" t="s">
        <v>2</v>
      </c>
      <c r="E764" s="249">
        <f t="shared" si="380"/>
        <v>58.334499999999991</v>
      </c>
      <c r="F764" s="170">
        <f t="shared" si="380"/>
        <v>65.625</v>
      </c>
      <c r="G764" s="250">
        <v>0.35</v>
      </c>
      <c r="H764" s="171">
        <f t="shared" si="386"/>
        <v>0.35</v>
      </c>
      <c r="I764" s="249">
        <f t="shared" si="381"/>
        <v>75.001499999999993</v>
      </c>
      <c r="J764" s="170">
        <f t="shared" si="381"/>
        <v>84.375</v>
      </c>
      <c r="K764" s="250">
        <v>0.45</v>
      </c>
      <c r="L764" s="172">
        <f t="shared" si="387"/>
        <v>0.45</v>
      </c>
      <c r="M764" s="249">
        <f t="shared" si="388"/>
        <v>25.000499999999999</v>
      </c>
      <c r="N764" s="170">
        <f t="shared" si="389"/>
        <v>28.125</v>
      </c>
      <c r="O764" s="250">
        <v>0.15</v>
      </c>
      <c r="P764" s="172">
        <f t="shared" si="390"/>
        <v>0.15</v>
      </c>
      <c r="Q764" s="251">
        <f t="shared" si="391"/>
        <v>8.333499999999999</v>
      </c>
      <c r="R764" s="173">
        <f t="shared" si="392"/>
        <v>9.375</v>
      </c>
      <c r="S764" s="250">
        <v>0.05</v>
      </c>
      <c r="T764" s="171">
        <f t="shared" si="393"/>
        <v>0.05</v>
      </c>
      <c r="U764" s="256">
        <v>166.67</v>
      </c>
      <c r="V764" s="170">
        <f>225/1.2</f>
        <v>187.5</v>
      </c>
      <c r="W764" s="258">
        <v>0.2</v>
      </c>
      <c r="X764" s="257">
        <f t="shared" si="384"/>
        <v>200.00399999999999</v>
      </c>
      <c r="Y764" s="170">
        <f t="shared" si="382"/>
        <v>225</v>
      </c>
      <c r="Z764" s="170">
        <f t="shared" si="385"/>
        <v>225</v>
      </c>
      <c r="AA764" s="407">
        <f t="shared" si="383"/>
        <v>0</v>
      </c>
      <c r="AB764" s="194"/>
    </row>
    <row r="765" spans="1:28" s="278" customFormat="1" x14ac:dyDescent="0.25">
      <c r="A765" s="209">
        <v>717318</v>
      </c>
      <c r="B765" s="387" t="s">
        <v>19486</v>
      </c>
      <c r="C765" s="248"/>
      <c r="D765" s="247" t="s">
        <v>2</v>
      </c>
      <c r="E765" s="249">
        <f t="shared" si="380"/>
        <v>43.75</v>
      </c>
      <c r="F765" s="170">
        <f t="shared" si="380"/>
        <v>52.5</v>
      </c>
      <c r="G765" s="250">
        <v>0.35</v>
      </c>
      <c r="H765" s="171">
        <f t="shared" si="386"/>
        <v>0.35</v>
      </c>
      <c r="I765" s="249">
        <f t="shared" si="381"/>
        <v>56.25</v>
      </c>
      <c r="J765" s="170">
        <f t="shared" si="381"/>
        <v>67.5</v>
      </c>
      <c r="K765" s="250">
        <v>0.45</v>
      </c>
      <c r="L765" s="172">
        <f t="shared" si="387"/>
        <v>0.45</v>
      </c>
      <c r="M765" s="249">
        <f t="shared" si="388"/>
        <v>18.75</v>
      </c>
      <c r="N765" s="170">
        <f t="shared" si="389"/>
        <v>22.5</v>
      </c>
      <c r="O765" s="250">
        <v>0.15</v>
      </c>
      <c r="P765" s="172">
        <f t="shared" si="390"/>
        <v>0.15</v>
      </c>
      <c r="Q765" s="251">
        <f t="shared" si="391"/>
        <v>6.25</v>
      </c>
      <c r="R765" s="173">
        <f t="shared" si="392"/>
        <v>7.5</v>
      </c>
      <c r="S765" s="250">
        <v>0.05</v>
      </c>
      <c r="T765" s="171">
        <f t="shared" si="393"/>
        <v>0.05</v>
      </c>
      <c r="U765" s="256">
        <v>125</v>
      </c>
      <c r="V765" s="170">
        <f>180/1.2</f>
        <v>150</v>
      </c>
      <c r="W765" s="258">
        <v>0.2</v>
      </c>
      <c r="X765" s="257">
        <f t="shared" si="384"/>
        <v>150</v>
      </c>
      <c r="Y765" s="170">
        <f t="shared" si="382"/>
        <v>180</v>
      </c>
      <c r="Z765" s="170">
        <f t="shared" si="385"/>
        <v>180</v>
      </c>
      <c r="AA765" s="407">
        <f t="shared" si="383"/>
        <v>0</v>
      </c>
      <c r="AB765" s="194"/>
    </row>
    <row r="766" spans="1:28" s="278" customFormat="1" x14ac:dyDescent="0.25">
      <c r="A766" s="209">
        <v>717320</v>
      </c>
      <c r="B766" s="387" t="s">
        <v>19487</v>
      </c>
      <c r="C766" s="248"/>
      <c r="D766" s="247" t="s">
        <v>2</v>
      </c>
      <c r="E766" s="249">
        <f t="shared" si="380"/>
        <v>65.625</v>
      </c>
      <c r="F766" s="170">
        <f t="shared" si="380"/>
        <v>66.960468750000004</v>
      </c>
      <c r="G766" s="250">
        <v>0.35</v>
      </c>
      <c r="H766" s="171">
        <f t="shared" si="386"/>
        <v>0.35</v>
      </c>
      <c r="I766" s="249">
        <f t="shared" si="381"/>
        <v>84.375</v>
      </c>
      <c r="J766" s="170">
        <f t="shared" si="381"/>
        <v>86.092031250000005</v>
      </c>
      <c r="K766" s="250">
        <v>0.45</v>
      </c>
      <c r="L766" s="172">
        <f t="shared" si="387"/>
        <v>0.45</v>
      </c>
      <c r="M766" s="249">
        <f t="shared" si="388"/>
        <v>28.125</v>
      </c>
      <c r="N766" s="170">
        <f t="shared" si="389"/>
        <v>28.697343750000002</v>
      </c>
      <c r="O766" s="250">
        <v>0.15</v>
      </c>
      <c r="P766" s="172">
        <f t="shared" si="390"/>
        <v>0.15</v>
      </c>
      <c r="Q766" s="251">
        <f t="shared" si="391"/>
        <v>9.375</v>
      </c>
      <c r="R766" s="173">
        <f t="shared" si="392"/>
        <v>9.5657812500000006</v>
      </c>
      <c r="S766" s="250">
        <v>0.05</v>
      </c>
      <c r="T766" s="171">
        <f t="shared" si="393"/>
        <v>0.05</v>
      </c>
      <c r="U766" s="256">
        <v>187.5</v>
      </c>
      <c r="V766" s="170">
        <f t="shared" si="394"/>
        <v>191.31562500000001</v>
      </c>
      <c r="W766" s="258">
        <v>0.2</v>
      </c>
      <c r="X766" s="257">
        <f t="shared" si="384"/>
        <v>225</v>
      </c>
      <c r="Y766" s="170">
        <f t="shared" si="382"/>
        <v>229.57875000000001</v>
      </c>
      <c r="Z766" s="170">
        <f t="shared" si="385"/>
        <v>230</v>
      </c>
      <c r="AA766" s="407">
        <f t="shared" si="383"/>
        <v>0</v>
      </c>
      <c r="AB766" s="194"/>
    </row>
    <row r="767" spans="1:28" s="278" customFormat="1" x14ac:dyDescent="0.25">
      <c r="A767" s="209">
        <v>717320</v>
      </c>
      <c r="B767" s="387" t="s">
        <v>19488</v>
      </c>
      <c r="C767" s="248"/>
      <c r="D767" s="247" t="s">
        <v>2</v>
      </c>
      <c r="E767" s="249">
        <f t="shared" si="380"/>
        <v>55.416549999999994</v>
      </c>
      <c r="F767" s="170">
        <f t="shared" si="380"/>
        <v>56.544276792499993</v>
      </c>
      <c r="G767" s="250">
        <v>0.35</v>
      </c>
      <c r="H767" s="171">
        <f t="shared" si="386"/>
        <v>0.35</v>
      </c>
      <c r="I767" s="249">
        <f t="shared" si="381"/>
        <v>71.249849999999995</v>
      </c>
      <c r="J767" s="170">
        <f t="shared" si="381"/>
        <v>72.699784447499994</v>
      </c>
      <c r="K767" s="250">
        <v>0.45</v>
      </c>
      <c r="L767" s="172">
        <f t="shared" si="387"/>
        <v>0.45</v>
      </c>
      <c r="M767" s="249">
        <f t="shared" si="388"/>
        <v>23.749949999999998</v>
      </c>
      <c r="N767" s="170">
        <f t="shared" si="389"/>
        <v>24.233261482499998</v>
      </c>
      <c r="O767" s="250">
        <v>0.15</v>
      </c>
      <c r="P767" s="172">
        <f t="shared" si="390"/>
        <v>0.15</v>
      </c>
      <c r="Q767" s="251">
        <f t="shared" si="391"/>
        <v>7.9166500000000006</v>
      </c>
      <c r="R767" s="173">
        <f t="shared" si="392"/>
        <v>8.0777538275000005</v>
      </c>
      <c r="S767" s="250">
        <v>0.05</v>
      </c>
      <c r="T767" s="171">
        <f t="shared" si="393"/>
        <v>0.05</v>
      </c>
      <c r="U767" s="256">
        <v>158.333</v>
      </c>
      <c r="V767" s="170">
        <f t="shared" si="394"/>
        <v>161.55507655</v>
      </c>
      <c r="W767" s="258">
        <v>0.2</v>
      </c>
      <c r="X767" s="257">
        <f t="shared" si="384"/>
        <v>189.99959999999999</v>
      </c>
      <c r="Y767" s="170">
        <f t="shared" si="382"/>
        <v>193.86609185999998</v>
      </c>
      <c r="Z767" s="170">
        <f t="shared" si="385"/>
        <v>195</v>
      </c>
      <c r="AA767" s="407">
        <f t="shared" si="383"/>
        <v>0</v>
      </c>
      <c r="AB767" s="194"/>
    </row>
    <row r="768" spans="1:28" s="278" customFormat="1" x14ac:dyDescent="0.25">
      <c r="A768" s="209">
        <v>717324</v>
      </c>
      <c r="B768" s="387" t="s">
        <v>19489</v>
      </c>
      <c r="C768" s="248"/>
      <c r="D768" s="247" t="s">
        <v>2</v>
      </c>
      <c r="E768" s="249">
        <f t="shared" si="380"/>
        <v>70</v>
      </c>
      <c r="F768" s="170">
        <f t="shared" si="380"/>
        <v>71.424500000000009</v>
      </c>
      <c r="G768" s="250">
        <v>0.35</v>
      </c>
      <c r="H768" s="171">
        <f t="shared" si="386"/>
        <v>0.35</v>
      </c>
      <c r="I768" s="249">
        <f t="shared" si="381"/>
        <v>90</v>
      </c>
      <c r="J768" s="170">
        <f t="shared" si="381"/>
        <v>91.83150000000002</v>
      </c>
      <c r="K768" s="250">
        <v>0.45</v>
      </c>
      <c r="L768" s="172">
        <f t="shared" si="387"/>
        <v>0.45</v>
      </c>
      <c r="M768" s="249">
        <f t="shared" si="388"/>
        <v>30</v>
      </c>
      <c r="N768" s="170">
        <f t="shared" si="389"/>
        <v>30.610500000000005</v>
      </c>
      <c r="O768" s="250">
        <v>0.15</v>
      </c>
      <c r="P768" s="172">
        <f t="shared" si="390"/>
        <v>0.15</v>
      </c>
      <c r="Q768" s="251">
        <f t="shared" si="391"/>
        <v>10</v>
      </c>
      <c r="R768" s="173">
        <f t="shared" si="392"/>
        <v>10.203500000000004</v>
      </c>
      <c r="S768" s="250">
        <v>0.05</v>
      </c>
      <c r="T768" s="171">
        <f t="shared" si="393"/>
        <v>0.05</v>
      </c>
      <c r="U768" s="256">
        <v>200</v>
      </c>
      <c r="V768" s="170">
        <f t="shared" si="394"/>
        <v>204.07000000000005</v>
      </c>
      <c r="W768" s="258">
        <v>0.2</v>
      </c>
      <c r="X768" s="257">
        <f t="shared" si="384"/>
        <v>240</v>
      </c>
      <c r="Y768" s="170">
        <f t="shared" si="382"/>
        <v>244.88400000000004</v>
      </c>
      <c r="Z768" s="170">
        <f t="shared" si="385"/>
        <v>245</v>
      </c>
      <c r="AA768" s="407">
        <f t="shared" si="383"/>
        <v>0</v>
      </c>
      <c r="AB768" s="194"/>
    </row>
    <row r="769" spans="1:28" s="278" customFormat="1" x14ac:dyDescent="0.25">
      <c r="A769" s="200">
        <v>717324</v>
      </c>
      <c r="B769" s="313" t="s">
        <v>19490</v>
      </c>
      <c r="C769" s="248"/>
      <c r="D769" s="247" t="s">
        <v>2</v>
      </c>
      <c r="E769" s="249">
        <f t="shared" si="380"/>
        <v>61.249999999999993</v>
      </c>
      <c r="F769" s="170">
        <f t="shared" si="380"/>
        <v>62.496437499999999</v>
      </c>
      <c r="G769" s="250">
        <v>0.35</v>
      </c>
      <c r="H769" s="171">
        <f t="shared" si="386"/>
        <v>0.35</v>
      </c>
      <c r="I769" s="249">
        <f t="shared" si="381"/>
        <v>78.75</v>
      </c>
      <c r="J769" s="170">
        <f t="shared" si="381"/>
        <v>80.352562500000005</v>
      </c>
      <c r="K769" s="250">
        <v>0.45</v>
      </c>
      <c r="L769" s="172">
        <f t="shared" si="387"/>
        <v>0.45</v>
      </c>
      <c r="M769" s="249">
        <f t="shared" si="388"/>
        <v>26.25</v>
      </c>
      <c r="N769" s="170">
        <f t="shared" si="389"/>
        <v>26.784187499999998</v>
      </c>
      <c r="O769" s="250">
        <v>0.15</v>
      </c>
      <c r="P769" s="172">
        <f t="shared" si="390"/>
        <v>0.15</v>
      </c>
      <c r="Q769" s="251">
        <f t="shared" si="391"/>
        <v>8.75</v>
      </c>
      <c r="R769" s="173">
        <f t="shared" si="392"/>
        <v>8.9280625000000011</v>
      </c>
      <c r="S769" s="250">
        <v>0.05</v>
      </c>
      <c r="T769" s="171">
        <f t="shared" si="393"/>
        <v>0.05</v>
      </c>
      <c r="U769" s="256">
        <v>175</v>
      </c>
      <c r="V769" s="170">
        <f t="shared" si="394"/>
        <v>178.56125</v>
      </c>
      <c r="W769" s="258">
        <v>0.2</v>
      </c>
      <c r="X769" s="257">
        <f t="shared" si="384"/>
        <v>210</v>
      </c>
      <c r="Y769" s="170">
        <f t="shared" si="382"/>
        <v>214.27349999999998</v>
      </c>
      <c r="Z769" s="170">
        <f t="shared" si="385"/>
        <v>215</v>
      </c>
      <c r="AA769" s="407">
        <f t="shared" si="383"/>
        <v>0</v>
      </c>
      <c r="AB769" s="194"/>
    </row>
    <row r="770" spans="1:28" s="278" customFormat="1" x14ac:dyDescent="0.25">
      <c r="A770" s="200">
        <v>717358</v>
      </c>
      <c r="B770" s="313" t="s">
        <v>19491</v>
      </c>
      <c r="C770" s="248"/>
      <c r="D770" s="247" t="s">
        <v>2</v>
      </c>
      <c r="E770" s="249">
        <f t="shared" si="380"/>
        <v>48.332000000000001</v>
      </c>
      <c r="F770" s="170">
        <f t="shared" si="380"/>
        <v>63.333333333333343</v>
      </c>
      <c r="G770" s="250">
        <v>0.4</v>
      </c>
      <c r="H770" s="171">
        <f t="shared" si="386"/>
        <v>0.4</v>
      </c>
      <c r="I770" s="249">
        <f t="shared" si="381"/>
        <v>54.3735</v>
      </c>
      <c r="J770" s="170">
        <f t="shared" si="381"/>
        <v>71.25</v>
      </c>
      <c r="K770" s="250">
        <v>0.45</v>
      </c>
      <c r="L770" s="172">
        <f t="shared" si="387"/>
        <v>0.45</v>
      </c>
      <c r="M770" s="249">
        <f t="shared" si="388"/>
        <v>12.083</v>
      </c>
      <c r="N770" s="170">
        <f t="shared" si="389"/>
        <v>15.833333333333336</v>
      </c>
      <c r="O770" s="250">
        <v>0.1</v>
      </c>
      <c r="P770" s="172">
        <f t="shared" si="390"/>
        <v>0.1</v>
      </c>
      <c r="Q770" s="251">
        <f t="shared" si="391"/>
        <v>6.0415000000000001</v>
      </c>
      <c r="R770" s="173">
        <f t="shared" si="392"/>
        <v>7.9166666666666679</v>
      </c>
      <c r="S770" s="250">
        <v>0.05</v>
      </c>
      <c r="T770" s="171">
        <f t="shared" si="393"/>
        <v>0.05</v>
      </c>
      <c r="U770" s="256">
        <v>120.83</v>
      </c>
      <c r="V770" s="170">
        <f>190/1.2</f>
        <v>158.33333333333334</v>
      </c>
      <c r="W770" s="258">
        <v>0.2</v>
      </c>
      <c r="X770" s="257">
        <f t="shared" si="384"/>
        <v>144.99600000000001</v>
      </c>
      <c r="Y770" s="170">
        <f t="shared" si="382"/>
        <v>190</v>
      </c>
      <c r="Z770" s="170">
        <f t="shared" si="385"/>
        <v>190</v>
      </c>
      <c r="AA770" s="407">
        <f t="shared" si="383"/>
        <v>0</v>
      </c>
      <c r="AB770" s="194"/>
    </row>
    <row r="771" spans="1:28" s="278" customFormat="1" x14ac:dyDescent="0.25">
      <c r="A771" s="200">
        <v>717358</v>
      </c>
      <c r="B771" s="313" t="s">
        <v>19492</v>
      </c>
      <c r="C771" s="248"/>
      <c r="D771" s="247" t="s">
        <v>2</v>
      </c>
      <c r="E771" s="249">
        <f t="shared" si="380"/>
        <v>35</v>
      </c>
      <c r="F771" s="170">
        <f t="shared" si="380"/>
        <v>48.333333333333343</v>
      </c>
      <c r="G771" s="250">
        <v>0.4</v>
      </c>
      <c r="H771" s="171">
        <f t="shared" si="386"/>
        <v>0.4</v>
      </c>
      <c r="I771" s="249">
        <f t="shared" si="381"/>
        <v>39.375</v>
      </c>
      <c r="J771" s="170">
        <f t="shared" si="381"/>
        <v>54.375000000000007</v>
      </c>
      <c r="K771" s="250">
        <v>0.45</v>
      </c>
      <c r="L771" s="172">
        <f t="shared" si="387"/>
        <v>0.45</v>
      </c>
      <c r="M771" s="249">
        <f t="shared" si="388"/>
        <v>8.75</v>
      </c>
      <c r="N771" s="170">
        <f t="shared" si="389"/>
        <v>12.083333333333336</v>
      </c>
      <c r="O771" s="250">
        <v>0.1</v>
      </c>
      <c r="P771" s="172">
        <f t="shared" si="390"/>
        <v>0.1</v>
      </c>
      <c r="Q771" s="251">
        <f t="shared" si="391"/>
        <v>4.375</v>
      </c>
      <c r="R771" s="173">
        <f t="shared" si="392"/>
        <v>6.0416666666666679</v>
      </c>
      <c r="S771" s="250">
        <v>0.05</v>
      </c>
      <c r="T771" s="171">
        <f t="shared" si="393"/>
        <v>0.05</v>
      </c>
      <c r="U771" s="256">
        <v>87.5</v>
      </c>
      <c r="V771" s="170">
        <f>145/1.2</f>
        <v>120.83333333333334</v>
      </c>
      <c r="W771" s="258">
        <v>0.2</v>
      </c>
      <c r="X771" s="257">
        <f t="shared" si="384"/>
        <v>105</v>
      </c>
      <c r="Y771" s="170">
        <f t="shared" si="382"/>
        <v>145</v>
      </c>
      <c r="Z771" s="170">
        <f t="shared" si="385"/>
        <v>145</v>
      </c>
      <c r="AA771" s="407">
        <f t="shared" si="383"/>
        <v>0</v>
      </c>
      <c r="AB771" s="194"/>
    </row>
    <row r="772" spans="1:28" s="278" customFormat="1" x14ac:dyDescent="0.25">
      <c r="A772" s="200">
        <v>717360</v>
      </c>
      <c r="B772" s="313" t="s">
        <v>19493</v>
      </c>
      <c r="C772" s="248"/>
      <c r="D772" s="247" t="s">
        <v>2</v>
      </c>
      <c r="E772" s="249">
        <f t="shared" si="380"/>
        <v>51.667999999999999</v>
      </c>
      <c r="F772" s="170">
        <f t="shared" si="380"/>
        <v>65</v>
      </c>
      <c r="G772" s="250">
        <v>0.4</v>
      </c>
      <c r="H772" s="171">
        <f t="shared" si="386"/>
        <v>0.4</v>
      </c>
      <c r="I772" s="249">
        <f t="shared" si="381"/>
        <v>58.126499999999993</v>
      </c>
      <c r="J772" s="170">
        <f t="shared" si="381"/>
        <v>73.125</v>
      </c>
      <c r="K772" s="250">
        <v>0.45</v>
      </c>
      <c r="L772" s="172">
        <f t="shared" si="387"/>
        <v>0.45</v>
      </c>
      <c r="M772" s="249">
        <f t="shared" si="388"/>
        <v>12.917</v>
      </c>
      <c r="N772" s="170">
        <f t="shared" si="389"/>
        <v>16.25</v>
      </c>
      <c r="O772" s="250">
        <v>0.1</v>
      </c>
      <c r="P772" s="172">
        <f t="shared" si="390"/>
        <v>0.1</v>
      </c>
      <c r="Q772" s="251">
        <f t="shared" si="391"/>
        <v>6.4584999999999999</v>
      </c>
      <c r="R772" s="173">
        <f t="shared" si="392"/>
        <v>8.125</v>
      </c>
      <c r="S772" s="250">
        <v>0.05</v>
      </c>
      <c r="T772" s="171">
        <f t="shared" si="393"/>
        <v>0.05</v>
      </c>
      <c r="U772" s="256">
        <v>129.16999999999999</v>
      </c>
      <c r="V772" s="170">
        <f>195/1.2</f>
        <v>162.5</v>
      </c>
      <c r="W772" s="258">
        <v>0.2</v>
      </c>
      <c r="X772" s="257">
        <f t="shared" si="384"/>
        <v>155.00399999999999</v>
      </c>
      <c r="Y772" s="170">
        <f t="shared" si="382"/>
        <v>195</v>
      </c>
      <c r="Z772" s="170">
        <f t="shared" si="385"/>
        <v>195</v>
      </c>
      <c r="AA772" s="407">
        <f t="shared" si="383"/>
        <v>0</v>
      </c>
      <c r="AB772" s="194"/>
    </row>
    <row r="773" spans="1:28" s="278" customFormat="1" x14ac:dyDescent="0.25">
      <c r="A773" s="200">
        <v>717360</v>
      </c>
      <c r="B773" s="313" t="s">
        <v>19494</v>
      </c>
      <c r="C773" s="248"/>
      <c r="D773" s="247" t="s">
        <v>2</v>
      </c>
      <c r="E773" s="249">
        <f t="shared" si="380"/>
        <v>38.332000000000001</v>
      </c>
      <c r="F773" s="170">
        <f t="shared" si="380"/>
        <v>50</v>
      </c>
      <c r="G773" s="250">
        <v>0.4</v>
      </c>
      <c r="H773" s="171">
        <f t="shared" si="386"/>
        <v>0.4</v>
      </c>
      <c r="I773" s="249">
        <f t="shared" si="381"/>
        <v>43.1235</v>
      </c>
      <c r="J773" s="170">
        <f t="shared" si="381"/>
        <v>56.25</v>
      </c>
      <c r="K773" s="250">
        <v>0.45</v>
      </c>
      <c r="L773" s="172">
        <f t="shared" si="387"/>
        <v>0.45</v>
      </c>
      <c r="M773" s="249">
        <f t="shared" si="388"/>
        <v>9.5830000000000002</v>
      </c>
      <c r="N773" s="170">
        <f t="shared" si="389"/>
        <v>12.5</v>
      </c>
      <c r="O773" s="250">
        <v>0.1</v>
      </c>
      <c r="P773" s="172">
        <f t="shared" si="390"/>
        <v>0.1</v>
      </c>
      <c r="Q773" s="251">
        <f t="shared" si="391"/>
        <v>4.7915000000000001</v>
      </c>
      <c r="R773" s="173">
        <f t="shared" si="392"/>
        <v>6.25</v>
      </c>
      <c r="S773" s="250">
        <v>0.05</v>
      </c>
      <c r="T773" s="171">
        <f t="shared" si="393"/>
        <v>0.05</v>
      </c>
      <c r="U773" s="256">
        <v>95.83</v>
      </c>
      <c r="V773" s="170">
        <f>150/1.2</f>
        <v>125</v>
      </c>
      <c r="W773" s="258">
        <v>0.2</v>
      </c>
      <c r="X773" s="257">
        <f t="shared" si="384"/>
        <v>114.996</v>
      </c>
      <c r="Y773" s="170">
        <f t="shared" si="382"/>
        <v>150</v>
      </c>
      <c r="Z773" s="170">
        <f t="shared" si="385"/>
        <v>150</v>
      </c>
      <c r="AA773" s="407">
        <f t="shared" si="383"/>
        <v>0</v>
      </c>
      <c r="AB773" s="194"/>
    </row>
    <row r="774" spans="1:28" s="278" customFormat="1" x14ac:dyDescent="0.25">
      <c r="A774" s="200">
        <v>717362</v>
      </c>
      <c r="B774" s="313" t="s">
        <v>19495</v>
      </c>
      <c r="C774" s="248"/>
      <c r="D774" s="247" t="s">
        <v>2</v>
      </c>
      <c r="E774" s="249">
        <f t="shared" si="380"/>
        <v>55</v>
      </c>
      <c r="F774" s="170">
        <f t="shared" si="380"/>
        <v>68.333333333333343</v>
      </c>
      <c r="G774" s="250">
        <v>0.4</v>
      </c>
      <c r="H774" s="171">
        <f t="shared" si="386"/>
        <v>0.4</v>
      </c>
      <c r="I774" s="249">
        <f t="shared" si="381"/>
        <v>61.875</v>
      </c>
      <c r="J774" s="170">
        <f t="shared" si="381"/>
        <v>76.875</v>
      </c>
      <c r="K774" s="250">
        <v>0.45</v>
      </c>
      <c r="L774" s="172">
        <f t="shared" si="387"/>
        <v>0.45</v>
      </c>
      <c r="M774" s="249">
        <f t="shared" si="388"/>
        <v>13.75</v>
      </c>
      <c r="N774" s="170">
        <f t="shared" si="389"/>
        <v>17.083333333333336</v>
      </c>
      <c r="O774" s="250">
        <v>0.1</v>
      </c>
      <c r="P774" s="172">
        <f t="shared" si="390"/>
        <v>0.1</v>
      </c>
      <c r="Q774" s="251">
        <f t="shared" si="391"/>
        <v>6.875</v>
      </c>
      <c r="R774" s="173">
        <f t="shared" si="392"/>
        <v>8.5416666666666679</v>
      </c>
      <c r="S774" s="250">
        <v>0.05</v>
      </c>
      <c r="T774" s="171">
        <f t="shared" si="393"/>
        <v>0.05</v>
      </c>
      <c r="U774" s="256">
        <v>137.5</v>
      </c>
      <c r="V774" s="170">
        <f>205/1.2</f>
        <v>170.83333333333334</v>
      </c>
      <c r="W774" s="258">
        <v>0.2</v>
      </c>
      <c r="X774" s="257">
        <f t="shared" si="384"/>
        <v>165</v>
      </c>
      <c r="Y774" s="170">
        <f t="shared" si="382"/>
        <v>205</v>
      </c>
      <c r="Z774" s="170">
        <f t="shared" si="385"/>
        <v>205</v>
      </c>
      <c r="AA774" s="407">
        <f t="shared" si="383"/>
        <v>0</v>
      </c>
      <c r="AB774" s="194"/>
    </row>
    <row r="775" spans="1:28" s="278" customFormat="1" x14ac:dyDescent="0.25">
      <c r="A775" s="200">
        <v>717362</v>
      </c>
      <c r="B775" s="313" t="s">
        <v>19496</v>
      </c>
      <c r="C775" s="248"/>
      <c r="D775" s="247" t="s">
        <v>2</v>
      </c>
      <c r="E775" s="249">
        <f t="shared" si="380"/>
        <v>40</v>
      </c>
      <c r="F775" s="170">
        <f t="shared" si="380"/>
        <v>53.333333333333343</v>
      </c>
      <c r="G775" s="250">
        <v>0.4</v>
      </c>
      <c r="H775" s="171">
        <f t="shared" si="386"/>
        <v>0.4</v>
      </c>
      <c r="I775" s="249">
        <f t="shared" si="381"/>
        <v>45</v>
      </c>
      <c r="J775" s="170">
        <f t="shared" si="381"/>
        <v>60.000000000000007</v>
      </c>
      <c r="K775" s="250">
        <v>0.45</v>
      </c>
      <c r="L775" s="172">
        <f t="shared" si="387"/>
        <v>0.45</v>
      </c>
      <c r="M775" s="249">
        <f t="shared" si="388"/>
        <v>10</v>
      </c>
      <c r="N775" s="170">
        <f t="shared" si="389"/>
        <v>13.333333333333336</v>
      </c>
      <c r="O775" s="250">
        <v>0.1</v>
      </c>
      <c r="P775" s="172">
        <f t="shared" si="390"/>
        <v>0.1</v>
      </c>
      <c r="Q775" s="251">
        <f t="shared" si="391"/>
        <v>5</v>
      </c>
      <c r="R775" s="173">
        <f t="shared" si="392"/>
        <v>6.6666666666666679</v>
      </c>
      <c r="S775" s="250">
        <v>0.05</v>
      </c>
      <c r="T775" s="171">
        <f t="shared" si="393"/>
        <v>0.05</v>
      </c>
      <c r="U775" s="256">
        <v>100</v>
      </c>
      <c r="V775" s="170">
        <f>160/1.2</f>
        <v>133.33333333333334</v>
      </c>
      <c r="W775" s="258">
        <v>0.2</v>
      </c>
      <c r="X775" s="257">
        <f t="shared" si="384"/>
        <v>120</v>
      </c>
      <c r="Y775" s="170">
        <f t="shared" si="382"/>
        <v>160</v>
      </c>
      <c r="Z775" s="170">
        <f t="shared" si="385"/>
        <v>160</v>
      </c>
      <c r="AA775" s="407">
        <f t="shared" si="383"/>
        <v>0</v>
      </c>
      <c r="AB775" s="194"/>
    </row>
    <row r="776" spans="1:28" s="278" customFormat="1" x14ac:dyDescent="0.25">
      <c r="A776" s="200">
        <v>717364</v>
      </c>
      <c r="B776" s="313" t="s">
        <v>19497</v>
      </c>
      <c r="C776" s="248"/>
      <c r="D776" s="247" t="s">
        <v>2</v>
      </c>
      <c r="E776" s="249">
        <f t="shared" si="380"/>
        <v>0</v>
      </c>
      <c r="F776" s="170">
        <f t="shared" si="380"/>
        <v>62.608000000000004</v>
      </c>
      <c r="G776" s="250">
        <v>0.4</v>
      </c>
      <c r="H776" s="171">
        <f t="shared" si="386"/>
        <v>0.4</v>
      </c>
      <c r="I776" s="249">
        <f t="shared" si="381"/>
        <v>0</v>
      </c>
      <c r="J776" s="170">
        <f t="shared" si="381"/>
        <v>70.434000000000012</v>
      </c>
      <c r="K776" s="250">
        <v>0.45</v>
      </c>
      <c r="L776" s="172">
        <f t="shared" si="387"/>
        <v>0.45</v>
      </c>
      <c r="M776" s="249">
        <f t="shared" si="388"/>
        <v>0</v>
      </c>
      <c r="N776" s="170">
        <f t="shared" si="389"/>
        <v>15.652000000000001</v>
      </c>
      <c r="O776" s="250">
        <v>0.1</v>
      </c>
      <c r="P776" s="172">
        <f t="shared" si="390"/>
        <v>0.1</v>
      </c>
      <c r="Q776" s="251">
        <f t="shared" si="391"/>
        <v>0</v>
      </c>
      <c r="R776" s="173">
        <f t="shared" si="392"/>
        <v>7.8260000000000005</v>
      </c>
      <c r="S776" s="250">
        <v>0.05</v>
      </c>
      <c r="T776" s="171">
        <f t="shared" si="393"/>
        <v>0.05</v>
      </c>
      <c r="U776" s="256"/>
      <c r="V776" s="170">
        <v>156.52000000000001</v>
      </c>
      <c r="W776" s="258">
        <v>0.15</v>
      </c>
      <c r="X776" s="257">
        <f t="shared" si="384"/>
        <v>0</v>
      </c>
      <c r="Y776" s="170">
        <f t="shared" si="382"/>
        <v>179.99799999999999</v>
      </c>
      <c r="Z776" s="170">
        <f t="shared" si="385"/>
        <v>180</v>
      </c>
      <c r="AA776" s="407">
        <f t="shared" si="383"/>
        <v>0</v>
      </c>
      <c r="AB776" s="194"/>
    </row>
    <row r="777" spans="1:28" s="278" customFormat="1" x14ac:dyDescent="0.25">
      <c r="A777" s="200">
        <v>717364</v>
      </c>
      <c r="B777" s="313" t="s">
        <v>19498</v>
      </c>
      <c r="C777" s="248"/>
      <c r="D777" s="247" t="s">
        <v>2</v>
      </c>
      <c r="E777" s="249">
        <f t="shared" si="380"/>
        <v>0</v>
      </c>
      <c r="F777" s="170">
        <f t="shared" si="380"/>
        <v>46.666000000000004</v>
      </c>
      <c r="G777" s="250">
        <v>0.4</v>
      </c>
      <c r="H777" s="171">
        <f t="shared" si="386"/>
        <v>0.4</v>
      </c>
      <c r="I777" s="249">
        <f t="shared" si="381"/>
        <v>0</v>
      </c>
      <c r="J777" s="170">
        <f t="shared" si="381"/>
        <v>52.499250000000004</v>
      </c>
      <c r="K777" s="250">
        <v>0.45</v>
      </c>
      <c r="L777" s="172">
        <f t="shared" si="387"/>
        <v>0.45</v>
      </c>
      <c r="M777" s="249">
        <f t="shared" si="388"/>
        <v>0</v>
      </c>
      <c r="N777" s="170">
        <f t="shared" si="389"/>
        <v>11.666500000000001</v>
      </c>
      <c r="O777" s="250">
        <v>0.1</v>
      </c>
      <c r="P777" s="172">
        <f t="shared" si="390"/>
        <v>0.1</v>
      </c>
      <c r="Q777" s="251">
        <f t="shared" si="391"/>
        <v>0</v>
      </c>
      <c r="R777" s="173">
        <f t="shared" si="392"/>
        <v>5.8332500000000005</v>
      </c>
      <c r="S777" s="250">
        <v>0.05</v>
      </c>
      <c r="T777" s="171">
        <f t="shared" si="393"/>
        <v>0.05</v>
      </c>
      <c r="U777" s="256"/>
      <c r="V777" s="170">
        <v>116.66500000000001</v>
      </c>
      <c r="W777" s="258">
        <v>0.2</v>
      </c>
      <c r="X777" s="257">
        <f t="shared" si="384"/>
        <v>0</v>
      </c>
      <c r="Y777" s="170">
        <f t="shared" si="382"/>
        <v>139.99799999999999</v>
      </c>
      <c r="Z777" s="170">
        <f t="shared" si="385"/>
        <v>140</v>
      </c>
      <c r="AA777" s="407">
        <f t="shared" si="383"/>
        <v>0</v>
      </c>
      <c r="AB777" s="194"/>
    </row>
    <row r="778" spans="1:28" s="278" customFormat="1" x14ac:dyDescent="0.25">
      <c r="A778" s="200">
        <v>717366</v>
      </c>
      <c r="B778" s="313" t="s">
        <v>19499</v>
      </c>
      <c r="C778" s="248"/>
      <c r="D778" s="247" t="s">
        <v>2</v>
      </c>
      <c r="E778" s="249">
        <f t="shared" si="380"/>
        <v>0</v>
      </c>
      <c r="F778" s="170">
        <f t="shared" si="380"/>
        <v>73.333333333333343</v>
      </c>
      <c r="G778" s="250">
        <v>0.4</v>
      </c>
      <c r="H778" s="171">
        <f t="shared" si="386"/>
        <v>0.4</v>
      </c>
      <c r="I778" s="249">
        <f t="shared" si="381"/>
        <v>0</v>
      </c>
      <c r="J778" s="170">
        <f t="shared" si="381"/>
        <v>82.5</v>
      </c>
      <c r="K778" s="250">
        <v>0.45</v>
      </c>
      <c r="L778" s="172">
        <f t="shared" si="387"/>
        <v>0.45</v>
      </c>
      <c r="M778" s="249">
        <f t="shared" si="388"/>
        <v>0</v>
      </c>
      <c r="N778" s="170">
        <f t="shared" si="389"/>
        <v>18.333333333333336</v>
      </c>
      <c r="O778" s="250">
        <v>0.1</v>
      </c>
      <c r="P778" s="172">
        <f t="shared" si="390"/>
        <v>0.1</v>
      </c>
      <c r="Q778" s="251">
        <f t="shared" si="391"/>
        <v>0</v>
      </c>
      <c r="R778" s="173">
        <f t="shared" si="392"/>
        <v>9.1666666666666679</v>
      </c>
      <c r="S778" s="250">
        <v>0.05</v>
      </c>
      <c r="T778" s="171">
        <f t="shared" si="393"/>
        <v>0.05</v>
      </c>
      <c r="U778" s="256"/>
      <c r="V778" s="170">
        <f>220/1.2</f>
        <v>183.33333333333334</v>
      </c>
      <c r="W778" s="258">
        <v>0.2</v>
      </c>
      <c r="X778" s="257">
        <f t="shared" si="384"/>
        <v>0</v>
      </c>
      <c r="Y778" s="170">
        <f t="shared" si="382"/>
        <v>220</v>
      </c>
      <c r="Z778" s="170">
        <f t="shared" si="385"/>
        <v>220</v>
      </c>
      <c r="AA778" s="407">
        <f t="shared" si="383"/>
        <v>0</v>
      </c>
      <c r="AB778" s="194"/>
    </row>
    <row r="779" spans="1:28" s="278" customFormat="1" x14ac:dyDescent="0.25">
      <c r="A779" s="200">
        <v>717366</v>
      </c>
      <c r="B779" s="313" t="s">
        <v>19500</v>
      </c>
      <c r="C779" s="248"/>
      <c r="D779" s="247" t="s">
        <v>2</v>
      </c>
      <c r="E779" s="249">
        <f t="shared" si="380"/>
        <v>0</v>
      </c>
      <c r="F779" s="170">
        <f t="shared" si="380"/>
        <v>58.333333333333343</v>
      </c>
      <c r="G779" s="250">
        <v>0.4</v>
      </c>
      <c r="H779" s="171">
        <f t="shared" si="386"/>
        <v>0.4</v>
      </c>
      <c r="I779" s="249">
        <f t="shared" si="381"/>
        <v>0</v>
      </c>
      <c r="J779" s="170">
        <f t="shared" si="381"/>
        <v>65.625</v>
      </c>
      <c r="K779" s="250">
        <v>0.45</v>
      </c>
      <c r="L779" s="172">
        <f t="shared" si="387"/>
        <v>0.45</v>
      </c>
      <c r="M779" s="249">
        <f t="shared" si="388"/>
        <v>0</v>
      </c>
      <c r="N779" s="170">
        <f t="shared" si="389"/>
        <v>14.583333333333336</v>
      </c>
      <c r="O779" s="250">
        <v>0.1</v>
      </c>
      <c r="P779" s="172">
        <f t="shared" si="390"/>
        <v>0.1</v>
      </c>
      <c r="Q779" s="251">
        <f t="shared" si="391"/>
        <v>0</v>
      </c>
      <c r="R779" s="173">
        <f t="shared" si="392"/>
        <v>7.2916666666666679</v>
      </c>
      <c r="S779" s="250">
        <v>0.05</v>
      </c>
      <c r="T779" s="171">
        <f t="shared" si="393"/>
        <v>0.05</v>
      </c>
      <c r="U779" s="256"/>
      <c r="V779" s="170">
        <f>175/1.2</f>
        <v>145.83333333333334</v>
      </c>
      <c r="W779" s="258">
        <v>0.2</v>
      </c>
      <c r="X779" s="257">
        <f t="shared" si="384"/>
        <v>0</v>
      </c>
      <c r="Y779" s="170">
        <f t="shared" si="382"/>
        <v>175</v>
      </c>
      <c r="Z779" s="170">
        <f t="shared" si="385"/>
        <v>175</v>
      </c>
      <c r="AA779" s="407">
        <f t="shared" si="383"/>
        <v>0</v>
      </c>
      <c r="AB779" s="194"/>
    </row>
    <row r="780" spans="1:28" s="278" customFormat="1" x14ac:dyDescent="0.25">
      <c r="A780" s="200">
        <v>717367</v>
      </c>
      <c r="B780" s="313" t="s">
        <v>19501</v>
      </c>
      <c r="C780" s="248"/>
      <c r="D780" s="247" t="s">
        <v>2</v>
      </c>
      <c r="E780" s="249">
        <f t="shared" si="380"/>
        <v>0</v>
      </c>
      <c r="F780" s="170">
        <f t="shared" si="380"/>
        <v>76.666666666666671</v>
      </c>
      <c r="G780" s="250">
        <v>0.4</v>
      </c>
      <c r="H780" s="171">
        <f t="shared" si="386"/>
        <v>0.4</v>
      </c>
      <c r="I780" s="249">
        <f t="shared" si="381"/>
        <v>0</v>
      </c>
      <c r="J780" s="170">
        <f t="shared" si="381"/>
        <v>86.250000000000014</v>
      </c>
      <c r="K780" s="250">
        <v>0.45</v>
      </c>
      <c r="L780" s="172">
        <f t="shared" si="387"/>
        <v>0.45</v>
      </c>
      <c r="M780" s="249">
        <f t="shared" si="388"/>
        <v>0</v>
      </c>
      <c r="N780" s="170">
        <f t="shared" si="389"/>
        <v>19.166666666666668</v>
      </c>
      <c r="O780" s="250">
        <v>0.1</v>
      </c>
      <c r="P780" s="172">
        <f t="shared" si="390"/>
        <v>0.1</v>
      </c>
      <c r="Q780" s="251">
        <f t="shared" si="391"/>
        <v>0</v>
      </c>
      <c r="R780" s="173">
        <f t="shared" si="392"/>
        <v>9.5833333333333339</v>
      </c>
      <c r="S780" s="250">
        <v>0.05</v>
      </c>
      <c r="T780" s="171">
        <f t="shared" si="393"/>
        <v>0.05</v>
      </c>
      <c r="U780" s="256"/>
      <c r="V780" s="170">
        <f>230/1.2</f>
        <v>191.66666666666669</v>
      </c>
      <c r="W780" s="258">
        <v>0.2</v>
      </c>
      <c r="X780" s="257">
        <f t="shared" si="384"/>
        <v>0</v>
      </c>
      <c r="Y780" s="170">
        <f t="shared" si="382"/>
        <v>230.00000000000003</v>
      </c>
      <c r="Z780" s="170">
        <f t="shared" si="385"/>
        <v>230</v>
      </c>
      <c r="AA780" s="407">
        <f>C780*Z780</f>
        <v>0</v>
      </c>
      <c r="AB780" s="194"/>
    </row>
    <row r="781" spans="1:28" s="278" customFormat="1" x14ac:dyDescent="0.25">
      <c r="A781" s="200">
        <v>717367</v>
      </c>
      <c r="B781" s="313" t="s">
        <v>19502</v>
      </c>
      <c r="C781" s="248"/>
      <c r="D781" s="247" t="s">
        <v>2</v>
      </c>
      <c r="E781" s="249">
        <f t="shared" si="380"/>
        <v>0</v>
      </c>
      <c r="F781" s="170">
        <f t="shared" si="380"/>
        <v>61.666666666666679</v>
      </c>
      <c r="G781" s="250">
        <v>0.4</v>
      </c>
      <c r="H781" s="171">
        <f t="shared" si="386"/>
        <v>0.4</v>
      </c>
      <c r="I781" s="249">
        <f t="shared" si="381"/>
        <v>0</v>
      </c>
      <c r="J781" s="170">
        <f t="shared" si="381"/>
        <v>69.375000000000014</v>
      </c>
      <c r="K781" s="250">
        <v>0.45</v>
      </c>
      <c r="L781" s="172">
        <f t="shared" si="387"/>
        <v>0.45</v>
      </c>
      <c r="M781" s="249">
        <f t="shared" si="388"/>
        <v>0</v>
      </c>
      <c r="N781" s="170">
        <f t="shared" si="389"/>
        <v>15.41666666666667</v>
      </c>
      <c r="O781" s="250">
        <v>0.1</v>
      </c>
      <c r="P781" s="172">
        <f t="shared" si="390"/>
        <v>0.1</v>
      </c>
      <c r="Q781" s="251">
        <f t="shared" si="391"/>
        <v>0</v>
      </c>
      <c r="R781" s="173">
        <f t="shared" si="392"/>
        <v>7.7083333333333348</v>
      </c>
      <c r="S781" s="250">
        <v>0.05</v>
      </c>
      <c r="T781" s="171">
        <f t="shared" si="393"/>
        <v>0.05</v>
      </c>
      <c r="U781" s="256"/>
      <c r="V781" s="170">
        <f>185/1.2</f>
        <v>154.16666666666669</v>
      </c>
      <c r="W781" s="258">
        <v>0.2</v>
      </c>
      <c r="X781" s="257">
        <f t="shared" si="384"/>
        <v>0</v>
      </c>
      <c r="Y781" s="170">
        <f t="shared" si="382"/>
        <v>185.00000000000003</v>
      </c>
      <c r="Z781" s="170">
        <f t="shared" si="385"/>
        <v>185</v>
      </c>
      <c r="AA781" s="407">
        <f>C781*Z781</f>
        <v>0</v>
      </c>
      <c r="AB781" s="194"/>
    </row>
    <row r="782" spans="1:28" s="278" customFormat="1" x14ac:dyDescent="0.25">
      <c r="A782" s="200">
        <v>717369</v>
      </c>
      <c r="B782" s="313" t="s">
        <v>19503</v>
      </c>
      <c r="C782" s="248"/>
      <c r="D782" s="247" t="s">
        <v>2</v>
      </c>
      <c r="E782" s="249">
        <f t="shared" si="380"/>
        <v>0</v>
      </c>
      <c r="F782" s="170">
        <f t="shared" si="380"/>
        <v>88.333333333333343</v>
      </c>
      <c r="G782" s="250">
        <v>0.4</v>
      </c>
      <c r="H782" s="171">
        <f t="shared" si="386"/>
        <v>0.4</v>
      </c>
      <c r="I782" s="249">
        <f t="shared" si="381"/>
        <v>0</v>
      </c>
      <c r="J782" s="170">
        <f t="shared" si="381"/>
        <v>99.375</v>
      </c>
      <c r="K782" s="250">
        <v>0.45</v>
      </c>
      <c r="L782" s="172">
        <f t="shared" si="387"/>
        <v>0.45</v>
      </c>
      <c r="M782" s="249">
        <f t="shared" si="388"/>
        <v>0</v>
      </c>
      <c r="N782" s="170">
        <f t="shared" si="389"/>
        <v>22.083333333333336</v>
      </c>
      <c r="O782" s="250">
        <v>0.1</v>
      </c>
      <c r="P782" s="172">
        <f t="shared" si="390"/>
        <v>0.1</v>
      </c>
      <c r="Q782" s="251">
        <f t="shared" si="391"/>
        <v>0</v>
      </c>
      <c r="R782" s="173">
        <f t="shared" si="392"/>
        <v>11.041666666666668</v>
      </c>
      <c r="S782" s="250">
        <v>0.05</v>
      </c>
      <c r="T782" s="171">
        <f t="shared" si="393"/>
        <v>0.05</v>
      </c>
      <c r="U782" s="256"/>
      <c r="V782" s="170">
        <f>265/1.2</f>
        <v>220.83333333333334</v>
      </c>
      <c r="W782" s="258">
        <v>0.2</v>
      </c>
      <c r="X782" s="257">
        <f t="shared" si="384"/>
        <v>0</v>
      </c>
      <c r="Y782" s="170">
        <f t="shared" si="382"/>
        <v>265</v>
      </c>
      <c r="Z782" s="170">
        <f t="shared" si="385"/>
        <v>265</v>
      </c>
      <c r="AA782" s="407">
        <f>C782*Z782</f>
        <v>0</v>
      </c>
      <c r="AB782" s="194"/>
    </row>
    <row r="783" spans="1:28" s="278" customFormat="1" ht="14.4" thickBot="1" x14ac:dyDescent="0.3">
      <c r="A783" s="263">
        <v>717369</v>
      </c>
      <c r="B783" s="321" t="s">
        <v>19504</v>
      </c>
      <c r="C783" s="265"/>
      <c r="D783" s="264" t="s">
        <v>2</v>
      </c>
      <c r="E783" s="266">
        <f t="shared" si="380"/>
        <v>0</v>
      </c>
      <c r="F783" s="174">
        <f t="shared" si="380"/>
        <v>78.333333333333343</v>
      </c>
      <c r="G783" s="267">
        <v>0.4</v>
      </c>
      <c r="H783" s="268">
        <f t="shared" si="386"/>
        <v>0.4</v>
      </c>
      <c r="I783" s="266">
        <f t="shared" si="381"/>
        <v>0</v>
      </c>
      <c r="J783" s="174">
        <f t="shared" si="381"/>
        <v>88.125</v>
      </c>
      <c r="K783" s="267">
        <v>0.45</v>
      </c>
      <c r="L783" s="269">
        <f t="shared" si="387"/>
        <v>0.45</v>
      </c>
      <c r="M783" s="266">
        <f t="shared" si="388"/>
        <v>0</v>
      </c>
      <c r="N783" s="174">
        <f t="shared" si="389"/>
        <v>19.583333333333336</v>
      </c>
      <c r="O783" s="267">
        <v>0.1</v>
      </c>
      <c r="P783" s="269">
        <f t="shared" si="390"/>
        <v>0.1</v>
      </c>
      <c r="Q783" s="270">
        <f t="shared" si="391"/>
        <v>0</v>
      </c>
      <c r="R783" s="271">
        <f t="shared" si="392"/>
        <v>9.7916666666666679</v>
      </c>
      <c r="S783" s="267">
        <v>0.05</v>
      </c>
      <c r="T783" s="268">
        <f t="shared" si="393"/>
        <v>0.05</v>
      </c>
      <c r="U783" s="409"/>
      <c r="V783" s="174">
        <f>235/1.2</f>
        <v>195.83333333333334</v>
      </c>
      <c r="W783" s="322">
        <v>0.2</v>
      </c>
      <c r="X783" s="274">
        <f t="shared" si="384"/>
        <v>0</v>
      </c>
      <c r="Y783" s="174">
        <f t="shared" si="382"/>
        <v>235</v>
      </c>
      <c r="Z783" s="174">
        <f t="shared" si="385"/>
        <v>235</v>
      </c>
      <c r="AA783" s="410">
        <f>C783*Z783</f>
        <v>0</v>
      </c>
      <c r="AB783" s="194"/>
    </row>
    <row r="784" spans="1:28" s="278" customFormat="1" x14ac:dyDescent="0.25">
      <c r="A784" s="200">
        <v>717368</v>
      </c>
      <c r="B784" s="313" t="s">
        <v>19505</v>
      </c>
      <c r="C784" s="248"/>
      <c r="D784" s="247" t="s">
        <v>2</v>
      </c>
      <c r="E784" s="249">
        <f t="shared" si="380"/>
        <v>30</v>
      </c>
      <c r="F784" s="170">
        <f t="shared" si="380"/>
        <v>30.619500000000006</v>
      </c>
      <c r="G784" s="250">
        <v>0.4</v>
      </c>
      <c r="H784" s="171">
        <f t="shared" si="386"/>
        <v>0.4</v>
      </c>
      <c r="I784" s="249">
        <f t="shared" si="381"/>
        <v>30</v>
      </c>
      <c r="J784" s="170">
        <f t="shared" si="381"/>
        <v>30.619500000000006</v>
      </c>
      <c r="K784" s="250">
        <v>0.4</v>
      </c>
      <c r="L784" s="172">
        <f t="shared" si="387"/>
        <v>0.4</v>
      </c>
      <c r="M784" s="249">
        <f t="shared" si="388"/>
        <v>11.25</v>
      </c>
      <c r="N784" s="170">
        <f t="shared" si="389"/>
        <v>11.482312500000001</v>
      </c>
      <c r="O784" s="250">
        <v>0.15</v>
      </c>
      <c r="P784" s="172">
        <f t="shared" si="390"/>
        <v>0.15</v>
      </c>
      <c r="Q784" s="251">
        <f t="shared" si="391"/>
        <v>3.75</v>
      </c>
      <c r="R784" s="173">
        <f t="shared" si="392"/>
        <v>3.8274375000000007</v>
      </c>
      <c r="S784" s="250">
        <v>0.05</v>
      </c>
      <c r="T784" s="171">
        <f t="shared" si="393"/>
        <v>0.05</v>
      </c>
      <c r="U784" s="256">
        <v>75</v>
      </c>
      <c r="V784" s="170">
        <f t="shared" si="394"/>
        <v>76.548750000000013</v>
      </c>
      <c r="W784" s="258">
        <v>0.2</v>
      </c>
      <c r="X784" s="257">
        <f t="shared" si="384"/>
        <v>90</v>
      </c>
      <c r="Y784" s="170">
        <f t="shared" si="382"/>
        <v>91.858500000000006</v>
      </c>
      <c r="Z784" s="170">
        <f t="shared" si="385"/>
        <v>92</v>
      </c>
      <c r="AA784" s="407">
        <f t="shared" si="383"/>
        <v>0</v>
      </c>
      <c r="AB784" s="194"/>
    </row>
    <row r="785" spans="1:28" s="278" customFormat="1" x14ac:dyDescent="0.25">
      <c r="A785" s="200">
        <v>717368</v>
      </c>
      <c r="B785" s="313" t="s">
        <v>19506</v>
      </c>
      <c r="C785" s="248"/>
      <c r="D785" s="247" t="s">
        <v>2</v>
      </c>
      <c r="E785" s="249">
        <f t="shared" si="380"/>
        <v>26.666680000000003</v>
      </c>
      <c r="F785" s="170">
        <f t="shared" si="380"/>
        <v>27.217346942000006</v>
      </c>
      <c r="G785" s="250">
        <v>0.4</v>
      </c>
      <c r="H785" s="171">
        <f t="shared" si="386"/>
        <v>0.4</v>
      </c>
      <c r="I785" s="249">
        <f t="shared" si="381"/>
        <v>26.666680000000003</v>
      </c>
      <c r="J785" s="170">
        <f t="shared" si="381"/>
        <v>27.217346942000006</v>
      </c>
      <c r="K785" s="250">
        <v>0.4</v>
      </c>
      <c r="L785" s="172">
        <f t="shared" si="387"/>
        <v>0.4</v>
      </c>
      <c r="M785" s="249">
        <f t="shared" si="388"/>
        <v>10.000005</v>
      </c>
      <c r="N785" s="170">
        <f t="shared" si="389"/>
        <v>10.206505103250002</v>
      </c>
      <c r="O785" s="250">
        <v>0.15</v>
      </c>
      <c r="P785" s="172">
        <f t="shared" si="390"/>
        <v>0.15</v>
      </c>
      <c r="Q785" s="251">
        <f t="shared" si="391"/>
        <v>3.3333350000000004</v>
      </c>
      <c r="R785" s="173">
        <f t="shared" si="392"/>
        <v>3.4021683677500008</v>
      </c>
      <c r="S785" s="250">
        <v>0.05</v>
      </c>
      <c r="T785" s="171">
        <f t="shared" si="393"/>
        <v>0.05</v>
      </c>
      <c r="U785" s="256">
        <v>66.666700000000006</v>
      </c>
      <c r="V785" s="170">
        <f t="shared" si="394"/>
        <v>68.043367355000015</v>
      </c>
      <c r="W785" s="258">
        <v>0.2</v>
      </c>
      <c r="X785" s="257">
        <f t="shared" si="384"/>
        <v>80.000040000000013</v>
      </c>
      <c r="Y785" s="170">
        <f t="shared" si="382"/>
        <v>81.652040826000018</v>
      </c>
      <c r="Z785" s="170">
        <f t="shared" si="385"/>
        <v>82</v>
      </c>
      <c r="AA785" s="407">
        <f t="shared" si="383"/>
        <v>0</v>
      </c>
      <c r="AB785" s="194"/>
    </row>
    <row r="786" spans="1:28" s="278" customFormat="1" x14ac:dyDescent="0.25">
      <c r="A786" s="200">
        <v>717370</v>
      </c>
      <c r="B786" s="313" t="s">
        <v>19507</v>
      </c>
      <c r="C786" s="248"/>
      <c r="D786" s="247" t="s">
        <v>2</v>
      </c>
      <c r="E786" s="249">
        <f t="shared" ref="E786:F849" si="395">U786*G786</f>
        <v>31.666668000000001</v>
      </c>
      <c r="F786" s="170">
        <f t="shared" si="395"/>
        <v>32.320584694200001</v>
      </c>
      <c r="G786" s="250">
        <v>0.4</v>
      </c>
      <c r="H786" s="171">
        <f t="shared" si="386"/>
        <v>0.4</v>
      </c>
      <c r="I786" s="249">
        <f t="shared" ref="I786:J849" si="396">U786*K786</f>
        <v>31.666668000000001</v>
      </c>
      <c r="J786" s="170">
        <f t="shared" si="396"/>
        <v>32.320584694200001</v>
      </c>
      <c r="K786" s="250">
        <v>0.4</v>
      </c>
      <c r="L786" s="172">
        <f t="shared" si="387"/>
        <v>0.4</v>
      </c>
      <c r="M786" s="249">
        <f t="shared" si="388"/>
        <v>11.875000499999999</v>
      </c>
      <c r="N786" s="170">
        <f t="shared" si="389"/>
        <v>12.120219260324999</v>
      </c>
      <c r="O786" s="250">
        <v>0.15</v>
      </c>
      <c r="P786" s="172">
        <f t="shared" si="390"/>
        <v>0.15</v>
      </c>
      <c r="Q786" s="251">
        <f t="shared" si="391"/>
        <v>3.9583335000000002</v>
      </c>
      <c r="R786" s="173">
        <f t="shared" si="392"/>
        <v>4.0400730867750001</v>
      </c>
      <c r="S786" s="250">
        <v>0.05</v>
      </c>
      <c r="T786" s="171">
        <f t="shared" si="393"/>
        <v>0.05</v>
      </c>
      <c r="U786" s="256">
        <v>79.166669999999996</v>
      </c>
      <c r="V786" s="170">
        <f t="shared" si="394"/>
        <v>80.801461735499998</v>
      </c>
      <c r="W786" s="258">
        <v>0.2</v>
      </c>
      <c r="X786" s="257">
        <f t="shared" si="384"/>
        <v>95.00000399999999</v>
      </c>
      <c r="Y786" s="170">
        <f t="shared" si="382"/>
        <v>96.961754082599995</v>
      </c>
      <c r="Z786" s="170">
        <f t="shared" si="385"/>
        <v>97</v>
      </c>
      <c r="AA786" s="407">
        <f t="shared" si="383"/>
        <v>0</v>
      </c>
      <c r="AB786" s="194"/>
    </row>
    <row r="787" spans="1:28" s="278" customFormat="1" x14ac:dyDescent="0.25">
      <c r="A787" s="200">
        <v>717370</v>
      </c>
      <c r="B787" s="313" t="s">
        <v>19508</v>
      </c>
      <c r="C787" s="248"/>
      <c r="D787" s="247" t="s">
        <v>2</v>
      </c>
      <c r="E787" s="249">
        <f t="shared" si="395"/>
        <v>28.333320000000001</v>
      </c>
      <c r="F787" s="170">
        <f t="shared" si="395"/>
        <v>28.918403058000003</v>
      </c>
      <c r="G787" s="250">
        <v>0.4</v>
      </c>
      <c r="H787" s="171">
        <f t="shared" si="386"/>
        <v>0.4</v>
      </c>
      <c r="I787" s="249">
        <f t="shared" si="396"/>
        <v>28.333320000000001</v>
      </c>
      <c r="J787" s="170">
        <f t="shared" si="396"/>
        <v>28.918403058000003</v>
      </c>
      <c r="K787" s="250">
        <v>0.4</v>
      </c>
      <c r="L787" s="172">
        <f t="shared" si="387"/>
        <v>0.4</v>
      </c>
      <c r="M787" s="249">
        <f t="shared" si="388"/>
        <v>10.624994999999998</v>
      </c>
      <c r="N787" s="170">
        <f t="shared" si="389"/>
        <v>10.84440114675</v>
      </c>
      <c r="O787" s="250">
        <v>0.15</v>
      </c>
      <c r="P787" s="172">
        <f t="shared" si="390"/>
        <v>0.15</v>
      </c>
      <c r="Q787" s="251">
        <f t="shared" si="391"/>
        <v>3.5416650000000001</v>
      </c>
      <c r="R787" s="173">
        <f t="shared" si="392"/>
        <v>3.6148003822500003</v>
      </c>
      <c r="S787" s="250">
        <v>0.05</v>
      </c>
      <c r="T787" s="171">
        <f t="shared" si="393"/>
        <v>0.05</v>
      </c>
      <c r="U787" s="256">
        <v>70.833299999999994</v>
      </c>
      <c r="V787" s="170">
        <f t="shared" si="394"/>
        <v>72.296007645000003</v>
      </c>
      <c r="W787" s="258">
        <v>0.2</v>
      </c>
      <c r="X787" s="257">
        <f t="shared" si="384"/>
        <v>84.999959999999987</v>
      </c>
      <c r="Y787" s="170">
        <f t="shared" si="382"/>
        <v>86.755209174000001</v>
      </c>
      <c r="Z787" s="170">
        <f t="shared" si="385"/>
        <v>87</v>
      </c>
      <c r="AA787" s="407">
        <f t="shared" si="383"/>
        <v>0</v>
      </c>
      <c r="AB787" s="194"/>
    </row>
    <row r="788" spans="1:28" s="278" customFormat="1" x14ac:dyDescent="0.25">
      <c r="A788" s="200">
        <v>717372</v>
      </c>
      <c r="B788" s="313" t="s">
        <v>19509</v>
      </c>
      <c r="C788" s="248"/>
      <c r="D788" s="247" t="s">
        <v>2</v>
      </c>
      <c r="E788" s="249">
        <f t="shared" si="395"/>
        <v>33.333199999999998</v>
      </c>
      <c r="F788" s="170">
        <f t="shared" si="395"/>
        <v>34.021530579999997</v>
      </c>
      <c r="G788" s="250">
        <v>0.4</v>
      </c>
      <c r="H788" s="171">
        <f t="shared" si="386"/>
        <v>0.4</v>
      </c>
      <c r="I788" s="249">
        <f t="shared" si="396"/>
        <v>33.333199999999998</v>
      </c>
      <c r="J788" s="170">
        <f t="shared" si="396"/>
        <v>34.021530579999997</v>
      </c>
      <c r="K788" s="250">
        <v>0.4</v>
      </c>
      <c r="L788" s="172">
        <f t="shared" si="387"/>
        <v>0.4</v>
      </c>
      <c r="M788" s="249">
        <f t="shared" si="388"/>
        <v>12.49995</v>
      </c>
      <c r="N788" s="170">
        <f t="shared" si="389"/>
        <v>12.758073967499998</v>
      </c>
      <c r="O788" s="250">
        <v>0.15</v>
      </c>
      <c r="P788" s="172">
        <f t="shared" si="390"/>
        <v>0.15</v>
      </c>
      <c r="Q788" s="251">
        <f t="shared" si="391"/>
        <v>4.1666499999999997</v>
      </c>
      <c r="R788" s="173">
        <f t="shared" si="392"/>
        <v>4.2526913224999996</v>
      </c>
      <c r="S788" s="250">
        <v>0.05</v>
      </c>
      <c r="T788" s="171">
        <f t="shared" si="393"/>
        <v>0.05</v>
      </c>
      <c r="U788" s="256">
        <v>83.332999999999998</v>
      </c>
      <c r="V788" s="170">
        <f t="shared" si="394"/>
        <v>85.053826449999988</v>
      </c>
      <c r="W788" s="258">
        <v>0.2</v>
      </c>
      <c r="X788" s="257">
        <f t="shared" si="384"/>
        <v>99.999600000000001</v>
      </c>
      <c r="Y788" s="170">
        <f t="shared" si="382"/>
        <v>102.06459173999998</v>
      </c>
      <c r="Z788" s="170">
        <f t="shared" si="385"/>
        <v>105</v>
      </c>
      <c r="AA788" s="407">
        <f t="shared" si="383"/>
        <v>0</v>
      </c>
      <c r="AB788" s="194"/>
    </row>
    <row r="789" spans="1:28" s="278" customFormat="1" x14ac:dyDescent="0.25">
      <c r="A789" s="200">
        <v>717372</v>
      </c>
      <c r="B789" s="313" t="s">
        <v>19510</v>
      </c>
      <c r="C789" s="248"/>
      <c r="D789" s="247" t="s">
        <v>2</v>
      </c>
      <c r="E789" s="249">
        <f t="shared" si="395"/>
        <v>30</v>
      </c>
      <c r="F789" s="170">
        <f t="shared" si="395"/>
        <v>30.619500000000006</v>
      </c>
      <c r="G789" s="250">
        <v>0.4</v>
      </c>
      <c r="H789" s="171">
        <f t="shared" si="386"/>
        <v>0.4</v>
      </c>
      <c r="I789" s="249">
        <f t="shared" si="396"/>
        <v>30</v>
      </c>
      <c r="J789" s="170">
        <f t="shared" si="396"/>
        <v>30.619500000000006</v>
      </c>
      <c r="K789" s="250">
        <v>0.4</v>
      </c>
      <c r="L789" s="172">
        <f t="shared" si="387"/>
        <v>0.4</v>
      </c>
      <c r="M789" s="249">
        <f t="shared" si="388"/>
        <v>11.25</v>
      </c>
      <c r="N789" s="170">
        <f t="shared" si="389"/>
        <v>11.482312500000001</v>
      </c>
      <c r="O789" s="250">
        <v>0.15</v>
      </c>
      <c r="P789" s="172">
        <f t="shared" si="390"/>
        <v>0.15</v>
      </c>
      <c r="Q789" s="251">
        <f t="shared" si="391"/>
        <v>3.75</v>
      </c>
      <c r="R789" s="173">
        <f t="shared" si="392"/>
        <v>3.8274375000000007</v>
      </c>
      <c r="S789" s="250">
        <v>0.05</v>
      </c>
      <c r="T789" s="171">
        <f t="shared" si="393"/>
        <v>0.05</v>
      </c>
      <c r="U789" s="256">
        <v>75</v>
      </c>
      <c r="V789" s="170">
        <f t="shared" si="394"/>
        <v>76.548750000000013</v>
      </c>
      <c r="W789" s="258">
        <v>0.2</v>
      </c>
      <c r="X789" s="257">
        <f t="shared" si="384"/>
        <v>90</v>
      </c>
      <c r="Y789" s="170">
        <f t="shared" si="382"/>
        <v>91.858500000000006</v>
      </c>
      <c r="Z789" s="170">
        <f t="shared" si="385"/>
        <v>92</v>
      </c>
      <c r="AA789" s="407">
        <f t="shared" si="383"/>
        <v>0</v>
      </c>
      <c r="AB789" s="194"/>
    </row>
    <row r="790" spans="1:28" s="278" customFormat="1" x14ac:dyDescent="0.25">
      <c r="A790" s="200">
        <v>717374</v>
      </c>
      <c r="B790" s="313" t="s">
        <v>19511</v>
      </c>
      <c r="C790" s="248"/>
      <c r="D790" s="247" t="s">
        <v>2</v>
      </c>
      <c r="E790" s="249">
        <f t="shared" si="395"/>
        <v>36.666668000000001</v>
      </c>
      <c r="F790" s="170">
        <f t="shared" si="395"/>
        <v>37.423834694200004</v>
      </c>
      <c r="G790" s="250">
        <v>0.4</v>
      </c>
      <c r="H790" s="171">
        <f t="shared" si="386"/>
        <v>0.4</v>
      </c>
      <c r="I790" s="249">
        <f t="shared" si="396"/>
        <v>36.666668000000001</v>
      </c>
      <c r="J790" s="170">
        <f t="shared" si="396"/>
        <v>37.423834694200004</v>
      </c>
      <c r="K790" s="250">
        <v>0.4</v>
      </c>
      <c r="L790" s="172">
        <f t="shared" si="387"/>
        <v>0.4</v>
      </c>
      <c r="M790" s="249">
        <f t="shared" si="388"/>
        <v>13.750000499999999</v>
      </c>
      <c r="N790" s="170">
        <f t="shared" si="389"/>
        <v>14.033938010325</v>
      </c>
      <c r="O790" s="250">
        <v>0.15</v>
      </c>
      <c r="P790" s="172">
        <f t="shared" si="390"/>
        <v>0.15</v>
      </c>
      <c r="Q790" s="251">
        <f t="shared" si="391"/>
        <v>4.5833335000000002</v>
      </c>
      <c r="R790" s="173">
        <f t="shared" si="392"/>
        <v>4.6779793367750004</v>
      </c>
      <c r="S790" s="250">
        <v>0.05</v>
      </c>
      <c r="T790" s="171">
        <f t="shared" si="393"/>
        <v>0.05</v>
      </c>
      <c r="U790" s="256">
        <v>91.666669999999996</v>
      </c>
      <c r="V790" s="170">
        <f t="shared" si="394"/>
        <v>93.559586735500005</v>
      </c>
      <c r="W790" s="258">
        <v>0.2</v>
      </c>
      <c r="X790" s="257">
        <f t="shared" si="384"/>
        <v>110.00000399999999</v>
      </c>
      <c r="Y790" s="170">
        <f t="shared" si="382"/>
        <v>112.2715040826</v>
      </c>
      <c r="Z790" s="170">
        <f t="shared" si="385"/>
        <v>115</v>
      </c>
      <c r="AA790" s="407">
        <f t="shared" si="383"/>
        <v>0</v>
      </c>
      <c r="AB790" s="194"/>
    </row>
    <row r="791" spans="1:28" s="278" customFormat="1" x14ac:dyDescent="0.25">
      <c r="A791" s="200">
        <v>717374</v>
      </c>
      <c r="B791" s="313" t="s">
        <v>19512</v>
      </c>
      <c r="C791" s="248"/>
      <c r="D791" s="247" t="s">
        <v>2</v>
      </c>
      <c r="E791" s="249">
        <f t="shared" si="395"/>
        <v>33.333320000000001</v>
      </c>
      <c r="F791" s="170">
        <f t="shared" si="395"/>
        <v>34.021653057999998</v>
      </c>
      <c r="G791" s="250">
        <v>0.4</v>
      </c>
      <c r="H791" s="171">
        <f t="shared" si="386"/>
        <v>0.4</v>
      </c>
      <c r="I791" s="249">
        <f t="shared" si="396"/>
        <v>33.333320000000001</v>
      </c>
      <c r="J791" s="170">
        <f t="shared" si="396"/>
        <v>34.021653057999998</v>
      </c>
      <c r="K791" s="250">
        <v>0.4</v>
      </c>
      <c r="L791" s="172">
        <f t="shared" si="387"/>
        <v>0.4</v>
      </c>
      <c r="M791" s="249">
        <f t="shared" si="388"/>
        <v>12.499994999999998</v>
      </c>
      <c r="N791" s="170">
        <f t="shared" si="389"/>
        <v>12.758119896749999</v>
      </c>
      <c r="O791" s="250">
        <v>0.15</v>
      </c>
      <c r="P791" s="172">
        <f t="shared" si="390"/>
        <v>0.15</v>
      </c>
      <c r="Q791" s="251">
        <f t="shared" si="391"/>
        <v>4.1666650000000001</v>
      </c>
      <c r="R791" s="173">
        <f t="shared" si="392"/>
        <v>4.2527066322499998</v>
      </c>
      <c r="S791" s="250">
        <v>0.05</v>
      </c>
      <c r="T791" s="171">
        <f t="shared" si="393"/>
        <v>0.05</v>
      </c>
      <c r="U791" s="256">
        <v>83.333299999999994</v>
      </c>
      <c r="V791" s="170">
        <f t="shared" si="394"/>
        <v>85.054132644999996</v>
      </c>
      <c r="W791" s="258">
        <v>0.2</v>
      </c>
      <c r="X791" s="257">
        <f t="shared" si="384"/>
        <v>99.999959999999987</v>
      </c>
      <c r="Y791" s="170">
        <f t="shared" si="382"/>
        <v>102.06495917399999</v>
      </c>
      <c r="Z791" s="170">
        <f t="shared" si="385"/>
        <v>105</v>
      </c>
      <c r="AA791" s="407">
        <f t="shared" si="383"/>
        <v>0</v>
      </c>
      <c r="AB791" s="194"/>
    </row>
    <row r="792" spans="1:28" s="278" customFormat="1" x14ac:dyDescent="0.25">
      <c r="A792" s="200">
        <v>717376</v>
      </c>
      <c r="B792" s="313" t="s">
        <v>19513</v>
      </c>
      <c r="C792" s="248"/>
      <c r="D792" s="247" t="s">
        <v>2</v>
      </c>
      <c r="E792" s="249">
        <f t="shared" si="395"/>
        <v>43.333200000000005</v>
      </c>
      <c r="F792" s="170">
        <f t="shared" si="395"/>
        <v>44.228030580000009</v>
      </c>
      <c r="G792" s="250">
        <v>0.4</v>
      </c>
      <c r="H792" s="171">
        <f t="shared" si="386"/>
        <v>0.4</v>
      </c>
      <c r="I792" s="249">
        <f t="shared" si="396"/>
        <v>43.333200000000005</v>
      </c>
      <c r="J792" s="170">
        <f t="shared" si="396"/>
        <v>44.228030580000009</v>
      </c>
      <c r="K792" s="250">
        <v>0.4</v>
      </c>
      <c r="L792" s="172">
        <f t="shared" si="387"/>
        <v>0.4</v>
      </c>
      <c r="M792" s="249">
        <f t="shared" si="388"/>
        <v>16.249949999999998</v>
      </c>
      <c r="N792" s="170">
        <f t="shared" si="389"/>
        <v>16.585511467500002</v>
      </c>
      <c r="O792" s="250">
        <v>0.15</v>
      </c>
      <c r="P792" s="172">
        <f t="shared" si="390"/>
        <v>0.15</v>
      </c>
      <c r="Q792" s="251">
        <f t="shared" si="391"/>
        <v>5.4166500000000006</v>
      </c>
      <c r="R792" s="173">
        <f t="shared" si="392"/>
        <v>5.5285038225000012</v>
      </c>
      <c r="S792" s="250">
        <v>0.05</v>
      </c>
      <c r="T792" s="171">
        <f t="shared" si="393"/>
        <v>0.05</v>
      </c>
      <c r="U792" s="256">
        <v>108.333</v>
      </c>
      <c r="V792" s="170">
        <f t="shared" si="394"/>
        <v>110.57007645000002</v>
      </c>
      <c r="W792" s="258">
        <v>0.2</v>
      </c>
      <c r="X792" s="257">
        <f t="shared" si="384"/>
        <v>129.99959999999999</v>
      </c>
      <c r="Y792" s="170">
        <f t="shared" si="382"/>
        <v>132.68409174000001</v>
      </c>
      <c r="Z792" s="170">
        <f t="shared" si="385"/>
        <v>135</v>
      </c>
      <c r="AA792" s="407">
        <f t="shared" si="383"/>
        <v>0</v>
      </c>
      <c r="AB792" s="194"/>
    </row>
    <row r="793" spans="1:28" s="278" customFormat="1" x14ac:dyDescent="0.25">
      <c r="A793" s="200">
        <v>717376</v>
      </c>
      <c r="B793" s="313" t="s">
        <v>19514</v>
      </c>
      <c r="C793" s="248"/>
      <c r="D793" s="247" t="s">
        <v>2</v>
      </c>
      <c r="E793" s="249">
        <f t="shared" si="395"/>
        <v>40</v>
      </c>
      <c r="F793" s="170">
        <f t="shared" si="395"/>
        <v>40.826000000000015</v>
      </c>
      <c r="G793" s="250">
        <v>0.4</v>
      </c>
      <c r="H793" s="171">
        <f t="shared" si="386"/>
        <v>0.4</v>
      </c>
      <c r="I793" s="249">
        <f t="shared" si="396"/>
        <v>40</v>
      </c>
      <c r="J793" s="170">
        <f t="shared" si="396"/>
        <v>40.826000000000015</v>
      </c>
      <c r="K793" s="250">
        <v>0.4</v>
      </c>
      <c r="L793" s="172">
        <f t="shared" si="387"/>
        <v>0.4</v>
      </c>
      <c r="M793" s="249">
        <f t="shared" si="388"/>
        <v>15</v>
      </c>
      <c r="N793" s="170">
        <f t="shared" si="389"/>
        <v>15.309750000000003</v>
      </c>
      <c r="O793" s="250">
        <v>0.15</v>
      </c>
      <c r="P793" s="172">
        <f t="shared" si="390"/>
        <v>0.15</v>
      </c>
      <c r="Q793" s="251">
        <f t="shared" si="391"/>
        <v>5</v>
      </c>
      <c r="R793" s="173">
        <f t="shared" si="392"/>
        <v>5.1032500000000018</v>
      </c>
      <c r="S793" s="250">
        <v>0.05</v>
      </c>
      <c r="T793" s="171">
        <f t="shared" si="393"/>
        <v>0.05</v>
      </c>
      <c r="U793" s="256">
        <v>100</v>
      </c>
      <c r="V793" s="170">
        <f t="shared" si="394"/>
        <v>102.06500000000003</v>
      </c>
      <c r="W793" s="258">
        <v>0.2</v>
      </c>
      <c r="X793" s="257">
        <f t="shared" si="384"/>
        <v>120</v>
      </c>
      <c r="Y793" s="170">
        <f t="shared" si="382"/>
        <v>122.47800000000002</v>
      </c>
      <c r="Z793" s="170">
        <f t="shared" si="385"/>
        <v>125</v>
      </c>
      <c r="AA793" s="407">
        <f t="shared" si="383"/>
        <v>0</v>
      </c>
      <c r="AB793" s="194"/>
    </row>
    <row r="794" spans="1:28" s="278" customFormat="1" x14ac:dyDescent="0.25">
      <c r="A794" s="200">
        <v>717378</v>
      </c>
      <c r="B794" s="313" t="s">
        <v>19515</v>
      </c>
      <c r="C794" s="248"/>
      <c r="D794" s="247" t="s">
        <v>2</v>
      </c>
      <c r="E794" s="249">
        <f t="shared" si="395"/>
        <v>46.666680000000007</v>
      </c>
      <c r="F794" s="170">
        <f t="shared" si="395"/>
        <v>47.63034694200001</v>
      </c>
      <c r="G794" s="250">
        <v>0.4</v>
      </c>
      <c r="H794" s="171">
        <f t="shared" si="386"/>
        <v>0.4</v>
      </c>
      <c r="I794" s="249">
        <f t="shared" si="396"/>
        <v>46.666680000000007</v>
      </c>
      <c r="J794" s="170">
        <f t="shared" si="396"/>
        <v>47.63034694200001</v>
      </c>
      <c r="K794" s="250">
        <v>0.4</v>
      </c>
      <c r="L794" s="172">
        <f t="shared" si="387"/>
        <v>0.4</v>
      </c>
      <c r="M794" s="249">
        <f t="shared" si="388"/>
        <v>17.500005000000002</v>
      </c>
      <c r="N794" s="170">
        <f t="shared" si="389"/>
        <v>17.861380103250003</v>
      </c>
      <c r="O794" s="250">
        <v>0.15</v>
      </c>
      <c r="P794" s="172">
        <f t="shared" si="390"/>
        <v>0.15</v>
      </c>
      <c r="Q794" s="251">
        <f t="shared" si="391"/>
        <v>5.8333350000000008</v>
      </c>
      <c r="R794" s="173">
        <f t="shared" si="392"/>
        <v>5.9537933677500012</v>
      </c>
      <c r="S794" s="250">
        <v>0.05</v>
      </c>
      <c r="T794" s="171">
        <f t="shared" si="393"/>
        <v>0.05</v>
      </c>
      <c r="U794" s="256">
        <v>116.66670000000001</v>
      </c>
      <c r="V794" s="170">
        <f t="shared" si="394"/>
        <v>119.07586735500001</v>
      </c>
      <c r="W794" s="258">
        <v>0.2</v>
      </c>
      <c r="X794" s="257">
        <f t="shared" si="384"/>
        <v>140.00004000000001</v>
      </c>
      <c r="Y794" s="170">
        <f t="shared" si="382"/>
        <v>142.89104082600002</v>
      </c>
      <c r="Z794" s="170">
        <f t="shared" si="385"/>
        <v>145</v>
      </c>
      <c r="AA794" s="407">
        <f t="shared" si="383"/>
        <v>0</v>
      </c>
      <c r="AB794" s="194"/>
    </row>
    <row r="795" spans="1:28" s="278" customFormat="1" x14ac:dyDescent="0.25">
      <c r="A795" s="200">
        <v>717378</v>
      </c>
      <c r="B795" s="313" t="s">
        <v>19516</v>
      </c>
      <c r="C795" s="248"/>
      <c r="D795" s="247" t="s">
        <v>2</v>
      </c>
      <c r="E795" s="249">
        <f t="shared" si="395"/>
        <v>45</v>
      </c>
      <c r="F795" s="170">
        <f t="shared" si="395"/>
        <v>45.929250000000003</v>
      </c>
      <c r="G795" s="250">
        <v>0.4</v>
      </c>
      <c r="H795" s="171">
        <f t="shared" si="386"/>
        <v>0.4</v>
      </c>
      <c r="I795" s="249">
        <f t="shared" si="396"/>
        <v>45</v>
      </c>
      <c r="J795" s="170">
        <f t="shared" si="396"/>
        <v>45.929250000000003</v>
      </c>
      <c r="K795" s="250">
        <v>0.4</v>
      </c>
      <c r="L795" s="172">
        <f t="shared" si="387"/>
        <v>0.4</v>
      </c>
      <c r="M795" s="249">
        <f t="shared" si="388"/>
        <v>16.875</v>
      </c>
      <c r="N795" s="170">
        <f t="shared" si="389"/>
        <v>17.223468749999999</v>
      </c>
      <c r="O795" s="250">
        <v>0.15</v>
      </c>
      <c r="P795" s="172">
        <f t="shared" si="390"/>
        <v>0.15</v>
      </c>
      <c r="Q795" s="251">
        <f t="shared" si="391"/>
        <v>5.625</v>
      </c>
      <c r="R795" s="173">
        <f t="shared" si="392"/>
        <v>5.7411562500000004</v>
      </c>
      <c r="S795" s="250">
        <v>0.05</v>
      </c>
      <c r="T795" s="171">
        <f t="shared" si="393"/>
        <v>0.05</v>
      </c>
      <c r="U795" s="256">
        <v>112.5</v>
      </c>
      <c r="V795" s="170">
        <f t="shared" si="394"/>
        <v>114.823125</v>
      </c>
      <c r="W795" s="258">
        <v>0.2</v>
      </c>
      <c r="X795" s="257">
        <f t="shared" si="384"/>
        <v>135</v>
      </c>
      <c r="Y795" s="170">
        <f t="shared" si="382"/>
        <v>137.78774999999999</v>
      </c>
      <c r="Z795" s="170">
        <f t="shared" si="385"/>
        <v>140</v>
      </c>
      <c r="AA795" s="407">
        <f t="shared" si="383"/>
        <v>0</v>
      </c>
      <c r="AB795" s="194"/>
    </row>
    <row r="796" spans="1:28" s="278" customFormat="1" x14ac:dyDescent="0.25">
      <c r="A796" s="200">
        <v>717380</v>
      </c>
      <c r="B796" s="313" t="s">
        <v>19517</v>
      </c>
      <c r="C796" s="248"/>
      <c r="D796" s="247" t="s">
        <v>2</v>
      </c>
      <c r="E796" s="249">
        <f t="shared" si="395"/>
        <v>0</v>
      </c>
      <c r="F796" s="170">
        <f t="shared" si="395"/>
        <v>116.66600000000001</v>
      </c>
      <c r="G796" s="250">
        <v>0.4</v>
      </c>
      <c r="H796" s="171">
        <f t="shared" si="386"/>
        <v>0.4</v>
      </c>
      <c r="I796" s="249">
        <f t="shared" si="396"/>
        <v>0</v>
      </c>
      <c r="J796" s="170">
        <f t="shared" si="396"/>
        <v>131.24925000000002</v>
      </c>
      <c r="K796" s="250">
        <v>0.45</v>
      </c>
      <c r="L796" s="172">
        <f t="shared" si="387"/>
        <v>0.45</v>
      </c>
      <c r="M796" s="249">
        <f t="shared" si="388"/>
        <v>0</v>
      </c>
      <c r="N796" s="170">
        <f t="shared" si="389"/>
        <v>29.166500000000003</v>
      </c>
      <c r="O796" s="250">
        <v>0.1</v>
      </c>
      <c r="P796" s="172">
        <f t="shared" si="390"/>
        <v>0.1</v>
      </c>
      <c r="Q796" s="251">
        <f t="shared" si="391"/>
        <v>0</v>
      </c>
      <c r="R796" s="173">
        <f t="shared" si="392"/>
        <v>14.583250000000001</v>
      </c>
      <c r="S796" s="250">
        <v>0.05</v>
      </c>
      <c r="T796" s="171">
        <f t="shared" si="393"/>
        <v>0.05</v>
      </c>
      <c r="U796" s="256"/>
      <c r="V796" s="170">
        <v>291.66500000000002</v>
      </c>
      <c r="W796" s="258">
        <v>0.2</v>
      </c>
      <c r="X796" s="257">
        <f>U796+U796*W796</f>
        <v>0</v>
      </c>
      <c r="Y796" s="170">
        <f>IF(V796*(W796+1)=0,X796,V796*(W796+1))</f>
        <v>349.99799999999999</v>
      </c>
      <c r="Z796" s="170">
        <f>IF(Y796=0, 0, IF(Y796&lt;10, _xlfn.CEILING.MATH(Y796,1), IF(Y796&lt;100, _xlfn.CEILING.MATH(Y796,1),IF(Y796&lt;1000, _xlfn.CEILING.MATH(Y796,5), IF(Y796&lt;10000, _xlfn.CEILING.MATH(Y796, 25), IF(Y796&lt;100000, _xlfn.CEILING.MATH(Y796,250), IF(Y796&lt;1000000, _xlfn.CEILING.MATH(Y796,500), 0)))))))</f>
        <v>350</v>
      </c>
      <c r="AA796" s="407">
        <f t="shared" si="383"/>
        <v>0</v>
      </c>
      <c r="AB796" s="194"/>
    </row>
    <row r="797" spans="1:28" s="278" customFormat="1" x14ac:dyDescent="0.25">
      <c r="A797" s="200">
        <v>717380</v>
      </c>
      <c r="B797" s="313" t="s">
        <v>19518</v>
      </c>
      <c r="C797" s="248"/>
      <c r="D797" s="247" t="s">
        <v>2</v>
      </c>
      <c r="E797" s="249">
        <f t="shared" si="395"/>
        <v>0</v>
      </c>
      <c r="F797" s="170">
        <f t="shared" si="395"/>
        <v>100</v>
      </c>
      <c r="G797" s="250">
        <v>0.4</v>
      </c>
      <c r="H797" s="171">
        <f t="shared" si="386"/>
        <v>0.4</v>
      </c>
      <c r="I797" s="249">
        <f t="shared" si="396"/>
        <v>0</v>
      </c>
      <c r="J797" s="170">
        <f t="shared" si="396"/>
        <v>112.5</v>
      </c>
      <c r="K797" s="250">
        <v>0.45</v>
      </c>
      <c r="L797" s="172">
        <f t="shared" si="387"/>
        <v>0.45</v>
      </c>
      <c r="M797" s="249">
        <f t="shared" si="388"/>
        <v>0</v>
      </c>
      <c r="N797" s="170">
        <f t="shared" si="389"/>
        <v>25</v>
      </c>
      <c r="O797" s="250">
        <v>0.1</v>
      </c>
      <c r="P797" s="172">
        <f t="shared" si="390"/>
        <v>0.1</v>
      </c>
      <c r="Q797" s="251">
        <f t="shared" si="391"/>
        <v>0</v>
      </c>
      <c r="R797" s="173">
        <f t="shared" si="392"/>
        <v>12.5</v>
      </c>
      <c r="S797" s="250">
        <v>0.05</v>
      </c>
      <c r="T797" s="171">
        <f t="shared" si="393"/>
        <v>0.05</v>
      </c>
      <c r="U797" s="256"/>
      <c r="V797" s="170">
        <v>250</v>
      </c>
      <c r="W797" s="258">
        <v>0.2</v>
      </c>
      <c r="X797" s="257">
        <f>U797+U797*W797</f>
        <v>0</v>
      </c>
      <c r="Y797" s="170">
        <f>IF(V797*(W797+1)=0,X797,V797*(W797+1))</f>
        <v>300</v>
      </c>
      <c r="Z797" s="170">
        <f>IF(Y797=0, 0, IF(Y797&lt;10, _xlfn.CEILING.MATH(Y797,1), IF(Y797&lt;100, _xlfn.CEILING.MATH(Y797,1),IF(Y797&lt;1000, _xlfn.CEILING.MATH(Y797,5), IF(Y797&lt;10000, _xlfn.CEILING.MATH(Y797, 25), IF(Y797&lt;100000, _xlfn.CEILING.MATH(Y797,250), IF(Y797&lt;1000000, _xlfn.CEILING.MATH(Y797,500), 0)))))))</f>
        <v>300</v>
      </c>
      <c r="AA797" s="407">
        <f t="shared" si="383"/>
        <v>0</v>
      </c>
      <c r="AB797" s="194"/>
    </row>
    <row r="798" spans="1:28" s="278" customFormat="1" x14ac:dyDescent="0.25">
      <c r="A798" s="200">
        <v>717384</v>
      </c>
      <c r="B798" s="313" t="s">
        <v>19519</v>
      </c>
      <c r="C798" s="248"/>
      <c r="D798" s="247" t="s">
        <v>2</v>
      </c>
      <c r="E798" s="249">
        <f t="shared" si="395"/>
        <v>78.333320000000015</v>
      </c>
      <c r="F798" s="170">
        <f t="shared" si="395"/>
        <v>79.950903058000023</v>
      </c>
      <c r="G798" s="250">
        <v>0.4</v>
      </c>
      <c r="H798" s="171">
        <f t="shared" si="386"/>
        <v>0.4</v>
      </c>
      <c r="I798" s="249">
        <f t="shared" si="396"/>
        <v>78.333320000000015</v>
      </c>
      <c r="J798" s="170">
        <f t="shared" si="396"/>
        <v>79.950903058000023</v>
      </c>
      <c r="K798" s="250">
        <v>0.4</v>
      </c>
      <c r="L798" s="172">
        <f t="shared" si="387"/>
        <v>0.4</v>
      </c>
      <c r="M798" s="249">
        <f t="shared" si="388"/>
        <v>29.374994999999998</v>
      </c>
      <c r="N798" s="170">
        <f t="shared" si="389"/>
        <v>29.981588646750005</v>
      </c>
      <c r="O798" s="250">
        <v>0.15</v>
      </c>
      <c r="P798" s="172">
        <f t="shared" si="390"/>
        <v>0.15</v>
      </c>
      <c r="Q798" s="251">
        <f t="shared" si="391"/>
        <v>9.7916650000000018</v>
      </c>
      <c r="R798" s="173">
        <f t="shared" si="392"/>
        <v>9.9938628822500029</v>
      </c>
      <c r="S798" s="250">
        <v>0.05</v>
      </c>
      <c r="T798" s="171">
        <f t="shared" si="393"/>
        <v>0.05</v>
      </c>
      <c r="U798" s="256">
        <v>195.83330000000001</v>
      </c>
      <c r="V798" s="170">
        <f t="shared" si="394"/>
        <v>199.87725764500004</v>
      </c>
      <c r="W798" s="258">
        <v>0.2</v>
      </c>
      <c r="X798" s="257">
        <f t="shared" si="384"/>
        <v>234.99996000000002</v>
      </c>
      <c r="Y798" s="170">
        <f t="shared" si="382"/>
        <v>239.85270917400004</v>
      </c>
      <c r="Z798" s="170">
        <f t="shared" si="385"/>
        <v>240</v>
      </c>
      <c r="AA798" s="407">
        <f t="shared" si="383"/>
        <v>0</v>
      </c>
      <c r="AB798" s="194"/>
    </row>
    <row r="799" spans="1:28" s="278" customFormat="1" x14ac:dyDescent="0.25">
      <c r="A799" s="200">
        <v>717384</v>
      </c>
      <c r="B799" s="313" t="s">
        <v>19520</v>
      </c>
      <c r="C799" s="248"/>
      <c r="D799" s="247" t="s">
        <v>2</v>
      </c>
      <c r="E799" s="249">
        <f t="shared" si="395"/>
        <v>66.666679999999999</v>
      </c>
      <c r="F799" s="170">
        <f t="shared" si="395"/>
        <v>68.043346942000014</v>
      </c>
      <c r="G799" s="250">
        <v>0.4</v>
      </c>
      <c r="H799" s="171">
        <f t="shared" si="386"/>
        <v>0.4</v>
      </c>
      <c r="I799" s="249">
        <f t="shared" si="396"/>
        <v>66.666679999999999</v>
      </c>
      <c r="J799" s="170">
        <f t="shared" si="396"/>
        <v>68.043346942000014</v>
      </c>
      <c r="K799" s="250">
        <v>0.4</v>
      </c>
      <c r="L799" s="172">
        <f t="shared" si="387"/>
        <v>0.4</v>
      </c>
      <c r="M799" s="249">
        <f t="shared" si="388"/>
        <v>25.000004999999998</v>
      </c>
      <c r="N799" s="170">
        <f t="shared" si="389"/>
        <v>25.51625510325</v>
      </c>
      <c r="O799" s="250">
        <v>0.15</v>
      </c>
      <c r="P799" s="172">
        <f t="shared" si="390"/>
        <v>0.15</v>
      </c>
      <c r="Q799" s="251">
        <f t="shared" si="391"/>
        <v>8.3333349999999999</v>
      </c>
      <c r="R799" s="173">
        <f t="shared" si="392"/>
        <v>8.5054183677500017</v>
      </c>
      <c r="S799" s="250">
        <v>0.05</v>
      </c>
      <c r="T799" s="171">
        <f t="shared" si="393"/>
        <v>0.05</v>
      </c>
      <c r="U799" s="256">
        <v>166.66669999999999</v>
      </c>
      <c r="V799" s="170">
        <f t="shared" si="394"/>
        <v>170.10836735500001</v>
      </c>
      <c r="W799" s="258">
        <v>0.2</v>
      </c>
      <c r="X799" s="257">
        <f t="shared" si="384"/>
        <v>200.00003999999998</v>
      </c>
      <c r="Y799" s="170">
        <f t="shared" si="382"/>
        <v>204.130040826</v>
      </c>
      <c r="Z799" s="170">
        <f t="shared" si="385"/>
        <v>205</v>
      </c>
      <c r="AA799" s="407">
        <f t="shared" si="383"/>
        <v>0</v>
      </c>
      <c r="AB799" s="194"/>
    </row>
    <row r="800" spans="1:28" s="278" customFormat="1" x14ac:dyDescent="0.25">
      <c r="A800" s="200">
        <v>717386</v>
      </c>
      <c r="B800" s="313" t="s">
        <v>19521</v>
      </c>
      <c r="C800" s="248"/>
      <c r="D800" s="247" t="s">
        <v>2</v>
      </c>
      <c r="E800" s="249">
        <f t="shared" si="395"/>
        <v>0</v>
      </c>
      <c r="F800" s="170">
        <f t="shared" si="395"/>
        <v>106.66600000000001</v>
      </c>
      <c r="G800" s="250">
        <v>0.4</v>
      </c>
      <c r="H800" s="171">
        <f t="shared" si="386"/>
        <v>0.4</v>
      </c>
      <c r="I800" s="249">
        <f t="shared" si="396"/>
        <v>0</v>
      </c>
      <c r="J800" s="170">
        <f t="shared" si="396"/>
        <v>119.99925000000002</v>
      </c>
      <c r="K800" s="250">
        <v>0.45</v>
      </c>
      <c r="L800" s="172">
        <f t="shared" si="387"/>
        <v>0.45</v>
      </c>
      <c r="M800" s="249">
        <f t="shared" si="388"/>
        <v>0</v>
      </c>
      <c r="N800" s="170">
        <f t="shared" si="389"/>
        <v>26.666500000000003</v>
      </c>
      <c r="O800" s="250">
        <v>0.1</v>
      </c>
      <c r="P800" s="172">
        <f t="shared" si="390"/>
        <v>0.1</v>
      </c>
      <c r="Q800" s="251">
        <f t="shared" si="391"/>
        <v>0</v>
      </c>
      <c r="R800" s="173">
        <f t="shared" si="392"/>
        <v>13.333250000000001</v>
      </c>
      <c r="S800" s="250">
        <v>0.05</v>
      </c>
      <c r="T800" s="171">
        <f t="shared" si="393"/>
        <v>0.05</v>
      </c>
      <c r="U800" s="256"/>
      <c r="V800" s="170">
        <v>266.66500000000002</v>
      </c>
      <c r="W800" s="258">
        <v>0.2</v>
      </c>
      <c r="X800" s="257">
        <f>U800+U800*W800</f>
        <v>0</v>
      </c>
      <c r="Y800" s="170">
        <f>IF(V800*(W800+1)=0,X800,V800*(W800+1))</f>
        <v>319.99799999999999</v>
      </c>
      <c r="Z800" s="170">
        <f>IF(Y800=0, 0, IF(Y800&lt;10, _xlfn.CEILING.MATH(Y800,1), IF(Y800&lt;100, _xlfn.CEILING.MATH(Y800,1),IF(Y800&lt;1000, _xlfn.CEILING.MATH(Y800,5), IF(Y800&lt;10000, _xlfn.CEILING.MATH(Y800, 25), IF(Y800&lt;100000, _xlfn.CEILING.MATH(Y800,250), IF(Y800&lt;1000000, _xlfn.CEILING.MATH(Y800,500), 0)))))))</f>
        <v>320</v>
      </c>
      <c r="AA800" s="407">
        <f t="shared" si="383"/>
        <v>0</v>
      </c>
      <c r="AB800" s="194"/>
    </row>
    <row r="801" spans="1:30" x14ac:dyDescent="0.25">
      <c r="A801" s="200">
        <v>717386</v>
      </c>
      <c r="B801" s="313" t="s">
        <v>19522</v>
      </c>
      <c r="C801" s="248"/>
      <c r="D801" s="247" t="s">
        <v>2</v>
      </c>
      <c r="E801" s="249">
        <f t="shared" si="395"/>
        <v>0</v>
      </c>
      <c r="F801" s="170">
        <f t="shared" si="395"/>
        <v>120</v>
      </c>
      <c r="G801" s="250">
        <v>0.4</v>
      </c>
      <c r="H801" s="171">
        <f t="shared" si="386"/>
        <v>0.4</v>
      </c>
      <c r="I801" s="249">
        <f t="shared" si="396"/>
        <v>0</v>
      </c>
      <c r="J801" s="170">
        <f t="shared" si="396"/>
        <v>135</v>
      </c>
      <c r="K801" s="250">
        <v>0.45</v>
      </c>
      <c r="L801" s="172">
        <f t="shared" si="387"/>
        <v>0.45</v>
      </c>
      <c r="M801" s="249">
        <f t="shared" si="388"/>
        <v>0</v>
      </c>
      <c r="N801" s="170">
        <f t="shared" si="389"/>
        <v>30</v>
      </c>
      <c r="O801" s="250">
        <v>0.1</v>
      </c>
      <c r="P801" s="172">
        <f t="shared" si="390"/>
        <v>0.1</v>
      </c>
      <c r="Q801" s="251">
        <f t="shared" si="391"/>
        <v>0</v>
      </c>
      <c r="R801" s="173">
        <f t="shared" si="392"/>
        <v>15</v>
      </c>
      <c r="S801" s="250">
        <v>0.05</v>
      </c>
      <c r="T801" s="171">
        <f t="shared" si="393"/>
        <v>0.05</v>
      </c>
      <c r="U801" s="256"/>
      <c r="V801" s="170">
        <v>300</v>
      </c>
      <c r="W801" s="258">
        <v>0.2</v>
      </c>
      <c r="X801" s="257">
        <f>U801+U801*W801</f>
        <v>0</v>
      </c>
      <c r="Y801" s="170">
        <f>IF(V801*(W801+1)=0,X801,V801*(W801+1))</f>
        <v>360</v>
      </c>
      <c r="Z801" s="170">
        <f>IF(Y801=0, 0, IF(Y801&lt;10, _xlfn.CEILING.MATH(Y801,1), IF(Y801&lt;100, _xlfn.CEILING.MATH(Y801,1),IF(Y801&lt;1000, _xlfn.CEILING.MATH(Y801,5), IF(Y801&lt;10000, _xlfn.CEILING.MATH(Y801, 25), IF(Y801&lt;100000, _xlfn.CEILING.MATH(Y801,250), IF(Y801&lt;1000000, _xlfn.CEILING.MATH(Y801,500), 0)))))))</f>
        <v>360</v>
      </c>
      <c r="AA801" s="407">
        <f t="shared" ref="AA801:AA868" si="397">C801*Z801</f>
        <v>0</v>
      </c>
      <c r="AB801" s="194"/>
      <c r="AC801" s="278"/>
    </row>
    <row r="802" spans="1:30" x14ac:dyDescent="0.25">
      <c r="A802" s="200">
        <v>717398</v>
      </c>
      <c r="B802" s="313" t="s">
        <v>19523</v>
      </c>
      <c r="C802" s="248"/>
      <c r="D802" s="247" t="s">
        <v>2</v>
      </c>
      <c r="E802" s="249">
        <f t="shared" si="395"/>
        <v>0</v>
      </c>
      <c r="F802" s="170">
        <f t="shared" si="395"/>
        <v>183.33199999999999</v>
      </c>
      <c r="G802" s="250">
        <v>0.4</v>
      </c>
      <c r="H802" s="171">
        <f t="shared" si="386"/>
        <v>0.4</v>
      </c>
      <c r="I802" s="249">
        <f t="shared" si="396"/>
        <v>0</v>
      </c>
      <c r="J802" s="170">
        <f t="shared" si="396"/>
        <v>206.24850000000001</v>
      </c>
      <c r="K802" s="250">
        <v>0.45</v>
      </c>
      <c r="L802" s="172">
        <f t="shared" si="387"/>
        <v>0.45</v>
      </c>
      <c r="M802" s="249">
        <f t="shared" si="388"/>
        <v>0</v>
      </c>
      <c r="N802" s="170">
        <f t="shared" si="389"/>
        <v>45.832999999999998</v>
      </c>
      <c r="O802" s="250">
        <v>0.1</v>
      </c>
      <c r="P802" s="172">
        <f t="shared" si="390"/>
        <v>0.1</v>
      </c>
      <c r="Q802" s="251">
        <f t="shared" si="391"/>
        <v>0</v>
      </c>
      <c r="R802" s="173">
        <f t="shared" si="392"/>
        <v>22.916499999999999</v>
      </c>
      <c r="S802" s="250">
        <v>0.05</v>
      </c>
      <c r="T802" s="171">
        <f t="shared" si="393"/>
        <v>0.05</v>
      </c>
      <c r="U802" s="256"/>
      <c r="V802" s="170">
        <v>458.33</v>
      </c>
      <c r="W802" s="258">
        <v>0.2</v>
      </c>
      <c r="X802" s="257">
        <f>U802+U802*W802</f>
        <v>0</v>
      </c>
      <c r="Y802" s="170">
        <f>IF(V802*(W802+1)=0,X802,V802*(W802+1))</f>
        <v>549.99599999999998</v>
      </c>
      <c r="Z802" s="170">
        <f>IF(Y802=0, 0, IF(Y802&lt;10, _xlfn.CEILING.MATH(Y802,1), IF(Y802&lt;100, _xlfn.CEILING.MATH(Y802,1),IF(Y802&lt;1000, _xlfn.CEILING.MATH(Y802,5), IF(Y802&lt;10000, _xlfn.CEILING.MATH(Y802, 25), IF(Y802&lt;100000, _xlfn.CEILING.MATH(Y802,250), IF(Y802&lt;1000000, _xlfn.CEILING.MATH(Y802,500), 0)))))))</f>
        <v>550</v>
      </c>
      <c r="AA802" s="407">
        <f t="shared" si="397"/>
        <v>0</v>
      </c>
      <c r="AB802" s="194"/>
      <c r="AC802" s="278"/>
    </row>
    <row r="803" spans="1:30" s="279" customFormat="1" x14ac:dyDescent="0.25">
      <c r="A803" s="200">
        <v>717398</v>
      </c>
      <c r="B803" s="313" t="s">
        <v>19524</v>
      </c>
      <c r="C803" s="248"/>
      <c r="D803" s="247" t="s">
        <v>2</v>
      </c>
      <c r="E803" s="249">
        <f t="shared" si="395"/>
        <v>0</v>
      </c>
      <c r="F803" s="170">
        <f t="shared" si="395"/>
        <v>160</v>
      </c>
      <c r="G803" s="250">
        <v>0.4</v>
      </c>
      <c r="H803" s="171">
        <f t="shared" si="386"/>
        <v>0.4</v>
      </c>
      <c r="I803" s="249">
        <f t="shared" si="396"/>
        <v>0</v>
      </c>
      <c r="J803" s="170">
        <f t="shared" si="396"/>
        <v>180</v>
      </c>
      <c r="K803" s="250">
        <v>0.45</v>
      </c>
      <c r="L803" s="172">
        <f t="shared" si="387"/>
        <v>0.45</v>
      </c>
      <c r="M803" s="249">
        <f t="shared" si="388"/>
        <v>0</v>
      </c>
      <c r="N803" s="170">
        <f t="shared" si="389"/>
        <v>40</v>
      </c>
      <c r="O803" s="250">
        <v>0.1</v>
      </c>
      <c r="P803" s="172">
        <f t="shared" si="390"/>
        <v>0.1</v>
      </c>
      <c r="Q803" s="251">
        <f t="shared" si="391"/>
        <v>0</v>
      </c>
      <c r="R803" s="173">
        <f t="shared" si="392"/>
        <v>20</v>
      </c>
      <c r="S803" s="250">
        <v>0.05</v>
      </c>
      <c r="T803" s="171">
        <f t="shared" si="393"/>
        <v>0.05</v>
      </c>
      <c r="U803" s="256"/>
      <c r="V803" s="170">
        <v>400</v>
      </c>
      <c r="W803" s="258">
        <v>0.2</v>
      </c>
      <c r="X803" s="257">
        <f>U803+U803*W803</f>
        <v>0</v>
      </c>
      <c r="Y803" s="170">
        <f>IF(V803*(W803+1)=0,X803,V803*(W803+1))</f>
        <v>480</v>
      </c>
      <c r="Z803" s="170">
        <f>IF(Y803=0, 0, IF(Y803&lt;10, _xlfn.CEILING.MATH(Y803,1), IF(Y803&lt;100, _xlfn.CEILING.MATH(Y803,1),IF(Y803&lt;1000, _xlfn.CEILING.MATH(Y803,5), IF(Y803&lt;10000, _xlfn.CEILING.MATH(Y803, 25), IF(Y803&lt;100000, _xlfn.CEILING.MATH(Y803,250), IF(Y803&lt;1000000, _xlfn.CEILING.MATH(Y803,500), 0)))))))</f>
        <v>480</v>
      </c>
      <c r="AA803" s="407">
        <f t="shared" si="397"/>
        <v>0</v>
      </c>
      <c r="AB803" s="194"/>
      <c r="AC803" s="278"/>
      <c r="AD803" s="278"/>
    </row>
    <row r="804" spans="1:30" x14ac:dyDescent="0.25">
      <c r="A804" s="200">
        <v>717413</v>
      </c>
      <c r="B804" s="313" t="s">
        <v>19525</v>
      </c>
      <c r="C804" s="248"/>
      <c r="D804" s="247" t="s">
        <v>2</v>
      </c>
      <c r="E804" s="249">
        <f t="shared" si="395"/>
        <v>27.708334499999996</v>
      </c>
      <c r="F804" s="170">
        <f t="shared" si="395"/>
        <v>28.272199107074993</v>
      </c>
      <c r="G804" s="250">
        <v>0.35</v>
      </c>
      <c r="H804" s="171">
        <f t="shared" si="386"/>
        <v>0.35</v>
      </c>
      <c r="I804" s="249">
        <f t="shared" si="396"/>
        <v>35.625001499999996</v>
      </c>
      <c r="J804" s="170">
        <f t="shared" si="396"/>
        <v>36.349970280524992</v>
      </c>
      <c r="K804" s="250">
        <v>0.45</v>
      </c>
      <c r="L804" s="172">
        <f t="shared" si="387"/>
        <v>0.45</v>
      </c>
      <c r="M804" s="249">
        <f t="shared" si="388"/>
        <v>11.875000499999999</v>
      </c>
      <c r="N804" s="170">
        <f t="shared" si="389"/>
        <v>12.116656760174997</v>
      </c>
      <c r="O804" s="250">
        <v>0.15</v>
      </c>
      <c r="P804" s="172">
        <f t="shared" si="390"/>
        <v>0.15</v>
      </c>
      <c r="Q804" s="251">
        <f t="shared" si="391"/>
        <v>3.9583335000000002</v>
      </c>
      <c r="R804" s="173">
        <f t="shared" si="392"/>
        <v>4.0388855867249998</v>
      </c>
      <c r="S804" s="250">
        <v>0.05</v>
      </c>
      <c r="T804" s="171">
        <f t="shared" si="393"/>
        <v>0.05</v>
      </c>
      <c r="U804" s="256">
        <v>79.166669999999996</v>
      </c>
      <c r="V804" s="170">
        <f t="shared" si="394"/>
        <v>80.777711734499988</v>
      </c>
      <c r="W804" s="258">
        <v>0.2</v>
      </c>
      <c r="X804" s="257">
        <f t="shared" si="384"/>
        <v>95.00000399999999</v>
      </c>
      <c r="Y804" s="170">
        <f t="shared" si="382"/>
        <v>96.93325408139998</v>
      </c>
      <c r="Z804" s="170">
        <f t="shared" si="385"/>
        <v>97</v>
      </c>
      <c r="AA804" s="407">
        <f t="shared" si="397"/>
        <v>0</v>
      </c>
      <c r="AB804" s="194"/>
      <c r="AC804" s="278"/>
    </row>
    <row r="805" spans="1:30" x14ac:dyDescent="0.25">
      <c r="A805" s="200">
        <v>717413</v>
      </c>
      <c r="B805" s="313" t="s">
        <v>19526</v>
      </c>
      <c r="C805" s="248"/>
      <c r="D805" s="247" t="s">
        <v>2</v>
      </c>
      <c r="E805" s="249">
        <f t="shared" si="395"/>
        <v>21.875</v>
      </c>
      <c r="F805" s="170">
        <f t="shared" si="395"/>
        <v>22.32015625</v>
      </c>
      <c r="G805" s="250">
        <v>0.35</v>
      </c>
      <c r="H805" s="171">
        <f t="shared" si="386"/>
        <v>0.35</v>
      </c>
      <c r="I805" s="249">
        <f t="shared" si="396"/>
        <v>28.125</v>
      </c>
      <c r="J805" s="170">
        <f t="shared" si="396"/>
        <v>28.697343750000005</v>
      </c>
      <c r="K805" s="250">
        <v>0.45</v>
      </c>
      <c r="L805" s="172">
        <f t="shared" si="387"/>
        <v>0.45</v>
      </c>
      <c r="M805" s="249">
        <f t="shared" si="388"/>
        <v>9.375</v>
      </c>
      <c r="N805" s="170">
        <f t="shared" si="389"/>
        <v>9.5657812500000006</v>
      </c>
      <c r="O805" s="250">
        <v>0.15</v>
      </c>
      <c r="P805" s="172">
        <f t="shared" si="390"/>
        <v>0.15</v>
      </c>
      <c r="Q805" s="251">
        <f t="shared" si="391"/>
        <v>3.125</v>
      </c>
      <c r="R805" s="173">
        <f t="shared" si="392"/>
        <v>3.1885937500000008</v>
      </c>
      <c r="S805" s="250">
        <v>0.05</v>
      </c>
      <c r="T805" s="171">
        <f t="shared" si="393"/>
        <v>0.05</v>
      </c>
      <c r="U805" s="256">
        <v>62.5</v>
      </c>
      <c r="V805" s="170">
        <f t="shared" si="394"/>
        <v>63.771875000000009</v>
      </c>
      <c r="W805" s="258">
        <v>0.2</v>
      </c>
      <c r="X805" s="257">
        <f t="shared" si="384"/>
        <v>75</v>
      </c>
      <c r="Y805" s="170">
        <f t="shared" si="382"/>
        <v>76.526250000000005</v>
      </c>
      <c r="Z805" s="170">
        <f t="shared" si="385"/>
        <v>77</v>
      </c>
      <c r="AA805" s="407">
        <f t="shared" si="397"/>
        <v>0</v>
      </c>
      <c r="AB805" s="194"/>
      <c r="AC805" s="278"/>
    </row>
    <row r="806" spans="1:30" x14ac:dyDescent="0.25">
      <c r="A806" s="200">
        <v>717416</v>
      </c>
      <c r="B806" s="313" t="s">
        <v>19527</v>
      </c>
      <c r="C806" s="248"/>
      <c r="D806" s="247" t="s">
        <v>2</v>
      </c>
      <c r="E806" s="249">
        <f t="shared" si="395"/>
        <v>32.083345000000001</v>
      </c>
      <c r="F806" s="170">
        <f t="shared" si="395"/>
        <v>32.736241070750005</v>
      </c>
      <c r="G806" s="250">
        <v>0.35</v>
      </c>
      <c r="H806" s="171">
        <f t="shared" si="386"/>
        <v>0.35</v>
      </c>
      <c r="I806" s="249">
        <f t="shared" si="396"/>
        <v>41.250015000000005</v>
      </c>
      <c r="J806" s="170">
        <f t="shared" si="396"/>
        <v>42.089452805250012</v>
      </c>
      <c r="K806" s="250">
        <v>0.45</v>
      </c>
      <c r="L806" s="172">
        <f t="shared" si="387"/>
        <v>0.45</v>
      </c>
      <c r="M806" s="249">
        <f t="shared" si="388"/>
        <v>13.750005</v>
      </c>
      <c r="N806" s="170">
        <f t="shared" si="389"/>
        <v>14.029817601750002</v>
      </c>
      <c r="O806" s="250">
        <v>0.15</v>
      </c>
      <c r="P806" s="172">
        <f t="shared" si="390"/>
        <v>0.15</v>
      </c>
      <c r="Q806" s="251">
        <f t="shared" si="391"/>
        <v>4.5833350000000008</v>
      </c>
      <c r="R806" s="173">
        <f t="shared" si="392"/>
        <v>4.676605867250001</v>
      </c>
      <c r="S806" s="250">
        <v>0.05</v>
      </c>
      <c r="T806" s="171">
        <f t="shared" si="393"/>
        <v>0.05</v>
      </c>
      <c r="U806" s="256">
        <v>91.666700000000006</v>
      </c>
      <c r="V806" s="170">
        <f t="shared" si="394"/>
        <v>93.532117345000017</v>
      </c>
      <c r="W806" s="258">
        <v>0.2</v>
      </c>
      <c r="X806" s="257">
        <f t="shared" si="384"/>
        <v>110.00004000000001</v>
      </c>
      <c r="Y806" s="170">
        <f t="shared" si="382"/>
        <v>112.23854081400002</v>
      </c>
      <c r="Z806" s="170">
        <f t="shared" si="385"/>
        <v>115</v>
      </c>
      <c r="AA806" s="407">
        <f t="shared" si="397"/>
        <v>0</v>
      </c>
      <c r="AB806" s="194"/>
      <c r="AC806" s="278"/>
    </row>
    <row r="807" spans="1:30" x14ac:dyDescent="0.25">
      <c r="A807" s="200">
        <v>717416</v>
      </c>
      <c r="B807" s="313" t="s">
        <v>19528</v>
      </c>
      <c r="C807" s="248"/>
      <c r="D807" s="247" t="s">
        <v>2</v>
      </c>
      <c r="E807" s="249">
        <f t="shared" si="395"/>
        <v>23.333345000000001</v>
      </c>
      <c r="F807" s="170">
        <f t="shared" si="395"/>
        <v>23.808178570750002</v>
      </c>
      <c r="G807" s="250">
        <v>0.35</v>
      </c>
      <c r="H807" s="171">
        <f t="shared" si="386"/>
        <v>0.35</v>
      </c>
      <c r="I807" s="249">
        <f t="shared" si="396"/>
        <v>30.000015000000005</v>
      </c>
      <c r="J807" s="170">
        <f t="shared" si="396"/>
        <v>30.610515305250004</v>
      </c>
      <c r="K807" s="250">
        <v>0.45</v>
      </c>
      <c r="L807" s="172">
        <f t="shared" si="387"/>
        <v>0.45</v>
      </c>
      <c r="M807" s="249">
        <f t="shared" si="388"/>
        <v>10.000005</v>
      </c>
      <c r="N807" s="170">
        <f t="shared" si="389"/>
        <v>10.203505101750002</v>
      </c>
      <c r="O807" s="250">
        <v>0.15</v>
      </c>
      <c r="P807" s="172">
        <f t="shared" si="390"/>
        <v>0.15</v>
      </c>
      <c r="Q807" s="251">
        <f t="shared" si="391"/>
        <v>3.3333350000000004</v>
      </c>
      <c r="R807" s="173">
        <f t="shared" si="392"/>
        <v>3.4011683672500008</v>
      </c>
      <c r="S807" s="250">
        <v>0.05</v>
      </c>
      <c r="T807" s="171">
        <f t="shared" si="393"/>
        <v>0.05</v>
      </c>
      <c r="U807" s="256">
        <v>66.666700000000006</v>
      </c>
      <c r="V807" s="170">
        <f t="shared" si="394"/>
        <v>68.023367345000011</v>
      </c>
      <c r="W807" s="258">
        <v>0.2</v>
      </c>
      <c r="X807" s="257">
        <f t="shared" si="384"/>
        <v>80.000040000000013</v>
      </c>
      <c r="Y807" s="170">
        <f t="shared" si="382"/>
        <v>81.628040814000016</v>
      </c>
      <c r="Z807" s="170">
        <f t="shared" si="385"/>
        <v>82</v>
      </c>
      <c r="AA807" s="407">
        <f t="shared" si="397"/>
        <v>0</v>
      </c>
      <c r="AB807" s="194"/>
      <c r="AC807" s="278"/>
    </row>
    <row r="808" spans="1:30" x14ac:dyDescent="0.25">
      <c r="A808" s="200">
        <v>717419</v>
      </c>
      <c r="B808" s="313" t="s">
        <v>19529</v>
      </c>
      <c r="C808" s="248"/>
      <c r="D808" s="247" t="s">
        <v>2</v>
      </c>
      <c r="E808" s="249">
        <f t="shared" si="395"/>
        <v>35</v>
      </c>
      <c r="F808" s="170">
        <f t="shared" si="395"/>
        <v>35.712250000000004</v>
      </c>
      <c r="G808" s="250">
        <v>0.35</v>
      </c>
      <c r="H808" s="171">
        <f t="shared" si="386"/>
        <v>0.35</v>
      </c>
      <c r="I808" s="249">
        <f t="shared" si="396"/>
        <v>45</v>
      </c>
      <c r="J808" s="170">
        <f t="shared" si="396"/>
        <v>45.91575000000001</v>
      </c>
      <c r="K808" s="250">
        <v>0.45</v>
      </c>
      <c r="L808" s="172">
        <f t="shared" si="387"/>
        <v>0.45</v>
      </c>
      <c r="M808" s="249">
        <f t="shared" si="388"/>
        <v>15</v>
      </c>
      <c r="N808" s="170">
        <f t="shared" si="389"/>
        <v>15.305250000000003</v>
      </c>
      <c r="O808" s="250">
        <v>0.15</v>
      </c>
      <c r="P808" s="172">
        <f t="shared" si="390"/>
        <v>0.15</v>
      </c>
      <c r="Q808" s="251">
        <f t="shared" si="391"/>
        <v>5</v>
      </c>
      <c r="R808" s="173">
        <f t="shared" si="392"/>
        <v>5.1017500000000018</v>
      </c>
      <c r="S808" s="250">
        <v>0.05</v>
      </c>
      <c r="T808" s="171">
        <f t="shared" si="393"/>
        <v>0.05</v>
      </c>
      <c r="U808" s="256">
        <v>100</v>
      </c>
      <c r="V808" s="170">
        <f t="shared" si="394"/>
        <v>102.03500000000003</v>
      </c>
      <c r="W808" s="258">
        <v>0.2</v>
      </c>
      <c r="X808" s="257">
        <f t="shared" si="384"/>
        <v>120</v>
      </c>
      <c r="Y808" s="170">
        <f t="shared" si="382"/>
        <v>122.44200000000002</v>
      </c>
      <c r="Z808" s="170">
        <f t="shared" si="385"/>
        <v>125</v>
      </c>
      <c r="AA808" s="407">
        <f t="shared" si="397"/>
        <v>0</v>
      </c>
      <c r="AB808" s="194"/>
      <c r="AC808" s="278"/>
    </row>
    <row r="809" spans="1:30" x14ac:dyDescent="0.25">
      <c r="A809" s="200">
        <v>717419</v>
      </c>
      <c r="B809" s="313" t="s">
        <v>19530</v>
      </c>
      <c r="C809" s="248"/>
      <c r="D809" s="247" t="s">
        <v>2</v>
      </c>
      <c r="E809" s="249">
        <f t="shared" si="395"/>
        <v>26.25</v>
      </c>
      <c r="F809" s="170">
        <f t="shared" si="395"/>
        <v>26.784187500000002</v>
      </c>
      <c r="G809" s="250">
        <v>0.35</v>
      </c>
      <c r="H809" s="171">
        <f t="shared" si="386"/>
        <v>0.35</v>
      </c>
      <c r="I809" s="249">
        <f t="shared" si="396"/>
        <v>33.75</v>
      </c>
      <c r="J809" s="170">
        <f t="shared" si="396"/>
        <v>34.436812500000002</v>
      </c>
      <c r="K809" s="250">
        <v>0.45</v>
      </c>
      <c r="L809" s="172">
        <f t="shared" si="387"/>
        <v>0.45</v>
      </c>
      <c r="M809" s="249">
        <f t="shared" si="388"/>
        <v>11.25</v>
      </c>
      <c r="N809" s="170">
        <f t="shared" si="389"/>
        <v>11.478937500000001</v>
      </c>
      <c r="O809" s="250">
        <v>0.15</v>
      </c>
      <c r="P809" s="172">
        <f t="shared" si="390"/>
        <v>0.15</v>
      </c>
      <c r="Q809" s="251">
        <f t="shared" si="391"/>
        <v>3.75</v>
      </c>
      <c r="R809" s="173">
        <f t="shared" si="392"/>
        <v>3.8263125000000002</v>
      </c>
      <c r="S809" s="250">
        <v>0.05</v>
      </c>
      <c r="T809" s="171">
        <f t="shared" si="393"/>
        <v>0.05</v>
      </c>
      <c r="U809" s="256">
        <v>75</v>
      </c>
      <c r="V809" s="170">
        <f t="shared" si="394"/>
        <v>76.526250000000005</v>
      </c>
      <c r="W809" s="258">
        <v>0.2</v>
      </c>
      <c r="X809" s="257">
        <f t="shared" si="384"/>
        <v>90</v>
      </c>
      <c r="Y809" s="170">
        <f t="shared" si="382"/>
        <v>91.831500000000005</v>
      </c>
      <c r="Z809" s="170">
        <f t="shared" si="385"/>
        <v>92</v>
      </c>
      <c r="AA809" s="407">
        <f t="shared" si="397"/>
        <v>0</v>
      </c>
      <c r="AB809" s="194"/>
      <c r="AC809" s="278"/>
    </row>
    <row r="810" spans="1:30" x14ac:dyDescent="0.25">
      <c r="A810" s="200">
        <v>717422</v>
      </c>
      <c r="B810" s="313" t="s">
        <v>19531</v>
      </c>
      <c r="C810" s="248"/>
      <c r="D810" s="247" t="s">
        <v>2</v>
      </c>
      <c r="E810" s="249">
        <f t="shared" si="395"/>
        <v>37.916549999999994</v>
      </c>
      <c r="F810" s="170">
        <f t="shared" si="395"/>
        <v>38.688151792500001</v>
      </c>
      <c r="G810" s="250">
        <v>0.35</v>
      </c>
      <c r="H810" s="171">
        <f t="shared" si="386"/>
        <v>0.35</v>
      </c>
      <c r="I810" s="249">
        <f t="shared" si="396"/>
        <v>48.749850000000002</v>
      </c>
      <c r="J810" s="170">
        <f t="shared" si="396"/>
        <v>49.741909447500007</v>
      </c>
      <c r="K810" s="250">
        <v>0.45</v>
      </c>
      <c r="L810" s="172">
        <f t="shared" si="387"/>
        <v>0.45</v>
      </c>
      <c r="M810" s="249">
        <f t="shared" si="388"/>
        <v>16.249949999999998</v>
      </c>
      <c r="N810" s="170">
        <f t="shared" si="389"/>
        <v>16.580636482500001</v>
      </c>
      <c r="O810" s="250">
        <v>0.15</v>
      </c>
      <c r="P810" s="172">
        <f t="shared" si="390"/>
        <v>0.15</v>
      </c>
      <c r="Q810" s="251">
        <f t="shared" si="391"/>
        <v>5.4166500000000006</v>
      </c>
      <c r="R810" s="173">
        <f t="shared" si="392"/>
        <v>5.5268788275000009</v>
      </c>
      <c r="S810" s="250">
        <v>0.05</v>
      </c>
      <c r="T810" s="171">
        <f t="shared" si="393"/>
        <v>0.05</v>
      </c>
      <c r="U810" s="256">
        <v>108.333</v>
      </c>
      <c r="V810" s="170">
        <f t="shared" si="394"/>
        <v>110.53757655000001</v>
      </c>
      <c r="W810" s="258">
        <v>0.2</v>
      </c>
      <c r="X810" s="257">
        <f t="shared" si="384"/>
        <v>129.99959999999999</v>
      </c>
      <c r="Y810" s="170">
        <f t="shared" si="382"/>
        <v>132.64509186000001</v>
      </c>
      <c r="Z810" s="170">
        <f t="shared" si="385"/>
        <v>135</v>
      </c>
      <c r="AA810" s="407">
        <f t="shared" si="397"/>
        <v>0</v>
      </c>
      <c r="AB810" s="194"/>
      <c r="AC810" s="278"/>
    </row>
    <row r="811" spans="1:30" x14ac:dyDescent="0.25">
      <c r="A811" s="200">
        <v>717422</v>
      </c>
      <c r="B811" s="313" t="s">
        <v>19532</v>
      </c>
      <c r="C811" s="248"/>
      <c r="D811" s="247" t="s">
        <v>2</v>
      </c>
      <c r="E811" s="249">
        <f t="shared" si="395"/>
        <v>32.083345000000001</v>
      </c>
      <c r="F811" s="170">
        <f t="shared" si="395"/>
        <v>32.736241070750005</v>
      </c>
      <c r="G811" s="250">
        <v>0.35</v>
      </c>
      <c r="H811" s="171">
        <f t="shared" si="386"/>
        <v>0.35</v>
      </c>
      <c r="I811" s="249">
        <f t="shared" si="396"/>
        <v>41.250015000000005</v>
      </c>
      <c r="J811" s="170">
        <f t="shared" si="396"/>
        <v>42.089452805250012</v>
      </c>
      <c r="K811" s="250">
        <v>0.45</v>
      </c>
      <c r="L811" s="172">
        <f t="shared" si="387"/>
        <v>0.45</v>
      </c>
      <c r="M811" s="249">
        <f t="shared" si="388"/>
        <v>13.750005</v>
      </c>
      <c r="N811" s="170">
        <f t="shared" si="389"/>
        <v>14.029817601750002</v>
      </c>
      <c r="O811" s="250">
        <v>0.15</v>
      </c>
      <c r="P811" s="172">
        <f t="shared" si="390"/>
        <v>0.15</v>
      </c>
      <c r="Q811" s="251">
        <f t="shared" si="391"/>
        <v>4.5833350000000008</v>
      </c>
      <c r="R811" s="173">
        <f t="shared" si="392"/>
        <v>4.676605867250001</v>
      </c>
      <c r="S811" s="250">
        <v>0.05</v>
      </c>
      <c r="T811" s="171">
        <f t="shared" si="393"/>
        <v>0.05</v>
      </c>
      <c r="U811" s="256">
        <v>91.666700000000006</v>
      </c>
      <c r="V811" s="170">
        <f t="shared" si="394"/>
        <v>93.532117345000017</v>
      </c>
      <c r="W811" s="258">
        <v>0.2</v>
      </c>
      <c r="X811" s="257">
        <f t="shared" si="384"/>
        <v>110.00004000000001</v>
      </c>
      <c r="Y811" s="170">
        <f t="shared" ref="Y811:Y874" si="398">IF(V811*(W811+1)=0,X811,V811*(W811+1))</f>
        <v>112.23854081400002</v>
      </c>
      <c r="Z811" s="170">
        <f t="shared" si="385"/>
        <v>115</v>
      </c>
      <c r="AA811" s="407">
        <f t="shared" si="397"/>
        <v>0</v>
      </c>
      <c r="AB811" s="194"/>
      <c r="AC811" s="278"/>
    </row>
    <row r="812" spans="1:30" x14ac:dyDescent="0.25">
      <c r="A812" s="200">
        <v>717425</v>
      </c>
      <c r="B812" s="313" t="s">
        <v>19533</v>
      </c>
      <c r="C812" s="248"/>
      <c r="D812" s="247" t="s">
        <v>2</v>
      </c>
      <c r="E812" s="249">
        <f t="shared" si="395"/>
        <v>42.291654999999999</v>
      </c>
      <c r="F812" s="170">
        <f t="shared" si="395"/>
        <v>43.152290179250002</v>
      </c>
      <c r="G812" s="250">
        <v>0.35</v>
      </c>
      <c r="H812" s="171">
        <f t="shared" si="386"/>
        <v>0.35</v>
      </c>
      <c r="I812" s="249">
        <f t="shared" si="396"/>
        <v>54.374984999999995</v>
      </c>
      <c r="J812" s="170">
        <f t="shared" si="396"/>
        <v>55.481515944750008</v>
      </c>
      <c r="K812" s="250">
        <v>0.45</v>
      </c>
      <c r="L812" s="172">
        <f t="shared" si="387"/>
        <v>0.45</v>
      </c>
      <c r="M812" s="249">
        <f t="shared" si="388"/>
        <v>18.124994999999998</v>
      </c>
      <c r="N812" s="170">
        <f t="shared" si="389"/>
        <v>18.493838648250001</v>
      </c>
      <c r="O812" s="250">
        <v>0.15</v>
      </c>
      <c r="P812" s="172">
        <f t="shared" si="390"/>
        <v>0.15</v>
      </c>
      <c r="Q812" s="251">
        <f t="shared" si="391"/>
        <v>6.0416650000000001</v>
      </c>
      <c r="R812" s="173">
        <f t="shared" si="392"/>
        <v>6.1646128827500011</v>
      </c>
      <c r="S812" s="250">
        <v>0.05</v>
      </c>
      <c r="T812" s="171">
        <f t="shared" si="393"/>
        <v>0.05</v>
      </c>
      <c r="U812" s="256">
        <v>120.83329999999999</v>
      </c>
      <c r="V812" s="170">
        <f t="shared" si="394"/>
        <v>123.29225765500001</v>
      </c>
      <c r="W812" s="258">
        <v>0.2</v>
      </c>
      <c r="X812" s="257">
        <f t="shared" si="384"/>
        <v>144.99995999999999</v>
      </c>
      <c r="Y812" s="170">
        <f t="shared" si="398"/>
        <v>147.95070918600001</v>
      </c>
      <c r="Z812" s="170">
        <f t="shared" si="385"/>
        <v>150</v>
      </c>
      <c r="AA812" s="407">
        <f t="shared" si="397"/>
        <v>0</v>
      </c>
      <c r="AB812" s="194"/>
      <c r="AC812" s="278"/>
    </row>
    <row r="813" spans="1:30" x14ac:dyDescent="0.25">
      <c r="A813" s="200">
        <v>717425</v>
      </c>
      <c r="B813" s="313" t="s">
        <v>19534</v>
      </c>
      <c r="C813" s="248"/>
      <c r="D813" s="247" t="s">
        <v>2</v>
      </c>
      <c r="E813" s="249">
        <f t="shared" si="395"/>
        <v>37.916654999999999</v>
      </c>
      <c r="F813" s="170">
        <f t="shared" si="395"/>
        <v>38.688258929249997</v>
      </c>
      <c r="G813" s="250">
        <v>0.35</v>
      </c>
      <c r="H813" s="171">
        <f t="shared" si="386"/>
        <v>0.35</v>
      </c>
      <c r="I813" s="249">
        <f t="shared" si="396"/>
        <v>48.749984999999995</v>
      </c>
      <c r="J813" s="170">
        <f t="shared" si="396"/>
        <v>49.742047194749993</v>
      </c>
      <c r="K813" s="250">
        <v>0.45</v>
      </c>
      <c r="L813" s="172">
        <f t="shared" si="387"/>
        <v>0.45</v>
      </c>
      <c r="M813" s="249">
        <f t="shared" si="388"/>
        <v>16.249994999999998</v>
      </c>
      <c r="N813" s="170">
        <f t="shared" si="389"/>
        <v>16.580682398249998</v>
      </c>
      <c r="O813" s="250">
        <v>0.15</v>
      </c>
      <c r="P813" s="172">
        <f t="shared" si="390"/>
        <v>0.15</v>
      </c>
      <c r="Q813" s="251">
        <f t="shared" si="391"/>
        <v>5.4166650000000001</v>
      </c>
      <c r="R813" s="173">
        <f t="shared" si="392"/>
        <v>5.5268941327499999</v>
      </c>
      <c r="S813" s="250">
        <v>0.05</v>
      </c>
      <c r="T813" s="171">
        <f t="shared" si="393"/>
        <v>0.05</v>
      </c>
      <c r="U813" s="256">
        <v>108.33329999999999</v>
      </c>
      <c r="V813" s="170">
        <f t="shared" si="394"/>
        <v>110.53788265499999</v>
      </c>
      <c r="W813" s="258">
        <v>0.2</v>
      </c>
      <c r="X813" s="257">
        <f t="shared" si="384"/>
        <v>129.99995999999999</v>
      </c>
      <c r="Y813" s="170">
        <f t="shared" si="398"/>
        <v>132.64545918599998</v>
      </c>
      <c r="Z813" s="170">
        <f t="shared" si="385"/>
        <v>135</v>
      </c>
      <c r="AA813" s="407">
        <f t="shared" si="397"/>
        <v>0</v>
      </c>
      <c r="AB813" s="194"/>
      <c r="AC813" s="278"/>
    </row>
    <row r="814" spans="1:30" x14ac:dyDescent="0.25">
      <c r="A814" s="200">
        <v>717431</v>
      </c>
      <c r="B814" s="313" t="s">
        <v>19535</v>
      </c>
      <c r="C814" s="248"/>
      <c r="D814" s="247" t="s">
        <v>2</v>
      </c>
      <c r="E814" s="249">
        <f t="shared" si="395"/>
        <v>45.208344999999994</v>
      </c>
      <c r="F814" s="170">
        <f t="shared" si="395"/>
        <v>46.128334820749991</v>
      </c>
      <c r="G814" s="250">
        <v>0.35</v>
      </c>
      <c r="H814" s="171">
        <f t="shared" si="386"/>
        <v>0.35</v>
      </c>
      <c r="I814" s="249">
        <f t="shared" si="396"/>
        <v>58.125014999999998</v>
      </c>
      <c r="J814" s="170">
        <f t="shared" si="396"/>
        <v>59.307859055249999</v>
      </c>
      <c r="K814" s="250">
        <v>0.45</v>
      </c>
      <c r="L814" s="172">
        <f t="shared" si="387"/>
        <v>0.45</v>
      </c>
      <c r="M814" s="249">
        <f t="shared" si="388"/>
        <v>19.375004999999998</v>
      </c>
      <c r="N814" s="170">
        <f t="shared" si="389"/>
        <v>19.769286351749997</v>
      </c>
      <c r="O814" s="250">
        <v>0.15</v>
      </c>
      <c r="P814" s="172">
        <f t="shared" si="390"/>
        <v>0.15</v>
      </c>
      <c r="Q814" s="251">
        <f t="shared" si="391"/>
        <v>6.4583349999999999</v>
      </c>
      <c r="R814" s="173">
        <f t="shared" si="392"/>
        <v>6.5897621172500003</v>
      </c>
      <c r="S814" s="250">
        <v>0.05</v>
      </c>
      <c r="T814" s="171">
        <f t="shared" si="393"/>
        <v>0.05</v>
      </c>
      <c r="U814" s="256">
        <v>129.16669999999999</v>
      </c>
      <c r="V814" s="170">
        <f t="shared" si="394"/>
        <v>131.79524234499999</v>
      </c>
      <c r="W814" s="258">
        <v>0.2</v>
      </c>
      <c r="X814" s="257">
        <f t="shared" si="384"/>
        <v>155.00003999999998</v>
      </c>
      <c r="Y814" s="170">
        <f t="shared" si="398"/>
        <v>158.15429081399998</v>
      </c>
      <c r="Z814" s="170">
        <f t="shared" si="385"/>
        <v>160</v>
      </c>
      <c r="AA814" s="407">
        <f t="shared" si="397"/>
        <v>0</v>
      </c>
      <c r="AB814" s="194"/>
      <c r="AC814" s="278"/>
    </row>
    <row r="815" spans="1:30" x14ac:dyDescent="0.25">
      <c r="A815" s="200">
        <v>717431</v>
      </c>
      <c r="B815" s="313" t="s">
        <v>19536</v>
      </c>
      <c r="C815" s="248"/>
      <c r="D815" s="247" t="s">
        <v>2</v>
      </c>
      <c r="E815" s="249">
        <f t="shared" si="395"/>
        <v>40.833345000000001</v>
      </c>
      <c r="F815" s="170">
        <f t="shared" si="395"/>
        <v>41.66430357075</v>
      </c>
      <c r="G815" s="250">
        <v>0.35</v>
      </c>
      <c r="H815" s="171">
        <f t="shared" si="386"/>
        <v>0.35</v>
      </c>
      <c r="I815" s="249">
        <f t="shared" si="396"/>
        <v>52.500015000000005</v>
      </c>
      <c r="J815" s="170">
        <f t="shared" si="396"/>
        <v>53.568390305250006</v>
      </c>
      <c r="K815" s="250">
        <v>0.45</v>
      </c>
      <c r="L815" s="172">
        <f t="shared" si="387"/>
        <v>0.45</v>
      </c>
      <c r="M815" s="249">
        <f t="shared" si="388"/>
        <v>17.500005000000002</v>
      </c>
      <c r="N815" s="170">
        <f t="shared" si="389"/>
        <v>17.856130101750001</v>
      </c>
      <c r="O815" s="250">
        <v>0.15</v>
      </c>
      <c r="P815" s="172">
        <f t="shared" si="390"/>
        <v>0.15</v>
      </c>
      <c r="Q815" s="251">
        <f t="shared" si="391"/>
        <v>5.8333350000000008</v>
      </c>
      <c r="R815" s="173">
        <f t="shared" si="392"/>
        <v>5.9520433672500008</v>
      </c>
      <c r="S815" s="250">
        <v>0.05</v>
      </c>
      <c r="T815" s="171">
        <f t="shared" si="393"/>
        <v>0.05</v>
      </c>
      <c r="U815" s="256">
        <v>116.66670000000001</v>
      </c>
      <c r="V815" s="170">
        <f t="shared" si="394"/>
        <v>119.04086734500001</v>
      </c>
      <c r="W815" s="258">
        <v>0.2</v>
      </c>
      <c r="X815" s="257">
        <f t="shared" si="384"/>
        <v>140.00004000000001</v>
      </c>
      <c r="Y815" s="170">
        <f t="shared" si="398"/>
        <v>142.84904081400001</v>
      </c>
      <c r="Z815" s="170">
        <f t="shared" si="385"/>
        <v>145</v>
      </c>
      <c r="AA815" s="407">
        <f t="shared" si="397"/>
        <v>0</v>
      </c>
      <c r="AB815" s="194"/>
      <c r="AC815" s="278"/>
    </row>
    <row r="816" spans="1:30" x14ac:dyDescent="0.25">
      <c r="A816" s="200">
        <v>717437</v>
      </c>
      <c r="B816" s="313" t="s">
        <v>19537</v>
      </c>
      <c r="C816" s="248"/>
      <c r="D816" s="247" t="s">
        <v>2</v>
      </c>
      <c r="E816" s="249">
        <f t="shared" si="395"/>
        <v>48.125</v>
      </c>
      <c r="F816" s="170">
        <f t="shared" si="395"/>
        <v>49.104343749999998</v>
      </c>
      <c r="G816" s="250">
        <v>0.35</v>
      </c>
      <c r="H816" s="171">
        <f t="shared" si="386"/>
        <v>0.35</v>
      </c>
      <c r="I816" s="249">
        <f t="shared" si="396"/>
        <v>61.875</v>
      </c>
      <c r="J816" s="170">
        <f t="shared" si="396"/>
        <v>63.134156250000004</v>
      </c>
      <c r="K816" s="250">
        <v>0.45</v>
      </c>
      <c r="L816" s="172">
        <f t="shared" si="387"/>
        <v>0.45</v>
      </c>
      <c r="M816" s="249">
        <f t="shared" si="388"/>
        <v>20.625</v>
      </c>
      <c r="N816" s="170">
        <f t="shared" si="389"/>
        <v>21.044718749999998</v>
      </c>
      <c r="O816" s="250">
        <v>0.15</v>
      </c>
      <c r="P816" s="172">
        <f t="shared" si="390"/>
        <v>0.15</v>
      </c>
      <c r="Q816" s="251">
        <f t="shared" si="391"/>
        <v>6.875</v>
      </c>
      <c r="R816" s="173">
        <f t="shared" si="392"/>
        <v>7.0149062500000001</v>
      </c>
      <c r="S816" s="250">
        <v>0.05</v>
      </c>
      <c r="T816" s="171">
        <f t="shared" si="393"/>
        <v>0.05</v>
      </c>
      <c r="U816" s="256">
        <v>137.5</v>
      </c>
      <c r="V816" s="170">
        <f t="shared" si="394"/>
        <v>140.298125</v>
      </c>
      <c r="W816" s="258">
        <v>0.2</v>
      </c>
      <c r="X816" s="257">
        <f t="shared" ref="X816:X879" si="399">U816+U816*W816</f>
        <v>165</v>
      </c>
      <c r="Y816" s="170">
        <f t="shared" si="398"/>
        <v>168.35774999999998</v>
      </c>
      <c r="Z816" s="170">
        <f t="shared" si="385"/>
        <v>170</v>
      </c>
      <c r="AA816" s="407">
        <f t="shared" si="397"/>
        <v>0</v>
      </c>
      <c r="AB816" s="194"/>
      <c r="AC816" s="278"/>
    </row>
    <row r="817" spans="1:28" s="278" customFormat="1" x14ac:dyDescent="0.25">
      <c r="A817" s="200">
        <v>717437</v>
      </c>
      <c r="B817" s="313" t="s">
        <v>19538</v>
      </c>
      <c r="C817" s="248"/>
      <c r="D817" s="247" t="s">
        <v>2</v>
      </c>
      <c r="E817" s="249">
        <f t="shared" si="395"/>
        <v>43.75</v>
      </c>
      <c r="F817" s="170">
        <f t="shared" si="395"/>
        <v>44.6403125</v>
      </c>
      <c r="G817" s="250">
        <v>0.35</v>
      </c>
      <c r="H817" s="171">
        <f t="shared" si="386"/>
        <v>0.35</v>
      </c>
      <c r="I817" s="249">
        <f t="shared" si="396"/>
        <v>56.25</v>
      </c>
      <c r="J817" s="170">
        <f t="shared" si="396"/>
        <v>57.394687500000011</v>
      </c>
      <c r="K817" s="250">
        <v>0.45</v>
      </c>
      <c r="L817" s="172">
        <f t="shared" si="387"/>
        <v>0.45</v>
      </c>
      <c r="M817" s="249">
        <f t="shared" si="388"/>
        <v>18.75</v>
      </c>
      <c r="N817" s="170">
        <f t="shared" si="389"/>
        <v>19.131562500000001</v>
      </c>
      <c r="O817" s="250">
        <v>0.15</v>
      </c>
      <c r="P817" s="172">
        <f t="shared" si="390"/>
        <v>0.15</v>
      </c>
      <c r="Q817" s="251">
        <f t="shared" si="391"/>
        <v>6.25</v>
      </c>
      <c r="R817" s="173">
        <f t="shared" si="392"/>
        <v>6.3771875000000016</v>
      </c>
      <c r="S817" s="250">
        <v>0.05</v>
      </c>
      <c r="T817" s="171">
        <f t="shared" si="393"/>
        <v>0.05</v>
      </c>
      <c r="U817" s="256">
        <v>125</v>
      </c>
      <c r="V817" s="170">
        <f t="shared" si="394"/>
        <v>127.54375000000002</v>
      </c>
      <c r="W817" s="258">
        <v>0.2</v>
      </c>
      <c r="X817" s="257">
        <f t="shared" si="399"/>
        <v>150</v>
      </c>
      <c r="Y817" s="170">
        <f t="shared" si="398"/>
        <v>153.05250000000001</v>
      </c>
      <c r="Z817" s="170">
        <f t="shared" si="385"/>
        <v>155</v>
      </c>
      <c r="AA817" s="407">
        <f t="shared" si="397"/>
        <v>0</v>
      </c>
      <c r="AB817" s="194"/>
    </row>
    <row r="818" spans="1:28" s="278" customFormat="1" x14ac:dyDescent="0.25">
      <c r="A818" s="200">
        <v>717443</v>
      </c>
      <c r="B818" s="313" t="s">
        <v>19539</v>
      </c>
      <c r="C818" s="248"/>
      <c r="D818" s="247" t="s">
        <v>2</v>
      </c>
      <c r="E818" s="249">
        <f t="shared" si="395"/>
        <v>54.999899999999997</v>
      </c>
      <c r="F818" s="170">
        <f t="shared" si="395"/>
        <v>56.121897960000005</v>
      </c>
      <c r="G818" s="250">
        <v>0.3</v>
      </c>
      <c r="H818" s="171">
        <f t="shared" si="386"/>
        <v>0.3</v>
      </c>
      <c r="I818" s="249">
        <f t="shared" si="396"/>
        <v>82.499849999999995</v>
      </c>
      <c r="J818" s="170">
        <f t="shared" si="396"/>
        <v>84.182846940000005</v>
      </c>
      <c r="K818" s="250">
        <v>0.45</v>
      </c>
      <c r="L818" s="172">
        <f t="shared" si="387"/>
        <v>0.45</v>
      </c>
      <c r="M818" s="249">
        <f t="shared" si="388"/>
        <v>36.666600000000003</v>
      </c>
      <c r="N818" s="170">
        <f t="shared" si="389"/>
        <v>37.414598640000001</v>
      </c>
      <c r="O818" s="250">
        <v>0.2</v>
      </c>
      <c r="P818" s="172">
        <f t="shared" si="390"/>
        <v>0.2</v>
      </c>
      <c r="Q818" s="251">
        <f t="shared" si="391"/>
        <v>9.1666500000000006</v>
      </c>
      <c r="R818" s="173">
        <f t="shared" si="392"/>
        <v>9.3536496600000003</v>
      </c>
      <c r="S818" s="250">
        <v>0.05</v>
      </c>
      <c r="T818" s="171">
        <f t="shared" si="393"/>
        <v>0.05</v>
      </c>
      <c r="U818" s="253">
        <v>183.333</v>
      </c>
      <c r="V818" s="170">
        <f t="shared" si="394"/>
        <v>187.07299320000001</v>
      </c>
      <c r="W818" s="258">
        <v>0.2</v>
      </c>
      <c r="X818" s="257">
        <f t="shared" si="399"/>
        <v>219.99959999999999</v>
      </c>
      <c r="Y818" s="170">
        <f t="shared" si="398"/>
        <v>224.48759184000002</v>
      </c>
      <c r="Z818" s="170">
        <f t="shared" si="385"/>
        <v>225</v>
      </c>
      <c r="AA818" s="407">
        <f t="shared" si="397"/>
        <v>0</v>
      </c>
      <c r="AB818" s="194"/>
    </row>
    <row r="819" spans="1:28" s="278" customFormat="1" x14ac:dyDescent="0.25">
      <c r="A819" s="200">
        <v>717443</v>
      </c>
      <c r="B819" s="313" t="s">
        <v>19540</v>
      </c>
      <c r="C819" s="248"/>
      <c r="D819" s="247" t="s">
        <v>2</v>
      </c>
      <c r="E819" s="249">
        <f t="shared" si="395"/>
        <v>50.000009999999996</v>
      </c>
      <c r="F819" s="170">
        <f t="shared" si="395"/>
        <v>51.020010204000009</v>
      </c>
      <c r="G819" s="250">
        <v>0.3</v>
      </c>
      <c r="H819" s="171">
        <f t="shared" si="386"/>
        <v>0.3</v>
      </c>
      <c r="I819" s="249">
        <f t="shared" si="396"/>
        <v>75.000015000000005</v>
      </c>
      <c r="J819" s="170">
        <f t="shared" si="396"/>
        <v>76.53001530600001</v>
      </c>
      <c r="K819" s="250">
        <v>0.45</v>
      </c>
      <c r="L819" s="172">
        <f t="shared" si="387"/>
        <v>0.45</v>
      </c>
      <c r="M819" s="249">
        <f t="shared" si="388"/>
        <v>33.33334</v>
      </c>
      <c r="N819" s="170">
        <f t="shared" si="389"/>
        <v>34.013340136000004</v>
      </c>
      <c r="O819" s="250">
        <v>0.2</v>
      </c>
      <c r="P819" s="172">
        <f t="shared" si="390"/>
        <v>0.2</v>
      </c>
      <c r="Q819" s="251">
        <f t="shared" si="391"/>
        <v>8.3333349999999999</v>
      </c>
      <c r="R819" s="173">
        <f t="shared" si="392"/>
        <v>8.5033350340000009</v>
      </c>
      <c r="S819" s="250">
        <v>0.05</v>
      </c>
      <c r="T819" s="171">
        <f t="shared" si="393"/>
        <v>0.05</v>
      </c>
      <c r="U819" s="256">
        <v>166.66669999999999</v>
      </c>
      <c r="V819" s="170">
        <f t="shared" si="394"/>
        <v>170.06670068000003</v>
      </c>
      <c r="W819" s="258">
        <v>0.2</v>
      </c>
      <c r="X819" s="257">
        <f t="shared" si="399"/>
        <v>200.00003999999998</v>
      </c>
      <c r="Y819" s="170">
        <f t="shared" si="398"/>
        <v>204.08004081600004</v>
      </c>
      <c r="Z819" s="170">
        <f t="shared" si="385"/>
        <v>205</v>
      </c>
      <c r="AA819" s="407">
        <f t="shared" si="397"/>
        <v>0</v>
      </c>
      <c r="AB819" s="194"/>
    </row>
    <row r="820" spans="1:28" s="278" customFormat="1" x14ac:dyDescent="0.25">
      <c r="A820" s="200">
        <v>717449</v>
      </c>
      <c r="B820" s="313" t="s">
        <v>19541</v>
      </c>
      <c r="C820" s="248"/>
      <c r="D820" s="247" t="s">
        <v>2</v>
      </c>
      <c r="E820" s="249">
        <f t="shared" si="395"/>
        <v>72.500009999999989</v>
      </c>
      <c r="F820" s="170">
        <f t="shared" si="395"/>
        <v>73.979010204000005</v>
      </c>
      <c r="G820" s="250">
        <v>0.3</v>
      </c>
      <c r="H820" s="171">
        <f t="shared" si="386"/>
        <v>0.3</v>
      </c>
      <c r="I820" s="249">
        <f t="shared" si="396"/>
        <v>108.750015</v>
      </c>
      <c r="J820" s="170">
        <f t="shared" si="396"/>
        <v>110.96851530600001</v>
      </c>
      <c r="K820" s="250">
        <v>0.45</v>
      </c>
      <c r="L820" s="172">
        <f t="shared" si="387"/>
        <v>0.45</v>
      </c>
      <c r="M820" s="249">
        <f t="shared" si="388"/>
        <v>48.33334</v>
      </c>
      <c r="N820" s="170">
        <f t="shared" si="389"/>
        <v>49.319340136000008</v>
      </c>
      <c r="O820" s="250">
        <v>0.2</v>
      </c>
      <c r="P820" s="172">
        <f t="shared" si="390"/>
        <v>0.2</v>
      </c>
      <c r="Q820" s="251">
        <f t="shared" si="391"/>
        <v>12.083335</v>
      </c>
      <c r="R820" s="173">
        <f t="shared" si="392"/>
        <v>12.329835034000002</v>
      </c>
      <c r="S820" s="250">
        <v>0.05</v>
      </c>
      <c r="T820" s="171">
        <f t="shared" si="393"/>
        <v>0.05</v>
      </c>
      <c r="U820" s="256">
        <v>241.66669999999999</v>
      </c>
      <c r="V820" s="170">
        <f t="shared" si="394"/>
        <v>246.59670068000003</v>
      </c>
      <c r="W820" s="258">
        <v>0.2</v>
      </c>
      <c r="X820" s="257">
        <f t="shared" si="399"/>
        <v>290.00004000000001</v>
      </c>
      <c r="Y820" s="170">
        <f t="shared" si="398"/>
        <v>295.91604081600002</v>
      </c>
      <c r="Z820" s="170">
        <f t="shared" si="385"/>
        <v>300</v>
      </c>
      <c r="AA820" s="407">
        <f t="shared" si="397"/>
        <v>0</v>
      </c>
      <c r="AB820" s="194"/>
    </row>
    <row r="821" spans="1:28" s="278" customFormat="1" x14ac:dyDescent="0.25">
      <c r="A821" s="200">
        <v>717449</v>
      </c>
      <c r="B821" s="313" t="s">
        <v>19542</v>
      </c>
      <c r="C821" s="248"/>
      <c r="D821" s="247" t="s">
        <v>2</v>
      </c>
      <c r="E821" s="249">
        <f t="shared" si="395"/>
        <v>65.000009999999989</v>
      </c>
      <c r="F821" s="170">
        <f t="shared" si="395"/>
        <v>66.326010203999999</v>
      </c>
      <c r="G821" s="250">
        <v>0.3</v>
      </c>
      <c r="H821" s="171">
        <f t="shared" si="386"/>
        <v>0.3</v>
      </c>
      <c r="I821" s="249">
        <f t="shared" si="396"/>
        <v>97.500015000000005</v>
      </c>
      <c r="J821" s="170">
        <f t="shared" si="396"/>
        <v>99.489015305999999</v>
      </c>
      <c r="K821" s="250">
        <v>0.45</v>
      </c>
      <c r="L821" s="172">
        <f t="shared" si="387"/>
        <v>0.45</v>
      </c>
      <c r="M821" s="249">
        <f t="shared" si="388"/>
        <v>43.33334</v>
      </c>
      <c r="N821" s="170">
        <f t="shared" si="389"/>
        <v>44.217340136000004</v>
      </c>
      <c r="O821" s="250">
        <v>0.2</v>
      </c>
      <c r="P821" s="172">
        <f t="shared" si="390"/>
        <v>0.2</v>
      </c>
      <c r="Q821" s="251">
        <f t="shared" si="391"/>
        <v>10.833335</v>
      </c>
      <c r="R821" s="173">
        <f t="shared" si="392"/>
        <v>11.054335034000001</v>
      </c>
      <c r="S821" s="250">
        <v>0.05</v>
      </c>
      <c r="T821" s="171">
        <f t="shared" si="393"/>
        <v>0.05</v>
      </c>
      <c r="U821" s="256">
        <v>216.66669999999999</v>
      </c>
      <c r="V821" s="170">
        <f t="shared" si="394"/>
        <v>221.08670068000001</v>
      </c>
      <c r="W821" s="258">
        <v>0.2</v>
      </c>
      <c r="X821" s="257">
        <f t="shared" si="399"/>
        <v>260.00004000000001</v>
      </c>
      <c r="Y821" s="170">
        <f t="shared" si="398"/>
        <v>265.304040816</v>
      </c>
      <c r="Z821" s="170">
        <f t="shared" si="385"/>
        <v>270</v>
      </c>
      <c r="AA821" s="407">
        <f t="shared" si="397"/>
        <v>0</v>
      </c>
      <c r="AB821" s="194"/>
    </row>
    <row r="822" spans="1:28" s="278" customFormat="1" x14ac:dyDescent="0.25">
      <c r="A822" s="200">
        <v>717461</v>
      </c>
      <c r="B822" s="313" t="s">
        <v>19543</v>
      </c>
      <c r="C822" s="248"/>
      <c r="D822" s="247" t="s">
        <v>2</v>
      </c>
      <c r="E822" s="249">
        <f t="shared" si="395"/>
        <v>127.5</v>
      </c>
      <c r="F822" s="170">
        <f t="shared" si="395"/>
        <v>130.10099999999997</v>
      </c>
      <c r="G822" s="250">
        <v>0.3</v>
      </c>
      <c r="H822" s="171">
        <f t="shared" si="386"/>
        <v>0.3</v>
      </c>
      <c r="I822" s="249">
        <f t="shared" si="396"/>
        <v>191.25</v>
      </c>
      <c r="J822" s="170">
        <f t="shared" si="396"/>
        <v>195.1515</v>
      </c>
      <c r="K822" s="250">
        <v>0.45</v>
      </c>
      <c r="L822" s="172">
        <f t="shared" si="387"/>
        <v>0.45</v>
      </c>
      <c r="M822" s="249">
        <f t="shared" si="388"/>
        <v>85</v>
      </c>
      <c r="N822" s="170">
        <f t="shared" si="389"/>
        <v>86.733999999999995</v>
      </c>
      <c r="O822" s="250">
        <v>0.2</v>
      </c>
      <c r="P822" s="172">
        <f t="shared" si="390"/>
        <v>0.2</v>
      </c>
      <c r="Q822" s="251">
        <f t="shared" si="391"/>
        <v>21.25</v>
      </c>
      <c r="R822" s="173">
        <f t="shared" si="392"/>
        <v>21.683499999999999</v>
      </c>
      <c r="S822" s="250">
        <v>0.05</v>
      </c>
      <c r="T822" s="171">
        <f t="shared" si="393"/>
        <v>0.05</v>
      </c>
      <c r="U822" s="256">
        <v>425</v>
      </c>
      <c r="V822" s="170">
        <f t="shared" si="394"/>
        <v>433.66999999999996</v>
      </c>
      <c r="W822" s="258">
        <v>0.2</v>
      </c>
      <c r="X822" s="257">
        <f t="shared" si="399"/>
        <v>510</v>
      </c>
      <c r="Y822" s="170">
        <f t="shared" si="398"/>
        <v>520.40399999999988</v>
      </c>
      <c r="Z822" s="170">
        <f t="shared" si="385"/>
        <v>525</v>
      </c>
      <c r="AA822" s="407">
        <f t="shared" si="397"/>
        <v>0</v>
      </c>
      <c r="AB822" s="194"/>
    </row>
    <row r="823" spans="1:28" s="278" customFormat="1" x14ac:dyDescent="0.25">
      <c r="A823" s="200">
        <v>717461</v>
      </c>
      <c r="B823" s="313" t="s">
        <v>19544</v>
      </c>
      <c r="C823" s="248"/>
      <c r="D823" s="247" t="s">
        <v>2</v>
      </c>
      <c r="E823" s="249">
        <f t="shared" si="395"/>
        <v>120</v>
      </c>
      <c r="F823" s="170">
        <f t="shared" si="395"/>
        <v>122.44800000000001</v>
      </c>
      <c r="G823" s="250">
        <v>0.3</v>
      </c>
      <c r="H823" s="171">
        <f t="shared" si="386"/>
        <v>0.3</v>
      </c>
      <c r="I823" s="249">
        <f t="shared" si="396"/>
        <v>180</v>
      </c>
      <c r="J823" s="170">
        <f t="shared" si="396"/>
        <v>183.67200000000003</v>
      </c>
      <c r="K823" s="250">
        <v>0.45</v>
      </c>
      <c r="L823" s="172">
        <f t="shared" si="387"/>
        <v>0.45</v>
      </c>
      <c r="M823" s="249">
        <f t="shared" si="388"/>
        <v>80</v>
      </c>
      <c r="N823" s="170">
        <f t="shared" si="389"/>
        <v>81.632000000000005</v>
      </c>
      <c r="O823" s="250">
        <v>0.2</v>
      </c>
      <c r="P823" s="172">
        <f t="shared" si="390"/>
        <v>0.2</v>
      </c>
      <c r="Q823" s="251">
        <f t="shared" si="391"/>
        <v>20</v>
      </c>
      <c r="R823" s="173">
        <f t="shared" si="392"/>
        <v>20.408000000000001</v>
      </c>
      <c r="S823" s="250">
        <v>0.05</v>
      </c>
      <c r="T823" s="171">
        <f t="shared" si="393"/>
        <v>0.05</v>
      </c>
      <c r="U823" s="256">
        <v>400</v>
      </c>
      <c r="V823" s="170">
        <f t="shared" si="394"/>
        <v>408.16</v>
      </c>
      <c r="W823" s="258">
        <v>0.2</v>
      </c>
      <c r="X823" s="257">
        <f t="shared" si="399"/>
        <v>480</v>
      </c>
      <c r="Y823" s="170">
        <f t="shared" si="398"/>
        <v>489.79200000000003</v>
      </c>
      <c r="Z823" s="170">
        <f t="shared" si="385"/>
        <v>490</v>
      </c>
      <c r="AA823" s="407">
        <f t="shared" si="397"/>
        <v>0</v>
      </c>
      <c r="AB823" s="194"/>
    </row>
    <row r="824" spans="1:28" s="278" customFormat="1" x14ac:dyDescent="0.25">
      <c r="A824" s="200">
        <v>717606</v>
      </c>
      <c r="B824" s="313" t="s">
        <v>18895</v>
      </c>
      <c r="C824" s="248"/>
      <c r="D824" s="247" t="s">
        <v>2</v>
      </c>
      <c r="E824" s="249">
        <f t="shared" si="395"/>
        <v>32.084499999999998</v>
      </c>
      <c r="F824" s="170">
        <f t="shared" si="395"/>
        <v>51.041666666666664</v>
      </c>
      <c r="G824" s="250">
        <v>0.35</v>
      </c>
      <c r="H824" s="171">
        <f t="shared" si="386"/>
        <v>0.35</v>
      </c>
      <c r="I824" s="249">
        <f t="shared" si="396"/>
        <v>36.667999999999999</v>
      </c>
      <c r="J824" s="170">
        <f t="shared" si="396"/>
        <v>58.333333333333343</v>
      </c>
      <c r="K824" s="250">
        <v>0.4</v>
      </c>
      <c r="L824" s="172">
        <f t="shared" si="387"/>
        <v>0.4</v>
      </c>
      <c r="M824" s="249">
        <f t="shared" si="388"/>
        <v>18.334</v>
      </c>
      <c r="N824" s="170">
        <f t="shared" si="389"/>
        <v>29.166666666666671</v>
      </c>
      <c r="O824" s="250">
        <v>0.2</v>
      </c>
      <c r="P824" s="172">
        <f t="shared" si="390"/>
        <v>0.2</v>
      </c>
      <c r="Q824" s="251">
        <f t="shared" si="391"/>
        <v>4.5834999999999999</v>
      </c>
      <c r="R824" s="173">
        <f t="shared" si="392"/>
        <v>7.2916666666666679</v>
      </c>
      <c r="S824" s="250">
        <v>0.05</v>
      </c>
      <c r="T824" s="171">
        <f t="shared" si="393"/>
        <v>0.05</v>
      </c>
      <c r="U824" s="256">
        <v>91.67</v>
      </c>
      <c r="V824" s="170">
        <f>175/1.2</f>
        <v>145.83333333333334</v>
      </c>
      <c r="W824" s="258">
        <v>0.2</v>
      </c>
      <c r="X824" s="257">
        <f t="shared" si="399"/>
        <v>110.004</v>
      </c>
      <c r="Y824" s="170">
        <f t="shared" si="398"/>
        <v>175</v>
      </c>
      <c r="Z824" s="170">
        <f t="shared" si="385"/>
        <v>175</v>
      </c>
      <c r="AA824" s="407">
        <f t="shared" si="397"/>
        <v>0</v>
      </c>
      <c r="AB824" s="194"/>
    </row>
    <row r="825" spans="1:28" s="278" customFormat="1" x14ac:dyDescent="0.25">
      <c r="A825" s="200">
        <v>717606</v>
      </c>
      <c r="B825" s="313" t="s">
        <v>19545</v>
      </c>
      <c r="C825" s="248"/>
      <c r="D825" s="247" t="s">
        <v>2</v>
      </c>
      <c r="E825" s="249">
        <f t="shared" si="395"/>
        <v>26.25</v>
      </c>
      <c r="F825" s="170">
        <f t="shared" si="395"/>
        <v>37.916666666666664</v>
      </c>
      <c r="G825" s="250">
        <v>0.35</v>
      </c>
      <c r="H825" s="171">
        <f t="shared" ref="H825:H888" si="400">G825</f>
        <v>0.35</v>
      </c>
      <c r="I825" s="249">
        <f t="shared" si="396"/>
        <v>30</v>
      </c>
      <c r="J825" s="170">
        <f t="shared" si="396"/>
        <v>43.333333333333343</v>
      </c>
      <c r="K825" s="250">
        <v>0.4</v>
      </c>
      <c r="L825" s="172">
        <f t="shared" ref="L825" si="401">K825</f>
        <v>0.4</v>
      </c>
      <c r="M825" s="249">
        <f t="shared" ref="M825" si="402">U825*O825</f>
        <v>15</v>
      </c>
      <c r="N825" s="170">
        <f t="shared" ref="N825:N888" si="403">P825*V825</f>
        <v>21.666666666666671</v>
      </c>
      <c r="O825" s="250">
        <v>0.2</v>
      </c>
      <c r="P825" s="172">
        <f t="shared" ref="P825:P888" si="404">O825</f>
        <v>0.2</v>
      </c>
      <c r="Q825" s="251">
        <f t="shared" ref="Q825:Q888" si="405">U825*S825</f>
        <v>3.75</v>
      </c>
      <c r="R825" s="173">
        <f t="shared" ref="R825:R888" si="406">T825*V825</f>
        <v>5.4166666666666679</v>
      </c>
      <c r="S825" s="250">
        <v>0.05</v>
      </c>
      <c r="T825" s="171">
        <f t="shared" ref="T825:T888" si="407">S825</f>
        <v>0.05</v>
      </c>
      <c r="U825" s="256">
        <v>75</v>
      </c>
      <c r="V825" s="170">
        <f>130/1.2</f>
        <v>108.33333333333334</v>
      </c>
      <c r="W825" s="258">
        <v>0.2</v>
      </c>
      <c r="X825" s="257">
        <f t="shared" si="399"/>
        <v>90</v>
      </c>
      <c r="Y825" s="170">
        <f t="shared" si="398"/>
        <v>130</v>
      </c>
      <c r="Z825" s="170">
        <f t="shared" si="385"/>
        <v>130</v>
      </c>
      <c r="AA825" s="407">
        <f t="shared" si="397"/>
        <v>0</v>
      </c>
      <c r="AB825" s="194"/>
    </row>
    <row r="826" spans="1:28" s="278" customFormat="1" x14ac:dyDescent="0.25">
      <c r="A826" s="200">
        <v>717608</v>
      </c>
      <c r="B826" s="313" t="s">
        <v>15990</v>
      </c>
      <c r="C826" s="248"/>
      <c r="D826" s="247" t="s">
        <v>2</v>
      </c>
      <c r="E826" s="249">
        <f t="shared" si="395"/>
        <v>40.834499999999998</v>
      </c>
      <c r="F826" s="170">
        <f t="shared" si="395"/>
        <v>53.958333333333336</v>
      </c>
      <c r="G826" s="250">
        <v>0.35</v>
      </c>
      <c r="H826" s="171">
        <f t="shared" si="400"/>
        <v>0.35</v>
      </c>
      <c r="I826" s="249">
        <f t="shared" si="396"/>
        <v>46.668000000000006</v>
      </c>
      <c r="J826" s="170">
        <f t="shared" si="396"/>
        <v>61.666666666666679</v>
      </c>
      <c r="K826" s="250">
        <v>0.4</v>
      </c>
      <c r="L826" s="172">
        <f>K826</f>
        <v>0.4</v>
      </c>
      <c r="M826" s="249">
        <f>U826*O826</f>
        <v>23.334000000000003</v>
      </c>
      <c r="N826" s="170">
        <f t="shared" si="403"/>
        <v>30.833333333333339</v>
      </c>
      <c r="O826" s="250">
        <v>0.2</v>
      </c>
      <c r="P826" s="172">
        <f t="shared" si="404"/>
        <v>0.2</v>
      </c>
      <c r="Q826" s="251">
        <f t="shared" si="405"/>
        <v>5.8335000000000008</v>
      </c>
      <c r="R826" s="173">
        <f t="shared" si="406"/>
        <v>7.7083333333333348</v>
      </c>
      <c r="S826" s="250">
        <v>0.05</v>
      </c>
      <c r="T826" s="171">
        <f t="shared" si="407"/>
        <v>0.05</v>
      </c>
      <c r="U826" s="256">
        <v>116.67</v>
      </c>
      <c r="V826" s="170">
        <f>185/1.2</f>
        <v>154.16666666666669</v>
      </c>
      <c r="W826" s="258">
        <v>0.2</v>
      </c>
      <c r="X826" s="257">
        <f t="shared" si="399"/>
        <v>140.00400000000002</v>
      </c>
      <c r="Y826" s="170">
        <f t="shared" si="398"/>
        <v>185.00000000000003</v>
      </c>
      <c r="Z826" s="170">
        <f t="shared" si="385"/>
        <v>185</v>
      </c>
      <c r="AA826" s="407">
        <f t="shared" si="397"/>
        <v>0</v>
      </c>
      <c r="AB826" s="194"/>
    </row>
    <row r="827" spans="1:28" s="278" customFormat="1" x14ac:dyDescent="0.25">
      <c r="A827" s="200">
        <v>717608</v>
      </c>
      <c r="B827" s="313" t="s">
        <v>19546</v>
      </c>
      <c r="C827" s="248"/>
      <c r="D827" s="247" t="s">
        <v>2</v>
      </c>
      <c r="E827" s="249">
        <f t="shared" si="395"/>
        <v>29.165499999999998</v>
      </c>
      <c r="F827" s="170">
        <f t="shared" si="395"/>
        <v>40.833333333333336</v>
      </c>
      <c r="G827" s="250">
        <v>0.35</v>
      </c>
      <c r="H827" s="171">
        <f t="shared" si="400"/>
        <v>0.35</v>
      </c>
      <c r="I827" s="249">
        <f t="shared" si="396"/>
        <v>33.332000000000001</v>
      </c>
      <c r="J827" s="170">
        <f t="shared" si="396"/>
        <v>46.666666666666671</v>
      </c>
      <c r="K827" s="250">
        <v>0.4</v>
      </c>
      <c r="L827" s="172">
        <f t="shared" ref="L827:L890" si="408">K827</f>
        <v>0.4</v>
      </c>
      <c r="M827" s="249">
        <f t="shared" ref="M827:M890" si="409">U827*O827</f>
        <v>16.666</v>
      </c>
      <c r="N827" s="170">
        <f t="shared" si="403"/>
        <v>23.333333333333336</v>
      </c>
      <c r="O827" s="250">
        <v>0.2</v>
      </c>
      <c r="P827" s="172">
        <f t="shared" si="404"/>
        <v>0.2</v>
      </c>
      <c r="Q827" s="251">
        <f t="shared" si="405"/>
        <v>4.1665000000000001</v>
      </c>
      <c r="R827" s="173">
        <f t="shared" si="406"/>
        <v>5.8333333333333339</v>
      </c>
      <c r="S827" s="250">
        <v>0.05</v>
      </c>
      <c r="T827" s="171">
        <f t="shared" si="407"/>
        <v>0.05</v>
      </c>
      <c r="U827" s="256">
        <v>83.33</v>
      </c>
      <c r="V827" s="170">
        <f>140/1.2</f>
        <v>116.66666666666667</v>
      </c>
      <c r="W827" s="258">
        <v>0.2</v>
      </c>
      <c r="X827" s="257">
        <f t="shared" si="399"/>
        <v>99.995999999999995</v>
      </c>
      <c r="Y827" s="170">
        <f t="shared" si="398"/>
        <v>140</v>
      </c>
      <c r="Z827" s="170">
        <f t="shared" si="385"/>
        <v>140</v>
      </c>
      <c r="AA827" s="407">
        <f t="shared" si="397"/>
        <v>0</v>
      </c>
      <c r="AB827" s="194"/>
    </row>
    <row r="828" spans="1:28" s="278" customFormat="1" x14ac:dyDescent="0.25">
      <c r="A828" s="200">
        <v>717610</v>
      </c>
      <c r="B828" s="313" t="s">
        <v>15989</v>
      </c>
      <c r="C828" s="248"/>
      <c r="D828" s="247" t="s">
        <v>2</v>
      </c>
      <c r="E828" s="249">
        <f t="shared" si="395"/>
        <v>43.75</v>
      </c>
      <c r="F828" s="170">
        <f t="shared" si="395"/>
        <v>55.416666666666664</v>
      </c>
      <c r="G828" s="250">
        <v>0.35</v>
      </c>
      <c r="H828" s="171">
        <f t="shared" si="400"/>
        <v>0.35</v>
      </c>
      <c r="I828" s="249">
        <f t="shared" si="396"/>
        <v>50</v>
      </c>
      <c r="J828" s="170">
        <f t="shared" si="396"/>
        <v>63.333333333333343</v>
      </c>
      <c r="K828" s="250">
        <v>0.4</v>
      </c>
      <c r="L828" s="172">
        <f t="shared" si="408"/>
        <v>0.4</v>
      </c>
      <c r="M828" s="249">
        <f t="shared" si="409"/>
        <v>25</v>
      </c>
      <c r="N828" s="170">
        <f t="shared" si="403"/>
        <v>31.666666666666671</v>
      </c>
      <c r="O828" s="250">
        <v>0.2</v>
      </c>
      <c r="P828" s="172">
        <f t="shared" si="404"/>
        <v>0.2</v>
      </c>
      <c r="Q828" s="251">
        <f t="shared" si="405"/>
        <v>6.25</v>
      </c>
      <c r="R828" s="173">
        <f t="shared" si="406"/>
        <v>7.9166666666666679</v>
      </c>
      <c r="S828" s="250">
        <v>0.05</v>
      </c>
      <c r="T828" s="171">
        <f t="shared" si="407"/>
        <v>0.05</v>
      </c>
      <c r="U828" s="256">
        <v>125</v>
      </c>
      <c r="V828" s="170">
        <f>190/1.2</f>
        <v>158.33333333333334</v>
      </c>
      <c r="W828" s="258">
        <v>0.2</v>
      </c>
      <c r="X828" s="257">
        <f t="shared" si="399"/>
        <v>150</v>
      </c>
      <c r="Y828" s="170">
        <f t="shared" si="398"/>
        <v>190</v>
      </c>
      <c r="Z828" s="170">
        <f t="shared" ref="Z828:Z891" si="410">IF(Y828=0, 0, IF(Y828&lt;10, _xlfn.CEILING.MATH(Y828,1), IF(Y828&lt;100, _xlfn.CEILING.MATH(Y828,1),IF(Y828&lt;1000, _xlfn.CEILING.MATH(Y828,5), IF(Y828&lt;10000, _xlfn.CEILING.MATH(Y828, 25), IF(Y828&lt;100000, _xlfn.CEILING.MATH(Y828,250), IF(Y828&lt;1000000, _xlfn.CEILING.MATH(Y828,500), 0)))))))</f>
        <v>190</v>
      </c>
      <c r="AA828" s="407">
        <f t="shared" si="397"/>
        <v>0</v>
      </c>
      <c r="AB828" s="194"/>
    </row>
    <row r="829" spans="1:28" s="278" customFormat="1" x14ac:dyDescent="0.25">
      <c r="A829" s="200">
        <v>717610</v>
      </c>
      <c r="B829" s="313" t="s">
        <v>19547</v>
      </c>
      <c r="C829" s="248"/>
      <c r="D829" s="247" t="s">
        <v>2</v>
      </c>
      <c r="E829" s="249">
        <f t="shared" si="395"/>
        <v>32.084499999999998</v>
      </c>
      <c r="F829" s="170">
        <f t="shared" si="395"/>
        <v>42.291666666666664</v>
      </c>
      <c r="G829" s="250">
        <v>0.35</v>
      </c>
      <c r="H829" s="171">
        <f t="shared" si="400"/>
        <v>0.35</v>
      </c>
      <c r="I829" s="249">
        <f t="shared" si="396"/>
        <v>36.667999999999999</v>
      </c>
      <c r="J829" s="170">
        <f t="shared" si="396"/>
        <v>48.333333333333343</v>
      </c>
      <c r="K829" s="250">
        <v>0.4</v>
      </c>
      <c r="L829" s="172">
        <f t="shared" si="408"/>
        <v>0.4</v>
      </c>
      <c r="M829" s="249">
        <f t="shared" si="409"/>
        <v>18.334</v>
      </c>
      <c r="N829" s="170">
        <f t="shared" si="403"/>
        <v>24.166666666666671</v>
      </c>
      <c r="O829" s="250">
        <v>0.2</v>
      </c>
      <c r="P829" s="172">
        <f t="shared" si="404"/>
        <v>0.2</v>
      </c>
      <c r="Q829" s="251">
        <f t="shared" si="405"/>
        <v>4.5834999999999999</v>
      </c>
      <c r="R829" s="173">
        <f t="shared" si="406"/>
        <v>6.0416666666666679</v>
      </c>
      <c r="S829" s="250">
        <v>0.05</v>
      </c>
      <c r="T829" s="171">
        <f t="shared" si="407"/>
        <v>0.05</v>
      </c>
      <c r="U829" s="256">
        <v>91.67</v>
      </c>
      <c r="V829" s="170">
        <f>145/1.2</f>
        <v>120.83333333333334</v>
      </c>
      <c r="W829" s="258">
        <v>0.2</v>
      </c>
      <c r="X829" s="257">
        <f t="shared" si="399"/>
        <v>110.004</v>
      </c>
      <c r="Y829" s="170">
        <f t="shared" si="398"/>
        <v>145</v>
      </c>
      <c r="Z829" s="170">
        <f t="shared" si="410"/>
        <v>145</v>
      </c>
      <c r="AA829" s="407">
        <f t="shared" si="397"/>
        <v>0</v>
      </c>
      <c r="AB829" s="194"/>
    </row>
    <row r="830" spans="1:28" s="278" customFormat="1" ht="14.4" thickBot="1" x14ac:dyDescent="0.3">
      <c r="A830" s="263">
        <v>717612</v>
      </c>
      <c r="B830" s="321" t="s">
        <v>14702</v>
      </c>
      <c r="C830" s="265"/>
      <c r="D830" s="264" t="s">
        <v>2</v>
      </c>
      <c r="E830" s="266">
        <f t="shared" si="395"/>
        <v>46.665500000000002</v>
      </c>
      <c r="F830" s="174">
        <f t="shared" si="395"/>
        <v>58.333333333333336</v>
      </c>
      <c r="G830" s="267">
        <v>0.35</v>
      </c>
      <c r="H830" s="268">
        <f t="shared" si="400"/>
        <v>0.35</v>
      </c>
      <c r="I830" s="266">
        <f t="shared" si="396"/>
        <v>53.332000000000008</v>
      </c>
      <c r="J830" s="174">
        <f t="shared" si="396"/>
        <v>66.666666666666671</v>
      </c>
      <c r="K830" s="267">
        <v>0.4</v>
      </c>
      <c r="L830" s="269">
        <f t="shared" si="408"/>
        <v>0.4</v>
      </c>
      <c r="M830" s="266">
        <f t="shared" si="409"/>
        <v>26.666000000000004</v>
      </c>
      <c r="N830" s="174">
        <f t="shared" si="403"/>
        <v>33.333333333333336</v>
      </c>
      <c r="O830" s="267">
        <v>0.2</v>
      </c>
      <c r="P830" s="269">
        <f t="shared" si="404"/>
        <v>0.2</v>
      </c>
      <c r="Q830" s="270">
        <f t="shared" si="405"/>
        <v>6.666500000000001</v>
      </c>
      <c r="R830" s="271">
        <f t="shared" si="406"/>
        <v>8.3333333333333339</v>
      </c>
      <c r="S830" s="267">
        <v>0.05</v>
      </c>
      <c r="T830" s="268">
        <f t="shared" si="407"/>
        <v>0.05</v>
      </c>
      <c r="U830" s="409">
        <v>133.33000000000001</v>
      </c>
      <c r="V830" s="174">
        <f>200/1.2</f>
        <v>166.66666666666669</v>
      </c>
      <c r="W830" s="322">
        <v>0.2</v>
      </c>
      <c r="X830" s="274">
        <f t="shared" si="399"/>
        <v>159.99600000000001</v>
      </c>
      <c r="Y830" s="174">
        <f t="shared" si="398"/>
        <v>200.00000000000003</v>
      </c>
      <c r="Z830" s="174">
        <f t="shared" si="410"/>
        <v>200</v>
      </c>
      <c r="AA830" s="410">
        <f t="shared" si="397"/>
        <v>0</v>
      </c>
      <c r="AB830" s="194"/>
    </row>
    <row r="831" spans="1:28" s="278" customFormat="1" x14ac:dyDescent="0.25">
      <c r="A831" s="200">
        <v>717612</v>
      </c>
      <c r="B831" s="313" t="s">
        <v>19548</v>
      </c>
      <c r="C831" s="248"/>
      <c r="D831" s="247" t="s">
        <v>2</v>
      </c>
      <c r="E831" s="249">
        <f t="shared" si="395"/>
        <v>33.540499999999994</v>
      </c>
      <c r="F831" s="170">
        <f t="shared" si="395"/>
        <v>45.208333333333336</v>
      </c>
      <c r="G831" s="250">
        <v>0.35</v>
      </c>
      <c r="H831" s="171">
        <f t="shared" si="400"/>
        <v>0.35</v>
      </c>
      <c r="I831" s="249">
        <f t="shared" si="396"/>
        <v>38.332000000000001</v>
      </c>
      <c r="J831" s="170">
        <f t="shared" si="396"/>
        <v>51.666666666666679</v>
      </c>
      <c r="K831" s="250">
        <v>0.4</v>
      </c>
      <c r="L831" s="172">
        <f t="shared" si="408"/>
        <v>0.4</v>
      </c>
      <c r="M831" s="249">
        <f t="shared" si="409"/>
        <v>19.166</v>
      </c>
      <c r="N831" s="170">
        <f t="shared" si="403"/>
        <v>25.833333333333339</v>
      </c>
      <c r="O831" s="250">
        <v>0.2</v>
      </c>
      <c r="P831" s="172">
        <f t="shared" si="404"/>
        <v>0.2</v>
      </c>
      <c r="Q831" s="251">
        <f t="shared" si="405"/>
        <v>4.7915000000000001</v>
      </c>
      <c r="R831" s="173">
        <f t="shared" si="406"/>
        <v>6.4583333333333348</v>
      </c>
      <c r="S831" s="250">
        <v>0.05</v>
      </c>
      <c r="T831" s="171">
        <f t="shared" si="407"/>
        <v>0.05</v>
      </c>
      <c r="U831" s="256">
        <v>95.83</v>
      </c>
      <c r="V831" s="170">
        <f>155/1.2</f>
        <v>129.16666666666669</v>
      </c>
      <c r="W831" s="258">
        <v>0.2</v>
      </c>
      <c r="X831" s="257">
        <f t="shared" si="399"/>
        <v>114.996</v>
      </c>
      <c r="Y831" s="170">
        <f t="shared" si="398"/>
        <v>155.00000000000003</v>
      </c>
      <c r="Z831" s="170">
        <f t="shared" si="410"/>
        <v>155</v>
      </c>
      <c r="AA831" s="407">
        <f t="shared" si="397"/>
        <v>0</v>
      </c>
      <c r="AB831" s="194"/>
    </row>
    <row r="832" spans="1:28" s="278" customFormat="1" x14ac:dyDescent="0.25">
      <c r="A832" s="200">
        <v>717614</v>
      </c>
      <c r="B832" s="313" t="s">
        <v>14703</v>
      </c>
      <c r="C832" s="248"/>
      <c r="D832" s="247" t="s">
        <v>2</v>
      </c>
      <c r="E832" s="249">
        <f t="shared" si="395"/>
        <v>49.583344999999994</v>
      </c>
      <c r="F832" s="170">
        <f t="shared" si="395"/>
        <v>50.6097202415</v>
      </c>
      <c r="G832" s="250">
        <v>0.35</v>
      </c>
      <c r="H832" s="171">
        <f t="shared" si="400"/>
        <v>0.35</v>
      </c>
      <c r="I832" s="249">
        <f t="shared" si="396"/>
        <v>56.666679999999999</v>
      </c>
      <c r="J832" s="170">
        <f t="shared" si="396"/>
        <v>57.839680276000003</v>
      </c>
      <c r="K832" s="250">
        <v>0.4</v>
      </c>
      <c r="L832" s="172">
        <f t="shared" si="408"/>
        <v>0.4</v>
      </c>
      <c r="M832" s="249">
        <f t="shared" si="409"/>
        <v>28.33334</v>
      </c>
      <c r="N832" s="170">
        <f t="shared" si="403"/>
        <v>28.919840138000001</v>
      </c>
      <c r="O832" s="250">
        <v>0.2</v>
      </c>
      <c r="P832" s="172">
        <f t="shared" si="404"/>
        <v>0.2</v>
      </c>
      <c r="Q832" s="251">
        <f t="shared" si="405"/>
        <v>7.0833349999999999</v>
      </c>
      <c r="R832" s="173">
        <f t="shared" si="406"/>
        <v>7.2299600345000004</v>
      </c>
      <c r="S832" s="250">
        <v>0.05</v>
      </c>
      <c r="T832" s="171">
        <f t="shared" si="407"/>
        <v>0.05</v>
      </c>
      <c r="U832" s="256">
        <v>141.66669999999999</v>
      </c>
      <c r="V832" s="170">
        <f t="shared" ref="V832:V889" si="411">SUM(E832*1.0235,I832*1.0175,M832*1.0245,Q832*1.0115)</f>
        <v>144.59920069</v>
      </c>
      <c r="W832" s="258">
        <v>0.2</v>
      </c>
      <c r="X832" s="257">
        <f t="shared" si="399"/>
        <v>170.00003999999998</v>
      </c>
      <c r="Y832" s="170">
        <f t="shared" si="398"/>
        <v>173.51904082799999</v>
      </c>
      <c r="Z832" s="170">
        <f t="shared" si="410"/>
        <v>175</v>
      </c>
      <c r="AA832" s="407">
        <f t="shared" si="397"/>
        <v>0</v>
      </c>
      <c r="AB832" s="194"/>
    </row>
    <row r="833" spans="1:28" s="278" customFormat="1" x14ac:dyDescent="0.25">
      <c r="A833" s="200">
        <v>717614</v>
      </c>
      <c r="B833" s="313" t="s">
        <v>19549</v>
      </c>
      <c r="C833" s="248"/>
      <c r="D833" s="247" t="s">
        <v>2</v>
      </c>
      <c r="E833" s="249">
        <f t="shared" si="395"/>
        <v>36.458334499999999</v>
      </c>
      <c r="F833" s="170">
        <f t="shared" si="395"/>
        <v>37.213022024149993</v>
      </c>
      <c r="G833" s="250">
        <v>0.35</v>
      </c>
      <c r="H833" s="171">
        <f t="shared" si="400"/>
        <v>0.35</v>
      </c>
      <c r="I833" s="249">
        <f t="shared" si="396"/>
        <v>41.666668000000001</v>
      </c>
      <c r="J833" s="170">
        <f t="shared" si="396"/>
        <v>42.529168027600001</v>
      </c>
      <c r="K833" s="250">
        <v>0.4</v>
      </c>
      <c r="L833" s="172">
        <f t="shared" si="408"/>
        <v>0.4</v>
      </c>
      <c r="M833" s="249">
        <f t="shared" si="409"/>
        <v>20.833334000000001</v>
      </c>
      <c r="N833" s="170">
        <f t="shared" si="403"/>
        <v>21.2645840138</v>
      </c>
      <c r="O833" s="250">
        <v>0.2</v>
      </c>
      <c r="P833" s="172">
        <f t="shared" si="404"/>
        <v>0.2</v>
      </c>
      <c r="Q833" s="251">
        <f t="shared" si="405"/>
        <v>5.2083335000000002</v>
      </c>
      <c r="R833" s="173">
        <f t="shared" si="406"/>
        <v>5.3161460034500001</v>
      </c>
      <c r="S833" s="250">
        <v>0.05</v>
      </c>
      <c r="T833" s="171">
        <f t="shared" si="407"/>
        <v>0.05</v>
      </c>
      <c r="U833" s="256">
        <v>104.16667</v>
      </c>
      <c r="V833" s="170">
        <f t="shared" si="411"/>
        <v>106.32292006899999</v>
      </c>
      <c r="W833" s="258">
        <v>0.2</v>
      </c>
      <c r="X833" s="257">
        <f t="shared" si="399"/>
        <v>125.00000399999999</v>
      </c>
      <c r="Y833" s="170">
        <f t="shared" si="398"/>
        <v>127.58750408279998</v>
      </c>
      <c r="Z833" s="170">
        <f t="shared" si="410"/>
        <v>130</v>
      </c>
      <c r="AA833" s="407">
        <f t="shared" si="397"/>
        <v>0</v>
      </c>
      <c r="AB833" s="194"/>
    </row>
    <row r="834" spans="1:28" s="278" customFormat="1" x14ac:dyDescent="0.25">
      <c r="A834" s="200">
        <v>717616</v>
      </c>
      <c r="B834" s="313" t="s">
        <v>15988</v>
      </c>
      <c r="C834" s="248"/>
      <c r="D834" s="247" t="s">
        <v>2</v>
      </c>
      <c r="E834" s="249">
        <f t="shared" si="395"/>
        <v>55.415500000000002</v>
      </c>
      <c r="F834" s="170">
        <f t="shared" si="395"/>
        <v>62.708333333333336</v>
      </c>
      <c r="G834" s="250">
        <v>0.35</v>
      </c>
      <c r="H834" s="171">
        <f t="shared" si="400"/>
        <v>0.35</v>
      </c>
      <c r="I834" s="249">
        <f t="shared" si="396"/>
        <v>63.332000000000008</v>
      </c>
      <c r="J834" s="170">
        <f t="shared" si="396"/>
        <v>71.666666666666671</v>
      </c>
      <c r="K834" s="250">
        <v>0.4</v>
      </c>
      <c r="L834" s="172">
        <f t="shared" si="408"/>
        <v>0.4</v>
      </c>
      <c r="M834" s="249">
        <f t="shared" si="409"/>
        <v>31.666000000000004</v>
      </c>
      <c r="N834" s="170">
        <f t="shared" si="403"/>
        <v>35.833333333333336</v>
      </c>
      <c r="O834" s="250">
        <v>0.2</v>
      </c>
      <c r="P834" s="172">
        <f t="shared" si="404"/>
        <v>0.2</v>
      </c>
      <c r="Q834" s="251">
        <f t="shared" si="405"/>
        <v>7.916500000000001</v>
      </c>
      <c r="R834" s="173">
        <f t="shared" si="406"/>
        <v>8.9583333333333339</v>
      </c>
      <c r="S834" s="250">
        <v>0.05</v>
      </c>
      <c r="T834" s="171">
        <f t="shared" si="407"/>
        <v>0.05</v>
      </c>
      <c r="U834" s="256">
        <v>158.33000000000001</v>
      </c>
      <c r="V834" s="170">
        <f>215/1.2</f>
        <v>179.16666666666669</v>
      </c>
      <c r="W834" s="258">
        <v>0.2</v>
      </c>
      <c r="X834" s="257">
        <f t="shared" si="399"/>
        <v>189.99600000000001</v>
      </c>
      <c r="Y834" s="170">
        <f t="shared" si="398"/>
        <v>215.00000000000003</v>
      </c>
      <c r="Z834" s="170">
        <f t="shared" si="410"/>
        <v>215</v>
      </c>
      <c r="AA834" s="407">
        <f t="shared" si="397"/>
        <v>0</v>
      </c>
      <c r="AB834" s="194"/>
    </row>
    <row r="835" spans="1:28" s="278" customFormat="1" x14ac:dyDescent="0.25">
      <c r="A835" s="200">
        <v>717616</v>
      </c>
      <c r="B835" s="313" t="s">
        <v>19550</v>
      </c>
      <c r="C835" s="248"/>
      <c r="D835" s="247" t="s">
        <v>2</v>
      </c>
      <c r="E835" s="249">
        <f t="shared" si="395"/>
        <v>39.375</v>
      </c>
      <c r="F835" s="170">
        <f t="shared" si="395"/>
        <v>49.583333333333336</v>
      </c>
      <c r="G835" s="250">
        <v>0.35</v>
      </c>
      <c r="H835" s="171">
        <f t="shared" si="400"/>
        <v>0.35</v>
      </c>
      <c r="I835" s="249">
        <f t="shared" si="396"/>
        <v>45</v>
      </c>
      <c r="J835" s="170">
        <f t="shared" si="396"/>
        <v>56.666666666666679</v>
      </c>
      <c r="K835" s="250">
        <v>0.4</v>
      </c>
      <c r="L835" s="172">
        <f t="shared" si="408"/>
        <v>0.4</v>
      </c>
      <c r="M835" s="249">
        <f t="shared" si="409"/>
        <v>22.5</v>
      </c>
      <c r="N835" s="170">
        <f t="shared" si="403"/>
        <v>28.333333333333339</v>
      </c>
      <c r="O835" s="250">
        <v>0.2</v>
      </c>
      <c r="P835" s="172">
        <f t="shared" si="404"/>
        <v>0.2</v>
      </c>
      <c r="Q835" s="251">
        <f t="shared" si="405"/>
        <v>5.625</v>
      </c>
      <c r="R835" s="173">
        <f t="shared" si="406"/>
        <v>7.0833333333333348</v>
      </c>
      <c r="S835" s="250">
        <v>0.05</v>
      </c>
      <c r="T835" s="171">
        <f t="shared" si="407"/>
        <v>0.05</v>
      </c>
      <c r="U835" s="256">
        <v>112.5</v>
      </c>
      <c r="V835" s="170">
        <f>170/1.2</f>
        <v>141.66666666666669</v>
      </c>
      <c r="W835" s="258">
        <v>0.2</v>
      </c>
      <c r="X835" s="257">
        <f t="shared" si="399"/>
        <v>135</v>
      </c>
      <c r="Y835" s="170">
        <f t="shared" si="398"/>
        <v>170.00000000000003</v>
      </c>
      <c r="Z835" s="170">
        <f t="shared" si="410"/>
        <v>170</v>
      </c>
      <c r="AA835" s="407">
        <f t="shared" si="397"/>
        <v>0</v>
      </c>
      <c r="AB835" s="194"/>
    </row>
    <row r="836" spans="1:28" s="278" customFormat="1" x14ac:dyDescent="0.25">
      <c r="A836" s="200">
        <v>717618</v>
      </c>
      <c r="B836" s="313" t="s">
        <v>15987</v>
      </c>
      <c r="C836" s="248"/>
      <c r="D836" s="247" t="s">
        <v>2</v>
      </c>
      <c r="E836" s="249">
        <f t="shared" si="395"/>
        <v>58.334499999999991</v>
      </c>
      <c r="F836" s="170">
        <f t="shared" si="395"/>
        <v>65.625</v>
      </c>
      <c r="G836" s="250">
        <v>0.35</v>
      </c>
      <c r="H836" s="171">
        <f t="shared" si="400"/>
        <v>0.35</v>
      </c>
      <c r="I836" s="249">
        <f t="shared" si="396"/>
        <v>66.667999999999992</v>
      </c>
      <c r="J836" s="170">
        <f t="shared" si="396"/>
        <v>75</v>
      </c>
      <c r="K836" s="250">
        <v>0.4</v>
      </c>
      <c r="L836" s="172">
        <f t="shared" si="408"/>
        <v>0.4</v>
      </c>
      <c r="M836" s="249">
        <f t="shared" si="409"/>
        <v>33.333999999999996</v>
      </c>
      <c r="N836" s="170">
        <f t="shared" si="403"/>
        <v>37.5</v>
      </c>
      <c r="O836" s="250">
        <v>0.2</v>
      </c>
      <c r="P836" s="172">
        <f t="shared" si="404"/>
        <v>0.2</v>
      </c>
      <c r="Q836" s="251">
        <f t="shared" si="405"/>
        <v>8.333499999999999</v>
      </c>
      <c r="R836" s="173">
        <f t="shared" si="406"/>
        <v>9.375</v>
      </c>
      <c r="S836" s="250">
        <v>0.05</v>
      </c>
      <c r="T836" s="171">
        <f t="shared" si="407"/>
        <v>0.05</v>
      </c>
      <c r="U836" s="256">
        <v>166.67</v>
      </c>
      <c r="V836" s="170">
        <f>225/1.2</f>
        <v>187.5</v>
      </c>
      <c r="W836" s="258">
        <v>0.2</v>
      </c>
      <c r="X836" s="257">
        <f t="shared" si="399"/>
        <v>200.00399999999999</v>
      </c>
      <c r="Y836" s="170">
        <f t="shared" si="398"/>
        <v>225</v>
      </c>
      <c r="Z836" s="170">
        <f t="shared" si="410"/>
        <v>225</v>
      </c>
      <c r="AA836" s="407">
        <f t="shared" si="397"/>
        <v>0</v>
      </c>
      <c r="AB836" s="194"/>
    </row>
    <row r="837" spans="1:28" s="278" customFormat="1" x14ac:dyDescent="0.25">
      <c r="A837" s="200">
        <v>717618</v>
      </c>
      <c r="B837" s="313" t="s">
        <v>19551</v>
      </c>
      <c r="C837" s="248"/>
      <c r="D837" s="247" t="s">
        <v>2</v>
      </c>
      <c r="E837" s="249">
        <f t="shared" si="395"/>
        <v>43.75</v>
      </c>
      <c r="F837" s="170">
        <f t="shared" si="395"/>
        <v>52.5</v>
      </c>
      <c r="G837" s="250">
        <v>0.35</v>
      </c>
      <c r="H837" s="171">
        <f t="shared" si="400"/>
        <v>0.35</v>
      </c>
      <c r="I837" s="249">
        <f t="shared" si="396"/>
        <v>50</v>
      </c>
      <c r="J837" s="170">
        <f t="shared" si="396"/>
        <v>60</v>
      </c>
      <c r="K837" s="250">
        <v>0.4</v>
      </c>
      <c r="L837" s="172">
        <f t="shared" si="408"/>
        <v>0.4</v>
      </c>
      <c r="M837" s="249">
        <f t="shared" si="409"/>
        <v>25</v>
      </c>
      <c r="N837" s="170">
        <f t="shared" si="403"/>
        <v>30</v>
      </c>
      <c r="O837" s="250">
        <v>0.2</v>
      </c>
      <c r="P837" s="172">
        <f t="shared" si="404"/>
        <v>0.2</v>
      </c>
      <c r="Q837" s="251">
        <f t="shared" si="405"/>
        <v>6.25</v>
      </c>
      <c r="R837" s="173">
        <f t="shared" si="406"/>
        <v>7.5</v>
      </c>
      <c r="S837" s="250">
        <v>0.05</v>
      </c>
      <c r="T837" s="171">
        <f t="shared" si="407"/>
        <v>0.05</v>
      </c>
      <c r="U837" s="256">
        <v>125</v>
      </c>
      <c r="V837" s="170">
        <f>180/1.2</f>
        <v>150</v>
      </c>
      <c r="W837" s="258">
        <v>0.2</v>
      </c>
      <c r="X837" s="257">
        <f t="shared" si="399"/>
        <v>150</v>
      </c>
      <c r="Y837" s="170">
        <f t="shared" si="398"/>
        <v>180</v>
      </c>
      <c r="Z837" s="170">
        <f t="shared" si="410"/>
        <v>180</v>
      </c>
      <c r="AA837" s="407">
        <f t="shared" si="397"/>
        <v>0</v>
      </c>
      <c r="AB837" s="194"/>
    </row>
    <row r="838" spans="1:28" s="278" customFormat="1" x14ac:dyDescent="0.25">
      <c r="A838" s="200">
        <v>717620</v>
      </c>
      <c r="B838" s="313" t="s">
        <v>14704</v>
      </c>
      <c r="C838" s="248"/>
      <c r="D838" s="247" t="s">
        <v>2</v>
      </c>
      <c r="E838" s="249">
        <f t="shared" si="395"/>
        <v>65.625</v>
      </c>
      <c r="F838" s="170">
        <f t="shared" si="395"/>
        <v>66.983437499999994</v>
      </c>
      <c r="G838" s="250">
        <v>0.35</v>
      </c>
      <c r="H838" s="171">
        <f t="shared" si="400"/>
        <v>0.35</v>
      </c>
      <c r="I838" s="249">
        <f t="shared" si="396"/>
        <v>75</v>
      </c>
      <c r="J838" s="170">
        <f t="shared" si="396"/>
        <v>76.552499999999995</v>
      </c>
      <c r="K838" s="250">
        <v>0.4</v>
      </c>
      <c r="L838" s="172">
        <f t="shared" si="408"/>
        <v>0.4</v>
      </c>
      <c r="M838" s="249">
        <f t="shared" si="409"/>
        <v>37.5</v>
      </c>
      <c r="N838" s="170">
        <f t="shared" si="403"/>
        <v>38.276249999999997</v>
      </c>
      <c r="O838" s="250">
        <v>0.2</v>
      </c>
      <c r="P838" s="172">
        <f t="shared" si="404"/>
        <v>0.2</v>
      </c>
      <c r="Q838" s="251">
        <f t="shared" si="405"/>
        <v>9.375</v>
      </c>
      <c r="R838" s="173">
        <f t="shared" si="406"/>
        <v>9.5690624999999994</v>
      </c>
      <c r="S838" s="250">
        <v>0.05</v>
      </c>
      <c r="T838" s="171">
        <f t="shared" si="407"/>
        <v>0.05</v>
      </c>
      <c r="U838" s="256">
        <v>187.5</v>
      </c>
      <c r="V838" s="170">
        <f t="shared" si="411"/>
        <v>191.38124999999999</v>
      </c>
      <c r="W838" s="258">
        <v>0.2</v>
      </c>
      <c r="X838" s="257">
        <f t="shared" si="399"/>
        <v>225</v>
      </c>
      <c r="Y838" s="170">
        <f t="shared" si="398"/>
        <v>229.6575</v>
      </c>
      <c r="Z838" s="170">
        <f t="shared" si="410"/>
        <v>230</v>
      </c>
      <c r="AA838" s="407">
        <f t="shared" si="397"/>
        <v>0</v>
      </c>
      <c r="AB838" s="194"/>
    </row>
    <row r="839" spans="1:28" s="278" customFormat="1" x14ac:dyDescent="0.25">
      <c r="A839" s="200">
        <v>717620</v>
      </c>
      <c r="B839" s="313" t="s">
        <v>19552</v>
      </c>
      <c r="C839" s="248"/>
      <c r="D839" s="247" t="s">
        <v>2</v>
      </c>
      <c r="E839" s="249">
        <f t="shared" si="395"/>
        <v>55.416654999999999</v>
      </c>
      <c r="F839" s="170">
        <f t="shared" si="395"/>
        <v>56.563779758499997</v>
      </c>
      <c r="G839" s="250">
        <v>0.35</v>
      </c>
      <c r="H839" s="171">
        <f t="shared" si="400"/>
        <v>0.35</v>
      </c>
      <c r="I839" s="249">
        <f t="shared" si="396"/>
        <v>63.333320000000008</v>
      </c>
      <c r="J839" s="170">
        <f t="shared" si="396"/>
        <v>64.644319723999999</v>
      </c>
      <c r="K839" s="250">
        <v>0.4</v>
      </c>
      <c r="L839" s="172">
        <f t="shared" si="408"/>
        <v>0.4</v>
      </c>
      <c r="M839" s="249">
        <f t="shared" si="409"/>
        <v>31.666660000000004</v>
      </c>
      <c r="N839" s="170">
        <f t="shared" si="403"/>
        <v>32.322159861999999</v>
      </c>
      <c r="O839" s="250">
        <v>0.2</v>
      </c>
      <c r="P839" s="172">
        <f t="shared" si="404"/>
        <v>0.2</v>
      </c>
      <c r="Q839" s="251">
        <f t="shared" si="405"/>
        <v>7.916665000000001</v>
      </c>
      <c r="R839" s="173">
        <f t="shared" si="406"/>
        <v>8.0805399654999999</v>
      </c>
      <c r="S839" s="250">
        <v>0.05</v>
      </c>
      <c r="T839" s="171">
        <f t="shared" si="407"/>
        <v>0.05</v>
      </c>
      <c r="U839" s="256">
        <v>158.33330000000001</v>
      </c>
      <c r="V839" s="170">
        <f t="shared" si="411"/>
        <v>161.61079931</v>
      </c>
      <c r="W839" s="258">
        <v>0.2</v>
      </c>
      <c r="X839" s="257">
        <f t="shared" si="399"/>
        <v>189.99996000000002</v>
      </c>
      <c r="Y839" s="170">
        <f t="shared" si="398"/>
        <v>193.93295917200001</v>
      </c>
      <c r="Z839" s="170">
        <f t="shared" si="410"/>
        <v>195</v>
      </c>
      <c r="AA839" s="407">
        <f t="shared" si="397"/>
        <v>0</v>
      </c>
      <c r="AB839" s="194"/>
    </row>
    <row r="840" spans="1:28" s="278" customFormat="1" x14ac:dyDescent="0.25">
      <c r="A840" s="200">
        <v>717624</v>
      </c>
      <c r="B840" s="313" t="s">
        <v>14705</v>
      </c>
      <c r="C840" s="248"/>
      <c r="D840" s="247" t="s">
        <v>2</v>
      </c>
      <c r="E840" s="249">
        <f t="shared" si="395"/>
        <v>60</v>
      </c>
      <c r="F840" s="170">
        <f t="shared" si="395"/>
        <v>61.244999999999997</v>
      </c>
      <c r="G840" s="250">
        <v>0.3</v>
      </c>
      <c r="H840" s="171">
        <f t="shared" si="400"/>
        <v>0.3</v>
      </c>
      <c r="I840" s="249">
        <f t="shared" si="396"/>
        <v>80</v>
      </c>
      <c r="J840" s="170">
        <f t="shared" si="396"/>
        <v>81.660000000000011</v>
      </c>
      <c r="K840" s="250">
        <v>0.4</v>
      </c>
      <c r="L840" s="172">
        <f t="shared" si="408"/>
        <v>0.4</v>
      </c>
      <c r="M840" s="249">
        <f t="shared" si="409"/>
        <v>50</v>
      </c>
      <c r="N840" s="170">
        <f t="shared" si="403"/>
        <v>51.037500000000001</v>
      </c>
      <c r="O840" s="250">
        <v>0.25</v>
      </c>
      <c r="P840" s="172">
        <f t="shared" si="404"/>
        <v>0.25</v>
      </c>
      <c r="Q840" s="251">
        <f t="shared" si="405"/>
        <v>10</v>
      </c>
      <c r="R840" s="173">
        <f t="shared" si="406"/>
        <v>10.207500000000001</v>
      </c>
      <c r="S840" s="250">
        <v>0.05</v>
      </c>
      <c r="T840" s="171">
        <f t="shared" si="407"/>
        <v>0.05</v>
      </c>
      <c r="U840" s="256">
        <v>200</v>
      </c>
      <c r="V840" s="170">
        <f t="shared" si="411"/>
        <v>204.15</v>
      </c>
      <c r="W840" s="258">
        <v>0.2</v>
      </c>
      <c r="X840" s="257">
        <f t="shared" si="399"/>
        <v>240</v>
      </c>
      <c r="Y840" s="170">
        <f t="shared" si="398"/>
        <v>244.98</v>
      </c>
      <c r="Z840" s="170">
        <f t="shared" si="410"/>
        <v>245</v>
      </c>
      <c r="AA840" s="407">
        <f t="shared" si="397"/>
        <v>0</v>
      </c>
      <c r="AB840" s="194"/>
    </row>
    <row r="841" spans="1:28" s="278" customFormat="1" x14ac:dyDescent="0.25">
      <c r="A841" s="200">
        <v>717624</v>
      </c>
      <c r="B841" s="313" t="s">
        <v>19553</v>
      </c>
      <c r="C841" s="248"/>
      <c r="D841" s="247" t="s">
        <v>2</v>
      </c>
      <c r="E841" s="249">
        <f t="shared" si="395"/>
        <v>52.5</v>
      </c>
      <c r="F841" s="170">
        <f t="shared" si="395"/>
        <v>53.589375000000004</v>
      </c>
      <c r="G841" s="250">
        <v>0.3</v>
      </c>
      <c r="H841" s="171">
        <f t="shared" si="400"/>
        <v>0.3</v>
      </c>
      <c r="I841" s="249">
        <f t="shared" si="396"/>
        <v>70</v>
      </c>
      <c r="J841" s="170">
        <f t="shared" si="396"/>
        <v>71.452500000000015</v>
      </c>
      <c r="K841" s="250">
        <v>0.4</v>
      </c>
      <c r="L841" s="172">
        <f t="shared" si="408"/>
        <v>0.4</v>
      </c>
      <c r="M841" s="249">
        <f t="shared" si="409"/>
        <v>43.75</v>
      </c>
      <c r="N841" s="170">
        <f t="shared" si="403"/>
        <v>44.657812500000006</v>
      </c>
      <c r="O841" s="250">
        <v>0.25</v>
      </c>
      <c r="P841" s="172">
        <f t="shared" si="404"/>
        <v>0.25</v>
      </c>
      <c r="Q841" s="251">
        <f t="shared" si="405"/>
        <v>8.75</v>
      </c>
      <c r="R841" s="173">
        <f t="shared" si="406"/>
        <v>8.9315625000000018</v>
      </c>
      <c r="S841" s="250">
        <v>0.05</v>
      </c>
      <c r="T841" s="171">
        <f t="shared" si="407"/>
        <v>0.05</v>
      </c>
      <c r="U841" s="256">
        <v>175</v>
      </c>
      <c r="V841" s="170">
        <f t="shared" si="411"/>
        <v>178.63125000000002</v>
      </c>
      <c r="W841" s="258">
        <v>0.2</v>
      </c>
      <c r="X841" s="257">
        <f t="shared" si="399"/>
        <v>210</v>
      </c>
      <c r="Y841" s="170">
        <f t="shared" si="398"/>
        <v>214.35750000000002</v>
      </c>
      <c r="Z841" s="170">
        <f t="shared" si="410"/>
        <v>215</v>
      </c>
      <c r="AA841" s="407">
        <f t="shared" si="397"/>
        <v>0</v>
      </c>
      <c r="AB841" s="194"/>
    </row>
    <row r="842" spans="1:28" s="278" customFormat="1" x14ac:dyDescent="0.25">
      <c r="A842" s="200">
        <v>717630</v>
      </c>
      <c r="B842" s="313" t="s">
        <v>14706</v>
      </c>
      <c r="C842" s="248"/>
      <c r="D842" s="247" t="s">
        <v>2</v>
      </c>
      <c r="E842" s="249">
        <f t="shared" si="395"/>
        <v>112.5</v>
      </c>
      <c r="F842" s="170">
        <f t="shared" si="395"/>
        <v>114.83437499999999</v>
      </c>
      <c r="G842" s="250">
        <v>0.3</v>
      </c>
      <c r="H842" s="171">
        <f t="shared" si="400"/>
        <v>0.3</v>
      </c>
      <c r="I842" s="249">
        <f t="shared" si="396"/>
        <v>150</v>
      </c>
      <c r="J842" s="170">
        <f t="shared" si="396"/>
        <v>153.11250000000001</v>
      </c>
      <c r="K842" s="250">
        <v>0.4</v>
      </c>
      <c r="L842" s="172">
        <f t="shared" si="408"/>
        <v>0.4</v>
      </c>
      <c r="M842" s="249">
        <f t="shared" si="409"/>
        <v>93.75</v>
      </c>
      <c r="N842" s="170">
        <f t="shared" si="403"/>
        <v>95.6953125</v>
      </c>
      <c r="O842" s="250">
        <v>0.25</v>
      </c>
      <c r="P842" s="172">
        <f t="shared" si="404"/>
        <v>0.25</v>
      </c>
      <c r="Q842" s="251">
        <f t="shared" si="405"/>
        <v>18.75</v>
      </c>
      <c r="R842" s="173">
        <f t="shared" si="406"/>
        <v>19.139062500000001</v>
      </c>
      <c r="S842" s="250">
        <v>0.05</v>
      </c>
      <c r="T842" s="171">
        <f t="shared" si="407"/>
        <v>0.05</v>
      </c>
      <c r="U842" s="256">
        <v>375</v>
      </c>
      <c r="V842" s="170">
        <f t="shared" si="411"/>
        <v>382.78125</v>
      </c>
      <c r="W842" s="258">
        <v>0.2</v>
      </c>
      <c r="X842" s="257">
        <f t="shared" si="399"/>
        <v>450</v>
      </c>
      <c r="Y842" s="170">
        <f t="shared" si="398"/>
        <v>459.33749999999998</v>
      </c>
      <c r="Z842" s="170">
        <f t="shared" si="410"/>
        <v>460</v>
      </c>
      <c r="AA842" s="407">
        <f t="shared" si="397"/>
        <v>0</v>
      </c>
      <c r="AB842" s="194"/>
    </row>
    <row r="843" spans="1:28" s="278" customFormat="1" x14ac:dyDescent="0.25">
      <c r="A843" s="200">
        <v>717630</v>
      </c>
      <c r="B843" s="313" t="s">
        <v>19554</v>
      </c>
      <c r="C843" s="248"/>
      <c r="D843" s="247" t="s">
        <v>2</v>
      </c>
      <c r="E843" s="249">
        <f t="shared" si="395"/>
        <v>75</v>
      </c>
      <c r="F843" s="170">
        <f t="shared" si="395"/>
        <v>76.556249999999991</v>
      </c>
      <c r="G843" s="250">
        <v>0.3</v>
      </c>
      <c r="H843" s="171">
        <f t="shared" si="400"/>
        <v>0.3</v>
      </c>
      <c r="I843" s="249">
        <f t="shared" si="396"/>
        <v>100</v>
      </c>
      <c r="J843" s="170">
        <f t="shared" si="396"/>
        <v>102.075</v>
      </c>
      <c r="K843" s="250">
        <v>0.4</v>
      </c>
      <c r="L843" s="172">
        <f t="shared" si="408"/>
        <v>0.4</v>
      </c>
      <c r="M843" s="249">
        <f t="shared" si="409"/>
        <v>62.5</v>
      </c>
      <c r="N843" s="170">
        <f t="shared" si="403"/>
        <v>63.796875</v>
      </c>
      <c r="O843" s="250">
        <v>0.25</v>
      </c>
      <c r="P843" s="172">
        <f t="shared" si="404"/>
        <v>0.25</v>
      </c>
      <c r="Q843" s="251">
        <f t="shared" si="405"/>
        <v>12.5</v>
      </c>
      <c r="R843" s="173">
        <f t="shared" si="406"/>
        <v>12.759375</v>
      </c>
      <c r="S843" s="250">
        <v>0.05</v>
      </c>
      <c r="T843" s="171">
        <f t="shared" si="407"/>
        <v>0.05</v>
      </c>
      <c r="U843" s="256">
        <v>250</v>
      </c>
      <c r="V843" s="170">
        <f t="shared" si="411"/>
        <v>255.1875</v>
      </c>
      <c r="W843" s="258">
        <v>0.2</v>
      </c>
      <c r="X843" s="257">
        <f t="shared" si="399"/>
        <v>300</v>
      </c>
      <c r="Y843" s="170">
        <f t="shared" si="398"/>
        <v>306.22499999999997</v>
      </c>
      <c r="Z843" s="170">
        <f t="shared" si="410"/>
        <v>310</v>
      </c>
      <c r="AA843" s="407">
        <f t="shared" si="397"/>
        <v>0</v>
      </c>
      <c r="AB843" s="194"/>
    </row>
    <row r="844" spans="1:28" s="278" customFormat="1" x14ac:dyDescent="0.25">
      <c r="A844" s="200">
        <v>717636</v>
      </c>
      <c r="B844" s="313" t="s">
        <v>14707</v>
      </c>
      <c r="C844" s="248"/>
      <c r="D844" s="247" t="s">
        <v>2</v>
      </c>
      <c r="E844" s="249">
        <f t="shared" si="395"/>
        <v>118.74999</v>
      </c>
      <c r="F844" s="170">
        <f t="shared" si="395"/>
        <v>121.21405229249999</v>
      </c>
      <c r="G844" s="250">
        <v>0.3</v>
      </c>
      <c r="H844" s="171">
        <f t="shared" si="400"/>
        <v>0.3</v>
      </c>
      <c r="I844" s="249">
        <f t="shared" si="396"/>
        <v>158.33332000000001</v>
      </c>
      <c r="J844" s="170">
        <f t="shared" si="396"/>
        <v>161.61873638999998</v>
      </c>
      <c r="K844" s="250">
        <v>0.4</v>
      </c>
      <c r="L844" s="172">
        <f t="shared" si="408"/>
        <v>0.4</v>
      </c>
      <c r="M844" s="249">
        <f t="shared" si="409"/>
        <v>98.958325000000002</v>
      </c>
      <c r="N844" s="170">
        <f t="shared" si="403"/>
        <v>101.01171024374999</v>
      </c>
      <c r="O844" s="250">
        <v>0.25</v>
      </c>
      <c r="P844" s="172">
        <f t="shared" si="404"/>
        <v>0.25</v>
      </c>
      <c r="Q844" s="251">
        <f t="shared" si="405"/>
        <v>19.791665000000002</v>
      </c>
      <c r="R844" s="173">
        <f t="shared" si="406"/>
        <v>20.202342048749998</v>
      </c>
      <c r="S844" s="250">
        <v>0.05</v>
      </c>
      <c r="T844" s="171">
        <f t="shared" si="407"/>
        <v>0.05</v>
      </c>
      <c r="U844" s="256">
        <v>395.83330000000001</v>
      </c>
      <c r="V844" s="170">
        <f t="shared" si="411"/>
        <v>404.04684097499995</v>
      </c>
      <c r="W844" s="258">
        <v>0.2</v>
      </c>
      <c r="X844" s="257">
        <f t="shared" si="399"/>
        <v>474.99995999999999</v>
      </c>
      <c r="Y844" s="170">
        <f t="shared" si="398"/>
        <v>484.85620916999994</v>
      </c>
      <c r="Z844" s="170">
        <f t="shared" si="410"/>
        <v>485</v>
      </c>
      <c r="AA844" s="407">
        <f t="shared" si="397"/>
        <v>0</v>
      </c>
      <c r="AB844" s="194"/>
    </row>
    <row r="845" spans="1:28" s="278" customFormat="1" x14ac:dyDescent="0.25">
      <c r="A845" s="200">
        <v>717636</v>
      </c>
      <c r="B845" s="313" t="s">
        <v>19555</v>
      </c>
      <c r="C845" s="248"/>
      <c r="D845" s="247" t="s">
        <v>2</v>
      </c>
      <c r="E845" s="249">
        <f t="shared" si="395"/>
        <v>77.499900000000011</v>
      </c>
      <c r="F845" s="170">
        <f t="shared" si="395"/>
        <v>79.108022925000014</v>
      </c>
      <c r="G845" s="250">
        <v>0.3</v>
      </c>
      <c r="H845" s="171">
        <f t="shared" si="400"/>
        <v>0.3</v>
      </c>
      <c r="I845" s="249">
        <f t="shared" si="396"/>
        <v>103.33320000000002</v>
      </c>
      <c r="J845" s="170">
        <f t="shared" si="396"/>
        <v>105.47736390000003</v>
      </c>
      <c r="K845" s="250">
        <v>0.4</v>
      </c>
      <c r="L845" s="172">
        <f t="shared" si="408"/>
        <v>0.4</v>
      </c>
      <c r="M845" s="249">
        <f t="shared" si="409"/>
        <v>64.583250000000007</v>
      </c>
      <c r="N845" s="170">
        <f t="shared" si="403"/>
        <v>65.923352437500014</v>
      </c>
      <c r="O845" s="250">
        <v>0.25</v>
      </c>
      <c r="P845" s="172">
        <f t="shared" si="404"/>
        <v>0.25</v>
      </c>
      <c r="Q845" s="251">
        <f t="shared" si="405"/>
        <v>12.916650000000002</v>
      </c>
      <c r="R845" s="173">
        <f t="shared" si="406"/>
        <v>13.184670487500004</v>
      </c>
      <c r="S845" s="250">
        <v>0.05</v>
      </c>
      <c r="T845" s="171">
        <f t="shared" si="407"/>
        <v>0.05</v>
      </c>
      <c r="U845" s="256">
        <v>258.33300000000003</v>
      </c>
      <c r="V845" s="170">
        <f t="shared" si="411"/>
        <v>263.69340975000006</v>
      </c>
      <c r="W845" s="258">
        <v>0.2</v>
      </c>
      <c r="X845" s="257">
        <f t="shared" si="399"/>
        <v>309.99960000000004</v>
      </c>
      <c r="Y845" s="170">
        <f t="shared" si="398"/>
        <v>316.43209170000006</v>
      </c>
      <c r="Z845" s="170">
        <f t="shared" si="410"/>
        <v>320</v>
      </c>
      <c r="AA845" s="407">
        <f t="shared" si="397"/>
        <v>0</v>
      </c>
      <c r="AB845" s="194"/>
    </row>
    <row r="846" spans="1:28" s="278" customFormat="1" x14ac:dyDescent="0.25">
      <c r="A846" s="200">
        <v>717642</v>
      </c>
      <c r="B846" s="313" t="s">
        <v>14708</v>
      </c>
      <c r="C846" s="248"/>
      <c r="D846" s="247" t="s">
        <v>2</v>
      </c>
      <c r="E846" s="249">
        <f t="shared" si="395"/>
        <v>125.00000999999999</v>
      </c>
      <c r="F846" s="170">
        <f t="shared" si="395"/>
        <v>127.5937602075</v>
      </c>
      <c r="G846" s="250">
        <v>0.3</v>
      </c>
      <c r="H846" s="171">
        <f t="shared" si="400"/>
        <v>0.3</v>
      </c>
      <c r="I846" s="249">
        <f t="shared" si="396"/>
        <v>166.66668000000001</v>
      </c>
      <c r="J846" s="170">
        <f t="shared" si="396"/>
        <v>170.12501361</v>
      </c>
      <c r="K846" s="250">
        <v>0.4</v>
      </c>
      <c r="L846" s="172">
        <f t="shared" si="408"/>
        <v>0.4</v>
      </c>
      <c r="M846" s="249">
        <f t="shared" si="409"/>
        <v>104.166675</v>
      </c>
      <c r="N846" s="170">
        <f t="shared" si="403"/>
        <v>106.32813350625</v>
      </c>
      <c r="O846" s="250">
        <v>0.25</v>
      </c>
      <c r="P846" s="172">
        <f t="shared" si="404"/>
        <v>0.25</v>
      </c>
      <c r="Q846" s="251">
        <f t="shared" si="405"/>
        <v>20.833335000000002</v>
      </c>
      <c r="R846" s="173">
        <f t="shared" si="406"/>
        <v>21.26562670125</v>
      </c>
      <c r="S846" s="250">
        <v>0.05</v>
      </c>
      <c r="T846" s="171">
        <f t="shared" si="407"/>
        <v>0.05</v>
      </c>
      <c r="U846" s="256">
        <v>416.66669999999999</v>
      </c>
      <c r="V846" s="170">
        <f t="shared" si="411"/>
        <v>425.31253402499999</v>
      </c>
      <c r="W846" s="258">
        <v>0.2</v>
      </c>
      <c r="X846" s="257">
        <f t="shared" si="399"/>
        <v>500.00004000000001</v>
      </c>
      <c r="Y846" s="170">
        <f t="shared" si="398"/>
        <v>510.37504082999999</v>
      </c>
      <c r="Z846" s="170">
        <f t="shared" si="410"/>
        <v>515</v>
      </c>
      <c r="AA846" s="407">
        <f t="shared" si="397"/>
        <v>0</v>
      </c>
      <c r="AB846" s="194"/>
    </row>
    <row r="847" spans="1:28" s="278" customFormat="1" x14ac:dyDescent="0.25">
      <c r="A847" s="200">
        <v>717642</v>
      </c>
      <c r="B847" s="313" t="s">
        <v>19556</v>
      </c>
      <c r="C847" s="248"/>
      <c r="D847" s="247" t="s">
        <v>2</v>
      </c>
      <c r="E847" s="249">
        <f t="shared" si="395"/>
        <v>87.500009999999989</v>
      </c>
      <c r="F847" s="170">
        <f t="shared" si="395"/>
        <v>89.315635207499994</v>
      </c>
      <c r="G847" s="250">
        <v>0.3</v>
      </c>
      <c r="H847" s="171">
        <f t="shared" si="400"/>
        <v>0.3</v>
      </c>
      <c r="I847" s="249">
        <f t="shared" si="396"/>
        <v>116.66668</v>
      </c>
      <c r="J847" s="170">
        <f t="shared" si="396"/>
        <v>119.08751361</v>
      </c>
      <c r="K847" s="250">
        <v>0.4</v>
      </c>
      <c r="L847" s="172">
        <f t="shared" si="408"/>
        <v>0.4</v>
      </c>
      <c r="M847" s="249">
        <f t="shared" si="409"/>
        <v>72.916674999999998</v>
      </c>
      <c r="N847" s="170">
        <f t="shared" si="403"/>
        <v>74.429696006249998</v>
      </c>
      <c r="O847" s="250">
        <v>0.25</v>
      </c>
      <c r="P847" s="172">
        <f t="shared" si="404"/>
        <v>0.25</v>
      </c>
      <c r="Q847" s="251">
        <f t="shared" si="405"/>
        <v>14.583335</v>
      </c>
      <c r="R847" s="173">
        <f t="shared" si="406"/>
        <v>14.88593920125</v>
      </c>
      <c r="S847" s="250">
        <v>0.05</v>
      </c>
      <c r="T847" s="171">
        <f t="shared" si="407"/>
        <v>0.05</v>
      </c>
      <c r="U847" s="256">
        <v>291.66669999999999</v>
      </c>
      <c r="V847" s="170">
        <f t="shared" si="411"/>
        <v>297.71878402499999</v>
      </c>
      <c r="W847" s="258">
        <v>0.2</v>
      </c>
      <c r="X847" s="257">
        <f t="shared" si="399"/>
        <v>350.00004000000001</v>
      </c>
      <c r="Y847" s="170">
        <f t="shared" si="398"/>
        <v>357.26254082999998</v>
      </c>
      <c r="Z847" s="170">
        <f t="shared" si="410"/>
        <v>360</v>
      </c>
      <c r="AA847" s="407">
        <f t="shared" si="397"/>
        <v>0</v>
      </c>
      <c r="AB847" s="194"/>
    </row>
    <row r="848" spans="1:28" s="278" customFormat="1" x14ac:dyDescent="0.25">
      <c r="A848" s="200">
        <v>717648</v>
      </c>
      <c r="B848" s="313" t="s">
        <v>14709</v>
      </c>
      <c r="C848" s="248"/>
      <c r="D848" s="247" t="s">
        <v>2</v>
      </c>
      <c r="E848" s="249">
        <f t="shared" si="395"/>
        <v>131.25</v>
      </c>
      <c r="F848" s="170">
        <f t="shared" si="395"/>
        <v>133.97343749999999</v>
      </c>
      <c r="G848" s="250">
        <v>0.3</v>
      </c>
      <c r="H848" s="171">
        <f t="shared" si="400"/>
        <v>0.3</v>
      </c>
      <c r="I848" s="249">
        <f t="shared" si="396"/>
        <v>175</v>
      </c>
      <c r="J848" s="170">
        <f t="shared" si="396"/>
        <v>178.63125000000002</v>
      </c>
      <c r="K848" s="250">
        <v>0.4</v>
      </c>
      <c r="L848" s="172">
        <f t="shared" si="408"/>
        <v>0.4</v>
      </c>
      <c r="M848" s="249">
        <f t="shared" si="409"/>
        <v>109.375</v>
      </c>
      <c r="N848" s="170">
        <f t="shared" si="403"/>
        <v>111.64453125</v>
      </c>
      <c r="O848" s="250">
        <v>0.25</v>
      </c>
      <c r="P848" s="172">
        <f t="shared" si="404"/>
        <v>0.25</v>
      </c>
      <c r="Q848" s="251">
        <f t="shared" si="405"/>
        <v>21.875</v>
      </c>
      <c r="R848" s="173">
        <f t="shared" si="406"/>
        <v>22.328906250000003</v>
      </c>
      <c r="S848" s="250">
        <v>0.05</v>
      </c>
      <c r="T848" s="171">
        <f t="shared" si="407"/>
        <v>0.05</v>
      </c>
      <c r="U848" s="256">
        <v>437.5</v>
      </c>
      <c r="V848" s="170">
        <f t="shared" si="411"/>
        <v>446.578125</v>
      </c>
      <c r="W848" s="258">
        <v>0.2</v>
      </c>
      <c r="X848" s="257">
        <f t="shared" si="399"/>
        <v>525</v>
      </c>
      <c r="Y848" s="170">
        <f t="shared" si="398"/>
        <v>535.89374999999995</v>
      </c>
      <c r="Z848" s="170">
        <f t="shared" si="410"/>
        <v>540</v>
      </c>
      <c r="AA848" s="407">
        <f t="shared" si="397"/>
        <v>0</v>
      </c>
      <c r="AB848" s="194"/>
    </row>
    <row r="849" spans="1:28" s="278" customFormat="1" x14ac:dyDescent="0.25">
      <c r="A849" s="200">
        <v>717648</v>
      </c>
      <c r="B849" s="313" t="s">
        <v>19557</v>
      </c>
      <c r="C849" s="248"/>
      <c r="D849" s="247" t="s">
        <v>2</v>
      </c>
      <c r="E849" s="249">
        <f t="shared" si="395"/>
        <v>99.999989999999997</v>
      </c>
      <c r="F849" s="170">
        <f t="shared" si="395"/>
        <v>102.07498979250001</v>
      </c>
      <c r="G849" s="250">
        <v>0.3</v>
      </c>
      <c r="H849" s="171">
        <f t="shared" si="400"/>
        <v>0.3</v>
      </c>
      <c r="I849" s="249">
        <f t="shared" si="396"/>
        <v>133.33332000000001</v>
      </c>
      <c r="J849" s="170">
        <f t="shared" si="396"/>
        <v>136.09998639</v>
      </c>
      <c r="K849" s="250">
        <v>0.4</v>
      </c>
      <c r="L849" s="172">
        <f t="shared" si="408"/>
        <v>0.4</v>
      </c>
      <c r="M849" s="249">
        <f t="shared" si="409"/>
        <v>83.333325000000002</v>
      </c>
      <c r="N849" s="170">
        <f t="shared" si="403"/>
        <v>85.062491493750002</v>
      </c>
      <c r="O849" s="250">
        <v>0.25</v>
      </c>
      <c r="P849" s="172">
        <f t="shared" si="404"/>
        <v>0.25</v>
      </c>
      <c r="Q849" s="251">
        <f t="shared" si="405"/>
        <v>16.666665000000002</v>
      </c>
      <c r="R849" s="173">
        <f t="shared" si="406"/>
        <v>17.01249829875</v>
      </c>
      <c r="S849" s="250">
        <v>0.05</v>
      </c>
      <c r="T849" s="171">
        <f t="shared" si="407"/>
        <v>0.05</v>
      </c>
      <c r="U849" s="256">
        <v>333.33330000000001</v>
      </c>
      <c r="V849" s="170">
        <f t="shared" si="411"/>
        <v>340.24996597500001</v>
      </c>
      <c r="W849" s="258">
        <v>0.2</v>
      </c>
      <c r="X849" s="257">
        <f t="shared" si="399"/>
        <v>399.99995999999999</v>
      </c>
      <c r="Y849" s="170">
        <f t="shared" si="398"/>
        <v>408.29995917000002</v>
      </c>
      <c r="Z849" s="170">
        <f t="shared" si="410"/>
        <v>410</v>
      </c>
      <c r="AA849" s="407">
        <f t="shared" si="397"/>
        <v>0</v>
      </c>
      <c r="AB849" s="194"/>
    </row>
    <row r="850" spans="1:28" s="278" customFormat="1" x14ac:dyDescent="0.25">
      <c r="A850" s="200">
        <v>717660</v>
      </c>
      <c r="B850" s="313" t="s">
        <v>14710</v>
      </c>
      <c r="C850" s="248"/>
      <c r="D850" s="247" t="s">
        <v>2</v>
      </c>
      <c r="E850" s="249">
        <f t="shared" ref="E850:F913" si="412">U850*G850</f>
        <v>162.50001</v>
      </c>
      <c r="F850" s="170">
        <f t="shared" si="412"/>
        <v>165.87188520749999</v>
      </c>
      <c r="G850" s="250">
        <v>0.3</v>
      </c>
      <c r="H850" s="171">
        <f t="shared" si="400"/>
        <v>0.3</v>
      </c>
      <c r="I850" s="249">
        <f t="shared" ref="I850:J913" si="413">U850*K850</f>
        <v>216.66668000000001</v>
      </c>
      <c r="J850" s="170">
        <f t="shared" si="413"/>
        <v>221.16251361000002</v>
      </c>
      <c r="K850" s="250">
        <v>0.4</v>
      </c>
      <c r="L850" s="172">
        <f t="shared" si="408"/>
        <v>0.4</v>
      </c>
      <c r="M850" s="249">
        <f t="shared" si="409"/>
        <v>135.416675</v>
      </c>
      <c r="N850" s="170">
        <f t="shared" si="403"/>
        <v>138.22657100625</v>
      </c>
      <c r="O850" s="250">
        <v>0.25</v>
      </c>
      <c r="P850" s="172">
        <f t="shared" si="404"/>
        <v>0.25</v>
      </c>
      <c r="Q850" s="251">
        <f t="shared" si="405"/>
        <v>27.083335000000002</v>
      </c>
      <c r="R850" s="173">
        <f t="shared" si="406"/>
        <v>27.645314201250002</v>
      </c>
      <c r="S850" s="250">
        <v>0.05</v>
      </c>
      <c r="T850" s="171">
        <f t="shared" si="407"/>
        <v>0.05</v>
      </c>
      <c r="U850" s="256">
        <v>541.66669999999999</v>
      </c>
      <c r="V850" s="170">
        <f t="shared" si="411"/>
        <v>552.90628402499999</v>
      </c>
      <c r="W850" s="258">
        <v>0.2</v>
      </c>
      <c r="X850" s="257">
        <f t="shared" si="399"/>
        <v>650.00004000000001</v>
      </c>
      <c r="Y850" s="170">
        <f t="shared" si="398"/>
        <v>663.48754082999994</v>
      </c>
      <c r="Z850" s="170">
        <f t="shared" si="410"/>
        <v>665</v>
      </c>
      <c r="AA850" s="407">
        <f t="shared" si="397"/>
        <v>0</v>
      </c>
      <c r="AB850" s="194"/>
    </row>
    <row r="851" spans="1:28" s="278" customFormat="1" x14ac:dyDescent="0.25">
      <c r="A851" s="200">
        <v>717660</v>
      </c>
      <c r="B851" s="313" t="s">
        <v>19558</v>
      </c>
      <c r="C851" s="248"/>
      <c r="D851" s="247" t="s">
        <v>2</v>
      </c>
      <c r="E851" s="249">
        <f t="shared" si="412"/>
        <v>150</v>
      </c>
      <c r="F851" s="170">
        <f t="shared" si="412"/>
        <v>153.11249999999998</v>
      </c>
      <c r="G851" s="250">
        <v>0.3</v>
      </c>
      <c r="H851" s="171">
        <f t="shared" si="400"/>
        <v>0.3</v>
      </c>
      <c r="I851" s="249">
        <f t="shared" si="413"/>
        <v>200</v>
      </c>
      <c r="J851" s="170">
        <f t="shared" si="413"/>
        <v>204.15</v>
      </c>
      <c r="K851" s="250">
        <v>0.4</v>
      </c>
      <c r="L851" s="172">
        <f t="shared" si="408"/>
        <v>0.4</v>
      </c>
      <c r="M851" s="249">
        <f t="shared" si="409"/>
        <v>125</v>
      </c>
      <c r="N851" s="170">
        <f t="shared" si="403"/>
        <v>127.59375</v>
      </c>
      <c r="O851" s="250">
        <v>0.25</v>
      </c>
      <c r="P851" s="172">
        <f t="shared" si="404"/>
        <v>0.25</v>
      </c>
      <c r="Q851" s="251">
        <f t="shared" si="405"/>
        <v>25</v>
      </c>
      <c r="R851" s="173">
        <f t="shared" si="406"/>
        <v>25.518750000000001</v>
      </c>
      <c r="S851" s="250">
        <v>0.05</v>
      </c>
      <c r="T851" s="171">
        <f t="shared" si="407"/>
        <v>0.05</v>
      </c>
      <c r="U851" s="256">
        <v>500</v>
      </c>
      <c r="V851" s="170">
        <f t="shared" si="411"/>
        <v>510.375</v>
      </c>
      <c r="W851" s="258">
        <v>0.2</v>
      </c>
      <c r="X851" s="257">
        <f t="shared" si="399"/>
        <v>600</v>
      </c>
      <c r="Y851" s="170">
        <f t="shared" si="398"/>
        <v>612.44999999999993</v>
      </c>
      <c r="Z851" s="170">
        <f t="shared" si="410"/>
        <v>615</v>
      </c>
      <c r="AA851" s="407">
        <f t="shared" si="397"/>
        <v>0</v>
      </c>
      <c r="AB851" s="194"/>
    </row>
    <row r="852" spans="1:28" s="278" customFormat="1" x14ac:dyDescent="0.25">
      <c r="A852" s="200">
        <v>717654</v>
      </c>
      <c r="B852" s="313" t="s">
        <v>15986</v>
      </c>
      <c r="C852" s="248"/>
      <c r="D852" s="247" t="s">
        <v>2</v>
      </c>
      <c r="E852" s="249">
        <f t="shared" si="412"/>
        <v>26.25</v>
      </c>
      <c r="F852" s="170">
        <f t="shared" si="412"/>
        <v>26.794687500000002</v>
      </c>
      <c r="G852" s="250">
        <v>0.3</v>
      </c>
      <c r="H852" s="171">
        <f t="shared" si="400"/>
        <v>0.3</v>
      </c>
      <c r="I852" s="249">
        <f t="shared" si="413"/>
        <v>35</v>
      </c>
      <c r="J852" s="170">
        <f t="shared" si="413"/>
        <v>35.726250000000007</v>
      </c>
      <c r="K852" s="250">
        <v>0.4</v>
      </c>
      <c r="L852" s="172">
        <f t="shared" si="408"/>
        <v>0.4</v>
      </c>
      <c r="M852" s="249">
        <f t="shared" si="409"/>
        <v>21.875</v>
      </c>
      <c r="N852" s="170">
        <f t="shared" si="403"/>
        <v>22.328906250000003</v>
      </c>
      <c r="O852" s="250">
        <v>0.25</v>
      </c>
      <c r="P852" s="172">
        <f t="shared" si="404"/>
        <v>0.25</v>
      </c>
      <c r="Q852" s="251">
        <f t="shared" si="405"/>
        <v>4.375</v>
      </c>
      <c r="R852" s="173">
        <f t="shared" si="406"/>
        <v>4.4657812500000009</v>
      </c>
      <c r="S852" s="250">
        <v>0.05</v>
      </c>
      <c r="T852" s="171">
        <f t="shared" si="407"/>
        <v>0.05</v>
      </c>
      <c r="U852" s="256">
        <v>87.5</v>
      </c>
      <c r="V852" s="170">
        <f t="shared" si="411"/>
        <v>89.315625000000011</v>
      </c>
      <c r="W852" s="258">
        <v>0.2</v>
      </c>
      <c r="X852" s="257">
        <f t="shared" si="399"/>
        <v>105</v>
      </c>
      <c r="Y852" s="170">
        <f t="shared" si="398"/>
        <v>107.17875000000001</v>
      </c>
      <c r="Z852" s="170">
        <f t="shared" si="410"/>
        <v>110</v>
      </c>
      <c r="AA852" s="407">
        <f t="shared" si="397"/>
        <v>0</v>
      </c>
      <c r="AB852" s="194"/>
    </row>
    <row r="853" spans="1:28" s="278" customFormat="1" x14ac:dyDescent="0.25">
      <c r="A853" s="200">
        <v>717654</v>
      </c>
      <c r="B853" s="313" t="s">
        <v>19559</v>
      </c>
      <c r="C853" s="248"/>
      <c r="D853" s="247" t="s">
        <v>2</v>
      </c>
      <c r="E853" s="249">
        <f t="shared" si="412"/>
        <v>22.5</v>
      </c>
      <c r="F853" s="170">
        <f t="shared" si="412"/>
        <v>22.966875000000002</v>
      </c>
      <c r="G853" s="250">
        <v>0.3</v>
      </c>
      <c r="H853" s="171">
        <f t="shared" si="400"/>
        <v>0.3</v>
      </c>
      <c r="I853" s="249">
        <f t="shared" si="413"/>
        <v>30</v>
      </c>
      <c r="J853" s="170">
        <f t="shared" si="413"/>
        <v>30.622500000000002</v>
      </c>
      <c r="K853" s="250">
        <v>0.4</v>
      </c>
      <c r="L853" s="172">
        <f t="shared" si="408"/>
        <v>0.4</v>
      </c>
      <c r="M853" s="249">
        <f t="shared" si="409"/>
        <v>18.75</v>
      </c>
      <c r="N853" s="170">
        <f t="shared" si="403"/>
        <v>19.139062500000001</v>
      </c>
      <c r="O853" s="250">
        <v>0.25</v>
      </c>
      <c r="P853" s="172">
        <f t="shared" si="404"/>
        <v>0.25</v>
      </c>
      <c r="Q853" s="251">
        <f t="shared" si="405"/>
        <v>3.75</v>
      </c>
      <c r="R853" s="173">
        <f t="shared" si="406"/>
        <v>3.8278125000000003</v>
      </c>
      <c r="S853" s="250">
        <v>0.05</v>
      </c>
      <c r="T853" s="171">
        <f t="shared" si="407"/>
        <v>0.05</v>
      </c>
      <c r="U853" s="256">
        <v>75</v>
      </c>
      <c r="V853" s="170">
        <f t="shared" si="411"/>
        <v>76.556250000000006</v>
      </c>
      <c r="W853" s="258">
        <v>0.2</v>
      </c>
      <c r="X853" s="257">
        <f t="shared" si="399"/>
        <v>90</v>
      </c>
      <c r="Y853" s="170">
        <f t="shared" si="398"/>
        <v>91.867500000000007</v>
      </c>
      <c r="Z853" s="170">
        <f t="shared" si="410"/>
        <v>92</v>
      </c>
      <c r="AA853" s="407">
        <f t="shared" si="397"/>
        <v>0</v>
      </c>
      <c r="AB853" s="194"/>
    </row>
    <row r="854" spans="1:28" s="278" customFormat="1" x14ac:dyDescent="0.25">
      <c r="A854" s="200">
        <v>717656</v>
      </c>
      <c r="B854" s="313" t="s">
        <v>15985</v>
      </c>
      <c r="C854" s="248"/>
      <c r="D854" s="247" t="s">
        <v>2</v>
      </c>
      <c r="E854" s="249">
        <f t="shared" si="412"/>
        <v>35</v>
      </c>
      <c r="F854" s="170">
        <f t="shared" si="412"/>
        <v>51.041666666666664</v>
      </c>
      <c r="G854" s="250">
        <v>0.35</v>
      </c>
      <c r="H854" s="171">
        <f t="shared" si="400"/>
        <v>0.35</v>
      </c>
      <c r="I854" s="249">
        <f t="shared" si="413"/>
        <v>45</v>
      </c>
      <c r="J854" s="170">
        <f t="shared" si="413"/>
        <v>65.625</v>
      </c>
      <c r="K854" s="250">
        <v>0.45</v>
      </c>
      <c r="L854" s="172">
        <f t="shared" si="408"/>
        <v>0.45</v>
      </c>
      <c r="M854" s="249">
        <f t="shared" si="409"/>
        <v>15</v>
      </c>
      <c r="N854" s="170">
        <f t="shared" si="403"/>
        <v>21.875</v>
      </c>
      <c r="O854" s="250">
        <v>0.15</v>
      </c>
      <c r="P854" s="172">
        <f t="shared" si="404"/>
        <v>0.15</v>
      </c>
      <c r="Q854" s="251">
        <f t="shared" si="405"/>
        <v>5</v>
      </c>
      <c r="R854" s="173">
        <f t="shared" si="406"/>
        <v>7.2916666666666679</v>
      </c>
      <c r="S854" s="250">
        <v>0.05</v>
      </c>
      <c r="T854" s="171">
        <f t="shared" si="407"/>
        <v>0.05</v>
      </c>
      <c r="U854" s="256">
        <v>100</v>
      </c>
      <c r="V854" s="170">
        <f>175/1.2</f>
        <v>145.83333333333334</v>
      </c>
      <c r="W854" s="258">
        <v>0.2</v>
      </c>
      <c r="X854" s="257">
        <f t="shared" si="399"/>
        <v>120</v>
      </c>
      <c r="Y854" s="170">
        <f t="shared" si="398"/>
        <v>175</v>
      </c>
      <c r="Z854" s="170">
        <f t="shared" si="410"/>
        <v>175</v>
      </c>
      <c r="AA854" s="407">
        <f t="shared" si="397"/>
        <v>0</v>
      </c>
      <c r="AB854" s="194"/>
    </row>
    <row r="855" spans="1:28" s="278" customFormat="1" x14ac:dyDescent="0.25">
      <c r="A855" s="200">
        <v>717656</v>
      </c>
      <c r="B855" s="313" t="s">
        <v>19560</v>
      </c>
      <c r="C855" s="248"/>
      <c r="D855" s="247" t="s">
        <v>2</v>
      </c>
      <c r="E855" s="249">
        <f t="shared" si="412"/>
        <v>29.165499999999998</v>
      </c>
      <c r="F855" s="170">
        <f t="shared" si="412"/>
        <v>37.916666666666664</v>
      </c>
      <c r="G855" s="250">
        <v>0.35</v>
      </c>
      <c r="H855" s="171">
        <f t="shared" si="400"/>
        <v>0.35</v>
      </c>
      <c r="I855" s="249">
        <f t="shared" si="413"/>
        <v>37.4985</v>
      </c>
      <c r="J855" s="170">
        <f t="shared" si="413"/>
        <v>48.750000000000007</v>
      </c>
      <c r="K855" s="250">
        <v>0.45</v>
      </c>
      <c r="L855" s="172">
        <f t="shared" si="408"/>
        <v>0.45</v>
      </c>
      <c r="M855" s="249">
        <f t="shared" si="409"/>
        <v>12.499499999999999</v>
      </c>
      <c r="N855" s="170">
        <f t="shared" si="403"/>
        <v>16.25</v>
      </c>
      <c r="O855" s="250">
        <v>0.15</v>
      </c>
      <c r="P855" s="172">
        <f t="shared" si="404"/>
        <v>0.15</v>
      </c>
      <c r="Q855" s="251">
        <f t="shared" si="405"/>
        <v>4.1665000000000001</v>
      </c>
      <c r="R855" s="173">
        <f t="shared" si="406"/>
        <v>5.4166666666666679</v>
      </c>
      <c r="S855" s="250">
        <v>0.05</v>
      </c>
      <c r="T855" s="171">
        <f t="shared" si="407"/>
        <v>0.05</v>
      </c>
      <c r="U855" s="256">
        <v>83.33</v>
      </c>
      <c r="V855" s="170">
        <f>130/1.2</f>
        <v>108.33333333333334</v>
      </c>
      <c r="W855" s="258">
        <v>0.2</v>
      </c>
      <c r="X855" s="257">
        <f t="shared" si="399"/>
        <v>99.995999999999995</v>
      </c>
      <c r="Y855" s="170">
        <f t="shared" si="398"/>
        <v>130</v>
      </c>
      <c r="Z855" s="170">
        <f t="shared" si="410"/>
        <v>130</v>
      </c>
      <c r="AA855" s="407">
        <f t="shared" si="397"/>
        <v>0</v>
      </c>
      <c r="AB855" s="194"/>
    </row>
    <row r="856" spans="1:28" s="278" customFormat="1" x14ac:dyDescent="0.25">
      <c r="A856" s="200">
        <v>717658</v>
      </c>
      <c r="B856" s="313" t="s">
        <v>15984</v>
      </c>
      <c r="C856" s="248"/>
      <c r="D856" s="247" t="s">
        <v>2</v>
      </c>
      <c r="E856" s="249">
        <f t="shared" si="412"/>
        <v>43.75</v>
      </c>
      <c r="F856" s="170">
        <f t="shared" si="412"/>
        <v>53.958333333333336</v>
      </c>
      <c r="G856" s="250">
        <v>0.35</v>
      </c>
      <c r="H856" s="171">
        <f t="shared" si="400"/>
        <v>0.35</v>
      </c>
      <c r="I856" s="249">
        <f t="shared" si="413"/>
        <v>56.25</v>
      </c>
      <c r="J856" s="170">
        <f t="shared" si="413"/>
        <v>69.375000000000014</v>
      </c>
      <c r="K856" s="250">
        <v>0.45</v>
      </c>
      <c r="L856" s="172">
        <f t="shared" si="408"/>
        <v>0.45</v>
      </c>
      <c r="M856" s="249">
        <f t="shared" si="409"/>
        <v>18.75</v>
      </c>
      <c r="N856" s="170">
        <f t="shared" si="403"/>
        <v>23.125000000000004</v>
      </c>
      <c r="O856" s="250">
        <v>0.15</v>
      </c>
      <c r="P856" s="172">
        <f t="shared" si="404"/>
        <v>0.15</v>
      </c>
      <c r="Q856" s="251">
        <f t="shared" si="405"/>
        <v>6.25</v>
      </c>
      <c r="R856" s="173">
        <f t="shared" si="406"/>
        <v>7.7083333333333348</v>
      </c>
      <c r="S856" s="250">
        <v>0.05</v>
      </c>
      <c r="T856" s="171">
        <f t="shared" si="407"/>
        <v>0.05</v>
      </c>
      <c r="U856" s="256">
        <v>125</v>
      </c>
      <c r="V856" s="170">
        <f>185/1.2</f>
        <v>154.16666666666669</v>
      </c>
      <c r="W856" s="258">
        <v>0.2</v>
      </c>
      <c r="X856" s="257">
        <f t="shared" si="399"/>
        <v>150</v>
      </c>
      <c r="Y856" s="170">
        <f t="shared" si="398"/>
        <v>185.00000000000003</v>
      </c>
      <c r="Z856" s="170">
        <f t="shared" si="410"/>
        <v>185</v>
      </c>
      <c r="AA856" s="407">
        <f t="shared" si="397"/>
        <v>0</v>
      </c>
      <c r="AB856" s="194"/>
    </row>
    <row r="857" spans="1:28" s="278" customFormat="1" x14ac:dyDescent="0.25">
      <c r="A857" s="200">
        <v>717658</v>
      </c>
      <c r="B857" s="313" t="s">
        <v>19561</v>
      </c>
      <c r="C857" s="248"/>
      <c r="D857" s="247" t="s">
        <v>2</v>
      </c>
      <c r="E857" s="249">
        <f t="shared" si="412"/>
        <v>32.084499999999998</v>
      </c>
      <c r="F857" s="170">
        <f t="shared" si="412"/>
        <v>40.833333333333336</v>
      </c>
      <c r="G857" s="250">
        <v>0.35</v>
      </c>
      <c r="H857" s="171">
        <f t="shared" si="400"/>
        <v>0.35</v>
      </c>
      <c r="I857" s="249">
        <f t="shared" si="413"/>
        <v>41.2515</v>
      </c>
      <c r="J857" s="170">
        <f t="shared" si="413"/>
        <v>52.5</v>
      </c>
      <c r="K857" s="250">
        <v>0.45</v>
      </c>
      <c r="L857" s="172">
        <f t="shared" si="408"/>
        <v>0.45</v>
      </c>
      <c r="M857" s="249">
        <f t="shared" si="409"/>
        <v>13.750500000000001</v>
      </c>
      <c r="N857" s="170">
        <f t="shared" si="403"/>
        <v>17.5</v>
      </c>
      <c r="O857" s="250">
        <v>0.15</v>
      </c>
      <c r="P857" s="172">
        <f t="shared" si="404"/>
        <v>0.15</v>
      </c>
      <c r="Q857" s="251">
        <f t="shared" si="405"/>
        <v>4.5834999999999999</v>
      </c>
      <c r="R857" s="173">
        <f t="shared" si="406"/>
        <v>5.8333333333333339</v>
      </c>
      <c r="S857" s="250">
        <v>0.05</v>
      </c>
      <c r="T857" s="171">
        <f t="shared" si="407"/>
        <v>0.05</v>
      </c>
      <c r="U857" s="256">
        <v>91.67</v>
      </c>
      <c r="V857" s="170">
        <f>140/1.2</f>
        <v>116.66666666666667</v>
      </c>
      <c r="W857" s="258">
        <v>0.2</v>
      </c>
      <c r="X857" s="257">
        <f t="shared" si="399"/>
        <v>110.004</v>
      </c>
      <c r="Y857" s="170">
        <f t="shared" si="398"/>
        <v>140</v>
      </c>
      <c r="Z857" s="170">
        <f t="shared" si="410"/>
        <v>140</v>
      </c>
      <c r="AA857" s="407">
        <f t="shared" si="397"/>
        <v>0</v>
      </c>
      <c r="AB857" s="194"/>
    </row>
    <row r="858" spans="1:28" s="278" customFormat="1" x14ac:dyDescent="0.25">
      <c r="A858" s="200">
        <v>717662</v>
      </c>
      <c r="B858" s="313" t="s">
        <v>15983</v>
      </c>
      <c r="C858" s="248"/>
      <c r="D858" s="247" t="s">
        <v>2</v>
      </c>
      <c r="E858" s="249">
        <f t="shared" si="412"/>
        <v>46.665500000000002</v>
      </c>
      <c r="F858" s="170">
        <f t="shared" si="412"/>
        <v>58.333333333333336</v>
      </c>
      <c r="G858" s="250">
        <v>0.35</v>
      </c>
      <c r="H858" s="171">
        <f t="shared" si="400"/>
        <v>0.35</v>
      </c>
      <c r="I858" s="249">
        <f t="shared" si="413"/>
        <v>59.998500000000007</v>
      </c>
      <c r="J858" s="170">
        <f t="shared" si="413"/>
        <v>75.000000000000014</v>
      </c>
      <c r="K858" s="250">
        <v>0.45</v>
      </c>
      <c r="L858" s="172">
        <f t="shared" si="408"/>
        <v>0.45</v>
      </c>
      <c r="M858" s="249">
        <f t="shared" si="409"/>
        <v>19.999500000000001</v>
      </c>
      <c r="N858" s="170">
        <f t="shared" si="403"/>
        <v>25.000000000000004</v>
      </c>
      <c r="O858" s="250">
        <v>0.15</v>
      </c>
      <c r="P858" s="172">
        <f t="shared" si="404"/>
        <v>0.15</v>
      </c>
      <c r="Q858" s="251">
        <f t="shared" si="405"/>
        <v>6.666500000000001</v>
      </c>
      <c r="R858" s="173">
        <f t="shared" si="406"/>
        <v>8.3333333333333339</v>
      </c>
      <c r="S858" s="250">
        <v>0.05</v>
      </c>
      <c r="T858" s="171">
        <f t="shared" si="407"/>
        <v>0.05</v>
      </c>
      <c r="U858" s="256">
        <v>133.33000000000001</v>
      </c>
      <c r="V858" s="170">
        <f>200/1.2</f>
        <v>166.66666666666669</v>
      </c>
      <c r="W858" s="258">
        <v>0.2</v>
      </c>
      <c r="X858" s="257">
        <f t="shared" si="399"/>
        <v>159.99600000000001</v>
      </c>
      <c r="Y858" s="170">
        <f t="shared" si="398"/>
        <v>200.00000000000003</v>
      </c>
      <c r="Z858" s="170">
        <f t="shared" si="410"/>
        <v>200</v>
      </c>
      <c r="AA858" s="407">
        <f t="shared" si="397"/>
        <v>0</v>
      </c>
      <c r="AB858" s="194"/>
    </row>
    <row r="859" spans="1:28" s="278" customFormat="1" x14ac:dyDescent="0.25">
      <c r="A859" s="200">
        <v>717662</v>
      </c>
      <c r="B859" s="313" t="s">
        <v>19562</v>
      </c>
      <c r="C859" s="248"/>
      <c r="D859" s="247" t="s">
        <v>2</v>
      </c>
      <c r="E859" s="249">
        <f t="shared" si="412"/>
        <v>35</v>
      </c>
      <c r="F859" s="170">
        <f t="shared" si="412"/>
        <v>45.208333333333336</v>
      </c>
      <c r="G859" s="250">
        <v>0.35</v>
      </c>
      <c r="H859" s="171">
        <f t="shared" si="400"/>
        <v>0.35</v>
      </c>
      <c r="I859" s="249">
        <f t="shared" si="413"/>
        <v>45</v>
      </c>
      <c r="J859" s="170">
        <f t="shared" si="413"/>
        <v>58.125000000000007</v>
      </c>
      <c r="K859" s="250">
        <v>0.45</v>
      </c>
      <c r="L859" s="172">
        <f t="shared" si="408"/>
        <v>0.45</v>
      </c>
      <c r="M859" s="249">
        <f t="shared" si="409"/>
        <v>15</v>
      </c>
      <c r="N859" s="170">
        <f t="shared" si="403"/>
        <v>19.375000000000004</v>
      </c>
      <c r="O859" s="250">
        <v>0.15</v>
      </c>
      <c r="P859" s="172">
        <f t="shared" si="404"/>
        <v>0.15</v>
      </c>
      <c r="Q859" s="251">
        <f t="shared" si="405"/>
        <v>5</v>
      </c>
      <c r="R859" s="173">
        <f t="shared" si="406"/>
        <v>6.4583333333333348</v>
      </c>
      <c r="S859" s="250">
        <v>0.05</v>
      </c>
      <c r="T859" s="171">
        <f t="shared" si="407"/>
        <v>0.05</v>
      </c>
      <c r="U859" s="256">
        <v>100</v>
      </c>
      <c r="V859" s="170">
        <f>155/1.2</f>
        <v>129.16666666666669</v>
      </c>
      <c r="W859" s="258">
        <v>0.2</v>
      </c>
      <c r="X859" s="257">
        <f t="shared" si="399"/>
        <v>120</v>
      </c>
      <c r="Y859" s="170">
        <f t="shared" si="398"/>
        <v>155.00000000000003</v>
      </c>
      <c r="Z859" s="170">
        <f t="shared" si="410"/>
        <v>155</v>
      </c>
      <c r="AA859" s="407">
        <f t="shared" si="397"/>
        <v>0</v>
      </c>
      <c r="AB859" s="194"/>
    </row>
    <row r="860" spans="1:28" s="278" customFormat="1" x14ac:dyDescent="0.25">
      <c r="A860" s="200">
        <v>717668</v>
      </c>
      <c r="B860" s="313" t="s">
        <v>19563</v>
      </c>
      <c r="C860" s="248"/>
      <c r="D860" s="247" t="s">
        <v>2</v>
      </c>
      <c r="E860" s="249">
        <f t="shared" si="412"/>
        <v>320.83334499999995</v>
      </c>
      <c r="F860" s="170">
        <f t="shared" si="412"/>
        <v>327.36230357074999</v>
      </c>
      <c r="G860" s="250">
        <v>0.35</v>
      </c>
      <c r="H860" s="171">
        <f t="shared" si="400"/>
        <v>0.35</v>
      </c>
      <c r="I860" s="249">
        <f t="shared" si="413"/>
        <v>412.50001500000002</v>
      </c>
      <c r="J860" s="170">
        <f t="shared" si="413"/>
        <v>420.89439030525</v>
      </c>
      <c r="K860" s="250">
        <v>0.45</v>
      </c>
      <c r="L860" s="172">
        <f t="shared" si="408"/>
        <v>0.45</v>
      </c>
      <c r="M860" s="249">
        <f t="shared" si="409"/>
        <v>137.50000499999999</v>
      </c>
      <c r="N860" s="170">
        <f t="shared" si="403"/>
        <v>140.29813010174999</v>
      </c>
      <c r="O860" s="250">
        <v>0.15</v>
      </c>
      <c r="P860" s="172">
        <f t="shared" si="404"/>
        <v>0.15</v>
      </c>
      <c r="Q860" s="251">
        <f t="shared" si="405"/>
        <v>45.833335000000005</v>
      </c>
      <c r="R860" s="173">
        <f t="shared" si="406"/>
        <v>46.766043367250006</v>
      </c>
      <c r="S860" s="250">
        <v>0.05</v>
      </c>
      <c r="T860" s="171">
        <f t="shared" si="407"/>
        <v>0.05</v>
      </c>
      <c r="U860" s="256">
        <v>916.66669999999999</v>
      </c>
      <c r="V860" s="170">
        <f t="shared" si="411"/>
        <v>935.32086734500001</v>
      </c>
      <c r="W860" s="258">
        <v>0.2</v>
      </c>
      <c r="X860" s="257">
        <f t="shared" si="399"/>
        <v>1100.0000399999999</v>
      </c>
      <c r="Y860" s="170">
        <f t="shared" si="398"/>
        <v>1122.3850408139999</v>
      </c>
      <c r="Z860" s="170">
        <f t="shared" si="410"/>
        <v>1125</v>
      </c>
      <c r="AA860" s="407">
        <f t="shared" si="397"/>
        <v>0</v>
      </c>
      <c r="AB860" s="194"/>
    </row>
    <row r="861" spans="1:28" s="278" customFormat="1" x14ac:dyDescent="0.25">
      <c r="A861" s="200">
        <v>717668</v>
      </c>
      <c r="B861" s="313" t="s">
        <v>19564</v>
      </c>
      <c r="C861" s="248"/>
      <c r="D861" s="247" t="s">
        <v>2</v>
      </c>
      <c r="E861" s="249">
        <f t="shared" si="412"/>
        <v>306.25</v>
      </c>
      <c r="F861" s="170">
        <f t="shared" si="412"/>
        <v>312.48218750000001</v>
      </c>
      <c r="G861" s="250">
        <v>0.35</v>
      </c>
      <c r="H861" s="171">
        <f t="shared" si="400"/>
        <v>0.35</v>
      </c>
      <c r="I861" s="249">
        <f t="shared" si="413"/>
        <v>393.75</v>
      </c>
      <c r="J861" s="170">
        <f t="shared" si="413"/>
        <v>401.76281250000005</v>
      </c>
      <c r="K861" s="250">
        <v>0.45</v>
      </c>
      <c r="L861" s="172">
        <f t="shared" si="408"/>
        <v>0.45</v>
      </c>
      <c r="M861" s="249">
        <f t="shared" si="409"/>
        <v>131.25</v>
      </c>
      <c r="N861" s="170">
        <f t="shared" si="403"/>
        <v>133.92093750000001</v>
      </c>
      <c r="O861" s="250">
        <v>0.15</v>
      </c>
      <c r="P861" s="172">
        <f t="shared" si="404"/>
        <v>0.15</v>
      </c>
      <c r="Q861" s="251">
        <f t="shared" si="405"/>
        <v>43.75</v>
      </c>
      <c r="R861" s="173">
        <f t="shared" si="406"/>
        <v>44.640312500000007</v>
      </c>
      <c r="S861" s="250">
        <v>0.05</v>
      </c>
      <c r="T861" s="171">
        <f t="shared" si="407"/>
        <v>0.05</v>
      </c>
      <c r="U861" s="256">
        <v>875</v>
      </c>
      <c r="V861" s="170">
        <f t="shared" si="411"/>
        <v>892.80625000000009</v>
      </c>
      <c r="W861" s="258">
        <v>0.2</v>
      </c>
      <c r="X861" s="257">
        <f t="shared" si="399"/>
        <v>1050</v>
      </c>
      <c r="Y861" s="170">
        <f t="shared" si="398"/>
        <v>1071.3675000000001</v>
      </c>
      <c r="Z861" s="170">
        <f t="shared" si="410"/>
        <v>1075</v>
      </c>
      <c r="AA861" s="407">
        <f t="shared" si="397"/>
        <v>0</v>
      </c>
      <c r="AB861" s="194"/>
    </row>
    <row r="862" spans="1:28" s="278" customFormat="1" x14ac:dyDescent="0.25">
      <c r="A862" s="200">
        <v>717670</v>
      </c>
      <c r="B862" s="313" t="s">
        <v>19565</v>
      </c>
      <c r="C862" s="248"/>
      <c r="D862" s="247" t="s">
        <v>2</v>
      </c>
      <c r="E862" s="249">
        <f t="shared" si="412"/>
        <v>364.58334499999995</v>
      </c>
      <c r="F862" s="170">
        <f t="shared" si="412"/>
        <v>372.00261607074998</v>
      </c>
      <c r="G862" s="250">
        <v>0.35</v>
      </c>
      <c r="H862" s="171">
        <f t="shared" si="400"/>
        <v>0.35</v>
      </c>
      <c r="I862" s="249">
        <f t="shared" si="413"/>
        <v>468.75001500000002</v>
      </c>
      <c r="J862" s="170">
        <f t="shared" si="413"/>
        <v>478.28907780524997</v>
      </c>
      <c r="K862" s="250">
        <v>0.45</v>
      </c>
      <c r="L862" s="172">
        <f t="shared" si="408"/>
        <v>0.45</v>
      </c>
      <c r="M862" s="249">
        <f t="shared" si="409"/>
        <v>156.25000499999999</v>
      </c>
      <c r="N862" s="170">
        <f t="shared" si="403"/>
        <v>159.42969260174999</v>
      </c>
      <c r="O862" s="250">
        <v>0.15</v>
      </c>
      <c r="P862" s="172">
        <f t="shared" si="404"/>
        <v>0.15</v>
      </c>
      <c r="Q862" s="251">
        <f t="shared" si="405"/>
        <v>52.083335000000005</v>
      </c>
      <c r="R862" s="173">
        <f t="shared" si="406"/>
        <v>53.143230867249997</v>
      </c>
      <c r="S862" s="250">
        <v>0.05</v>
      </c>
      <c r="T862" s="171">
        <f t="shared" si="407"/>
        <v>0.05</v>
      </c>
      <c r="U862" s="256">
        <v>1041.6667</v>
      </c>
      <c r="V862" s="170">
        <f t="shared" si="411"/>
        <v>1062.8646173449999</v>
      </c>
      <c r="W862" s="258">
        <v>0.2</v>
      </c>
      <c r="X862" s="257">
        <f t="shared" si="399"/>
        <v>1250.0000399999999</v>
      </c>
      <c r="Y862" s="170">
        <f t="shared" si="398"/>
        <v>1275.4375408139999</v>
      </c>
      <c r="Z862" s="170">
        <f t="shared" si="410"/>
        <v>1300</v>
      </c>
      <c r="AA862" s="407">
        <f t="shared" si="397"/>
        <v>0</v>
      </c>
      <c r="AB862" s="194"/>
    </row>
    <row r="863" spans="1:28" s="278" customFormat="1" x14ac:dyDescent="0.25">
      <c r="A863" s="200">
        <v>717670</v>
      </c>
      <c r="B863" s="313" t="s">
        <v>19566</v>
      </c>
      <c r="C863" s="248"/>
      <c r="D863" s="247" t="s">
        <v>2</v>
      </c>
      <c r="E863" s="249">
        <f t="shared" si="412"/>
        <v>335.41665499999999</v>
      </c>
      <c r="F863" s="170">
        <f t="shared" si="412"/>
        <v>342.24238392924997</v>
      </c>
      <c r="G863" s="250">
        <v>0.35</v>
      </c>
      <c r="H863" s="171">
        <f t="shared" si="400"/>
        <v>0.35</v>
      </c>
      <c r="I863" s="249">
        <f t="shared" si="413"/>
        <v>431.24998500000004</v>
      </c>
      <c r="J863" s="170">
        <f t="shared" si="413"/>
        <v>440.02592219475002</v>
      </c>
      <c r="K863" s="250">
        <v>0.45</v>
      </c>
      <c r="L863" s="172">
        <f t="shared" si="408"/>
        <v>0.45</v>
      </c>
      <c r="M863" s="249">
        <f t="shared" si="409"/>
        <v>143.74999499999998</v>
      </c>
      <c r="N863" s="170">
        <f t="shared" si="403"/>
        <v>146.67530739825</v>
      </c>
      <c r="O863" s="250">
        <v>0.15</v>
      </c>
      <c r="P863" s="172">
        <f t="shared" si="404"/>
        <v>0.15</v>
      </c>
      <c r="Q863" s="251">
        <f t="shared" si="405"/>
        <v>47.916665000000002</v>
      </c>
      <c r="R863" s="173">
        <f t="shared" si="406"/>
        <v>48.891769132749999</v>
      </c>
      <c r="S863" s="250">
        <v>0.05</v>
      </c>
      <c r="T863" s="171">
        <f t="shared" si="407"/>
        <v>0.05</v>
      </c>
      <c r="U863" s="256">
        <v>958.33330000000001</v>
      </c>
      <c r="V863" s="170">
        <f t="shared" si="411"/>
        <v>977.83538265499999</v>
      </c>
      <c r="W863" s="258">
        <v>0.2</v>
      </c>
      <c r="X863" s="257">
        <f t="shared" si="399"/>
        <v>1149.9999600000001</v>
      </c>
      <c r="Y863" s="170">
        <f t="shared" si="398"/>
        <v>1173.402459186</v>
      </c>
      <c r="Z863" s="170">
        <f t="shared" si="410"/>
        <v>1175</v>
      </c>
      <c r="AA863" s="407">
        <f t="shared" si="397"/>
        <v>0</v>
      </c>
      <c r="AB863" s="194"/>
    </row>
    <row r="864" spans="1:28" s="278" customFormat="1" x14ac:dyDescent="0.25">
      <c r="A864" s="200">
        <v>717708</v>
      </c>
      <c r="B864" s="313" t="s">
        <v>19567</v>
      </c>
      <c r="C864" s="248"/>
      <c r="D864" s="247" t="s">
        <v>2</v>
      </c>
      <c r="E864" s="249">
        <f t="shared" si="412"/>
        <v>21.666679999999999</v>
      </c>
      <c r="F864" s="170">
        <f t="shared" si="412"/>
        <v>22.114096942000003</v>
      </c>
      <c r="G864" s="250">
        <v>0.4</v>
      </c>
      <c r="H864" s="171">
        <f t="shared" si="400"/>
        <v>0.4</v>
      </c>
      <c r="I864" s="249">
        <f t="shared" si="413"/>
        <v>21.666679999999999</v>
      </c>
      <c r="J864" s="170">
        <f t="shared" si="413"/>
        <v>22.114096942000003</v>
      </c>
      <c r="K864" s="250">
        <v>0.4</v>
      </c>
      <c r="L864" s="172">
        <f t="shared" si="408"/>
        <v>0.4</v>
      </c>
      <c r="M864" s="249">
        <f t="shared" si="409"/>
        <v>8.1250049999999998</v>
      </c>
      <c r="N864" s="170">
        <f t="shared" si="403"/>
        <v>8.2927863532499995</v>
      </c>
      <c r="O864" s="250">
        <v>0.15</v>
      </c>
      <c r="P864" s="172">
        <f t="shared" si="404"/>
        <v>0.15</v>
      </c>
      <c r="Q864" s="251">
        <f t="shared" si="405"/>
        <v>2.7083349999999999</v>
      </c>
      <c r="R864" s="173">
        <f t="shared" si="406"/>
        <v>2.7642621177500004</v>
      </c>
      <c r="S864" s="250">
        <v>0.05</v>
      </c>
      <c r="T864" s="171">
        <f t="shared" si="407"/>
        <v>0.05</v>
      </c>
      <c r="U864" s="256">
        <v>54.166699999999999</v>
      </c>
      <c r="V864" s="170">
        <f t="shared" si="411"/>
        <v>55.285242355000001</v>
      </c>
      <c r="W864" s="258">
        <v>0.2</v>
      </c>
      <c r="X864" s="257">
        <f t="shared" si="399"/>
        <v>65.000039999999998</v>
      </c>
      <c r="Y864" s="170">
        <f t="shared" si="398"/>
        <v>66.342290825999996</v>
      </c>
      <c r="Z864" s="170">
        <f t="shared" si="410"/>
        <v>67</v>
      </c>
      <c r="AA864" s="407">
        <f t="shared" si="397"/>
        <v>0</v>
      </c>
      <c r="AB864" s="194"/>
    </row>
    <row r="865" spans="1:28" s="278" customFormat="1" x14ac:dyDescent="0.25">
      <c r="A865" s="200">
        <v>717708</v>
      </c>
      <c r="B865" s="313" t="s">
        <v>19568</v>
      </c>
      <c r="C865" s="248"/>
      <c r="D865" s="247" t="s">
        <v>2</v>
      </c>
      <c r="E865" s="249">
        <f t="shared" si="412"/>
        <v>18.333320000000001</v>
      </c>
      <c r="F865" s="170">
        <f t="shared" si="412"/>
        <v>18.711903058000004</v>
      </c>
      <c r="G865" s="250">
        <v>0.4</v>
      </c>
      <c r="H865" s="171">
        <f t="shared" si="400"/>
        <v>0.4</v>
      </c>
      <c r="I865" s="249">
        <f t="shared" si="413"/>
        <v>18.333320000000001</v>
      </c>
      <c r="J865" s="170">
        <f t="shared" si="413"/>
        <v>18.711903058000004</v>
      </c>
      <c r="K865" s="250">
        <v>0.4</v>
      </c>
      <c r="L865" s="172">
        <f t="shared" si="408"/>
        <v>0.4</v>
      </c>
      <c r="M865" s="249">
        <f t="shared" si="409"/>
        <v>6.8749950000000002</v>
      </c>
      <c r="N865" s="170">
        <f t="shared" si="403"/>
        <v>7.0169636467500016</v>
      </c>
      <c r="O865" s="250">
        <v>0.15</v>
      </c>
      <c r="P865" s="172">
        <f t="shared" si="404"/>
        <v>0.15</v>
      </c>
      <c r="Q865" s="251">
        <f t="shared" si="405"/>
        <v>2.2916650000000001</v>
      </c>
      <c r="R865" s="173">
        <f t="shared" si="406"/>
        <v>2.3389878822500005</v>
      </c>
      <c r="S865" s="250">
        <v>0.05</v>
      </c>
      <c r="T865" s="171">
        <f t="shared" si="407"/>
        <v>0.05</v>
      </c>
      <c r="U865" s="256">
        <v>45.833300000000001</v>
      </c>
      <c r="V865" s="170">
        <f t="shared" si="411"/>
        <v>46.779757645000011</v>
      </c>
      <c r="W865" s="258">
        <v>0.2</v>
      </c>
      <c r="X865" s="257">
        <f t="shared" si="399"/>
        <v>54.999960000000002</v>
      </c>
      <c r="Y865" s="170">
        <f t="shared" si="398"/>
        <v>56.135709174000013</v>
      </c>
      <c r="Z865" s="170">
        <f t="shared" si="410"/>
        <v>57</v>
      </c>
      <c r="AA865" s="407">
        <f t="shared" si="397"/>
        <v>0</v>
      </c>
      <c r="AB865" s="194"/>
    </row>
    <row r="866" spans="1:28" s="278" customFormat="1" x14ac:dyDescent="0.25">
      <c r="A866" s="200">
        <v>717710</v>
      </c>
      <c r="B866" s="313" t="s">
        <v>19569</v>
      </c>
      <c r="C866" s="248"/>
      <c r="D866" s="247" t="s">
        <v>2</v>
      </c>
      <c r="E866" s="249">
        <f t="shared" si="412"/>
        <v>23.333200000000001</v>
      </c>
      <c r="F866" s="170">
        <f t="shared" si="412"/>
        <v>23.815030580000002</v>
      </c>
      <c r="G866" s="250">
        <v>0.4</v>
      </c>
      <c r="H866" s="171">
        <f t="shared" si="400"/>
        <v>0.4</v>
      </c>
      <c r="I866" s="249">
        <f t="shared" si="413"/>
        <v>23.333200000000001</v>
      </c>
      <c r="J866" s="170">
        <f t="shared" si="413"/>
        <v>23.815030580000002</v>
      </c>
      <c r="K866" s="250">
        <v>0.4</v>
      </c>
      <c r="L866" s="172">
        <f t="shared" si="408"/>
        <v>0.4</v>
      </c>
      <c r="M866" s="249">
        <f t="shared" si="409"/>
        <v>8.7499500000000001</v>
      </c>
      <c r="N866" s="170">
        <f t="shared" si="403"/>
        <v>8.9306364674999994</v>
      </c>
      <c r="O866" s="250">
        <v>0.15</v>
      </c>
      <c r="P866" s="172">
        <f t="shared" si="404"/>
        <v>0.15</v>
      </c>
      <c r="Q866" s="251">
        <f t="shared" si="405"/>
        <v>2.9166500000000002</v>
      </c>
      <c r="R866" s="173">
        <f t="shared" si="406"/>
        <v>2.9768788225000002</v>
      </c>
      <c r="S866" s="250">
        <v>0.05</v>
      </c>
      <c r="T866" s="171">
        <f t="shared" si="407"/>
        <v>0.05</v>
      </c>
      <c r="U866" s="256">
        <v>58.332999999999998</v>
      </c>
      <c r="V866" s="170">
        <f t="shared" si="411"/>
        <v>59.537576450000003</v>
      </c>
      <c r="W866" s="258">
        <v>0.2</v>
      </c>
      <c r="X866" s="257">
        <f t="shared" si="399"/>
        <v>69.999600000000001</v>
      </c>
      <c r="Y866" s="170">
        <f t="shared" si="398"/>
        <v>71.445091739999995</v>
      </c>
      <c r="Z866" s="170">
        <f t="shared" si="410"/>
        <v>72</v>
      </c>
      <c r="AA866" s="407">
        <f t="shared" si="397"/>
        <v>0</v>
      </c>
      <c r="AB866" s="194"/>
    </row>
    <row r="867" spans="1:28" s="278" customFormat="1" x14ac:dyDescent="0.25">
      <c r="A867" s="200">
        <v>717710</v>
      </c>
      <c r="B867" s="313" t="s">
        <v>19570</v>
      </c>
      <c r="C867" s="248"/>
      <c r="D867" s="247" t="s">
        <v>2</v>
      </c>
      <c r="E867" s="249">
        <f t="shared" si="412"/>
        <v>20</v>
      </c>
      <c r="F867" s="170">
        <f t="shared" si="412"/>
        <v>20.413000000000007</v>
      </c>
      <c r="G867" s="250">
        <v>0.4</v>
      </c>
      <c r="H867" s="171">
        <f t="shared" si="400"/>
        <v>0.4</v>
      </c>
      <c r="I867" s="249">
        <f t="shared" si="413"/>
        <v>20</v>
      </c>
      <c r="J867" s="170">
        <f t="shared" si="413"/>
        <v>20.413000000000007</v>
      </c>
      <c r="K867" s="250">
        <v>0.4</v>
      </c>
      <c r="L867" s="172">
        <f t="shared" si="408"/>
        <v>0.4</v>
      </c>
      <c r="M867" s="249">
        <f t="shared" si="409"/>
        <v>7.5</v>
      </c>
      <c r="N867" s="170">
        <f t="shared" si="403"/>
        <v>7.6548750000000014</v>
      </c>
      <c r="O867" s="250">
        <v>0.15</v>
      </c>
      <c r="P867" s="172">
        <f t="shared" si="404"/>
        <v>0.15</v>
      </c>
      <c r="Q867" s="251">
        <f t="shared" si="405"/>
        <v>2.5</v>
      </c>
      <c r="R867" s="173">
        <f t="shared" si="406"/>
        <v>2.5516250000000009</v>
      </c>
      <c r="S867" s="250">
        <v>0.05</v>
      </c>
      <c r="T867" s="171">
        <f t="shared" si="407"/>
        <v>0.05</v>
      </c>
      <c r="U867" s="256">
        <v>50</v>
      </c>
      <c r="V867" s="170">
        <f t="shared" si="411"/>
        <v>51.032500000000013</v>
      </c>
      <c r="W867" s="258">
        <v>0.2</v>
      </c>
      <c r="X867" s="257">
        <f t="shared" si="399"/>
        <v>60</v>
      </c>
      <c r="Y867" s="170">
        <f t="shared" si="398"/>
        <v>61.239000000000011</v>
      </c>
      <c r="Z867" s="170">
        <f t="shared" si="410"/>
        <v>62</v>
      </c>
      <c r="AA867" s="407">
        <f t="shared" si="397"/>
        <v>0</v>
      </c>
      <c r="AB867" s="194"/>
    </row>
    <row r="868" spans="1:28" s="278" customFormat="1" x14ac:dyDescent="0.25">
      <c r="A868" s="200">
        <v>717712</v>
      </c>
      <c r="B868" s="313" t="s">
        <v>19571</v>
      </c>
      <c r="C868" s="248"/>
      <c r="D868" s="247" t="s">
        <v>2</v>
      </c>
      <c r="E868" s="249">
        <f t="shared" si="412"/>
        <v>28.333320000000001</v>
      </c>
      <c r="F868" s="170">
        <f t="shared" si="412"/>
        <v>28.908486396000001</v>
      </c>
      <c r="G868" s="250">
        <v>0.4</v>
      </c>
      <c r="H868" s="171">
        <f t="shared" si="400"/>
        <v>0.4</v>
      </c>
      <c r="I868" s="249">
        <f t="shared" si="413"/>
        <v>31.874984999999999</v>
      </c>
      <c r="J868" s="170">
        <f t="shared" si="413"/>
        <v>32.522047195500001</v>
      </c>
      <c r="K868" s="250">
        <v>0.45</v>
      </c>
      <c r="L868" s="172">
        <f t="shared" si="408"/>
        <v>0.45</v>
      </c>
      <c r="M868" s="249">
        <f t="shared" si="409"/>
        <v>7.0833300000000001</v>
      </c>
      <c r="N868" s="170">
        <f t="shared" si="403"/>
        <v>7.2271215990000002</v>
      </c>
      <c r="O868" s="250">
        <v>0.1</v>
      </c>
      <c r="P868" s="172">
        <f t="shared" si="404"/>
        <v>0.1</v>
      </c>
      <c r="Q868" s="251">
        <f t="shared" si="405"/>
        <v>3.5416650000000001</v>
      </c>
      <c r="R868" s="173">
        <f t="shared" si="406"/>
        <v>3.6135607995000001</v>
      </c>
      <c r="S868" s="250">
        <v>0.05</v>
      </c>
      <c r="T868" s="171">
        <f t="shared" si="407"/>
        <v>0.05</v>
      </c>
      <c r="U868" s="256">
        <v>70.833299999999994</v>
      </c>
      <c r="V868" s="170">
        <f t="shared" si="411"/>
        <v>72.271215990000002</v>
      </c>
      <c r="W868" s="258">
        <v>0.2</v>
      </c>
      <c r="X868" s="257">
        <f t="shared" si="399"/>
        <v>84.999959999999987</v>
      </c>
      <c r="Y868" s="170">
        <f t="shared" si="398"/>
        <v>86.725459188000002</v>
      </c>
      <c r="Z868" s="170">
        <f t="shared" si="410"/>
        <v>87</v>
      </c>
      <c r="AA868" s="407">
        <f t="shared" si="397"/>
        <v>0</v>
      </c>
      <c r="AB868" s="194"/>
    </row>
    <row r="869" spans="1:28" s="278" customFormat="1" x14ac:dyDescent="0.25">
      <c r="A869" s="200">
        <v>717712</v>
      </c>
      <c r="B869" s="313" t="s">
        <v>19572</v>
      </c>
      <c r="C869" s="248"/>
      <c r="D869" s="247" t="s">
        <v>2</v>
      </c>
      <c r="E869" s="249">
        <f t="shared" si="412"/>
        <v>23.333320000000001</v>
      </c>
      <c r="F869" s="170">
        <f t="shared" si="412"/>
        <v>23.806986396000006</v>
      </c>
      <c r="G869" s="250">
        <v>0.4</v>
      </c>
      <c r="H869" s="171">
        <f t="shared" si="400"/>
        <v>0.4</v>
      </c>
      <c r="I869" s="249">
        <f t="shared" si="413"/>
        <v>26.249985000000002</v>
      </c>
      <c r="J869" s="170">
        <f t="shared" si="413"/>
        <v>26.782859695500004</v>
      </c>
      <c r="K869" s="250">
        <v>0.45</v>
      </c>
      <c r="L869" s="172">
        <f t="shared" si="408"/>
        <v>0.45</v>
      </c>
      <c r="M869" s="249">
        <f t="shared" si="409"/>
        <v>5.8333300000000001</v>
      </c>
      <c r="N869" s="170">
        <f t="shared" si="403"/>
        <v>5.9517465990000016</v>
      </c>
      <c r="O869" s="250">
        <v>0.1</v>
      </c>
      <c r="P869" s="172">
        <f t="shared" si="404"/>
        <v>0.1</v>
      </c>
      <c r="Q869" s="251">
        <f t="shared" si="405"/>
        <v>2.9166650000000001</v>
      </c>
      <c r="R869" s="173">
        <f t="shared" si="406"/>
        <v>2.9758732995000008</v>
      </c>
      <c r="S869" s="250">
        <v>0.05</v>
      </c>
      <c r="T869" s="171">
        <f t="shared" si="407"/>
        <v>0.05</v>
      </c>
      <c r="U869" s="256">
        <v>58.333300000000001</v>
      </c>
      <c r="V869" s="170">
        <f t="shared" si="411"/>
        <v>59.517465990000012</v>
      </c>
      <c r="W869" s="258">
        <v>0.2</v>
      </c>
      <c r="X869" s="257">
        <f t="shared" si="399"/>
        <v>69.999960000000002</v>
      </c>
      <c r="Y869" s="170">
        <f t="shared" si="398"/>
        <v>71.420959188000012</v>
      </c>
      <c r="Z869" s="170">
        <f t="shared" si="410"/>
        <v>72</v>
      </c>
      <c r="AA869" s="407">
        <f t="shared" ref="AA869:AA932" si="414">C869*Z869</f>
        <v>0</v>
      </c>
      <c r="AB869" s="194"/>
    </row>
    <row r="870" spans="1:28" s="278" customFormat="1" x14ac:dyDescent="0.25">
      <c r="A870" s="200">
        <v>717715</v>
      </c>
      <c r="B870" s="313" t="s">
        <v>19573</v>
      </c>
      <c r="C870" s="248"/>
      <c r="D870" s="247" t="s">
        <v>2</v>
      </c>
      <c r="E870" s="249">
        <f t="shared" si="412"/>
        <v>31.666668000000001</v>
      </c>
      <c r="F870" s="170">
        <f t="shared" si="412"/>
        <v>32.309501360399999</v>
      </c>
      <c r="G870" s="250">
        <v>0.4</v>
      </c>
      <c r="H870" s="171">
        <f t="shared" si="400"/>
        <v>0.4</v>
      </c>
      <c r="I870" s="249">
        <f t="shared" si="413"/>
        <v>35.625001499999996</v>
      </c>
      <c r="J870" s="170">
        <f t="shared" si="413"/>
        <v>36.348189030450001</v>
      </c>
      <c r="K870" s="250">
        <v>0.45</v>
      </c>
      <c r="L870" s="172">
        <f t="shared" si="408"/>
        <v>0.45</v>
      </c>
      <c r="M870" s="249">
        <f t="shared" si="409"/>
        <v>7.9166670000000003</v>
      </c>
      <c r="N870" s="170">
        <f t="shared" si="403"/>
        <v>8.0773753400999997</v>
      </c>
      <c r="O870" s="250">
        <v>0.1</v>
      </c>
      <c r="P870" s="172">
        <f t="shared" si="404"/>
        <v>0.1</v>
      </c>
      <c r="Q870" s="251">
        <f t="shared" si="405"/>
        <v>3.9583335000000002</v>
      </c>
      <c r="R870" s="173">
        <f t="shared" si="406"/>
        <v>4.0386876700499998</v>
      </c>
      <c r="S870" s="250">
        <v>0.05</v>
      </c>
      <c r="T870" s="171">
        <f t="shared" si="407"/>
        <v>0.05</v>
      </c>
      <c r="U870" s="256">
        <v>79.166669999999996</v>
      </c>
      <c r="V870" s="170">
        <f t="shared" si="411"/>
        <v>80.773753400999993</v>
      </c>
      <c r="W870" s="258">
        <v>0.2</v>
      </c>
      <c r="X870" s="257">
        <f t="shared" si="399"/>
        <v>95.00000399999999</v>
      </c>
      <c r="Y870" s="170">
        <f t="shared" si="398"/>
        <v>96.928504081199989</v>
      </c>
      <c r="Z870" s="170">
        <f t="shared" si="410"/>
        <v>97</v>
      </c>
      <c r="AA870" s="407">
        <f t="shared" si="414"/>
        <v>0</v>
      </c>
      <c r="AB870" s="194"/>
    </row>
    <row r="871" spans="1:28" s="278" customFormat="1" x14ac:dyDescent="0.25">
      <c r="A871" s="200">
        <v>717715</v>
      </c>
      <c r="B871" s="313" t="s">
        <v>19574</v>
      </c>
      <c r="C871" s="248"/>
      <c r="D871" s="247" t="s">
        <v>2</v>
      </c>
      <c r="E871" s="249">
        <f t="shared" si="412"/>
        <v>26.666680000000003</v>
      </c>
      <c r="F871" s="170">
        <f t="shared" si="412"/>
        <v>27.208013604000008</v>
      </c>
      <c r="G871" s="250">
        <v>0.4</v>
      </c>
      <c r="H871" s="171">
        <f t="shared" si="400"/>
        <v>0.4</v>
      </c>
      <c r="I871" s="249">
        <f t="shared" si="413"/>
        <v>30.000015000000005</v>
      </c>
      <c r="J871" s="170">
        <f t="shared" si="413"/>
        <v>30.609015304500009</v>
      </c>
      <c r="K871" s="250">
        <v>0.45</v>
      </c>
      <c r="L871" s="172">
        <f t="shared" si="408"/>
        <v>0.45</v>
      </c>
      <c r="M871" s="249">
        <f t="shared" si="409"/>
        <v>6.6666700000000008</v>
      </c>
      <c r="N871" s="170">
        <f t="shared" si="403"/>
        <v>6.8020034010000021</v>
      </c>
      <c r="O871" s="250">
        <v>0.1</v>
      </c>
      <c r="P871" s="172">
        <f t="shared" si="404"/>
        <v>0.1</v>
      </c>
      <c r="Q871" s="251">
        <f t="shared" si="405"/>
        <v>3.3333350000000004</v>
      </c>
      <c r="R871" s="173">
        <f t="shared" si="406"/>
        <v>3.4010017005000011</v>
      </c>
      <c r="S871" s="250">
        <v>0.05</v>
      </c>
      <c r="T871" s="171">
        <f t="shared" si="407"/>
        <v>0.05</v>
      </c>
      <c r="U871" s="256">
        <v>66.666700000000006</v>
      </c>
      <c r="V871" s="170">
        <f t="shared" si="411"/>
        <v>68.020034010000018</v>
      </c>
      <c r="W871" s="258">
        <v>0.2</v>
      </c>
      <c r="X871" s="257">
        <f t="shared" si="399"/>
        <v>80.000040000000013</v>
      </c>
      <c r="Y871" s="170">
        <f t="shared" si="398"/>
        <v>81.624040812000018</v>
      </c>
      <c r="Z871" s="170">
        <f t="shared" si="410"/>
        <v>82</v>
      </c>
      <c r="AA871" s="407">
        <f t="shared" si="414"/>
        <v>0</v>
      </c>
      <c r="AB871" s="194"/>
    </row>
    <row r="872" spans="1:28" s="278" customFormat="1" x14ac:dyDescent="0.25">
      <c r="A872" s="200">
        <v>717718</v>
      </c>
      <c r="B872" s="313" t="s">
        <v>19575</v>
      </c>
      <c r="C872" s="248"/>
      <c r="D872" s="247" t="s">
        <v>2</v>
      </c>
      <c r="E872" s="249">
        <f t="shared" si="412"/>
        <v>43.333320000000001</v>
      </c>
      <c r="F872" s="170">
        <f t="shared" si="412"/>
        <v>44.212986395999998</v>
      </c>
      <c r="G872" s="250">
        <v>0.4</v>
      </c>
      <c r="H872" s="171">
        <f t="shared" si="400"/>
        <v>0.4</v>
      </c>
      <c r="I872" s="249">
        <f t="shared" si="413"/>
        <v>48.749984999999995</v>
      </c>
      <c r="J872" s="170">
        <f t="shared" si="413"/>
        <v>49.7396096955</v>
      </c>
      <c r="K872" s="250">
        <v>0.45</v>
      </c>
      <c r="L872" s="172">
        <f t="shared" si="408"/>
        <v>0.45</v>
      </c>
      <c r="M872" s="249">
        <f t="shared" si="409"/>
        <v>10.83333</v>
      </c>
      <c r="N872" s="170">
        <f t="shared" si="403"/>
        <v>11.053246599</v>
      </c>
      <c r="O872" s="250">
        <v>0.1</v>
      </c>
      <c r="P872" s="172">
        <f t="shared" si="404"/>
        <v>0.1</v>
      </c>
      <c r="Q872" s="251">
        <f t="shared" si="405"/>
        <v>5.4166650000000001</v>
      </c>
      <c r="R872" s="173">
        <f t="shared" si="406"/>
        <v>5.5266232994999998</v>
      </c>
      <c r="S872" s="250">
        <v>0.05</v>
      </c>
      <c r="T872" s="171">
        <f t="shared" si="407"/>
        <v>0.05</v>
      </c>
      <c r="U872" s="256">
        <v>108.33329999999999</v>
      </c>
      <c r="V872" s="170">
        <f t="shared" si="411"/>
        <v>110.53246598999999</v>
      </c>
      <c r="W872" s="258">
        <v>0.2</v>
      </c>
      <c r="X872" s="257">
        <f t="shared" si="399"/>
        <v>129.99995999999999</v>
      </c>
      <c r="Y872" s="170">
        <f t="shared" si="398"/>
        <v>132.63895918799997</v>
      </c>
      <c r="Z872" s="170">
        <f t="shared" si="410"/>
        <v>135</v>
      </c>
      <c r="AA872" s="407">
        <f t="shared" si="414"/>
        <v>0</v>
      </c>
      <c r="AB872" s="194"/>
    </row>
    <row r="873" spans="1:28" s="278" customFormat="1" x14ac:dyDescent="0.25">
      <c r="A873" s="200">
        <v>717718</v>
      </c>
      <c r="B873" s="313" t="s">
        <v>19576</v>
      </c>
      <c r="C873" s="248"/>
      <c r="D873" s="247" t="s">
        <v>2</v>
      </c>
      <c r="E873" s="249">
        <f t="shared" si="412"/>
        <v>33.333199999999998</v>
      </c>
      <c r="F873" s="170">
        <f t="shared" si="412"/>
        <v>34.009863960000004</v>
      </c>
      <c r="G873" s="250">
        <v>0.4</v>
      </c>
      <c r="H873" s="171">
        <f t="shared" si="400"/>
        <v>0.4</v>
      </c>
      <c r="I873" s="249">
        <f t="shared" si="413"/>
        <v>37.499850000000002</v>
      </c>
      <c r="J873" s="170">
        <f t="shared" si="413"/>
        <v>38.261096954999999</v>
      </c>
      <c r="K873" s="250">
        <v>0.45</v>
      </c>
      <c r="L873" s="172">
        <f t="shared" si="408"/>
        <v>0.45</v>
      </c>
      <c r="M873" s="249">
        <f t="shared" si="409"/>
        <v>8.3332999999999995</v>
      </c>
      <c r="N873" s="170">
        <f t="shared" si="403"/>
        <v>8.502465990000001</v>
      </c>
      <c r="O873" s="250">
        <v>0.1</v>
      </c>
      <c r="P873" s="172">
        <f t="shared" si="404"/>
        <v>0.1</v>
      </c>
      <c r="Q873" s="251">
        <f t="shared" si="405"/>
        <v>4.1666499999999997</v>
      </c>
      <c r="R873" s="173">
        <f t="shared" si="406"/>
        <v>4.2512329950000005</v>
      </c>
      <c r="S873" s="250">
        <v>0.05</v>
      </c>
      <c r="T873" s="171">
        <f t="shared" si="407"/>
        <v>0.05</v>
      </c>
      <c r="U873" s="256">
        <v>83.332999999999998</v>
      </c>
      <c r="V873" s="170">
        <f t="shared" si="411"/>
        <v>85.024659900000003</v>
      </c>
      <c r="W873" s="258">
        <v>0.2</v>
      </c>
      <c r="X873" s="257">
        <f t="shared" si="399"/>
        <v>99.999600000000001</v>
      </c>
      <c r="Y873" s="170">
        <f t="shared" si="398"/>
        <v>102.02959188</v>
      </c>
      <c r="Z873" s="170">
        <f t="shared" si="410"/>
        <v>105</v>
      </c>
      <c r="AA873" s="407">
        <f t="shared" si="414"/>
        <v>0</v>
      </c>
      <c r="AB873" s="194"/>
    </row>
    <row r="874" spans="1:28" s="278" customFormat="1" x14ac:dyDescent="0.25">
      <c r="A874" s="200">
        <v>717721</v>
      </c>
      <c r="B874" s="313" t="s">
        <v>19577</v>
      </c>
      <c r="C874" s="248"/>
      <c r="D874" s="247" t="s">
        <v>2</v>
      </c>
      <c r="E874" s="249">
        <f t="shared" si="412"/>
        <v>55</v>
      </c>
      <c r="F874" s="170">
        <f t="shared" si="412"/>
        <v>56.116500000000002</v>
      </c>
      <c r="G874" s="250">
        <v>0.4</v>
      </c>
      <c r="H874" s="171">
        <f t="shared" si="400"/>
        <v>0.4</v>
      </c>
      <c r="I874" s="249">
        <f t="shared" si="413"/>
        <v>61.875</v>
      </c>
      <c r="J874" s="170">
        <f t="shared" si="413"/>
        <v>63.131062499999999</v>
      </c>
      <c r="K874" s="250">
        <v>0.45</v>
      </c>
      <c r="L874" s="172">
        <f t="shared" si="408"/>
        <v>0.45</v>
      </c>
      <c r="M874" s="249">
        <f t="shared" si="409"/>
        <v>13.75</v>
      </c>
      <c r="N874" s="170">
        <f t="shared" si="403"/>
        <v>14.029125000000001</v>
      </c>
      <c r="O874" s="250">
        <v>0.1</v>
      </c>
      <c r="P874" s="172">
        <f t="shared" si="404"/>
        <v>0.1</v>
      </c>
      <c r="Q874" s="251">
        <f t="shared" si="405"/>
        <v>6.875</v>
      </c>
      <c r="R874" s="173">
        <f t="shared" si="406"/>
        <v>7.0145625000000003</v>
      </c>
      <c r="S874" s="250">
        <v>0.05</v>
      </c>
      <c r="T874" s="171">
        <f t="shared" si="407"/>
        <v>0.05</v>
      </c>
      <c r="U874" s="256">
        <v>137.5</v>
      </c>
      <c r="V874" s="170">
        <f t="shared" si="411"/>
        <v>140.29124999999999</v>
      </c>
      <c r="W874" s="258">
        <v>0.2</v>
      </c>
      <c r="X874" s="257">
        <f t="shared" si="399"/>
        <v>165</v>
      </c>
      <c r="Y874" s="170">
        <f t="shared" si="398"/>
        <v>168.34949999999998</v>
      </c>
      <c r="Z874" s="170">
        <f t="shared" si="410"/>
        <v>170</v>
      </c>
      <c r="AA874" s="407">
        <f t="shared" si="414"/>
        <v>0</v>
      </c>
      <c r="AB874" s="194"/>
    </row>
    <row r="875" spans="1:28" s="278" customFormat="1" x14ac:dyDescent="0.25">
      <c r="A875" s="200">
        <v>717721</v>
      </c>
      <c r="B875" s="313" t="s">
        <v>19578</v>
      </c>
      <c r="C875" s="248"/>
      <c r="D875" s="247" t="s">
        <v>2</v>
      </c>
      <c r="E875" s="249">
        <f t="shared" si="412"/>
        <v>41.666680000000007</v>
      </c>
      <c r="F875" s="170">
        <f t="shared" si="412"/>
        <v>42.512513604000013</v>
      </c>
      <c r="G875" s="250">
        <v>0.4</v>
      </c>
      <c r="H875" s="171">
        <f t="shared" si="400"/>
        <v>0.4</v>
      </c>
      <c r="I875" s="249">
        <f t="shared" si="413"/>
        <v>46.875015000000005</v>
      </c>
      <c r="J875" s="170">
        <f t="shared" si="413"/>
        <v>47.826577804500012</v>
      </c>
      <c r="K875" s="250">
        <v>0.45</v>
      </c>
      <c r="L875" s="172">
        <f t="shared" si="408"/>
        <v>0.45</v>
      </c>
      <c r="M875" s="249">
        <f t="shared" si="409"/>
        <v>10.416670000000002</v>
      </c>
      <c r="N875" s="170">
        <f t="shared" si="403"/>
        <v>10.628128401000003</v>
      </c>
      <c r="O875" s="250">
        <v>0.1</v>
      </c>
      <c r="P875" s="172">
        <f t="shared" si="404"/>
        <v>0.1</v>
      </c>
      <c r="Q875" s="251">
        <f t="shared" si="405"/>
        <v>5.2083350000000008</v>
      </c>
      <c r="R875" s="173">
        <f t="shared" si="406"/>
        <v>5.3140642005000016</v>
      </c>
      <c r="S875" s="250">
        <v>0.05</v>
      </c>
      <c r="T875" s="171">
        <f t="shared" si="407"/>
        <v>0.05</v>
      </c>
      <c r="U875" s="256">
        <v>104.16670000000001</v>
      </c>
      <c r="V875" s="170">
        <f t="shared" si="411"/>
        <v>106.28128401000002</v>
      </c>
      <c r="W875" s="258">
        <v>0.2</v>
      </c>
      <c r="X875" s="257">
        <f t="shared" si="399"/>
        <v>125.00004000000001</v>
      </c>
      <c r="Y875" s="170">
        <f t="shared" ref="Y875:Y936" si="415">IF(V875*(W875+1)=0,X875,V875*(W875+1))</f>
        <v>127.53754081200002</v>
      </c>
      <c r="Z875" s="170">
        <f t="shared" si="410"/>
        <v>130</v>
      </c>
      <c r="AA875" s="407">
        <f t="shared" si="414"/>
        <v>0</v>
      </c>
      <c r="AB875" s="194"/>
    </row>
    <row r="876" spans="1:28" s="278" customFormat="1" x14ac:dyDescent="0.25">
      <c r="A876" s="200">
        <v>717724</v>
      </c>
      <c r="B876" s="313" t="s">
        <v>19579</v>
      </c>
      <c r="C876" s="248"/>
      <c r="D876" s="247" t="s">
        <v>2</v>
      </c>
      <c r="E876" s="249">
        <f t="shared" si="412"/>
        <v>63.333320000000008</v>
      </c>
      <c r="F876" s="170">
        <f t="shared" si="412"/>
        <v>64.618986396000011</v>
      </c>
      <c r="G876" s="250">
        <v>0.4</v>
      </c>
      <c r="H876" s="171">
        <f t="shared" si="400"/>
        <v>0.4</v>
      </c>
      <c r="I876" s="249">
        <f t="shared" si="413"/>
        <v>71.249985000000009</v>
      </c>
      <c r="J876" s="170">
        <f t="shared" si="413"/>
        <v>72.696359695500021</v>
      </c>
      <c r="K876" s="250">
        <v>0.45</v>
      </c>
      <c r="L876" s="172">
        <f t="shared" si="408"/>
        <v>0.45</v>
      </c>
      <c r="M876" s="249">
        <f t="shared" si="409"/>
        <v>15.833330000000002</v>
      </c>
      <c r="N876" s="170">
        <f t="shared" si="403"/>
        <v>16.154746599000003</v>
      </c>
      <c r="O876" s="250">
        <v>0.1</v>
      </c>
      <c r="P876" s="172">
        <f t="shared" si="404"/>
        <v>0.1</v>
      </c>
      <c r="Q876" s="251">
        <f t="shared" si="405"/>
        <v>7.916665000000001</v>
      </c>
      <c r="R876" s="173">
        <f t="shared" si="406"/>
        <v>8.0773732995000014</v>
      </c>
      <c r="S876" s="250">
        <v>0.05</v>
      </c>
      <c r="T876" s="171">
        <f t="shared" si="407"/>
        <v>0.05</v>
      </c>
      <c r="U876" s="256">
        <v>158.33330000000001</v>
      </c>
      <c r="V876" s="170">
        <f t="shared" si="411"/>
        <v>161.54746599000003</v>
      </c>
      <c r="W876" s="258">
        <v>0.2</v>
      </c>
      <c r="X876" s="257">
        <f t="shared" si="399"/>
        <v>189.99996000000002</v>
      </c>
      <c r="Y876" s="170">
        <f t="shared" si="415"/>
        <v>193.85695918800005</v>
      </c>
      <c r="Z876" s="170">
        <f t="shared" si="410"/>
        <v>195</v>
      </c>
      <c r="AA876" s="407">
        <f t="shared" si="414"/>
        <v>0</v>
      </c>
      <c r="AB876" s="194"/>
    </row>
    <row r="877" spans="1:28" s="278" customFormat="1" ht="14.4" thickBot="1" x14ac:dyDescent="0.3">
      <c r="A877" s="263">
        <v>717724</v>
      </c>
      <c r="B877" s="321" t="s">
        <v>19580</v>
      </c>
      <c r="C877" s="265"/>
      <c r="D877" s="264" t="s">
        <v>2</v>
      </c>
      <c r="E877" s="266">
        <f t="shared" si="412"/>
        <v>45</v>
      </c>
      <c r="F877" s="174">
        <f t="shared" si="412"/>
        <v>45.913500000000013</v>
      </c>
      <c r="G877" s="267">
        <v>0.4</v>
      </c>
      <c r="H877" s="268">
        <f t="shared" si="400"/>
        <v>0.4</v>
      </c>
      <c r="I877" s="266">
        <f t="shared" si="413"/>
        <v>50.625</v>
      </c>
      <c r="J877" s="174">
        <f t="shared" si="413"/>
        <v>51.652687500000013</v>
      </c>
      <c r="K877" s="267">
        <v>0.45</v>
      </c>
      <c r="L877" s="269">
        <f t="shared" si="408"/>
        <v>0.45</v>
      </c>
      <c r="M877" s="266">
        <f t="shared" si="409"/>
        <v>11.25</v>
      </c>
      <c r="N877" s="174">
        <f t="shared" si="403"/>
        <v>11.478375000000003</v>
      </c>
      <c r="O877" s="267">
        <v>0.1</v>
      </c>
      <c r="P877" s="269">
        <f t="shared" si="404"/>
        <v>0.1</v>
      </c>
      <c r="Q877" s="270">
        <f t="shared" si="405"/>
        <v>5.625</v>
      </c>
      <c r="R877" s="271">
        <f t="shared" si="406"/>
        <v>5.7391875000000017</v>
      </c>
      <c r="S877" s="267">
        <v>0.05</v>
      </c>
      <c r="T877" s="268">
        <f t="shared" si="407"/>
        <v>0.05</v>
      </c>
      <c r="U877" s="409">
        <v>112.5</v>
      </c>
      <c r="V877" s="174">
        <f t="shared" si="411"/>
        <v>114.78375000000003</v>
      </c>
      <c r="W877" s="322">
        <v>0.2</v>
      </c>
      <c r="X877" s="274">
        <f t="shared" si="399"/>
        <v>135</v>
      </c>
      <c r="Y877" s="174">
        <f t="shared" si="415"/>
        <v>137.74050000000003</v>
      </c>
      <c r="Z877" s="174">
        <f t="shared" si="410"/>
        <v>140</v>
      </c>
      <c r="AA877" s="410">
        <f t="shared" si="414"/>
        <v>0</v>
      </c>
      <c r="AB877" s="194"/>
    </row>
    <row r="878" spans="1:28" s="278" customFormat="1" x14ac:dyDescent="0.25">
      <c r="A878" s="426">
        <v>717728</v>
      </c>
      <c r="B878" s="427" t="s">
        <v>19581</v>
      </c>
      <c r="C878" s="428"/>
      <c r="D878" s="429" t="s">
        <v>2</v>
      </c>
      <c r="E878" s="423">
        <f t="shared" si="412"/>
        <v>33.75</v>
      </c>
      <c r="F878" s="430">
        <f t="shared" si="412"/>
        <v>34.457062500000006</v>
      </c>
      <c r="G878" s="431">
        <v>0.45</v>
      </c>
      <c r="H878" s="432">
        <f t="shared" si="400"/>
        <v>0.45</v>
      </c>
      <c r="I878" s="423">
        <f t="shared" si="413"/>
        <v>26.25</v>
      </c>
      <c r="J878" s="430">
        <f t="shared" si="413"/>
        <v>26.799937500000002</v>
      </c>
      <c r="K878" s="431">
        <v>0.35</v>
      </c>
      <c r="L878" s="433">
        <f t="shared" si="408"/>
        <v>0.35</v>
      </c>
      <c r="M878" s="423">
        <f t="shared" si="409"/>
        <v>11.25</v>
      </c>
      <c r="N878" s="430">
        <f t="shared" si="403"/>
        <v>11.485687500000001</v>
      </c>
      <c r="O878" s="431">
        <v>0.15</v>
      </c>
      <c r="P878" s="433">
        <f t="shared" si="404"/>
        <v>0.15</v>
      </c>
      <c r="Q878" s="425">
        <f t="shared" si="405"/>
        <v>3.75</v>
      </c>
      <c r="R878" s="434">
        <f t="shared" si="406"/>
        <v>3.8285625000000003</v>
      </c>
      <c r="S878" s="431">
        <v>0.05</v>
      </c>
      <c r="T878" s="432">
        <f t="shared" si="407"/>
        <v>0.05</v>
      </c>
      <c r="U878" s="435">
        <v>75</v>
      </c>
      <c r="V878" s="430">
        <f t="shared" si="411"/>
        <v>76.571250000000006</v>
      </c>
      <c r="W878" s="424">
        <v>0.2</v>
      </c>
      <c r="X878" s="436">
        <f t="shared" si="399"/>
        <v>90</v>
      </c>
      <c r="Y878" s="430">
        <f t="shared" si="415"/>
        <v>91.885500000000008</v>
      </c>
      <c r="Z878" s="430">
        <f t="shared" si="410"/>
        <v>92</v>
      </c>
      <c r="AA878" s="437">
        <f t="shared" si="414"/>
        <v>0</v>
      </c>
      <c r="AB878" s="194"/>
    </row>
    <row r="879" spans="1:28" s="278" customFormat="1" x14ac:dyDescent="0.25">
      <c r="A879" s="200">
        <v>717728</v>
      </c>
      <c r="B879" s="313" t="s">
        <v>19582</v>
      </c>
      <c r="C879" s="248"/>
      <c r="D879" s="247" t="s">
        <v>2</v>
      </c>
      <c r="E879" s="249">
        <f t="shared" si="412"/>
        <v>30.000015000000005</v>
      </c>
      <c r="F879" s="170">
        <f t="shared" si="412"/>
        <v>30.628515314250002</v>
      </c>
      <c r="G879" s="250">
        <v>0.45</v>
      </c>
      <c r="H879" s="171">
        <f t="shared" si="400"/>
        <v>0.45</v>
      </c>
      <c r="I879" s="249">
        <f t="shared" si="413"/>
        <v>23.333345000000001</v>
      </c>
      <c r="J879" s="170">
        <f t="shared" si="413"/>
        <v>23.822178577750002</v>
      </c>
      <c r="K879" s="250">
        <v>0.35</v>
      </c>
      <c r="L879" s="172">
        <f t="shared" si="408"/>
        <v>0.35</v>
      </c>
      <c r="M879" s="249">
        <f t="shared" si="409"/>
        <v>10.000005</v>
      </c>
      <c r="N879" s="170">
        <f t="shared" si="403"/>
        <v>10.209505104750001</v>
      </c>
      <c r="O879" s="250">
        <v>0.15</v>
      </c>
      <c r="P879" s="172">
        <f t="shared" si="404"/>
        <v>0.15</v>
      </c>
      <c r="Q879" s="251">
        <f t="shared" si="405"/>
        <v>3.3333350000000004</v>
      </c>
      <c r="R879" s="173">
        <f t="shared" si="406"/>
        <v>3.4031683682500002</v>
      </c>
      <c r="S879" s="250">
        <v>0.05</v>
      </c>
      <c r="T879" s="171">
        <f t="shared" si="407"/>
        <v>0.05</v>
      </c>
      <c r="U879" s="256">
        <v>66.666700000000006</v>
      </c>
      <c r="V879" s="170">
        <f t="shared" si="411"/>
        <v>68.063367365000005</v>
      </c>
      <c r="W879" s="258">
        <v>0.2</v>
      </c>
      <c r="X879" s="257">
        <f t="shared" si="399"/>
        <v>80.000040000000013</v>
      </c>
      <c r="Y879" s="170">
        <f t="shared" si="415"/>
        <v>81.676040838000006</v>
      </c>
      <c r="Z879" s="170">
        <f t="shared" si="410"/>
        <v>82</v>
      </c>
      <c r="AA879" s="407">
        <f t="shared" si="414"/>
        <v>0</v>
      </c>
      <c r="AB879" s="194"/>
    </row>
    <row r="880" spans="1:28" s="278" customFormat="1" x14ac:dyDescent="0.25">
      <c r="A880" s="200">
        <v>717730</v>
      </c>
      <c r="B880" s="313" t="s">
        <v>19583</v>
      </c>
      <c r="C880" s="248"/>
      <c r="D880" s="247" t="s">
        <v>2</v>
      </c>
      <c r="E880" s="249">
        <f t="shared" si="412"/>
        <v>35.625001499999996</v>
      </c>
      <c r="F880" s="170">
        <f t="shared" si="412"/>
        <v>36.371345281425</v>
      </c>
      <c r="G880" s="250">
        <v>0.45</v>
      </c>
      <c r="H880" s="171">
        <f t="shared" si="400"/>
        <v>0.45</v>
      </c>
      <c r="I880" s="249">
        <f t="shared" si="413"/>
        <v>27.708334499999996</v>
      </c>
      <c r="J880" s="170">
        <f t="shared" si="413"/>
        <v>28.288824107774996</v>
      </c>
      <c r="K880" s="250">
        <v>0.35</v>
      </c>
      <c r="L880" s="172">
        <f t="shared" si="408"/>
        <v>0.35</v>
      </c>
      <c r="M880" s="249">
        <f t="shared" si="409"/>
        <v>11.875000499999999</v>
      </c>
      <c r="N880" s="170">
        <f t="shared" si="403"/>
        <v>12.123781760475</v>
      </c>
      <c r="O880" s="250">
        <v>0.15</v>
      </c>
      <c r="P880" s="172">
        <f t="shared" si="404"/>
        <v>0.15</v>
      </c>
      <c r="Q880" s="251">
        <f t="shared" si="405"/>
        <v>3.9583335000000002</v>
      </c>
      <c r="R880" s="173">
        <f t="shared" si="406"/>
        <v>4.0412605868249996</v>
      </c>
      <c r="S880" s="250">
        <v>0.05</v>
      </c>
      <c r="T880" s="171">
        <f t="shared" si="407"/>
        <v>0.05</v>
      </c>
      <c r="U880" s="256">
        <v>79.166669999999996</v>
      </c>
      <c r="V880" s="170">
        <f t="shared" si="411"/>
        <v>80.825211736499995</v>
      </c>
      <c r="W880" s="258">
        <v>0.2</v>
      </c>
      <c r="X880" s="257">
        <f t="shared" ref="X880:X945" si="416">U880+U880*W880</f>
        <v>95.00000399999999</v>
      </c>
      <c r="Y880" s="170">
        <f t="shared" si="415"/>
        <v>96.990254083799996</v>
      </c>
      <c r="Z880" s="170">
        <f t="shared" si="410"/>
        <v>97</v>
      </c>
      <c r="AA880" s="407">
        <f t="shared" si="414"/>
        <v>0</v>
      </c>
      <c r="AB880" s="194"/>
    </row>
    <row r="881" spans="1:28" s="278" customFormat="1" x14ac:dyDescent="0.25">
      <c r="A881" s="200">
        <v>717730</v>
      </c>
      <c r="B881" s="313" t="s">
        <v>19584</v>
      </c>
      <c r="C881" s="248"/>
      <c r="D881" s="247" t="s">
        <v>2</v>
      </c>
      <c r="E881" s="249">
        <f t="shared" si="412"/>
        <v>31.874984999999999</v>
      </c>
      <c r="F881" s="170">
        <f t="shared" si="412"/>
        <v>32.542765935749998</v>
      </c>
      <c r="G881" s="250">
        <v>0.45</v>
      </c>
      <c r="H881" s="171">
        <f t="shared" si="400"/>
        <v>0.45</v>
      </c>
      <c r="I881" s="249">
        <f t="shared" si="413"/>
        <v>24.791654999999995</v>
      </c>
      <c r="J881" s="170">
        <f t="shared" si="413"/>
        <v>25.311040172249996</v>
      </c>
      <c r="K881" s="250">
        <v>0.35</v>
      </c>
      <c r="L881" s="172">
        <f t="shared" si="408"/>
        <v>0.35</v>
      </c>
      <c r="M881" s="249">
        <f t="shared" si="409"/>
        <v>10.624994999999998</v>
      </c>
      <c r="N881" s="170">
        <f t="shared" si="403"/>
        <v>10.847588645249997</v>
      </c>
      <c r="O881" s="250">
        <v>0.15</v>
      </c>
      <c r="P881" s="172">
        <f t="shared" si="404"/>
        <v>0.15</v>
      </c>
      <c r="Q881" s="251">
        <f t="shared" si="405"/>
        <v>3.5416650000000001</v>
      </c>
      <c r="R881" s="173">
        <f t="shared" si="406"/>
        <v>3.6158628817499996</v>
      </c>
      <c r="S881" s="250">
        <v>0.05</v>
      </c>
      <c r="T881" s="171">
        <f t="shared" si="407"/>
        <v>0.05</v>
      </c>
      <c r="U881" s="256">
        <v>70.833299999999994</v>
      </c>
      <c r="V881" s="170">
        <f t="shared" si="411"/>
        <v>72.31725763499999</v>
      </c>
      <c r="W881" s="258">
        <v>0.2</v>
      </c>
      <c r="X881" s="257">
        <f t="shared" si="416"/>
        <v>84.999959999999987</v>
      </c>
      <c r="Y881" s="170">
        <f t="shared" si="415"/>
        <v>86.78070916199998</v>
      </c>
      <c r="Z881" s="170">
        <f t="shared" si="410"/>
        <v>87</v>
      </c>
      <c r="AA881" s="407">
        <f t="shared" si="414"/>
        <v>0</v>
      </c>
      <c r="AB881" s="194"/>
    </row>
    <row r="882" spans="1:28" s="278" customFormat="1" x14ac:dyDescent="0.25">
      <c r="A882" s="200">
        <v>717732</v>
      </c>
      <c r="B882" s="313" t="s">
        <v>19585</v>
      </c>
      <c r="C882" s="248"/>
      <c r="D882" s="247" t="s">
        <v>2</v>
      </c>
      <c r="E882" s="249">
        <f t="shared" si="412"/>
        <v>37.499850000000002</v>
      </c>
      <c r="F882" s="170">
        <f t="shared" si="412"/>
        <v>38.285471857499999</v>
      </c>
      <c r="G882" s="250">
        <v>0.45</v>
      </c>
      <c r="H882" s="171">
        <f t="shared" si="400"/>
        <v>0.45</v>
      </c>
      <c r="I882" s="249">
        <f t="shared" si="413"/>
        <v>29.166549999999997</v>
      </c>
      <c r="J882" s="170">
        <f t="shared" si="413"/>
        <v>29.777589222499998</v>
      </c>
      <c r="K882" s="250">
        <v>0.35</v>
      </c>
      <c r="L882" s="172">
        <f t="shared" si="408"/>
        <v>0.35</v>
      </c>
      <c r="M882" s="249">
        <f t="shared" si="409"/>
        <v>12.49995</v>
      </c>
      <c r="N882" s="170">
        <f t="shared" si="403"/>
        <v>12.7618239525</v>
      </c>
      <c r="O882" s="250">
        <v>0.15</v>
      </c>
      <c r="P882" s="172">
        <f t="shared" si="404"/>
        <v>0.15</v>
      </c>
      <c r="Q882" s="251">
        <f t="shared" si="405"/>
        <v>4.1666499999999997</v>
      </c>
      <c r="R882" s="173">
        <f t="shared" si="406"/>
        <v>4.2539413174999998</v>
      </c>
      <c r="S882" s="250">
        <v>0.05</v>
      </c>
      <c r="T882" s="171">
        <f t="shared" si="407"/>
        <v>0.05</v>
      </c>
      <c r="U882" s="256">
        <v>83.332999999999998</v>
      </c>
      <c r="V882" s="170">
        <f t="shared" si="411"/>
        <v>85.07882635</v>
      </c>
      <c r="W882" s="258">
        <v>0.2</v>
      </c>
      <c r="X882" s="257">
        <f t="shared" si="416"/>
        <v>99.999600000000001</v>
      </c>
      <c r="Y882" s="170">
        <f t="shared" si="415"/>
        <v>102.09459162</v>
      </c>
      <c r="Z882" s="170">
        <f t="shared" si="410"/>
        <v>105</v>
      </c>
      <c r="AA882" s="407">
        <f t="shared" si="414"/>
        <v>0</v>
      </c>
      <c r="AB882" s="194"/>
    </row>
    <row r="883" spans="1:28" s="278" customFormat="1" x14ac:dyDescent="0.25">
      <c r="A883" s="200">
        <v>717732</v>
      </c>
      <c r="B883" s="313" t="s">
        <v>19586</v>
      </c>
      <c r="C883" s="248"/>
      <c r="D883" s="247" t="s">
        <v>2</v>
      </c>
      <c r="E883" s="249">
        <f t="shared" si="412"/>
        <v>33.75</v>
      </c>
      <c r="F883" s="170">
        <f t="shared" si="412"/>
        <v>34.457062500000006</v>
      </c>
      <c r="G883" s="250">
        <v>0.45</v>
      </c>
      <c r="H883" s="171">
        <f t="shared" si="400"/>
        <v>0.45</v>
      </c>
      <c r="I883" s="249">
        <f t="shared" si="413"/>
        <v>26.25</v>
      </c>
      <c r="J883" s="170">
        <f t="shared" si="413"/>
        <v>26.799937500000002</v>
      </c>
      <c r="K883" s="250">
        <v>0.35</v>
      </c>
      <c r="L883" s="172">
        <f t="shared" si="408"/>
        <v>0.35</v>
      </c>
      <c r="M883" s="249">
        <f t="shared" si="409"/>
        <v>11.25</v>
      </c>
      <c r="N883" s="170">
        <f t="shared" si="403"/>
        <v>11.485687500000001</v>
      </c>
      <c r="O883" s="250">
        <v>0.15</v>
      </c>
      <c r="P883" s="172">
        <f t="shared" si="404"/>
        <v>0.15</v>
      </c>
      <c r="Q883" s="251">
        <f t="shared" si="405"/>
        <v>3.75</v>
      </c>
      <c r="R883" s="173">
        <f t="shared" si="406"/>
        <v>3.8285625000000003</v>
      </c>
      <c r="S883" s="250">
        <v>0.05</v>
      </c>
      <c r="T883" s="171">
        <f t="shared" si="407"/>
        <v>0.05</v>
      </c>
      <c r="U883" s="256">
        <v>75</v>
      </c>
      <c r="V883" s="170">
        <f t="shared" si="411"/>
        <v>76.571250000000006</v>
      </c>
      <c r="W883" s="258">
        <v>0.2</v>
      </c>
      <c r="X883" s="257">
        <f t="shared" si="416"/>
        <v>90</v>
      </c>
      <c r="Y883" s="170">
        <f t="shared" si="415"/>
        <v>91.885500000000008</v>
      </c>
      <c r="Z883" s="170">
        <f t="shared" si="410"/>
        <v>92</v>
      </c>
      <c r="AA883" s="407">
        <f t="shared" si="414"/>
        <v>0</v>
      </c>
      <c r="AB883" s="194"/>
    </row>
    <row r="884" spans="1:28" s="278" customFormat="1" x14ac:dyDescent="0.25">
      <c r="A884" s="200">
        <v>717735</v>
      </c>
      <c r="B884" s="313" t="s">
        <v>19587</v>
      </c>
      <c r="C884" s="248"/>
      <c r="D884" s="247" t="s">
        <v>2</v>
      </c>
      <c r="E884" s="249">
        <f t="shared" si="412"/>
        <v>46.875001499999996</v>
      </c>
      <c r="F884" s="170">
        <f t="shared" si="412"/>
        <v>47.857032781424998</v>
      </c>
      <c r="G884" s="250">
        <v>0.45</v>
      </c>
      <c r="H884" s="171">
        <f t="shared" si="400"/>
        <v>0.45</v>
      </c>
      <c r="I884" s="249">
        <f t="shared" si="413"/>
        <v>36.458334499999999</v>
      </c>
      <c r="J884" s="170">
        <f t="shared" si="413"/>
        <v>37.222136607774992</v>
      </c>
      <c r="K884" s="250">
        <v>0.35</v>
      </c>
      <c r="L884" s="172">
        <f t="shared" si="408"/>
        <v>0.35</v>
      </c>
      <c r="M884" s="249">
        <f t="shared" si="409"/>
        <v>15.625000499999999</v>
      </c>
      <c r="N884" s="170">
        <f t="shared" si="403"/>
        <v>15.952344260474998</v>
      </c>
      <c r="O884" s="250">
        <v>0.15</v>
      </c>
      <c r="P884" s="172">
        <f t="shared" si="404"/>
        <v>0.15</v>
      </c>
      <c r="Q884" s="251">
        <f t="shared" si="405"/>
        <v>5.2083335000000002</v>
      </c>
      <c r="R884" s="173">
        <f t="shared" si="406"/>
        <v>5.3174480868249994</v>
      </c>
      <c r="S884" s="250">
        <v>0.05</v>
      </c>
      <c r="T884" s="171">
        <f t="shared" si="407"/>
        <v>0.05</v>
      </c>
      <c r="U884" s="256">
        <v>104.16667</v>
      </c>
      <c r="V884" s="170">
        <f t="shared" si="411"/>
        <v>106.34896173649999</v>
      </c>
      <c r="W884" s="258">
        <v>0.2</v>
      </c>
      <c r="X884" s="257">
        <f t="shared" si="416"/>
        <v>125.00000399999999</v>
      </c>
      <c r="Y884" s="170">
        <f t="shared" si="415"/>
        <v>127.61875408379998</v>
      </c>
      <c r="Z884" s="170">
        <f t="shared" si="410"/>
        <v>130</v>
      </c>
      <c r="AA884" s="407">
        <f t="shared" si="414"/>
        <v>0</v>
      </c>
      <c r="AB884" s="194"/>
    </row>
    <row r="885" spans="1:28" s="278" customFormat="1" x14ac:dyDescent="0.25">
      <c r="A885" s="200">
        <v>717735</v>
      </c>
      <c r="B885" s="313" t="s">
        <v>19588</v>
      </c>
      <c r="C885" s="248"/>
      <c r="D885" s="247" t="s">
        <v>2</v>
      </c>
      <c r="E885" s="249">
        <f t="shared" si="412"/>
        <v>41.250015000000005</v>
      </c>
      <c r="F885" s="170">
        <f t="shared" si="412"/>
        <v>42.114202814250007</v>
      </c>
      <c r="G885" s="250">
        <v>0.45</v>
      </c>
      <c r="H885" s="171">
        <f t="shared" si="400"/>
        <v>0.45</v>
      </c>
      <c r="I885" s="249">
        <f t="shared" si="413"/>
        <v>32.083345000000001</v>
      </c>
      <c r="J885" s="170">
        <f t="shared" si="413"/>
        <v>32.755491077750001</v>
      </c>
      <c r="K885" s="250">
        <v>0.35</v>
      </c>
      <c r="L885" s="172">
        <f t="shared" si="408"/>
        <v>0.35</v>
      </c>
      <c r="M885" s="249">
        <f t="shared" si="409"/>
        <v>13.750005</v>
      </c>
      <c r="N885" s="170">
        <f t="shared" si="403"/>
        <v>14.038067604750001</v>
      </c>
      <c r="O885" s="250">
        <v>0.15</v>
      </c>
      <c r="P885" s="172">
        <f t="shared" si="404"/>
        <v>0.15</v>
      </c>
      <c r="Q885" s="251">
        <f t="shared" si="405"/>
        <v>4.5833350000000008</v>
      </c>
      <c r="R885" s="173">
        <f t="shared" si="406"/>
        <v>4.6793558682500009</v>
      </c>
      <c r="S885" s="250">
        <v>0.05</v>
      </c>
      <c r="T885" s="171">
        <f t="shared" si="407"/>
        <v>0.05</v>
      </c>
      <c r="U885" s="256">
        <v>91.666700000000006</v>
      </c>
      <c r="V885" s="170">
        <f t="shared" si="411"/>
        <v>93.587117365000012</v>
      </c>
      <c r="W885" s="258">
        <v>0.2</v>
      </c>
      <c r="X885" s="257">
        <f t="shared" si="416"/>
        <v>110.00004000000001</v>
      </c>
      <c r="Y885" s="170">
        <f t="shared" si="415"/>
        <v>112.30454083800001</v>
      </c>
      <c r="Z885" s="170">
        <f t="shared" si="410"/>
        <v>115</v>
      </c>
      <c r="AA885" s="407">
        <f t="shared" si="414"/>
        <v>0</v>
      </c>
      <c r="AB885" s="194"/>
    </row>
    <row r="886" spans="1:28" s="278" customFormat="1" x14ac:dyDescent="0.25">
      <c r="A886" s="200">
        <v>717738</v>
      </c>
      <c r="B886" s="313" t="s">
        <v>19589</v>
      </c>
      <c r="C886" s="248"/>
      <c r="D886" s="247" t="s">
        <v>2</v>
      </c>
      <c r="E886" s="249">
        <f t="shared" si="412"/>
        <v>52.500015000000005</v>
      </c>
      <c r="F886" s="170">
        <f t="shared" si="412"/>
        <v>53.599890314250011</v>
      </c>
      <c r="G886" s="250">
        <v>0.45</v>
      </c>
      <c r="H886" s="171">
        <f t="shared" si="400"/>
        <v>0.45</v>
      </c>
      <c r="I886" s="249">
        <f t="shared" si="413"/>
        <v>40.833345000000001</v>
      </c>
      <c r="J886" s="170">
        <f t="shared" si="413"/>
        <v>41.688803577750001</v>
      </c>
      <c r="K886" s="250">
        <v>0.35</v>
      </c>
      <c r="L886" s="172">
        <f t="shared" si="408"/>
        <v>0.35</v>
      </c>
      <c r="M886" s="249">
        <f t="shared" si="409"/>
        <v>17.500005000000002</v>
      </c>
      <c r="N886" s="170">
        <f t="shared" si="403"/>
        <v>17.866630104750001</v>
      </c>
      <c r="O886" s="250">
        <v>0.15</v>
      </c>
      <c r="P886" s="172">
        <f t="shared" si="404"/>
        <v>0.15</v>
      </c>
      <c r="Q886" s="251">
        <f t="shared" si="405"/>
        <v>5.8333350000000008</v>
      </c>
      <c r="R886" s="173">
        <f t="shared" si="406"/>
        <v>5.9555433682500016</v>
      </c>
      <c r="S886" s="250">
        <v>0.05</v>
      </c>
      <c r="T886" s="171">
        <f t="shared" si="407"/>
        <v>0.05</v>
      </c>
      <c r="U886" s="256">
        <v>116.66670000000001</v>
      </c>
      <c r="V886" s="170">
        <f t="shared" si="411"/>
        <v>119.11086736500002</v>
      </c>
      <c r="W886" s="258">
        <v>0.2</v>
      </c>
      <c r="X886" s="257">
        <f t="shared" si="416"/>
        <v>140.00004000000001</v>
      </c>
      <c r="Y886" s="170">
        <f t="shared" si="415"/>
        <v>142.93304083800001</v>
      </c>
      <c r="Z886" s="170">
        <f t="shared" si="410"/>
        <v>145</v>
      </c>
      <c r="AA886" s="407">
        <f t="shared" si="414"/>
        <v>0</v>
      </c>
      <c r="AB886" s="194"/>
    </row>
    <row r="887" spans="1:28" s="278" customFormat="1" x14ac:dyDescent="0.25">
      <c r="A887" s="200">
        <v>717738</v>
      </c>
      <c r="B887" s="313" t="s">
        <v>19590</v>
      </c>
      <c r="C887" s="248"/>
      <c r="D887" s="247" t="s">
        <v>2</v>
      </c>
      <c r="E887" s="249">
        <f t="shared" si="412"/>
        <v>46.875001499999996</v>
      </c>
      <c r="F887" s="170">
        <f t="shared" si="412"/>
        <v>47.857032781424998</v>
      </c>
      <c r="G887" s="250">
        <v>0.45</v>
      </c>
      <c r="H887" s="171">
        <f t="shared" si="400"/>
        <v>0.45</v>
      </c>
      <c r="I887" s="249">
        <f t="shared" si="413"/>
        <v>36.458334499999999</v>
      </c>
      <c r="J887" s="170">
        <f t="shared" si="413"/>
        <v>37.222136607774992</v>
      </c>
      <c r="K887" s="250">
        <v>0.35</v>
      </c>
      <c r="L887" s="172">
        <f t="shared" si="408"/>
        <v>0.35</v>
      </c>
      <c r="M887" s="249">
        <f t="shared" si="409"/>
        <v>15.625000499999999</v>
      </c>
      <c r="N887" s="170">
        <f t="shared" si="403"/>
        <v>15.952344260474998</v>
      </c>
      <c r="O887" s="250">
        <v>0.15</v>
      </c>
      <c r="P887" s="172">
        <f t="shared" si="404"/>
        <v>0.15</v>
      </c>
      <c r="Q887" s="251">
        <f t="shared" si="405"/>
        <v>5.2083335000000002</v>
      </c>
      <c r="R887" s="173">
        <f t="shared" si="406"/>
        <v>5.3174480868249994</v>
      </c>
      <c r="S887" s="250">
        <v>0.05</v>
      </c>
      <c r="T887" s="171">
        <f t="shared" si="407"/>
        <v>0.05</v>
      </c>
      <c r="U887" s="256">
        <v>104.16667</v>
      </c>
      <c r="V887" s="170">
        <f t="shared" si="411"/>
        <v>106.34896173649999</v>
      </c>
      <c r="W887" s="258">
        <v>0.2</v>
      </c>
      <c r="X887" s="257">
        <f t="shared" si="416"/>
        <v>125.00000399999999</v>
      </c>
      <c r="Y887" s="170">
        <f t="shared" si="415"/>
        <v>127.61875408379998</v>
      </c>
      <c r="Z887" s="170">
        <f t="shared" si="410"/>
        <v>130</v>
      </c>
      <c r="AA887" s="407">
        <f t="shared" si="414"/>
        <v>0</v>
      </c>
      <c r="AB887" s="194"/>
    </row>
    <row r="888" spans="1:28" s="278" customFormat="1" x14ac:dyDescent="0.25">
      <c r="A888" s="200">
        <v>717744</v>
      </c>
      <c r="B888" s="313" t="s">
        <v>19591</v>
      </c>
      <c r="C888" s="248"/>
      <c r="D888" s="247" t="s">
        <v>2</v>
      </c>
      <c r="E888" s="249">
        <f t="shared" si="412"/>
        <v>61.875</v>
      </c>
      <c r="F888" s="170">
        <f t="shared" si="412"/>
        <v>63.171281250000007</v>
      </c>
      <c r="G888" s="250">
        <v>0.45</v>
      </c>
      <c r="H888" s="171">
        <f t="shared" si="400"/>
        <v>0.45</v>
      </c>
      <c r="I888" s="249">
        <f t="shared" si="413"/>
        <v>48.125</v>
      </c>
      <c r="J888" s="170">
        <f t="shared" si="413"/>
        <v>49.133218749999997</v>
      </c>
      <c r="K888" s="250">
        <v>0.35</v>
      </c>
      <c r="L888" s="172">
        <f t="shared" si="408"/>
        <v>0.35</v>
      </c>
      <c r="M888" s="249">
        <f t="shared" si="409"/>
        <v>20.625</v>
      </c>
      <c r="N888" s="170">
        <f t="shared" si="403"/>
        <v>21.05709375</v>
      </c>
      <c r="O888" s="250">
        <v>0.15</v>
      </c>
      <c r="P888" s="172">
        <f t="shared" si="404"/>
        <v>0.15</v>
      </c>
      <c r="Q888" s="251">
        <f t="shared" si="405"/>
        <v>6.875</v>
      </c>
      <c r="R888" s="173">
        <f t="shared" si="406"/>
        <v>7.0190312500000012</v>
      </c>
      <c r="S888" s="250">
        <v>0.05</v>
      </c>
      <c r="T888" s="171">
        <f t="shared" si="407"/>
        <v>0.05</v>
      </c>
      <c r="U888" s="256">
        <v>137.5</v>
      </c>
      <c r="V888" s="170">
        <f t="shared" si="411"/>
        <v>140.38062500000001</v>
      </c>
      <c r="W888" s="258">
        <v>0.2</v>
      </c>
      <c r="X888" s="257">
        <f t="shared" si="416"/>
        <v>165</v>
      </c>
      <c r="Y888" s="170">
        <f t="shared" si="415"/>
        <v>168.45675</v>
      </c>
      <c r="Z888" s="170">
        <f t="shared" si="410"/>
        <v>170</v>
      </c>
      <c r="AA888" s="407">
        <f t="shared" si="414"/>
        <v>0</v>
      </c>
      <c r="AB888" s="194"/>
    </row>
    <row r="889" spans="1:28" s="278" customFormat="1" x14ac:dyDescent="0.25">
      <c r="A889" s="200">
        <v>717744</v>
      </c>
      <c r="B889" s="313" t="s">
        <v>19592</v>
      </c>
      <c r="C889" s="248"/>
      <c r="D889" s="247" t="s">
        <v>2</v>
      </c>
      <c r="E889" s="249">
        <f t="shared" si="412"/>
        <v>56.25</v>
      </c>
      <c r="F889" s="170">
        <f t="shared" si="412"/>
        <v>57.428437500000001</v>
      </c>
      <c r="G889" s="250">
        <v>0.45</v>
      </c>
      <c r="H889" s="171">
        <f t="shared" ref="H889:H952" si="417">G889</f>
        <v>0.45</v>
      </c>
      <c r="I889" s="249">
        <f t="shared" si="413"/>
        <v>43.75</v>
      </c>
      <c r="J889" s="170">
        <f t="shared" si="413"/>
        <v>44.666562499999998</v>
      </c>
      <c r="K889" s="250">
        <v>0.35</v>
      </c>
      <c r="L889" s="172">
        <f t="shared" si="408"/>
        <v>0.35</v>
      </c>
      <c r="M889" s="249">
        <f t="shared" si="409"/>
        <v>18.75</v>
      </c>
      <c r="N889" s="170">
        <f t="shared" ref="N889:N952" si="418">P889*V889</f>
        <v>19.142812500000002</v>
      </c>
      <c r="O889" s="250">
        <v>0.15</v>
      </c>
      <c r="P889" s="172">
        <f t="shared" ref="P889:P952" si="419">O889</f>
        <v>0.15</v>
      </c>
      <c r="Q889" s="251">
        <f t="shared" ref="Q889:Q952" si="420">U889*S889</f>
        <v>6.25</v>
      </c>
      <c r="R889" s="173">
        <f t="shared" ref="R889:R952" si="421">T889*V889</f>
        <v>6.3809375000000008</v>
      </c>
      <c r="S889" s="250">
        <v>0.05</v>
      </c>
      <c r="T889" s="171">
        <f t="shared" ref="T889:T952" si="422">S889</f>
        <v>0.05</v>
      </c>
      <c r="U889" s="256">
        <v>125</v>
      </c>
      <c r="V889" s="170">
        <f t="shared" si="411"/>
        <v>127.61875000000001</v>
      </c>
      <c r="W889" s="258">
        <v>0.2</v>
      </c>
      <c r="X889" s="257">
        <f t="shared" si="416"/>
        <v>150</v>
      </c>
      <c r="Y889" s="170">
        <f t="shared" si="415"/>
        <v>153.14250000000001</v>
      </c>
      <c r="Z889" s="170">
        <f t="shared" si="410"/>
        <v>155</v>
      </c>
      <c r="AA889" s="407">
        <f t="shared" si="414"/>
        <v>0</v>
      </c>
      <c r="AB889" s="194"/>
    </row>
    <row r="890" spans="1:28" s="278" customFormat="1" x14ac:dyDescent="0.25">
      <c r="A890" s="200">
        <v>717748</v>
      </c>
      <c r="B890" s="313" t="s">
        <v>19593</v>
      </c>
      <c r="C890" s="248"/>
      <c r="D890" s="247" t="s">
        <v>2</v>
      </c>
      <c r="E890" s="249">
        <f t="shared" si="412"/>
        <v>46.666680000000007</v>
      </c>
      <c r="F890" s="170">
        <f t="shared" si="412"/>
        <v>61.666666666666679</v>
      </c>
      <c r="G890" s="250">
        <v>0.4</v>
      </c>
      <c r="H890" s="171">
        <f t="shared" si="417"/>
        <v>0.4</v>
      </c>
      <c r="I890" s="249">
        <f t="shared" si="413"/>
        <v>52.500015000000005</v>
      </c>
      <c r="J890" s="170">
        <f t="shared" si="413"/>
        <v>69.375000000000014</v>
      </c>
      <c r="K890" s="250">
        <v>0.45</v>
      </c>
      <c r="L890" s="172">
        <f t="shared" si="408"/>
        <v>0.45</v>
      </c>
      <c r="M890" s="249">
        <f t="shared" si="409"/>
        <v>11.666670000000002</v>
      </c>
      <c r="N890" s="170">
        <f t="shared" si="418"/>
        <v>15.41666666666667</v>
      </c>
      <c r="O890" s="250">
        <v>0.1</v>
      </c>
      <c r="P890" s="172">
        <f t="shared" si="419"/>
        <v>0.1</v>
      </c>
      <c r="Q890" s="251">
        <f t="shared" si="420"/>
        <v>5.8333350000000008</v>
      </c>
      <c r="R890" s="173">
        <f t="shared" si="421"/>
        <v>7.7083333333333348</v>
      </c>
      <c r="S890" s="250">
        <v>0.05</v>
      </c>
      <c r="T890" s="171">
        <f t="shared" si="422"/>
        <v>0.05</v>
      </c>
      <c r="U890" s="256">
        <v>116.66670000000001</v>
      </c>
      <c r="V890" s="170">
        <f>185/1.2</f>
        <v>154.16666666666669</v>
      </c>
      <c r="W890" s="258">
        <v>0.2</v>
      </c>
      <c r="X890" s="257">
        <f t="shared" si="416"/>
        <v>140.00004000000001</v>
      </c>
      <c r="Y890" s="170">
        <f t="shared" si="415"/>
        <v>185.00000000000003</v>
      </c>
      <c r="Z890" s="170">
        <f t="shared" si="410"/>
        <v>185</v>
      </c>
      <c r="AA890" s="407">
        <f t="shared" si="414"/>
        <v>0</v>
      </c>
      <c r="AB890" s="194"/>
    </row>
    <row r="891" spans="1:28" s="278" customFormat="1" x14ac:dyDescent="0.25">
      <c r="A891" s="200">
        <v>717748</v>
      </c>
      <c r="B891" s="313" t="s">
        <v>19594</v>
      </c>
      <c r="C891" s="248"/>
      <c r="D891" s="247" t="s">
        <v>2</v>
      </c>
      <c r="E891" s="249">
        <f t="shared" si="412"/>
        <v>33.333320000000001</v>
      </c>
      <c r="F891" s="170">
        <f t="shared" si="412"/>
        <v>46.666666666666671</v>
      </c>
      <c r="G891" s="250">
        <v>0.4</v>
      </c>
      <c r="H891" s="171">
        <f t="shared" si="417"/>
        <v>0.4</v>
      </c>
      <c r="I891" s="249">
        <f t="shared" si="413"/>
        <v>37.499984999999995</v>
      </c>
      <c r="J891" s="170">
        <f t="shared" si="413"/>
        <v>52.5</v>
      </c>
      <c r="K891" s="250">
        <v>0.45</v>
      </c>
      <c r="L891" s="172">
        <f t="shared" ref="L891:L954" si="423">K891</f>
        <v>0.45</v>
      </c>
      <c r="M891" s="249">
        <f t="shared" ref="M891:M954" si="424">U891*O891</f>
        <v>8.3333300000000001</v>
      </c>
      <c r="N891" s="170">
        <f t="shared" si="418"/>
        <v>11.666666666666668</v>
      </c>
      <c r="O891" s="250">
        <v>0.1</v>
      </c>
      <c r="P891" s="172">
        <f t="shared" si="419"/>
        <v>0.1</v>
      </c>
      <c r="Q891" s="251">
        <f t="shared" si="420"/>
        <v>4.1666650000000001</v>
      </c>
      <c r="R891" s="173">
        <f t="shared" si="421"/>
        <v>5.8333333333333339</v>
      </c>
      <c r="S891" s="250">
        <v>0.05</v>
      </c>
      <c r="T891" s="171">
        <f t="shared" si="422"/>
        <v>0.05</v>
      </c>
      <c r="U891" s="256">
        <v>83.333299999999994</v>
      </c>
      <c r="V891" s="170">
        <f>140/1.2</f>
        <v>116.66666666666667</v>
      </c>
      <c r="W891" s="258">
        <v>0.2</v>
      </c>
      <c r="X891" s="257">
        <f t="shared" si="416"/>
        <v>99.999959999999987</v>
      </c>
      <c r="Y891" s="170">
        <f t="shared" si="415"/>
        <v>140</v>
      </c>
      <c r="Z891" s="170">
        <f t="shared" si="410"/>
        <v>140</v>
      </c>
      <c r="AA891" s="407">
        <f t="shared" si="414"/>
        <v>0</v>
      </c>
      <c r="AB891" s="194"/>
    </row>
    <row r="892" spans="1:28" s="278" customFormat="1" x14ac:dyDescent="0.25">
      <c r="A892" s="200">
        <v>717750</v>
      </c>
      <c r="B892" s="313" t="s">
        <v>19595</v>
      </c>
      <c r="C892" s="248"/>
      <c r="D892" s="247" t="s">
        <v>2</v>
      </c>
      <c r="E892" s="249">
        <f t="shared" si="412"/>
        <v>50</v>
      </c>
      <c r="F892" s="170">
        <f t="shared" si="412"/>
        <v>63.333333333333343</v>
      </c>
      <c r="G892" s="250">
        <v>0.4</v>
      </c>
      <c r="H892" s="171">
        <f t="shared" si="417"/>
        <v>0.4</v>
      </c>
      <c r="I892" s="249">
        <f t="shared" si="413"/>
        <v>56.25</v>
      </c>
      <c r="J892" s="170">
        <f t="shared" si="413"/>
        <v>71.25</v>
      </c>
      <c r="K892" s="250">
        <v>0.45</v>
      </c>
      <c r="L892" s="172">
        <f t="shared" si="423"/>
        <v>0.45</v>
      </c>
      <c r="M892" s="249">
        <f t="shared" si="424"/>
        <v>12.5</v>
      </c>
      <c r="N892" s="170">
        <f t="shared" si="418"/>
        <v>15.833333333333336</v>
      </c>
      <c r="O892" s="250">
        <v>0.1</v>
      </c>
      <c r="P892" s="172">
        <f t="shared" si="419"/>
        <v>0.1</v>
      </c>
      <c r="Q892" s="251">
        <f t="shared" si="420"/>
        <v>6.25</v>
      </c>
      <c r="R892" s="173">
        <f t="shared" si="421"/>
        <v>7.9166666666666679</v>
      </c>
      <c r="S892" s="250">
        <v>0.05</v>
      </c>
      <c r="T892" s="171">
        <f t="shared" si="422"/>
        <v>0.05</v>
      </c>
      <c r="U892" s="256">
        <v>125</v>
      </c>
      <c r="V892" s="170">
        <f>190/1.2</f>
        <v>158.33333333333334</v>
      </c>
      <c r="W892" s="258">
        <v>0.2</v>
      </c>
      <c r="X892" s="257">
        <f t="shared" si="416"/>
        <v>150</v>
      </c>
      <c r="Y892" s="170">
        <f t="shared" si="415"/>
        <v>190</v>
      </c>
      <c r="Z892" s="170">
        <f t="shared" ref="Z892:Z955" si="425">IF(Y892=0, 0, IF(Y892&lt;10, _xlfn.CEILING.MATH(Y892,1), IF(Y892&lt;100, _xlfn.CEILING.MATH(Y892,1),IF(Y892&lt;1000, _xlfn.CEILING.MATH(Y892,5), IF(Y892&lt;10000, _xlfn.CEILING.MATH(Y892, 25), IF(Y892&lt;100000, _xlfn.CEILING.MATH(Y892,250), IF(Y892&lt;1000000, _xlfn.CEILING.MATH(Y892,500), 0)))))))</f>
        <v>190</v>
      </c>
      <c r="AA892" s="407">
        <f t="shared" si="414"/>
        <v>0</v>
      </c>
      <c r="AB892" s="194"/>
    </row>
    <row r="893" spans="1:28" s="278" customFormat="1" x14ac:dyDescent="0.25">
      <c r="A893" s="200">
        <v>717750</v>
      </c>
      <c r="B893" s="313" t="s">
        <v>19596</v>
      </c>
      <c r="C893" s="248"/>
      <c r="D893" s="247" t="s">
        <v>2</v>
      </c>
      <c r="E893" s="249">
        <f t="shared" si="412"/>
        <v>36.666680000000007</v>
      </c>
      <c r="F893" s="170">
        <f t="shared" si="412"/>
        <v>48.333333333333343</v>
      </c>
      <c r="G893" s="250">
        <v>0.4</v>
      </c>
      <c r="H893" s="171">
        <f t="shared" si="417"/>
        <v>0.4</v>
      </c>
      <c r="I893" s="249">
        <f t="shared" si="413"/>
        <v>41.250015000000005</v>
      </c>
      <c r="J893" s="170">
        <f t="shared" si="413"/>
        <v>54.375000000000007</v>
      </c>
      <c r="K893" s="250">
        <v>0.45</v>
      </c>
      <c r="L893" s="172">
        <f t="shared" si="423"/>
        <v>0.45</v>
      </c>
      <c r="M893" s="249">
        <f t="shared" si="424"/>
        <v>9.1666700000000017</v>
      </c>
      <c r="N893" s="170">
        <f t="shared" si="418"/>
        <v>12.083333333333336</v>
      </c>
      <c r="O893" s="250">
        <v>0.1</v>
      </c>
      <c r="P893" s="172">
        <f t="shared" si="419"/>
        <v>0.1</v>
      </c>
      <c r="Q893" s="251">
        <f t="shared" si="420"/>
        <v>4.5833350000000008</v>
      </c>
      <c r="R893" s="173">
        <f t="shared" si="421"/>
        <v>6.0416666666666679</v>
      </c>
      <c r="S893" s="250">
        <v>0.05</v>
      </c>
      <c r="T893" s="171">
        <f t="shared" si="422"/>
        <v>0.05</v>
      </c>
      <c r="U893" s="256">
        <v>91.666700000000006</v>
      </c>
      <c r="V893" s="170">
        <f>145/1.2</f>
        <v>120.83333333333334</v>
      </c>
      <c r="W893" s="258">
        <v>0.2</v>
      </c>
      <c r="X893" s="257">
        <f t="shared" si="416"/>
        <v>110.00004000000001</v>
      </c>
      <c r="Y893" s="170">
        <f t="shared" si="415"/>
        <v>145</v>
      </c>
      <c r="Z893" s="170">
        <f t="shared" si="425"/>
        <v>145</v>
      </c>
      <c r="AA893" s="407">
        <f t="shared" si="414"/>
        <v>0</v>
      </c>
      <c r="AB893" s="194"/>
    </row>
    <row r="894" spans="1:28" s="278" customFormat="1" x14ac:dyDescent="0.25">
      <c r="A894" s="200">
        <v>717752</v>
      </c>
      <c r="B894" s="313" t="s">
        <v>19597</v>
      </c>
      <c r="C894" s="248"/>
      <c r="D894" s="247" t="s">
        <v>2</v>
      </c>
      <c r="E894" s="249">
        <f t="shared" si="412"/>
        <v>53.333200000000005</v>
      </c>
      <c r="F894" s="170">
        <f t="shared" si="412"/>
        <v>66.666666666666671</v>
      </c>
      <c r="G894" s="250">
        <v>0.4</v>
      </c>
      <c r="H894" s="171">
        <f t="shared" si="417"/>
        <v>0.4</v>
      </c>
      <c r="I894" s="249">
        <f t="shared" si="413"/>
        <v>59.999850000000002</v>
      </c>
      <c r="J894" s="170">
        <f t="shared" si="413"/>
        <v>75.000000000000014</v>
      </c>
      <c r="K894" s="250">
        <v>0.45</v>
      </c>
      <c r="L894" s="172">
        <f t="shared" si="423"/>
        <v>0.45</v>
      </c>
      <c r="M894" s="249">
        <f t="shared" si="424"/>
        <v>13.333300000000001</v>
      </c>
      <c r="N894" s="170">
        <f t="shared" si="418"/>
        <v>16.666666666666668</v>
      </c>
      <c r="O894" s="250">
        <v>0.1</v>
      </c>
      <c r="P894" s="172">
        <f t="shared" si="419"/>
        <v>0.1</v>
      </c>
      <c r="Q894" s="251">
        <f t="shared" si="420"/>
        <v>6.6666500000000006</v>
      </c>
      <c r="R894" s="173">
        <f t="shared" si="421"/>
        <v>8.3333333333333339</v>
      </c>
      <c r="S894" s="250">
        <v>0.05</v>
      </c>
      <c r="T894" s="171">
        <f t="shared" si="422"/>
        <v>0.05</v>
      </c>
      <c r="U894" s="256">
        <v>133.333</v>
      </c>
      <c r="V894" s="170">
        <f>200/1.2</f>
        <v>166.66666666666669</v>
      </c>
      <c r="W894" s="258">
        <v>0.2</v>
      </c>
      <c r="X894" s="257">
        <f t="shared" si="416"/>
        <v>159.99959999999999</v>
      </c>
      <c r="Y894" s="170">
        <f t="shared" si="415"/>
        <v>200.00000000000003</v>
      </c>
      <c r="Z894" s="170">
        <f t="shared" si="425"/>
        <v>200</v>
      </c>
      <c r="AA894" s="407">
        <f t="shared" si="414"/>
        <v>0</v>
      </c>
      <c r="AB894" s="194"/>
    </row>
    <row r="895" spans="1:28" s="278" customFormat="1" x14ac:dyDescent="0.25">
      <c r="A895" s="200">
        <v>717752</v>
      </c>
      <c r="B895" s="313" t="s">
        <v>19598</v>
      </c>
      <c r="C895" s="248"/>
      <c r="D895" s="247" t="s">
        <v>2</v>
      </c>
      <c r="E895" s="249">
        <f t="shared" si="412"/>
        <v>38.333320000000001</v>
      </c>
      <c r="F895" s="170">
        <f t="shared" si="412"/>
        <v>51.666666666666679</v>
      </c>
      <c r="G895" s="250">
        <v>0.4</v>
      </c>
      <c r="H895" s="171">
        <f t="shared" si="417"/>
        <v>0.4</v>
      </c>
      <c r="I895" s="249">
        <f t="shared" si="413"/>
        <v>43.124984999999995</v>
      </c>
      <c r="J895" s="170">
        <f t="shared" si="413"/>
        <v>58.125000000000007</v>
      </c>
      <c r="K895" s="250">
        <v>0.45</v>
      </c>
      <c r="L895" s="172">
        <f t="shared" si="423"/>
        <v>0.45</v>
      </c>
      <c r="M895" s="249">
        <f t="shared" si="424"/>
        <v>9.5833300000000001</v>
      </c>
      <c r="N895" s="170">
        <f t="shared" si="418"/>
        <v>12.91666666666667</v>
      </c>
      <c r="O895" s="250">
        <v>0.1</v>
      </c>
      <c r="P895" s="172">
        <f t="shared" si="419"/>
        <v>0.1</v>
      </c>
      <c r="Q895" s="251">
        <f t="shared" si="420"/>
        <v>4.7916650000000001</v>
      </c>
      <c r="R895" s="173">
        <f t="shared" si="421"/>
        <v>6.4583333333333348</v>
      </c>
      <c r="S895" s="250">
        <v>0.05</v>
      </c>
      <c r="T895" s="171">
        <f t="shared" si="422"/>
        <v>0.05</v>
      </c>
      <c r="U895" s="256">
        <v>95.833299999999994</v>
      </c>
      <c r="V895" s="170">
        <f>155/1.2</f>
        <v>129.16666666666669</v>
      </c>
      <c r="W895" s="258">
        <v>0.2</v>
      </c>
      <c r="X895" s="257">
        <f t="shared" si="416"/>
        <v>114.99995999999999</v>
      </c>
      <c r="Y895" s="170">
        <f t="shared" si="415"/>
        <v>155.00000000000003</v>
      </c>
      <c r="Z895" s="170">
        <f t="shared" si="425"/>
        <v>155</v>
      </c>
      <c r="AA895" s="407">
        <f t="shared" si="414"/>
        <v>0</v>
      </c>
      <c r="AB895" s="194"/>
    </row>
    <row r="896" spans="1:28" s="278" customFormat="1" x14ac:dyDescent="0.25">
      <c r="A896" s="200">
        <v>717754</v>
      </c>
      <c r="B896" s="313" t="s">
        <v>19599</v>
      </c>
      <c r="C896" s="248"/>
      <c r="D896" s="247" t="s">
        <v>2</v>
      </c>
      <c r="E896" s="249">
        <f t="shared" si="412"/>
        <v>56.666679999999999</v>
      </c>
      <c r="F896" s="170">
        <f t="shared" si="412"/>
        <v>57.817013604000003</v>
      </c>
      <c r="G896" s="250">
        <v>0.4</v>
      </c>
      <c r="H896" s="171">
        <f t="shared" si="417"/>
        <v>0.4</v>
      </c>
      <c r="I896" s="249">
        <f t="shared" si="413"/>
        <v>63.750014999999998</v>
      </c>
      <c r="J896" s="170">
        <f t="shared" si="413"/>
        <v>65.044140304500004</v>
      </c>
      <c r="K896" s="250">
        <v>0.45</v>
      </c>
      <c r="L896" s="172">
        <f t="shared" si="423"/>
        <v>0.45</v>
      </c>
      <c r="M896" s="249">
        <f t="shared" si="424"/>
        <v>14.16667</v>
      </c>
      <c r="N896" s="170">
        <f t="shared" si="418"/>
        <v>14.454253401000001</v>
      </c>
      <c r="O896" s="250">
        <v>0.1</v>
      </c>
      <c r="P896" s="172">
        <f t="shared" si="419"/>
        <v>0.1</v>
      </c>
      <c r="Q896" s="251">
        <f t="shared" si="420"/>
        <v>7.0833349999999999</v>
      </c>
      <c r="R896" s="173">
        <f t="shared" si="421"/>
        <v>7.2271267005000004</v>
      </c>
      <c r="S896" s="250">
        <v>0.05</v>
      </c>
      <c r="T896" s="171">
        <f t="shared" si="422"/>
        <v>0.05</v>
      </c>
      <c r="U896" s="256">
        <v>141.66669999999999</v>
      </c>
      <c r="V896" s="170">
        <f t="shared" ref="V896:V959" si="426">SUM(E896*1.0235,I896*1.0175,M896*1.0245,Q896*1.0115)</f>
        <v>144.54253401</v>
      </c>
      <c r="W896" s="258">
        <v>0.2</v>
      </c>
      <c r="X896" s="257">
        <f t="shared" si="416"/>
        <v>170.00003999999998</v>
      </c>
      <c r="Y896" s="170">
        <f t="shared" si="415"/>
        <v>173.451040812</v>
      </c>
      <c r="Z896" s="170">
        <f t="shared" si="425"/>
        <v>175</v>
      </c>
      <c r="AA896" s="407">
        <f t="shared" si="414"/>
        <v>0</v>
      </c>
      <c r="AB896" s="194"/>
    </row>
    <row r="897" spans="1:28" s="278" customFormat="1" x14ac:dyDescent="0.25">
      <c r="A897" s="200">
        <v>717754</v>
      </c>
      <c r="B897" s="313" t="s">
        <v>19600</v>
      </c>
      <c r="C897" s="248"/>
      <c r="D897" s="247" t="s">
        <v>2</v>
      </c>
      <c r="E897" s="249">
        <f t="shared" si="412"/>
        <v>41.666668000000001</v>
      </c>
      <c r="F897" s="170">
        <f t="shared" si="412"/>
        <v>42.512501360400002</v>
      </c>
      <c r="G897" s="250">
        <v>0.4</v>
      </c>
      <c r="H897" s="171">
        <f t="shared" si="417"/>
        <v>0.4</v>
      </c>
      <c r="I897" s="249">
        <f t="shared" si="413"/>
        <v>46.875001499999996</v>
      </c>
      <c r="J897" s="170">
        <f t="shared" si="413"/>
        <v>47.826564030450001</v>
      </c>
      <c r="K897" s="250">
        <v>0.45</v>
      </c>
      <c r="L897" s="172">
        <f t="shared" si="423"/>
        <v>0.45</v>
      </c>
      <c r="M897" s="249">
        <f t="shared" si="424"/>
        <v>10.416667</v>
      </c>
      <c r="N897" s="170">
        <f t="shared" si="418"/>
        <v>10.6281253401</v>
      </c>
      <c r="O897" s="250">
        <v>0.1</v>
      </c>
      <c r="P897" s="172">
        <f t="shared" si="419"/>
        <v>0.1</v>
      </c>
      <c r="Q897" s="251">
        <f t="shared" si="420"/>
        <v>5.2083335000000002</v>
      </c>
      <c r="R897" s="173">
        <f t="shared" si="421"/>
        <v>5.3140626700500002</v>
      </c>
      <c r="S897" s="250">
        <v>0.05</v>
      </c>
      <c r="T897" s="171">
        <f t="shared" si="422"/>
        <v>0.05</v>
      </c>
      <c r="U897" s="256">
        <v>104.16667</v>
      </c>
      <c r="V897" s="170">
        <f t="shared" si="426"/>
        <v>106.281253401</v>
      </c>
      <c r="W897" s="258">
        <v>0.2</v>
      </c>
      <c r="X897" s="257">
        <f t="shared" si="416"/>
        <v>125.00000399999999</v>
      </c>
      <c r="Y897" s="170">
        <f t="shared" si="415"/>
        <v>127.5375040812</v>
      </c>
      <c r="Z897" s="170">
        <f t="shared" si="425"/>
        <v>130</v>
      </c>
      <c r="AA897" s="407">
        <f t="shared" si="414"/>
        <v>0</v>
      </c>
      <c r="AB897" s="194"/>
    </row>
    <row r="898" spans="1:28" s="278" customFormat="1" x14ac:dyDescent="0.25">
      <c r="A898" s="200">
        <v>717756</v>
      </c>
      <c r="B898" s="313" t="s">
        <v>19601</v>
      </c>
      <c r="C898" s="248"/>
      <c r="D898" s="247" t="s">
        <v>2</v>
      </c>
      <c r="E898" s="249">
        <f t="shared" si="412"/>
        <v>63.333320000000008</v>
      </c>
      <c r="F898" s="170">
        <f t="shared" si="412"/>
        <v>71.666666666666671</v>
      </c>
      <c r="G898" s="250">
        <v>0.4</v>
      </c>
      <c r="H898" s="171">
        <f t="shared" si="417"/>
        <v>0.4</v>
      </c>
      <c r="I898" s="249">
        <f t="shared" si="413"/>
        <v>71.249985000000009</v>
      </c>
      <c r="J898" s="170">
        <f t="shared" si="413"/>
        <v>80.625000000000014</v>
      </c>
      <c r="K898" s="250">
        <v>0.45</v>
      </c>
      <c r="L898" s="172">
        <f t="shared" si="423"/>
        <v>0.45</v>
      </c>
      <c r="M898" s="249">
        <f t="shared" si="424"/>
        <v>15.833330000000002</v>
      </c>
      <c r="N898" s="170">
        <f t="shared" si="418"/>
        <v>17.916666666666668</v>
      </c>
      <c r="O898" s="250">
        <v>0.1</v>
      </c>
      <c r="P898" s="172">
        <f t="shared" si="419"/>
        <v>0.1</v>
      </c>
      <c r="Q898" s="251">
        <f t="shared" si="420"/>
        <v>7.916665000000001</v>
      </c>
      <c r="R898" s="173">
        <f t="shared" si="421"/>
        <v>8.9583333333333339</v>
      </c>
      <c r="S898" s="250">
        <v>0.05</v>
      </c>
      <c r="T898" s="171">
        <f t="shared" si="422"/>
        <v>0.05</v>
      </c>
      <c r="U898" s="256">
        <v>158.33330000000001</v>
      </c>
      <c r="V898" s="170">
        <f>215/1.2</f>
        <v>179.16666666666669</v>
      </c>
      <c r="W898" s="258">
        <v>0.2</v>
      </c>
      <c r="X898" s="257">
        <f t="shared" si="416"/>
        <v>189.99996000000002</v>
      </c>
      <c r="Y898" s="170">
        <f t="shared" si="415"/>
        <v>215.00000000000003</v>
      </c>
      <c r="Z898" s="170">
        <f t="shared" si="425"/>
        <v>215</v>
      </c>
      <c r="AA898" s="407">
        <f t="shared" si="414"/>
        <v>0</v>
      </c>
      <c r="AB898" s="194"/>
    </row>
    <row r="899" spans="1:28" s="278" customFormat="1" x14ac:dyDescent="0.25">
      <c r="A899" s="200">
        <v>717756</v>
      </c>
      <c r="B899" s="313" t="s">
        <v>19602</v>
      </c>
      <c r="C899" s="248"/>
      <c r="D899" s="247" t="s">
        <v>2</v>
      </c>
      <c r="E899" s="249">
        <f t="shared" si="412"/>
        <v>45</v>
      </c>
      <c r="F899" s="170">
        <f t="shared" si="412"/>
        <v>56.666666666666679</v>
      </c>
      <c r="G899" s="250">
        <v>0.4</v>
      </c>
      <c r="H899" s="171">
        <f t="shared" si="417"/>
        <v>0.4</v>
      </c>
      <c r="I899" s="249">
        <f t="shared" si="413"/>
        <v>50.625</v>
      </c>
      <c r="J899" s="170">
        <f t="shared" si="413"/>
        <v>63.750000000000007</v>
      </c>
      <c r="K899" s="250">
        <v>0.45</v>
      </c>
      <c r="L899" s="172">
        <f t="shared" si="423"/>
        <v>0.45</v>
      </c>
      <c r="M899" s="249">
        <f t="shared" si="424"/>
        <v>11.25</v>
      </c>
      <c r="N899" s="170">
        <f t="shared" si="418"/>
        <v>14.16666666666667</v>
      </c>
      <c r="O899" s="250">
        <v>0.1</v>
      </c>
      <c r="P899" s="172">
        <f t="shared" si="419"/>
        <v>0.1</v>
      </c>
      <c r="Q899" s="251">
        <f t="shared" si="420"/>
        <v>5.625</v>
      </c>
      <c r="R899" s="173">
        <f t="shared" si="421"/>
        <v>7.0833333333333348</v>
      </c>
      <c r="S899" s="250">
        <v>0.05</v>
      </c>
      <c r="T899" s="171">
        <f t="shared" si="422"/>
        <v>0.05</v>
      </c>
      <c r="U899" s="256">
        <v>112.5</v>
      </c>
      <c r="V899" s="170">
        <f>170/1.2</f>
        <v>141.66666666666669</v>
      </c>
      <c r="W899" s="258">
        <v>0.2</v>
      </c>
      <c r="X899" s="257">
        <f t="shared" si="416"/>
        <v>135</v>
      </c>
      <c r="Y899" s="170">
        <f t="shared" si="415"/>
        <v>170.00000000000003</v>
      </c>
      <c r="Z899" s="170">
        <f t="shared" si="425"/>
        <v>170</v>
      </c>
      <c r="AA899" s="407">
        <f t="shared" si="414"/>
        <v>0</v>
      </c>
      <c r="AB899" s="194"/>
    </row>
    <row r="900" spans="1:28" s="278" customFormat="1" x14ac:dyDescent="0.25">
      <c r="A900" s="200">
        <v>717778</v>
      </c>
      <c r="B900" s="313" t="s">
        <v>19603</v>
      </c>
      <c r="C900" s="248"/>
      <c r="D900" s="247" t="s">
        <v>2</v>
      </c>
      <c r="E900" s="249">
        <f t="shared" si="412"/>
        <v>50</v>
      </c>
      <c r="F900" s="170">
        <f t="shared" si="412"/>
        <v>63.333333333333343</v>
      </c>
      <c r="G900" s="250">
        <v>0.4</v>
      </c>
      <c r="H900" s="171">
        <f t="shared" si="417"/>
        <v>0.4</v>
      </c>
      <c r="I900" s="249">
        <f t="shared" si="413"/>
        <v>56.25</v>
      </c>
      <c r="J900" s="170">
        <f t="shared" si="413"/>
        <v>71.25</v>
      </c>
      <c r="K900" s="250">
        <v>0.45</v>
      </c>
      <c r="L900" s="172">
        <f t="shared" si="423"/>
        <v>0.45</v>
      </c>
      <c r="M900" s="249">
        <f t="shared" si="424"/>
        <v>12.5</v>
      </c>
      <c r="N900" s="170">
        <f t="shared" si="418"/>
        <v>15.833333333333336</v>
      </c>
      <c r="O900" s="250">
        <v>0.1</v>
      </c>
      <c r="P900" s="172">
        <f t="shared" si="419"/>
        <v>0.1</v>
      </c>
      <c r="Q900" s="251">
        <f t="shared" si="420"/>
        <v>6.25</v>
      </c>
      <c r="R900" s="173">
        <f t="shared" si="421"/>
        <v>7.9166666666666679</v>
      </c>
      <c r="S900" s="250">
        <v>0.05</v>
      </c>
      <c r="T900" s="171">
        <f t="shared" si="422"/>
        <v>0.05</v>
      </c>
      <c r="U900" s="256">
        <v>125</v>
      </c>
      <c r="V900" s="170">
        <f>190/1.2</f>
        <v>158.33333333333334</v>
      </c>
      <c r="W900" s="258">
        <v>0.2</v>
      </c>
      <c r="X900" s="257">
        <f t="shared" si="416"/>
        <v>150</v>
      </c>
      <c r="Y900" s="170">
        <f t="shared" si="415"/>
        <v>190</v>
      </c>
      <c r="Z900" s="170">
        <f t="shared" si="425"/>
        <v>190</v>
      </c>
      <c r="AA900" s="407">
        <f t="shared" si="414"/>
        <v>0</v>
      </c>
      <c r="AB900" s="194"/>
    </row>
    <row r="901" spans="1:28" s="278" customFormat="1" x14ac:dyDescent="0.25">
      <c r="A901" s="200">
        <v>717778</v>
      </c>
      <c r="B901" s="313" t="s">
        <v>19604</v>
      </c>
      <c r="C901" s="248"/>
      <c r="D901" s="247" t="s">
        <v>2</v>
      </c>
      <c r="E901" s="249">
        <f t="shared" si="412"/>
        <v>36.666680000000007</v>
      </c>
      <c r="F901" s="170">
        <f t="shared" si="412"/>
        <v>48.333333333333343</v>
      </c>
      <c r="G901" s="250">
        <v>0.4</v>
      </c>
      <c r="H901" s="171">
        <f t="shared" si="417"/>
        <v>0.4</v>
      </c>
      <c r="I901" s="249">
        <f t="shared" si="413"/>
        <v>41.250015000000005</v>
      </c>
      <c r="J901" s="170">
        <f t="shared" si="413"/>
        <v>54.375000000000007</v>
      </c>
      <c r="K901" s="250">
        <v>0.45</v>
      </c>
      <c r="L901" s="172">
        <f t="shared" si="423"/>
        <v>0.45</v>
      </c>
      <c r="M901" s="249">
        <f t="shared" si="424"/>
        <v>9.1666700000000017</v>
      </c>
      <c r="N901" s="170">
        <f t="shared" si="418"/>
        <v>12.083333333333336</v>
      </c>
      <c r="O901" s="250">
        <v>0.1</v>
      </c>
      <c r="P901" s="172">
        <f t="shared" si="419"/>
        <v>0.1</v>
      </c>
      <c r="Q901" s="251">
        <f t="shared" si="420"/>
        <v>4.5833350000000008</v>
      </c>
      <c r="R901" s="173">
        <f t="shared" si="421"/>
        <v>6.0416666666666679</v>
      </c>
      <c r="S901" s="250">
        <v>0.05</v>
      </c>
      <c r="T901" s="171">
        <f t="shared" si="422"/>
        <v>0.05</v>
      </c>
      <c r="U901" s="256">
        <v>91.666700000000006</v>
      </c>
      <c r="V901" s="170">
        <f>145/1.2</f>
        <v>120.83333333333334</v>
      </c>
      <c r="W901" s="258">
        <v>0.2</v>
      </c>
      <c r="X901" s="257">
        <f t="shared" si="416"/>
        <v>110.00004000000001</v>
      </c>
      <c r="Y901" s="170">
        <f t="shared" si="415"/>
        <v>145</v>
      </c>
      <c r="Z901" s="170">
        <f t="shared" si="425"/>
        <v>145</v>
      </c>
      <c r="AA901" s="407">
        <f t="shared" si="414"/>
        <v>0</v>
      </c>
      <c r="AB901" s="194"/>
    </row>
    <row r="902" spans="1:28" s="278" customFormat="1" x14ac:dyDescent="0.25">
      <c r="A902" s="200">
        <v>717780</v>
      </c>
      <c r="B902" s="313" t="s">
        <v>19605</v>
      </c>
      <c r="C902" s="248"/>
      <c r="D902" s="247" t="s">
        <v>2</v>
      </c>
      <c r="E902" s="249">
        <f t="shared" si="412"/>
        <v>53.333200000000005</v>
      </c>
      <c r="F902" s="170">
        <f t="shared" si="412"/>
        <v>65</v>
      </c>
      <c r="G902" s="250">
        <v>0.4</v>
      </c>
      <c r="H902" s="171">
        <f t="shared" si="417"/>
        <v>0.4</v>
      </c>
      <c r="I902" s="249">
        <f t="shared" si="413"/>
        <v>59.999850000000002</v>
      </c>
      <c r="J902" s="170">
        <f t="shared" si="413"/>
        <v>73.125</v>
      </c>
      <c r="K902" s="250">
        <v>0.45</v>
      </c>
      <c r="L902" s="172">
        <f t="shared" si="423"/>
        <v>0.45</v>
      </c>
      <c r="M902" s="249">
        <f t="shared" si="424"/>
        <v>13.333300000000001</v>
      </c>
      <c r="N902" s="170">
        <f t="shared" si="418"/>
        <v>16.25</v>
      </c>
      <c r="O902" s="250">
        <v>0.1</v>
      </c>
      <c r="P902" s="172">
        <f t="shared" si="419"/>
        <v>0.1</v>
      </c>
      <c r="Q902" s="251">
        <f t="shared" si="420"/>
        <v>6.6666500000000006</v>
      </c>
      <c r="R902" s="173">
        <f t="shared" si="421"/>
        <v>8.125</v>
      </c>
      <c r="S902" s="250">
        <v>0.05</v>
      </c>
      <c r="T902" s="171">
        <f t="shared" si="422"/>
        <v>0.05</v>
      </c>
      <c r="U902" s="256">
        <v>133.333</v>
      </c>
      <c r="V902" s="170">
        <f>195/1.2</f>
        <v>162.5</v>
      </c>
      <c r="W902" s="258">
        <v>0.2</v>
      </c>
      <c r="X902" s="257">
        <f t="shared" si="416"/>
        <v>159.99959999999999</v>
      </c>
      <c r="Y902" s="170">
        <f t="shared" si="415"/>
        <v>195</v>
      </c>
      <c r="Z902" s="170">
        <f t="shared" si="425"/>
        <v>195</v>
      </c>
      <c r="AA902" s="407">
        <f t="shared" si="414"/>
        <v>0</v>
      </c>
      <c r="AB902" s="194"/>
    </row>
    <row r="903" spans="1:28" s="278" customFormat="1" x14ac:dyDescent="0.25">
      <c r="A903" s="200">
        <v>717780</v>
      </c>
      <c r="B903" s="313" t="s">
        <v>19606</v>
      </c>
      <c r="C903" s="248"/>
      <c r="D903" s="247" t="s">
        <v>2</v>
      </c>
      <c r="E903" s="249">
        <f t="shared" si="412"/>
        <v>40</v>
      </c>
      <c r="F903" s="170">
        <f t="shared" si="412"/>
        <v>50</v>
      </c>
      <c r="G903" s="250">
        <v>0.4</v>
      </c>
      <c r="H903" s="171">
        <f t="shared" si="417"/>
        <v>0.4</v>
      </c>
      <c r="I903" s="249">
        <f t="shared" si="413"/>
        <v>45</v>
      </c>
      <c r="J903" s="170">
        <f t="shared" si="413"/>
        <v>56.25</v>
      </c>
      <c r="K903" s="250">
        <v>0.45</v>
      </c>
      <c r="L903" s="172">
        <f t="shared" si="423"/>
        <v>0.45</v>
      </c>
      <c r="M903" s="249">
        <f t="shared" si="424"/>
        <v>10</v>
      </c>
      <c r="N903" s="170">
        <f t="shared" si="418"/>
        <v>12.5</v>
      </c>
      <c r="O903" s="250">
        <v>0.1</v>
      </c>
      <c r="P903" s="172">
        <f t="shared" si="419"/>
        <v>0.1</v>
      </c>
      <c r="Q903" s="251">
        <f t="shared" si="420"/>
        <v>5</v>
      </c>
      <c r="R903" s="173">
        <f t="shared" si="421"/>
        <v>6.25</v>
      </c>
      <c r="S903" s="250">
        <v>0.05</v>
      </c>
      <c r="T903" s="171">
        <f t="shared" si="422"/>
        <v>0.05</v>
      </c>
      <c r="U903" s="256">
        <v>100</v>
      </c>
      <c r="V903" s="170">
        <f>150/1.2</f>
        <v>125</v>
      </c>
      <c r="W903" s="258">
        <v>0.2</v>
      </c>
      <c r="X903" s="257">
        <f t="shared" si="416"/>
        <v>120</v>
      </c>
      <c r="Y903" s="170">
        <f t="shared" si="415"/>
        <v>150</v>
      </c>
      <c r="Z903" s="170">
        <f t="shared" si="425"/>
        <v>150</v>
      </c>
      <c r="AA903" s="407">
        <f t="shared" si="414"/>
        <v>0</v>
      </c>
      <c r="AB903" s="194"/>
    </row>
    <row r="904" spans="1:28" s="278" customFormat="1" x14ac:dyDescent="0.25">
      <c r="A904" s="200">
        <v>717782</v>
      </c>
      <c r="B904" s="313" t="s">
        <v>19607</v>
      </c>
      <c r="C904" s="248"/>
      <c r="D904" s="247" t="s">
        <v>2</v>
      </c>
      <c r="E904" s="249">
        <f t="shared" si="412"/>
        <v>56.666679999999999</v>
      </c>
      <c r="F904" s="170">
        <f t="shared" si="412"/>
        <v>68.333333333333343</v>
      </c>
      <c r="G904" s="250">
        <v>0.4</v>
      </c>
      <c r="H904" s="171">
        <f t="shared" si="417"/>
        <v>0.4</v>
      </c>
      <c r="I904" s="249">
        <f t="shared" si="413"/>
        <v>63.750014999999998</v>
      </c>
      <c r="J904" s="170">
        <f t="shared" si="413"/>
        <v>76.875</v>
      </c>
      <c r="K904" s="250">
        <v>0.45</v>
      </c>
      <c r="L904" s="172">
        <f t="shared" si="423"/>
        <v>0.45</v>
      </c>
      <c r="M904" s="249">
        <f t="shared" si="424"/>
        <v>14.16667</v>
      </c>
      <c r="N904" s="170">
        <f t="shared" si="418"/>
        <v>17.083333333333336</v>
      </c>
      <c r="O904" s="250">
        <v>0.1</v>
      </c>
      <c r="P904" s="172">
        <f t="shared" si="419"/>
        <v>0.1</v>
      </c>
      <c r="Q904" s="251">
        <f t="shared" si="420"/>
        <v>7.0833349999999999</v>
      </c>
      <c r="R904" s="173">
        <f t="shared" si="421"/>
        <v>8.5416666666666679</v>
      </c>
      <c r="S904" s="250">
        <v>0.05</v>
      </c>
      <c r="T904" s="171">
        <f t="shared" si="422"/>
        <v>0.05</v>
      </c>
      <c r="U904" s="256">
        <v>141.66669999999999</v>
      </c>
      <c r="V904" s="170">
        <f>205/1.2</f>
        <v>170.83333333333334</v>
      </c>
      <c r="W904" s="258">
        <v>0.2</v>
      </c>
      <c r="X904" s="257">
        <f t="shared" si="416"/>
        <v>170.00003999999998</v>
      </c>
      <c r="Y904" s="170">
        <f t="shared" si="415"/>
        <v>205</v>
      </c>
      <c r="Z904" s="170">
        <f t="shared" si="425"/>
        <v>205</v>
      </c>
      <c r="AA904" s="407">
        <f t="shared" si="414"/>
        <v>0</v>
      </c>
      <c r="AB904" s="194"/>
    </row>
    <row r="905" spans="1:28" s="278" customFormat="1" x14ac:dyDescent="0.25">
      <c r="A905" s="200">
        <v>717782</v>
      </c>
      <c r="B905" s="313" t="s">
        <v>19608</v>
      </c>
      <c r="C905" s="248"/>
      <c r="D905" s="247" t="s">
        <v>2</v>
      </c>
      <c r="E905" s="249">
        <f t="shared" si="412"/>
        <v>41.666680000000007</v>
      </c>
      <c r="F905" s="170">
        <f t="shared" si="412"/>
        <v>53.333333333333343</v>
      </c>
      <c r="G905" s="250">
        <v>0.4</v>
      </c>
      <c r="H905" s="171">
        <f t="shared" si="417"/>
        <v>0.4</v>
      </c>
      <c r="I905" s="249">
        <f t="shared" si="413"/>
        <v>46.875015000000005</v>
      </c>
      <c r="J905" s="170">
        <f t="shared" si="413"/>
        <v>60.000000000000007</v>
      </c>
      <c r="K905" s="250">
        <v>0.45</v>
      </c>
      <c r="L905" s="172">
        <f t="shared" si="423"/>
        <v>0.45</v>
      </c>
      <c r="M905" s="249">
        <f t="shared" si="424"/>
        <v>10.416670000000002</v>
      </c>
      <c r="N905" s="170">
        <f t="shared" si="418"/>
        <v>13.333333333333336</v>
      </c>
      <c r="O905" s="250">
        <v>0.1</v>
      </c>
      <c r="P905" s="172">
        <f t="shared" si="419"/>
        <v>0.1</v>
      </c>
      <c r="Q905" s="251">
        <f t="shared" si="420"/>
        <v>5.2083350000000008</v>
      </c>
      <c r="R905" s="173">
        <f t="shared" si="421"/>
        <v>6.6666666666666679</v>
      </c>
      <c r="S905" s="250">
        <v>0.05</v>
      </c>
      <c r="T905" s="171">
        <f t="shared" si="422"/>
        <v>0.05</v>
      </c>
      <c r="U905" s="256">
        <v>104.16670000000001</v>
      </c>
      <c r="V905" s="170">
        <f>160/1.2</f>
        <v>133.33333333333334</v>
      </c>
      <c r="W905" s="258">
        <v>0.2</v>
      </c>
      <c r="X905" s="257">
        <f t="shared" si="416"/>
        <v>125.00004000000001</v>
      </c>
      <c r="Y905" s="170">
        <f t="shared" si="415"/>
        <v>160</v>
      </c>
      <c r="Z905" s="170">
        <f t="shared" si="425"/>
        <v>160</v>
      </c>
      <c r="AA905" s="407">
        <f t="shared" si="414"/>
        <v>0</v>
      </c>
      <c r="AB905" s="194"/>
    </row>
    <row r="906" spans="1:28" s="278" customFormat="1" x14ac:dyDescent="0.25">
      <c r="A906" s="200">
        <v>717784</v>
      </c>
      <c r="B906" s="313" t="s">
        <v>19609</v>
      </c>
      <c r="C906" s="248"/>
      <c r="D906" s="247" t="s">
        <v>2</v>
      </c>
      <c r="E906" s="249">
        <f t="shared" si="412"/>
        <v>60</v>
      </c>
      <c r="F906" s="170">
        <f t="shared" si="412"/>
        <v>61.218000000000011</v>
      </c>
      <c r="G906" s="250">
        <v>0.4</v>
      </c>
      <c r="H906" s="171">
        <f t="shared" si="417"/>
        <v>0.4</v>
      </c>
      <c r="I906" s="249">
        <f t="shared" si="413"/>
        <v>67.5</v>
      </c>
      <c r="J906" s="170">
        <f t="shared" si="413"/>
        <v>68.870250000000013</v>
      </c>
      <c r="K906" s="250">
        <v>0.45</v>
      </c>
      <c r="L906" s="172">
        <f t="shared" si="423"/>
        <v>0.45</v>
      </c>
      <c r="M906" s="249">
        <f t="shared" si="424"/>
        <v>15</v>
      </c>
      <c r="N906" s="170">
        <f t="shared" si="418"/>
        <v>15.304500000000003</v>
      </c>
      <c r="O906" s="250">
        <v>0.1</v>
      </c>
      <c r="P906" s="172">
        <f t="shared" si="419"/>
        <v>0.1</v>
      </c>
      <c r="Q906" s="251">
        <f t="shared" si="420"/>
        <v>7.5</v>
      </c>
      <c r="R906" s="173">
        <f t="shared" si="421"/>
        <v>7.6522500000000013</v>
      </c>
      <c r="S906" s="250">
        <v>0.05</v>
      </c>
      <c r="T906" s="171">
        <f t="shared" si="422"/>
        <v>0.05</v>
      </c>
      <c r="U906" s="256">
        <v>150</v>
      </c>
      <c r="V906" s="170">
        <f t="shared" si="426"/>
        <v>153.04500000000002</v>
      </c>
      <c r="W906" s="258">
        <v>0.2</v>
      </c>
      <c r="X906" s="257">
        <f t="shared" si="416"/>
        <v>180</v>
      </c>
      <c r="Y906" s="170">
        <f t="shared" si="415"/>
        <v>183.65400000000002</v>
      </c>
      <c r="Z906" s="170">
        <f t="shared" si="425"/>
        <v>185</v>
      </c>
      <c r="AA906" s="407">
        <f t="shared" si="414"/>
        <v>0</v>
      </c>
      <c r="AB906" s="194"/>
    </row>
    <row r="907" spans="1:28" s="278" customFormat="1" x14ac:dyDescent="0.25">
      <c r="A907" s="200">
        <v>717784</v>
      </c>
      <c r="B907" s="313" t="s">
        <v>19610</v>
      </c>
      <c r="C907" s="248"/>
      <c r="D907" s="247" t="s">
        <v>2</v>
      </c>
      <c r="E907" s="249">
        <f t="shared" si="412"/>
        <v>45</v>
      </c>
      <c r="F907" s="170">
        <f t="shared" si="412"/>
        <v>45.913500000000013</v>
      </c>
      <c r="G907" s="250">
        <v>0.4</v>
      </c>
      <c r="H907" s="171">
        <f t="shared" si="417"/>
        <v>0.4</v>
      </c>
      <c r="I907" s="249">
        <f t="shared" si="413"/>
        <v>50.625</v>
      </c>
      <c r="J907" s="170">
        <f t="shared" si="413"/>
        <v>51.652687500000013</v>
      </c>
      <c r="K907" s="250">
        <v>0.45</v>
      </c>
      <c r="L907" s="172">
        <f t="shared" si="423"/>
        <v>0.45</v>
      </c>
      <c r="M907" s="249">
        <f t="shared" si="424"/>
        <v>11.25</v>
      </c>
      <c r="N907" s="170">
        <f t="shared" si="418"/>
        <v>11.478375000000003</v>
      </c>
      <c r="O907" s="250">
        <v>0.1</v>
      </c>
      <c r="P907" s="172">
        <f t="shared" si="419"/>
        <v>0.1</v>
      </c>
      <c r="Q907" s="251">
        <f t="shared" si="420"/>
        <v>5.625</v>
      </c>
      <c r="R907" s="173">
        <f t="shared" si="421"/>
        <v>5.7391875000000017</v>
      </c>
      <c r="S907" s="250">
        <v>0.05</v>
      </c>
      <c r="T907" s="171">
        <f t="shared" si="422"/>
        <v>0.05</v>
      </c>
      <c r="U907" s="256">
        <v>112.5</v>
      </c>
      <c r="V907" s="170">
        <f t="shared" si="426"/>
        <v>114.78375000000003</v>
      </c>
      <c r="W907" s="258">
        <v>0.2</v>
      </c>
      <c r="X907" s="257">
        <f t="shared" si="416"/>
        <v>135</v>
      </c>
      <c r="Y907" s="170">
        <f t="shared" si="415"/>
        <v>137.74050000000003</v>
      </c>
      <c r="Z907" s="170">
        <f t="shared" si="425"/>
        <v>140</v>
      </c>
      <c r="AA907" s="407">
        <f t="shared" si="414"/>
        <v>0</v>
      </c>
      <c r="AB907" s="194"/>
    </row>
    <row r="908" spans="1:28" s="278" customFormat="1" x14ac:dyDescent="0.25">
      <c r="A908" s="200">
        <v>717786</v>
      </c>
      <c r="B908" s="313" t="s">
        <v>19611</v>
      </c>
      <c r="C908" s="248"/>
      <c r="D908" s="247" t="s">
        <v>2</v>
      </c>
      <c r="E908" s="249">
        <f t="shared" si="412"/>
        <v>66.666679999999999</v>
      </c>
      <c r="F908" s="170">
        <f t="shared" si="412"/>
        <v>73.333333333333343</v>
      </c>
      <c r="G908" s="250">
        <v>0.4</v>
      </c>
      <c r="H908" s="171">
        <f t="shared" si="417"/>
        <v>0.4</v>
      </c>
      <c r="I908" s="249">
        <f t="shared" si="413"/>
        <v>75.000015000000005</v>
      </c>
      <c r="J908" s="170">
        <f t="shared" si="413"/>
        <v>82.5</v>
      </c>
      <c r="K908" s="250">
        <v>0.45</v>
      </c>
      <c r="L908" s="172">
        <f t="shared" si="423"/>
        <v>0.45</v>
      </c>
      <c r="M908" s="249">
        <f t="shared" si="424"/>
        <v>16.66667</v>
      </c>
      <c r="N908" s="170">
        <f t="shared" si="418"/>
        <v>18.333333333333336</v>
      </c>
      <c r="O908" s="250">
        <v>0.1</v>
      </c>
      <c r="P908" s="172">
        <f t="shared" si="419"/>
        <v>0.1</v>
      </c>
      <c r="Q908" s="251">
        <f t="shared" si="420"/>
        <v>8.3333349999999999</v>
      </c>
      <c r="R908" s="173">
        <f t="shared" si="421"/>
        <v>9.1666666666666679</v>
      </c>
      <c r="S908" s="250">
        <v>0.05</v>
      </c>
      <c r="T908" s="171">
        <f t="shared" si="422"/>
        <v>0.05</v>
      </c>
      <c r="U908" s="256">
        <v>166.66669999999999</v>
      </c>
      <c r="V908" s="170">
        <f>220/1.2</f>
        <v>183.33333333333334</v>
      </c>
      <c r="W908" s="258">
        <v>0.2</v>
      </c>
      <c r="X908" s="257">
        <f t="shared" si="416"/>
        <v>200.00003999999998</v>
      </c>
      <c r="Y908" s="170">
        <f t="shared" si="415"/>
        <v>220</v>
      </c>
      <c r="Z908" s="170">
        <f t="shared" si="425"/>
        <v>220</v>
      </c>
      <c r="AA908" s="407">
        <f t="shared" si="414"/>
        <v>0</v>
      </c>
      <c r="AB908" s="194"/>
    </row>
    <row r="909" spans="1:28" s="278" customFormat="1" x14ac:dyDescent="0.25">
      <c r="A909" s="200">
        <v>717786</v>
      </c>
      <c r="B909" s="313" t="s">
        <v>19612</v>
      </c>
      <c r="C909" s="248"/>
      <c r="D909" s="247" t="s">
        <v>2</v>
      </c>
      <c r="E909" s="249">
        <f t="shared" si="412"/>
        <v>48.333320000000001</v>
      </c>
      <c r="F909" s="170">
        <f t="shared" si="412"/>
        <v>58.333333333333343</v>
      </c>
      <c r="G909" s="250">
        <v>0.4</v>
      </c>
      <c r="H909" s="171">
        <f t="shared" si="417"/>
        <v>0.4</v>
      </c>
      <c r="I909" s="249">
        <f t="shared" si="413"/>
        <v>54.374984999999995</v>
      </c>
      <c r="J909" s="170">
        <f t="shared" si="413"/>
        <v>65.625</v>
      </c>
      <c r="K909" s="250">
        <v>0.45</v>
      </c>
      <c r="L909" s="172">
        <f t="shared" si="423"/>
        <v>0.45</v>
      </c>
      <c r="M909" s="249">
        <f t="shared" si="424"/>
        <v>12.08333</v>
      </c>
      <c r="N909" s="170">
        <f t="shared" si="418"/>
        <v>14.583333333333336</v>
      </c>
      <c r="O909" s="250">
        <v>0.1</v>
      </c>
      <c r="P909" s="172">
        <f t="shared" si="419"/>
        <v>0.1</v>
      </c>
      <c r="Q909" s="251">
        <f t="shared" si="420"/>
        <v>6.0416650000000001</v>
      </c>
      <c r="R909" s="173">
        <f t="shared" si="421"/>
        <v>7.2916666666666679</v>
      </c>
      <c r="S909" s="250">
        <v>0.05</v>
      </c>
      <c r="T909" s="171">
        <f t="shared" si="422"/>
        <v>0.05</v>
      </c>
      <c r="U909" s="256">
        <v>120.83329999999999</v>
      </c>
      <c r="V909" s="170">
        <f>175/1.2</f>
        <v>145.83333333333334</v>
      </c>
      <c r="W909" s="258">
        <v>0.2</v>
      </c>
      <c r="X909" s="257">
        <f t="shared" si="416"/>
        <v>144.99995999999999</v>
      </c>
      <c r="Y909" s="170">
        <f t="shared" si="415"/>
        <v>175</v>
      </c>
      <c r="Z909" s="170">
        <f t="shared" si="425"/>
        <v>175</v>
      </c>
      <c r="AA909" s="407">
        <f t="shared" si="414"/>
        <v>0</v>
      </c>
      <c r="AB909" s="194"/>
    </row>
    <row r="910" spans="1:28" s="278" customFormat="1" x14ac:dyDescent="0.25">
      <c r="A910" s="200">
        <v>717788</v>
      </c>
      <c r="B910" s="313" t="s">
        <v>19613</v>
      </c>
      <c r="C910" s="248"/>
      <c r="D910" s="247" t="s">
        <v>2</v>
      </c>
      <c r="E910" s="249">
        <f t="shared" si="412"/>
        <v>70</v>
      </c>
      <c r="F910" s="170">
        <f t="shared" si="412"/>
        <v>76.666666666666671</v>
      </c>
      <c r="G910" s="250">
        <v>0.4</v>
      </c>
      <c r="H910" s="171">
        <f t="shared" si="417"/>
        <v>0.4</v>
      </c>
      <c r="I910" s="249">
        <f t="shared" si="413"/>
        <v>78.75</v>
      </c>
      <c r="J910" s="170">
        <f t="shared" si="413"/>
        <v>86.250000000000014</v>
      </c>
      <c r="K910" s="250">
        <v>0.45</v>
      </c>
      <c r="L910" s="172">
        <f t="shared" si="423"/>
        <v>0.45</v>
      </c>
      <c r="M910" s="249">
        <f t="shared" si="424"/>
        <v>17.5</v>
      </c>
      <c r="N910" s="170">
        <f t="shared" si="418"/>
        <v>19.166666666666668</v>
      </c>
      <c r="O910" s="250">
        <v>0.1</v>
      </c>
      <c r="P910" s="172">
        <f t="shared" si="419"/>
        <v>0.1</v>
      </c>
      <c r="Q910" s="251">
        <f t="shared" si="420"/>
        <v>8.75</v>
      </c>
      <c r="R910" s="173">
        <f t="shared" si="421"/>
        <v>9.5833333333333339</v>
      </c>
      <c r="S910" s="250">
        <v>0.05</v>
      </c>
      <c r="T910" s="171">
        <f t="shared" si="422"/>
        <v>0.05</v>
      </c>
      <c r="U910" s="256">
        <v>175</v>
      </c>
      <c r="V910" s="170">
        <f>230/1.2</f>
        <v>191.66666666666669</v>
      </c>
      <c r="W910" s="258">
        <v>0.2</v>
      </c>
      <c r="X910" s="257">
        <f t="shared" si="416"/>
        <v>210</v>
      </c>
      <c r="Y910" s="170">
        <f t="shared" si="415"/>
        <v>230.00000000000003</v>
      </c>
      <c r="Z910" s="170">
        <f t="shared" si="425"/>
        <v>230</v>
      </c>
      <c r="AA910" s="407">
        <f t="shared" si="414"/>
        <v>0</v>
      </c>
      <c r="AB910" s="194"/>
    </row>
    <row r="911" spans="1:28" s="278" customFormat="1" x14ac:dyDescent="0.25">
      <c r="A911" s="200">
        <v>717788</v>
      </c>
      <c r="B911" s="313" t="s">
        <v>19614</v>
      </c>
      <c r="C911" s="248"/>
      <c r="D911" s="247" t="s">
        <v>2</v>
      </c>
      <c r="E911" s="249">
        <f t="shared" si="412"/>
        <v>53.333200000000005</v>
      </c>
      <c r="F911" s="170">
        <f t="shared" si="412"/>
        <v>60</v>
      </c>
      <c r="G911" s="250">
        <v>0.4</v>
      </c>
      <c r="H911" s="171">
        <f t="shared" si="417"/>
        <v>0.4</v>
      </c>
      <c r="I911" s="249">
        <f t="shared" si="413"/>
        <v>59.999850000000002</v>
      </c>
      <c r="J911" s="170">
        <f t="shared" si="413"/>
        <v>67.5</v>
      </c>
      <c r="K911" s="250">
        <v>0.45</v>
      </c>
      <c r="L911" s="172">
        <f t="shared" si="423"/>
        <v>0.45</v>
      </c>
      <c r="M911" s="249">
        <f t="shared" si="424"/>
        <v>13.333300000000001</v>
      </c>
      <c r="N911" s="170">
        <f t="shared" si="418"/>
        <v>15</v>
      </c>
      <c r="O911" s="250">
        <v>0.1</v>
      </c>
      <c r="P911" s="172">
        <f t="shared" si="419"/>
        <v>0.1</v>
      </c>
      <c r="Q911" s="251">
        <f t="shared" si="420"/>
        <v>6.6666500000000006</v>
      </c>
      <c r="R911" s="173">
        <f t="shared" si="421"/>
        <v>7.5</v>
      </c>
      <c r="S911" s="250">
        <v>0.05</v>
      </c>
      <c r="T911" s="171">
        <f t="shared" si="422"/>
        <v>0.05</v>
      </c>
      <c r="U911" s="256">
        <v>133.333</v>
      </c>
      <c r="V911" s="170">
        <f>180/1.2</f>
        <v>150</v>
      </c>
      <c r="W911" s="258">
        <v>0.2</v>
      </c>
      <c r="X911" s="257">
        <f t="shared" si="416"/>
        <v>159.99959999999999</v>
      </c>
      <c r="Y911" s="170">
        <f t="shared" si="415"/>
        <v>180</v>
      </c>
      <c r="Z911" s="170">
        <f t="shared" si="425"/>
        <v>180</v>
      </c>
      <c r="AA911" s="407">
        <f t="shared" si="414"/>
        <v>0</v>
      </c>
      <c r="AB911" s="194"/>
    </row>
    <row r="912" spans="1:28" s="278" customFormat="1" x14ac:dyDescent="0.25">
      <c r="A912" s="200">
        <v>717790</v>
      </c>
      <c r="B912" s="313" t="s">
        <v>19615</v>
      </c>
      <c r="C912" s="248"/>
      <c r="D912" s="247" t="s">
        <v>2</v>
      </c>
      <c r="E912" s="249">
        <f t="shared" si="412"/>
        <v>41.250015000000005</v>
      </c>
      <c r="F912" s="170">
        <f t="shared" si="412"/>
        <v>42.099765309000013</v>
      </c>
      <c r="G912" s="250">
        <v>0.45</v>
      </c>
      <c r="H912" s="171">
        <f t="shared" si="417"/>
        <v>0.45</v>
      </c>
      <c r="I912" s="249">
        <f t="shared" si="413"/>
        <v>36.666680000000007</v>
      </c>
      <c r="J912" s="170">
        <f t="shared" si="413"/>
        <v>37.422013608000007</v>
      </c>
      <c r="K912" s="250">
        <v>0.4</v>
      </c>
      <c r="L912" s="172">
        <f t="shared" si="423"/>
        <v>0.4</v>
      </c>
      <c r="M912" s="249">
        <f t="shared" si="424"/>
        <v>9.1666700000000017</v>
      </c>
      <c r="N912" s="170">
        <f t="shared" si="418"/>
        <v>9.3555034020000019</v>
      </c>
      <c r="O912" s="250">
        <v>0.1</v>
      </c>
      <c r="P912" s="172">
        <f t="shared" si="419"/>
        <v>0.1</v>
      </c>
      <c r="Q912" s="251">
        <f t="shared" si="420"/>
        <v>4.5833350000000008</v>
      </c>
      <c r="R912" s="173">
        <f t="shared" si="421"/>
        <v>4.6777517010000009</v>
      </c>
      <c r="S912" s="250">
        <v>0.05</v>
      </c>
      <c r="T912" s="171">
        <f t="shared" si="422"/>
        <v>0.05</v>
      </c>
      <c r="U912" s="256">
        <v>91.666700000000006</v>
      </c>
      <c r="V912" s="170">
        <f t="shared" si="426"/>
        <v>93.555034020000022</v>
      </c>
      <c r="W912" s="258">
        <v>0.2</v>
      </c>
      <c r="X912" s="257">
        <f t="shared" si="416"/>
        <v>110.00004000000001</v>
      </c>
      <c r="Y912" s="170">
        <f t="shared" si="415"/>
        <v>112.26604082400003</v>
      </c>
      <c r="Z912" s="170">
        <f t="shared" si="425"/>
        <v>115</v>
      </c>
      <c r="AA912" s="407">
        <f t="shared" si="414"/>
        <v>0</v>
      </c>
      <c r="AB912" s="194"/>
    </row>
    <row r="913" spans="1:28" s="278" customFormat="1" x14ac:dyDescent="0.25">
      <c r="A913" s="200">
        <v>717790</v>
      </c>
      <c r="B913" s="313" t="s">
        <v>19616</v>
      </c>
      <c r="C913" s="248"/>
      <c r="D913" s="247" t="s">
        <v>2</v>
      </c>
      <c r="E913" s="249">
        <f t="shared" si="412"/>
        <v>20.624985000000002</v>
      </c>
      <c r="F913" s="170">
        <f t="shared" si="412"/>
        <v>21.049859691000005</v>
      </c>
      <c r="G913" s="250">
        <v>0.45</v>
      </c>
      <c r="H913" s="171">
        <f t="shared" si="417"/>
        <v>0.45</v>
      </c>
      <c r="I913" s="249">
        <f t="shared" si="413"/>
        <v>18.333320000000001</v>
      </c>
      <c r="J913" s="170">
        <f t="shared" si="413"/>
        <v>18.710986392000006</v>
      </c>
      <c r="K913" s="250">
        <v>0.4</v>
      </c>
      <c r="L913" s="172">
        <f t="shared" si="423"/>
        <v>0.4</v>
      </c>
      <c r="M913" s="249">
        <f t="shared" si="424"/>
        <v>4.5833300000000001</v>
      </c>
      <c r="N913" s="170">
        <f t="shared" si="418"/>
        <v>4.6777465980000015</v>
      </c>
      <c r="O913" s="250">
        <v>0.1</v>
      </c>
      <c r="P913" s="172">
        <f t="shared" si="419"/>
        <v>0.1</v>
      </c>
      <c r="Q913" s="251">
        <f t="shared" si="420"/>
        <v>2.2916650000000001</v>
      </c>
      <c r="R913" s="173">
        <f t="shared" si="421"/>
        <v>2.3388732990000007</v>
      </c>
      <c r="S913" s="250">
        <v>0.05</v>
      </c>
      <c r="T913" s="171">
        <f t="shared" si="422"/>
        <v>0.05</v>
      </c>
      <c r="U913" s="256">
        <v>45.833300000000001</v>
      </c>
      <c r="V913" s="170">
        <f t="shared" si="426"/>
        <v>46.777465980000009</v>
      </c>
      <c r="W913" s="258">
        <v>0.2</v>
      </c>
      <c r="X913" s="257">
        <f t="shared" si="416"/>
        <v>54.999960000000002</v>
      </c>
      <c r="Y913" s="170">
        <f t="shared" si="415"/>
        <v>56.132959176000007</v>
      </c>
      <c r="Z913" s="170">
        <f t="shared" si="425"/>
        <v>57</v>
      </c>
      <c r="AA913" s="407">
        <f t="shared" si="414"/>
        <v>0</v>
      </c>
      <c r="AB913" s="194"/>
    </row>
    <row r="914" spans="1:28" s="278" customFormat="1" x14ac:dyDescent="0.25">
      <c r="A914" s="200">
        <v>717792</v>
      </c>
      <c r="B914" s="313" t="s">
        <v>19617</v>
      </c>
      <c r="C914" s="248"/>
      <c r="D914" s="247" t="s">
        <v>2</v>
      </c>
      <c r="E914" s="249">
        <f t="shared" ref="E914:F977" si="427">U914*G914</f>
        <v>45</v>
      </c>
      <c r="F914" s="170">
        <f t="shared" si="427"/>
        <v>45.927000000000007</v>
      </c>
      <c r="G914" s="250">
        <v>0.45</v>
      </c>
      <c r="H914" s="171">
        <f t="shared" si="417"/>
        <v>0.45</v>
      </c>
      <c r="I914" s="249">
        <f t="shared" ref="I914:J977" si="428">U914*K914</f>
        <v>40</v>
      </c>
      <c r="J914" s="170">
        <f t="shared" si="428"/>
        <v>40.824000000000012</v>
      </c>
      <c r="K914" s="250">
        <v>0.4</v>
      </c>
      <c r="L914" s="172">
        <f t="shared" si="423"/>
        <v>0.4</v>
      </c>
      <c r="M914" s="249">
        <f t="shared" si="424"/>
        <v>10</v>
      </c>
      <c r="N914" s="170">
        <f t="shared" si="418"/>
        <v>10.206000000000003</v>
      </c>
      <c r="O914" s="250">
        <v>0.1</v>
      </c>
      <c r="P914" s="172">
        <f t="shared" si="419"/>
        <v>0.1</v>
      </c>
      <c r="Q914" s="251">
        <f t="shared" si="420"/>
        <v>5</v>
      </c>
      <c r="R914" s="173">
        <f t="shared" si="421"/>
        <v>5.1030000000000015</v>
      </c>
      <c r="S914" s="250">
        <v>0.05</v>
      </c>
      <c r="T914" s="171">
        <f t="shared" si="422"/>
        <v>0.05</v>
      </c>
      <c r="U914" s="256">
        <v>100</v>
      </c>
      <c r="V914" s="170">
        <f t="shared" si="426"/>
        <v>102.06000000000002</v>
      </c>
      <c r="W914" s="258">
        <v>0.2</v>
      </c>
      <c r="X914" s="257">
        <f t="shared" si="416"/>
        <v>120</v>
      </c>
      <c r="Y914" s="170">
        <f t="shared" si="415"/>
        <v>122.47200000000001</v>
      </c>
      <c r="Z914" s="170">
        <f t="shared" si="425"/>
        <v>125</v>
      </c>
      <c r="AA914" s="407">
        <f t="shared" si="414"/>
        <v>0</v>
      </c>
      <c r="AB914" s="194"/>
    </row>
    <row r="915" spans="1:28" s="278" customFormat="1" x14ac:dyDescent="0.25">
      <c r="A915" s="200">
        <v>717792</v>
      </c>
      <c r="B915" s="313" t="s">
        <v>19618</v>
      </c>
      <c r="C915" s="248"/>
      <c r="D915" s="247" t="s">
        <v>2</v>
      </c>
      <c r="E915" s="249">
        <f t="shared" si="427"/>
        <v>24.375001500000003</v>
      </c>
      <c r="F915" s="170">
        <f t="shared" si="427"/>
        <v>24.877126530900007</v>
      </c>
      <c r="G915" s="250">
        <v>0.45</v>
      </c>
      <c r="H915" s="171">
        <f t="shared" si="417"/>
        <v>0.45</v>
      </c>
      <c r="I915" s="249">
        <f t="shared" si="428"/>
        <v>21.666668000000001</v>
      </c>
      <c r="J915" s="170">
        <f t="shared" si="428"/>
        <v>22.113001360800009</v>
      </c>
      <c r="K915" s="250">
        <v>0.4</v>
      </c>
      <c r="L915" s="172">
        <f t="shared" si="423"/>
        <v>0.4</v>
      </c>
      <c r="M915" s="249">
        <f t="shared" si="424"/>
        <v>5.4166670000000003</v>
      </c>
      <c r="N915" s="170">
        <f t="shared" si="418"/>
        <v>5.5282503402000023</v>
      </c>
      <c r="O915" s="250">
        <v>0.1</v>
      </c>
      <c r="P915" s="172">
        <f t="shared" si="419"/>
        <v>0.1</v>
      </c>
      <c r="Q915" s="251">
        <f t="shared" si="420"/>
        <v>2.7083335000000002</v>
      </c>
      <c r="R915" s="173">
        <f t="shared" si="421"/>
        <v>2.7641251701000011</v>
      </c>
      <c r="S915" s="250">
        <v>0.05</v>
      </c>
      <c r="T915" s="171">
        <f t="shared" si="422"/>
        <v>0.05</v>
      </c>
      <c r="U915" s="256">
        <v>54.166670000000003</v>
      </c>
      <c r="V915" s="170">
        <f t="shared" si="426"/>
        <v>55.282503402000017</v>
      </c>
      <c r="W915" s="258">
        <v>0.2</v>
      </c>
      <c r="X915" s="257">
        <f t="shared" si="416"/>
        <v>65.000004000000004</v>
      </c>
      <c r="Y915" s="170">
        <f t="shared" si="415"/>
        <v>66.339004082400024</v>
      </c>
      <c r="Z915" s="170">
        <f t="shared" si="425"/>
        <v>67</v>
      </c>
      <c r="AA915" s="407">
        <f t="shared" si="414"/>
        <v>0</v>
      </c>
      <c r="AB915" s="194"/>
    </row>
    <row r="916" spans="1:28" s="278" customFormat="1" x14ac:dyDescent="0.25">
      <c r="A916" s="200">
        <v>717795</v>
      </c>
      <c r="B916" s="313" t="s">
        <v>19619</v>
      </c>
      <c r="C916" s="248"/>
      <c r="D916" s="247" t="s">
        <v>2</v>
      </c>
      <c r="E916" s="249">
        <f t="shared" si="427"/>
        <v>48.749850000000002</v>
      </c>
      <c r="F916" s="170">
        <f t="shared" si="427"/>
        <v>49.754096910000015</v>
      </c>
      <c r="G916" s="250">
        <v>0.45</v>
      </c>
      <c r="H916" s="171">
        <f t="shared" si="417"/>
        <v>0.45</v>
      </c>
      <c r="I916" s="249">
        <f t="shared" si="428"/>
        <v>43.333200000000005</v>
      </c>
      <c r="J916" s="170">
        <f t="shared" si="428"/>
        <v>44.225863920000016</v>
      </c>
      <c r="K916" s="250">
        <v>0.4</v>
      </c>
      <c r="L916" s="172">
        <f t="shared" si="423"/>
        <v>0.4</v>
      </c>
      <c r="M916" s="249">
        <f t="shared" si="424"/>
        <v>10.833300000000001</v>
      </c>
      <c r="N916" s="170">
        <f t="shared" si="418"/>
        <v>11.056465980000004</v>
      </c>
      <c r="O916" s="250">
        <v>0.1</v>
      </c>
      <c r="P916" s="172">
        <f t="shared" si="419"/>
        <v>0.1</v>
      </c>
      <c r="Q916" s="251">
        <f t="shared" si="420"/>
        <v>5.4166500000000006</v>
      </c>
      <c r="R916" s="173">
        <f t="shared" si="421"/>
        <v>5.528232990000002</v>
      </c>
      <c r="S916" s="250">
        <v>0.05</v>
      </c>
      <c r="T916" s="171">
        <f t="shared" si="422"/>
        <v>0.05</v>
      </c>
      <c r="U916" s="256">
        <v>108.333</v>
      </c>
      <c r="V916" s="170">
        <f t="shared" si="426"/>
        <v>110.56465980000003</v>
      </c>
      <c r="W916" s="258">
        <v>0.2</v>
      </c>
      <c r="X916" s="257">
        <f t="shared" si="416"/>
        <v>129.99959999999999</v>
      </c>
      <c r="Y916" s="170">
        <f t="shared" si="415"/>
        <v>132.67759176000004</v>
      </c>
      <c r="Z916" s="170">
        <f t="shared" si="425"/>
        <v>135</v>
      </c>
      <c r="AA916" s="407">
        <f t="shared" si="414"/>
        <v>0</v>
      </c>
      <c r="AB916" s="194"/>
    </row>
    <row r="917" spans="1:28" s="278" customFormat="1" x14ac:dyDescent="0.25">
      <c r="A917" s="200">
        <v>717795</v>
      </c>
      <c r="B917" s="313" t="s">
        <v>19620</v>
      </c>
      <c r="C917" s="248"/>
      <c r="D917" s="247" t="s">
        <v>2</v>
      </c>
      <c r="E917" s="249">
        <f t="shared" si="427"/>
        <v>28.125</v>
      </c>
      <c r="F917" s="170">
        <f t="shared" si="427"/>
        <v>28.704375000000006</v>
      </c>
      <c r="G917" s="250">
        <v>0.45</v>
      </c>
      <c r="H917" s="171">
        <f t="shared" si="417"/>
        <v>0.45</v>
      </c>
      <c r="I917" s="249">
        <f t="shared" si="428"/>
        <v>25</v>
      </c>
      <c r="J917" s="170">
        <f t="shared" si="428"/>
        <v>25.515000000000004</v>
      </c>
      <c r="K917" s="250">
        <v>0.4</v>
      </c>
      <c r="L917" s="172">
        <f t="shared" si="423"/>
        <v>0.4</v>
      </c>
      <c r="M917" s="249">
        <f t="shared" si="424"/>
        <v>6.25</v>
      </c>
      <c r="N917" s="170">
        <f t="shared" si="418"/>
        <v>6.378750000000001</v>
      </c>
      <c r="O917" s="250">
        <v>0.1</v>
      </c>
      <c r="P917" s="172">
        <f t="shared" si="419"/>
        <v>0.1</v>
      </c>
      <c r="Q917" s="251">
        <f t="shared" si="420"/>
        <v>3.125</v>
      </c>
      <c r="R917" s="173">
        <f t="shared" si="421"/>
        <v>3.1893750000000005</v>
      </c>
      <c r="S917" s="250">
        <v>0.05</v>
      </c>
      <c r="T917" s="171">
        <f t="shared" si="422"/>
        <v>0.05</v>
      </c>
      <c r="U917" s="256">
        <v>62.5</v>
      </c>
      <c r="V917" s="170">
        <f t="shared" si="426"/>
        <v>63.787500000000009</v>
      </c>
      <c r="W917" s="258">
        <v>0.2</v>
      </c>
      <c r="X917" s="257">
        <f t="shared" si="416"/>
        <v>75</v>
      </c>
      <c r="Y917" s="170">
        <f t="shared" si="415"/>
        <v>76.545000000000002</v>
      </c>
      <c r="Z917" s="170">
        <f t="shared" si="425"/>
        <v>77</v>
      </c>
      <c r="AA917" s="407">
        <f t="shared" si="414"/>
        <v>0</v>
      </c>
      <c r="AB917" s="194"/>
    </row>
    <row r="918" spans="1:28" s="278" customFormat="1" ht="21" x14ac:dyDescent="0.25">
      <c r="A918" s="200">
        <v>717806</v>
      </c>
      <c r="B918" s="255" t="s">
        <v>19621</v>
      </c>
      <c r="C918" s="248"/>
      <c r="D918" s="247" t="s">
        <v>2</v>
      </c>
      <c r="E918" s="249">
        <f t="shared" si="427"/>
        <v>21.666668000000001</v>
      </c>
      <c r="F918" s="170">
        <f t="shared" si="427"/>
        <v>22.106501360400006</v>
      </c>
      <c r="G918" s="250">
        <v>0.4</v>
      </c>
      <c r="H918" s="171">
        <f t="shared" si="417"/>
        <v>0.4</v>
      </c>
      <c r="I918" s="249">
        <f t="shared" si="428"/>
        <v>24.375001500000003</v>
      </c>
      <c r="J918" s="170">
        <f t="shared" si="428"/>
        <v>24.869814030450009</v>
      </c>
      <c r="K918" s="250">
        <v>0.45</v>
      </c>
      <c r="L918" s="172">
        <f t="shared" si="423"/>
        <v>0.45</v>
      </c>
      <c r="M918" s="249">
        <f t="shared" si="424"/>
        <v>5.4166670000000003</v>
      </c>
      <c r="N918" s="170">
        <f t="shared" si="418"/>
        <v>5.5266253401000016</v>
      </c>
      <c r="O918" s="250">
        <v>0.1</v>
      </c>
      <c r="P918" s="172">
        <f t="shared" si="419"/>
        <v>0.1</v>
      </c>
      <c r="Q918" s="251">
        <f t="shared" si="420"/>
        <v>2.7083335000000002</v>
      </c>
      <c r="R918" s="173">
        <f t="shared" si="421"/>
        <v>2.7633126700500008</v>
      </c>
      <c r="S918" s="250">
        <v>0.05</v>
      </c>
      <c r="T918" s="171">
        <f t="shared" si="422"/>
        <v>0.05</v>
      </c>
      <c r="U918" s="256">
        <v>54.166670000000003</v>
      </c>
      <c r="V918" s="170">
        <f t="shared" si="426"/>
        <v>55.266253401000014</v>
      </c>
      <c r="W918" s="258">
        <v>0.2</v>
      </c>
      <c r="X918" s="257">
        <f t="shared" si="416"/>
        <v>65.000004000000004</v>
      </c>
      <c r="Y918" s="170">
        <f t="shared" si="415"/>
        <v>66.319504081200009</v>
      </c>
      <c r="Z918" s="170">
        <f t="shared" si="425"/>
        <v>67</v>
      </c>
      <c r="AA918" s="407">
        <f t="shared" si="414"/>
        <v>0</v>
      </c>
      <c r="AB918" s="194"/>
    </row>
    <row r="919" spans="1:28" s="278" customFormat="1" ht="21" x14ac:dyDescent="0.25">
      <c r="A919" s="200">
        <v>717806</v>
      </c>
      <c r="B919" s="255" t="s">
        <v>19622</v>
      </c>
      <c r="C919" s="248"/>
      <c r="D919" s="247" t="s">
        <v>2</v>
      </c>
      <c r="E919" s="249">
        <f t="shared" si="427"/>
        <v>16.666679999999999</v>
      </c>
      <c r="F919" s="170">
        <f t="shared" si="427"/>
        <v>17.005013604000002</v>
      </c>
      <c r="G919" s="250">
        <v>0.4</v>
      </c>
      <c r="H919" s="171">
        <f t="shared" si="417"/>
        <v>0.4</v>
      </c>
      <c r="I919" s="249">
        <f t="shared" si="428"/>
        <v>18.750015000000001</v>
      </c>
      <c r="J919" s="170">
        <f t="shared" si="428"/>
        <v>19.130640304500002</v>
      </c>
      <c r="K919" s="250">
        <v>0.45</v>
      </c>
      <c r="L919" s="172">
        <f t="shared" si="423"/>
        <v>0.45</v>
      </c>
      <c r="M919" s="249">
        <f t="shared" si="424"/>
        <v>4.1666699999999999</v>
      </c>
      <c r="N919" s="170">
        <f t="shared" si="418"/>
        <v>4.2512534010000005</v>
      </c>
      <c r="O919" s="250">
        <v>0.1</v>
      </c>
      <c r="P919" s="172">
        <f t="shared" si="419"/>
        <v>0.1</v>
      </c>
      <c r="Q919" s="251">
        <f t="shared" si="420"/>
        <v>2.0833349999999999</v>
      </c>
      <c r="R919" s="173">
        <f t="shared" si="421"/>
        <v>2.1256267005000002</v>
      </c>
      <c r="S919" s="250">
        <v>0.05</v>
      </c>
      <c r="T919" s="171">
        <f t="shared" si="422"/>
        <v>0.05</v>
      </c>
      <c r="U919" s="256">
        <v>41.666699999999999</v>
      </c>
      <c r="V919" s="170">
        <f t="shared" si="426"/>
        <v>42.512534010000003</v>
      </c>
      <c r="W919" s="258">
        <v>0.2</v>
      </c>
      <c r="X919" s="257">
        <f t="shared" si="416"/>
        <v>50.000039999999998</v>
      </c>
      <c r="Y919" s="170">
        <f t="shared" si="415"/>
        <v>51.015040812000002</v>
      </c>
      <c r="Z919" s="170">
        <f t="shared" si="425"/>
        <v>52</v>
      </c>
      <c r="AA919" s="407">
        <f t="shared" si="414"/>
        <v>0</v>
      </c>
      <c r="AB919" s="194"/>
    </row>
    <row r="920" spans="1:28" s="278" customFormat="1" ht="21" x14ac:dyDescent="0.25">
      <c r="A920" s="200">
        <v>717808</v>
      </c>
      <c r="B920" s="255" t="s">
        <v>19623</v>
      </c>
      <c r="C920" s="248"/>
      <c r="D920" s="247" t="s">
        <v>2</v>
      </c>
      <c r="E920" s="249">
        <f t="shared" si="427"/>
        <v>26.666680000000003</v>
      </c>
      <c r="F920" s="170">
        <f t="shared" si="427"/>
        <v>27.208013604000008</v>
      </c>
      <c r="G920" s="250">
        <v>0.4</v>
      </c>
      <c r="H920" s="171">
        <f t="shared" si="417"/>
        <v>0.4</v>
      </c>
      <c r="I920" s="249">
        <f t="shared" si="428"/>
        <v>30.000015000000005</v>
      </c>
      <c r="J920" s="170">
        <f t="shared" si="428"/>
        <v>30.609015304500009</v>
      </c>
      <c r="K920" s="250">
        <v>0.45</v>
      </c>
      <c r="L920" s="172">
        <f t="shared" si="423"/>
        <v>0.45</v>
      </c>
      <c r="M920" s="249">
        <f t="shared" si="424"/>
        <v>6.6666700000000008</v>
      </c>
      <c r="N920" s="170">
        <f t="shared" si="418"/>
        <v>6.8020034010000021</v>
      </c>
      <c r="O920" s="250">
        <v>0.1</v>
      </c>
      <c r="P920" s="172">
        <f t="shared" si="419"/>
        <v>0.1</v>
      </c>
      <c r="Q920" s="251">
        <f t="shared" si="420"/>
        <v>3.3333350000000004</v>
      </c>
      <c r="R920" s="173">
        <f t="shared" si="421"/>
        <v>3.4010017005000011</v>
      </c>
      <c r="S920" s="250">
        <v>0.05</v>
      </c>
      <c r="T920" s="171">
        <f t="shared" si="422"/>
        <v>0.05</v>
      </c>
      <c r="U920" s="256">
        <v>66.666700000000006</v>
      </c>
      <c r="V920" s="170">
        <f t="shared" si="426"/>
        <v>68.020034010000018</v>
      </c>
      <c r="W920" s="258">
        <v>0.2</v>
      </c>
      <c r="X920" s="257">
        <f t="shared" si="416"/>
        <v>80.000040000000013</v>
      </c>
      <c r="Y920" s="170">
        <f t="shared" si="415"/>
        <v>81.624040812000018</v>
      </c>
      <c r="Z920" s="170">
        <f t="shared" si="425"/>
        <v>82</v>
      </c>
      <c r="AA920" s="407">
        <f t="shared" si="414"/>
        <v>0</v>
      </c>
      <c r="AB920" s="194"/>
    </row>
    <row r="921" spans="1:28" s="278" customFormat="1" ht="21.6" thickBot="1" x14ac:dyDescent="0.3">
      <c r="A921" s="263">
        <v>717808</v>
      </c>
      <c r="B921" s="327" t="s">
        <v>19624</v>
      </c>
      <c r="C921" s="265"/>
      <c r="D921" s="264" t="s">
        <v>2</v>
      </c>
      <c r="E921" s="266">
        <f t="shared" si="427"/>
        <v>23.333200000000001</v>
      </c>
      <c r="F921" s="174">
        <f t="shared" si="427"/>
        <v>23.806863960000005</v>
      </c>
      <c r="G921" s="267">
        <v>0.4</v>
      </c>
      <c r="H921" s="268">
        <f t="shared" si="417"/>
        <v>0.4</v>
      </c>
      <c r="I921" s="266">
        <f t="shared" si="428"/>
        <v>26.249849999999999</v>
      </c>
      <c r="J921" s="174">
        <f t="shared" si="428"/>
        <v>26.782721955000007</v>
      </c>
      <c r="K921" s="267">
        <v>0.45</v>
      </c>
      <c r="L921" s="269">
        <f t="shared" si="423"/>
        <v>0.45</v>
      </c>
      <c r="M921" s="266">
        <f t="shared" si="424"/>
        <v>5.8333000000000004</v>
      </c>
      <c r="N921" s="174">
        <f t="shared" si="418"/>
        <v>5.9517159900000012</v>
      </c>
      <c r="O921" s="267">
        <v>0.1</v>
      </c>
      <c r="P921" s="269">
        <f t="shared" si="419"/>
        <v>0.1</v>
      </c>
      <c r="Q921" s="270">
        <f t="shared" si="420"/>
        <v>2.9166500000000002</v>
      </c>
      <c r="R921" s="271">
        <f t="shared" si="421"/>
        <v>2.9758579950000006</v>
      </c>
      <c r="S921" s="267">
        <v>0.05</v>
      </c>
      <c r="T921" s="268">
        <f t="shared" si="422"/>
        <v>0.05</v>
      </c>
      <c r="U921" s="409">
        <v>58.332999999999998</v>
      </c>
      <c r="V921" s="174">
        <f t="shared" si="426"/>
        <v>59.51715990000001</v>
      </c>
      <c r="W921" s="322">
        <v>0.2</v>
      </c>
      <c r="X921" s="274">
        <f t="shared" si="416"/>
        <v>69.999600000000001</v>
      </c>
      <c r="Y921" s="174">
        <f t="shared" si="415"/>
        <v>71.420591880000003</v>
      </c>
      <c r="Z921" s="174">
        <f t="shared" si="425"/>
        <v>72</v>
      </c>
      <c r="AA921" s="410">
        <f t="shared" si="414"/>
        <v>0</v>
      </c>
      <c r="AB921" s="194"/>
    </row>
    <row r="922" spans="1:28" s="278" customFormat="1" ht="21" x14ac:dyDescent="0.25">
      <c r="A922" s="426">
        <v>717810</v>
      </c>
      <c r="B922" s="438" t="s">
        <v>19625</v>
      </c>
      <c r="C922" s="428"/>
      <c r="D922" s="429" t="s">
        <v>2</v>
      </c>
      <c r="E922" s="423">
        <f t="shared" si="427"/>
        <v>36.666668000000001</v>
      </c>
      <c r="F922" s="430">
        <f t="shared" si="427"/>
        <v>37.4110013604</v>
      </c>
      <c r="G922" s="431">
        <v>0.4</v>
      </c>
      <c r="H922" s="432">
        <f t="shared" si="417"/>
        <v>0.4</v>
      </c>
      <c r="I922" s="423">
        <f t="shared" si="428"/>
        <v>41.250001499999996</v>
      </c>
      <c r="J922" s="430">
        <f t="shared" si="428"/>
        <v>42.087376530449994</v>
      </c>
      <c r="K922" s="431">
        <v>0.45</v>
      </c>
      <c r="L922" s="433">
        <f t="shared" si="423"/>
        <v>0.45</v>
      </c>
      <c r="M922" s="423">
        <f t="shared" si="424"/>
        <v>9.1666670000000003</v>
      </c>
      <c r="N922" s="430">
        <f t="shared" si="418"/>
        <v>9.3527503401000001</v>
      </c>
      <c r="O922" s="431">
        <v>0.1</v>
      </c>
      <c r="P922" s="433">
        <f t="shared" si="419"/>
        <v>0.1</v>
      </c>
      <c r="Q922" s="425">
        <f t="shared" si="420"/>
        <v>4.5833335000000002</v>
      </c>
      <c r="R922" s="434">
        <f t="shared" si="421"/>
        <v>4.67637517005</v>
      </c>
      <c r="S922" s="431">
        <v>0.05</v>
      </c>
      <c r="T922" s="432">
        <f t="shared" si="422"/>
        <v>0.05</v>
      </c>
      <c r="U922" s="435">
        <v>91.666669999999996</v>
      </c>
      <c r="V922" s="430">
        <f t="shared" si="426"/>
        <v>93.52750340099999</v>
      </c>
      <c r="W922" s="424">
        <v>0.2</v>
      </c>
      <c r="X922" s="436">
        <f t="shared" si="416"/>
        <v>110.00000399999999</v>
      </c>
      <c r="Y922" s="430">
        <f t="shared" si="415"/>
        <v>112.23300408119998</v>
      </c>
      <c r="Z922" s="430">
        <f t="shared" si="425"/>
        <v>115</v>
      </c>
      <c r="AA922" s="437">
        <f t="shared" si="414"/>
        <v>0</v>
      </c>
      <c r="AB922" s="194"/>
    </row>
    <row r="923" spans="1:28" s="278" customFormat="1" ht="21" x14ac:dyDescent="0.25">
      <c r="A923" s="200">
        <v>717810</v>
      </c>
      <c r="B923" s="255" t="s">
        <v>19626</v>
      </c>
      <c r="C923" s="248"/>
      <c r="D923" s="247" t="s">
        <v>2</v>
      </c>
      <c r="E923" s="249">
        <f t="shared" si="427"/>
        <v>33.333199999999998</v>
      </c>
      <c r="F923" s="170">
        <f t="shared" si="427"/>
        <v>34.009863960000004</v>
      </c>
      <c r="G923" s="250">
        <v>0.4</v>
      </c>
      <c r="H923" s="171">
        <f t="shared" si="417"/>
        <v>0.4</v>
      </c>
      <c r="I923" s="249">
        <f t="shared" si="428"/>
        <v>37.499850000000002</v>
      </c>
      <c r="J923" s="170">
        <f t="shared" si="428"/>
        <v>38.261096954999999</v>
      </c>
      <c r="K923" s="250">
        <v>0.45</v>
      </c>
      <c r="L923" s="172">
        <f t="shared" si="423"/>
        <v>0.45</v>
      </c>
      <c r="M923" s="249">
        <f t="shared" si="424"/>
        <v>8.3332999999999995</v>
      </c>
      <c r="N923" s="170">
        <f t="shared" si="418"/>
        <v>8.502465990000001</v>
      </c>
      <c r="O923" s="250">
        <v>0.1</v>
      </c>
      <c r="P923" s="172">
        <f t="shared" si="419"/>
        <v>0.1</v>
      </c>
      <c r="Q923" s="251">
        <f t="shared" si="420"/>
        <v>4.1666499999999997</v>
      </c>
      <c r="R923" s="173">
        <f t="shared" si="421"/>
        <v>4.2512329950000005</v>
      </c>
      <c r="S923" s="250">
        <v>0.05</v>
      </c>
      <c r="T923" s="171">
        <f t="shared" si="422"/>
        <v>0.05</v>
      </c>
      <c r="U923" s="256">
        <v>83.332999999999998</v>
      </c>
      <c r="V923" s="170">
        <f t="shared" si="426"/>
        <v>85.024659900000003</v>
      </c>
      <c r="W923" s="258">
        <v>0.2</v>
      </c>
      <c r="X923" s="257">
        <f t="shared" si="416"/>
        <v>99.999600000000001</v>
      </c>
      <c r="Y923" s="170">
        <f t="shared" si="415"/>
        <v>102.02959188</v>
      </c>
      <c r="Z923" s="170">
        <f t="shared" si="425"/>
        <v>105</v>
      </c>
      <c r="AA923" s="407">
        <f t="shared" si="414"/>
        <v>0</v>
      </c>
      <c r="AB923" s="194"/>
    </row>
    <row r="924" spans="1:28" s="278" customFormat="1" ht="21" x14ac:dyDescent="0.25">
      <c r="A924" s="200">
        <v>717812</v>
      </c>
      <c r="B924" s="255" t="s">
        <v>19627</v>
      </c>
      <c r="C924" s="248"/>
      <c r="D924" s="247" t="s">
        <v>2</v>
      </c>
      <c r="E924" s="249">
        <f t="shared" si="427"/>
        <v>43.333200000000005</v>
      </c>
      <c r="F924" s="170">
        <f t="shared" si="427"/>
        <v>44.212863960000014</v>
      </c>
      <c r="G924" s="250">
        <v>0.4</v>
      </c>
      <c r="H924" s="171">
        <f t="shared" si="417"/>
        <v>0.4</v>
      </c>
      <c r="I924" s="249">
        <f t="shared" si="428"/>
        <v>48.749850000000002</v>
      </c>
      <c r="J924" s="170">
        <f t="shared" si="428"/>
        <v>49.739471955000013</v>
      </c>
      <c r="K924" s="250">
        <v>0.45</v>
      </c>
      <c r="L924" s="172">
        <f t="shared" si="423"/>
        <v>0.45</v>
      </c>
      <c r="M924" s="249">
        <f t="shared" si="424"/>
        <v>10.833300000000001</v>
      </c>
      <c r="N924" s="170">
        <f t="shared" si="418"/>
        <v>11.053215990000004</v>
      </c>
      <c r="O924" s="250">
        <v>0.1</v>
      </c>
      <c r="P924" s="172">
        <f t="shared" si="419"/>
        <v>0.1</v>
      </c>
      <c r="Q924" s="251">
        <f t="shared" si="420"/>
        <v>5.4166500000000006</v>
      </c>
      <c r="R924" s="173">
        <f t="shared" si="421"/>
        <v>5.5266079950000018</v>
      </c>
      <c r="S924" s="250">
        <v>0.05</v>
      </c>
      <c r="T924" s="171">
        <f t="shared" si="422"/>
        <v>0.05</v>
      </c>
      <c r="U924" s="256">
        <v>108.333</v>
      </c>
      <c r="V924" s="170">
        <f t="shared" si="426"/>
        <v>110.53215990000002</v>
      </c>
      <c r="W924" s="258">
        <v>0.2</v>
      </c>
      <c r="X924" s="257">
        <f t="shared" si="416"/>
        <v>129.99959999999999</v>
      </c>
      <c r="Y924" s="170">
        <f t="shared" si="415"/>
        <v>132.63859188000004</v>
      </c>
      <c r="Z924" s="170">
        <f t="shared" si="425"/>
        <v>135</v>
      </c>
      <c r="AA924" s="407">
        <f t="shared" si="414"/>
        <v>0</v>
      </c>
      <c r="AB924" s="194"/>
    </row>
    <row r="925" spans="1:28" s="278" customFormat="1" ht="21" x14ac:dyDescent="0.25">
      <c r="A925" s="200">
        <v>717812</v>
      </c>
      <c r="B925" s="255" t="s">
        <v>19628</v>
      </c>
      <c r="C925" s="248"/>
      <c r="D925" s="247" t="s">
        <v>2</v>
      </c>
      <c r="E925" s="249">
        <f t="shared" si="427"/>
        <v>40</v>
      </c>
      <c r="F925" s="170">
        <f t="shared" si="427"/>
        <v>40.812000000000012</v>
      </c>
      <c r="G925" s="250">
        <v>0.4</v>
      </c>
      <c r="H925" s="171">
        <f t="shared" si="417"/>
        <v>0.4</v>
      </c>
      <c r="I925" s="249">
        <f t="shared" si="428"/>
        <v>45</v>
      </c>
      <c r="J925" s="170">
        <f t="shared" si="428"/>
        <v>45.913500000000006</v>
      </c>
      <c r="K925" s="250">
        <v>0.45</v>
      </c>
      <c r="L925" s="172">
        <f t="shared" si="423"/>
        <v>0.45</v>
      </c>
      <c r="M925" s="249">
        <f t="shared" si="424"/>
        <v>10</v>
      </c>
      <c r="N925" s="170">
        <f t="shared" si="418"/>
        <v>10.203000000000003</v>
      </c>
      <c r="O925" s="250">
        <v>0.1</v>
      </c>
      <c r="P925" s="172">
        <f t="shared" si="419"/>
        <v>0.1</v>
      </c>
      <c r="Q925" s="251">
        <f t="shared" si="420"/>
        <v>5</v>
      </c>
      <c r="R925" s="173">
        <f t="shared" si="421"/>
        <v>5.1015000000000015</v>
      </c>
      <c r="S925" s="250">
        <v>0.05</v>
      </c>
      <c r="T925" s="171">
        <f t="shared" si="422"/>
        <v>0.05</v>
      </c>
      <c r="U925" s="256">
        <v>100</v>
      </c>
      <c r="V925" s="170">
        <f t="shared" si="426"/>
        <v>102.03000000000002</v>
      </c>
      <c r="W925" s="258">
        <v>0.2</v>
      </c>
      <c r="X925" s="257">
        <f t="shared" si="416"/>
        <v>120</v>
      </c>
      <c r="Y925" s="170">
        <f t="shared" si="415"/>
        <v>122.43600000000001</v>
      </c>
      <c r="Z925" s="170">
        <f t="shared" si="425"/>
        <v>125</v>
      </c>
      <c r="AA925" s="407">
        <f t="shared" si="414"/>
        <v>0</v>
      </c>
      <c r="AB925" s="194"/>
    </row>
    <row r="926" spans="1:28" s="278" customFormat="1" ht="21" x14ac:dyDescent="0.25">
      <c r="A926" s="200">
        <v>717815</v>
      </c>
      <c r="B926" s="255" t="s">
        <v>19629</v>
      </c>
      <c r="C926" s="248"/>
      <c r="D926" s="247" t="s">
        <v>2</v>
      </c>
      <c r="E926" s="249">
        <f t="shared" si="427"/>
        <v>50</v>
      </c>
      <c r="F926" s="170">
        <f t="shared" si="427"/>
        <v>51.015000000000015</v>
      </c>
      <c r="G926" s="250">
        <v>0.4</v>
      </c>
      <c r="H926" s="171">
        <f t="shared" si="417"/>
        <v>0.4</v>
      </c>
      <c r="I926" s="249">
        <f t="shared" si="428"/>
        <v>56.25</v>
      </c>
      <c r="J926" s="170">
        <f t="shared" si="428"/>
        <v>57.391875000000013</v>
      </c>
      <c r="K926" s="250">
        <v>0.45</v>
      </c>
      <c r="L926" s="172">
        <f t="shared" si="423"/>
        <v>0.45</v>
      </c>
      <c r="M926" s="249">
        <f t="shared" si="424"/>
        <v>12.5</v>
      </c>
      <c r="N926" s="170">
        <f t="shared" si="418"/>
        <v>12.753750000000004</v>
      </c>
      <c r="O926" s="250">
        <v>0.1</v>
      </c>
      <c r="P926" s="172">
        <f t="shared" si="419"/>
        <v>0.1</v>
      </c>
      <c r="Q926" s="251">
        <f t="shared" si="420"/>
        <v>6.25</v>
      </c>
      <c r="R926" s="173">
        <f t="shared" si="421"/>
        <v>6.3768750000000018</v>
      </c>
      <c r="S926" s="250">
        <v>0.05</v>
      </c>
      <c r="T926" s="171">
        <f t="shared" si="422"/>
        <v>0.05</v>
      </c>
      <c r="U926" s="256">
        <v>125</v>
      </c>
      <c r="V926" s="170">
        <f t="shared" si="426"/>
        <v>127.53750000000002</v>
      </c>
      <c r="W926" s="258">
        <v>0.2</v>
      </c>
      <c r="X926" s="257">
        <f t="shared" si="416"/>
        <v>150</v>
      </c>
      <c r="Y926" s="170">
        <f t="shared" si="415"/>
        <v>153.04500000000002</v>
      </c>
      <c r="Z926" s="170">
        <f t="shared" si="425"/>
        <v>155</v>
      </c>
      <c r="AA926" s="407">
        <f t="shared" si="414"/>
        <v>0</v>
      </c>
      <c r="AB926" s="194"/>
    </row>
    <row r="927" spans="1:28" s="278" customFormat="1" ht="21" x14ac:dyDescent="0.25">
      <c r="A927" s="200">
        <v>717815</v>
      </c>
      <c r="B927" s="255" t="s">
        <v>19630</v>
      </c>
      <c r="C927" s="248"/>
      <c r="D927" s="247" t="s">
        <v>2</v>
      </c>
      <c r="E927" s="249">
        <f t="shared" si="427"/>
        <v>46.666680000000007</v>
      </c>
      <c r="F927" s="170">
        <f t="shared" si="427"/>
        <v>47.614013604000007</v>
      </c>
      <c r="G927" s="250">
        <v>0.4</v>
      </c>
      <c r="H927" s="171">
        <f t="shared" si="417"/>
        <v>0.4</v>
      </c>
      <c r="I927" s="249">
        <f t="shared" si="428"/>
        <v>52.500015000000005</v>
      </c>
      <c r="J927" s="170">
        <f t="shared" si="428"/>
        <v>53.565765304500005</v>
      </c>
      <c r="K927" s="250">
        <v>0.45</v>
      </c>
      <c r="L927" s="172">
        <f t="shared" si="423"/>
        <v>0.45</v>
      </c>
      <c r="M927" s="249">
        <f t="shared" si="424"/>
        <v>11.666670000000002</v>
      </c>
      <c r="N927" s="170">
        <f t="shared" si="418"/>
        <v>11.903503401000002</v>
      </c>
      <c r="O927" s="250">
        <v>0.1</v>
      </c>
      <c r="P927" s="172">
        <f t="shared" si="419"/>
        <v>0.1</v>
      </c>
      <c r="Q927" s="251">
        <f t="shared" si="420"/>
        <v>5.8333350000000008</v>
      </c>
      <c r="R927" s="173">
        <f t="shared" si="421"/>
        <v>5.9517517005000009</v>
      </c>
      <c r="S927" s="250">
        <v>0.05</v>
      </c>
      <c r="T927" s="171">
        <f t="shared" si="422"/>
        <v>0.05</v>
      </c>
      <c r="U927" s="256">
        <v>116.66670000000001</v>
      </c>
      <c r="V927" s="170">
        <f t="shared" si="426"/>
        <v>119.03503401</v>
      </c>
      <c r="W927" s="258">
        <v>0.2</v>
      </c>
      <c r="X927" s="257">
        <f t="shared" si="416"/>
        <v>140.00004000000001</v>
      </c>
      <c r="Y927" s="170">
        <f t="shared" si="415"/>
        <v>142.84204081199999</v>
      </c>
      <c r="Z927" s="170">
        <f t="shared" si="425"/>
        <v>145</v>
      </c>
      <c r="AA927" s="407">
        <f t="shared" si="414"/>
        <v>0</v>
      </c>
      <c r="AB927" s="194"/>
    </row>
    <row r="928" spans="1:28" s="278" customFormat="1" ht="21" x14ac:dyDescent="0.25">
      <c r="A928" s="200">
        <v>717818</v>
      </c>
      <c r="B928" s="255" t="s">
        <v>19631</v>
      </c>
      <c r="C928" s="248"/>
      <c r="D928" s="247" t="s">
        <v>2</v>
      </c>
      <c r="E928" s="249">
        <f t="shared" si="427"/>
        <v>58.332000000000008</v>
      </c>
      <c r="F928" s="170">
        <f t="shared" si="427"/>
        <v>59.51613960000001</v>
      </c>
      <c r="G928" s="250">
        <v>0.4</v>
      </c>
      <c r="H928" s="171">
        <f t="shared" si="417"/>
        <v>0.4</v>
      </c>
      <c r="I928" s="249">
        <f t="shared" si="428"/>
        <v>65.623500000000007</v>
      </c>
      <c r="J928" s="170">
        <f t="shared" si="428"/>
        <v>66.955657050000013</v>
      </c>
      <c r="K928" s="250">
        <v>0.45</v>
      </c>
      <c r="L928" s="172">
        <f t="shared" si="423"/>
        <v>0.45</v>
      </c>
      <c r="M928" s="249">
        <f t="shared" si="424"/>
        <v>14.583000000000002</v>
      </c>
      <c r="N928" s="170">
        <f t="shared" si="418"/>
        <v>14.879034900000002</v>
      </c>
      <c r="O928" s="250">
        <v>0.1</v>
      </c>
      <c r="P928" s="172">
        <f t="shared" si="419"/>
        <v>0.1</v>
      </c>
      <c r="Q928" s="251">
        <f t="shared" si="420"/>
        <v>7.291500000000001</v>
      </c>
      <c r="R928" s="173">
        <f t="shared" si="421"/>
        <v>7.4395174500000012</v>
      </c>
      <c r="S928" s="250">
        <v>0.05</v>
      </c>
      <c r="T928" s="171">
        <f t="shared" si="422"/>
        <v>0.05</v>
      </c>
      <c r="U928" s="256">
        <v>145.83000000000001</v>
      </c>
      <c r="V928" s="170">
        <f t="shared" si="426"/>
        <v>148.79034900000002</v>
      </c>
      <c r="W928" s="258">
        <v>0.2</v>
      </c>
      <c r="X928" s="257">
        <f t="shared" si="416"/>
        <v>174.99600000000001</v>
      </c>
      <c r="Y928" s="170">
        <f t="shared" si="415"/>
        <v>178.54841880000001</v>
      </c>
      <c r="Z928" s="170">
        <f t="shared" si="425"/>
        <v>180</v>
      </c>
      <c r="AA928" s="407">
        <f t="shared" si="414"/>
        <v>0</v>
      </c>
      <c r="AB928" s="194"/>
    </row>
    <row r="929" spans="1:28" s="278" customFormat="1" ht="21" x14ac:dyDescent="0.25">
      <c r="A929" s="200">
        <v>717818</v>
      </c>
      <c r="B929" s="255" t="s">
        <v>19632</v>
      </c>
      <c r="C929" s="248"/>
      <c r="D929" s="247" t="s">
        <v>2</v>
      </c>
      <c r="E929" s="249">
        <f t="shared" si="427"/>
        <v>53.333200000000005</v>
      </c>
      <c r="F929" s="170">
        <f t="shared" si="427"/>
        <v>54.415863960000003</v>
      </c>
      <c r="G929" s="250">
        <v>0.4</v>
      </c>
      <c r="H929" s="171">
        <f t="shared" si="417"/>
        <v>0.4</v>
      </c>
      <c r="I929" s="249">
        <f t="shared" si="428"/>
        <v>59.999850000000002</v>
      </c>
      <c r="J929" s="170">
        <f t="shared" si="428"/>
        <v>61.217846955000006</v>
      </c>
      <c r="K929" s="250">
        <v>0.45</v>
      </c>
      <c r="L929" s="172">
        <f t="shared" si="423"/>
        <v>0.45</v>
      </c>
      <c r="M929" s="249">
        <f t="shared" si="424"/>
        <v>13.333300000000001</v>
      </c>
      <c r="N929" s="170">
        <f t="shared" si="418"/>
        <v>13.603965990000001</v>
      </c>
      <c r="O929" s="250">
        <v>0.1</v>
      </c>
      <c r="P929" s="172">
        <f t="shared" si="419"/>
        <v>0.1</v>
      </c>
      <c r="Q929" s="251">
        <f t="shared" si="420"/>
        <v>6.6666500000000006</v>
      </c>
      <c r="R929" s="173">
        <f t="shared" si="421"/>
        <v>6.8019829950000004</v>
      </c>
      <c r="S929" s="250">
        <v>0.05</v>
      </c>
      <c r="T929" s="171">
        <f t="shared" si="422"/>
        <v>0.05</v>
      </c>
      <c r="U929" s="256">
        <v>133.333</v>
      </c>
      <c r="V929" s="170">
        <f t="shared" si="426"/>
        <v>136.0396599</v>
      </c>
      <c r="W929" s="258">
        <v>0.2</v>
      </c>
      <c r="X929" s="257">
        <f t="shared" si="416"/>
        <v>159.99959999999999</v>
      </c>
      <c r="Y929" s="170">
        <f t="shared" si="415"/>
        <v>163.24759187999999</v>
      </c>
      <c r="Z929" s="170">
        <f t="shared" si="425"/>
        <v>165</v>
      </c>
      <c r="AA929" s="407">
        <f t="shared" si="414"/>
        <v>0</v>
      </c>
      <c r="AB929" s="194"/>
    </row>
    <row r="930" spans="1:28" s="278" customFormat="1" x14ac:dyDescent="0.25">
      <c r="A930" s="200">
        <v>717826</v>
      </c>
      <c r="B930" s="313" t="s">
        <v>19633</v>
      </c>
      <c r="C930" s="248"/>
      <c r="D930" s="247" t="s">
        <v>11</v>
      </c>
      <c r="E930" s="249">
        <f t="shared" si="427"/>
        <v>243.7500015</v>
      </c>
      <c r="F930" s="170">
        <f t="shared" si="427"/>
        <v>248.68593903037498</v>
      </c>
      <c r="G930" s="250">
        <v>0.45</v>
      </c>
      <c r="H930" s="171">
        <f t="shared" si="417"/>
        <v>0.45</v>
      </c>
      <c r="I930" s="249">
        <f t="shared" si="428"/>
        <v>243.7500015</v>
      </c>
      <c r="J930" s="170">
        <f t="shared" si="428"/>
        <v>248.68593903037498</v>
      </c>
      <c r="K930" s="250">
        <v>0.45</v>
      </c>
      <c r="L930" s="172">
        <f t="shared" si="423"/>
        <v>0.45</v>
      </c>
      <c r="M930" s="249">
        <f t="shared" si="424"/>
        <v>27.083333499999998</v>
      </c>
      <c r="N930" s="170">
        <f t="shared" si="418"/>
        <v>27.631771003374997</v>
      </c>
      <c r="O930" s="250">
        <v>0.05</v>
      </c>
      <c r="P930" s="172">
        <f t="shared" si="419"/>
        <v>0.05</v>
      </c>
      <c r="Q930" s="251">
        <f t="shared" si="420"/>
        <v>27.083333499999998</v>
      </c>
      <c r="R930" s="173">
        <f t="shared" si="421"/>
        <v>27.631771003374997</v>
      </c>
      <c r="S930" s="250">
        <v>0.05</v>
      </c>
      <c r="T930" s="171">
        <f t="shared" si="422"/>
        <v>0.05</v>
      </c>
      <c r="U930" s="256">
        <v>541.66666999999995</v>
      </c>
      <c r="V930" s="170">
        <f t="shared" si="426"/>
        <v>552.63542006749992</v>
      </c>
      <c r="W930" s="258">
        <v>0.2</v>
      </c>
      <c r="X930" s="257">
        <f t="shared" si="416"/>
        <v>650.00000399999999</v>
      </c>
      <c r="Y930" s="170">
        <f t="shared" si="415"/>
        <v>663.16250408099984</v>
      </c>
      <c r="Z930" s="170">
        <f t="shared" si="425"/>
        <v>665</v>
      </c>
      <c r="AA930" s="407">
        <f t="shared" si="414"/>
        <v>0</v>
      </c>
      <c r="AB930" s="194"/>
    </row>
    <row r="931" spans="1:28" s="278" customFormat="1" x14ac:dyDescent="0.25">
      <c r="A931" s="200">
        <v>717826</v>
      </c>
      <c r="B931" s="313" t="s">
        <v>19634</v>
      </c>
      <c r="C931" s="248"/>
      <c r="D931" s="247" t="s">
        <v>11</v>
      </c>
      <c r="E931" s="249">
        <f t="shared" si="427"/>
        <v>187.50001499999999</v>
      </c>
      <c r="F931" s="170">
        <f t="shared" si="427"/>
        <v>191.29689030375002</v>
      </c>
      <c r="G931" s="250">
        <v>0.45</v>
      </c>
      <c r="H931" s="171">
        <f t="shared" si="417"/>
        <v>0.45</v>
      </c>
      <c r="I931" s="249">
        <f t="shared" si="428"/>
        <v>187.50001499999999</v>
      </c>
      <c r="J931" s="170">
        <f t="shared" si="428"/>
        <v>191.29689030375002</v>
      </c>
      <c r="K931" s="250">
        <v>0.45</v>
      </c>
      <c r="L931" s="172">
        <f t="shared" si="423"/>
        <v>0.45</v>
      </c>
      <c r="M931" s="249">
        <f t="shared" si="424"/>
        <v>20.833335000000002</v>
      </c>
      <c r="N931" s="170">
        <f t="shared" si="418"/>
        <v>21.255210033750004</v>
      </c>
      <c r="O931" s="250">
        <v>0.05</v>
      </c>
      <c r="P931" s="172">
        <f t="shared" si="419"/>
        <v>0.05</v>
      </c>
      <c r="Q931" s="251">
        <f t="shared" si="420"/>
        <v>20.833335000000002</v>
      </c>
      <c r="R931" s="173">
        <f t="shared" si="421"/>
        <v>21.255210033750004</v>
      </c>
      <c r="S931" s="250">
        <v>0.05</v>
      </c>
      <c r="T931" s="171">
        <f t="shared" si="422"/>
        <v>0.05</v>
      </c>
      <c r="U931" s="256">
        <v>416.66669999999999</v>
      </c>
      <c r="V931" s="170">
        <f t="shared" si="426"/>
        <v>425.10420067500002</v>
      </c>
      <c r="W931" s="258">
        <v>0.2</v>
      </c>
      <c r="X931" s="257">
        <f t="shared" si="416"/>
        <v>500.00004000000001</v>
      </c>
      <c r="Y931" s="170">
        <f t="shared" si="415"/>
        <v>510.12504080999997</v>
      </c>
      <c r="Z931" s="170">
        <f t="shared" si="425"/>
        <v>515</v>
      </c>
      <c r="AA931" s="407">
        <f t="shared" si="414"/>
        <v>0</v>
      </c>
      <c r="AB931" s="194"/>
    </row>
    <row r="932" spans="1:28" s="278" customFormat="1" x14ac:dyDescent="0.25">
      <c r="A932" s="200">
        <v>717828</v>
      </c>
      <c r="B932" s="313" t="s">
        <v>19635</v>
      </c>
      <c r="C932" s="248"/>
      <c r="D932" s="247" t="s">
        <v>11</v>
      </c>
      <c r="E932" s="249">
        <f t="shared" si="427"/>
        <v>300.00001500000002</v>
      </c>
      <c r="F932" s="170">
        <f t="shared" si="427"/>
        <v>306.07501530375009</v>
      </c>
      <c r="G932" s="250">
        <v>0.45</v>
      </c>
      <c r="H932" s="171">
        <f t="shared" si="417"/>
        <v>0.45</v>
      </c>
      <c r="I932" s="249">
        <f t="shared" si="428"/>
        <v>300.00001500000002</v>
      </c>
      <c r="J932" s="170">
        <f t="shared" si="428"/>
        <v>306.07501530375009</v>
      </c>
      <c r="K932" s="250">
        <v>0.45</v>
      </c>
      <c r="L932" s="172">
        <f t="shared" si="423"/>
        <v>0.45</v>
      </c>
      <c r="M932" s="249">
        <f t="shared" si="424"/>
        <v>33.333334999999998</v>
      </c>
      <c r="N932" s="170">
        <f t="shared" si="418"/>
        <v>34.008335033750008</v>
      </c>
      <c r="O932" s="250">
        <v>0.05</v>
      </c>
      <c r="P932" s="172">
        <f t="shared" si="419"/>
        <v>0.05</v>
      </c>
      <c r="Q932" s="251">
        <f t="shared" si="420"/>
        <v>33.333334999999998</v>
      </c>
      <c r="R932" s="173">
        <f t="shared" si="421"/>
        <v>34.008335033750008</v>
      </c>
      <c r="S932" s="250">
        <v>0.05</v>
      </c>
      <c r="T932" s="171">
        <f t="shared" si="422"/>
        <v>0.05</v>
      </c>
      <c r="U932" s="256">
        <v>666.66669999999999</v>
      </c>
      <c r="V932" s="170">
        <f t="shared" si="426"/>
        <v>680.16670067500013</v>
      </c>
      <c r="W932" s="258">
        <v>0.2</v>
      </c>
      <c r="X932" s="257">
        <f t="shared" si="416"/>
        <v>800.00004000000001</v>
      </c>
      <c r="Y932" s="170">
        <f t="shared" si="415"/>
        <v>816.20004081000013</v>
      </c>
      <c r="Z932" s="170">
        <f t="shared" si="425"/>
        <v>820</v>
      </c>
      <c r="AA932" s="407">
        <f t="shared" si="414"/>
        <v>0</v>
      </c>
      <c r="AB932" s="194"/>
    </row>
    <row r="933" spans="1:28" s="278" customFormat="1" x14ac:dyDescent="0.25">
      <c r="A933" s="200">
        <v>717828</v>
      </c>
      <c r="B933" s="313" t="s">
        <v>19636</v>
      </c>
      <c r="C933" s="248"/>
      <c r="D933" s="247" t="s">
        <v>11</v>
      </c>
      <c r="E933" s="249">
        <f t="shared" si="427"/>
        <v>262.49984999999998</v>
      </c>
      <c r="F933" s="170">
        <f t="shared" si="427"/>
        <v>267.8154719625</v>
      </c>
      <c r="G933" s="250">
        <v>0.45</v>
      </c>
      <c r="H933" s="171">
        <f t="shared" si="417"/>
        <v>0.45</v>
      </c>
      <c r="I933" s="249">
        <f t="shared" si="428"/>
        <v>262.49984999999998</v>
      </c>
      <c r="J933" s="170">
        <f t="shared" si="428"/>
        <v>267.8154719625</v>
      </c>
      <c r="K933" s="250">
        <v>0.45</v>
      </c>
      <c r="L933" s="172">
        <f t="shared" si="423"/>
        <v>0.45</v>
      </c>
      <c r="M933" s="249">
        <f t="shared" si="424"/>
        <v>29.166650000000001</v>
      </c>
      <c r="N933" s="170">
        <f t="shared" si="418"/>
        <v>29.757274662499999</v>
      </c>
      <c r="O933" s="250">
        <v>0.05</v>
      </c>
      <c r="P933" s="172">
        <f t="shared" si="419"/>
        <v>0.05</v>
      </c>
      <c r="Q933" s="251">
        <f t="shared" si="420"/>
        <v>29.166650000000001</v>
      </c>
      <c r="R933" s="173">
        <f t="shared" si="421"/>
        <v>29.757274662499999</v>
      </c>
      <c r="S933" s="250">
        <v>0.05</v>
      </c>
      <c r="T933" s="171">
        <f t="shared" si="422"/>
        <v>0.05</v>
      </c>
      <c r="U933" s="256">
        <v>583.33299999999997</v>
      </c>
      <c r="V933" s="170">
        <f t="shared" si="426"/>
        <v>595.14549324999996</v>
      </c>
      <c r="W933" s="258">
        <v>0.2</v>
      </c>
      <c r="X933" s="257">
        <f t="shared" si="416"/>
        <v>699.99959999999999</v>
      </c>
      <c r="Y933" s="170">
        <f t="shared" si="415"/>
        <v>714.17459189999988</v>
      </c>
      <c r="Z933" s="170">
        <f t="shared" si="425"/>
        <v>715</v>
      </c>
      <c r="AA933" s="407">
        <f t="shared" ref="AA933:AA996" si="429">C933*Z933</f>
        <v>0</v>
      </c>
      <c r="AB933" s="194"/>
    </row>
    <row r="934" spans="1:28" s="278" customFormat="1" x14ac:dyDescent="0.25">
      <c r="A934" s="200">
        <v>717830</v>
      </c>
      <c r="B934" s="313" t="s">
        <v>19637</v>
      </c>
      <c r="C934" s="248"/>
      <c r="D934" s="247" t="s">
        <v>11</v>
      </c>
      <c r="E934" s="249">
        <f t="shared" si="427"/>
        <v>412.5000015</v>
      </c>
      <c r="F934" s="170">
        <f t="shared" si="427"/>
        <v>420.85312653037505</v>
      </c>
      <c r="G934" s="250">
        <v>0.45</v>
      </c>
      <c r="H934" s="171">
        <f t="shared" si="417"/>
        <v>0.45</v>
      </c>
      <c r="I934" s="249">
        <f t="shared" si="428"/>
        <v>412.5000015</v>
      </c>
      <c r="J934" s="170">
        <f t="shared" si="428"/>
        <v>420.85312653037505</v>
      </c>
      <c r="K934" s="250">
        <v>0.45</v>
      </c>
      <c r="L934" s="172">
        <f t="shared" si="423"/>
        <v>0.45</v>
      </c>
      <c r="M934" s="249">
        <f t="shared" si="424"/>
        <v>45.833333500000002</v>
      </c>
      <c r="N934" s="170">
        <f t="shared" si="418"/>
        <v>46.761458503375003</v>
      </c>
      <c r="O934" s="250">
        <v>0.05</v>
      </c>
      <c r="P934" s="172">
        <f t="shared" si="419"/>
        <v>0.05</v>
      </c>
      <c r="Q934" s="251">
        <f t="shared" si="420"/>
        <v>45.833333500000002</v>
      </c>
      <c r="R934" s="173">
        <f t="shared" si="421"/>
        <v>46.761458503375003</v>
      </c>
      <c r="S934" s="250">
        <v>0.05</v>
      </c>
      <c r="T934" s="171">
        <f t="shared" si="422"/>
        <v>0.05</v>
      </c>
      <c r="U934" s="256">
        <v>916.66666999999995</v>
      </c>
      <c r="V934" s="170">
        <f t="shared" si="426"/>
        <v>935.22917006750004</v>
      </c>
      <c r="W934" s="258">
        <v>0.2</v>
      </c>
      <c r="X934" s="257">
        <f t="shared" si="416"/>
        <v>1100.000004</v>
      </c>
      <c r="Y934" s="170">
        <f t="shared" si="415"/>
        <v>1122.2750040809999</v>
      </c>
      <c r="Z934" s="170">
        <f t="shared" si="425"/>
        <v>1125</v>
      </c>
      <c r="AA934" s="407">
        <f t="shared" si="429"/>
        <v>0</v>
      </c>
      <c r="AB934" s="194"/>
    </row>
    <row r="935" spans="1:28" s="278" customFormat="1" x14ac:dyDescent="0.25">
      <c r="A935" s="200">
        <v>717830</v>
      </c>
      <c r="B935" s="313" t="s">
        <v>19638</v>
      </c>
      <c r="C935" s="248"/>
      <c r="D935" s="247" t="s">
        <v>11</v>
      </c>
      <c r="E935" s="249">
        <f t="shared" si="427"/>
        <v>337.5</v>
      </c>
      <c r="F935" s="170">
        <f t="shared" si="427"/>
        <v>344.33437500000008</v>
      </c>
      <c r="G935" s="250">
        <v>0.45</v>
      </c>
      <c r="H935" s="171">
        <f t="shared" si="417"/>
        <v>0.45</v>
      </c>
      <c r="I935" s="249">
        <f t="shared" si="428"/>
        <v>337.5</v>
      </c>
      <c r="J935" s="170">
        <f t="shared" si="428"/>
        <v>344.33437500000008</v>
      </c>
      <c r="K935" s="250">
        <v>0.45</v>
      </c>
      <c r="L935" s="172">
        <f t="shared" si="423"/>
        <v>0.45</v>
      </c>
      <c r="M935" s="249">
        <f t="shared" si="424"/>
        <v>37.5</v>
      </c>
      <c r="N935" s="170">
        <f t="shared" si="418"/>
        <v>38.259375000000006</v>
      </c>
      <c r="O935" s="250">
        <v>0.05</v>
      </c>
      <c r="P935" s="172">
        <f t="shared" si="419"/>
        <v>0.05</v>
      </c>
      <c r="Q935" s="251">
        <f t="shared" si="420"/>
        <v>37.5</v>
      </c>
      <c r="R935" s="173">
        <f t="shared" si="421"/>
        <v>38.259375000000006</v>
      </c>
      <c r="S935" s="250">
        <v>0.05</v>
      </c>
      <c r="T935" s="171">
        <f t="shared" si="422"/>
        <v>0.05</v>
      </c>
      <c r="U935" s="256">
        <v>750</v>
      </c>
      <c r="V935" s="170">
        <f t="shared" si="426"/>
        <v>765.18750000000011</v>
      </c>
      <c r="W935" s="258">
        <v>0.2</v>
      </c>
      <c r="X935" s="257">
        <f t="shared" si="416"/>
        <v>900</v>
      </c>
      <c r="Y935" s="170">
        <f t="shared" si="415"/>
        <v>918.22500000000014</v>
      </c>
      <c r="Z935" s="170">
        <f t="shared" si="425"/>
        <v>920</v>
      </c>
      <c r="AA935" s="407">
        <f t="shared" si="429"/>
        <v>0</v>
      </c>
      <c r="AB935" s="194"/>
    </row>
    <row r="936" spans="1:28" s="278" customFormat="1" x14ac:dyDescent="0.25">
      <c r="A936" s="200">
        <v>717844</v>
      </c>
      <c r="B936" s="313" t="s">
        <v>19639</v>
      </c>
      <c r="C936" s="248"/>
      <c r="D936" s="247" t="s">
        <v>11</v>
      </c>
      <c r="E936" s="249">
        <f t="shared" si="427"/>
        <v>0</v>
      </c>
      <c r="F936" s="170">
        <f t="shared" si="427"/>
        <v>375.7</v>
      </c>
      <c r="G936" s="250">
        <v>0.442</v>
      </c>
      <c r="H936" s="171">
        <f t="shared" si="417"/>
        <v>0.442</v>
      </c>
      <c r="I936" s="249">
        <f t="shared" si="428"/>
        <v>0</v>
      </c>
      <c r="J936" s="170">
        <f t="shared" si="428"/>
        <v>408.84999999999997</v>
      </c>
      <c r="K936" s="250">
        <v>0.48099999999999998</v>
      </c>
      <c r="L936" s="172">
        <f t="shared" si="423"/>
        <v>0.48099999999999998</v>
      </c>
      <c r="M936" s="249">
        <f t="shared" si="424"/>
        <v>0</v>
      </c>
      <c r="N936" s="170">
        <f t="shared" si="418"/>
        <v>40.800000000000004</v>
      </c>
      <c r="O936" s="250">
        <v>4.8000000000000001E-2</v>
      </c>
      <c r="P936" s="172">
        <f t="shared" si="419"/>
        <v>4.8000000000000001E-2</v>
      </c>
      <c r="Q936" s="251">
        <f t="shared" si="420"/>
        <v>0</v>
      </c>
      <c r="R936" s="173">
        <f t="shared" si="421"/>
        <v>24.650000000000002</v>
      </c>
      <c r="S936" s="250">
        <v>2.9000000000000001E-2</v>
      </c>
      <c r="T936" s="171">
        <f t="shared" si="422"/>
        <v>2.9000000000000001E-2</v>
      </c>
      <c r="U936" s="256"/>
      <c r="V936" s="170">
        <v>850</v>
      </c>
      <c r="W936" s="258">
        <v>0.2</v>
      </c>
      <c r="X936" s="257">
        <f>U936+U936*W936</f>
        <v>0</v>
      </c>
      <c r="Y936" s="170">
        <f t="shared" si="415"/>
        <v>1020</v>
      </c>
      <c r="Z936" s="170">
        <f t="shared" si="425"/>
        <v>1025</v>
      </c>
      <c r="AA936" s="407">
        <f t="shared" si="429"/>
        <v>0</v>
      </c>
      <c r="AB936" s="194"/>
    </row>
    <row r="937" spans="1:28" s="278" customFormat="1" x14ac:dyDescent="0.25">
      <c r="A937" s="200">
        <v>717844</v>
      </c>
      <c r="B937" s="313" t="s">
        <v>19640</v>
      </c>
      <c r="C937" s="248"/>
      <c r="D937" s="247" t="s">
        <v>11</v>
      </c>
      <c r="E937" s="249">
        <f t="shared" si="427"/>
        <v>0</v>
      </c>
      <c r="F937" s="170">
        <f t="shared" si="427"/>
        <v>223.58182000000002</v>
      </c>
      <c r="G937" s="250">
        <v>0.32900000000000001</v>
      </c>
      <c r="H937" s="171">
        <f t="shared" si="417"/>
        <v>0.32900000000000001</v>
      </c>
      <c r="I937" s="249">
        <f t="shared" si="428"/>
        <v>0</v>
      </c>
      <c r="J937" s="170">
        <f t="shared" si="428"/>
        <v>408.42758000000003</v>
      </c>
      <c r="K937" s="250">
        <v>0.60099999999999998</v>
      </c>
      <c r="L937" s="172">
        <f t="shared" si="423"/>
        <v>0.60099999999999998</v>
      </c>
      <c r="M937" s="249">
        <f t="shared" si="424"/>
        <v>0</v>
      </c>
      <c r="N937" s="170">
        <f t="shared" si="418"/>
        <v>27.183200000000003</v>
      </c>
      <c r="O937" s="250">
        <v>0.04</v>
      </c>
      <c r="P937" s="172">
        <f t="shared" si="419"/>
        <v>0.04</v>
      </c>
      <c r="Q937" s="251">
        <f t="shared" si="420"/>
        <v>0</v>
      </c>
      <c r="R937" s="173">
        <f t="shared" si="421"/>
        <v>19.707820000000002</v>
      </c>
      <c r="S937" s="250">
        <v>2.9000000000000001E-2</v>
      </c>
      <c r="T937" s="171">
        <f t="shared" si="422"/>
        <v>2.9000000000000001E-2</v>
      </c>
      <c r="U937" s="256"/>
      <c r="V937" s="170">
        <v>679.58</v>
      </c>
      <c r="W937" s="258">
        <v>0.2</v>
      </c>
      <c r="X937" s="257">
        <f>U937+U937*W937</f>
        <v>0</v>
      </c>
      <c r="Y937" s="170">
        <f>IF(V937*(W937+1)=0,X937,V937*(W937+1))</f>
        <v>815.49599999999998</v>
      </c>
      <c r="Z937" s="170">
        <f t="shared" si="425"/>
        <v>820</v>
      </c>
      <c r="AA937" s="407">
        <f t="shared" si="429"/>
        <v>0</v>
      </c>
      <c r="AB937" s="194"/>
    </row>
    <row r="938" spans="1:28" s="278" customFormat="1" x14ac:dyDescent="0.25">
      <c r="A938" s="200">
        <v>717846</v>
      </c>
      <c r="B938" s="313" t="s">
        <v>19641</v>
      </c>
      <c r="C938" s="248"/>
      <c r="D938" s="247" t="s">
        <v>11</v>
      </c>
      <c r="E938" s="249">
        <f t="shared" si="427"/>
        <v>400</v>
      </c>
      <c r="F938" s="170">
        <f t="shared" si="427"/>
        <v>407.98000000000008</v>
      </c>
      <c r="G938" s="250">
        <v>0.4</v>
      </c>
      <c r="H938" s="171">
        <f t="shared" si="417"/>
        <v>0.4</v>
      </c>
      <c r="I938" s="249">
        <f t="shared" si="428"/>
        <v>500</v>
      </c>
      <c r="J938" s="170">
        <f t="shared" si="428"/>
        <v>509.97500000000008</v>
      </c>
      <c r="K938" s="250">
        <v>0.5</v>
      </c>
      <c r="L938" s="172">
        <f t="shared" si="423"/>
        <v>0.5</v>
      </c>
      <c r="M938" s="249">
        <f t="shared" si="424"/>
        <v>50</v>
      </c>
      <c r="N938" s="170">
        <f t="shared" si="418"/>
        <v>50.997500000000009</v>
      </c>
      <c r="O938" s="250">
        <v>0.05</v>
      </c>
      <c r="P938" s="172">
        <f t="shared" si="419"/>
        <v>0.05</v>
      </c>
      <c r="Q938" s="251">
        <f t="shared" si="420"/>
        <v>50</v>
      </c>
      <c r="R938" s="173">
        <f t="shared" si="421"/>
        <v>50.997500000000009</v>
      </c>
      <c r="S938" s="250">
        <v>0.05</v>
      </c>
      <c r="T938" s="171">
        <f t="shared" si="422"/>
        <v>0.05</v>
      </c>
      <c r="U938" s="256">
        <v>1000</v>
      </c>
      <c r="V938" s="170">
        <f t="shared" si="426"/>
        <v>1019.9500000000002</v>
      </c>
      <c r="W938" s="258">
        <v>0.2</v>
      </c>
      <c r="X938" s="257">
        <f t="shared" si="416"/>
        <v>1200</v>
      </c>
      <c r="Y938" s="170">
        <f t="shared" ref="Y938:Y1001" si="430">IF(V938*(W938+1)=0,X938,V938*(W938+1))</f>
        <v>1223.94</v>
      </c>
      <c r="Z938" s="170">
        <f t="shared" si="425"/>
        <v>1225</v>
      </c>
      <c r="AA938" s="407">
        <f t="shared" si="429"/>
        <v>0</v>
      </c>
      <c r="AB938" s="194"/>
    </row>
    <row r="939" spans="1:28" s="278" customFormat="1" x14ac:dyDescent="0.25">
      <c r="A939" s="200">
        <v>717846</v>
      </c>
      <c r="B939" s="313" t="s">
        <v>19642</v>
      </c>
      <c r="C939" s="248"/>
      <c r="D939" s="247" t="s">
        <v>11</v>
      </c>
      <c r="E939" s="249">
        <f t="shared" si="427"/>
        <v>283.33332000000001</v>
      </c>
      <c r="F939" s="170">
        <f t="shared" si="427"/>
        <v>288.98581973400013</v>
      </c>
      <c r="G939" s="250">
        <v>0.4</v>
      </c>
      <c r="H939" s="171">
        <f t="shared" si="417"/>
        <v>0.4</v>
      </c>
      <c r="I939" s="249">
        <f t="shared" si="428"/>
        <v>354.16665</v>
      </c>
      <c r="J939" s="170">
        <f t="shared" si="428"/>
        <v>361.23227466750012</v>
      </c>
      <c r="K939" s="250">
        <v>0.5</v>
      </c>
      <c r="L939" s="172">
        <f t="shared" si="423"/>
        <v>0.5</v>
      </c>
      <c r="M939" s="249">
        <f t="shared" si="424"/>
        <v>35.416665000000002</v>
      </c>
      <c r="N939" s="170">
        <f t="shared" si="418"/>
        <v>36.123227466750016</v>
      </c>
      <c r="O939" s="250">
        <v>0.05</v>
      </c>
      <c r="P939" s="172">
        <f t="shared" si="419"/>
        <v>0.05</v>
      </c>
      <c r="Q939" s="251">
        <f t="shared" si="420"/>
        <v>35.416665000000002</v>
      </c>
      <c r="R939" s="173">
        <f t="shared" si="421"/>
        <v>36.123227466750016</v>
      </c>
      <c r="S939" s="250">
        <v>0.05</v>
      </c>
      <c r="T939" s="171">
        <f t="shared" si="422"/>
        <v>0.05</v>
      </c>
      <c r="U939" s="256">
        <v>708.33330000000001</v>
      </c>
      <c r="V939" s="170">
        <f t="shared" si="426"/>
        <v>722.46454933500024</v>
      </c>
      <c r="W939" s="258">
        <v>0.2</v>
      </c>
      <c r="X939" s="257">
        <f t="shared" si="416"/>
        <v>849.99995999999999</v>
      </c>
      <c r="Y939" s="170">
        <f t="shared" si="430"/>
        <v>866.95745920200022</v>
      </c>
      <c r="Z939" s="170">
        <f t="shared" si="425"/>
        <v>870</v>
      </c>
      <c r="AA939" s="407">
        <f t="shared" si="429"/>
        <v>0</v>
      </c>
      <c r="AB939" s="194"/>
    </row>
    <row r="940" spans="1:28" s="278" customFormat="1" x14ac:dyDescent="0.25">
      <c r="A940" s="200">
        <v>717848</v>
      </c>
      <c r="B940" s="313" t="s">
        <v>19643</v>
      </c>
      <c r="C940" s="248"/>
      <c r="D940" s="247" t="s">
        <v>11</v>
      </c>
      <c r="E940" s="249">
        <f t="shared" si="427"/>
        <v>433.33320000000003</v>
      </c>
      <c r="F940" s="170">
        <f t="shared" si="427"/>
        <v>441.97819733999995</v>
      </c>
      <c r="G940" s="250">
        <v>0.4</v>
      </c>
      <c r="H940" s="171">
        <f t="shared" si="417"/>
        <v>0.4</v>
      </c>
      <c r="I940" s="249">
        <f t="shared" si="428"/>
        <v>541.66650000000004</v>
      </c>
      <c r="J940" s="170">
        <f t="shared" si="428"/>
        <v>552.47274667499994</v>
      </c>
      <c r="K940" s="250">
        <v>0.5</v>
      </c>
      <c r="L940" s="172">
        <f t="shared" si="423"/>
        <v>0.5</v>
      </c>
      <c r="M940" s="249">
        <f t="shared" si="424"/>
        <v>54.166650000000004</v>
      </c>
      <c r="N940" s="170">
        <f t="shared" si="418"/>
        <v>55.247274667499994</v>
      </c>
      <c r="O940" s="250">
        <v>0.05</v>
      </c>
      <c r="P940" s="172">
        <f t="shared" si="419"/>
        <v>0.05</v>
      </c>
      <c r="Q940" s="251">
        <f t="shared" si="420"/>
        <v>54.166650000000004</v>
      </c>
      <c r="R940" s="173">
        <f t="shared" si="421"/>
        <v>55.247274667499994</v>
      </c>
      <c r="S940" s="250">
        <v>0.05</v>
      </c>
      <c r="T940" s="171">
        <f t="shared" si="422"/>
        <v>0.05</v>
      </c>
      <c r="U940" s="256">
        <v>1083.3330000000001</v>
      </c>
      <c r="V940" s="170">
        <f t="shared" si="426"/>
        <v>1104.9454933499999</v>
      </c>
      <c r="W940" s="258">
        <v>0.2</v>
      </c>
      <c r="X940" s="257">
        <f t="shared" si="416"/>
        <v>1299.9996000000001</v>
      </c>
      <c r="Y940" s="170">
        <f t="shared" si="430"/>
        <v>1325.9345920199999</v>
      </c>
      <c r="Z940" s="170">
        <f t="shared" si="425"/>
        <v>1350</v>
      </c>
      <c r="AA940" s="407">
        <f t="shared" si="429"/>
        <v>0</v>
      </c>
      <c r="AB940" s="194"/>
    </row>
    <row r="941" spans="1:28" s="278" customFormat="1" x14ac:dyDescent="0.25">
      <c r="A941" s="200">
        <v>717848</v>
      </c>
      <c r="B941" s="313" t="s">
        <v>19644</v>
      </c>
      <c r="C941" s="248"/>
      <c r="D941" s="247" t="s">
        <v>11</v>
      </c>
      <c r="E941" s="249">
        <f t="shared" si="427"/>
        <v>383.33320000000003</v>
      </c>
      <c r="F941" s="170">
        <f t="shared" si="427"/>
        <v>390.98069734000006</v>
      </c>
      <c r="G941" s="250">
        <v>0.4</v>
      </c>
      <c r="H941" s="171">
        <f t="shared" si="417"/>
        <v>0.4</v>
      </c>
      <c r="I941" s="249">
        <f t="shared" si="428"/>
        <v>479.16649999999998</v>
      </c>
      <c r="J941" s="170">
        <f t="shared" si="428"/>
        <v>488.72587167500006</v>
      </c>
      <c r="K941" s="250">
        <v>0.5</v>
      </c>
      <c r="L941" s="172">
        <f t="shared" si="423"/>
        <v>0.5</v>
      </c>
      <c r="M941" s="249">
        <f t="shared" si="424"/>
        <v>47.916650000000004</v>
      </c>
      <c r="N941" s="170">
        <f t="shared" si="418"/>
        <v>48.872587167500008</v>
      </c>
      <c r="O941" s="250">
        <v>0.05</v>
      </c>
      <c r="P941" s="172">
        <f t="shared" si="419"/>
        <v>0.05</v>
      </c>
      <c r="Q941" s="251">
        <f t="shared" si="420"/>
        <v>47.916650000000004</v>
      </c>
      <c r="R941" s="173">
        <f t="shared" si="421"/>
        <v>48.872587167500008</v>
      </c>
      <c r="S941" s="250">
        <v>0.05</v>
      </c>
      <c r="T941" s="171">
        <f t="shared" si="422"/>
        <v>0.05</v>
      </c>
      <c r="U941" s="256">
        <v>958.33299999999997</v>
      </c>
      <c r="V941" s="170">
        <f t="shared" si="426"/>
        <v>977.45174335000013</v>
      </c>
      <c r="W941" s="258">
        <v>0.2</v>
      </c>
      <c r="X941" s="257">
        <f t="shared" si="416"/>
        <v>1149.9996000000001</v>
      </c>
      <c r="Y941" s="170">
        <f t="shared" si="430"/>
        <v>1172.94209202</v>
      </c>
      <c r="Z941" s="170">
        <f t="shared" si="425"/>
        <v>1175</v>
      </c>
      <c r="AA941" s="407">
        <f t="shared" si="429"/>
        <v>0</v>
      </c>
      <c r="AB941" s="194"/>
    </row>
    <row r="942" spans="1:28" s="278" customFormat="1" x14ac:dyDescent="0.25">
      <c r="A942" s="200">
        <v>717850</v>
      </c>
      <c r="B942" s="313" t="s">
        <v>19645</v>
      </c>
      <c r="C942" s="248"/>
      <c r="D942" s="247" t="s">
        <v>11</v>
      </c>
      <c r="E942" s="249">
        <f t="shared" si="427"/>
        <v>483.33320000000003</v>
      </c>
      <c r="F942" s="170">
        <f t="shared" si="427"/>
        <v>492.97569734000001</v>
      </c>
      <c r="G942" s="250">
        <v>0.4</v>
      </c>
      <c r="H942" s="171">
        <f t="shared" si="417"/>
        <v>0.4</v>
      </c>
      <c r="I942" s="249">
        <f t="shared" si="428"/>
        <v>604.16650000000004</v>
      </c>
      <c r="J942" s="170">
        <f t="shared" si="428"/>
        <v>616.21962167499998</v>
      </c>
      <c r="K942" s="250">
        <v>0.5</v>
      </c>
      <c r="L942" s="172">
        <f t="shared" si="423"/>
        <v>0.5</v>
      </c>
      <c r="M942" s="249">
        <f t="shared" si="424"/>
        <v>60.416650000000004</v>
      </c>
      <c r="N942" s="170">
        <f t="shared" si="418"/>
        <v>61.621962167500001</v>
      </c>
      <c r="O942" s="250">
        <v>0.05</v>
      </c>
      <c r="P942" s="172">
        <f t="shared" si="419"/>
        <v>0.05</v>
      </c>
      <c r="Q942" s="251">
        <f t="shared" si="420"/>
        <v>60.416650000000004</v>
      </c>
      <c r="R942" s="173">
        <f t="shared" si="421"/>
        <v>61.621962167500001</v>
      </c>
      <c r="S942" s="250">
        <v>0.05</v>
      </c>
      <c r="T942" s="171">
        <f t="shared" si="422"/>
        <v>0.05</v>
      </c>
      <c r="U942" s="256">
        <v>1208.3330000000001</v>
      </c>
      <c r="V942" s="170">
        <f t="shared" si="426"/>
        <v>1232.43924335</v>
      </c>
      <c r="W942" s="258">
        <v>0.2</v>
      </c>
      <c r="X942" s="257">
        <f t="shared" si="416"/>
        <v>1449.9996000000001</v>
      </c>
      <c r="Y942" s="170">
        <f t="shared" si="430"/>
        <v>1478.9270920199999</v>
      </c>
      <c r="Z942" s="170">
        <f t="shared" si="425"/>
        <v>1500</v>
      </c>
      <c r="AA942" s="407">
        <f t="shared" si="429"/>
        <v>0</v>
      </c>
      <c r="AB942" s="194"/>
    </row>
    <row r="943" spans="1:28" s="278" customFormat="1" x14ac:dyDescent="0.25">
      <c r="A943" s="200">
        <v>717850</v>
      </c>
      <c r="B943" s="313" t="s">
        <v>19646</v>
      </c>
      <c r="C943" s="248"/>
      <c r="D943" s="247" t="s">
        <v>11</v>
      </c>
      <c r="E943" s="249">
        <f t="shared" si="427"/>
        <v>433.33320000000003</v>
      </c>
      <c r="F943" s="170">
        <f t="shared" si="427"/>
        <v>441.97819733999995</v>
      </c>
      <c r="G943" s="250">
        <v>0.4</v>
      </c>
      <c r="H943" s="171">
        <f t="shared" si="417"/>
        <v>0.4</v>
      </c>
      <c r="I943" s="249">
        <f t="shared" si="428"/>
        <v>541.66650000000004</v>
      </c>
      <c r="J943" s="170">
        <f t="shared" si="428"/>
        <v>552.47274667499994</v>
      </c>
      <c r="K943" s="250">
        <v>0.5</v>
      </c>
      <c r="L943" s="172">
        <f t="shared" si="423"/>
        <v>0.5</v>
      </c>
      <c r="M943" s="249">
        <f t="shared" si="424"/>
        <v>54.166650000000004</v>
      </c>
      <c r="N943" s="170">
        <f t="shared" si="418"/>
        <v>55.247274667499994</v>
      </c>
      <c r="O943" s="250">
        <v>0.05</v>
      </c>
      <c r="P943" s="172">
        <f t="shared" si="419"/>
        <v>0.05</v>
      </c>
      <c r="Q943" s="251">
        <f t="shared" si="420"/>
        <v>54.166650000000004</v>
      </c>
      <c r="R943" s="173">
        <f t="shared" si="421"/>
        <v>55.247274667499994</v>
      </c>
      <c r="S943" s="250">
        <v>0.05</v>
      </c>
      <c r="T943" s="171">
        <f t="shared" si="422"/>
        <v>0.05</v>
      </c>
      <c r="U943" s="256">
        <v>1083.3330000000001</v>
      </c>
      <c r="V943" s="170">
        <f t="shared" si="426"/>
        <v>1104.9454933499999</v>
      </c>
      <c r="W943" s="258">
        <v>0.2</v>
      </c>
      <c r="X943" s="257">
        <f t="shared" si="416"/>
        <v>1299.9996000000001</v>
      </c>
      <c r="Y943" s="170">
        <f t="shared" si="430"/>
        <v>1325.9345920199999</v>
      </c>
      <c r="Z943" s="170">
        <f t="shared" si="425"/>
        <v>1350</v>
      </c>
      <c r="AA943" s="407">
        <f t="shared" si="429"/>
        <v>0</v>
      </c>
      <c r="AB943" s="194"/>
    </row>
    <row r="944" spans="1:28" s="278" customFormat="1" x14ac:dyDescent="0.25">
      <c r="A944" s="200">
        <v>717852</v>
      </c>
      <c r="B944" s="313" t="s">
        <v>19647</v>
      </c>
      <c r="C944" s="248"/>
      <c r="D944" s="247" t="s">
        <v>11</v>
      </c>
      <c r="E944" s="249">
        <f t="shared" si="427"/>
        <v>550</v>
      </c>
      <c r="F944" s="170">
        <f t="shared" si="427"/>
        <v>560.9725000000002</v>
      </c>
      <c r="G944" s="250">
        <v>0.4</v>
      </c>
      <c r="H944" s="171">
        <f t="shared" si="417"/>
        <v>0.4</v>
      </c>
      <c r="I944" s="249">
        <f t="shared" si="428"/>
        <v>687.5</v>
      </c>
      <c r="J944" s="170">
        <f t="shared" si="428"/>
        <v>701.21562500000016</v>
      </c>
      <c r="K944" s="250">
        <v>0.5</v>
      </c>
      <c r="L944" s="172">
        <f t="shared" si="423"/>
        <v>0.5</v>
      </c>
      <c r="M944" s="249">
        <f t="shared" si="424"/>
        <v>68.75</v>
      </c>
      <c r="N944" s="170">
        <f t="shared" si="418"/>
        <v>70.121562500000024</v>
      </c>
      <c r="O944" s="250">
        <v>0.05</v>
      </c>
      <c r="P944" s="172">
        <f t="shared" si="419"/>
        <v>0.05</v>
      </c>
      <c r="Q944" s="251">
        <f t="shared" si="420"/>
        <v>68.75</v>
      </c>
      <c r="R944" s="173">
        <f t="shared" si="421"/>
        <v>70.121562500000024</v>
      </c>
      <c r="S944" s="250">
        <v>0.05</v>
      </c>
      <c r="T944" s="171">
        <f t="shared" si="422"/>
        <v>0.05</v>
      </c>
      <c r="U944" s="256">
        <v>1375</v>
      </c>
      <c r="V944" s="170">
        <f t="shared" si="426"/>
        <v>1402.4312500000003</v>
      </c>
      <c r="W944" s="258">
        <v>0.2</v>
      </c>
      <c r="X944" s="257">
        <f t="shared" si="416"/>
        <v>1650</v>
      </c>
      <c r="Y944" s="170">
        <f t="shared" si="430"/>
        <v>1682.9175000000002</v>
      </c>
      <c r="Z944" s="170">
        <f t="shared" si="425"/>
        <v>1700</v>
      </c>
      <c r="AA944" s="407">
        <f t="shared" si="429"/>
        <v>0</v>
      </c>
      <c r="AB944" s="194"/>
    </row>
    <row r="945" spans="1:28" s="278" customFormat="1" x14ac:dyDescent="0.25">
      <c r="A945" s="200">
        <v>717852</v>
      </c>
      <c r="B945" s="313" t="s">
        <v>19648</v>
      </c>
      <c r="C945" s="248"/>
      <c r="D945" s="247" t="s">
        <v>11</v>
      </c>
      <c r="E945" s="249">
        <f t="shared" si="427"/>
        <v>500</v>
      </c>
      <c r="F945" s="170">
        <f t="shared" si="427"/>
        <v>509.97500000000002</v>
      </c>
      <c r="G945" s="250">
        <v>0.4</v>
      </c>
      <c r="H945" s="171">
        <f t="shared" si="417"/>
        <v>0.4</v>
      </c>
      <c r="I945" s="249">
        <f t="shared" si="428"/>
        <v>625</v>
      </c>
      <c r="J945" s="170">
        <f t="shared" si="428"/>
        <v>637.46875</v>
      </c>
      <c r="K945" s="250">
        <v>0.5</v>
      </c>
      <c r="L945" s="172">
        <f t="shared" si="423"/>
        <v>0.5</v>
      </c>
      <c r="M945" s="249">
        <f t="shared" si="424"/>
        <v>62.5</v>
      </c>
      <c r="N945" s="170">
        <f t="shared" si="418"/>
        <v>63.746875000000003</v>
      </c>
      <c r="O945" s="250">
        <v>0.05</v>
      </c>
      <c r="P945" s="172">
        <f t="shared" si="419"/>
        <v>0.05</v>
      </c>
      <c r="Q945" s="251">
        <f t="shared" si="420"/>
        <v>62.5</v>
      </c>
      <c r="R945" s="173">
        <f t="shared" si="421"/>
        <v>63.746875000000003</v>
      </c>
      <c r="S945" s="250">
        <v>0.05</v>
      </c>
      <c r="T945" s="171">
        <f t="shared" si="422"/>
        <v>0.05</v>
      </c>
      <c r="U945" s="256">
        <v>1250</v>
      </c>
      <c r="V945" s="170">
        <f t="shared" si="426"/>
        <v>1274.9375</v>
      </c>
      <c r="W945" s="258">
        <v>0.2</v>
      </c>
      <c r="X945" s="257">
        <f t="shared" si="416"/>
        <v>1500</v>
      </c>
      <c r="Y945" s="170">
        <f t="shared" si="430"/>
        <v>1529.925</v>
      </c>
      <c r="Z945" s="170">
        <f t="shared" si="425"/>
        <v>1550</v>
      </c>
      <c r="AA945" s="407">
        <f t="shared" si="429"/>
        <v>0</v>
      </c>
      <c r="AB945" s="194"/>
    </row>
    <row r="946" spans="1:28" s="278" customFormat="1" x14ac:dyDescent="0.25">
      <c r="A946" s="200">
        <v>717858</v>
      </c>
      <c r="B946" s="313" t="s">
        <v>19649</v>
      </c>
      <c r="C946" s="248"/>
      <c r="D946" s="247" t="s">
        <v>11</v>
      </c>
      <c r="E946" s="249">
        <f t="shared" si="427"/>
        <v>850</v>
      </c>
      <c r="F946" s="170">
        <f t="shared" si="427"/>
        <v>866.9575000000001</v>
      </c>
      <c r="G946" s="250">
        <v>0.4</v>
      </c>
      <c r="H946" s="171">
        <f t="shared" si="417"/>
        <v>0.4</v>
      </c>
      <c r="I946" s="249">
        <f t="shared" si="428"/>
        <v>1062.5</v>
      </c>
      <c r="J946" s="170">
        <f t="shared" si="428"/>
        <v>1083.6968750000001</v>
      </c>
      <c r="K946" s="250">
        <v>0.5</v>
      </c>
      <c r="L946" s="172">
        <f t="shared" si="423"/>
        <v>0.5</v>
      </c>
      <c r="M946" s="249">
        <f t="shared" si="424"/>
        <v>106.25</v>
      </c>
      <c r="N946" s="170">
        <f t="shared" si="418"/>
        <v>108.36968750000001</v>
      </c>
      <c r="O946" s="250">
        <v>0.05</v>
      </c>
      <c r="P946" s="172">
        <f t="shared" si="419"/>
        <v>0.05</v>
      </c>
      <c r="Q946" s="251">
        <f t="shared" si="420"/>
        <v>106.25</v>
      </c>
      <c r="R946" s="173">
        <f t="shared" si="421"/>
        <v>108.36968750000001</v>
      </c>
      <c r="S946" s="250">
        <v>0.05</v>
      </c>
      <c r="T946" s="171">
        <f t="shared" si="422"/>
        <v>0.05</v>
      </c>
      <c r="U946" s="256">
        <v>2125</v>
      </c>
      <c r="V946" s="170">
        <f t="shared" si="426"/>
        <v>2167.3937500000002</v>
      </c>
      <c r="W946" s="258">
        <v>0.2</v>
      </c>
      <c r="X946" s="257">
        <f t="shared" ref="X946:X969" si="431">U946+U946*W946</f>
        <v>2550</v>
      </c>
      <c r="Y946" s="170">
        <f t="shared" si="430"/>
        <v>2600.8724999999999</v>
      </c>
      <c r="Z946" s="170">
        <f t="shared" si="425"/>
        <v>2625</v>
      </c>
      <c r="AA946" s="407">
        <f t="shared" si="429"/>
        <v>0</v>
      </c>
      <c r="AB946" s="194"/>
    </row>
    <row r="947" spans="1:28" s="278" customFormat="1" x14ac:dyDescent="0.25">
      <c r="A947" s="200">
        <v>717858</v>
      </c>
      <c r="B947" s="313" t="s">
        <v>19650</v>
      </c>
      <c r="C947" s="248"/>
      <c r="D947" s="247" t="s">
        <v>11</v>
      </c>
      <c r="E947" s="249">
        <f t="shared" si="427"/>
        <v>750</v>
      </c>
      <c r="F947" s="170">
        <f t="shared" si="427"/>
        <v>764.96250000000009</v>
      </c>
      <c r="G947" s="250">
        <v>0.4</v>
      </c>
      <c r="H947" s="171">
        <f t="shared" si="417"/>
        <v>0.4</v>
      </c>
      <c r="I947" s="249">
        <f t="shared" si="428"/>
        <v>937.5</v>
      </c>
      <c r="J947" s="170">
        <f t="shared" si="428"/>
        <v>956.20312500000011</v>
      </c>
      <c r="K947" s="250">
        <v>0.5</v>
      </c>
      <c r="L947" s="172">
        <f t="shared" si="423"/>
        <v>0.5</v>
      </c>
      <c r="M947" s="249">
        <f t="shared" si="424"/>
        <v>93.75</v>
      </c>
      <c r="N947" s="170">
        <f t="shared" si="418"/>
        <v>95.620312500000011</v>
      </c>
      <c r="O947" s="250">
        <v>0.05</v>
      </c>
      <c r="P947" s="172">
        <f t="shared" si="419"/>
        <v>0.05</v>
      </c>
      <c r="Q947" s="251">
        <f t="shared" si="420"/>
        <v>93.75</v>
      </c>
      <c r="R947" s="173">
        <f t="shared" si="421"/>
        <v>95.620312500000011</v>
      </c>
      <c r="S947" s="250">
        <v>0.05</v>
      </c>
      <c r="T947" s="171">
        <f t="shared" si="422"/>
        <v>0.05</v>
      </c>
      <c r="U947" s="256">
        <v>1875</v>
      </c>
      <c r="V947" s="170">
        <f t="shared" si="426"/>
        <v>1912.4062500000002</v>
      </c>
      <c r="W947" s="258">
        <v>0.2</v>
      </c>
      <c r="X947" s="257">
        <f t="shared" si="431"/>
        <v>2250</v>
      </c>
      <c r="Y947" s="170">
        <f t="shared" si="430"/>
        <v>2294.8875000000003</v>
      </c>
      <c r="Z947" s="170">
        <f t="shared" si="425"/>
        <v>2300</v>
      </c>
      <c r="AA947" s="407">
        <f t="shared" si="429"/>
        <v>0</v>
      </c>
      <c r="AB947" s="194"/>
    </row>
    <row r="948" spans="1:28" s="278" customFormat="1" x14ac:dyDescent="0.25">
      <c r="A948" s="200">
        <v>717866</v>
      </c>
      <c r="B948" s="313" t="s">
        <v>19651</v>
      </c>
      <c r="C948" s="248"/>
      <c r="D948" s="247" t="s">
        <v>11</v>
      </c>
      <c r="E948" s="249">
        <f t="shared" si="427"/>
        <v>112.5</v>
      </c>
      <c r="F948" s="170">
        <f t="shared" si="427"/>
        <v>114.77812500000002</v>
      </c>
      <c r="G948" s="250">
        <v>0.45</v>
      </c>
      <c r="H948" s="171">
        <f t="shared" si="417"/>
        <v>0.45</v>
      </c>
      <c r="I948" s="249">
        <f t="shared" si="428"/>
        <v>112.5</v>
      </c>
      <c r="J948" s="170">
        <f t="shared" si="428"/>
        <v>114.77812500000002</v>
      </c>
      <c r="K948" s="250">
        <v>0.45</v>
      </c>
      <c r="L948" s="172">
        <f t="shared" si="423"/>
        <v>0.45</v>
      </c>
      <c r="M948" s="249">
        <f t="shared" si="424"/>
        <v>12.5</v>
      </c>
      <c r="N948" s="170">
        <f t="shared" si="418"/>
        <v>12.753125000000002</v>
      </c>
      <c r="O948" s="250">
        <v>0.05</v>
      </c>
      <c r="P948" s="172">
        <f t="shared" si="419"/>
        <v>0.05</v>
      </c>
      <c r="Q948" s="251">
        <f t="shared" si="420"/>
        <v>12.5</v>
      </c>
      <c r="R948" s="173">
        <f t="shared" si="421"/>
        <v>12.753125000000002</v>
      </c>
      <c r="S948" s="250">
        <v>0.05</v>
      </c>
      <c r="T948" s="171">
        <f t="shared" si="422"/>
        <v>0.05</v>
      </c>
      <c r="U948" s="256">
        <v>250</v>
      </c>
      <c r="V948" s="170">
        <f t="shared" si="426"/>
        <v>255.06250000000003</v>
      </c>
      <c r="W948" s="258">
        <v>0.2</v>
      </c>
      <c r="X948" s="257">
        <f t="shared" si="431"/>
        <v>300</v>
      </c>
      <c r="Y948" s="170">
        <f t="shared" si="430"/>
        <v>306.07500000000005</v>
      </c>
      <c r="Z948" s="170">
        <f t="shared" si="425"/>
        <v>310</v>
      </c>
      <c r="AA948" s="407">
        <f t="shared" si="429"/>
        <v>0</v>
      </c>
      <c r="AB948" s="194"/>
    </row>
    <row r="949" spans="1:28" s="278" customFormat="1" x14ac:dyDescent="0.25">
      <c r="A949" s="200">
        <v>717866</v>
      </c>
      <c r="B949" s="313" t="s">
        <v>19652</v>
      </c>
      <c r="C949" s="248"/>
      <c r="D949" s="247" t="s">
        <v>11</v>
      </c>
      <c r="E949" s="249">
        <f t="shared" si="427"/>
        <v>56.25</v>
      </c>
      <c r="F949" s="170">
        <f t="shared" si="427"/>
        <v>57.389062500000009</v>
      </c>
      <c r="G949" s="250">
        <v>0.45</v>
      </c>
      <c r="H949" s="171">
        <f t="shared" si="417"/>
        <v>0.45</v>
      </c>
      <c r="I949" s="249">
        <f t="shared" si="428"/>
        <v>56.25</v>
      </c>
      <c r="J949" s="170">
        <f t="shared" si="428"/>
        <v>57.389062500000009</v>
      </c>
      <c r="K949" s="250">
        <v>0.45</v>
      </c>
      <c r="L949" s="172">
        <f t="shared" si="423"/>
        <v>0.45</v>
      </c>
      <c r="M949" s="249">
        <f t="shared" si="424"/>
        <v>6.25</v>
      </c>
      <c r="N949" s="170">
        <f t="shared" si="418"/>
        <v>6.3765625000000012</v>
      </c>
      <c r="O949" s="250">
        <v>0.05</v>
      </c>
      <c r="P949" s="172">
        <f t="shared" si="419"/>
        <v>0.05</v>
      </c>
      <c r="Q949" s="251">
        <f t="shared" si="420"/>
        <v>6.25</v>
      </c>
      <c r="R949" s="173">
        <f t="shared" si="421"/>
        <v>6.3765625000000012</v>
      </c>
      <c r="S949" s="250">
        <v>0.05</v>
      </c>
      <c r="T949" s="171">
        <f t="shared" si="422"/>
        <v>0.05</v>
      </c>
      <c r="U949" s="256">
        <v>125</v>
      </c>
      <c r="V949" s="170">
        <f t="shared" si="426"/>
        <v>127.53125000000001</v>
      </c>
      <c r="W949" s="258">
        <v>0.2</v>
      </c>
      <c r="X949" s="257">
        <f t="shared" si="431"/>
        <v>150</v>
      </c>
      <c r="Y949" s="170">
        <f t="shared" si="430"/>
        <v>153.03750000000002</v>
      </c>
      <c r="Z949" s="170">
        <f t="shared" si="425"/>
        <v>155</v>
      </c>
      <c r="AA949" s="407">
        <f t="shared" si="429"/>
        <v>0</v>
      </c>
      <c r="AB949" s="194"/>
    </row>
    <row r="950" spans="1:28" s="278" customFormat="1" x14ac:dyDescent="0.25">
      <c r="A950" s="200">
        <v>717868</v>
      </c>
      <c r="B950" s="313" t="s">
        <v>19653</v>
      </c>
      <c r="C950" s="248"/>
      <c r="D950" s="247" t="s">
        <v>11</v>
      </c>
      <c r="E950" s="249">
        <f t="shared" si="427"/>
        <v>225</v>
      </c>
      <c r="F950" s="170">
        <f t="shared" si="427"/>
        <v>229.55625000000003</v>
      </c>
      <c r="G950" s="250">
        <v>0.45</v>
      </c>
      <c r="H950" s="171">
        <f t="shared" si="417"/>
        <v>0.45</v>
      </c>
      <c r="I950" s="249">
        <f t="shared" si="428"/>
        <v>225</v>
      </c>
      <c r="J950" s="170">
        <f t="shared" si="428"/>
        <v>229.55625000000003</v>
      </c>
      <c r="K950" s="250">
        <v>0.45</v>
      </c>
      <c r="L950" s="172">
        <f t="shared" si="423"/>
        <v>0.45</v>
      </c>
      <c r="M950" s="249">
        <f t="shared" si="424"/>
        <v>25</v>
      </c>
      <c r="N950" s="170">
        <f t="shared" si="418"/>
        <v>25.506250000000005</v>
      </c>
      <c r="O950" s="250">
        <v>0.05</v>
      </c>
      <c r="P950" s="172">
        <f t="shared" si="419"/>
        <v>0.05</v>
      </c>
      <c r="Q950" s="251">
        <f t="shared" si="420"/>
        <v>25</v>
      </c>
      <c r="R950" s="173">
        <f t="shared" si="421"/>
        <v>25.506250000000005</v>
      </c>
      <c r="S950" s="250">
        <v>0.05</v>
      </c>
      <c r="T950" s="171">
        <f t="shared" si="422"/>
        <v>0.05</v>
      </c>
      <c r="U950" s="256">
        <v>500</v>
      </c>
      <c r="V950" s="170">
        <f t="shared" si="426"/>
        <v>510.12500000000006</v>
      </c>
      <c r="W950" s="258">
        <v>0.2</v>
      </c>
      <c r="X950" s="257">
        <f t="shared" si="431"/>
        <v>600</v>
      </c>
      <c r="Y950" s="170">
        <f t="shared" si="430"/>
        <v>612.15000000000009</v>
      </c>
      <c r="Z950" s="170">
        <f t="shared" si="425"/>
        <v>615</v>
      </c>
      <c r="AA950" s="407">
        <f t="shared" si="429"/>
        <v>0</v>
      </c>
      <c r="AB950" s="194"/>
    </row>
    <row r="951" spans="1:28" s="278" customFormat="1" x14ac:dyDescent="0.25">
      <c r="A951" s="200">
        <v>717868</v>
      </c>
      <c r="B951" s="313" t="s">
        <v>19654</v>
      </c>
      <c r="C951" s="248"/>
      <c r="D951" s="247" t="s">
        <v>11</v>
      </c>
      <c r="E951" s="249">
        <f t="shared" si="427"/>
        <v>65.624849999999995</v>
      </c>
      <c r="F951" s="170">
        <f t="shared" si="427"/>
        <v>66.95375321249999</v>
      </c>
      <c r="G951" s="250">
        <v>0.45</v>
      </c>
      <c r="H951" s="171">
        <f t="shared" si="417"/>
        <v>0.45</v>
      </c>
      <c r="I951" s="249">
        <f t="shared" si="428"/>
        <v>65.624849999999995</v>
      </c>
      <c r="J951" s="170">
        <f t="shared" si="428"/>
        <v>66.95375321249999</v>
      </c>
      <c r="K951" s="250">
        <v>0.45</v>
      </c>
      <c r="L951" s="172">
        <f t="shared" si="423"/>
        <v>0.45</v>
      </c>
      <c r="M951" s="249">
        <f t="shared" si="424"/>
        <v>7.2916500000000006</v>
      </c>
      <c r="N951" s="170">
        <f t="shared" si="418"/>
        <v>7.4393059124999983</v>
      </c>
      <c r="O951" s="250">
        <v>0.05</v>
      </c>
      <c r="P951" s="172">
        <f t="shared" si="419"/>
        <v>0.05</v>
      </c>
      <c r="Q951" s="251">
        <f t="shared" si="420"/>
        <v>7.2916500000000006</v>
      </c>
      <c r="R951" s="173">
        <f t="shared" si="421"/>
        <v>7.4393059124999983</v>
      </c>
      <c r="S951" s="250">
        <v>0.05</v>
      </c>
      <c r="T951" s="171">
        <f t="shared" si="422"/>
        <v>0.05</v>
      </c>
      <c r="U951" s="256">
        <v>145.833</v>
      </c>
      <c r="V951" s="170">
        <f t="shared" si="426"/>
        <v>148.78611824999996</v>
      </c>
      <c r="W951" s="258">
        <v>0.2</v>
      </c>
      <c r="X951" s="257">
        <f t="shared" si="431"/>
        <v>174.99959999999999</v>
      </c>
      <c r="Y951" s="170">
        <f t="shared" si="430"/>
        <v>178.54334189999994</v>
      </c>
      <c r="Z951" s="170">
        <f t="shared" si="425"/>
        <v>180</v>
      </c>
      <c r="AA951" s="407">
        <f t="shared" si="429"/>
        <v>0</v>
      </c>
      <c r="AB951" s="194"/>
    </row>
    <row r="952" spans="1:28" s="278" customFormat="1" x14ac:dyDescent="0.25">
      <c r="A952" s="200">
        <v>717870</v>
      </c>
      <c r="B952" s="313" t="s">
        <v>19655</v>
      </c>
      <c r="C952" s="248"/>
      <c r="D952" s="247" t="s">
        <v>11</v>
      </c>
      <c r="E952" s="249">
        <f t="shared" si="427"/>
        <v>281.25</v>
      </c>
      <c r="F952" s="170">
        <f t="shared" si="427"/>
        <v>286.9453125</v>
      </c>
      <c r="G952" s="250">
        <v>0.45</v>
      </c>
      <c r="H952" s="171">
        <f t="shared" si="417"/>
        <v>0.45</v>
      </c>
      <c r="I952" s="249">
        <f t="shared" si="428"/>
        <v>281.25</v>
      </c>
      <c r="J952" s="170">
        <f t="shared" si="428"/>
        <v>286.9453125</v>
      </c>
      <c r="K952" s="250">
        <v>0.45</v>
      </c>
      <c r="L952" s="172">
        <f t="shared" si="423"/>
        <v>0.45</v>
      </c>
      <c r="M952" s="249">
        <f t="shared" si="424"/>
        <v>31.25</v>
      </c>
      <c r="N952" s="170">
        <f t="shared" si="418"/>
        <v>31.8828125</v>
      </c>
      <c r="O952" s="250">
        <v>0.05</v>
      </c>
      <c r="P952" s="172">
        <f t="shared" si="419"/>
        <v>0.05</v>
      </c>
      <c r="Q952" s="251">
        <f t="shared" si="420"/>
        <v>31.25</v>
      </c>
      <c r="R952" s="173">
        <f t="shared" si="421"/>
        <v>31.8828125</v>
      </c>
      <c r="S952" s="250">
        <v>0.05</v>
      </c>
      <c r="T952" s="171">
        <f t="shared" si="422"/>
        <v>0.05</v>
      </c>
      <c r="U952" s="256">
        <v>625</v>
      </c>
      <c r="V952" s="170">
        <f t="shared" si="426"/>
        <v>637.65625</v>
      </c>
      <c r="W952" s="258">
        <v>0.2</v>
      </c>
      <c r="X952" s="257">
        <f t="shared" si="431"/>
        <v>750</v>
      </c>
      <c r="Y952" s="170">
        <f t="shared" si="430"/>
        <v>765.1875</v>
      </c>
      <c r="Z952" s="170">
        <f t="shared" si="425"/>
        <v>770</v>
      </c>
      <c r="AA952" s="407">
        <f t="shared" si="429"/>
        <v>0</v>
      </c>
      <c r="AB952" s="194"/>
    </row>
    <row r="953" spans="1:28" s="278" customFormat="1" x14ac:dyDescent="0.25">
      <c r="A953" s="200">
        <v>717870</v>
      </c>
      <c r="B953" s="313" t="s">
        <v>19656</v>
      </c>
      <c r="C953" s="248"/>
      <c r="D953" s="247" t="s">
        <v>11</v>
      </c>
      <c r="E953" s="249">
        <f t="shared" si="427"/>
        <v>75.000015000000005</v>
      </c>
      <c r="F953" s="170">
        <f t="shared" si="427"/>
        <v>76.518765303750016</v>
      </c>
      <c r="G953" s="250">
        <v>0.45</v>
      </c>
      <c r="H953" s="171">
        <f t="shared" ref="H953:H1016" si="432">G953</f>
        <v>0.45</v>
      </c>
      <c r="I953" s="249">
        <f t="shared" si="428"/>
        <v>75.000015000000005</v>
      </c>
      <c r="J953" s="170">
        <f t="shared" si="428"/>
        <v>76.518765303750016</v>
      </c>
      <c r="K953" s="250">
        <v>0.45</v>
      </c>
      <c r="L953" s="172">
        <f t="shared" si="423"/>
        <v>0.45</v>
      </c>
      <c r="M953" s="249">
        <f t="shared" si="424"/>
        <v>8.3333349999999999</v>
      </c>
      <c r="N953" s="170">
        <f t="shared" ref="N953:N1016" si="433">P953*V953</f>
        <v>8.5020850337500029</v>
      </c>
      <c r="O953" s="250">
        <v>0.05</v>
      </c>
      <c r="P953" s="172">
        <f t="shared" ref="P953:P1016" si="434">O953</f>
        <v>0.05</v>
      </c>
      <c r="Q953" s="251">
        <f t="shared" ref="Q953:Q1016" si="435">U953*S953</f>
        <v>8.3333349999999999</v>
      </c>
      <c r="R953" s="173">
        <f t="shared" ref="R953:R1016" si="436">T953*V953</f>
        <v>8.5020850337500029</v>
      </c>
      <c r="S953" s="250">
        <v>0.05</v>
      </c>
      <c r="T953" s="171">
        <f t="shared" ref="T953:T1016" si="437">S953</f>
        <v>0.05</v>
      </c>
      <c r="U953" s="256">
        <v>166.66669999999999</v>
      </c>
      <c r="V953" s="170">
        <f t="shared" si="426"/>
        <v>170.04170067500004</v>
      </c>
      <c r="W953" s="258">
        <v>0.2</v>
      </c>
      <c r="X953" s="257">
        <f t="shared" si="431"/>
        <v>200.00003999999998</v>
      </c>
      <c r="Y953" s="170">
        <f t="shared" si="430"/>
        <v>204.05004081000004</v>
      </c>
      <c r="Z953" s="170">
        <f t="shared" si="425"/>
        <v>205</v>
      </c>
      <c r="AA953" s="407">
        <f t="shared" si="429"/>
        <v>0</v>
      </c>
      <c r="AB953" s="194"/>
    </row>
    <row r="954" spans="1:28" s="278" customFormat="1" x14ac:dyDescent="0.25">
      <c r="A954" s="200">
        <v>717888</v>
      </c>
      <c r="B954" s="313" t="s">
        <v>19657</v>
      </c>
      <c r="C954" s="248"/>
      <c r="D954" s="247" t="s">
        <v>11</v>
      </c>
      <c r="E954" s="249">
        <f t="shared" si="427"/>
        <v>450</v>
      </c>
      <c r="F954" s="170">
        <f t="shared" si="427"/>
        <v>459.42750000000001</v>
      </c>
      <c r="G954" s="250">
        <v>0.45</v>
      </c>
      <c r="H954" s="171">
        <f t="shared" si="432"/>
        <v>0.45</v>
      </c>
      <c r="I954" s="249">
        <f t="shared" si="428"/>
        <v>350</v>
      </c>
      <c r="J954" s="170">
        <f t="shared" si="428"/>
        <v>357.33249999999998</v>
      </c>
      <c r="K954" s="250">
        <v>0.35</v>
      </c>
      <c r="L954" s="172">
        <f t="shared" si="423"/>
        <v>0.35</v>
      </c>
      <c r="M954" s="249">
        <f t="shared" si="424"/>
        <v>150</v>
      </c>
      <c r="N954" s="170">
        <f t="shared" si="433"/>
        <v>153.14250000000001</v>
      </c>
      <c r="O954" s="250">
        <v>0.15</v>
      </c>
      <c r="P954" s="172">
        <f t="shared" si="434"/>
        <v>0.15</v>
      </c>
      <c r="Q954" s="251">
        <f t="shared" si="435"/>
        <v>50</v>
      </c>
      <c r="R954" s="173">
        <f t="shared" si="436"/>
        <v>51.047500000000007</v>
      </c>
      <c r="S954" s="250">
        <v>0.05</v>
      </c>
      <c r="T954" s="171">
        <f t="shared" si="437"/>
        <v>0.05</v>
      </c>
      <c r="U954" s="256">
        <v>1000</v>
      </c>
      <c r="V954" s="170">
        <f t="shared" si="426"/>
        <v>1020.95</v>
      </c>
      <c r="W954" s="258">
        <v>0.2</v>
      </c>
      <c r="X954" s="257">
        <f t="shared" si="431"/>
        <v>1200</v>
      </c>
      <c r="Y954" s="170">
        <f t="shared" si="430"/>
        <v>1225.1400000000001</v>
      </c>
      <c r="Z954" s="170">
        <f t="shared" si="425"/>
        <v>1250</v>
      </c>
      <c r="AA954" s="407">
        <f t="shared" si="429"/>
        <v>0</v>
      </c>
      <c r="AB954" s="194"/>
    </row>
    <row r="955" spans="1:28" s="278" customFormat="1" x14ac:dyDescent="0.25">
      <c r="A955" s="200">
        <v>717888</v>
      </c>
      <c r="B955" s="313" t="s">
        <v>19658</v>
      </c>
      <c r="C955" s="248"/>
      <c r="D955" s="247" t="s">
        <v>11</v>
      </c>
      <c r="E955" s="249">
        <f t="shared" si="427"/>
        <v>374.99984999999998</v>
      </c>
      <c r="F955" s="170">
        <f t="shared" si="427"/>
        <v>382.85609685750001</v>
      </c>
      <c r="G955" s="250">
        <v>0.45</v>
      </c>
      <c r="H955" s="171">
        <f t="shared" si="432"/>
        <v>0.45</v>
      </c>
      <c r="I955" s="249">
        <f t="shared" si="428"/>
        <v>291.66654999999997</v>
      </c>
      <c r="J955" s="170">
        <f t="shared" si="428"/>
        <v>297.77696422249994</v>
      </c>
      <c r="K955" s="250">
        <v>0.35</v>
      </c>
      <c r="L955" s="172">
        <f t="shared" ref="L955:L1018" si="438">K955</f>
        <v>0.35</v>
      </c>
      <c r="M955" s="249">
        <f t="shared" ref="M955:M1018" si="439">U955*O955</f>
        <v>124.99994999999998</v>
      </c>
      <c r="N955" s="170">
        <f t="shared" si="433"/>
        <v>127.61869895249998</v>
      </c>
      <c r="O955" s="250">
        <v>0.15</v>
      </c>
      <c r="P955" s="172">
        <f t="shared" si="434"/>
        <v>0.15</v>
      </c>
      <c r="Q955" s="251">
        <f t="shared" si="435"/>
        <v>41.666650000000004</v>
      </c>
      <c r="R955" s="173">
        <f t="shared" si="436"/>
        <v>42.539566317500004</v>
      </c>
      <c r="S955" s="250">
        <v>0.05</v>
      </c>
      <c r="T955" s="171">
        <f t="shared" si="437"/>
        <v>0.05</v>
      </c>
      <c r="U955" s="256">
        <v>833.33299999999997</v>
      </c>
      <c r="V955" s="170">
        <f t="shared" si="426"/>
        <v>850.79132634999996</v>
      </c>
      <c r="W955" s="258">
        <v>0.2</v>
      </c>
      <c r="X955" s="257">
        <f t="shared" si="431"/>
        <v>999.99959999999999</v>
      </c>
      <c r="Y955" s="170">
        <f t="shared" si="430"/>
        <v>1020.9495916199999</v>
      </c>
      <c r="Z955" s="170">
        <f t="shared" si="425"/>
        <v>1025</v>
      </c>
      <c r="AA955" s="407">
        <f t="shared" si="429"/>
        <v>0</v>
      </c>
      <c r="AB955" s="194"/>
    </row>
    <row r="956" spans="1:28" s="278" customFormat="1" x14ac:dyDescent="0.25">
      <c r="A956" s="200">
        <v>717892</v>
      </c>
      <c r="B956" s="313" t="s">
        <v>19659</v>
      </c>
      <c r="C956" s="248"/>
      <c r="D956" s="247" t="s">
        <v>11</v>
      </c>
      <c r="E956" s="249">
        <f t="shared" si="427"/>
        <v>525.00001499999996</v>
      </c>
      <c r="F956" s="170">
        <f t="shared" si="427"/>
        <v>535.99876531425002</v>
      </c>
      <c r="G956" s="250">
        <v>0.45</v>
      </c>
      <c r="H956" s="171">
        <f t="shared" si="432"/>
        <v>0.45</v>
      </c>
      <c r="I956" s="249">
        <f t="shared" si="428"/>
        <v>408.33334499999995</v>
      </c>
      <c r="J956" s="170">
        <f t="shared" si="428"/>
        <v>416.88792857775002</v>
      </c>
      <c r="K956" s="250">
        <v>0.35</v>
      </c>
      <c r="L956" s="172">
        <f t="shared" si="438"/>
        <v>0.35</v>
      </c>
      <c r="M956" s="249">
        <f t="shared" si="439"/>
        <v>175.00000499999999</v>
      </c>
      <c r="N956" s="170">
        <f t="shared" si="433"/>
        <v>178.66625510475001</v>
      </c>
      <c r="O956" s="250">
        <v>0.15</v>
      </c>
      <c r="P956" s="172">
        <f t="shared" si="434"/>
        <v>0.15</v>
      </c>
      <c r="Q956" s="251">
        <f t="shared" si="435"/>
        <v>58.333335000000005</v>
      </c>
      <c r="R956" s="173">
        <f t="shared" si="436"/>
        <v>59.555418368250002</v>
      </c>
      <c r="S956" s="250">
        <v>0.05</v>
      </c>
      <c r="T956" s="171">
        <f t="shared" si="437"/>
        <v>0.05</v>
      </c>
      <c r="U956" s="253">
        <v>1166.6667</v>
      </c>
      <c r="V956" s="170">
        <f t="shared" si="426"/>
        <v>1191.108367365</v>
      </c>
      <c r="W956" s="258">
        <v>0.2</v>
      </c>
      <c r="X956" s="257">
        <f t="shared" si="431"/>
        <v>1400.0000399999999</v>
      </c>
      <c r="Y956" s="170">
        <f t="shared" si="430"/>
        <v>1429.3300408380001</v>
      </c>
      <c r="Z956" s="170">
        <f t="shared" ref="Z956:Z1019" si="440">IF(Y956=0, 0, IF(Y956&lt;10, _xlfn.CEILING.MATH(Y956,1), IF(Y956&lt;100, _xlfn.CEILING.MATH(Y956,1),IF(Y956&lt;1000, _xlfn.CEILING.MATH(Y956,5), IF(Y956&lt;10000, _xlfn.CEILING.MATH(Y956, 25), IF(Y956&lt;100000, _xlfn.CEILING.MATH(Y956,250), IF(Y956&lt;1000000, _xlfn.CEILING.MATH(Y956,500), 0)))))))</f>
        <v>1450</v>
      </c>
      <c r="AA956" s="407">
        <f t="shared" si="429"/>
        <v>0</v>
      </c>
      <c r="AB956" s="194"/>
    </row>
    <row r="957" spans="1:28" s="278" customFormat="1" x14ac:dyDescent="0.25">
      <c r="A957" s="200">
        <v>717892</v>
      </c>
      <c r="B957" s="313" t="s">
        <v>19660</v>
      </c>
      <c r="C957" s="248"/>
      <c r="D957" s="247" t="s">
        <v>11</v>
      </c>
      <c r="E957" s="249">
        <f t="shared" si="427"/>
        <v>487.49985000000004</v>
      </c>
      <c r="F957" s="170">
        <f t="shared" si="427"/>
        <v>497.71297185749995</v>
      </c>
      <c r="G957" s="250">
        <v>0.45</v>
      </c>
      <c r="H957" s="171">
        <f t="shared" si="432"/>
        <v>0.45</v>
      </c>
      <c r="I957" s="249">
        <f t="shared" si="428"/>
        <v>379.16655000000003</v>
      </c>
      <c r="J957" s="170">
        <f t="shared" si="428"/>
        <v>387.11008922249994</v>
      </c>
      <c r="K957" s="250">
        <v>0.35</v>
      </c>
      <c r="L957" s="172">
        <f t="shared" si="438"/>
        <v>0.35</v>
      </c>
      <c r="M957" s="249">
        <f t="shared" si="439"/>
        <v>162.49995000000001</v>
      </c>
      <c r="N957" s="170">
        <f t="shared" si="433"/>
        <v>165.90432395249999</v>
      </c>
      <c r="O957" s="250">
        <v>0.15</v>
      </c>
      <c r="P957" s="172">
        <f t="shared" si="434"/>
        <v>0.15</v>
      </c>
      <c r="Q957" s="251">
        <f t="shared" si="435"/>
        <v>54.166650000000004</v>
      </c>
      <c r="R957" s="173">
        <f t="shared" si="436"/>
        <v>55.3014413175</v>
      </c>
      <c r="S957" s="250">
        <v>0.05</v>
      </c>
      <c r="T957" s="171">
        <f t="shared" si="437"/>
        <v>0.05</v>
      </c>
      <c r="U957" s="256">
        <v>1083.3330000000001</v>
      </c>
      <c r="V957" s="170">
        <f t="shared" si="426"/>
        <v>1106.0288263499999</v>
      </c>
      <c r="W957" s="258">
        <v>0.2</v>
      </c>
      <c r="X957" s="257">
        <f t="shared" si="431"/>
        <v>1299.9996000000001</v>
      </c>
      <c r="Y957" s="170">
        <f t="shared" si="430"/>
        <v>1327.2345916199999</v>
      </c>
      <c r="Z957" s="170">
        <f t="shared" si="440"/>
        <v>1350</v>
      </c>
      <c r="AA957" s="407">
        <f t="shared" si="429"/>
        <v>0</v>
      </c>
      <c r="AB957" s="194"/>
    </row>
    <row r="958" spans="1:28" s="278" customFormat="1" x14ac:dyDescent="0.25">
      <c r="A958" s="200">
        <v>717896</v>
      </c>
      <c r="B958" s="313" t="s">
        <v>19661</v>
      </c>
      <c r="C958" s="248"/>
      <c r="D958" s="247" t="s">
        <v>11</v>
      </c>
      <c r="E958" s="249">
        <f t="shared" si="427"/>
        <v>618.75</v>
      </c>
      <c r="F958" s="170">
        <f t="shared" si="427"/>
        <v>631.71281250000004</v>
      </c>
      <c r="G958" s="250">
        <v>0.45</v>
      </c>
      <c r="H958" s="171">
        <f t="shared" si="432"/>
        <v>0.45</v>
      </c>
      <c r="I958" s="249">
        <f t="shared" si="428"/>
        <v>481.24999999999994</v>
      </c>
      <c r="J958" s="170">
        <f t="shared" si="428"/>
        <v>491.33218749999997</v>
      </c>
      <c r="K958" s="250">
        <v>0.35</v>
      </c>
      <c r="L958" s="172">
        <f t="shared" si="438"/>
        <v>0.35</v>
      </c>
      <c r="M958" s="249">
        <f t="shared" si="439"/>
        <v>206.25</v>
      </c>
      <c r="N958" s="170">
        <f t="shared" si="433"/>
        <v>210.57093750000001</v>
      </c>
      <c r="O958" s="250">
        <v>0.15</v>
      </c>
      <c r="P958" s="172">
        <f t="shared" si="434"/>
        <v>0.15</v>
      </c>
      <c r="Q958" s="251">
        <f t="shared" si="435"/>
        <v>68.75</v>
      </c>
      <c r="R958" s="173">
        <f t="shared" si="436"/>
        <v>70.190312500000005</v>
      </c>
      <c r="S958" s="250">
        <v>0.05</v>
      </c>
      <c r="T958" s="171">
        <f t="shared" si="437"/>
        <v>0.05</v>
      </c>
      <c r="U958" s="256">
        <v>1375</v>
      </c>
      <c r="V958" s="170">
        <f t="shared" si="426"/>
        <v>1403.8062500000001</v>
      </c>
      <c r="W958" s="258">
        <v>0.2</v>
      </c>
      <c r="X958" s="257">
        <f t="shared" si="431"/>
        <v>1650</v>
      </c>
      <c r="Y958" s="170">
        <f t="shared" si="430"/>
        <v>1684.5675000000001</v>
      </c>
      <c r="Z958" s="170">
        <f t="shared" si="440"/>
        <v>1700</v>
      </c>
      <c r="AA958" s="407">
        <f t="shared" si="429"/>
        <v>0</v>
      </c>
      <c r="AB958" s="194"/>
    </row>
    <row r="959" spans="1:28" s="278" customFormat="1" x14ac:dyDescent="0.25">
      <c r="A959" s="200">
        <v>717896</v>
      </c>
      <c r="B959" s="313" t="s">
        <v>19662</v>
      </c>
      <c r="C959" s="248"/>
      <c r="D959" s="247" t="s">
        <v>11</v>
      </c>
      <c r="E959" s="249">
        <f t="shared" si="427"/>
        <v>562.5</v>
      </c>
      <c r="F959" s="170">
        <f t="shared" si="427"/>
        <v>574.28437500000007</v>
      </c>
      <c r="G959" s="250">
        <v>0.45</v>
      </c>
      <c r="H959" s="171">
        <f t="shared" si="432"/>
        <v>0.45</v>
      </c>
      <c r="I959" s="249">
        <f t="shared" si="428"/>
        <v>437.5</v>
      </c>
      <c r="J959" s="170">
        <f t="shared" si="428"/>
        <v>446.66562499999998</v>
      </c>
      <c r="K959" s="250">
        <v>0.35</v>
      </c>
      <c r="L959" s="172">
        <f t="shared" si="438"/>
        <v>0.35</v>
      </c>
      <c r="M959" s="249">
        <f t="shared" si="439"/>
        <v>187.5</v>
      </c>
      <c r="N959" s="170">
        <f t="shared" si="433"/>
        <v>191.42812499999999</v>
      </c>
      <c r="O959" s="250">
        <v>0.15</v>
      </c>
      <c r="P959" s="172">
        <f t="shared" si="434"/>
        <v>0.15</v>
      </c>
      <c r="Q959" s="251">
        <f t="shared" si="435"/>
        <v>62.5</v>
      </c>
      <c r="R959" s="173">
        <f t="shared" si="436"/>
        <v>63.809375000000003</v>
      </c>
      <c r="S959" s="250">
        <v>0.05</v>
      </c>
      <c r="T959" s="171">
        <f t="shared" si="437"/>
        <v>0.05</v>
      </c>
      <c r="U959" s="256">
        <v>1250</v>
      </c>
      <c r="V959" s="170">
        <f t="shared" si="426"/>
        <v>1276.1875</v>
      </c>
      <c r="W959" s="258">
        <v>0.2</v>
      </c>
      <c r="X959" s="257">
        <f t="shared" si="431"/>
        <v>1500</v>
      </c>
      <c r="Y959" s="170">
        <f t="shared" si="430"/>
        <v>1531.425</v>
      </c>
      <c r="Z959" s="170">
        <f t="shared" si="440"/>
        <v>1550</v>
      </c>
      <c r="AA959" s="407">
        <f t="shared" si="429"/>
        <v>0</v>
      </c>
      <c r="AB959" s="194"/>
    </row>
    <row r="960" spans="1:28" s="278" customFormat="1" x14ac:dyDescent="0.25">
      <c r="A960" s="200">
        <v>717898</v>
      </c>
      <c r="B960" s="313" t="s">
        <v>19663</v>
      </c>
      <c r="C960" s="248"/>
      <c r="D960" s="247" t="s">
        <v>11</v>
      </c>
      <c r="E960" s="249">
        <f t="shared" si="427"/>
        <v>1031.2500150000001</v>
      </c>
      <c r="F960" s="170">
        <f t="shared" si="427"/>
        <v>1052.8547028142502</v>
      </c>
      <c r="G960" s="250">
        <v>0.45</v>
      </c>
      <c r="H960" s="171">
        <f t="shared" si="432"/>
        <v>0.45</v>
      </c>
      <c r="I960" s="249">
        <f t="shared" si="428"/>
        <v>802.08334500000001</v>
      </c>
      <c r="J960" s="170">
        <f t="shared" si="428"/>
        <v>818.88699107775005</v>
      </c>
      <c r="K960" s="250">
        <v>0.35</v>
      </c>
      <c r="L960" s="172">
        <f t="shared" si="438"/>
        <v>0.35</v>
      </c>
      <c r="M960" s="249">
        <f t="shared" si="439"/>
        <v>343.75000500000004</v>
      </c>
      <c r="N960" s="170">
        <f t="shared" si="433"/>
        <v>350.95156760475004</v>
      </c>
      <c r="O960" s="250">
        <v>0.15</v>
      </c>
      <c r="P960" s="172">
        <f t="shared" si="434"/>
        <v>0.15</v>
      </c>
      <c r="Q960" s="251">
        <f t="shared" si="435"/>
        <v>114.58333500000002</v>
      </c>
      <c r="R960" s="173">
        <f t="shared" si="436"/>
        <v>116.98385586825003</v>
      </c>
      <c r="S960" s="250">
        <v>0.05</v>
      </c>
      <c r="T960" s="171">
        <f t="shared" si="437"/>
        <v>0.05</v>
      </c>
      <c r="U960" s="256">
        <v>2291.6667000000002</v>
      </c>
      <c r="V960" s="170">
        <f t="shared" ref="V960:V1023" si="441">SUM(E960*1.0235,I960*1.0175,M960*1.0245,Q960*1.0115)</f>
        <v>2339.6771173650004</v>
      </c>
      <c r="W960" s="258">
        <v>0.2</v>
      </c>
      <c r="X960" s="257">
        <f t="shared" si="431"/>
        <v>2750.0000400000004</v>
      </c>
      <c r="Y960" s="170">
        <f t="shared" si="430"/>
        <v>2807.6125408380003</v>
      </c>
      <c r="Z960" s="170">
        <f t="shared" si="440"/>
        <v>2825</v>
      </c>
      <c r="AA960" s="407">
        <f t="shared" si="429"/>
        <v>0</v>
      </c>
      <c r="AB960" s="194"/>
    </row>
    <row r="961" spans="1:28" s="278" customFormat="1" x14ac:dyDescent="0.25">
      <c r="A961" s="200">
        <v>717898</v>
      </c>
      <c r="B961" s="313" t="s">
        <v>19664</v>
      </c>
      <c r="C961" s="248"/>
      <c r="D961" s="247" t="s">
        <v>11</v>
      </c>
      <c r="E961" s="249">
        <f t="shared" si="427"/>
        <v>937.49985000000004</v>
      </c>
      <c r="F961" s="170">
        <f t="shared" si="427"/>
        <v>957.14047185750019</v>
      </c>
      <c r="G961" s="250">
        <v>0.45</v>
      </c>
      <c r="H961" s="171">
        <f t="shared" si="432"/>
        <v>0.45</v>
      </c>
      <c r="I961" s="249">
        <f t="shared" si="428"/>
        <v>729.16655000000003</v>
      </c>
      <c r="J961" s="170">
        <f t="shared" si="428"/>
        <v>744.44258922250015</v>
      </c>
      <c r="K961" s="250">
        <v>0.35</v>
      </c>
      <c r="L961" s="172">
        <f t="shared" si="438"/>
        <v>0.35</v>
      </c>
      <c r="M961" s="249">
        <f t="shared" si="439"/>
        <v>312.49995000000001</v>
      </c>
      <c r="N961" s="170">
        <f t="shared" si="433"/>
        <v>319.04682395250006</v>
      </c>
      <c r="O961" s="250">
        <v>0.15</v>
      </c>
      <c r="P961" s="172">
        <f t="shared" si="434"/>
        <v>0.15</v>
      </c>
      <c r="Q961" s="251">
        <f t="shared" si="435"/>
        <v>104.16665</v>
      </c>
      <c r="R961" s="173">
        <f t="shared" si="436"/>
        <v>106.34894131750002</v>
      </c>
      <c r="S961" s="250">
        <v>0.05</v>
      </c>
      <c r="T961" s="171">
        <f t="shared" si="437"/>
        <v>0.05</v>
      </c>
      <c r="U961" s="256">
        <v>2083.3330000000001</v>
      </c>
      <c r="V961" s="170">
        <f t="shared" si="441"/>
        <v>2126.9788263500004</v>
      </c>
      <c r="W961" s="258">
        <v>0.2</v>
      </c>
      <c r="X961" s="257">
        <f t="shared" si="431"/>
        <v>2499.9996000000001</v>
      </c>
      <c r="Y961" s="170">
        <f t="shared" si="430"/>
        <v>2552.3745916200005</v>
      </c>
      <c r="Z961" s="170">
        <f t="shared" si="440"/>
        <v>2575</v>
      </c>
      <c r="AA961" s="407">
        <f t="shared" si="429"/>
        <v>0</v>
      </c>
      <c r="AB961" s="194"/>
    </row>
    <row r="962" spans="1:28" s="278" customFormat="1" x14ac:dyDescent="0.25">
      <c r="A962" s="200">
        <v>717899</v>
      </c>
      <c r="B962" s="313" t="s">
        <v>19665</v>
      </c>
      <c r="C962" s="248"/>
      <c r="D962" s="247" t="s">
        <v>11</v>
      </c>
      <c r="E962" s="249">
        <f t="shared" si="427"/>
        <v>1218.7498500000002</v>
      </c>
      <c r="F962" s="170">
        <f t="shared" si="427"/>
        <v>1244.2826593575003</v>
      </c>
      <c r="G962" s="250">
        <v>0.45</v>
      </c>
      <c r="H962" s="171">
        <f t="shared" si="432"/>
        <v>0.45</v>
      </c>
      <c r="I962" s="249">
        <f t="shared" si="428"/>
        <v>947.91654999999992</v>
      </c>
      <c r="J962" s="170">
        <f t="shared" si="428"/>
        <v>967.77540172250008</v>
      </c>
      <c r="K962" s="250">
        <v>0.35</v>
      </c>
      <c r="L962" s="172">
        <f t="shared" si="438"/>
        <v>0.35</v>
      </c>
      <c r="M962" s="249">
        <f t="shared" si="439"/>
        <v>406.24995000000001</v>
      </c>
      <c r="N962" s="170">
        <f t="shared" si="433"/>
        <v>414.76088645250007</v>
      </c>
      <c r="O962" s="250">
        <v>0.15</v>
      </c>
      <c r="P962" s="172">
        <f t="shared" si="434"/>
        <v>0.15</v>
      </c>
      <c r="Q962" s="251">
        <f t="shared" si="435"/>
        <v>135.41665</v>
      </c>
      <c r="R962" s="173">
        <f t="shared" si="436"/>
        <v>138.25362881750002</v>
      </c>
      <c r="S962" s="250">
        <v>0.05</v>
      </c>
      <c r="T962" s="171">
        <f t="shared" si="437"/>
        <v>0.05</v>
      </c>
      <c r="U962" s="256">
        <v>2708.3330000000001</v>
      </c>
      <c r="V962" s="170">
        <f t="shared" si="441"/>
        <v>2765.0725763500004</v>
      </c>
      <c r="W962" s="258">
        <v>0.2</v>
      </c>
      <c r="X962" s="257">
        <f t="shared" si="431"/>
        <v>3249.9996000000001</v>
      </c>
      <c r="Y962" s="170">
        <f t="shared" si="430"/>
        <v>3318.0870916200006</v>
      </c>
      <c r="Z962" s="170">
        <f t="shared" si="440"/>
        <v>3325</v>
      </c>
      <c r="AA962" s="407">
        <f t="shared" si="429"/>
        <v>0</v>
      </c>
      <c r="AB962" s="194"/>
    </row>
    <row r="963" spans="1:28" s="278" customFormat="1" x14ac:dyDescent="0.25">
      <c r="A963" s="200">
        <v>717899</v>
      </c>
      <c r="B963" s="313" t="s">
        <v>19666</v>
      </c>
      <c r="C963" s="248"/>
      <c r="D963" s="247" t="s">
        <v>11</v>
      </c>
      <c r="E963" s="249">
        <f t="shared" si="427"/>
        <v>1499.9998500000002</v>
      </c>
      <c r="F963" s="170">
        <f t="shared" si="427"/>
        <v>1531.4248468575001</v>
      </c>
      <c r="G963" s="250">
        <v>0.45</v>
      </c>
      <c r="H963" s="171">
        <f t="shared" si="432"/>
        <v>0.45</v>
      </c>
      <c r="I963" s="249">
        <f t="shared" si="428"/>
        <v>1166.6665499999999</v>
      </c>
      <c r="J963" s="170">
        <f t="shared" si="428"/>
        <v>1191.1082142225</v>
      </c>
      <c r="K963" s="250">
        <v>0.35</v>
      </c>
      <c r="L963" s="172">
        <f t="shared" si="438"/>
        <v>0.35</v>
      </c>
      <c r="M963" s="249">
        <f t="shared" si="439"/>
        <v>499.99995000000001</v>
      </c>
      <c r="N963" s="170">
        <f t="shared" si="433"/>
        <v>510.47494895250003</v>
      </c>
      <c r="O963" s="250">
        <v>0.15</v>
      </c>
      <c r="P963" s="172">
        <f t="shared" si="434"/>
        <v>0.15</v>
      </c>
      <c r="Q963" s="251">
        <f t="shared" si="435"/>
        <v>166.66665</v>
      </c>
      <c r="R963" s="173">
        <f t="shared" si="436"/>
        <v>170.15831631750004</v>
      </c>
      <c r="S963" s="250">
        <v>0.05</v>
      </c>
      <c r="T963" s="171">
        <f t="shared" si="437"/>
        <v>0.05</v>
      </c>
      <c r="U963" s="256">
        <v>3333.3330000000001</v>
      </c>
      <c r="V963" s="170">
        <f t="shared" si="441"/>
        <v>3403.1663263500004</v>
      </c>
      <c r="W963" s="258">
        <v>0.2</v>
      </c>
      <c r="X963" s="257">
        <f t="shared" si="431"/>
        <v>3999.9996000000001</v>
      </c>
      <c r="Y963" s="170">
        <f t="shared" si="430"/>
        <v>4083.7995916200002</v>
      </c>
      <c r="Z963" s="170">
        <f t="shared" si="440"/>
        <v>4100</v>
      </c>
      <c r="AA963" s="407">
        <f t="shared" si="429"/>
        <v>0</v>
      </c>
      <c r="AB963" s="194"/>
    </row>
    <row r="964" spans="1:28" s="278" customFormat="1" ht="14.4" thickBot="1" x14ac:dyDescent="0.3">
      <c r="A964" s="263">
        <v>717900</v>
      </c>
      <c r="B964" s="321" t="s">
        <v>19667</v>
      </c>
      <c r="C964" s="265"/>
      <c r="D964" s="264" t="s">
        <v>11</v>
      </c>
      <c r="E964" s="266">
        <f t="shared" si="427"/>
        <v>1218.7498500000002</v>
      </c>
      <c r="F964" s="174">
        <f t="shared" si="427"/>
        <v>1244.2826593575003</v>
      </c>
      <c r="G964" s="267">
        <v>0.45</v>
      </c>
      <c r="H964" s="268">
        <f t="shared" si="432"/>
        <v>0.45</v>
      </c>
      <c r="I964" s="266">
        <f t="shared" si="428"/>
        <v>947.91654999999992</v>
      </c>
      <c r="J964" s="174">
        <f t="shared" si="428"/>
        <v>967.77540172250008</v>
      </c>
      <c r="K964" s="267">
        <v>0.35</v>
      </c>
      <c r="L964" s="269">
        <f t="shared" si="438"/>
        <v>0.35</v>
      </c>
      <c r="M964" s="266">
        <f t="shared" si="439"/>
        <v>406.24995000000001</v>
      </c>
      <c r="N964" s="174">
        <f t="shared" si="433"/>
        <v>414.76088645250007</v>
      </c>
      <c r="O964" s="267">
        <v>0.15</v>
      </c>
      <c r="P964" s="269">
        <f t="shared" si="434"/>
        <v>0.15</v>
      </c>
      <c r="Q964" s="270">
        <f t="shared" si="435"/>
        <v>135.41665</v>
      </c>
      <c r="R964" s="271">
        <f t="shared" si="436"/>
        <v>138.25362881750002</v>
      </c>
      <c r="S964" s="267">
        <v>0.05</v>
      </c>
      <c r="T964" s="268">
        <f t="shared" si="437"/>
        <v>0.05</v>
      </c>
      <c r="U964" s="409">
        <v>2708.3330000000001</v>
      </c>
      <c r="V964" s="174">
        <f t="shared" si="441"/>
        <v>2765.0725763500004</v>
      </c>
      <c r="W964" s="322">
        <v>0.2</v>
      </c>
      <c r="X964" s="274">
        <f t="shared" si="431"/>
        <v>3249.9996000000001</v>
      </c>
      <c r="Y964" s="174">
        <f t="shared" si="430"/>
        <v>3318.0870916200006</v>
      </c>
      <c r="Z964" s="174">
        <f t="shared" si="440"/>
        <v>3325</v>
      </c>
      <c r="AA964" s="410">
        <f t="shared" si="429"/>
        <v>0</v>
      </c>
      <c r="AB964" s="194"/>
    </row>
    <row r="965" spans="1:28" s="278" customFormat="1" x14ac:dyDescent="0.25">
      <c r="A965" s="200">
        <v>717900</v>
      </c>
      <c r="B965" s="313" t="s">
        <v>19668</v>
      </c>
      <c r="C965" s="248"/>
      <c r="D965" s="247" t="s">
        <v>11</v>
      </c>
      <c r="E965" s="249">
        <f t="shared" si="427"/>
        <v>1312.5000150000001</v>
      </c>
      <c r="F965" s="170">
        <f t="shared" si="427"/>
        <v>1339.9968903142503</v>
      </c>
      <c r="G965" s="250">
        <v>0.45</v>
      </c>
      <c r="H965" s="171">
        <f t="shared" si="432"/>
        <v>0.45</v>
      </c>
      <c r="I965" s="249">
        <f t="shared" si="428"/>
        <v>1020.833345</v>
      </c>
      <c r="J965" s="170">
        <f t="shared" si="428"/>
        <v>1042.2198035777501</v>
      </c>
      <c r="K965" s="250">
        <v>0.35</v>
      </c>
      <c r="L965" s="172">
        <f t="shared" si="438"/>
        <v>0.35</v>
      </c>
      <c r="M965" s="249">
        <f t="shared" si="439"/>
        <v>437.50000500000004</v>
      </c>
      <c r="N965" s="170">
        <f t="shared" si="433"/>
        <v>446.66563010475005</v>
      </c>
      <c r="O965" s="250">
        <v>0.15</v>
      </c>
      <c r="P965" s="172">
        <f t="shared" si="434"/>
        <v>0.15</v>
      </c>
      <c r="Q965" s="251">
        <f t="shared" si="435"/>
        <v>145.83333500000001</v>
      </c>
      <c r="R965" s="173">
        <f t="shared" si="436"/>
        <v>148.88854336825003</v>
      </c>
      <c r="S965" s="250">
        <v>0.05</v>
      </c>
      <c r="T965" s="171">
        <f t="shared" si="437"/>
        <v>0.05</v>
      </c>
      <c r="U965" s="256">
        <v>2916.6667000000002</v>
      </c>
      <c r="V965" s="170">
        <f t="shared" si="441"/>
        <v>2977.7708673650004</v>
      </c>
      <c r="W965" s="258">
        <v>0.2</v>
      </c>
      <c r="X965" s="257">
        <f t="shared" si="431"/>
        <v>3500.0000400000004</v>
      </c>
      <c r="Y965" s="170">
        <f t="shared" si="430"/>
        <v>3573.3250408380004</v>
      </c>
      <c r="Z965" s="170">
        <f t="shared" si="440"/>
        <v>3575</v>
      </c>
      <c r="AA965" s="407">
        <f t="shared" si="429"/>
        <v>0</v>
      </c>
      <c r="AB965" s="194"/>
    </row>
    <row r="966" spans="1:28" s="278" customFormat="1" x14ac:dyDescent="0.25">
      <c r="A966" s="200">
        <v>717985</v>
      </c>
      <c r="B966" s="313" t="s">
        <v>19669</v>
      </c>
      <c r="C966" s="248"/>
      <c r="D966" s="247" t="s">
        <v>4</v>
      </c>
      <c r="E966" s="249">
        <f t="shared" si="427"/>
        <v>13750.000000000002</v>
      </c>
      <c r="F966" s="170">
        <f t="shared" si="427"/>
        <v>14046.312500000004</v>
      </c>
      <c r="G966" s="250">
        <v>0.55000000000000004</v>
      </c>
      <c r="H966" s="171">
        <f t="shared" si="432"/>
        <v>0.55000000000000004</v>
      </c>
      <c r="I966" s="249">
        <f t="shared" si="428"/>
        <v>6250</v>
      </c>
      <c r="J966" s="170">
        <f t="shared" si="428"/>
        <v>6384.6875000000009</v>
      </c>
      <c r="K966" s="250">
        <v>0.25</v>
      </c>
      <c r="L966" s="172">
        <f t="shared" si="438"/>
        <v>0.25</v>
      </c>
      <c r="M966" s="249">
        <f t="shared" si="439"/>
        <v>3750</v>
      </c>
      <c r="N966" s="170">
        <f t="shared" si="433"/>
        <v>3830.8125000000005</v>
      </c>
      <c r="O966" s="250">
        <v>0.15</v>
      </c>
      <c r="P966" s="172">
        <f t="shared" si="434"/>
        <v>0.15</v>
      </c>
      <c r="Q966" s="251">
        <f t="shared" si="435"/>
        <v>1250</v>
      </c>
      <c r="R966" s="173">
        <f t="shared" si="436"/>
        <v>1276.9375000000002</v>
      </c>
      <c r="S966" s="250">
        <v>0.05</v>
      </c>
      <c r="T966" s="171">
        <f t="shared" si="437"/>
        <v>0.05</v>
      </c>
      <c r="U966" s="256">
        <v>25000</v>
      </c>
      <c r="V966" s="170">
        <f t="shared" si="441"/>
        <v>25538.750000000004</v>
      </c>
      <c r="W966" s="258">
        <v>0.2</v>
      </c>
      <c r="X966" s="257">
        <f t="shared" si="431"/>
        <v>30000</v>
      </c>
      <c r="Y966" s="170">
        <f t="shared" si="430"/>
        <v>30646.500000000004</v>
      </c>
      <c r="Z966" s="170">
        <f t="shared" si="440"/>
        <v>30750</v>
      </c>
      <c r="AA966" s="407">
        <f t="shared" si="429"/>
        <v>0</v>
      </c>
      <c r="AB966" s="194"/>
    </row>
    <row r="967" spans="1:28" s="278" customFormat="1" x14ac:dyDescent="0.25">
      <c r="A967" s="200">
        <v>717985</v>
      </c>
      <c r="B967" s="313" t="s">
        <v>19670</v>
      </c>
      <c r="C967" s="248"/>
      <c r="D967" s="247" t="s">
        <v>4</v>
      </c>
      <c r="E967" s="249">
        <f t="shared" si="427"/>
        <v>27500.000000000004</v>
      </c>
      <c r="F967" s="170">
        <f t="shared" si="427"/>
        <v>28092.625000000007</v>
      </c>
      <c r="G967" s="250">
        <v>0.55000000000000004</v>
      </c>
      <c r="H967" s="171">
        <f t="shared" si="432"/>
        <v>0.55000000000000004</v>
      </c>
      <c r="I967" s="249">
        <f t="shared" si="428"/>
        <v>12500</v>
      </c>
      <c r="J967" s="170">
        <f t="shared" si="428"/>
        <v>12769.375000000002</v>
      </c>
      <c r="K967" s="250">
        <v>0.25</v>
      </c>
      <c r="L967" s="172">
        <f t="shared" si="438"/>
        <v>0.25</v>
      </c>
      <c r="M967" s="249">
        <f t="shared" si="439"/>
        <v>7500</v>
      </c>
      <c r="N967" s="170">
        <f t="shared" si="433"/>
        <v>7661.6250000000009</v>
      </c>
      <c r="O967" s="250">
        <v>0.15</v>
      </c>
      <c r="P967" s="172">
        <f t="shared" si="434"/>
        <v>0.15</v>
      </c>
      <c r="Q967" s="251">
        <f t="shared" si="435"/>
        <v>2500</v>
      </c>
      <c r="R967" s="173">
        <f t="shared" si="436"/>
        <v>2553.8750000000005</v>
      </c>
      <c r="S967" s="250">
        <v>0.05</v>
      </c>
      <c r="T967" s="171">
        <f t="shared" si="437"/>
        <v>0.05</v>
      </c>
      <c r="U967" s="256">
        <v>50000</v>
      </c>
      <c r="V967" s="170">
        <f t="shared" si="441"/>
        <v>51077.500000000007</v>
      </c>
      <c r="W967" s="258">
        <v>0.2</v>
      </c>
      <c r="X967" s="257">
        <f t="shared" si="431"/>
        <v>60000</v>
      </c>
      <c r="Y967" s="170">
        <f t="shared" si="430"/>
        <v>61293.000000000007</v>
      </c>
      <c r="Z967" s="170">
        <f t="shared" si="440"/>
        <v>61500</v>
      </c>
      <c r="AA967" s="407">
        <f t="shared" si="429"/>
        <v>0</v>
      </c>
      <c r="AB967" s="194"/>
    </row>
    <row r="968" spans="1:28" s="278" customFormat="1" x14ac:dyDescent="0.25">
      <c r="A968" s="200">
        <v>717990</v>
      </c>
      <c r="B968" s="313" t="s">
        <v>19671</v>
      </c>
      <c r="C968" s="248"/>
      <c r="D968" s="247" t="s">
        <v>2</v>
      </c>
      <c r="E968" s="249">
        <f t="shared" si="427"/>
        <v>2.1645000000000003</v>
      </c>
      <c r="F968" s="170">
        <f t="shared" si="427"/>
        <v>2.2138506000000007</v>
      </c>
      <c r="G968" s="250">
        <v>0.65</v>
      </c>
      <c r="H968" s="171">
        <f t="shared" si="432"/>
        <v>0.65</v>
      </c>
      <c r="I968" s="249">
        <f t="shared" si="428"/>
        <v>0.4995</v>
      </c>
      <c r="J968" s="170">
        <f t="shared" si="428"/>
        <v>0.51088860000000003</v>
      </c>
      <c r="K968" s="250">
        <v>0.15</v>
      </c>
      <c r="L968" s="172">
        <f t="shared" si="438"/>
        <v>0.15</v>
      </c>
      <c r="M968" s="249">
        <f t="shared" si="439"/>
        <v>0.66600000000000004</v>
      </c>
      <c r="N968" s="170">
        <f t="shared" si="433"/>
        <v>0.68118480000000015</v>
      </c>
      <c r="O968" s="250">
        <v>0.2</v>
      </c>
      <c r="P968" s="172">
        <f t="shared" si="434"/>
        <v>0.2</v>
      </c>
      <c r="Q968" s="251">
        <f t="shared" si="435"/>
        <v>0</v>
      </c>
      <c r="R968" s="173">
        <f t="shared" si="436"/>
        <v>0</v>
      </c>
      <c r="S968" s="250"/>
      <c r="T968" s="171">
        <f t="shared" si="437"/>
        <v>0</v>
      </c>
      <c r="U968" s="256">
        <v>3.33</v>
      </c>
      <c r="V968" s="170">
        <f t="shared" si="441"/>
        <v>3.4059240000000006</v>
      </c>
      <c r="W968" s="258">
        <v>0.2</v>
      </c>
      <c r="X968" s="257">
        <f t="shared" si="431"/>
        <v>3.996</v>
      </c>
      <c r="Y968" s="170">
        <f t="shared" si="430"/>
        <v>4.0871088000000002</v>
      </c>
      <c r="Z968" s="170">
        <f>IF(Y968=0, 0, IF(Y968&lt;10, _xlfn.CEILING.MATH(Y968,0.25), IF(Y968&lt;100, _xlfn.CEILING.MATH(Y968,1),IF(Y968&lt;1000, _xlfn.CEILING.MATH(Y968,5), IF(Y968&lt;10000, _xlfn.CEILING.MATH(Y968, 25), IF(Y968&lt;100000, _xlfn.CEILING.MATH(Y968,250), IF(Y968&lt;1000000, _xlfn.CEILING.MATH(Y968,500), 0)))))))</f>
        <v>4.25</v>
      </c>
      <c r="AA968" s="407">
        <f t="shared" si="429"/>
        <v>0</v>
      </c>
      <c r="AB968" s="194"/>
    </row>
    <row r="969" spans="1:28" s="278" customFormat="1" x14ac:dyDescent="0.25">
      <c r="A969" s="200">
        <v>717990</v>
      </c>
      <c r="B969" s="313" t="s">
        <v>19672</v>
      </c>
      <c r="C969" s="248"/>
      <c r="D969" s="247" t="s">
        <v>2</v>
      </c>
      <c r="E969" s="249">
        <f t="shared" si="427"/>
        <v>2.3010000000000002</v>
      </c>
      <c r="F969" s="170">
        <f t="shared" si="427"/>
        <v>2.3534628000000004</v>
      </c>
      <c r="G969" s="250">
        <v>0.65</v>
      </c>
      <c r="H969" s="171">
        <f t="shared" si="432"/>
        <v>0.65</v>
      </c>
      <c r="I969" s="249">
        <f t="shared" si="428"/>
        <v>0.53100000000000003</v>
      </c>
      <c r="J969" s="170">
        <f t="shared" si="428"/>
        <v>0.54310680000000011</v>
      </c>
      <c r="K969" s="250">
        <v>0.15</v>
      </c>
      <c r="L969" s="172">
        <f t="shared" si="438"/>
        <v>0.15</v>
      </c>
      <c r="M969" s="249">
        <f t="shared" si="439"/>
        <v>0.70800000000000007</v>
      </c>
      <c r="N969" s="170">
        <f t="shared" si="433"/>
        <v>0.72414240000000019</v>
      </c>
      <c r="O969" s="250">
        <v>0.2</v>
      </c>
      <c r="P969" s="172">
        <f t="shared" si="434"/>
        <v>0.2</v>
      </c>
      <c r="Q969" s="251">
        <f t="shared" si="435"/>
        <v>0</v>
      </c>
      <c r="R969" s="173">
        <f t="shared" si="436"/>
        <v>0</v>
      </c>
      <c r="S969" s="250"/>
      <c r="T969" s="171">
        <f t="shared" si="437"/>
        <v>0</v>
      </c>
      <c r="U969" s="256">
        <v>3.54</v>
      </c>
      <c r="V969" s="170">
        <f t="shared" si="441"/>
        <v>3.6207120000000006</v>
      </c>
      <c r="W969" s="258">
        <v>0.2</v>
      </c>
      <c r="X969" s="257">
        <f t="shared" si="431"/>
        <v>4.2480000000000002</v>
      </c>
      <c r="Y969" s="170">
        <f t="shared" si="430"/>
        <v>4.3448544000000009</v>
      </c>
      <c r="Z969" s="170">
        <f>IF(Y969=0, 0, IF(Y969&lt;10, _xlfn.CEILING.MATH(Y969,0.25), IF(Y969&lt;100, _xlfn.CEILING.MATH(Y969,1),IF(Y969&lt;1000, _xlfn.CEILING.MATH(Y969,5), IF(Y969&lt;10000, _xlfn.CEILING.MATH(Y969, 25), IF(Y969&lt;100000, _xlfn.CEILING.MATH(Y969,250), IF(Y969&lt;1000000, _xlfn.CEILING.MATH(Y969,500), 0)))))))</f>
        <v>4.5</v>
      </c>
      <c r="AA969" s="407">
        <f t="shared" si="429"/>
        <v>0</v>
      </c>
      <c r="AB969" s="194"/>
    </row>
    <row r="970" spans="1:28" s="278" customFormat="1" x14ac:dyDescent="0.25">
      <c r="A970" s="195" t="s">
        <v>14711</v>
      </c>
      <c r="B970" s="317" t="s">
        <v>14712</v>
      </c>
      <c r="C970" s="241"/>
      <c r="D970" s="242"/>
      <c r="E970" s="243"/>
      <c r="F970" s="244"/>
      <c r="G970" s="245"/>
      <c r="H970" s="246"/>
      <c r="I970" s="243"/>
      <c r="J970" s="244"/>
      <c r="K970" s="245"/>
      <c r="L970" s="246"/>
      <c r="M970" s="243"/>
      <c r="N970" s="244"/>
      <c r="O970" s="245"/>
      <c r="P970" s="246"/>
      <c r="Q970" s="243"/>
      <c r="R970" s="244"/>
      <c r="S970" s="245"/>
      <c r="T970" s="246"/>
      <c r="U970" s="246"/>
      <c r="V970" s="246"/>
      <c r="W970" s="246"/>
      <c r="X970" s="246"/>
      <c r="Y970" s="244"/>
      <c r="Z970" s="244"/>
      <c r="AA970" s="406"/>
      <c r="AB970" s="194"/>
    </row>
    <row r="971" spans="1:28" s="278" customFormat="1" x14ac:dyDescent="0.25">
      <c r="A971" s="200">
        <v>718006</v>
      </c>
      <c r="B971" s="313" t="s">
        <v>19673</v>
      </c>
      <c r="C971" s="248"/>
      <c r="D971" s="247" t="s">
        <v>2</v>
      </c>
      <c r="E971" s="249">
        <f t="shared" si="427"/>
        <v>26.666668000000001</v>
      </c>
      <c r="F971" s="170">
        <f t="shared" si="427"/>
        <v>27.217334694200005</v>
      </c>
      <c r="G971" s="250">
        <v>0.4</v>
      </c>
      <c r="H971" s="171">
        <f t="shared" si="432"/>
        <v>0.4</v>
      </c>
      <c r="I971" s="249">
        <f t="shared" si="428"/>
        <v>26.666668000000001</v>
      </c>
      <c r="J971" s="170">
        <f t="shared" si="428"/>
        <v>27.217334694200005</v>
      </c>
      <c r="K971" s="250">
        <v>0.4</v>
      </c>
      <c r="L971" s="172">
        <f t="shared" si="438"/>
        <v>0.4</v>
      </c>
      <c r="M971" s="249">
        <f t="shared" si="439"/>
        <v>10.000000499999999</v>
      </c>
      <c r="N971" s="170">
        <f t="shared" si="433"/>
        <v>10.206500510325</v>
      </c>
      <c r="O971" s="250">
        <v>0.15</v>
      </c>
      <c r="P971" s="172">
        <f t="shared" si="434"/>
        <v>0.15</v>
      </c>
      <c r="Q971" s="251">
        <f t="shared" si="435"/>
        <v>3.3333335000000002</v>
      </c>
      <c r="R971" s="173">
        <f t="shared" si="436"/>
        <v>3.4021668367750006</v>
      </c>
      <c r="S971" s="250">
        <v>0.05</v>
      </c>
      <c r="T971" s="171">
        <f t="shared" si="437"/>
        <v>0.05</v>
      </c>
      <c r="U971" s="256">
        <v>66.666669999999996</v>
      </c>
      <c r="V971" s="170">
        <f t="shared" si="441"/>
        <v>68.043336735500006</v>
      </c>
      <c r="W971" s="258">
        <v>0.2</v>
      </c>
      <c r="X971" s="257">
        <f t="shared" ref="X971:X1006" si="442">U971+U971*W971</f>
        <v>80.00000399999999</v>
      </c>
      <c r="Y971" s="170">
        <f t="shared" si="430"/>
        <v>81.652004082600001</v>
      </c>
      <c r="Z971" s="170">
        <f t="shared" si="440"/>
        <v>82</v>
      </c>
      <c r="AA971" s="407">
        <f t="shared" si="429"/>
        <v>0</v>
      </c>
      <c r="AB971" s="194"/>
    </row>
    <row r="972" spans="1:28" s="278" customFormat="1" x14ac:dyDescent="0.25">
      <c r="A972" s="200">
        <v>718006</v>
      </c>
      <c r="B972" s="313" t="s">
        <v>19674</v>
      </c>
      <c r="C972" s="248"/>
      <c r="D972" s="247" t="s">
        <v>2</v>
      </c>
      <c r="E972" s="249">
        <f t="shared" si="427"/>
        <v>18.333320000000001</v>
      </c>
      <c r="F972" s="170">
        <f t="shared" si="427"/>
        <v>18.711903058000004</v>
      </c>
      <c r="G972" s="250">
        <v>0.4</v>
      </c>
      <c r="H972" s="171">
        <f t="shared" si="432"/>
        <v>0.4</v>
      </c>
      <c r="I972" s="249">
        <f t="shared" si="428"/>
        <v>18.333320000000001</v>
      </c>
      <c r="J972" s="170">
        <f t="shared" si="428"/>
        <v>18.711903058000004</v>
      </c>
      <c r="K972" s="250">
        <v>0.4</v>
      </c>
      <c r="L972" s="172">
        <f t="shared" si="438"/>
        <v>0.4</v>
      </c>
      <c r="M972" s="249">
        <f t="shared" si="439"/>
        <v>6.8749950000000002</v>
      </c>
      <c r="N972" s="170">
        <f t="shared" si="433"/>
        <v>7.0169636467500016</v>
      </c>
      <c r="O972" s="250">
        <v>0.15</v>
      </c>
      <c r="P972" s="172">
        <f t="shared" si="434"/>
        <v>0.15</v>
      </c>
      <c r="Q972" s="251">
        <f t="shared" si="435"/>
        <v>2.2916650000000001</v>
      </c>
      <c r="R972" s="173">
        <f t="shared" si="436"/>
        <v>2.3389878822500005</v>
      </c>
      <c r="S972" s="250">
        <v>0.05</v>
      </c>
      <c r="T972" s="171">
        <f t="shared" si="437"/>
        <v>0.05</v>
      </c>
      <c r="U972" s="256">
        <v>45.833300000000001</v>
      </c>
      <c r="V972" s="170">
        <f t="shared" si="441"/>
        <v>46.779757645000011</v>
      </c>
      <c r="W972" s="258">
        <v>0.2</v>
      </c>
      <c r="X972" s="257">
        <f t="shared" si="442"/>
        <v>54.999960000000002</v>
      </c>
      <c r="Y972" s="170">
        <f t="shared" si="430"/>
        <v>56.135709174000013</v>
      </c>
      <c r="Z972" s="170">
        <f t="shared" si="440"/>
        <v>57</v>
      </c>
      <c r="AA972" s="407">
        <f t="shared" si="429"/>
        <v>0</v>
      </c>
      <c r="AB972" s="194"/>
    </row>
    <row r="973" spans="1:28" s="278" customFormat="1" x14ac:dyDescent="0.25">
      <c r="A973" s="200">
        <v>718008</v>
      </c>
      <c r="B973" s="313" t="s">
        <v>19675</v>
      </c>
      <c r="C973" s="248"/>
      <c r="D973" s="247" t="s">
        <v>2</v>
      </c>
      <c r="E973" s="249">
        <f t="shared" si="427"/>
        <v>30</v>
      </c>
      <c r="F973" s="170">
        <f t="shared" si="427"/>
        <v>30.619500000000006</v>
      </c>
      <c r="G973" s="250">
        <v>0.4</v>
      </c>
      <c r="H973" s="171">
        <f t="shared" si="432"/>
        <v>0.4</v>
      </c>
      <c r="I973" s="249">
        <f t="shared" si="428"/>
        <v>30</v>
      </c>
      <c r="J973" s="170">
        <f t="shared" si="428"/>
        <v>30.619500000000006</v>
      </c>
      <c r="K973" s="250">
        <v>0.4</v>
      </c>
      <c r="L973" s="172">
        <f t="shared" si="438"/>
        <v>0.4</v>
      </c>
      <c r="M973" s="249">
        <f t="shared" si="439"/>
        <v>11.25</v>
      </c>
      <c r="N973" s="170">
        <f t="shared" si="433"/>
        <v>11.482312500000001</v>
      </c>
      <c r="O973" s="250">
        <v>0.15</v>
      </c>
      <c r="P973" s="172">
        <f t="shared" si="434"/>
        <v>0.15</v>
      </c>
      <c r="Q973" s="251">
        <f t="shared" si="435"/>
        <v>3.75</v>
      </c>
      <c r="R973" s="173">
        <f t="shared" si="436"/>
        <v>3.8274375000000007</v>
      </c>
      <c r="S973" s="250">
        <v>0.05</v>
      </c>
      <c r="T973" s="171">
        <f t="shared" si="437"/>
        <v>0.05</v>
      </c>
      <c r="U973" s="256">
        <v>75</v>
      </c>
      <c r="V973" s="170">
        <f t="shared" si="441"/>
        <v>76.548750000000013</v>
      </c>
      <c r="W973" s="258">
        <v>0.2</v>
      </c>
      <c r="X973" s="257">
        <f t="shared" si="442"/>
        <v>90</v>
      </c>
      <c r="Y973" s="170">
        <f t="shared" si="430"/>
        <v>91.858500000000006</v>
      </c>
      <c r="Z973" s="170">
        <f t="shared" si="440"/>
        <v>92</v>
      </c>
      <c r="AA973" s="407">
        <f t="shared" si="429"/>
        <v>0</v>
      </c>
      <c r="AB973" s="194"/>
    </row>
    <row r="974" spans="1:28" s="278" customFormat="1" x14ac:dyDescent="0.25">
      <c r="A974" s="200">
        <v>718008</v>
      </c>
      <c r="B974" s="313" t="s">
        <v>19676</v>
      </c>
      <c r="C974" s="248"/>
      <c r="D974" s="247" t="s">
        <v>2</v>
      </c>
      <c r="E974" s="249">
        <f t="shared" si="427"/>
        <v>20</v>
      </c>
      <c r="F974" s="170">
        <f t="shared" si="427"/>
        <v>20.413000000000007</v>
      </c>
      <c r="G974" s="250">
        <v>0.4</v>
      </c>
      <c r="H974" s="171">
        <f t="shared" si="432"/>
        <v>0.4</v>
      </c>
      <c r="I974" s="249">
        <f t="shared" si="428"/>
        <v>20</v>
      </c>
      <c r="J974" s="170">
        <f t="shared" si="428"/>
        <v>20.413000000000007</v>
      </c>
      <c r="K974" s="250">
        <v>0.4</v>
      </c>
      <c r="L974" s="172">
        <f t="shared" si="438"/>
        <v>0.4</v>
      </c>
      <c r="M974" s="249">
        <f t="shared" si="439"/>
        <v>7.5</v>
      </c>
      <c r="N974" s="170">
        <f t="shared" si="433"/>
        <v>7.6548750000000014</v>
      </c>
      <c r="O974" s="250">
        <v>0.15</v>
      </c>
      <c r="P974" s="172">
        <f t="shared" si="434"/>
        <v>0.15</v>
      </c>
      <c r="Q974" s="251">
        <f t="shared" si="435"/>
        <v>2.5</v>
      </c>
      <c r="R974" s="173">
        <f t="shared" si="436"/>
        <v>2.5516250000000009</v>
      </c>
      <c r="S974" s="250">
        <v>0.05</v>
      </c>
      <c r="T974" s="171">
        <f t="shared" si="437"/>
        <v>0.05</v>
      </c>
      <c r="U974" s="256">
        <v>50</v>
      </c>
      <c r="V974" s="170">
        <f t="shared" si="441"/>
        <v>51.032500000000013</v>
      </c>
      <c r="W974" s="258">
        <v>0.2</v>
      </c>
      <c r="X974" s="257">
        <f t="shared" si="442"/>
        <v>60</v>
      </c>
      <c r="Y974" s="170">
        <f t="shared" si="430"/>
        <v>61.239000000000011</v>
      </c>
      <c r="Z974" s="170">
        <f t="shared" si="440"/>
        <v>62</v>
      </c>
      <c r="AA974" s="407">
        <f t="shared" si="429"/>
        <v>0</v>
      </c>
      <c r="AB974" s="194"/>
    </row>
    <row r="975" spans="1:28" s="278" customFormat="1" x14ac:dyDescent="0.25">
      <c r="A975" s="200">
        <v>718010</v>
      </c>
      <c r="B975" s="313" t="s">
        <v>19677</v>
      </c>
      <c r="C975" s="248"/>
      <c r="D975" s="247" t="s">
        <v>2</v>
      </c>
      <c r="E975" s="249">
        <f t="shared" si="427"/>
        <v>33.333199999999998</v>
      </c>
      <c r="F975" s="170">
        <f t="shared" si="427"/>
        <v>34.021530579999997</v>
      </c>
      <c r="G975" s="250">
        <v>0.4</v>
      </c>
      <c r="H975" s="171">
        <f t="shared" si="432"/>
        <v>0.4</v>
      </c>
      <c r="I975" s="249">
        <f t="shared" si="428"/>
        <v>33.333199999999998</v>
      </c>
      <c r="J975" s="170">
        <f t="shared" si="428"/>
        <v>34.021530579999997</v>
      </c>
      <c r="K975" s="250">
        <v>0.4</v>
      </c>
      <c r="L975" s="172">
        <f t="shared" si="438"/>
        <v>0.4</v>
      </c>
      <c r="M975" s="249">
        <f t="shared" si="439"/>
        <v>12.49995</v>
      </c>
      <c r="N975" s="170">
        <f t="shared" si="433"/>
        <v>12.758073967499998</v>
      </c>
      <c r="O975" s="250">
        <v>0.15</v>
      </c>
      <c r="P975" s="172">
        <f t="shared" si="434"/>
        <v>0.15</v>
      </c>
      <c r="Q975" s="251">
        <f t="shared" si="435"/>
        <v>4.1666499999999997</v>
      </c>
      <c r="R975" s="173">
        <f t="shared" si="436"/>
        <v>4.2526913224999996</v>
      </c>
      <c r="S975" s="250">
        <v>0.05</v>
      </c>
      <c r="T975" s="171">
        <f t="shared" si="437"/>
        <v>0.05</v>
      </c>
      <c r="U975" s="256">
        <v>83.332999999999998</v>
      </c>
      <c r="V975" s="170">
        <f t="shared" si="441"/>
        <v>85.053826449999988</v>
      </c>
      <c r="W975" s="258">
        <v>0.2</v>
      </c>
      <c r="X975" s="257">
        <f t="shared" si="442"/>
        <v>99.999600000000001</v>
      </c>
      <c r="Y975" s="170">
        <f t="shared" si="430"/>
        <v>102.06459173999998</v>
      </c>
      <c r="Z975" s="170">
        <f t="shared" si="440"/>
        <v>105</v>
      </c>
      <c r="AA975" s="407">
        <f t="shared" si="429"/>
        <v>0</v>
      </c>
      <c r="AB975" s="194"/>
    </row>
    <row r="976" spans="1:28" s="278" customFormat="1" x14ac:dyDescent="0.25">
      <c r="A976" s="200">
        <v>718010</v>
      </c>
      <c r="B976" s="313" t="s">
        <v>19678</v>
      </c>
      <c r="C976" s="248"/>
      <c r="D976" s="247" t="s">
        <v>2</v>
      </c>
      <c r="E976" s="249">
        <f t="shared" si="427"/>
        <v>23.332000000000001</v>
      </c>
      <c r="F976" s="170">
        <f t="shared" si="427"/>
        <v>23.813805800000004</v>
      </c>
      <c r="G976" s="250">
        <v>0.4</v>
      </c>
      <c r="H976" s="171">
        <f t="shared" si="432"/>
        <v>0.4</v>
      </c>
      <c r="I976" s="249">
        <f t="shared" si="428"/>
        <v>23.332000000000001</v>
      </c>
      <c r="J976" s="170">
        <f t="shared" si="428"/>
        <v>23.813805800000004</v>
      </c>
      <c r="K976" s="250">
        <v>0.4</v>
      </c>
      <c r="L976" s="172">
        <f t="shared" si="438"/>
        <v>0.4</v>
      </c>
      <c r="M976" s="249">
        <f t="shared" si="439"/>
        <v>8.7494999999999994</v>
      </c>
      <c r="N976" s="170">
        <f t="shared" si="433"/>
        <v>8.9301771750000007</v>
      </c>
      <c r="O976" s="250">
        <v>0.15</v>
      </c>
      <c r="P976" s="172">
        <f t="shared" si="434"/>
        <v>0.15</v>
      </c>
      <c r="Q976" s="251">
        <f t="shared" si="435"/>
        <v>2.9165000000000001</v>
      </c>
      <c r="R976" s="173">
        <f t="shared" si="436"/>
        <v>2.9767257250000005</v>
      </c>
      <c r="S976" s="250">
        <v>0.05</v>
      </c>
      <c r="T976" s="171">
        <f t="shared" si="437"/>
        <v>0.05</v>
      </c>
      <c r="U976" s="256">
        <v>58.33</v>
      </c>
      <c r="V976" s="170">
        <f t="shared" si="441"/>
        <v>59.534514500000007</v>
      </c>
      <c r="W976" s="258">
        <v>0.2</v>
      </c>
      <c r="X976" s="257">
        <f t="shared" si="442"/>
        <v>69.995999999999995</v>
      </c>
      <c r="Y976" s="170">
        <f t="shared" si="430"/>
        <v>71.441417400000006</v>
      </c>
      <c r="Z976" s="170">
        <f t="shared" si="440"/>
        <v>72</v>
      </c>
      <c r="AA976" s="407">
        <f t="shared" si="429"/>
        <v>0</v>
      </c>
      <c r="AB976" s="194"/>
    </row>
    <row r="977" spans="1:28" s="278" customFormat="1" x14ac:dyDescent="0.25">
      <c r="A977" s="200">
        <v>718012</v>
      </c>
      <c r="B977" s="313" t="s">
        <v>19679</v>
      </c>
      <c r="C977" s="248"/>
      <c r="D977" s="247" t="s">
        <v>2</v>
      </c>
      <c r="E977" s="249">
        <f t="shared" si="427"/>
        <v>36.666680000000007</v>
      </c>
      <c r="F977" s="170">
        <f t="shared" si="427"/>
        <v>37.423846942000004</v>
      </c>
      <c r="G977" s="250">
        <v>0.4</v>
      </c>
      <c r="H977" s="171">
        <f t="shared" si="432"/>
        <v>0.4</v>
      </c>
      <c r="I977" s="249">
        <f t="shared" si="428"/>
        <v>36.666680000000007</v>
      </c>
      <c r="J977" s="170">
        <f t="shared" si="428"/>
        <v>37.423846942000004</v>
      </c>
      <c r="K977" s="250">
        <v>0.4</v>
      </c>
      <c r="L977" s="172">
        <f t="shared" si="438"/>
        <v>0.4</v>
      </c>
      <c r="M977" s="249">
        <f t="shared" si="439"/>
        <v>13.750005</v>
      </c>
      <c r="N977" s="170">
        <f t="shared" si="433"/>
        <v>14.033942603250003</v>
      </c>
      <c r="O977" s="250">
        <v>0.15</v>
      </c>
      <c r="P977" s="172">
        <f t="shared" si="434"/>
        <v>0.15</v>
      </c>
      <c r="Q977" s="251">
        <f t="shared" si="435"/>
        <v>4.5833350000000008</v>
      </c>
      <c r="R977" s="173">
        <f t="shared" si="436"/>
        <v>4.6779808677500005</v>
      </c>
      <c r="S977" s="250">
        <v>0.05</v>
      </c>
      <c r="T977" s="171">
        <f t="shared" si="437"/>
        <v>0.05</v>
      </c>
      <c r="U977" s="256">
        <v>91.666700000000006</v>
      </c>
      <c r="V977" s="170">
        <f t="shared" si="441"/>
        <v>93.559617355000015</v>
      </c>
      <c r="W977" s="258">
        <v>0.2</v>
      </c>
      <c r="X977" s="257">
        <f t="shared" si="442"/>
        <v>110.00004000000001</v>
      </c>
      <c r="Y977" s="170">
        <f t="shared" si="430"/>
        <v>112.27154082600002</v>
      </c>
      <c r="Z977" s="170">
        <f t="shared" si="440"/>
        <v>115</v>
      </c>
      <c r="AA977" s="407">
        <f t="shared" si="429"/>
        <v>0</v>
      </c>
      <c r="AB977" s="194"/>
    </row>
    <row r="978" spans="1:28" s="278" customFormat="1" x14ac:dyDescent="0.25">
      <c r="A978" s="200">
        <v>718012</v>
      </c>
      <c r="B978" s="313" t="s">
        <v>19680</v>
      </c>
      <c r="C978" s="248"/>
      <c r="D978" s="247" t="s">
        <v>2</v>
      </c>
      <c r="E978" s="249">
        <f t="shared" ref="E978:F1041" si="443">U978*G978</f>
        <v>26.666680000000003</v>
      </c>
      <c r="F978" s="170">
        <f t="shared" si="443"/>
        <v>27.217346942000006</v>
      </c>
      <c r="G978" s="250">
        <v>0.4</v>
      </c>
      <c r="H978" s="171">
        <f t="shared" si="432"/>
        <v>0.4</v>
      </c>
      <c r="I978" s="249">
        <f t="shared" ref="I978:J1041" si="444">U978*K978</f>
        <v>26.666680000000003</v>
      </c>
      <c r="J978" s="170">
        <f t="shared" si="444"/>
        <v>27.217346942000006</v>
      </c>
      <c r="K978" s="250">
        <v>0.4</v>
      </c>
      <c r="L978" s="172">
        <f t="shared" si="438"/>
        <v>0.4</v>
      </c>
      <c r="M978" s="249">
        <f t="shared" si="439"/>
        <v>10.000005</v>
      </c>
      <c r="N978" s="170">
        <f t="shared" si="433"/>
        <v>10.206505103250002</v>
      </c>
      <c r="O978" s="250">
        <v>0.15</v>
      </c>
      <c r="P978" s="172">
        <f t="shared" si="434"/>
        <v>0.15</v>
      </c>
      <c r="Q978" s="251">
        <f t="shared" si="435"/>
        <v>3.3333350000000004</v>
      </c>
      <c r="R978" s="173">
        <f t="shared" si="436"/>
        <v>3.4021683677500008</v>
      </c>
      <c r="S978" s="250">
        <v>0.05</v>
      </c>
      <c r="T978" s="171">
        <f t="shared" si="437"/>
        <v>0.05</v>
      </c>
      <c r="U978" s="256">
        <v>66.666700000000006</v>
      </c>
      <c r="V978" s="170">
        <f t="shared" si="441"/>
        <v>68.043367355000015</v>
      </c>
      <c r="W978" s="258">
        <v>0.2</v>
      </c>
      <c r="X978" s="257">
        <f t="shared" si="442"/>
        <v>80.000040000000013</v>
      </c>
      <c r="Y978" s="170">
        <f t="shared" si="430"/>
        <v>81.652040826000018</v>
      </c>
      <c r="Z978" s="170">
        <f t="shared" si="440"/>
        <v>82</v>
      </c>
      <c r="AA978" s="407">
        <f t="shared" si="429"/>
        <v>0</v>
      </c>
      <c r="AB978" s="194"/>
    </row>
    <row r="979" spans="1:28" s="278" customFormat="1" x14ac:dyDescent="0.25">
      <c r="A979" s="200">
        <v>718036</v>
      </c>
      <c r="B979" s="313" t="s">
        <v>19681</v>
      </c>
      <c r="C979" s="248"/>
      <c r="D979" s="247" t="s">
        <v>2</v>
      </c>
      <c r="E979" s="249">
        <f t="shared" si="443"/>
        <v>27.708345000000001</v>
      </c>
      <c r="F979" s="170">
        <f t="shared" si="443"/>
        <v>51.041666666666664</v>
      </c>
      <c r="G979" s="250">
        <v>0.35</v>
      </c>
      <c r="H979" s="171">
        <f t="shared" si="432"/>
        <v>0.35</v>
      </c>
      <c r="I979" s="249">
        <f t="shared" si="444"/>
        <v>35.625015000000005</v>
      </c>
      <c r="J979" s="170">
        <f t="shared" si="444"/>
        <v>65.625</v>
      </c>
      <c r="K979" s="250">
        <v>0.45</v>
      </c>
      <c r="L979" s="172">
        <f t="shared" si="438"/>
        <v>0.45</v>
      </c>
      <c r="M979" s="249">
        <f t="shared" si="439"/>
        <v>11.875005</v>
      </c>
      <c r="N979" s="170">
        <f t="shared" si="433"/>
        <v>21.875</v>
      </c>
      <c r="O979" s="250">
        <v>0.15</v>
      </c>
      <c r="P979" s="172">
        <f t="shared" si="434"/>
        <v>0.15</v>
      </c>
      <c r="Q979" s="251">
        <f t="shared" si="435"/>
        <v>3.9583350000000004</v>
      </c>
      <c r="R979" s="173">
        <f t="shared" si="436"/>
        <v>7.2916666666666679</v>
      </c>
      <c r="S979" s="250">
        <v>0.05</v>
      </c>
      <c r="T979" s="171">
        <f t="shared" si="437"/>
        <v>0.05</v>
      </c>
      <c r="U979" s="256">
        <v>79.166700000000006</v>
      </c>
      <c r="V979" s="170">
        <f>175/1.2</f>
        <v>145.83333333333334</v>
      </c>
      <c r="W979" s="258">
        <v>0.2</v>
      </c>
      <c r="X979" s="257">
        <f t="shared" si="442"/>
        <v>95.000040000000013</v>
      </c>
      <c r="Y979" s="170">
        <f t="shared" si="430"/>
        <v>175</v>
      </c>
      <c r="Z979" s="170">
        <f t="shared" si="440"/>
        <v>175</v>
      </c>
      <c r="AA979" s="407">
        <f t="shared" si="429"/>
        <v>0</v>
      </c>
      <c r="AB979" s="194"/>
    </row>
    <row r="980" spans="1:28" s="278" customFormat="1" x14ac:dyDescent="0.25">
      <c r="A980" s="200">
        <v>718036</v>
      </c>
      <c r="B980" s="313" t="s">
        <v>19682</v>
      </c>
      <c r="C980" s="248"/>
      <c r="D980" s="247" t="s">
        <v>2</v>
      </c>
      <c r="E980" s="249">
        <f t="shared" si="443"/>
        <v>21.875</v>
      </c>
      <c r="F980" s="170">
        <f t="shared" si="443"/>
        <v>37.916666666666664</v>
      </c>
      <c r="G980" s="250">
        <v>0.35</v>
      </c>
      <c r="H980" s="171">
        <f t="shared" si="432"/>
        <v>0.35</v>
      </c>
      <c r="I980" s="249">
        <f t="shared" si="444"/>
        <v>28.125</v>
      </c>
      <c r="J980" s="170">
        <f t="shared" si="444"/>
        <v>48.750000000000007</v>
      </c>
      <c r="K980" s="250">
        <v>0.45</v>
      </c>
      <c r="L980" s="172">
        <f t="shared" si="438"/>
        <v>0.45</v>
      </c>
      <c r="M980" s="249">
        <f t="shared" si="439"/>
        <v>9.375</v>
      </c>
      <c r="N980" s="170">
        <f t="shared" si="433"/>
        <v>16.25</v>
      </c>
      <c r="O980" s="250">
        <v>0.15</v>
      </c>
      <c r="P980" s="172">
        <f t="shared" si="434"/>
        <v>0.15</v>
      </c>
      <c r="Q980" s="251">
        <f t="shared" si="435"/>
        <v>3.125</v>
      </c>
      <c r="R980" s="173">
        <f t="shared" si="436"/>
        <v>5.4166666666666679</v>
      </c>
      <c r="S980" s="250">
        <v>0.05</v>
      </c>
      <c r="T980" s="171">
        <f t="shared" si="437"/>
        <v>0.05</v>
      </c>
      <c r="U980" s="256">
        <v>62.5</v>
      </c>
      <c r="V980" s="170">
        <f>130/1.2</f>
        <v>108.33333333333334</v>
      </c>
      <c r="W980" s="258">
        <v>0.2</v>
      </c>
      <c r="X980" s="257">
        <f t="shared" si="442"/>
        <v>75</v>
      </c>
      <c r="Y980" s="170">
        <f t="shared" si="430"/>
        <v>130</v>
      </c>
      <c r="Z980" s="170">
        <f t="shared" si="440"/>
        <v>130</v>
      </c>
      <c r="AA980" s="407">
        <f t="shared" si="429"/>
        <v>0</v>
      </c>
      <c r="AB980" s="194"/>
    </row>
    <row r="981" spans="1:28" s="278" customFormat="1" x14ac:dyDescent="0.25">
      <c r="A981" s="200">
        <v>718038</v>
      </c>
      <c r="B981" s="313" t="s">
        <v>19683</v>
      </c>
      <c r="C981" s="248"/>
      <c r="D981" s="247" t="s">
        <v>2</v>
      </c>
      <c r="E981" s="249">
        <f t="shared" si="443"/>
        <v>30.624999999999996</v>
      </c>
      <c r="F981" s="170">
        <f t="shared" si="443"/>
        <v>53.958333333333336</v>
      </c>
      <c r="G981" s="250">
        <v>0.35</v>
      </c>
      <c r="H981" s="171">
        <f t="shared" si="432"/>
        <v>0.35</v>
      </c>
      <c r="I981" s="249">
        <f t="shared" si="444"/>
        <v>39.375</v>
      </c>
      <c r="J981" s="170">
        <f t="shared" si="444"/>
        <v>69.375000000000014</v>
      </c>
      <c r="K981" s="250">
        <v>0.45</v>
      </c>
      <c r="L981" s="172">
        <f t="shared" si="438"/>
        <v>0.45</v>
      </c>
      <c r="M981" s="249">
        <f t="shared" si="439"/>
        <v>13.125</v>
      </c>
      <c r="N981" s="170">
        <f t="shared" si="433"/>
        <v>23.125000000000004</v>
      </c>
      <c r="O981" s="250">
        <v>0.15</v>
      </c>
      <c r="P981" s="172">
        <f t="shared" si="434"/>
        <v>0.15</v>
      </c>
      <c r="Q981" s="251">
        <f t="shared" si="435"/>
        <v>4.375</v>
      </c>
      <c r="R981" s="173">
        <f t="shared" si="436"/>
        <v>7.7083333333333348</v>
      </c>
      <c r="S981" s="250">
        <v>0.05</v>
      </c>
      <c r="T981" s="171">
        <f t="shared" si="437"/>
        <v>0.05</v>
      </c>
      <c r="U981" s="256">
        <v>87.5</v>
      </c>
      <c r="V981" s="170">
        <f>185/1.2</f>
        <v>154.16666666666669</v>
      </c>
      <c r="W981" s="258">
        <v>0.2</v>
      </c>
      <c r="X981" s="257">
        <f t="shared" si="442"/>
        <v>105</v>
      </c>
      <c r="Y981" s="170">
        <f t="shared" si="430"/>
        <v>185.00000000000003</v>
      </c>
      <c r="Z981" s="170">
        <f t="shared" si="440"/>
        <v>185</v>
      </c>
      <c r="AA981" s="407">
        <f t="shared" si="429"/>
        <v>0</v>
      </c>
      <c r="AB981" s="194"/>
    </row>
    <row r="982" spans="1:28" s="278" customFormat="1" x14ac:dyDescent="0.25">
      <c r="A982" s="200">
        <v>718038</v>
      </c>
      <c r="B982" s="313" t="s">
        <v>19684</v>
      </c>
      <c r="C982" s="248"/>
      <c r="D982" s="247" t="s">
        <v>2</v>
      </c>
      <c r="E982" s="249">
        <f t="shared" si="443"/>
        <v>23.333345000000001</v>
      </c>
      <c r="F982" s="170">
        <f t="shared" si="443"/>
        <v>40.833333333333336</v>
      </c>
      <c r="G982" s="250">
        <v>0.35</v>
      </c>
      <c r="H982" s="171">
        <f t="shared" si="432"/>
        <v>0.35</v>
      </c>
      <c r="I982" s="249">
        <f t="shared" si="444"/>
        <v>30.000015000000005</v>
      </c>
      <c r="J982" s="170">
        <f t="shared" si="444"/>
        <v>52.5</v>
      </c>
      <c r="K982" s="250">
        <v>0.45</v>
      </c>
      <c r="L982" s="172">
        <f t="shared" si="438"/>
        <v>0.45</v>
      </c>
      <c r="M982" s="249">
        <f t="shared" si="439"/>
        <v>10.000005</v>
      </c>
      <c r="N982" s="170">
        <f t="shared" si="433"/>
        <v>17.5</v>
      </c>
      <c r="O982" s="250">
        <v>0.15</v>
      </c>
      <c r="P982" s="172">
        <f t="shared" si="434"/>
        <v>0.15</v>
      </c>
      <c r="Q982" s="251">
        <f t="shared" si="435"/>
        <v>3.3333350000000004</v>
      </c>
      <c r="R982" s="173">
        <f t="shared" si="436"/>
        <v>5.8333333333333339</v>
      </c>
      <c r="S982" s="250">
        <v>0.05</v>
      </c>
      <c r="T982" s="171">
        <f t="shared" si="437"/>
        <v>0.05</v>
      </c>
      <c r="U982" s="256">
        <v>66.666700000000006</v>
      </c>
      <c r="V982" s="170">
        <f>140/1.2</f>
        <v>116.66666666666667</v>
      </c>
      <c r="W982" s="258">
        <v>0.2</v>
      </c>
      <c r="X982" s="257">
        <f t="shared" si="442"/>
        <v>80.000040000000013</v>
      </c>
      <c r="Y982" s="170">
        <f t="shared" si="430"/>
        <v>140</v>
      </c>
      <c r="Z982" s="170">
        <f t="shared" si="440"/>
        <v>140</v>
      </c>
      <c r="AA982" s="407">
        <f t="shared" si="429"/>
        <v>0</v>
      </c>
      <c r="AB982" s="194"/>
    </row>
    <row r="983" spans="1:28" s="278" customFormat="1" x14ac:dyDescent="0.25">
      <c r="A983" s="200">
        <v>718206</v>
      </c>
      <c r="B983" s="313" t="s">
        <v>19685</v>
      </c>
      <c r="C983" s="248"/>
      <c r="D983" s="247" t="s">
        <v>2</v>
      </c>
      <c r="E983" s="249">
        <f t="shared" si="443"/>
        <v>30</v>
      </c>
      <c r="F983" s="170">
        <f t="shared" si="443"/>
        <v>30.619500000000006</v>
      </c>
      <c r="G983" s="250">
        <v>0.4</v>
      </c>
      <c r="H983" s="171">
        <f t="shared" si="432"/>
        <v>0.4</v>
      </c>
      <c r="I983" s="249">
        <f t="shared" si="444"/>
        <v>30</v>
      </c>
      <c r="J983" s="170">
        <f t="shared" si="444"/>
        <v>30.619500000000006</v>
      </c>
      <c r="K983" s="250">
        <v>0.4</v>
      </c>
      <c r="L983" s="172">
        <f t="shared" si="438"/>
        <v>0.4</v>
      </c>
      <c r="M983" s="249">
        <f t="shared" si="439"/>
        <v>11.25</v>
      </c>
      <c r="N983" s="170">
        <f t="shared" si="433"/>
        <v>11.482312500000001</v>
      </c>
      <c r="O983" s="250">
        <v>0.15</v>
      </c>
      <c r="P983" s="172">
        <f t="shared" si="434"/>
        <v>0.15</v>
      </c>
      <c r="Q983" s="251">
        <f t="shared" si="435"/>
        <v>3.75</v>
      </c>
      <c r="R983" s="173">
        <f t="shared" si="436"/>
        <v>3.8274375000000007</v>
      </c>
      <c r="S983" s="250">
        <v>0.05</v>
      </c>
      <c r="T983" s="171">
        <f t="shared" si="437"/>
        <v>0.05</v>
      </c>
      <c r="U983" s="256">
        <v>75</v>
      </c>
      <c r="V983" s="170">
        <f t="shared" si="441"/>
        <v>76.548750000000013</v>
      </c>
      <c r="W983" s="258">
        <v>0.2</v>
      </c>
      <c r="X983" s="257">
        <f t="shared" si="442"/>
        <v>90</v>
      </c>
      <c r="Y983" s="170">
        <f t="shared" si="430"/>
        <v>91.858500000000006</v>
      </c>
      <c r="Z983" s="170">
        <f t="shared" si="440"/>
        <v>92</v>
      </c>
      <c r="AA983" s="407">
        <f t="shared" si="429"/>
        <v>0</v>
      </c>
      <c r="AB983" s="194"/>
    </row>
    <row r="984" spans="1:28" s="278" customFormat="1" x14ac:dyDescent="0.25">
      <c r="A984" s="200">
        <v>718206</v>
      </c>
      <c r="B984" s="313" t="s">
        <v>19686</v>
      </c>
      <c r="C984" s="248"/>
      <c r="D984" s="247" t="s">
        <v>2</v>
      </c>
      <c r="E984" s="249">
        <f t="shared" si="443"/>
        <v>18.333320000000001</v>
      </c>
      <c r="F984" s="170">
        <f t="shared" si="443"/>
        <v>18.711903058000004</v>
      </c>
      <c r="G984" s="250">
        <v>0.4</v>
      </c>
      <c r="H984" s="171">
        <f t="shared" si="432"/>
        <v>0.4</v>
      </c>
      <c r="I984" s="249">
        <f t="shared" si="444"/>
        <v>18.333320000000001</v>
      </c>
      <c r="J984" s="170">
        <f t="shared" si="444"/>
        <v>18.711903058000004</v>
      </c>
      <c r="K984" s="250">
        <v>0.4</v>
      </c>
      <c r="L984" s="172">
        <f t="shared" si="438"/>
        <v>0.4</v>
      </c>
      <c r="M984" s="249">
        <f t="shared" si="439"/>
        <v>6.8749950000000002</v>
      </c>
      <c r="N984" s="170">
        <f t="shared" si="433"/>
        <v>7.0169636467500016</v>
      </c>
      <c r="O984" s="250">
        <v>0.15</v>
      </c>
      <c r="P984" s="172">
        <f t="shared" si="434"/>
        <v>0.15</v>
      </c>
      <c r="Q984" s="251">
        <f t="shared" si="435"/>
        <v>2.2916650000000001</v>
      </c>
      <c r="R984" s="173">
        <f t="shared" si="436"/>
        <v>2.3389878822500005</v>
      </c>
      <c r="S984" s="250">
        <v>0.05</v>
      </c>
      <c r="T984" s="171">
        <f t="shared" si="437"/>
        <v>0.05</v>
      </c>
      <c r="U984" s="256">
        <v>45.833300000000001</v>
      </c>
      <c r="V984" s="170">
        <f t="shared" si="441"/>
        <v>46.779757645000011</v>
      </c>
      <c r="W984" s="258">
        <v>0.2</v>
      </c>
      <c r="X984" s="257">
        <f t="shared" si="442"/>
        <v>54.999960000000002</v>
      </c>
      <c r="Y984" s="170">
        <f t="shared" si="430"/>
        <v>56.135709174000013</v>
      </c>
      <c r="Z984" s="170">
        <f t="shared" si="440"/>
        <v>57</v>
      </c>
      <c r="AA984" s="407">
        <f t="shared" si="429"/>
        <v>0</v>
      </c>
      <c r="AB984" s="194"/>
    </row>
    <row r="985" spans="1:28" s="278" customFormat="1" x14ac:dyDescent="0.25">
      <c r="A985" s="200">
        <v>718208</v>
      </c>
      <c r="B985" s="313" t="s">
        <v>19687</v>
      </c>
      <c r="C985" s="248"/>
      <c r="D985" s="247" t="s">
        <v>2</v>
      </c>
      <c r="E985" s="249">
        <f t="shared" si="443"/>
        <v>33.333199999999998</v>
      </c>
      <c r="F985" s="170">
        <f t="shared" si="443"/>
        <v>34.021530579999997</v>
      </c>
      <c r="G985" s="250">
        <v>0.4</v>
      </c>
      <c r="H985" s="171">
        <f t="shared" si="432"/>
        <v>0.4</v>
      </c>
      <c r="I985" s="249">
        <f t="shared" si="444"/>
        <v>33.333199999999998</v>
      </c>
      <c r="J985" s="170">
        <f t="shared" si="444"/>
        <v>34.021530579999997</v>
      </c>
      <c r="K985" s="250">
        <v>0.4</v>
      </c>
      <c r="L985" s="172">
        <f t="shared" si="438"/>
        <v>0.4</v>
      </c>
      <c r="M985" s="249">
        <f t="shared" si="439"/>
        <v>12.49995</v>
      </c>
      <c r="N985" s="170">
        <f t="shared" si="433"/>
        <v>12.758073967499998</v>
      </c>
      <c r="O985" s="250">
        <v>0.15</v>
      </c>
      <c r="P985" s="172">
        <f t="shared" si="434"/>
        <v>0.15</v>
      </c>
      <c r="Q985" s="251">
        <f t="shared" si="435"/>
        <v>4.1666499999999997</v>
      </c>
      <c r="R985" s="173">
        <f t="shared" si="436"/>
        <v>4.2526913224999996</v>
      </c>
      <c r="S985" s="250">
        <v>0.05</v>
      </c>
      <c r="T985" s="171">
        <f t="shared" si="437"/>
        <v>0.05</v>
      </c>
      <c r="U985" s="256">
        <v>83.332999999999998</v>
      </c>
      <c r="V985" s="170">
        <f t="shared" si="441"/>
        <v>85.053826449999988</v>
      </c>
      <c r="W985" s="258">
        <v>0.2</v>
      </c>
      <c r="X985" s="257">
        <f t="shared" si="442"/>
        <v>99.999600000000001</v>
      </c>
      <c r="Y985" s="170">
        <f t="shared" si="430"/>
        <v>102.06459173999998</v>
      </c>
      <c r="Z985" s="170">
        <f t="shared" si="440"/>
        <v>105</v>
      </c>
      <c r="AA985" s="407">
        <f t="shared" si="429"/>
        <v>0</v>
      </c>
      <c r="AB985" s="194"/>
    </row>
    <row r="986" spans="1:28" s="278" customFormat="1" x14ac:dyDescent="0.25">
      <c r="A986" s="200">
        <v>718208</v>
      </c>
      <c r="B986" s="313" t="s">
        <v>19688</v>
      </c>
      <c r="C986" s="248"/>
      <c r="D986" s="247" t="s">
        <v>2</v>
      </c>
      <c r="E986" s="249">
        <f t="shared" si="443"/>
        <v>20</v>
      </c>
      <c r="F986" s="170">
        <f t="shared" si="443"/>
        <v>20.413000000000007</v>
      </c>
      <c r="G986" s="250">
        <v>0.4</v>
      </c>
      <c r="H986" s="171">
        <f t="shared" si="432"/>
        <v>0.4</v>
      </c>
      <c r="I986" s="249">
        <f t="shared" si="444"/>
        <v>20</v>
      </c>
      <c r="J986" s="170">
        <f t="shared" si="444"/>
        <v>20.413000000000007</v>
      </c>
      <c r="K986" s="250">
        <v>0.4</v>
      </c>
      <c r="L986" s="172">
        <f t="shared" si="438"/>
        <v>0.4</v>
      </c>
      <c r="M986" s="249">
        <f t="shared" si="439"/>
        <v>7.5</v>
      </c>
      <c r="N986" s="170">
        <f t="shared" si="433"/>
        <v>7.6548750000000014</v>
      </c>
      <c r="O986" s="250">
        <v>0.15</v>
      </c>
      <c r="P986" s="172">
        <f t="shared" si="434"/>
        <v>0.15</v>
      </c>
      <c r="Q986" s="251">
        <f t="shared" si="435"/>
        <v>2.5</v>
      </c>
      <c r="R986" s="173">
        <f t="shared" si="436"/>
        <v>2.5516250000000009</v>
      </c>
      <c r="S986" s="250">
        <v>0.05</v>
      </c>
      <c r="T986" s="171">
        <f t="shared" si="437"/>
        <v>0.05</v>
      </c>
      <c r="U986" s="256">
        <v>50</v>
      </c>
      <c r="V986" s="170">
        <f t="shared" si="441"/>
        <v>51.032500000000013</v>
      </c>
      <c r="W986" s="258">
        <v>0.2</v>
      </c>
      <c r="X986" s="257">
        <f t="shared" si="442"/>
        <v>60</v>
      </c>
      <c r="Y986" s="170">
        <f t="shared" si="430"/>
        <v>61.239000000000011</v>
      </c>
      <c r="Z986" s="170">
        <f t="shared" si="440"/>
        <v>62</v>
      </c>
      <c r="AA986" s="407">
        <f t="shared" si="429"/>
        <v>0</v>
      </c>
      <c r="AB986" s="194"/>
    </row>
    <row r="987" spans="1:28" s="278" customFormat="1" x14ac:dyDescent="0.25">
      <c r="A987" s="200">
        <v>718210</v>
      </c>
      <c r="B987" s="313" t="s">
        <v>19689</v>
      </c>
      <c r="C987" s="248"/>
      <c r="D987" s="247" t="s">
        <v>2</v>
      </c>
      <c r="E987" s="249">
        <f t="shared" si="443"/>
        <v>36.666680000000007</v>
      </c>
      <c r="F987" s="170">
        <f t="shared" si="443"/>
        <v>37.423846942000004</v>
      </c>
      <c r="G987" s="250">
        <v>0.4</v>
      </c>
      <c r="H987" s="171">
        <f t="shared" si="432"/>
        <v>0.4</v>
      </c>
      <c r="I987" s="249">
        <f t="shared" si="444"/>
        <v>36.666680000000007</v>
      </c>
      <c r="J987" s="170">
        <f t="shared" si="444"/>
        <v>37.423846942000004</v>
      </c>
      <c r="K987" s="250">
        <v>0.4</v>
      </c>
      <c r="L987" s="172">
        <f t="shared" si="438"/>
        <v>0.4</v>
      </c>
      <c r="M987" s="249">
        <f t="shared" si="439"/>
        <v>13.750005</v>
      </c>
      <c r="N987" s="170">
        <f t="shared" si="433"/>
        <v>14.033942603250003</v>
      </c>
      <c r="O987" s="250">
        <v>0.15</v>
      </c>
      <c r="P987" s="172">
        <f t="shared" si="434"/>
        <v>0.15</v>
      </c>
      <c r="Q987" s="251">
        <f t="shared" si="435"/>
        <v>4.5833350000000008</v>
      </c>
      <c r="R987" s="173">
        <f t="shared" si="436"/>
        <v>4.6779808677500005</v>
      </c>
      <c r="S987" s="250">
        <v>0.05</v>
      </c>
      <c r="T987" s="171">
        <f t="shared" si="437"/>
        <v>0.05</v>
      </c>
      <c r="U987" s="256">
        <v>91.666700000000006</v>
      </c>
      <c r="V987" s="170">
        <f t="shared" si="441"/>
        <v>93.559617355000015</v>
      </c>
      <c r="W987" s="258">
        <v>0.2</v>
      </c>
      <c r="X987" s="257">
        <f t="shared" si="442"/>
        <v>110.00004000000001</v>
      </c>
      <c r="Y987" s="170">
        <f t="shared" si="430"/>
        <v>112.27154082600002</v>
      </c>
      <c r="Z987" s="170">
        <f t="shared" si="440"/>
        <v>115</v>
      </c>
      <c r="AA987" s="407">
        <f t="shared" si="429"/>
        <v>0</v>
      </c>
      <c r="AB987" s="194"/>
    </row>
    <row r="988" spans="1:28" s="278" customFormat="1" x14ac:dyDescent="0.25">
      <c r="A988" s="200">
        <v>718210</v>
      </c>
      <c r="B988" s="313" t="s">
        <v>19690</v>
      </c>
      <c r="C988" s="248"/>
      <c r="D988" s="247" t="s">
        <v>2</v>
      </c>
      <c r="E988" s="249">
        <f t="shared" si="443"/>
        <v>21.666668000000001</v>
      </c>
      <c r="F988" s="170">
        <f t="shared" si="443"/>
        <v>22.114084694200006</v>
      </c>
      <c r="G988" s="250">
        <v>0.4</v>
      </c>
      <c r="H988" s="171">
        <f t="shared" si="432"/>
        <v>0.4</v>
      </c>
      <c r="I988" s="249">
        <f t="shared" si="444"/>
        <v>21.666668000000001</v>
      </c>
      <c r="J988" s="170">
        <f t="shared" si="444"/>
        <v>22.114084694200006</v>
      </c>
      <c r="K988" s="250">
        <v>0.4</v>
      </c>
      <c r="L988" s="172">
        <f t="shared" si="438"/>
        <v>0.4</v>
      </c>
      <c r="M988" s="249">
        <f t="shared" si="439"/>
        <v>8.1250005000000005</v>
      </c>
      <c r="N988" s="170">
        <f t="shared" si="433"/>
        <v>8.2927817603250009</v>
      </c>
      <c r="O988" s="250">
        <v>0.15</v>
      </c>
      <c r="P988" s="172">
        <f t="shared" si="434"/>
        <v>0.15</v>
      </c>
      <c r="Q988" s="251">
        <f t="shared" si="435"/>
        <v>2.7083335000000002</v>
      </c>
      <c r="R988" s="173">
        <f t="shared" si="436"/>
        <v>2.7642605867750007</v>
      </c>
      <c r="S988" s="250">
        <v>0.05</v>
      </c>
      <c r="T988" s="171">
        <f t="shared" si="437"/>
        <v>0.05</v>
      </c>
      <c r="U988" s="256">
        <v>54.166670000000003</v>
      </c>
      <c r="V988" s="170">
        <f t="shared" si="441"/>
        <v>55.285211735500013</v>
      </c>
      <c r="W988" s="258">
        <v>0.2</v>
      </c>
      <c r="X988" s="257">
        <f t="shared" si="442"/>
        <v>65.000004000000004</v>
      </c>
      <c r="Y988" s="170">
        <f t="shared" si="430"/>
        <v>66.342254082600007</v>
      </c>
      <c r="Z988" s="170">
        <f t="shared" si="440"/>
        <v>67</v>
      </c>
      <c r="AA988" s="407">
        <f t="shared" si="429"/>
        <v>0</v>
      </c>
      <c r="AB988" s="194"/>
    </row>
    <row r="989" spans="1:28" s="278" customFormat="1" x14ac:dyDescent="0.25">
      <c r="A989" s="200">
        <v>718236</v>
      </c>
      <c r="B989" s="313" t="s">
        <v>14713</v>
      </c>
      <c r="C989" s="248"/>
      <c r="D989" s="247" t="s">
        <v>2</v>
      </c>
      <c r="E989" s="249">
        <f t="shared" si="443"/>
        <v>41.666680000000007</v>
      </c>
      <c r="F989" s="170">
        <f t="shared" si="443"/>
        <v>58.333333333333343</v>
      </c>
      <c r="G989" s="250">
        <v>0.4</v>
      </c>
      <c r="H989" s="171">
        <f t="shared" si="432"/>
        <v>0.4</v>
      </c>
      <c r="I989" s="249">
        <f t="shared" si="444"/>
        <v>46.875015000000005</v>
      </c>
      <c r="J989" s="170">
        <f t="shared" si="444"/>
        <v>65.625</v>
      </c>
      <c r="K989" s="250">
        <v>0.45</v>
      </c>
      <c r="L989" s="172">
        <f t="shared" si="438"/>
        <v>0.45</v>
      </c>
      <c r="M989" s="249">
        <f t="shared" si="439"/>
        <v>10.416670000000002</v>
      </c>
      <c r="N989" s="170">
        <f t="shared" si="433"/>
        <v>14.583333333333336</v>
      </c>
      <c r="O989" s="250">
        <v>0.1</v>
      </c>
      <c r="P989" s="172">
        <f t="shared" si="434"/>
        <v>0.1</v>
      </c>
      <c r="Q989" s="251">
        <f t="shared" si="435"/>
        <v>5.2083350000000008</v>
      </c>
      <c r="R989" s="173">
        <f t="shared" si="436"/>
        <v>7.2916666666666679</v>
      </c>
      <c r="S989" s="250">
        <v>0.05</v>
      </c>
      <c r="T989" s="171">
        <f t="shared" si="437"/>
        <v>0.05</v>
      </c>
      <c r="U989" s="256">
        <v>104.16670000000001</v>
      </c>
      <c r="V989" s="170">
        <f>175/1.2</f>
        <v>145.83333333333334</v>
      </c>
      <c r="W989" s="258">
        <v>0.2</v>
      </c>
      <c r="X989" s="257">
        <f t="shared" si="442"/>
        <v>125.00004000000001</v>
      </c>
      <c r="Y989" s="170">
        <f t="shared" si="430"/>
        <v>175</v>
      </c>
      <c r="Z989" s="170">
        <f t="shared" si="440"/>
        <v>175</v>
      </c>
      <c r="AA989" s="407">
        <f t="shared" si="429"/>
        <v>0</v>
      </c>
      <c r="AB989" s="194"/>
    </row>
    <row r="990" spans="1:28" s="278" customFormat="1" x14ac:dyDescent="0.25">
      <c r="A990" s="200">
        <v>718236</v>
      </c>
      <c r="B990" s="313" t="s">
        <v>14714</v>
      </c>
      <c r="C990" s="248"/>
      <c r="D990" s="247" t="s">
        <v>2</v>
      </c>
      <c r="E990" s="249">
        <f t="shared" si="443"/>
        <v>25</v>
      </c>
      <c r="F990" s="170">
        <f t="shared" si="443"/>
        <v>43.333333333333343</v>
      </c>
      <c r="G990" s="250">
        <v>0.4</v>
      </c>
      <c r="H990" s="171">
        <f t="shared" si="432"/>
        <v>0.4</v>
      </c>
      <c r="I990" s="249">
        <f t="shared" si="444"/>
        <v>28.125</v>
      </c>
      <c r="J990" s="170">
        <f t="shared" si="444"/>
        <v>48.750000000000007</v>
      </c>
      <c r="K990" s="250">
        <v>0.45</v>
      </c>
      <c r="L990" s="172">
        <f t="shared" si="438"/>
        <v>0.45</v>
      </c>
      <c r="M990" s="249">
        <f t="shared" si="439"/>
        <v>6.25</v>
      </c>
      <c r="N990" s="170">
        <f t="shared" si="433"/>
        <v>10.833333333333336</v>
      </c>
      <c r="O990" s="250">
        <v>0.1</v>
      </c>
      <c r="P990" s="172">
        <f t="shared" si="434"/>
        <v>0.1</v>
      </c>
      <c r="Q990" s="251">
        <f t="shared" si="435"/>
        <v>3.125</v>
      </c>
      <c r="R990" s="173">
        <f t="shared" si="436"/>
        <v>5.4166666666666679</v>
      </c>
      <c r="S990" s="250">
        <v>0.05</v>
      </c>
      <c r="T990" s="171">
        <f t="shared" si="437"/>
        <v>0.05</v>
      </c>
      <c r="U990" s="256">
        <v>62.5</v>
      </c>
      <c r="V990" s="170">
        <f>130/1.2</f>
        <v>108.33333333333334</v>
      </c>
      <c r="W990" s="258">
        <v>0.2</v>
      </c>
      <c r="X990" s="257">
        <f t="shared" si="442"/>
        <v>75</v>
      </c>
      <c r="Y990" s="170">
        <f t="shared" si="430"/>
        <v>130</v>
      </c>
      <c r="Z990" s="170">
        <f t="shared" si="440"/>
        <v>130</v>
      </c>
      <c r="AA990" s="407">
        <f t="shared" si="429"/>
        <v>0</v>
      </c>
      <c r="AB990" s="194"/>
    </row>
    <row r="991" spans="1:28" s="278" customFormat="1" x14ac:dyDescent="0.25">
      <c r="A991" s="200">
        <v>718238</v>
      </c>
      <c r="B991" s="313" t="s">
        <v>14715</v>
      </c>
      <c r="C991" s="248"/>
      <c r="D991" s="247" t="s">
        <v>2</v>
      </c>
      <c r="E991" s="249">
        <f t="shared" si="443"/>
        <v>45</v>
      </c>
      <c r="F991" s="170">
        <f t="shared" si="443"/>
        <v>61.666666666666679</v>
      </c>
      <c r="G991" s="250">
        <v>0.4</v>
      </c>
      <c r="H991" s="171">
        <f t="shared" si="432"/>
        <v>0.4</v>
      </c>
      <c r="I991" s="249">
        <f t="shared" si="444"/>
        <v>50.625</v>
      </c>
      <c r="J991" s="170">
        <f t="shared" si="444"/>
        <v>69.375000000000014</v>
      </c>
      <c r="K991" s="250">
        <v>0.45</v>
      </c>
      <c r="L991" s="172">
        <f t="shared" si="438"/>
        <v>0.45</v>
      </c>
      <c r="M991" s="249">
        <f t="shared" si="439"/>
        <v>11.25</v>
      </c>
      <c r="N991" s="170">
        <f t="shared" si="433"/>
        <v>15.41666666666667</v>
      </c>
      <c r="O991" s="250">
        <v>0.1</v>
      </c>
      <c r="P991" s="172">
        <f t="shared" si="434"/>
        <v>0.1</v>
      </c>
      <c r="Q991" s="251">
        <f t="shared" si="435"/>
        <v>5.625</v>
      </c>
      <c r="R991" s="173">
        <f t="shared" si="436"/>
        <v>7.7083333333333348</v>
      </c>
      <c r="S991" s="250">
        <v>0.05</v>
      </c>
      <c r="T991" s="171">
        <f t="shared" si="437"/>
        <v>0.05</v>
      </c>
      <c r="U991" s="256">
        <v>112.5</v>
      </c>
      <c r="V991" s="170">
        <f>185/1.2</f>
        <v>154.16666666666669</v>
      </c>
      <c r="W991" s="258">
        <v>0.2</v>
      </c>
      <c r="X991" s="257">
        <f t="shared" si="442"/>
        <v>135</v>
      </c>
      <c r="Y991" s="170">
        <f t="shared" si="430"/>
        <v>185.00000000000003</v>
      </c>
      <c r="Z991" s="170">
        <f t="shared" si="440"/>
        <v>185</v>
      </c>
      <c r="AA991" s="407">
        <f t="shared" si="429"/>
        <v>0</v>
      </c>
      <c r="AB991" s="194"/>
    </row>
    <row r="992" spans="1:28" s="278" customFormat="1" x14ac:dyDescent="0.25">
      <c r="A992" s="200">
        <v>718238</v>
      </c>
      <c r="B992" s="313" t="s">
        <v>14716</v>
      </c>
      <c r="C992" s="248"/>
      <c r="D992" s="247" t="s">
        <v>2</v>
      </c>
      <c r="E992" s="249">
        <f t="shared" si="443"/>
        <v>26.666680000000003</v>
      </c>
      <c r="F992" s="170">
        <f t="shared" si="443"/>
        <v>46.666666666666671</v>
      </c>
      <c r="G992" s="250">
        <v>0.4</v>
      </c>
      <c r="H992" s="171">
        <f t="shared" si="432"/>
        <v>0.4</v>
      </c>
      <c r="I992" s="249">
        <f t="shared" si="444"/>
        <v>30.000015000000005</v>
      </c>
      <c r="J992" s="170">
        <f t="shared" si="444"/>
        <v>52.5</v>
      </c>
      <c r="K992" s="250">
        <v>0.45</v>
      </c>
      <c r="L992" s="172">
        <f t="shared" si="438"/>
        <v>0.45</v>
      </c>
      <c r="M992" s="249">
        <f t="shared" si="439"/>
        <v>6.6666700000000008</v>
      </c>
      <c r="N992" s="170">
        <f t="shared" si="433"/>
        <v>11.666666666666668</v>
      </c>
      <c r="O992" s="250">
        <v>0.1</v>
      </c>
      <c r="P992" s="172">
        <f t="shared" si="434"/>
        <v>0.1</v>
      </c>
      <c r="Q992" s="251">
        <f t="shared" si="435"/>
        <v>3.3333350000000004</v>
      </c>
      <c r="R992" s="173">
        <f t="shared" si="436"/>
        <v>5.8333333333333339</v>
      </c>
      <c r="S992" s="250">
        <v>0.05</v>
      </c>
      <c r="T992" s="171">
        <f t="shared" si="437"/>
        <v>0.05</v>
      </c>
      <c r="U992" s="256">
        <v>66.666700000000006</v>
      </c>
      <c r="V992" s="170">
        <f>140/1.2</f>
        <v>116.66666666666667</v>
      </c>
      <c r="W992" s="258">
        <v>0.2</v>
      </c>
      <c r="X992" s="257">
        <f t="shared" si="442"/>
        <v>80.000040000000013</v>
      </c>
      <c r="Y992" s="170">
        <f t="shared" si="430"/>
        <v>140</v>
      </c>
      <c r="Z992" s="170">
        <f t="shared" si="440"/>
        <v>140</v>
      </c>
      <c r="AA992" s="407">
        <f t="shared" si="429"/>
        <v>0</v>
      </c>
      <c r="AB992" s="194"/>
    </row>
    <row r="993" spans="1:28" s="278" customFormat="1" x14ac:dyDescent="0.25">
      <c r="A993" s="200">
        <v>718240</v>
      </c>
      <c r="B993" s="313" t="s">
        <v>14717</v>
      </c>
      <c r="C993" s="248"/>
      <c r="D993" s="247" t="s">
        <v>2</v>
      </c>
      <c r="E993" s="249">
        <f t="shared" si="443"/>
        <v>50</v>
      </c>
      <c r="F993" s="170">
        <f t="shared" si="443"/>
        <v>63.333333333333343</v>
      </c>
      <c r="G993" s="250">
        <v>0.4</v>
      </c>
      <c r="H993" s="171">
        <f t="shared" si="432"/>
        <v>0.4</v>
      </c>
      <c r="I993" s="249">
        <f t="shared" si="444"/>
        <v>56.25</v>
      </c>
      <c r="J993" s="170">
        <f t="shared" si="444"/>
        <v>71.25</v>
      </c>
      <c r="K993" s="250">
        <v>0.45</v>
      </c>
      <c r="L993" s="172">
        <f t="shared" si="438"/>
        <v>0.45</v>
      </c>
      <c r="M993" s="249">
        <f t="shared" si="439"/>
        <v>12.5</v>
      </c>
      <c r="N993" s="170">
        <f t="shared" si="433"/>
        <v>15.833333333333336</v>
      </c>
      <c r="O993" s="250">
        <v>0.1</v>
      </c>
      <c r="P993" s="172">
        <f t="shared" si="434"/>
        <v>0.1</v>
      </c>
      <c r="Q993" s="251">
        <f t="shared" si="435"/>
        <v>6.25</v>
      </c>
      <c r="R993" s="173">
        <f t="shared" si="436"/>
        <v>7.9166666666666679</v>
      </c>
      <c r="S993" s="250">
        <v>0.05</v>
      </c>
      <c r="T993" s="171">
        <f t="shared" si="437"/>
        <v>0.05</v>
      </c>
      <c r="U993" s="256">
        <v>125</v>
      </c>
      <c r="V993" s="170">
        <f>190/1.2</f>
        <v>158.33333333333334</v>
      </c>
      <c r="W993" s="258">
        <v>0.2</v>
      </c>
      <c r="X993" s="257">
        <f t="shared" si="442"/>
        <v>150</v>
      </c>
      <c r="Y993" s="170">
        <f t="shared" si="430"/>
        <v>190</v>
      </c>
      <c r="Z993" s="170">
        <f t="shared" si="440"/>
        <v>190</v>
      </c>
      <c r="AA993" s="407">
        <f t="shared" si="429"/>
        <v>0</v>
      </c>
      <c r="AB993" s="194"/>
    </row>
    <row r="994" spans="1:28" s="278" customFormat="1" x14ac:dyDescent="0.25">
      <c r="A994" s="200">
        <v>718240</v>
      </c>
      <c r="B994" s="313" t="s">
        <v>14718</v>
      </c>
      <c r="C994" s="248"/>
      <c r="D994" s="247" t="s">
        <v>2</v>
      </c>
      <c r="E994" s="249">
        <f t="shared" si="443"/>
        <v>28.333200000000001</v>
      </c>
      <c r="F994" s="170">
        <f t="shared" si="443"/>
        <v>48.333333333333343</v>
      </c>
      <c r="G994" s="250">
        <v>0.4</v>
      </c>
      <c r="H994" s="171">
        <f t="shared" si="432"/>
        <v>0.4</v>
      </c>
      <c r="I994" s="249">
        <f t="shared" si="444"/>
        <v>31.874849999999999</v>
      </c>
      <c r="J994" s="170">
        <f t="shared" si="444"/>
        <v>54.375000000000007</v>
      </c>
      <c r="K994" s="250">
        <v>0.45</v>
      </c>
      <c r="L994" s="172">
        <f t="shared" si="438"/>
        <v>0.45</v>
      </c>
      <c r="M994" s="249">
        <f t="shared" si="439"/>
        <v>7.0833000000000004</v>
      </c>
      <c r="N994" s="170">
        <f t="shared" si="433"/>
        <v>12.083333333333336</v>
      </c>
      <c r="O994" s="250">
        <v>0.1</v>
      </c>
      <c r="P994" s="172">
        <f t="shared" si="434"/>
        <v>0.1</v>
      </c>
      <c r="Q994" s="251">
        <f t="shared" si="435"/>
        <v>3.5416500000000002</v>
      </c>
      <c r="R994" s="173">
        <f t="shared" si="436"/>
        <v>6.0416666666666679</v>
      </c>
      <c r="S994" s="250">
        <v>0.05</v>
      </c>
      <c r="T994" s="171">
        <f t="shared" si="437"/>
        <v>0.05</v>
      </c>
      <c r="U994" s="256">
        <v>70.832999999999998</v>
      </c>
      <c r="V994" s="170">
        <f>145/1.2</f>
        <v>120.83333333333334</v>
      </c>
      <c r="W994" s="258">
        <v>0.2</v>
      </c>
      <c r="X994" s="257">
        <f t="shared" si="442"/>
        <v>84.999600000000001</v>
      </c>
      <c r="Y994" s="170">
        <f t="shared" si="430"/>
        <v>145</v>
      </c>
      <c r="Z994" s="170">
        <f t="shared" si="440"/>
        <v>145</v>
      </c>
      <c r="AA994" s="407">
        <f t="shared" si="429"/>
        <v>0</v>
      </c>
      <c r="AB994" s="194"/>
    </row>
    <row r="995" spans="1:28" s="278" customFormat="1" x14ac:dyDescent="0.25">
      <c r="A995" s="200">
        <v>718242</v>
      </c>
      <c r="B995" s="313" t="s">
        <v>14719</v>
      </c>
      <c r="C995" s="248"/>
      <c r="D995" s="247" t="s">
        <v>2</v>
      </c>
      <c r="E995" s="249">
        <f t="shared" si="443"/>
        <v>58.333320000000008</v>
      </c>
      <c r="F995" s="170">
        <f t="shared" si="443"/>
        <v>66.666666666666671</v>
      </c>
      <c r="G995" s="250">
        <v>0.4</v>
      </c>
      <c r="H995" s="171">
        <f t="shared" si="432"/>
        <v>0.4</v>
      </c>
      <c r="I995" s="249">
        <f t="shared" si="444"/>
        <v>65.624985000000009</v>
      </c>
      <c r="J995" s="170">
        <f t="shared" si="444"/>
        <v>75.000000000000014</v>
      </c>
      <c r="K995" s="250">
        <v>0.45</v>
      </c>
      <c r="L995" s="172">
        <f t="shared" si="438"/>
        <v>0.45</v>
      </c>
      <c r="M995" s="249">
        <f t="shared" si="439"/>
        <v>14.583330000000002</v>
      </c>
      <c r="N995" s="170">
        <f t="shared" si="433"/>
        <v>16.666666666666668</v>
      </c>
      <c r="O995" s="250">
        <v>0.1</v>
      </c>
      <c r="P995" s="172">
        <f t="shared" si="434"/>
        <v>0.1</v>
      </c>
      <c r="Q995" s="251">
        <f t="shared" si="435"/>
        <v>7.291665000000001</v>
      </c>
      <c r="R995" s="173">
        <f t="shared" si="436"/>
        <v>8.3333333333333339</v>
      </c>
      <c r="S995" s="250">
        <v>0.05</v>
      </c>
      <c r="T995" s="171">
        <f t="shared" si="437"/>
        <v>0.05</v>
      </c>
      <c r="U995" s="256">
        <v>145.83330000000001</v>
      </c>
      <c r="V995" s="170">
        <f>200/1.2</f>
        <v>166.66666666666669</v>
      </c>
      <c r="W995" s="258">
        <v>0.2</v>
      </c>
      <c r="X995" s="257">
        <f t="shared" si="442"/>
        <v>174.99996000000002</v>
      </c>
      <c r="Y995" s="170">
        <f t="shared" si="430"/>
        <v>200.00000000000003</v>
      </c>
      <c r="Z995" s="170">
        <f t="shared" si="440"/>
        <v>200</v>
      </c>
      <c r="AA995" s="407">
        <f t="shared" si="429"/>
        <v>0</v>
      </c>
      <c r="AB995" s="194"/>
    </row>
    <row r="996" spans="1:28" s="278" customFormat="1" x14ac:dyDescent="0.25">
      <c r="A996" s="200">
        <v>718242</v>
      </c>
      <c r="B996" s="313" t="s">
        <v>14720</v>
      </c>
      <c r="C996" s="248"/>
      <c r="D996" s="247" t="s">
        <v>2</v>
      </c>
      <c r="E996" s="249">
        <f t="shared" si="443"/>
        <v>33.333199999999998</v>
      </c>
      <c r="F996" s="170">
        <f t="shared" si="443"/>
        <v>51.666666666666679</v>
      </c>
      <c r="G996" s="250">
        <v>0.4</v>
      </c>
      <c r="H996" s="171">
        <f t="shared" si="432"/>
        <v>0.4</v>
      </c>
      <c r="I996" s="249">
        <f t="shared" si="444"/>
        <v>37.499850000000002</v>
      </c>
      <c r="J996" s="170">
        <f t="shared" si="444"/>
        <v>58.125000000000007</v>
      </c>
      <c r="K996" s="250">
        <v>0.45</v>
      </c>
      <c r="L996" s="172">
        <f t="shared" si="438"/>
        <v>0.45</v>
      </c>
      <c r="M996" s="249">
        <f t="shared" si="439"/>
        <v>8.3332999999999995</v>
      </c>
      <c r="N996" s="170">
        <f t="shared" si="433"/>
        <v>12.91666666666667</v>
      </c>
      <c r="O996" s="250">
        <v>0.1</v>
      </c>
      <c r="P996" s="172">
        <f t="shared" si="434"/>
        <v>0.1</v>
      </c>
      <c r="Q996" s="251">
        <f t="shared" si="435"/>
        <v>4.1666499999999997</v>
      </c>
      <c r="R996" s="173">
        <f t="shared" si="436"/>
        <v>6.4583333333333348</v>
      </c>
      <c r="S996" s="250">
        <v>0.05</v>
      </c>
      <c r="T996" s="171">
        <f t="shared" si="437"/>
        <v>0.05</v>
      </c>
      <c r="U996" s="256">
        <v>83.332999999999998</v>
      </c>
      <c r="V996" s="170">
        <f>155/1.2</f>
        <v>129.16666666666669</v>
      </c>
      <c r="W996" s="258">
        <v>0.2</v>
      </c>
      <c r="X996" s="257">
        <f t="shared" si="442"/>
        <v>99.999600000000001</v>
      </c>
      <c r="Y996" s="170">
        <f t="shared" si="430"/>
        <v>155.00000000000003</v>
      </c>
      <c r="Z996" s="170">
        <f t="shared" si="440"/>
        <v>155</v>
      </c>
      <c r="AA996" s="407">
        <f t="shared" si="429"/>
        <v>0</v>
      </c>
      <c r="AB996" s="194"/>
    </row>
    <row r="997" spans="1:28" s="278" customFormat="1" x14ac:dyDescent="0.25">
      <c r="A997" s="200">
        <v>718406</v>
      </c>
      <c r="B997" s="313" t="s">
        <v>14721</v>
      </c>
      <c r="C997" s="248"/>
      <c r="D997" s="247" t="s">
        <v>11</v>
      </c>
      <c r="E997" s="249">
        <f t="shared" si="443"/>
        <v>650</v>
      </c>
      <c r="F997" s="170">
        <f t="shared" si="443"/>
        <v>664.82</v>
      </c>
      <c r="G997" s="250">
        <v>0.65</v>
      </c>
      <c r="H997" s="171">
        <f t="shared" si="432"/>
        <v>0.65</v>
      </c>
      <c r="I997" s="249">
        <f t="shared" si="444"/>
        <v>150</v>
      </c>
      <c r="J997" s="170">
        <f t="shared" si="444"/>
        <v>153.42000000000002</v>
      </c>
      <c r="K997" s="250">
        <v>0.15</v>
      </c>
      <c r="L997" s="172">
        <f t="shared" si="438"/>
        <v>0.15</v>
      </c>
      <c r="M997" s="249">
        <f t="shared" si="439"/>
        <v>200</v>
      </c>
      <c r="N997" s="170">
        <f t="shared" si="433"/>
        <v>204.56000000000003</v>
      </c>
      <c r="O997" s="250">
        <v>0.2</v>
      </c>
      <c r="P997" s="172">
        <f t="shared" si="434"/>
        <v>0.2</v>
      </c>
      <c r="Q997" s="251">
        <f t="shared" si="435"/>
        <v>0</v>
      </c>
      <c r="R997" s="173">
        <f t="shared" si="436"/>
        <v>0</v>
      </c>
      <c r="S997" s="250"/>
      <c r="T997" s="171">
        <f t="shared" si="437"/>
        <v>0</v>
      </c>
      <c r="U997" s="256">
        <v>1000</v>
      </c>
      <c r="V997" s="170">
        <f t="shared" si="441"/>
        <v>1022.8000000000001</v>
      </c>
      <c r="W997" s="258">
        <v>0.2</v>
      </c>
      <c r="X997" s="257">
        <f t="shared" si="442"/>
        <v>1200</v>
      </c>
      <c r="Y997" s="170">
        <f t="shared" si="430"/>
        <v>1227.3600000000001</v>
      </c>
      <c r="Z997" s="170">
        <f t="shared" si="440"/>
        <v>1250</v>
      </c>
      <c r="AA997" s="407">
        <f t="shared" ref="AA997:AA1060" si="445">C997*Z997</f>
        <v>0</v>
      </c>
      <c r="AB997" s="194"/>
    </row>
    <row r="998" spans="1:28" s="278" customFormat="1" x14ac:dyDescent="0.25">
      <c r="A998" s="200">
        <v>718406</v>
      </c>
      <c r="B998" s="313" t="s">
        <v>14722</v>
      </c>
      <c r="C998" s="248"/>
      <c r="D998" s="247" t="s">
        <v>11</v>
      </c>
      <c r="E998" s="249">
        <f t="shared" si="443"/>
        <v>270.83335499999998</v>
      </c>
      <c r="F998" s="170">
        <f t="shared" si="443"/>
        <v>277.008355494</v>
      </c>
      <c r="G998" s="250">
        <v>0.65</v>
      </c>
      <c r="H998" s="171">
        <f t="shared" si="432"/>
        <v>0.65</v>
      </c>
      <c r="I998" s="249">
        <f t="shared" si="444"/>
        <v>62.500004999999994</v>
      </c>
      <c r="J998" s="170">
        <f t="shared" si="444"/>
        <v>63.925005113999994</v>
      </c>
      <c r="K998" s="250">
        <v>0.15</v>
      </c>
      <c r="L998" s="172">
        <f t="shared" si="438"/>
        <v>0.15</v>
      </c>
      <c r="M998" s="249">
        <f t="shared" si="439"/>
        <v>83.333340000000007</v>
      </c>
      <c r="N998" s="170">
        <f t="shared" si="433"/>
        <v>85.233340151999997</v>
      </c>
      <c r="O998" s="250">
        <v>0.2</v>
      </c>
      <c r="P998" s="172">
        <f t="shared" si="434"/>
        <v>0.2</v>
      </c>
      <c r="Q998" s="251">
        <f t="shared" si="435"/>
        <v>0</v>
      </c>
      <c r="R998" s="173">
        <f t="shared" si="436"/>
        <v>0</v>
      </c>
      <c r="S998" s="250"/>
      <c r="T998" s="171">
        <f t="shared" si="437"/>
        <v>0</v>
      </c>
      <c r="U998" s="256">
        <v>416.66669999999999</v>
      </c>
      <c r="V998" s="170">
        <f t="shared" si="441"/>
        <v>426.16670075999997</v>
      </c>
      <c r="W998" s="258">
        <v>0.2</v>
      </c>
      <c r="X998" s="257">
        <f t="shared" si="442"/>
        <v>500.00004000000001</v>
      </c>
      <c r="Y998" s="170">
        <f t="shared" si="430"/>
        <v>511.40004091199995</v>
      </c>
      <c r="Z998" s="170">
        <f t="shared" si="440"/>
        <v>515</v>
      </c>
      <c r="AA998" s="407">
        <f t="shared" si="445"/>
        <v>0</v>
      </c>
      <c r="AB998" s="194"/>
    </row>
    <row r="999" spans="1:28" s="278" customFormat="1" x14ac:dyDescent="0.25">
      <c r="A999" s="200">
        <v>718408</v>
      </c>
      <c r="B999" s="313" t="s">
        <v>15982</v>
      </c>
      <c r="C999" s="248"/>
      <c r="D999" s="247" t="s">
        <v>11</v>
      </c>
      <c r="E999" s="249">
        <f t="shared" si="443"/>
        <v>758.33335499999998</v>
      </c>
      <c r="F999" s="170">
        <f t="shared" si="443"/>
        <v>775.62335549400007</v>
      </c>
      <c r="G999" s="250">
        <v>0.65</v>
      </c>
      <c r="H999" s="171">
        <f t="shared" si="432"/>
        <v>0.65</v>
      </c>
      <c r="I999" s="249">
        <f t="shared" si="444"/>
        <v>175.00000499999999</v>
      </c>
      <c r="J999" s="170">
        <f t="shared" si="444"/>
        <v>178.99000511400001</v>
      </c>
      <c r="K999" s="250">
        <v>0.15</v>
      </c>
      <c r="L999" s="172">
        <f t="shared" si="438"/>
        <v>0.15</v>
      </c>
      <c r="M999" s="249">
        <f t="shared" si="439"/>
        <v>233.33334000000002</v>
      </c>
      <c r="N999" s="170">
        <f t="shared" si="433"/>
        <v>238.65334015200003</v>
      </c>
      <c r="O999" s="250">
        <v>0.2</v>
      </c>
      <c r="P999" s="172">
        <f t="shared" si="434"/>
        <v>0.2</v>
      </c>
      <c r="Q999" s="251">
        <f t="shared" si="435"/>
        <v>0</v>
      </c>
      <c r="R999" s="173">
        <f t="shared" si="436"/>
        <v>0</v>
      </c>
      <c r="S999" s="250"/>
      <c r="T999" s="171">
        <f t="shared" si="437"/>
        <v>0</v>
      </c>
      <c r="U999" s="256">
        <v>1166.6667</v>
      </c>
      <c r="V999" s="170">
        <f t="shared" si="441"/>
        <v>1193.26670076</v>
      </c>
      <c r="W999" s="258">
        <v>0.2</v>
      </c>
      <c r="X999" s="257">
        <f t="shared" si="442"/>
        <v>1400.0000399999999</v>
      </c>
      <c r="Y999" s="170">
        <f t="shared" si="430"/>
        <v>1431.9200409120001</v>
      </c>
      <c r="Z999" s="170">
        <f t="shared" si="440"/>
        <v>1450</v>
      </c>
      <c r="AA999" s="407">
        <f t="shared" si="445"/>
        <v>0</v>
      </c>
      <c r="AB999" s="194"/>
    </row>
    <row r="1000" spans="1:28" s="278" customFormat="1" x14ac:dyDescent="0.25">
      <c r="A1000" s="200">
        <v>718408</v>
      </c>
      <c r="B1000" s="313" t="s">
        <v>15981</v>
      </c>
      <c r="C1000" s="248"/>
      <c r="D1000" s="247" t="s">
        <v>11</v>
      </c>
      <c r="E1000" s="249">
        <f t="shared" si="443"/>
        <v>325</v>
      </c>
      <c r="F1000" s="170">
        <f t="shared" si="443"/>
        <v>332.41</v>
      </c>
      <c r="G1000" s="250">
        <v>0.65</v>
      </c>
      <c r="H1000" s="171">
        <f t="shared" si="432"/>
        <v>0.65</v>
      </c>
      <c r="I1000" s="249">
        <f t="shared" si="444"/>
        <v>75</v>
      </c>
      <c r="J1000" s="170">
        <f t="shared" si="444"/>
        <v>76.710000000000008</v>
      </c>
      <c r="K1000" s="250">
        <v>0.15</v>
      </c>
      <c r="L1000" s="172">
        <f t="shared" si="438"/>
        <v>0.15</v>
      </c>
      <c r="M1000" s="249">
        <f t="shared" si="439"/>
        <v>100</v>
      </c>
      <c r="N1000" s="170">
        <f t="shared" si="433"/>
        <v>102.28000000000002</v>
      </c>
      <c r="O1000" s="250">
        <v>0.2</v>
      </c>
      <c r="P1000" s="172">
        <f t="shared" si="434"/>
        <v>0.2</v>
      </c>
      <c r="Q1000" s="251">
        <f t="shared" si="435"/>
        <v>0</v>
      </c>
      <c r="R1000" s="173">
        <f t="shared" si="436"/>
        <v>0</v>
      </c>
      <c r="S1000" s="252"/>
      <c r="T1000" s="171">
        <f t="shared" si="437"/>
        <v>0</v>
      </c>
      <c r="U1000" s="256">
        <v>500</v>
      </c>
      <c r="V1000" s="170">
        <f t="shared" si="441"/>
        <v>511.40000000000003</v>
      </c>
      <c r="W1000" s="258">
        <v>0.2</v>
      </c>
      <c r="X1000" s="257">
        <f t="shared" si="442"/>
        <v>600</v>
      </c>
      <c r="Y1000" s="170">
        <f t="shared" si="430"/>
        <v>613.68000000000006</v>
      </c>
      <c r="Z1000" s="170">
        <f t="shared" si="440"/>
        <v>615</v>
      </c>
      <c r="AA1000" s="407">
        <f t="shared" si="445"/>
        <v>0</v>
      </c>
      <c r="AB1000" s="194"/>
    </row>
    <row r="1001" spans="1:28" s="278" customFormat="1" x14ac:dyDescent="0.25">
      <c r="A1001" s="200">
        <v>718436</v>
      </c>
      <c r="B1001" s="313" t="s">
        <v>14723</v>
      </c>
      <c r="C1001" s="248"/>
      <c r="D1001" s="247" t="s">
        <v>11</v>
      </c>
      <c r="E1001" s="249">
        <f t="shared" si="443"/>
        <v>731.25</v>
      </c>
      <c r="F1001" s="170">
        <f t="shared" si="443"/>
        <v>747.92250000000013</v>
      </c>
      <c r="G1001" s="250">
        <v>0.65</v>
      </c>
      <c r="H1001" s="171">
        <f t="shared" si="432"/>
        <v>0.65</v>
      </c>
      <c r="I1001" s="249">
        <f t="shared" si="444"/>
        <v>168.75</v>
      </c>
      <c r="J1001" s="170">
        <f t="shared" si="444"/>
        <v>172.5975</v>
      </c>
      <c r="K1001" s="250">
        <v>0.15</v>
      </c>
      <c r="L1001" s="172">
        <f t="shared" si="438"/>
        <v>0.15</v>
      </c>
      <c r="M1001" s="249">
        <f t="shared" si="439"/>
        <v>225</v>
      </c>
      <c r="N1001" s="170">
        <f t="shared" si="433"/>
        <v>230.13000000000002</v>
      </c>
      <c r="O1001" s="250">
        <v>0.2</v>
      </c>
      <c r="P1001" s="172">
        <f t="shared" si="434"/>
        <v>0.2</v>
      </c>
      <c r="Q1001" s="251">
        <f t="shared" si="435"/>
        <v>0</v>
      </c>
      <c r="R1001" s="173">
        <f t="shared" si="436"/>
        <v>0</v>
      </c>
      <c r="S1001" s="252"/>
      <c r="T1001" s="171">
        <f t="shared" si="437"/>
        <v>0</v>
      </c>
      <c r="U1001" s="256">
        <v>1125</v>
      </c>
      <c r="V1001" s="170">
        <f t="shared" si="441"/>
        <v>1150.6500000000001</v>
      </c>
      <c r="W1001" s="258">
        <v>0.2</v>
      </c>
      <c r="X1001" s="257">
        <f t="shared" si="442"/>
        <v>1350</v>
      </c>
      <c r="Y1001" s="170">
        <f t="shared" si="430"/>
        <v>1380.78</v>
      </c>
      <c r="Z1001" s="170">
        <f t="shared" si="440"/>
        <v>1400</v>
      </c>
      <c r="AA1001" s="407">
        <f t="shared" si="445"/>
        <v>0</v>
      </c>
      <c r="AB1001" s="194"/>
    </row>
    <row r="1002" spans="1:28" s="278" customFormat="1" x14ac:dyDescent="0.25">
      <c r="A1002" s="200">
        <v>718436</v>
      </c>
      <c r="B1002" s="313" t="s">
        <v>14724</v>
      </c>
      <c r="C1002" s="248"/>
      <c r="D1002" s="247" t="s">
        <v>11</v>
      </c>
      <c r="E1002" s="249">
        <f t="shared" si="443"/>
        <v>406.25</v>
      </c>
      <c r="F1002" s="170">
        <f t="shared" si="443"/>
        <v>415.51249999999999</v>
      </c>
      <c r="G1002" s="250">
        <v>0.65</v>
      </c>
      <c r="H1002" s="171">
        <f t="shared" si="432"/>
        <v>0.65</v>
      </c>
      <c r="I1002" s="249">
        <f t="shared" si="444"/>
        <v>93.75</v>
      </c>
      <c r="J1002" s="170">
        <f t="shared" si="444"/>
        <v>95.887500000000003</v>
      </c>
      <c r="K1002" s="250">
        <v>0.15</v>
      </c>
      <c r="L1002" s="172">
        <f t="shared" si="438"/>
        <v>0.15</v>
      </c>
      <c r="M1002" s="249">
        <f t="shared" si="439"/>
        <v>125</v>
      </c>
      <c r="N1002" s="170">
        <f t="shared" si="433"/>
        <v>127.85000000000001</v>
      </c>
      <c r="O1002" s="250">
        <v>0.2</v>
      </c>
      <c r="P1002" s="172">
        <f t="shared" si="434"/>
        <v>0.2</v>
      </c>
      <c r="Q1002" s="251">
        <f t="shared" si="435"/>
        <v>0</v>
      </c>
      <c r="R1002" s="173">
        <f t="shared" si="436"/>
        <v>0</v>
      </c>
      <c r="S1002" s="252"/>
      <c r="T1002" s="171">
        <f t="shared" si="437"/>
        <v>0</v>
      </c>
      <c r="U1002" s="256">
        <v>625</v>
      </c>
      <c r="V1002" s="170">
        <f t="shared" si="441"/>
        <v>639.25</v>
      </c>
      <c r="W1002" s="258">
        <v>0.2</v>
      </c>
      <c r="X1002" s="257">
        <f t="shared" si="442"/>
        <v>750</v>
      </c>
      <c r="Y1002" s="170">
        <f t="shared" ref="Y1002:Y1065" si="446">IF(V1002*(W1002+1)=0,X1002,V1002*(W1002+1))</f>
        <v>767.1</v>
      </c>
      <c r="Z1002" s="170">
        <f t="shared" si="440"/>
        <v>770</v>
      </c>
      <c r="AA1002" s="407">
        <f t="shared" si="445"/>
        <v>0</v>
      </c>
      <c r="AB1002" s="194"/>
    </row>
    <row r="1003" spans="1:28" s="278" customFormat="1" x14ac:dyDescent="0.25">
      <c r="A1003" s="200">
        <v>718466</v>
      </c>
      <c r="B1003" s="313" t="s">
        <v>14725</v>
      </c>
      <c r="C1003" s="248"/>
      <c r="D1003" s="247" t="s">
        <v>11</v>
      </c>
      <c r="E1003" s="249">
        <f t="shared" si="443"/>
        <v>352.08335499999998</v>
      </c>
      <c r="F1003" s="170">
        <f t="shared" si="443"/>
        <v>360.11085549400002</v>
      </c>
      <c r="G1003" s="250">
        <v>0.65</v>
      </c>
      <c r="H1003" s="171">
        <f t="shared" si="432"/>
        <v>0.65</v>
      </c>
      <c r="I1003" s="249">
        <f t="shared" si="444"/>
        <v>81.250005000000002</v>
      </c>
      <c r="J1003" s="170">
        <f t="shared" si="444"/>
        <v>83.10250511400001</v>
      </c>
      <c r="K1003" s="250">
        <v>0.15</v>
      </c>
      <c r="L1003" s="172">
        <f t="shared" si="438"/>
        <v>0.15</v>
      </c>
      <c r="M1003" s="249">
        <f t="shared" si="439"/>
        <v>108.33334000000001</v>
      </c>
      <c r="N1003" s="170">
        <f t="shared" si="433"/>
        <v>110.80334015200002</v>
      </c>
      <c r="O1003" s="250">
        <v>0.2</v>
      </c>
      <c r="P1003" s="172">
        <f t="shared" si="434"/>
        <v>0.2</v>
      </c>
      <c r="Q1003" s="251">
        <f t="shared" si="435"/>
        <v>0</v>
      </c>
      <c r="R1003" s="173">
        <f t="shared" si="436"/>
        <v>0</v>
      </c>
      <c r="S1003" s="252"/>
      <c r="T1003" s="171">
        <f t="shared" si="437"/>
        <v>0</v>
      </c>
      <c r="U1003" s="256">
        <v>541.66669999999999</v>
      </c>
      <c r="V1003" s="170">
        <f t="shared" si="441"/>
        <v>554.01670076000005</v>
      </c>
      <c r="W1003" s="258">
        <v>0.2</v>
      </c>
      <c r="X1003" s="257">
        <f t="shared" si="442"/>
        <v>650.00004000000001</v>
      </c>
      <c r="Y1003" s="170">
        <f t="shared" si="446"/>
        <v>664.82004091200008</v>
      </c>
      <c r="Z1003" s="170">
        <f t="shared" si="440"/>
        <v>665</v>
      </c>
      <c r="AA1003" s="407">
        <f t="shared" si="445"/>
        <v>0</v>
      </c>
      <c r="AB1003" s="194"/>
    </row>
    <row r="1004" spans="1:28" s="278" customFormat="1" x14ac:dyDescent="0.25">
      <c r="A1004" s="200">
        <v>718466</v>
      </c>
      <c r="B1004" s="313" t="s">
        <v>14726</v>
      </c>
      <c r="C1004" s="248"/>
      <c r="D1004" s="247" t="s">
        <v>11</v>
      </c>
      <c r="E1004" s="249">
        <f t="shared" si="443"/>
        <v>216.66645000000003</v>
      </c>
      <c r="F1004" s="170">
        <f t="shared" si="443"/>
        <v>221.60644506000003</v>
      </c>
      <c r="G1004" s="250">
        <v>0.65</v>
      </c>
      <c r="H1004" s="171">
        <f t="shared" si="432"/>
        <v>0.65</v>
      </c>
      <c r="I1004" s="249">
        <f t="shared" si="444"/>
        <v>49.999950000000005</v>
      </c>
      <c r="J1004" s="170">
        <f t="shared" si="444"/>
        <v>51.139948860000004</v>
      </c>
      <c r="K1004" s="250">
        <v>0.15</v>
      </c>
      <c r="L1004" s="172">
        <f t="shared" si="438"/>
        <v>0.15</v>
      </c>
      <c r="M1004" s="249">
        <f t="shared" si="439"/>
        <v>66.666600000000003</v>
      </c>
      <c r="N1004" s="170">
        <f t="shared" si="433"/>
        <v>68.186598480000015</v>
      </c>
      <c r="O1004" s="250">
        <v>0.2</v>
      </c>
      <c r="P1004" s="172">
        <f t="shared" si="434"/>
        <v>0.2</v>
      </c>
      <c r="Q1004" s="251">
        <f t="shared" si="435"/>
        <v>0</v>
      </c>
      <c r="R1004" s="173">
        <f t="shared" si="436"/>
        <v>0</v>
      </c>
      <c r="S1004" s="252"/>
      <c r="T1004" s="171">
        <f t="shared" si="437"/>
        <v>0</v>
      </c>
      <c r="U1004" s="256">
        <v>333.33300000000003</v>
      </c>
      <c r="V1004" s="170">
        <f t="shared" si="441"/>
        <v>340.93299240000005</v>
      </c>
      <c r="W1004" s="258">
        <v>0.2</v>
      </c>
      <c r="X1004" s="257">
        <f t="shared" si="442"/>
        <v>399.99960000000004</v>
      </c>
      <c r="Y1004" s="170">
        <f t="shared" si="446"/>
        <v>409.11959088000003</v>
      </c>
      <c r="Z1004" s="170">
        <f t="shared" si="440"/>
        <v>410</v>
      </c>
      <c r="AA1004" s="407">
        <f t="shared" si="445"/>
        <v>0</v>
      </c>
      <c r="AB1004" s="194"/>
    </row>
    <row r="1005" spans="1:28" s="278" customFormat="1" x14ac:dyDescent="0.25">
      <c r="A1005" s="200">
        <v>718468</v>
      </c>
      <c r="B1005" s="313" t="s">
        <v>14727</v>
      </c>
      <c r="C1005" s="248"/>
      <c r="D1005" s="247" t="s">
        <v>11</v>
      </c>
      <c r="E1005" s="249">
        <f t="shared" si="443"/>
        <v>379.16645</v>
      </c>
      <c r="F1005" s="170">
        <f t="shared" si="443"/>
        <v>387.81144506000004</v>
      </c>
      <c r="G1005" s="250">
        <v>0.65</v>
      </c>
      <c r="H1005" s="171">
        <f t="shared" si="432"/>
        <v>0.65</v>
      </c>
      <c r="I1005" s="249">
        <f t="shared" si="444"/>
        <v>87.499949999999998</v>
      </c>
      <c r="J1005" s="170">
        <f t="shared" si="444"/>
        <v>89.494948860000008</v>
      </c>
      <c r="K1005" s="250">
        <v>0.15</v>
      </c>
      <c r="L1005" s="172">
        <f t="shared" si="438"/>
        <v>0.15</v>
      </c>
      <c r="M1005" s="249">
        <f t="shared" si="439"/>
        <v>116.6666</v>
      </c>
      <c r="N1005" s="170">
        <f t="shared" si="433"/>
        <v>119.32659848000002</v>
      </c>
      <c r="O1005" s="250">
        <v>0.2</v>
      </c>
      <c r="P1005" s="172">
        <f t="shared" si="434"/>
        <v>0.2</v>
      </c>
      <c r="Q1005" s="251">
        <f t="shared" si="435"/>
        <v>0</v>
      </c>
      <c r="R1005" s="173">
        <f t="shared" si="436"/>
        <v>0</v>
      </c>
      <c r="S1005" s="252"/>
      <c r="T1005" s="171">
        <f t="shared" si="437"/>
        <v>0</v>
      </c>
      <c r="U1005" s="256">
        <v>583.33299999999997</v>
      </c>
      <c r="V1005" s="170">
        <f t="shared" si="441"/>
        <v>596.63299240000003</v>
      </c>
      <c r="W1005" s="258">
        <v>0.2</v>
      </c>
      <c r="X1005" s="257">
        <f t="shared" si="442"/>
        <v>699.99959999999999</v>
      </c>
      <c r="Y1005" s="170">
        <f t="shared" si="446"/>
        <v>715.95959088000006</v>
      </c>
      <c r="Z1005" s="170">
        <f t="shared" si="440"/>
        <v>720</v>
      </c>
      <c r="AA1005" s="407">
        <f t="shared" si="445"/>
        <v>0</v>
      </c>
      <c r="AB1005" s="194"/>
    </row>
    <row r="1006" spans="1:28" s="278" customFormat="1" x14ac:dyDescent="0.25">
      <c r="A1006" s="200">
        <v>718468</v>
      </c>
      <c r="B1006" s="313" t="s">
        <v>14728</v>
      </c>
      <c r="C1006" s="248"/>
      <c r="D1006" s="247" t="s">
        <v>11</v>
      </c>
      <c r="E1006" s="249">
        <f t="shared" si="443"/>
        <v>270.83335499999998</v>
      </c>
      <c r="F1006" s="170">
        <f t="shared" si="443"/>
        <v>277.008355494</v>
      </c>
      <c r="G1006" s="250">
        <v>0.65</v>
      </c>
      <c r="H1006" s="171">
        <f t="shared" si="432"/>
        <v>0.65</v>
      </c>
      <c r="I1006" s="249">
        <f t="shared" si="444"/>
        <v>62.500004999999994</v>
      </c>
      <c r="J1006" s="170">
        <f t="shared" si="444"/>
        <v>63.925005113999994</v>
      </c>
      <c r="K1006" s="250">
        <v>0.15</v>
      </c>
      <c r="L1006" s="172">
        <f t="shared" si="438"/>
        <v>0.15</v>
      </c>
      <c r="M1006" s="249">
        <f t="shared" si="439"/>
        <v>83.333340000000007</v>
      </c>
      <c r="N1006" s="170">
        <f t="shared" si="433"/>
        <v>85.233340151999997</v>
      </c>
      <c r="O1006" s="250">
        <v>0.2</v>
      </c>
      <c r="P1006" s="172">
        <f t="shared" si="434"/>
        <v>0.2</v>
      </c>
      <c r="Q1006" s="251">
        <f t="shared" si="435"/>
        <v>0</v>
      </c>
      <c r="R1006" s="173">
        <f t="shared" si="436"/>
        <v>0</v>
      </c>
      <c r="S1006" s="252"/>
      <c r="T1006" s="171">
        <f t="shared" si="437"/>
        <v>0</v>
      </c>
      <c r="U1006" s="256">
        <v>416.66669999999999</v>
      </c>
      <c r="V1006" s="170">
        <f t="shared" si="441"/>
        <v>426.16670075999997</v>
      </c>
      <c r="W1006" s="258">
        <v>0.2</v>
      </c>
      <c r="X1006" s="257">
        <f t="shared" si="442"/>
        <v>500.00004000000001</v>
      </c>
      <c r="Y1006" s="170">
        <f t="shared" si="446"/>
        <v>511.40004091199995</v>
      </c>
      <c r="Z1006" s="170">
        <f t="shared" si="440"/>
        <v>515</v>
      </c>
      <c r="AA1006" s="407">
        <f t="shared" si="445"/>
        <v>0</v>
      </c>
      <c r="AB1006" s="194"/>
    </row>
    <row r="1007" spans="1:28" s="278" customFormat="1" x14ac:dyDescent="0.25">
      <c r="A1007" s="195" t="s">
        <v>14729</v>
      </c>
      <c r="B1007" s="317" t="s">
        <v>14730</v>
      </c>
      <c r="C1007" s="241"/>
      <c r="D1007" s="242"/>
      <c r="E1007" s="243"/>
      <c r="F1007" s="244"/>
      <c r="G1007" s="245"/>
      <c r="H1007" s="246"/>
      <c r="I1007" s="243"/>
      <c r="J1007" s="244"/>
      <c r="K1007" s="245"/>
      <c r="L1007" s="246"/>
      <c r="M1007" s="243"/>
      <c r="N1007" s="244"/>
      <c r="O1007" s="245"/>
      <c r="P1007" s="246"/>
      <c r="Q1007" s="243"/>
      <c r="R1007" s="244"/>
      <c r="S1007" s="245"/>
      <c r="T1007" s="246"/>
      <c r="U1007" s="246"/>
      <c r="V1007" s="246"/>
      <c r="W1007" s="246"/>
      <c r="X1007" s="246"/>
      <c r="Y1007" s="244"/>
      <c r="Z1007" s="244"/>
      <c r="AA1007" s="406"/>
      <c r="AB1007" s="194"/>
    </row>
    <row r="1008" spans="1:28" s="278" customFormat="1" x14ac:dyDescent="0.25">
      <c r="A1008" s="200">
        <v>719004</v>
      </c>
      <c r="B1008" s="313" t="s">
        <v>19691</v>
      </c>
      <c r="C1008" s="248"/>
      <c r="D1008" s="247" t="s">
        <v>11</v>
      </c>
      <c r="E1008" s="249">
        <f t="shared" si="443"/>
        <v>262.5</v>
      </c>
      <c r="F1008" s="170">
        <f t="shared" si="443"/>
        <v>267.65812500000004</v>
      </c>
      <c r="G1008" s="250">
        <v>0.35</v>
      </c>
      <c r="H1008" s="171">
        <f t="shared" si="432"/>
        <v>0.35</v>
      </c>
      <c r="I1008" s="249">
        <f t="shared" si="444"/>
        <v>412.50000000000006</v>
      </c>
      <c r="J1008" s="170">
        <f t="shared" si="444"/>
        <v>420.60562500000015</v>
      </c>
      <c r="K1008" s="250">
        <v>0.55000000000000004</v>
      </c>
      <c r="L1008" s="172">
        <f t="shared" si="438"/>
        <v>0.55000000000000004</v>
      </c>
      <c r="M1008" s="249">
        <f t="shared" si="439"/>
        <v>37.5</v>
      </c>
      <c r="N1008" s="170">
        <f t="shared" si="433"/>
        <v>38.236875000000012</v>
      </c>
      <c r="O1008" s="250">
        <v>0.05</v>
      </c>
      <c r="P1008" s="172">
        <f t="shared" si="434"/>
        <v>0.05</v>
      </c>
      <c r="Q1008" s="251">
        <f t="shared" si="435"/>
        <v>37.5</v>
      </c>
      <c r="R1008" s="173">
        <f t="shared" si="436"/>
        <v>38.236875000000012</v>
      </c>
      <c r="S1008" s="250">
        <v>0.05</v>
      </c>
      <c r="T1008" s="171">
        <f t="shared" si="437"/>
        <v>0.05</v>
      </c>
      <c r="U1008" s="256">
        <v>750</v>
      </c>
      <c r="V1008" s="170">
        <f t="shared" si="441"/>
        <v>764.73750000000018</v>
      </c>
      <c r="W1008" s="258">
        <v>0.2</v>
      </c>
      <c r="X1008" s="257">
        <f t="shared" ref="X1008:X1013" si="447">U1008+U1008*W1008</f>
        <v>900</v>
      </c>
      <c r="Y1008" s="170">
        <f t="shared" si="446"/>
        <v>917.68500000000017</v>
      </c>
      <c r="Z1008" s="170">
        <f t="shared" si="440"/>
        <v>920</v>
      </c>
      <c r="AA1008" s="407">
        <f t="shared" si="445"/>
        <v>0</v>
      </c>
      <c r="AB1008" s="194"/>
    </row>
    <row r="1009" spans="1:28" s="278" customFormat="1" x14ac:dyDescent="0.25">
      <c r="A1009" s="200">
        <v>719004</v>
      </c>
      <c r="B1009" s="313" t="s">
        <v>19692</v>
      </c>
      <c r="C1009" s="248"/>
      <c r="D1009" s="247" t="s">
        <v>11</v>
      </c>
      <c r="E1009" s="249">
        <f t="shared" si="443"/>
        <v>204.16654999999997</v>
      </c>
      <c r="F1009" s="170">
        <f t="shared" si="443"/>
        <v>208.17842270749998</v>
      </c>
      <c r="G1009" s="250">
        <v>0.35</v>
      </c>
      <c r="H1009" s="171">
        <f t="shared" si="432"/>
        <v>0.35</v>
      </c>
      <c r="I1009" s="249">
        <f t="shared" si="444"/>
        <v>320.83314999999999</v>
      </c>
      <c r="J1009" s="170">
        <f t="shared" si="444"/>
        <v>327.1375213975</v>
      </c>
      <c r="K1009" s="250">
        <v>0.55000000000000004</v>
      </c>
      <c r="L1009" s="172">
        <f t="shared" si="438"/>
        <v>0.55000000000000004</v>
      </c>
      <c r="M1009" s="249">
        <f t="shared" si="439"/>
        <v>29.166650000000001</v>
      </c>
      <c r="N1009" s="170">
        <f t="shared" si="433"/>
        <v>29.739774672500001</v>
      </c>
      <c r="O1009" s="250">
        <v>0.05</v>
      </c>
      <c r="P1009" s="172">
        <f t="shared" si="434"/>
        <v>0.05</v>
      </c>
      <c r="Q1009" s="251">
        <f t="shared" si="435"/>
        <v>29.166650000000001</v>
      </c>
      <c r="R1009" s="173">
        <f t="shared" si="436"/>
        <v>29.739774672500001</v>
      </c>
      <c r="S1009" s="250">
        <v>0.05</v>
      </c>
      <c r="T1009" s="171">
        <f t="shared" si="437"/>
        <v>0.05</v>
      </c>
      <c r="U1009" s="256">
        <v>583.33299999999997</v>
      </c>
      <c r="V1009" s="170">
        <f t="shared" si="441"/>
        <v>594.79549344999998</v>
      </c>
      <c r="W1009" s="258">
        <v>0.2</v>
      </c>
      <c r="X1009" s="257">
        <f t="shared" si="447"/>
        <v>699.99959999999999</v>
      </c>
      <c r="Y1009" s="170">
        <f t="shared" si="446"/>
        <v>713.75459214</v>
      </c>
      <c r="Z1009" s="170">
        <f t="shared" si="440"/>
        <v>715</v>
      </c>
      <c r="AA1009" s="407">
        <f t="shared" si="445"/>
        <v>0</v>
      </c>
      <c r="AB1009" s="194"/>
    </row>
    <row r="1010" spans="1:28" s="278" customFormat="1" x14ac:dyDescent="0.25">
      <c r="A1010" s="200">
        <v>719006</v>
      </c>
      <c r="B1010" s="313" t="s">
        <v>19693</v>
      </c>
      <c r="C1010" s="248"/>
      <c r="D1010" s="247" t="s">
        <v>11</v>
      </c>
      <c r="E1010" s="249">
        <f t="shared" si="443"/>
        <v>277.08334499999995</v>
      </c>
      <c r="F1010" s="170">
        <f t="shared" si="443"/>
        <v>282.52803272925001</v>
      </c>
      <c r="G1010" s="250">
        <v>0.35</v>
      </c>
      <c r="H1010" s="171">
        <f t="shared" si="432"/>
        <v>0.35</v>
      </c>
      <c r="I1010" s="249">
        <f t="shared" si="444"/>
        <v>435.41668500000003</v>
      </c>
      <c r="J1010" s="170">
        <f t="shared" si="444"/>
        <v>443.97262286025011</v>
      </c>
      <c r="K1010" s="250">
        <v>0.55000000000000004</v>
      </c>
      <c r="L1010" s="172">
        <f t="shared" si="438"/>
        <v>0.55000000000000004</v>
      </c>
      <c r="M1010" s="249">
        <f t="shared" si="439"/>
        <v>39.583335000000005</v>
      </c>
      <c r="N1010" s="170">
        <f t="shared" si="433"/>
        <v>40.36114753275001</v>
      </c>
      <c r="O1010" s="250">
        <v>0.05</v>
      </c>
      <c r="P1010" s="172">
        <f t="shared" si="434"/>
        <v>0.05</v>
      </c>
      <c r="Q1010" s="251">
        <f t="shared" si="435"/>
        <v>39.583335000000005</v>
      </c>
      <c r="R1010" s="173">
        <f t="shared" si="436"/>
        <v>40.36114753275001</v>
      </c>
      <c r="S1010" s="250">
        <v>0.05</v>
      </c>
      <c r="T1010" s="171">
        <f t="shared" si="437"/>
        <v>0.05</v>
      </c>
      <c r="U1010" s="256">
        <v>791.66669999999999</v>
      </c>
      <c r="V1010" s="170">
        <f t="shared" si="441"/>
        <v>807.22295065500009</v>
      </c>
      <c r="W1010" s="258">
        <v>0.2</v>
      </c>
      <c r="X1010" s="257">
        <f t="shared" si="447"/>
        <v>950.00004000000001</v>
      </c>
      <c r="Y1010" s="170">
        <f t="shared" si="446"/>
        <v>968.66754078600002</v>
      </c>
      <c r="Z1010" s="170">
        <f t="shared" si="440"/>
        <v>970</v>
      </c>
      <c r="AA1010" s="407">
        <f t="shared" si="445"/>
        <v>0</v>
      </c>
      <c r="AB1010" s="194"/>
    </row>
    <row r="1011" spans="1:28" s="278" customFormat="1" ht="14.4" thickBot="1" x14ac:dyDescent="0.3">
      <c r="A1011" s="263">
        <v>719006</v>
      </c>
      <c r="B1011" s="321" t="s">
        <v>19694</v>
      </c>
      <c r="C1011" s="265"/>
      <c r="D1011" s="264" t="s">
        <v>11</v>
      </c>
      <c r="E1011" s="266">
        <f t="shared" si="443"/>
        <v>218.75</v>
      </c>
      <c r="F1011" s="174">
        <f t="shared" si="443"/>
        <v>223.04843749999998</v>
      </c>
      <c r="G1011" s="267">
        <v>0.35</v>
      </c>
      <c r="H1011" s="268">
        <f t="shared" si="432"/>
        <v>0.35</v>
      </c>
      <c r="I1011" s="266">
        <f t="shared" si="444"/>
        <v>343.75</v>
      </c>
      <c r="J1011" s="174">
        <f t="shared" si="444"/>
        <v>350.50468750000005</v>
      </c>
      <c r="K1011" s="267">
        <v>0.55000000000000004</v>
      </c>
      <c r="L1011" s="269">
        <f t="shared" si="438"/>
        <v>0.55000000000000004</v>
      </c>
      <c r="M1011" s="266">
        <f t="shared" si="439"/>
        <v>31.25</v>
      </c>
      <c r="N1011" s="174">
        <f t="shared" si="433"/>
        <v>31.864062500000003</v>
      </c>
      <c r="O1011" s="267">
        <v>0.05</v>
      </c>
      <c r="P1011" s="269">
        <f t="shared" si="434"/>
        <v>0.05</v>
      </c>
      <c r="Q1011" s="270">
        <f t="shared" si="435"/>
        <v>31.25</v>
      </c>
      <c r="R1011" s="271">
        <f t="shared" si="436"/>
        <v>31.864062500000003</v>
      </c>
      <c r="S1011" s="267">
        <v>0.05</v>
      </c>
      <c r="T1011" s="268">
        <f t="shared" si="437"/>
        <v>0.05</v>
      </c>
      <c r="U1011" s="409">
        <v>625</v>
      </c>
      <c r="V1011" s="174">
        <f t="shared" si="441"/>
        <v>637.28125</v>
      </c>
      <c r="W1011" s="322">
        <v>0.2</v>
      </c>
      <c r="X1011" s="274">
        <f t="shared" si="447"/>
        <v>750</v>
      </c>
      <c r="Y1011" s="174">
        <f t="shared" si="446"/>
        <v>764.73749999999995</v>
      </c>
      <c r="Z1011" s="174">
        <f t="shared" si="440"/>
        <v>765</v>
      </c>
      <c r="AA1011" s="410">
        <f t="shared" si="445"/>
        <v>0</v>
      </c>
      <c r="AB1011" s="194"/>
    </row>
    <row r="1012" spans="1:28" s="278" customFormat="1" x14ac:dyDescent="0.25">
      <c r="A1012" s="200">
        <v>719008</v>
      </c>
      <c r="B1012" s="313" t="s">
        <v>19695</v>
      </c>
      <c r="C1012" s="248"/>
      <c r="D1012" s="247" t="s">
        <v>11</v>
      </c>
      <c r="E1012" s="249">
        <f t="shared" si="443"/>
        <v>291.66665499999999</v>
      </c>
      <c r="F1012" s="170">
        <f t="shared" si="443"/>
        <v>297.39790477074996</v>
      </c>
      <c r="G1012" s="250">
        <v>0.35</v>
      </c>
      <c r="H1012" s="171">
        <f t="shared" si="432"/>
        <v>0.35</v>
      </c>
      <c r="I1012" s="249">
        <f t="shared" si="444"/>
        <v>458.33331500000003</v>
      </c>
      <c r="J1012" s="170">
        <f t="shared" si="444"/>
        <v>467.33956463975005</v>
      </c>
      <c r="K1012" s="250">
        <v>0.55000000000000004</v>
      </c>
      <c r="L1012" s="172">
        <f t="shared" si="438"/>
        <v>0.55000000000000004</v>
      </c>
      <c r="M1012" s="249">
        <f t="shared" si="439"/>
        <v>41.666665000000002</v>
      </c>
      <c r="N1012" s="170">
        <f t="shared" si="433"/>
        <v>42.485414967250001</v>
      </c>
      <c r="O1012" s="250">
        <v>0.05</v>
      </c>
      <c r="P1012" s="172">
        <f t="shared" si="434"/>
        <v>0.05</v>
      </c>
      <c r="Q1012" s="251">
        <f t="shared" si="435"/>
        <v>41.666665000000002</v>
      </c>
      <c r="R1012" s="173">
        <f t="shared" si="436"/>
        <v>42.485414967250001</v>
      </c>
      <c r="S1012" s="250">
        <v>0.05</v>
      </c>
      <c r="T1012" s="171">
        <f t="shared" si="437"/>
        <v>0.05</v>
      </c>
      <c r="U1012" s="256">
        <v>833.33330000000001</v>
      </c>
      <c r="V1012" s="170">
        <f t="shared" si="441"/>
        <v>849.708299345</v>
      </c>
      <c r="W1012" s="258">
        <v>0.2</v>
      </c>
      <c r="X1012" s="257">
        <f t="shared" si="447"/>
        <v>999.99995999999999</v>
      </c>
      <c r="Y1012" s="170">
        <f t="shared" si="446"/>
        <v>1019.649959214</v>
      </c>
      <c r="Z1012" s="170">
        <f t="shared" si="440"/>
        <v>1025</v>
      </c>
      <c r="AA1012" s="407">
        <f t="shared" si="445"/>
        <v>0</v>
      </c>
      <c r="AB1012" s="194"/>
    </row>
    <row r="1013" spans="1:28" s="278" customFormat="1" x14ac:dyDescent="0.25">
      <c r="A1013" s="200">
        <v>719008</v>
      </c>
      <c r="B1013" s="313" t="s">
        <v>19696</v>
      </c>
      <c r="C1013" s="248"/>
      <c r="D1013" s="247" t="s">
        <v>11</v>
      </c>
      <c r="E1013" s="249">
        <f t="shared" si="443"/>
        <v>233.33334499999998</v>
      </c>
      <c r="F1013" s="170">
        <f t="shared" si="443"/>
        <v>237.91834522925004</v>
      </c>
      <c r="G1013" s="250">
        <v>0.35</v>
      </c>
      <c r="H1013" s="171">
        <f t="shared" si="432"/>
        <v>0.35</v>
      </c>
      <c r="I1013" s="249">
        <f t="shared" si="444"/>
        <v>366.66668500000003</v>
      </c>
      <c r="J1013" s="170">
        <f t="shared" si="444"/>
        <v>373.87168536025013</v>
      </c>
      <c r="K1013" s="250">
        <v>0.55000000000000004</v>
      </c>
      <c r="L1013" s="172">
        <f t="shared" si="438"/>
        <v>0.55000000000000004</v>
      </c>
      <c r="M1013" s="249">
        <f t="shared" si="439"/>
        <v>33.333334999999998</v>
      </c>
      <c r="N1013" s="170">
        <f t="shared" si="433"/>
        <v>33.988335032750008</v>
      </c>
      <c r="O1013" s="250">
        <v>0.05</v>
      </c>
      <c r="P1013" s="172">
        <f t="shared" si="434"/>
        <v>0.05</v>
      </c>
      <c r="Q1013" s="251">
        <f t="shared" si="435"/>
        <v>33.333334999999998</v>
      </c>
      <c r="R1013" s="173">
        <f t="shared" si="436"/>
        <v>33.988335032750008</v>
      </c>
      <c r="S1013" s="250">
        <v>0.05</v>
      </c>
      <c r="T1013" s="171">
        <f t="shared" si="437"/>
        <v>0.05</v>
      </c>
      <c r="U1013" s="256">
        <v>666.66669999999999</v>
      </c>
      <c r="V1013" s="170">
        <f t="shared" si="441"/>
        <v>679.76670065500014</v>
      </c>
      <c r="W1013" s="258">
        <v>0.2</v>
      </c>
      <c r="X1013" s="257">
        <f t="shared" si="447"/>
        <v>800.00004000000001</v>
      </c>
      <c r="Y1013" s="170">
        <f t="shared" si="446"/>
        <v>815.72004078600014</v>
      </c>
      <c r="Z1013" s="170">
        <f t="shared" si="440"/>
        <v>820</v>
      </c>
      <c r="AA1013" s="407">
        <f t="shared" si="445"/>
        <v>0</v>
      </c>
      <c r="AB1013" s="194"/>
    </row>
    <row r="1014" spans="1:28" s="278" customFormat="1" ht="21" x14ac:dyDescent="0.25">
      <c r="A1014" s="195" t="s">
        <v>14731</v>
      </c>
      <c r="B1014" s="240" t="s">
        <v>14732</v>
      </c>
      <c r="C1014" s="241"/>
      <c r="D1014" s="242"/>
      <c r="E1014" s="243"/>
      <c r="F1014" s="244"/>
      <c r="G1014" s="245"/>
      <c r="H1014" s="246"/>
      <c r="I1014" s="243"/>
      <c r="J1014" s="244"/>
      <c r="K1014" s="245"/>
      <c r="L1014" s="246"/>
      <c r="M1014" s="243"/>
      <c r="N1014" s="244"/>
      <c r="O1014" s="245"/>
      <c r="P1014" s="246"/>
      <c r="Q1014" s="243"/>
      <c r="R1014" s="244"/>
      <c r="S1014" s="245"/>
      <c r="T1014" s="246"/>
      <c r="U1014" s="246"/>
      <c r="V1014" s="246"/>
      <c r="W1014" s="246"/>
      <c r="X1014" s="246"/>
      <c r="Y1014" s="244"/>
      <c r="Z1014" s="244"/>
      <c r="AA1014" s="406"/>
      <c r="AB1014" s="194"/>
    </row>
    <row r="1015" spans="1:28" s="278" customFormat="1" x14ac:dyDescent="0.25">
      <c r="A1015" s="200">
        <v>720005</v>
      </c>
      <c r="B1015" s="313" t="s">
        <v>19697</v>
      </c>
      <c r="C1015" s="248"/>
      <c r="D1015" s="247" t="s">
        <v>11</v>
      </c>
      <c r="E1015" s="249">
        <f t="shared" si="443"/>
        <v>275</v>
      </c>
      <c r="F1015" s="170">
        <f t="shared" si="443"/>
        <v>281.29750000000007</v>
      </c>
      <c r="G1015" s="250">
        <v>0.55000000000000004</v>
      </c>
      <c r="H1015" s="171">
        <f t="shared" si="432"/>
        <v>0.55000000000000004</v>
      </c>
      <c r="I1015" s="249">
        <f t="shared" si="444"/>
        <v>75</v>
      </c>
      <c r="J1015" s="170">
        <f t="shared" si="444"/>
        <v>76.717500000000001</v>
      </c>
      <c r="K1015" s="250">
        <v>0.15</v>
      </c>
      <c r="L1015" s="172">
        <f t="shared" si="438"/>
        <v>0.15</v>
      </c>
      <c r="M1015" s="249">
        <f t="shared" si="439"/>
        <v>150</v>
      </c>
      <c r="N1015" s="170">
        <f t="shared" si="433"/>
        <v>153.435</v>
      </c>
      <c r="O1015" s="250">
        <v>0.3</v>
      </c>
      <c r="P1015" s="172">
        <f t="shared" si="434"/>
        <v>0.3</v>
      </c>
      <c r="Q1015" s="251">
        <f t="shared" si="435"/>
        <v>0</v>
      </c>
      <c r="R1015" s="173">
        <f t="shared" si="436"/>
        <v>0</v>
      </c>
      <c r="S1015" s="252"/>
      <c r="T1015" s="171">
        <f t="shared" si="437"/>
        <v>0</v>
      </c>
      <c r="U1015" s="256">
        <v>500</v>
      </c>
      <c r="V1015" s="170">
        <f t="shared" si="441"/>
        <v>511.45000000000005</v>
      </c>
      <c r="W1015" s="258">
        <v>0.2</v>
      </c>
      <c r="X1015" s="257">
        <f>U1015+U1015*W1015</f>
        <v>600</v>
      </c>
      <c r="Y1015" s="170">
        <f t="shared" si="446"/>
        <v>613.74</v>
      </c>
      <c r="Z1015" s="170">
        <f t="shared" si="440"/>
        <v>615</v>
      </c>
      <c r="AA1015" s="407">
        <f t="shared" si="445"/>
        <v>0</v>
      </c>
      <c r="AB1015" s="194"/>
    </row>
    <row r="1016" spans="1:28" s="278" customFormat="1" x14ac:dyDescent="0.25">
      <c r="A1016" s="200">
        <v>720005</v>
      </c>
      <c r="B1016" s="313" t="s">
        <v>19698</v>
      </c>
      <c r="C1016" s="248"/>
      <c r="D1016" s="247" t="s">
        <v>11</v>
      </c>
      <c r="E1016" s="249">
        <f t="shared" si="443"/>
        <v>183.33315000000002</v>
      </c>
      <c r="F1016" s="170">
        <f t="shared" si="443"/>
        <v>187.53147913500004</v>
      </c>
      <c r="G1016" s="250">
        <v>0.55000000000000004</v>
      </c>
      <c r="H1016" s="171">
        <f t="shared" si="432"/>
        <v>0.55000000000000004</v>
      </c>
      <c r="I1016" s="249">
        <f t="shared" si="444"/>
        <v>49.999950000000005</v>
      </c>
      <c r="J1016" s="170">
        <f t="shared" si="444"/>
        <v>51.144948855000003</v>
      </c>
      <c r="K1016" s="250">
        <v>0.15</v>
      </c>
      <c r="L1016" s="172">
        <f t="shared" si="438"/>
        <v>0.15</v>
      </c>
      <c r="M1016" s="249">
        <f t="shared" si="439"/>
        <v>99.999900000000011</v>
      </c>
      <c r="N1016" s="170">
        <f t="shared" si="433"/>
        <v>102.28989771000001</v>
      </c>
      <c r="O1016" s="250">
        <v>0.3</v>
      </c>
      <c r="P1016" s="172">
        <f t="shared" si="434"/>
        <v>0.3</v>
      </c>
      <c r="Q1016" s="251">
        <f t="shared" si="435"/>
        <v>0</v>
      </c>
      <c r="R1016" s="173">
        <f t="shared" si="436"/>
        <v>0</v>
      </c>
      <c r="S1016" s="252"/>
      <c r="T1016" s="171">
        <f t="shared" si="437"/>
        <v>0</v>
      </c>
      <c r="U1016" s="256">
        <v>333.33300000000003</v>
      </c>
      <c r="V1016" s="170">
        <f t="shared" si="441"/>
        <v>340.96632570000003</v>
      </c>
      <c r="W1016" s="258">
        <v>0.2</v>
      </c>
      <c r="X1016" s="257">
        <v>550</v>
      </c>
      <c r="Y1016" s="170">
        <f t="shared" si="446"/>
        <v>409.15959084000002</v>
      </c>
      <c r="Z1016" s="170">
        <f t="shared" si="440"/>
        <v>410</v>
      </c>
      <c r="AA1016" s="407">
        <f t="shared" si="445"/>
        <v>0</v>
      </c>
      <c r="AB1016" s="194"/>
    </row>
    <row r="1017" spans="1:28" s="278" customFormat="1" x14ac:dyDescent="0.25">
      <c r="A1017" s="200">
        <v>720010</v>
      </c>
      <c r="B1017" s="313" t="s">
        <v>19699</v>
      </c>
      <c r="C1017" s="248"/>
      <c r="D1017" s="247" t="s">
        <v>11</v>
      </c>
      <c r="E1017" s="249">
        <f t="shared" si="443"/>
        <v>275</v>
      </c>
      <c r="F1017" s="170">
        <f t="shared" si="443"/>
        <v>281.29750000000007</v>
      </c>
      <c r="G1017" s="250">
        <v>0.55000000000000004</v>
      </c>
      <c r="H1017" s="171">
        <f t="shared" ref="H1017:H1041" si="448">G1017</f>
        <v>0.55000000000000004</v>
      </c>
      <c r="I1017" s="249">
        <f t="shared" si="444"/>
        <v>75</v>
      </c>
      <c r="J1017" s="170">
        <f t="shared" si="444"/>
        <v>76.717500000000001</v>
      </c>
      <c r="K1017" s="250">
        <v>0.15</v>
      </c>
      <c r="L1017" s="172">
        <f t="shared" si="438"/>
        <v>0.15</v>
      </c>
      <c r="M1017" s="249">
        <f t="shared" si="439"/>
        <v>150</v>
      </c>
      <c r="N1017" s="170">
        <f t="shared" ref="N1017:N1041" si="449">P1017*V1017</f>
        <v>153.435</v>
      </c>
      <c r="O1017" s="250">
        <v>0.3</v>
      </c>
      <c r="P1017" s="172">
        <f t="shared" ref="P1017:P1041" si="450">O1017</f>
        <v>0.3</v>
      </c>
      <c r="Q1017" s="251">
        <f t="shared" ref="Q1017:Q1041" si="451">U1017*S1017</f>
        <v>0</v>
      </c>
      <c r="R1017" s="173">
        <f t="shared" ref="R1017:R1041" si="452">T1017*V1017</f>
        <v>0</v>
      </c>
      <c r="S1017" s="252"/>
      <c r="T1017" s="171">
        <f t="shared" ref="T1017:T1041" si="453">S1017</f>
        <v>0</v>
      </c>
      <c r="U1017" s="256">
        <v>500</v>
      </c>
      <c r="V1017" s="170">
        <f t="shared" si="441"/>
        <v>511.45000000000005</v>
      </c>
      <c r="W1017" s="258">
        <v>0.2</v>
      </c>
      <c r="X1017" s="257">
        <f>U1017+U1017*W1017</f>
        <v>600</v>
      </c>
      <c r="Y1017" s="170">
        <f t="shared" si="446"/>
        <v>613.74</v>
      </c>
      <c r="Z1017" s="170">
        <f t="shared" si="440"/>
        <v>615</v>
      </c>
      <c r="AA1017" s="407">
        <f t="shared" si="445"/>
        <v>0</v>
      </c>
      <c r="AB1017" s="194"/>
    </row>
    <row r="1018" spans="1:28" s="278" customFormat="1" x14ac:dyDescent="0.25">
      <c r="A1018" s="200">
        <v>720010</v>
      </c>
      <c r="B1018" s="313" t="s">
        <v>19700</v>
      </c>
      <c r="C1018" s="248"/>
      <c r="D1018" s="247" t="s">
        <v>11</v>
      </c>
      <c r="E1018" s="249">
        <f t="shared" si="443"/>
        <v>183.33315000000002</v>
      </c>
      <c r="F1018" s="170">
        <f t="shared" si="443"/>
        <v>187.53147913500004</v>
      </c>
      <c r="G1018" s="250">
        <v>0.55000000000000004</v>
      </c>
      <c r="H1018" s="171">
        <f t="shared" si="448"/>
        <v>0.55000000000000004</v>
      </c>
      <c r="I1018" s="249">
        <f t="shared" si="444"/>
        <v>49.999950000000005</v>
      </c>
      <c r="J1018" s="170">
        <f t="shared" si="444"/>
        <v>51.144948855000003</v>
      </c>
      <c r="K1018" s="250">
        <v>0.15</v>
      </c>
      <c r="L1018" s="172">
        <f t="shared" si="438"/>
        <v>0.15</v>
      </c>
      <c r="M1018" s="249">
        <f t="shared" si="439"/>
        <v>99.999900000000011</v>
      </c>
      <c r="N1018" s="170">
        <f t="shared" si="449"/>
        <v>102.28989771000001</v>
      </c>
      <c r="O1018" s="250">
        <v>0.3</v>
      </c>
      <c r="P1018" s="172">
        <f t="shared" si="450"/>
        <v>0.3</v>
      </c>
      <c r="Q1018" s="251">
        <f t="shared" si="451"/>
        <v>0</v>
      </c>
      <c r="R1018" s="173">
        <f t="shared" si="452"/>
        <v>0</v>
      </c>
      <c r="S1018" s="252"/>
      <c r="T1018" s="171">
        <f t="shared" si="453"/>
        <v>0</v>
      </c>
      <c r="U1018" s="256">
        <v>333.33300000000003</v>
      </c>
      <c r="V1018" s="170">
        <f t="shared" si="441"/>
        <v>340.96632570000003</v>
      </c>
      <c r="W1018" s="258">
        <v>0.2</v>
      </c>
      <c r="X1018" s="257">
        <v>550</v>
      </c>
      <c r="Y1018" s="170">
        <f t="shared" si="446"/>
        <v>409.15959084000002</v>
      </c>
      <c r="Z1018" s="170">
        <f t="shared" si="440"/>
        <v>410</v>
      </c>
      <c r="AA1018" s="407">
        <f t="shared" si="445"/>
        <v>0</v>
      </c>
      <c r="AB1018" s="194"/>
    </row>
    <row r="1019" spans="1:28" s="278" customFormat="1" x14ac:dyDescent="0.25">
      <c r="A1019" s="200">
        <v>720015</v>
      </c>
      <c r="B1019" s="313" t="s">
        <v>19701</v>
      </c>
      <c r="C1019" s="248"/>
      <c r="D1019" s="247" t="s">
        <v>11</v>
      </c>
      <c r="E1019" s="249">
        <f t="shared" si="443"/>
        <v>275</v>
      </c>
      <c r="F1019" s="170">
        <f t="shared" si="443"/>
        <v>281.29750000000007</v>
      </c>
      <c r="G1019" s="250">
        <v>0.55000000000000004</v>
      </c>
      <c r="H1019" s="171">
        <f t="shared" si="448"/>
        <v>0.55000000000000004</v>
      </c>
      <c r="I1019" s="249">
        <f t="shared" si="444"/>
        <v>75</v>
      </c>
      <c r="J1019" s="170">
        <f t="shared" si="444"/>
        <v>76.717500000000001</v>
      </c>
      <c r="K1019" s="250">
        <v>0.15</v>
      </c>
      <c r="L1019" s="172">
        <f t="shared" ref="L1019:L1082" si="454">K1019</f>
        <v>0.15</v>
      </c>
      <c r="M1019" s="249">
        <f t="shared" ref="M1019:M1082" si="455">U1019*O1019</f>
        <v>150</v>
      </c>
      <c r="N1019" s="170">
        <f t="shared" si="449"/>
        <v>153.435</v>
      </c>
      <c r="O1019" s="250">
        <v>0.3</v>
      </c>
      <c r="P1019" s="172">
        <f t="shared" si="450"/>
        <v>0.3</v>
      </c>
      <c r="Q1019" s="251">
        <f t="shared" si="451"/>
        <v>0</v>
      </c>
      <c r="R1019" s="173">
        <f t="shared" si="452"/>
        <v>0</v>
      </c>
      <c r="S1019" s="252"/>
      <c r="T1019" s="171">
        <f t="shared" si="453"/>
        <v>0</v>
      </c>
      <c r="U1019" s="256">
        <v>500</v>
      </c>
      <c r="V1019" s="170">
        <f t="shared" si="441"/>
        <v>511.45000000000005</v>
      </c>
      <c r="W1019" s="258">
        <v>0.2</v>
      </c>
      <c r="X1019" s="257">
        <f>U1019+U1019*W1019</f>
        <v>600</v>
      </c>
      <c r="Y1019" s="170">
        <f t="shared" si="446"/>
        <v>613.74</v>
      </c>
      <c r="Z1019" s="170">
        <f t="shared" si="440"/>
        <v>615</v>
      </c>
      <c r="AA1019" s="407">
        <f t="shared" si="445"/>
        <v>0</v>
      </c>
      <c r="AB1019" s="194"/>
    </row>
    <row r="1020" spans="1:28" s="278" customFormat="1" x14ac:dyDescent="0.25">
      <c r="A1020" s="200">
        <v>720015</v>
      </c>
      <c r="B1020" s="313" t="s">
        <v>19702</v>
      </c>
      <c r="C1020" s="248"/>
      <c r="D1020" s="247" t="s">
        <v>11</v>
      </c>
      <c r="E1020" s="249">
        <f t="shared" si="443"/>
        <v>183.33315000000002</v>
      </c>
      <c r="F1020" s="170">
        <f t="shared" si="443"/>
        <v>187.53147913500004</v>
      </c>
      <c r="G1020" s="250">
        <v>0.55000000000000004</v>
      </c>
      <c r="H1020" s="171">
        <f t="shared" si="448"/>
        <v>0.55000000000000004</v>
      </c>
      <c r="I1020" s="249">
        <f t="shared" si="444"/>
        <v>49.999950000000005</v>
      </c>
      <c r="J1020" s="170">
        <f t="shared" si="444"/>
        <v>51.144948855000003</v>
      </c>
      <c r="K1020" s="250">
        <v>0.15</v>
      </c>
      <c r="L1020" s="172">
        <f t="shared" si="454"/>
        <v>0.15</v>
      </c>
      <c r="M1020" s="249">
        <f t="shared" si="455"/>
        <v>99.999900000000011</v>
      </c>
      <c r="N1020" s="170">
        <f t="shared" si="449"/>
        <v>102.28989771000001</v>
      </c>
      <c r="O1020" s="250">
        <v>0.3</v>
      </c>
      <c r="P1020" s="172">
        <f t="shared" si="450"/>
        <v>0.3</v>
      </c>
      <c r="Q1020" s="251">
        <f t="shared" si="451"/>
        <v>0</v>
      </c>
      <c r="R1020" s="173">
        <f t="shared" si="452"/>
        <v>0</v>
      </c>
      <c r="S1020" s="252"/>
      <c r="T1020" s="171">
        <f t="shared" si="453"/>
        <v>0</v>
      </c>
      <c r="U1020" s="256">
        <v>333.33300000000003</v>
      </c>
      <c r="V1020" s="170">
        <f t="shared" si="441"/>
        <v>340.96632570000003</v>
      </c>
      <c r="W1020" s="258">
        <v>0.2</v>
      </c>
      <c r="X1020" s="257">
        <v>550</v>
      </c>
      <c r="Y1020" s="170">
        <f t="shared" si="446"/>
        <v>409.15959084000002</v>
      </c>
      <c r="Z1020" s="170">
        <f t="shared" ref="Z1020:Z1083" si="456">IF(Y1020=0, 0, IF(Y1020&lt;10, _xlfn.CEILING.MATH(Y1020,1), IF(Y1020&lt;100, _xlfn.CEILING.MATH(Y1020,1),IF(Y1020&lt;1000, _xlfn.CEILING.MATH(Y1020,5), IF(Y1020&lt;10000, _xlfn.CEILING.MATH(Y1020, 25), IF(Y1020&lt;100000, _xlfn.CEILING.MATH(Y1020,250), IF(Y1020&lt;1000000, _xlfn.CEILING.MATH(Y1020,500), 0)))))))</f>
        <v>410</v>
      </c>
      <c r="AA1020" s="407">
        <f t="shared" si="445"/>
        <v>0</v>
      </c>
      <c r="AB1020" s="194"/>
    </row>
    <row r="1021" spans="1:28" s="278" customFormat="1" x14ac:dyDescent="0.25">
      <c r="A1021" s="200">
        <v>720020</v>
      </c>
      <c r="B1021" s="313" t="s">
        <v>19703</v>
      </c>
      <c r="C1021" s="248"/>
      <c r="D1021" s="247" t="s">
        <v>11</v>
      </c>
      <c r="E1021" s="249">
        <f t="shared" si="443"/>
        <v>229.166685</v>
      </c>
      <c r="F1021" s="170">
        <f t="shared" si="443"/>
        <v>234.41460208650003</v>
      </c>
      <c r="G1021" s="250">
        <v>0.55000000000000004</v>
      </c>
      <c r="H1021" s="171">
        <f t="shared" si="448"/>
        <v>0.55000000000000004</v>
      </c>
      <c r="I1021" s="249">
        <f t="shared" si="444"/>
        <v>62.500004999999994</v>
      </c>
      <c r="J1021" s="170">
        <f t="shared" si="444"/>
        <v>63.931255114499997</v>
      </c>
      <c r="K1021" s="250">
        <v>0.15</v>
      </c>
      <c r="L1021" s="172">
        <f t="shared" si="454"/>
        <v>0.15</v>
      </c>
      <c r="M1021" s="249">
        <f t="shared" si="455"/>
        <v>125.00000999999999</v>
      </c>
      <c r="N1021" s="170">
        <f t="shared" si="449"/>
        <v>127.86251022899999</v>
      </c>
      <c r="O1021" s="250">
        <v>0.3</v>
      </c>
      <c r="P1021" s="172">
        <f t="shared" si="450"/>
        <v>0.3</v>
      </c>
      <c r="Q1021" s="251">
        <f t="shared" si="451"/>
        <v>0</v>
      </c>
      <c r="R1021" s="173">
        <f t="shared" si="452"/>
        <v>0</v>
      </c>
      <c r="S1021" s="252"/>
      <c r="T1021" s="171">
        <f t="shared" si="453"/>
        <v>0</v>
      </c>
      <c r="U1021" s="256">
        <v>416.66669999999999</v>
      </c>
      <c r="V1021" s="170">
        <f t="shared" si="441"/>
        <v>426.20836743000001</v>
      </c>
      <c r="W1021" s="258">
        <v>0.2</v>
      </c>
      <c r="X1021" s="257">
        <f>U1021+U1021*W1021</f>
        <v>500.00004000000001</v>
      </c>
      <c r="Y1021" s="170">
        <f t="shared" si="446"/>
        <v>511.45004091599998</v>
      </c>
      <c r="Z1021" s="170">
        <f t="shared" si="456"/>
        <v>515</v>
      </c>
      <c r="AA1021" s="407">
        <f t="shared" si="445"/>
        <v>0</v>
      </c>
      <c r="AB1021" s="194"/>
    </row>
    <row r="1022" spans="1:28" s="278" customFormat="1" x14ac:dyDescent="0.25">
      <c r="A1022" s="200">
        <v>720020</v>
      </c>
      <c r="B1022" s="313" t="s">
        <v>19704</v>
      </c>
      <c r="C1022" s="248"/>
      <c r="D1022" s="247" t="s">
        <v>11</v>
      </c>
      <c r="E1022" s="249">
        <f t="shared" si="443"/>
        <v>160.416685</v>
      </c>
      <c r="F1022" s="170">
        <f t="shared" si="443"/>
        <v>164.09022708650002</v>
      </c>
      <c r="G1022" s="250">
        <v>0.55000000000000004</v>
      </c>
      <c r="H1022" s="171">
        <f t="shared" si="448"/>
        <v>0.55000000000000004</v>
      </c>
      <c r="I1022" s="249">
        <f t="shared" si="444"/>
        <v>43.750004999999994</v>
      </c>
      <c r="J1022" s="170">
        <f t="shared" si="444"/>
        <v>44.751880114499997</v>
      </c>
      <c r="K1022" s="250">
        <v>0.15</v>
      </c>
      <c r="L1022" s="172">
        <f t="shared" si="454"/>
        <v>0.15</v>
      </c>
      <c r="M1022" s="249">
        <f t="shared" si="455"/>
        <v>87.500009999999989</v>
      </c>
      <c r="N1022" s="170">
        <f t="shared" si="449"/>
        <v>89.503760228999994</v>
      </c>
      <c r="O1022" s="250">
        <v>0.3</v>
      </c>
      <c r="P1022" s="172">
        <f t="shared" si="450"/>
        <v>0.3</v>
      </c>
      <c r="Q1022" s="251">
        <f t="shared" si="451"/>
        <v>0</v>
      </c>
      <c r="R1022" s="173">
        <f t="shared" si="452"/>
        <v>0</v>
      </c>
      <c r="S1022" s="252"/>
      <c r="T1022" s="171">
        <f t="shared" si="453"/>
        <v>0</v>
      </c>
      <c r="U1022" s="256">
        <v>291.66669999999999</v>
      </c>
      <c r="V1022" s="170">
        <f t="shared" si="441"/>
        <v>298.34586743</v>
      </c>
      <c r="W1022" s="258">
        <v>0.2</v>
      </c>
      <c r="X1022" s="257">
        <v>475</v>
      </c>
      <c r="Y1022" s="170">
        <f t="shared" si="446"/>
        <v>358.01504091599998</v>
      </c>
      <c r="Z1022" s="170">
        <f t="shared" si="456"/>
        <v>360</v>
      </c>
      <c r="AA1022" s="407">
        <f t="shared" si="445"/>
        <v>0</v>
      </c>
      <c r="AB1022" s="194"/>
    </row>
    <row r="1023" spans="1:28" s="278" customFormat="1" x14ac:dyDescent="0.25">
      <c r="A1023" s="200">
        <v>720045</v>
      </c>
      <c r="B1023" s="313" t="s">
        <v>19705</v>
      </c>
      <c r="C1023" s="248"/>
      <c r="D1023" s="247" t="s">
        <v>11</v>
      </c>
      <c r="E1023" s="249">
        <f t="shared" si="443"/>
        <v>229.166685</v>
      </c>
      <c r="F1023" s="170">
        <f t="shared" si="443"/>
        <v>234.41460208650003</v>
      </c>
      <c r="G1023" s="250">
        <v>0.55000000000000004</v>
      </c>
      <c r="H1023" s="171">
        <f t="shared" si="448"/>
        <v>0.55000000000000004</v>
      </c>
      <c r="I1023" s="249">
        <f t="shared" si="444"/>
        <v>62.500004999999994</v>
      </c>
      <c r="J1023" s="170">
        <f t="shared" si="444"/>
        <v>63.931255114499997</v>
      </c>
      <c r="K1023" s="250">
        <v>0.15</v>
      </c>
      <c r="L1023" s="172">
        <f t="shared" si="454"/>
        <v>0.15</v>
      </c>
      <c r="M1023" s="249">
        <f t="shared" si="455"/>
        <v>125.00000999999999</v>
      </c>
      <c r="N1023" s="170">
        <f t="shared" si="449"/>
        <v>127.86251022899999</v>
      </c>
      <c r="O1023" s="250">
        <v>0.3</v>
      </c>
      <c r="P1023" s="172">
        <f t="shared" si="450"/>
        <v>0.3</v>
      </c>
      <c r="Q1023" s="251">
        <f t="shared" si="451"/>
        <v>0</v>
      </c>
      <c r="R1023" s="173">
        <f t="shared" si="452"/>
        <v>0</v>
      </c>
      <c r="S1023" s="252"/>
      <c r="T1023" s="171">
        <f t="shared" si="453"/>
        <v>0</v>
      </c>
      <c r="U1023" s="256">
        <v>416.66669999999999</v>
      </c>
      <c r="V1023" s="170">
        <f t="shared" si="441"/>
        <v>426.20836743000001</v>
      </c>
      <c r="W1023" s="258">
        <v>0.2</v>
      </c>
      <c r="X1023" s="257">
        <f t="shared" ref="X1023:X1035" si="457">U1023+U1023*W1023</f>
        <v>500.00004000000001</v>
      </c>
      <c r="Y1023" s="170">
        <f t="shared" si="446"/>
        <v>511.45004091599998</v>
      </c>
      <c r="Z1023" s="170">
        <f t="shared" si="456"/>
        <v>515</v>
      </c>
      <c r="AA1023" s="407">
        <f t="shared" si="445"/>
        <v>0</v>
      </c>
      <c r="AB1023" s="194"/>
    </row>
    <row r="1024" spans="1:28" s="278" customFormat="1" x14ac:dyDescent="0.25">
      <c r="A1024" s="200">
        <v>720045</v>
      </c>
      <c r="B1024" s="313" t="s">
        <v>19706</v>
      </c>
      <c r="C1024" s="248"/>
      <c r="D1024" s="247" t="s">
        <v>11</v>
      </c>
      <c r="E1024" s="249">
        <f t="shared" si="443"/>
        <v>183.33315000000002</v>
      </c>
      <c r="F1024" s="170">
        <f t="shared" si="443"/>
        <v>187.53147913500004</v>
      </c>
      <c r="G1024" s="250">
        <v>0.55000000000000004</v>
      </c>
      <c r="H1024" s="171">
        <f t="shared" si="448"/>
        <v>0.55000000000000004</v>
      </c>
      <c r="I1024" s="249">
        <f t="shared" si="444"/>
        <v>49.999950000000005</v>
      </c>
      <c r="J1024" s="170">
        <f t="shared" si="444"/>
        <v>51.144948855000003</v>
      </c>
      <c r="K1024" s="250">
        <v>0.15</v>
      </c>
      <c r="L1024" s="172">
        <f t="shared" si="454"/>
        <v>0.15</v>
      </c>
      <c r="M1024" s="249">
        <f t="shared" si="455"/>
        <v>99.999900000000011</v>
      </c>
      <c r="N1024" s="170">
        <f t="shared" si="449"/>
        <v>102.28989771000001</v>
      </c>
      <c r="O1024" s="250">
        <v>0.3</v>
      </c>
      <c r="P1024" s="172">
        <f t="shared" si="450"/>
        <v>0.3</v>
      </c>
      <c r="Q1024" s="251">
        <f t="shared" si="451"/>
        <v>0</v>
      </c>
      <c r="R1024" s="173">
        <f t="shared" si="452"/>
        <v>0</v>
      </c>
      <c r="S1024" s="252"/>
      <c r="T1024" s="171">
        <f t="shared" si="453"/>
        <v>0</v>
      </c>
      <c r="U1024" s="256">
        <v>333.33300000000003</v>
      </c>
      <c r="V1024" s="170">
        <f t="shared" ref="V1024:V1087" si="458">SUM(E1024*1.0235,I1024*1.0175,M1024*1.0245,Q1024*1.0115)</f>
        <v>340.96632570000003</v>
      </c>
      <c r="W1024" s="258">
        <v>0.2</v>
      </c>
      <c r="X1024" s="257">
        <f t="shared" si="457"/>
        <v>399.99960000000004</v>
      </c>
      <c r="Y1024" s="170">
        <f t="shared" si="446"/>
        <v>409.15959084000002</v>
      </c>
      <c r="Z1024" s="170">
        <f t="shared" si="456"/>
        <v>410</v>
      </c>
      <c r="AA1024" s="407">
        <f t="shared" si="445"/>
        <v>0</v>
      </c>
      <c r="AB1024" s="194"/>
    </row>
    <row r="1025" spans="1:28" s="278" customFormat="1" x14ac:dyDescent="0.25">
      <c r="A1025" s="200">
        <v>720230</v>
      </c>
      <c r="B1025" s="313" t="s">
        <v>19707</v>
      </c>
      <c r="C1025" s="248"/>
      <c r="D1025" s="247" t="s">
        <v>11</v>
      </c>
      <c r="E1025" s="249">
        <f t="shared" si="443"/>
        <v>291.66649999999998</v>
      </c>
      <c r="F1025" s="170">
        <f t="shared" si="443"/>
        <v>298.17066294999995</v>
      </c>
      <c r="G1025" s="250">
        <v>0.5</v>
      </c>
      <c r="H1025" s="171">
        <f t="shared" si="448"/>
        <v>0.5</v>
      </c>
      <c r="I1025" s="249">
        <f t="shared" si="444"/>
        <v>87.499949999999998</v>
      </c>
      <c r="J1025" s="170">
        <f t="shared" si="444"/>
        <v>89.451198884999982</v>
      </c>
      <c r="K1025" s="250">
        <v>0.15</v>
      </c>
      <c r="L1025" s="172">
        <f t="shared" si="454"/>
        <v>0.15</v>
      </c>
      <c r="M1025" s="249">
        <f t="shared" si="455"/>
        <v>174.9999</v>
      </c>
      <c r="N1025" s="170">
        <f t="shared" si="449"/>
        <v>178.90239776999996</v>
      </c>
      <c r="O1025" s="250">
        <v>0.3</v>
      </c>
      <c r="P1025" s="172">
        <f t="shared" si="450"/>
        <v>0.3</v>
      </c>
      <c r="Q1025" s="251">
        <f t="shared" si="451"/>
        <v>29.166650000000001</v>
      </c>
      <c r="R1025" s="173">
        <f t="shared" si="452"/>
        <v>29.817066294999997</v>
      </c>
      <c r="S1025" s="252">
        <v>0.05</v>
      </c>
      <c r="T1025" s="171">
        <f t="shared" si="453"/>
        <v>0.05</v>
      </c>
      <c r="U1025" s="256">
        <v>583.33299999999997</v>
      </c>
      <c r="V1025" s="170">
        <f t="shared" si="458"/>
        <v>596.3413258999999</v>
      </c>
      <c r="W1025" s="258">
        <v>0.2</v>
      </c>
      <c r="X1025" s="257">
        <f t="shared" si="457"/>
        <v>699.99959999999999</v>
      </c>
      <c r="Y1025" s="170">
        <f t="shared" si="446"/>
        <v>715.60959107999986</v>
      </c>
      <c r="Z1025" s="170">
        <f t="shared" si="456"/>
        <v>720</v>
      </c>
      <c r="AA1025" s="407">
        <f t="shared" si="445"/>
        <v>0</v>
      </c>
      <c r="AB1025" s="194"/>
    </row>
    <row r="1026" spans="1:28" s="278" customFormat="1" x14ac:dyDescent="0.25">
      <c r="A1026" s="200">
        <v>720230</v>
      </c>
      <c r="B1026" s="313" t="s">
        <v>19708</v>
      </c>
      <c r="C1026" s="248"/>
      <c r="D1026" s="247" t="s">
        <v>11</v>
      </c>
      <c r="E1026" s="249">
        <f t="shared" si="443"/>
        <v>208.33335</v>
      </c>
      <c r="F1026" s="170">
        <f t="shared" si="443"/>
        <v>212.979183705</v>
      </c>
      <c r="G1026" s="250">
        <v>0.5</v>
      </c>
      <c r="H1026" s="171">
        <f t="shared" si="448"/>
        <v>0.5</v>
      </c>
      <c r="I1026" s="249">
        <f t="shared" si="444"/>
        <v>62.500004999999994</v>
      </c>
      <c r="J1026" s="170">
        <f t="shared" si="444"/>
        <v>63.893755111499999</v>
      </c>
      <c r="K1026" s="250">
        <v>0.15</v>
      </c>
      <c r="L1026" s="172">
        <f t="shared" si="454"/>
        <v>0.15</v>
      </c>
      <c r="M1026" s="249">
        <f t="shared" si="455"/>
        <v>125.00000999999999</v>
      </c>
      <c r="N1026" s="170">
        <f t="shared" si="449"/>
        <v>127.787510223</v>
      </c>
      <c r="O1026" s="250">
        <v>0.3</v>
      </c>
      <c r="P1026" s="172">
        <f t="shared" si="450"/>
        <v>0.3</v>
      </c>
      <c r="Q1026" s="251">
        <f t="shared" si="451"/>
        <v>20.833335000000002</v>
      </c>
      <c r="R1026" s="173">
        <f t="shared" si="452"/>
        <v>21.2979183705</v>
      </c>
      <c r="S1026" s="252">
        <v>0.05</v>
      </c>
      <c r="T1026" s="171">
        <f t="shared" si="453"/>
        <v>0.05</v>
      </c>
      <c r="U1026" s="256">
        <v>416.66669999999999</v>
      </c>
      <c r="V1026" s="170">
        <f t="shared" si="458"/>
        <v>425.95836740999999</v>
      </c>
      <c r="W1026" s="258">
        <v>0.2</v>
      </c>
      <c r="X1026" s="257">
        <f t="shared" si="457"/>
        <v>500.00004000000001</v>
      </c>
      <c r="Y1026" s="170">
        <f t="shared" si="446"/>
        <v>511.15004089199999</v>
      </c>
      <c r="Z1026" s="170">
        <f t="shared" si="456"/>
        <v>515</v>
      </c>
      <c r="AA1026" s="407">
        <f t="shared" si="445"/>
        <v>0</v>
      </c>
      <c r="AB1026" s="194"/>
    </row>
    <row r="1027" spans="1:28" s="278" customFormat="1" x14ac:dyDescent="0.25">
      <c r="A1027" s="200">
        <v>720235</v>
      </c>
      <c r="B1027" s="313" t="s">
        <v>19709</v>
      </c>
      <c r="C1027" s="248"/>
      <c r="D1027" s="247" t="s">
        <v>11</v>
      </c>
      <c r="E1027" s="249">
        <f t="shared" si="443"/>
        <v>266.66667999999999</v>
      </c>
      <c r="F1027" s="170">
        <f t="shared" si="443"/>
        <v>272.17334694200002</v>
      </c>
      <c r="G1027" s="250">
        <v>0.4</v>
      </c>
      <c r="H1027" s="171">
        <f t="shared" si="448"/>
        <v>0.4</v>
      </c>
      <c r="I1027" s="249">
        <f t="shared" si="444"/>
        <v>266.66667999999999</v>
      </c>
      <c r="J1027" s="170">
        <f t="shared" si="444"/>
        <v>272.17334694200002</v>
      </c>
      <c r="K1027" s="250">
        <v>0.4</v>
      </c>
      <c r="L1027" s="172">
        <f t="shared" si="454"/>
        <v>0.4</v>
      </c>
      <c r="M1027" s="249">
        <f t="shared" si="455"/>
        <v>100.000005</v>
      </c>
      <c r="N1027" s="170">
        <f t="shared" si="449"/>
        <v>102.06500510325002</v>
      </c>
      <c r="O1027" s="250">
        <v>0.15</v>
      </c>
      <c r="P1027" s="172">
        <f t="shared" si="450"/>
        <v>0.15</v>
      </c>
      <c r="Q1027" s="251">
        <f t="shared" si="451"/>
        <v>33.333334999999998</v>
      </c>
      <c r="R1027" s="173">
        <f t="shared" si="452"/>
        <v>34.021668367750003</v>
      </c>
      <c r="S1027" s="252">
        <v>0.05</v>
      </c>
      <c r="T1027" s="171">
        <f t="shared" si="453"/>
        <v>0.05</v>
      </c>
      <c r="U1027" s="256">
        <v>666.66669999999999</v>
      </c>
      <c r="V1027" s="170">
        <f t="shared" si="458"/>
        <v>680.43336735500009</v>
      </c>
      <c r="W1027" s="258">
        <v>0.2</v>
      </c>
      <c r="X1027" s="257">
        <f t="shared" si="457"/>
        <v>800.00004000000001</v>
      </c>
      <c r="Y1027" s="170">
        <f t="shared" si="446"/>
        <v>816.52004082600013</v>
      </c>
      <c r="Z1027" s="170">
        <f t="shared" si="456"/>
        <v>820</v>
      </c>
      <c r="AA1027" s="407">
        <f t="shared" si="445"/>
        <v>0</v>
      </c>
      <c r="AB1027" s="194"/>
    </row>
    <row r="1028" spans="1:28" s="278" customFormat="1" x14ac:dyDescent="0.25">
      <c r="A1028" s="200">
        <v>720235</v>
      </c>
      <c r="B1028" s="313" t="s">
        <v>19710</v>
      </c>
      <c r="C1028" s="248"/>
      <c r="D1028" s="247" t="s">
        <v>11</v>
      </c>
      <c r="E1028" s="249">
        <f t="shared" si="443"/>
        <v>200</v>
      </c>
      <c r="F1028" s="170">
        <f t="shared" si="443"/>
        <v>204.13000000000002</v>
      </c>
      <c r="G1028" s="250">
        <v>0.4</v>
      </c>
      <c r="H1028" s="171">
        <f t="shared" si="448"/>
        <v>0.4</v>
      </c>
      <c r="I1028" s="249">
        <f t="shared" si="444"/>
        <v>200</v>
      </c>
      <c r="J1028" s="170">
        <f t="shared" si="444"/>
        <v>204.13000000000002</v>
      </c>
      <c r="K1028" s="250">
        <v>0.4</v>
      </c>
      <c r="L1028" s="172">
        <f t="shared" si="454"/>
        <v>0.4</v>
      </c>
      <c r="M1028" s="249">
        <f t="shared" si="455"/>
        <v>75</v>
      </c>
      <c r="N1028" s="170">
        <f t="shared" si="449"/>
        <v>76.548749999999998</v>
      </c>
      <c r="O1028" s="250">
        <v>0.15</v>
      </c>
      <c r="P1028" s="172">
        <f t="shared" si="450"/>
        <v>0.15</v>
      </c>
      <c r="Q1028" s="251">
        <f t="shared" si="451"/>
        <v>25</v>
      </c>
      <c r="R1028" s="173">
        <f t="shared" si="452"/>
        <v>25.516250000000003</v>
      </c>
      <c r="S1028" s="252">
        <v>0.05</v>
      </c>
      <c r="T1028" s="171">
        <f t="shared" si="453"/>
        <v>0.05</v>
      </c>
      <c r="U1028" s="256">
        <v>500</v>
      </c>
      <c r="V1028" s="170">
        <f t="shared" si="458"/>
        <v>510.32500000000005</v>
      </c>
      <c r="W1028" s="258">
        <v>0.2</v>
      </c>
      <c r="X1028" s="257">
        <f t="shared" si="457"/>
        <v>600</v>
      </c>
      <c r="Y1028" s="170">
        <f t="shared" si="446"/>
        <v>612.39</v>
      </c>
      <c r="Z1028" s="170">
        <f t="shared" si="456"/>
        <v>615</v>
      </c>
      <c r="AA1028" s="407">
        <f t="shared" si="445"/>
        <v>0</v>
      </c>
      <c r="AB1028" s="194"/>
    </row>
    <row r="1029" spans="1:28" s="278" customFormat="1" x14ac:dyDescent="0.25">
      <c r="A1029" s="200">
        <v>720265</v>
      </c>
      <c r="B1029" s="313" t="s">
        <v>19711</v>
      </c>
      <c r="C1029" s="248"/>
      <c r="D1029" s="247" t="s">
        <v>11</v>
      </c>
      <c r="E1029" s="249">
        <f t="shared" si="443"/>
        <v>233.33320000000001</v>
      </c>
      <c r="F1029" s="170">
        <f t="shared" si="443"/>
        <v>238.15153058000001</v>
      </c>
      <c r="G1029" s="250">
        <v>0.4</v>
      </c>
      <c r="H1029" s="171">
        <f t="shared" si="448"/>
        <v>0.4</v>
      </c>
      <c r="I1029" s="249">
        <f t="shared" si="444"/>
        <v>233.33320000000001</v>
      </c>
      <c r="J1029" s="170">
        <f t="shared" si="444"/>
        <v>238.15153058000001</v>
      </c>
      <c r="K1029" s="250">
        <v>0.4</v>
      </c>
      <c r="L1029" s="172">
        <f t="shared" si="454"/>
        <v>0.4</v>
      </c>
      <c r="M1029" s="249">
        <f t="shared" si="455"/>
        <v>87.499949999999998</v>
      </c>
      <c r="N1029" s="170">
        <f t="shared" si="449"/>
        <v>89.306823967499994</v>
      </c>
      <c r="O1029" s="250">
        <v>0.15</v>
      </c>
      <c r="P1029" s="172">
        <f t="shared" si="450"/>
        <v>0.15</v>
      </c>
      <c r="Q1029" s="251">
        <f t="shared" si="451"/>
        <v>29.166650000000001</v>
      </c>
      <c r="R1029" s="173">
        <f t="shared" si="452"/>
        <v>29.768941322500002</v>
      </c>
      <c r="S1029" s="250">
        <v>0.05</v>
      </c>
      <c r="T1029" s="171">
        <f t="shared" si="453"/>
        <v>0.05</v>
      </c>
      <c r="U1029" s="256">
        <v>583.33299999999997</v>
      </c>
      <c r="V1029" s="170">
        <f t="shared" si="458"/>
        <v>595.37882645000002</v>
      </c>
      <c r="W1029" s="258">
        <v>0.2</v>
      </c>
      <c r="X1029" s="257">
        <f t="shared" si="457"/>
        <v>699.99959999999999</v>
      </c>
      <c r="Y1029" s="170">
        <f t="shared" si="446"/>
        <v>714.45459173999996</v>
      </c>
      <c r="Z1029" s="170">
        <f t="shared" si="456"/>
        <v>715</v>
      </c>
      <c r="AA1029" s="407">
        <f t="shared" si="445"/>
        <v>0</v>
      </c>
      <c r="AB1029" s="194"/>
    </row>
    <row r="1030" spans="1:28" s="278" customFormat="1" x14ac:dyDescent="0.25">
      <c r="A1030" s="200">
        <v>720265</v>
      </c>
      <c r="B1030" s="313" t="s">
        <v>19712</v>
      </c>
      <c r="C1030" s="248"/>
      <c r="D1030" s="247" t="s">
        <v>11</v>
      </c>
      <c r="E1030" s="249">
        <f t="shared" si="443"/>
        <v>183.33320000000003</v>
      </c>
      <c r="F1030" s="170">
        <f t="shared" si="443"/>
        <v>187.11903058000007</v>
      </c>
      <c r="G1030" s="250">
        <v>0.4</v>
      </c>
      <c r="H1030" s="171">
        <f t="shared" si="448"/>
        <v>0.4</v>
      </c>
      <c r="I1030" s="249">
        <f t="shared" si="444"/>
        <v>183.33320000000003</v>
      </c>
      <c r="J1030" s="170">
        <f t="shared" si="444"/>
        <v>187.11903058000007</v>
      </c>
      <c r="K1030" s="250">
        <v>0.4</v>
      </c>
      <c r="L1030" s="172">
        <f t="shared" si="454"/>
        <v>0.4</v>
      </c>
      <c r="M1030" s="249">
        <f t="shared" si="455"/>
        <v>68.749949999999998</v>
      </c>
      <c r="N1030" s="170">
        <f t="shared" si="449"/>
        <v>70.169636467500013</v>
      </c>
      <c r="O1030" s="250">
        <v>0.15</v>
      </c>
      <c r="P1030" s="172">
        <f t="shared" si="450"/>
        <v>0.15</v>
      </c>
      <c r="Q1030" s="251">
        <f t="shared" si="451"/>
        <v>22.916650000000004</v>
      </c>
      <c r="R1030" s="173">
        <f t="shared" si="452"/>
        <v>23.389878822500009</v>
      </c>
      <c r="S1030" s="250">
        <v>0.05</v>
      </c>
      <c r="T1030" s="171">
        <f t="shared" si="453"/>
        <v>0.05</v>
      </c>
      <c r="U1030" s="256">
        <v>458.33300000000003</v>
      </c>
      <c r="V1030" s="170">
        <f t="shared" si="458"/>
        <v>467.79757645000012</v>
      </c>
      <c r="W1030" s="258">
        <v>0.2</v>
      </c>
      <c r="X1030" s="257">
        <f t="shared" si="457"/>
        <v>549.9996000000001</v>
      </c>
      <c r="Y1030" s="170">
        <f t="shared" si="446"/>
        <v>561.3570917400001</v>
      </c>
      <c r="Z1030" s="170">
        <f t="shared" si="456"/>
        <v>565</v>
      </c>
      <c r="AA1030" s="407">
        <f t="shared" si="445"/>
        <v>0</v>
      </c>
      <c r="AB1030" s="194"/>
    </row>
    <row r="1031" spans="1:28" s="278" customFormat="1" x14ac:dyDescent="0.25">
      <c r="A1031" s="200">
        <v>720300</v>
      </c>
      <c r="B1031" s="313" t="s">
        <v>19713</v>
      </c>
      <c r="C1031" s="248"/>
      <c r="D1031" s="247" t="s">
        <v>11</v>
      </c>
      <c r="E1031" s="249">
        <f t="shared" si="443"/>
        <v>266.66667999999999</v>
      </c>
      <c r="F1031" s="170">
        <f t="shared" si="443"/>
        <v>272.17334694200002</v>
      </c>
      <c r="G1031" s="250">
        <v>0.4</v>
      </c>
      <c r="H1031" s="171">
        <f t="shared" si="448"/>
        <v>0.4</v>
      </c>
      <c r="I1031" s="249">
        <f t="shared" si="444"/>
        <v>266.66667999999999</v>
      </c>
      <c r="J1031" s="170">
        <f t="shared" si="444"/>
        <v>272.17334694200002</v>
      </c>
      <c r="K1031" s="250">
        <v>0.4</v>
      </c>
      <c r="L1031" s="172">
        <f t="shared" si="454"/>
        <v>0.4</v>
      </c>
      <c r="M1031" s="249">
        <f t="shared" si="455"/>
        <v>100.000005</v>
      </c>
      <c r="N1031" s="170">
        <f t="shared" si="449"/>
        <v>102.06500510325002</v>
      </c>
      <c r="O1031" s="250">
        <v>0.15</v>
      </c>
      <c r="P1031" s="172">
        <f t="shared" si="450"/>
        <v>0.15</v>
      </c>
      <c r="Q1031" s="251">
        <f t="shared" si="451"/>
        <v>33.333334999999998</v>
      </c>
      <c r="R1031" s="173">
        <f t="shared" si="452"/>
        <v>34.021668367750003</v>
      </c>
      <c r="S1031" s="250">
        <v>0.05</v>
      </c>
      <c r="T1031" s="171">
        <f t="shared" si="453"/>
        <v>0.05</v>
      </c>
      <c r="U1031" s="256">
        <v>666.66669999999999</v>
      </c>
      <c r="V1031" s="170">
        <f t="shared" si="458"/>
        <v>680.43336735500009</v>
      </c>
      <c r="W1031" s="258">
        <v>0.2</v>
      </c>
      <c r="X1031" s="257">
        <f t="shared" si="457"/>
        <v>800.00004000000001</v>
      </c>
      <c r="Y1031" s="170">
        <f t="shared" si="446"/>
        <v>816.52004082600013</v>
      </c>
      <c r="Z1031" s="170">
        <f t="shared" si="456"/>
        <v>820</v>
      </c>
      <c r="AA1031" s="407">
        <f t="shared" si="445"/>
        <v>0</v>
      </c>
      <c r="AB1031" s="194"/>
    </row>
    <row r="1032" spans="1:28" s="278" customFormat="1" x14ac:dyDescent="0.25">
      <c r="A1032" s="200">
        <v>720300</v>
      </c>
      <c r="B1032" s="313" t="s">
        <v>19714</v>
      </c>
      <c r="C1032" s="248"/>
      <c r="D1032" s="247" t="s">
        <v>11</v>
      </c>
      <c r="E1032" s="249">
        <f t="shared" si="443"/>
        <v>216.66668000000001</v>
      </c>
      <c r="F1032" s="170">
        <f t="shared" si="443"/>
        <v>221.14084694200002</v>
      </c>
      <c r="G1032" s="250">
        <v>0.4</v>
      </c>
      <c r="H1032" s="171">
        <f t="shared" si="448"/>
        <v>0.4</v>
      </c>
      <c r="I1032" s="249">
        <f t="shared" si="444"/>
        <v>216.66668000000001</v>
      </c>
      <c r="J1032" s="170">
        <f t="shared" si="444"/>
        <v>221.14084694200002</v>
      </c>
      <c r="K1032" s="250">
        <v>0.4</v>
      </c>
      <c r="L1032" s="172">
        <f t="shared" si="454"/>
        <v>0.4</v>
      </c>
      <c r="M1032" s="249">
        <f t="shared" si="455"/>
        <v>81.250005000000002</v>
      </c>
      <c r="N1032" s="170">
        <f t="shared" si="449"/>
        <v>82.927817603250006</v>
      </c>
      <c r="O1032" s="250">
        <v>0.15</v>
      </c>
      <c r="P1032" s="172">
        <f t="shared" si="450"/>
        <v>0.15</v>
      </c>
      <c r="Q1032" s="251">
        <f t="shared" si="451"/>
        <v>27.083335000000002</v>
      </c>
      <c r="R1032" s="173">
        <f t="shared" si="452"/>
        <v>27.642605867750003</v>
      </c>
      <c r="S1032" s="250">
        <v>0.05</v>
      </c>
      <c r="T1032" s="171">
        <f t="shared" si="453"/>
        <v>0.05</v>
      </c>
      <c r="U1032" s="256">
        <v>541.66669999999999</v>
      </c>
      <c r="V1032" s="170">
        <f t="shared" si="458"/>
        <v>552.85211735500002</v>
      </c>
      <c r="W1032" s="258">
        <v>0.2</v>
      </c>
      <c r="X1032" s="257">
        <f t="shared" si="457"/>
        <v>650.00004000000001</v>
      </c>
      <c r="Y1032" s="170">
        <f t="shared" si="446"/>
        <v>663.42254082600004</v>
      </c>
      <c r="Z1032" s="170">
        <f t="shared" si="456"/>
        <v>665</v>
      </c>
      <c r="AA1032" s="407">
        <f t="shared" si="445"/>
        <v>0</v>
      </c>
      <c r="AB1032" s="194"/>
    </row>
    <row r="1033" spans="1:28" s="278" customFormat="1" x14ac:dyDescent="0.25">
      <c r="A1033" s="200">
        <v>720310</v>
      </c>
      <c r="B1033" s="313" t="s">
        <v>14733</v>
      </c>
      <c r="C1033" s="248"/>
      <c r="D1033" s="247" t="s">
        <v>11</v>
      </c>
      <c r="E1033" s="249">
        <f t="shared" si="443"/>
        <v>0</v>
      </c>
      <c r="F1033" s="170">
        <f t="shared" si="443"/>
        <v>0</v>
      </c>
      <c r="G1033" s="252"/>
      <c r="H1033" s="171">
        <f t="shared" si="448"/>
        <v>0</v>
      </c>
      <c r="I1033" s="249">
        <f t="shared" si="444"/>
        <v>283.33305000000001</v>
      </c>
      <c r="J1033" s="170">
        <f t="shared" si="444"/>
        <v>288.03637863</v>
      </c>
      <c r="K1033" s="250">
        <v>0.85</v>
      </c>
      <c r="L1033" s="172">
        <f t="shared" si="454"/>
        <v>0.85</v>
      </c>
      <c r="M1033" s="249">
        <f t="shared" si="455"/>
        <v>0</v>
      </c>
      <c r="N1033" s="170">
        <f t="shared" si="449"/>
        <v>0</v>
      </c>
      <c r="O1033" s="252"/>
      <c r="P1033" s="172">
        <f t="shared" si="450"/>
        <v>0</v>
      </c>
      <c r="Q1033" s="251">
        <f t="shared" si="451"/>
        <v>49.999950000000005</v>
      </c>
      <c r="R1033" s="173">
        <f t="shared" si="452"/>
        <v>50.829949169999999</v>
      </c>
      <c r="S1033" s="250">
        <v>0.15</v>
      </c>
      <c r="T1033" s="171">
        <f t="shared" si="453"/>
        <v>0.15</v>
      </c>
      <c r="U1033" s="256">
        <v>333.33300000000003</v>
      </c>
      <c r="V1033" s="170">
        <f t="shared" si="458"/>
        <v>338.86632780000002</v>
      </c>
      <c r="W1033" s="258">
        <v>0.2</v>
      </c>
      <c r="X1033" s="257">
        <f t="shared" si="457"/>
        <v>399.99960000000004</v>
      </c>
      <c r="Y1033" s="170">
        <f t="shared" si="446"/>
        <v>406.63959335999999</v>
      </c>
      <c r="Z1033" s="170">
        <f t="shared" si="456"/>
        <v>410</v>
      </c>
      <c r="AA1033" s="407">
        <f t="shared" si="445"/>
        <v>0</v>
      </c>
      <c r="AB1033" s="194"/>
    </row>
    <row r="1034" spans="1:28" s="278" customFormat="1" x14ac:dyDescent="0.25">
      <c r="A1034" s="200">
        <v>720320</v>
      </c>
      <c r="B1034" s="313" t="s">
        <v>19715</v>
      </c>
      <c r="C1034" s="248"/>
      <c r="D1034" s="247" t="s">
        <v>11</v>
      </c>
      <c r="E1034" s="249">
        <f t="shared" si="443"/>
        <v>247.91666950000001</v>
      </c>
      <c r="F1034" s="170">
        <f t="shared" si="443"/>
        <v>253.77989873367503</v>
      </c>
      <c r="G1034" s="250">
        <v>0.85</v>
      </c>
      <c r="H1034" s="171">
        <f t="shared" si="448"/>
        <v>0.85</v>
      </c>
      <c r="I1034" s="249">
        <f t="shared" si="444"/>
        <v>0</v>
      </c>
      <c r="J1034" s="170">
        <f t="shared" si="444"/>
        <v>0</v>
      </c>
      <c r="K1034" s="252"/>
      <c r="L1034" s="172">
        <f t="shared" si="454"/>
        <v>0</v>
      </c>
      <c r="M1034" s="249">
        <f t="shared" si="455"/>
        <v>43.750000499999999</v>
      </c>
      <c r="N1034" s="170">
        <f t="shared" si="449"/>
        <v>44.784688011825004</v>
      </c>
      <c r="O1034" s="250">
        <v>0.15</v>
      </c>
      <c r="P1034" s="172">
        <f t="shared" si="450"/>
        <v>0.15</v>
      </c>
      <c r="Q1034" s="251">
        <f t="shared" si="451"/>
        <v>0</v>
      </c>
      <c r="R1034" s="173">
        <f t="shared" si="452"/>
        <v>0</v>
      </c>
      <c r="S1034" s="252"/>
      <c r="T1034" s="171">
        <f t="shared" si="453"/>
        <v>0</v>
      </c>
      <c r="U1034" s="256">
        <v>291.66667000000001</v>
      </c>
      <c r="V1034" s="170">
        <f t="shared" si="458"/>
        <v>298.56458674550004</v>
      </c>
      <c r="W1034" s="258">
        <v>0.2</v>
      </c>
      <c r="X1034" s="257">
        <f t="shared" si="457"/>
        <v>350.00000399999999</v>
      </c>
      <c r="Y1034" s="170">
        <f t="shared" si="446"/>
        <v>358.27750409460003</v>
      </c>
      <c r="Z1034" s="170">
        <f t="shared" si="456"/>
        <v>360</v>
      </c>
      <c r="AA1034" s="407">
        <f t="shared" si="445"/>
        <v>0</v>
      </c>
      <c r="AB1034" s="194"/>
    </row>
    <row r="1035" spans="1:28" s="278" customFormat="1" x14ac:dyDescent="0.25">
      <c r="A1035" s="200">
        <v>720320</v>
      </c>
      <c r="B1035" s="313" t="s">
        <v>19716</v>
      </c>
      <c r="C1035" s="248"/>
      <c r="D1035" s="247" t="s">
        <v>11</v>
      </c>
      <c r="E1035" s="249">
        <f t="shared" si="443"/>
        <v>177.08304999999999</v>
      </c>
      <c r="F1035" s="170">
        <f t="shared" si="443"/>
        <v>181.27106413250002</v>
      </c>
      <c r="G1035" s="250">
        <v>0.85</v>
      </c>
      <c r="H1035" s="171">
        <f t="shared" si="448"/>
        <v>0.85</v>
      </c>
      <c r="I1035" s="249">
        <f t="shared" si="444"/>
        <v>0</v>
      </c>
      <c r="J1035" s="170">
        <f t="shared" si="444"/>
        <v>0</v>
      </c>
      <c r="K1035" s="252"/>
      <c r="L1035" s="172">
        <f t="shared" si="454"/>
        <v>0</v>
      </c>
      <c r="M1035" s="249">
        <f t="shared" si="455"/>
        <v>31.249949999999998</v>
      </c>
      <c r="N1035" s="170">
        <f t="shared" si="449"/>
        <v>31.989011317500001</v>
      </c>
      <c r="O1035" s="250">
        <v>0.15</v>
      </c>
      <c r="P1035" s="172">
        <f t="shared" si="450"/>
        <v>0.15</v>
      </c>
      <c r="Q1035" s="251">
        <f t="shared" si="451"/>
        <v>0</v>
      </c>
      <c r="R1035" s="173">
        <f t="shared" si="452"/>
        <v>0</v>
      </c>
      <c r="S1035" s="252"/>
      <c r="T1035" s="171">
        <f t="shared" si="453"/>
        <v>0</v>
      </c>
      <c r="U1035" s="256">
        <v>208.333</v>
      </c>
      <c r="V1035" s="170">
        <f t="shared" si="458"/>
        <v>213.26007545000002</v>
      </c>
      <c r="W1035" s="258">
        <v>0.2</v>
      </c>
      <c r="X1035" s="257">
        <f t="shared" si="457"/>
        <v>249.99959999999999</v>
      </c>
      <c r="Y1035" s="170">
        <f t="shared" si="446"/>
        <v>255.91209054000001</v>
      </c>
      <c r="Z1035" s="170">
        <f t="shared" si="456"/>
        <v>260</v>
      </c>
      <c r="AA1035" s="407">
        <f t="shared" si="445"/>
        <v>0</v>
      </c>
      <c r="AB1035" s="194"/>
    </row>
    <row r="1036" spans="1:28" s="278" customFormat="1" x14ac:dyDescent="0.25">
      <c r="A1036" s="195" t="s">
        <v>14734</v>
      </c>
      <c r="B1036" s="317" t="s">
        <v>14735</v>
      </c>
      <c r="C1036" s="241"/>
      <c r="D1036" s="242"/>
      <c r="E1036" s="243"/>
      <c r="F1036" s="244"/>
      <c r="G1036" s="245"/>
      <c r="H1036" s="246"/>
      <c r="I1036" s="243"/>
      <c r="J1036" s="244"/>
      <c r="K1036" s="245"/>
      <c r="L1036" s="246"/>
      <c r="M1036" s="243"/>
      <c r="N1036" s="244"/>
      <c r="O1036" s="245"/>
      <c r="P1036" s="246"/>
      <c r="Q1036" s="243"/>
      <c r="R1036" s="244"/>
      <c r="S1036" s="245"/>
      <c r="T1036" s="246"/>
      <c r="U1036" s="246"/>
      <c r="V1036" s="246"/>
      <c r="W1036" s="246"/>
      <c r="X1036" s="246"/>
      <c r="Y1036" s="244"/>
      <c r="Z1036" s="244"/>
      <c r="AA1036" s="406"/>
      <c r="AB1036" s="194"/>
    </row>
    <row r="1037" spans="1:28" s="278" customFormat="1" x14ac:dyDescent="0.25">
      <c r="A1037" s="200">
        <v>721000</v>
      </c>
      <c r="B1037" s="313" t="s">
        <v>19717</v>
      </c>
      <c r="C1037" s="248"/>
      <c r="D1037" s="247" t="s">
        <v>4</v>
      </c>
      <c r="E1037" s="249">
        <f t="shared" si="443"/>
        <v>56250</v>
      </c>
      <c r="F1037" s="170">
        <f t="shared" si="443"/>
        <v>60408.28125</v>
      </c>
      <c r="G1037" s="250">
        <v>0.75</v>
      </c>
      <c r="H1037" s="171">
        <f t="shared" si="448"/>
        <v>0.75</v>
      </c>
      <c r="I1037" s="249">
        <f t="shared" si="444"/>
        <v>11250</v>
      </c>
      <c r="J1037" s="170">
        <f t="shared" si="444"/>
        <v>12081.65625</v>
      </c>
      <c r="K1037" s="250">
        <v>0.15</v>
      </c>
      <c r="L1037" s="172">
        <f t="shared" si="454"/>
        <v>0.15</v>
      </c>
      <c r="M1037" s="249">
        <f t="shared" si="455"/>
        <v>11250</v>
      </c>
      <c r="N1037" s="170">
        <f t="shared" si="449"/>
        <v>12081.65625</v>
      </c>
      <c r="O1037" s="250">
        <v>0.15</v>
      </c>
      <c r="P1037" s="172">
        <f t="shared" si="450"/>
        <v>0.15</v>
      </c>
      <c r="Q1037" s="251">
        <f t="shared" si="451"/>
        <v>0</v>
      </c>
      <c r="R1037" s="173">
        <f t="shared" si="452"/>
        <v>0</v>
      </c>
      <c r="S1037" s="252"/>
      <c r="T1037" s="171">
        <f t="shared" si="453"/>
        <v>0</v>
      </c>
      <c r="U1037" s="256">
        <v>75000</v>
      </c>
      <c r="V1037" s="170">
        <f t="shared" si="458"/>
        <v>80544.375</v>
      </c>
      <c r="W1037" s="258">
        <v>0.2</v>
      </c>
      <c r="X1037" s="257">
        <v>0</v>
      </c>
      <c r="Y1037" s="170">
        <v>0</v>
      </c>
      <c r="Z1037" s="170">
        <f t="shared" si="456"/>
        <v>0</v>
      </c>
      <c r="AA1037" s="407">
        <f t="shared" si="445"/>
        <v>0</v>
      </c>
      <c r="AB1037" s="194"/>
    </row>
    <row r="1038" spans="1:28" s="278" customFormat="1" x14ac:dyDescent="0.25">
      <c r="A1038" s="200">
        <v>721002</v>
      </c>
      <c r="B1038" s="292" t="s">
        <v>19718</v>
      </c>
      <c r="C1038" s="248"/>
      <c r="D1038" s="247" t="s">
        <v>3</v>
      </c>
      <c r="E1038" s="249">
        <f t="shared" si="443"/>
        <v>56.25</v>
      </c>
      <c r="F1038" s="170">
        <f t="shared" si="443"/>
        <v>57.5859375</v>
      </c>
      <c r="G1038" s="250">
        <v>0.75</v>
      </c>
      <c r="H1038" s="171">
        <f t="shared" si="448"/>
        <v>0.75</v>
      </c>
      <c r="I1038" s="249">
        <f t="shared" si="444"/>
        <v>0</v>
      </c>
      <c r="J1038" s="170">
        <f t="shared" si="444"/>
        <v>0</v>
      </c>
      <c r="K1038" s="252"/>
      <c r="L1038" s="172">
        <f t="shared" si="454"/>
        <v>0</v>
      </c>
      <c r="M1038" s="249">
        <f t="shared" si="455"/>
        <v>18.75</v>
      </c>
      <c r="N1038" s="170">
        <f t="shared" si="449"/>
        <v>19.1953125</v>
      </c>
      <c r="O1038" s="250">
        <v>0.25</v>
      </c>
      <c r="P1038" s="172">
        <f t="shared" si="450"/>
        <v>0.25</v>
      </c>
      <c r="Q1038" s="251">
        <f t="shared" si="451"/>
        <v>0</v>
      </c>
      <c r="R1038" s="173">
        <f t="shared" si="452"/>
        <v>0</v>
      </c>
      <c r="S1038" s="252"/>
      <c r="T1038" s="171">
        <f t="shared" si="453"/>
        <v>0</v>
      </c>
      <c r="U1038" s="256">
        <v>75</v>
      </c>
      <c r="V1038" s="170">
        <f t="shared" si="458"/>
        <v>76.78125</v>
      </c>
      <c r="W1038" s="258">
        <v>0.2</v>
      </c>
      <c r="X1038" s="257">
        <f>U1038+U1038*W1038</f>
        <v>90</v>
      </c>
      <c r="Y1038" s="170">
        <f t="shared" si="446"/>
        <v>92.137500000000003</v>
      </c>
      <c r="Z1038" s="170">
        <f t="shared" si="456"/>
        <v>93</v>
      </c>
      <c r="AA1038" s="407">
        <f t="shared" si="445"/>
        <v>0</v>
      </c>
      <c r="AB1038" s="194"/>
    </row>
    <row r="1039" spans="1:28" s="278" customFormat="1" x14ac:dyDescent="0.25">
      <c r="A1039" s="200">
        <v>721002</v>
      </c>
      <c r="B1039" s="292" t="s">
        <v>19719</v>
      </c>
      <c r="C1039" s="248"/>
      <c r="D1039" s="247" t="s">
        <v>3</v>
      </c>
      <c r="E1039" s="249">
        <f t="shared" si="443"/>
        <v>50.000025000000008</v>
      </c>
      <c r="F1039" s="170">
        <f t="shared" si="443"/>
        <v>51.18752559375001</v>
      </c>
      <c r="G1039" s="250">
        <v>0.75</v>
      </c>
      <c r="H1039" s="171">
        <f t="shared" si="448"/>
        <v>0.75</v>
      </c>
      <c r="I1039" s="249">
        <f t="shared" si="444"/>
        <v>0</v>
      </c>
      <c r="J1039" s="170">
        <f t="shared" si="444"/>
        <v>0</v>
      </c>
      <c r="K1039" s="252"/>
      <c r="L1039" s="172">
        <f t="shared" si="454"/>
        <v>0</v>
      </c>
      <c r="M1039" s="249">
        <f t="shared" si="455"/>
        <v>16.666675000000001</v>
      </c>
      <c r="N1039" s="170">
        <f t="shared" si="449"/>
        <v>17.062508531250003</v>
      </c>
      <c r="O1039" s="250">
        <v>0.25</v>
      </c>
      <c r="P1039" s="172">
        <f t="shared" si="450"/>
        <v>0.25</v>
      </c>
      <c r="Q1039" s="251">
        <f t="shared" si="451"/>
        <v>0</v>
      </c>
      <c r="R1039" s="173">
        <f t="shared" si="452"/>
        <v>0</v>
      </c>
      <c r="S1039" s="252"/>
      <c r="T1039" s="171">
        <f t="shared" si="453"/>
        <v>0</v>
      </c>
      <c r="U1039" s="256">
        <v>66.666700000000006</v>
      </c>
      <c r="V1039" s="170">
        <f t="shared" si="458"/>
        <v>68.250034125000013</v>
      </c>
      <c r="W1039" s="258">
        <v>0.2</v>
      </c>
      <c r="X1039" s="257">
        <f>U1039+U1039*W1039</f>
        <v>80.000040000000013</v>
      </c>
      <c r="Y1039" s="170">
        <f t="shared" si="446"/>
        <v>81.900040950000019</v>
      </c>
      <c r="Z1039" s="170">
        <f t="shared" si="456"/>
        <v>82</v>
      </c>
      <c r="AA1039" s="407">
        <f t="shared" si="445"/>
        <v>0</v>
      </c>
      <c r="AB1039" s="194"/>
    </row>
    <row r="1040" spans="1:28" s="278" customFormat="1" x14ac:dyDescent="0.25">
      <c r="A1040" s="200">
        <v>721004</v>
      </c>
      <c r="B1040" s="292" t="s">
        <v>19720</v>
      </c>
      <c r="C1040" s="248"/>
      <c r="D1040" s="247" t="s">
        <v>12</v>
      </c>
      <c r="E1040" s="249">
        <f t="shared" si="443"/>
        <v>0</v>
      </c>
      <c r="F1040" s="170">
        <f t="shared" si="443"/>
        <v>0</v>
      </c>
      <c r="G1040" s="252"/>
      <c r="H1040" s="171">
        <f t="shared" si="448"/>
        <v>0</v>
      </c>
      <c r="I1040" s="249">
        <f t="shared" si="444"/>
        <v>35.416694999999997</v>
      </c>
      <c r="J1040" s="170">
        <f t="shared" si="444"/>
        <v>36.004612137000002</v>
      </c>
      <c r="K1040" s="250">
        <v>0.85</v>
      </c>
      <c r="L1040" s="172">
        <f t="shared" si="454"/>
        <v>0.85</v>
      </c>
      <c r="M1040" s="249">
        <f t="shared" si="455"/>
        <v>0</v>
      </c>
      <c r="N1040" s="170">
        <f t="shared" si="449"/>
        <v>0</v>
      </c>
      <c r="O1040" s="252"/>
      <c r="P1040" s="172">
        <f t="shared" si="450"/>
        <v>0</v>
      </c>
      <c r="Q1040" s="251">
        <f t="shared" si="451"/>
        <v>6.2500049999999998</v>
      </c>
      <c r="R1040" s="173">
        <f t="shared" si="452"/>
        <v>6.3537550830000002</v>
      </c>
      <c r="S1040" s="250">
        <v>0.15</v>
      </c>
      <c r="T1040" s="171">
        <f t="shared" si="453"/>
        <v>0.15</v>
      </c>
      <c r="U1040" s="256">
        <v>41.666699999999999</v>
      </c>
      <c r="V1040" s="170">
        <f t="shared" si="458"/>
        <v>42.358367220000005</v>
      </c>
      <c r="W1040" s="258">
        <v>0.2</v>
      </c>
      <c r="X1040" s="257">
        <f>U1040+U1040*W1040</f>
        <v>50.000039999999998</v>
      </c>
      <c r="Y1040" s="170">
        <f t="shared" si="446"/>
        <v>50.830040664000002</v>
      </c>
      <c r="Z1040" s="170">
        <f t="shared" si="456"/>
        <v>51</v>
      </c>
      <c r="AA1040" s="407">
        <f t="shared" si="445"/>
        <v>0</v>
      </c>
      <c r="AB1040" s="194"/>
    </row>
    <row r="1041" spans="1:28" s="278" customFormat="1" x14ac:dyDescent="0.25">
      <c r="A1041" s="200">
        <v>721004</v>
      </c>
      <c r="B1041" s="292" t="s">
        <v>19721</v>
      </c>
      <c r="C1041" s="248"/>
      <c r="D1041" s="247" t="s">
        <v>12</v>
      </c>
      <c r="E1041" s="249">
        <f t="shared" si="443"/>
        <v>0</v>
      </c>
      <c r="F1041" s="170">
        <f t="shared" si="443"/>
        <v>0</v>
      </c>
      <c r="G1041" s="252"/>
      <c r="H1041" s="171">
        <f t="shared" si="448"/>
        <v>0</v>
      </c>
      <c r="I1041" s="249">
        <f t="shared" si="444"/>
        <v>31.875</v>
      </c>
      <c r="J1041" s="170">
        <f t="shared" si="444"/>
        <v>32.404125000000001</v>
      </c>
      <c r="K1041" s="250">
        <v>0.85</v>
      </c>
      <c r="L1041" s="172">
        <f t="shared" si="454"/>
        <v>0.85</v>
      </c>
      <c r="M1041" s="249">
        <f t="shared" si="455"/>
        <v>0</v>
      </c>
      <c r="N1041" s="170">
        <f t="shared" si="449"/>
        <v>0</v>
      </c>
      <c r="O1041" s="252"/>
      <c r="P1041" s="172">
        <f t="shared" si="450"/>
        <v>0</v>
      </c>
      <c r="Q1041" s="251">
        <f t="shared" si="451"/>
        <v>5.625</v>
      </c>
      <c r="R1041" s="173">
        <f t="shared" si="452"/>
        <v>5.718375</v>
      </c>
      <c r="S1041" s="250">
        <v>0.15</v>
      </c>
      <c r="T1041" s="171">
        <f t="shared" si="453"/>
        <v>0.15</v>
      </c>
      <c r="U1041" s="256">
        <v>37.5</v>
      </c>
      <c r="V1041" s="170">
        <f t="shared" si="458"/>
        <v>38.122500000000002</v>
      </c>
      <c r="W1041" s="258">
        <v>0.2</v>
      </c>
      <c r="X1041" s="257">
        <f>U1041+U1041*W1041</f>
        <v>45</v>
      </c>
      <c r="Y1041" s="170">
        <f t="shared" si="446"/>
        <v>45.747</v>
      </c>
      <c r="Z1041" s="170">
        <f t="shared" si="456"/>
        <v>46</v>
      </c>
      <c r="AA1041" s="407">
        <f t="shared" si="445"/>
        <v>0</v>
      </c>
      <c r="AB1041" s="194"/>
    </row>
    <row r="1042" spans="1:28" s="278" customFormat="1" x14ac:dyDescent="0.25">
      <c r="A1042" s="195" t="s">
        <v>14736</v>
      </c>
      <c r="B1042" s="317" t="s">
        <v>19722</v>
      </c>
      <c r="C1042" s="241"/>
      <c r="D1042" s="242"/>
      <c r="E1042" s="243"/>
      <c r="F1042" s="244"/>
      <c r="G1042" s="245"/>
      <c r="H1042" s="246"/>
      <c r="I1042" s="243"/>
      <c r="J1042" s="244"/>
      <c r="K1042" s="245"/>
      <c r="L1042" s="246"/>
      <c r="M1042" s="243"/>
      <c r="N1042" s="244"/>
      <c r="O1042" s="245"/>
      <c r="P1042" s="246"/>
      <c r="Q1042" s="243"/>
      <c r="R1042" s="244"/>
      <c r="S1042" s="245"/>
      <c r="T1042" s="246"/>
      <c r="U1042" s="246"/>
      <c r="V1042" s="246"/>
      <c r="W1042" s="246"/>
      <c r="X1042" s="246"/>
      <c r="Y1042" s="244"/>
      <c r="Z1042" s="244"/>
      <c r="AA1042" s="406"/>
      <c r="AB1042" s="194"/>
    </row>
    <row r="1043" spans="1:28" s="278" customFormat="1" ht="21" x14ac:dyDescent="0.25">
      <c r="A1043" s="200">
        <v>801001</v>
      </c>
      <c r="B1043" s="255" t="s">
        <v>19723</v>
      </c>
      <c r="C1043" s="248"/>
      <c r="D1043" s="247" t="s">
        <v>4</v>
      </c>
      <c r="E1043" s="249">
        <f t="shared" ref="E1043:F1105" si="459">U1043*G1043</f>
        <v>3125.0002500000001</v>
      </c>
      <c r="F1043" s="170">
        <f t="shared" si="459"/>
        <v>3195.9377556750001</v>
      </c>
      <c r="G1043" s="250">
        <v>0.75</v>
      </c>
      <c r="H1043" s="171">
        <f t="shared" ref="H1043:H1106" si="460">G1043</f>
        <v>0.75</v>
      </c>
      <c r="I1043" s="249">
        <f t="shared" ref="I1043:J1105" si="461">U1043*K1043</f>
        <v>625.00004999999999</v>
      </c>
      <c r="J1043" s="170">
        <f t="shared" si="461"/>
        <v>639.18755113500004</v>
      </c>
      <c r="K1043" s="250">
        <v>0.15</v>
      </c>
      <c r="L1043" s="172">
        <f t="shared" si="454"/>
        <v>0.15</v>
      </c>
      <c r="M1043" s="249">
        <f t="shared" si="455"/>
        <v>416.66670000000005</v>
      </c>
      <c r="N1043" s="170">
        <f t="shared" ref="N1043:N1106" si="462">P1043*V1043</f>
        <v>426.12503409000004</v>
      </c>
      <c r="O1043" s="250">
        <v>0.1</v>
      </c>
      <c r="P1043" s="172">
        <f t="shared" ref="P1043:P1106" si="463">O1043</f>
        <v>0.1</v>
      </c>
      <c r="Q1043" s="251">
        <f t="shared" ref="Q1043:Q1106" si="464">U1043*S1043</f>
        <v>0</v>
      </c>
      <c r="R1043" s="173">
        <f t="shared" ref="R1043:R1106" si="465">T1043*V1043</f>
        <v>0</v>
      </c>
      <c r="S1043" s="252"/>
      <c r="T1043" s="171">
        <f t="shared" ref="T1043:T1106" si="466">S1043</f>
        <v>0</v>
      </c>
      <c r="U1043" s="256">
        <v>4166.6670000000004</v>
      </c>
      <c r="V1043" s="170">
        <f t="shared" si="458"/>
        <v>4261.2503409000001</v>
      </c>
      <c r="W1043" s="258">
        <v>0.2</v>
      </c>
      <c r="X1043" s="257">
        <v>0</v>
      </c>
      <c r="Y1043" s="169">
        <v>0</v>
      </c>
      <c r="Z1043" s="170">
        <f t="shared" si="456"/>
        <v>0</v>
      </c>
      <c r="AA1043" s="407">
        <f t="shared" si="445"/>
        <v>0</v>
      </c>
      <c r="AB1043" s="194"/>
    </row>
    <row r="1044" spans="1:28" s="278" customFormat="1" ht="21" x14ac:dyDescent="0.25">
      <c r="A1044" s="200">
        <v>801001</v>
      </c>
      <c r="B1044" s="255" t="s">
        <v>19724</v>
      </c>
      <c r="C1044" s="248"/>
      <c r="D1044" s="247" t="s">
        <v>4</v>
      </c>
      <c r="E1044" s="249">
        <f t="shared" si="459"/>
        <v>6249.9997500000009</v>
      </c>
      <c r="F1044" s="170">
        <f t="shared" si="459"/>
        <v>6391.8747443250013</v>
      </c>
      <c r="G1044" s="250">
        <v>0.75</v>
      </c>
      <c r="H1044" s="171">
        <f t="shared" si="460"/>
        <v>0.75</v>
      </c>
      <c r="I1044" s="249">
        <f t="shared" si="461"/>
        <v>1249.9999500000001</v>
      </c>
      <c r="J1044" s="170">
        <f t="shared" si="461"/>
        <v>1278.3749488650003</v>
      </c>
      <c r="K1044" s="250">
        <v>0.15</v>
      </c>
      <c r="L1044" s="172">
        <f t="shared" si="454"/>
        <v>0.15</v>
      </c>
      <c r="M1044" s="249">
        <f t="shared" si="455"/>
        <v>833.33330000000012</v>
      </c>
      <c r="N1044" s="170">
        <f t="shared" si="462"/>
        <v>852.24996591000024</v>
      </c>
      <c r="O1044" s="250">
        <v>0.1</v>
      </c>
      <c r="P1044" s="172">
        <f t="shared" si="463"/>
        <v>0.1</v>
      </c>
      <c r="Q1044" s="251">
        <f t="shared" si="464"/>
        <v>0</v>
      </c>
      <c r="R1044" s="173">
        <f t="shared" si="465"/>
        <v>0</v>
      </c>
      <c r="S1044" s="252"/>
      <c r="T1044" s="171">
        <f t="shared" si="466"/>
        <v>0</v>
      </c>
      <c r="U1044" s="256">
        <v>8333.3330000000005</v>
      </c>
      <c r="V1044" s="170">
        <f t="shared" si="458"/>
        <v>8522.4996591000017</v>
      </c>
      <c r="W1044" s="258">
        <v>0.2</v>
      </c>
      <c r="X1044" s="257">
        <v>0</v>
      </c>
      <c r="Y1044" s="169">
        <v>0</v>
      </c>
      <c r="Z1044" s="170">
        <f t="shared" si="456"/>
        <v>0</v>
      </c>
      <c r="AA1044" s="407">
        <f t="shared" si="445"/>
        <v>0</v>
      </c>
      <c r="AB1044" s="194"/>
    </row>
    <row r="1045" spans="1:28" s="278" customFormat="1" ht="21" x14ac:dyDescent="0.25">
      <c r="A1045" s="200">
        <v>801001</v>
      </c>
      <c r="B1045" s="255" t="s">
        <v>19725</v>
      </c>
      <c r="C1045" s="248"/>
      <c r="D1045" s="247" t="s">
        <v>4</v>
      </c>
      <c r="E1045" s="249">
        <f t="shared" si="459"/>
        <v>9375</v>
      </c>
      <c r="F1045" s="170">
        <f t="shared" si="459"/>
        <v>9587.8125</v>
      </c>
      <c r="G1045" s="250">
        <v>0.75</v>
      </c>
      <c r="H1045" s="171">
        <f t="shared" si="460"/>
        <v>0.75</v>
      </c>
      <c r="I1045" s="249">
        <f t="shared" si="461"/>
        <v>1875</v>
      </c>
      <c r="J1045" s="170">
        <f t="shared" si="461"/>
        <v>1917.5625</v>
      </c>
      <c r="K1045" s="250">
        <v>0.15</v>
      </c>
      <c r="L1045" s="172">
        <f t="shared" si="454"/>
        <v>0.15</v>
      </c>
      <c r="M1045" s="249">
        <f t="shared" si="455"/>
        <v>1250</v>
      </c>
      <c r="N1045" s="170">
        <f t="shared" si="462"/>
        <v>1278.375</v>
      </c>
      <c r="O1045" s="250">
        <v>0.1</v>
      </c>
      <c r="P1045" s="172">
        <f t="shared" si="463"/>
        <v>0.1</v>
      </c>
      <c r="Q1045" s="251">
        <f t="shared" si="464"/>
        <v>0</v>
      </c>
      <c r="R1045" s="173">
        <f t="shared" si="465"/>
        <v>0</v>
      </c>
      <c r="S1045" s="252"/>
      <c r="T1045" s="171">
        <f t="shared" si="466"/>
        <v>0</v>
      </c>
      <c r="U1045" s="256">
        <v>12500</v>
      </c>
      <c r="V1045" s="170">
        <f t="shared" si="458"/>
        <v>12783.75</v>
      </c>
      <c r="W1045" s="258">
        <v>0.2</v>
      </c>
      <c r="X1045" s="257">
        <v>0</v>
      </c>
      <c r="Y1045" s="169">
        <v>0</v>
      </c>
      <c r="Z1045" s="170">
        <f t="shared" si="456"/>
        <v>0</v>
      </c>
      <c r="AA1045" s="407">
        <f t="shared" si="445"/>
        <v>0</v>
      </c>
      <c r="AB1045" s="194"/>
    </row>
    <row r="1046" spans="1:28" s="278" customFormat="1" ht="21" x14ac:dyDescent="0.25">
      <c r="A1046" s="200">
        <v>801002</v>
      </c>
      <c r="B1046" s="255" t="s">
        <v>19726</v>
      </c>
      <c r="C1046" s="248"/>
      <c r="D1046" s="247" t="s">
        <v>4</v>
      </c>
      <c r="E1046" s="249">
        <f t="shared" si="459"/>
        <v>1875</v>
      </c>
      <c r="F1046" s="170">
        <f t="shared" si="459"/>
        <v>1917.5625</v>
      </c>
      <c r="G1046" s="250">
        <v>0.75</v>
      </c>
      <c r="H1046" s="171">
        <f t="shared" si="460"/>
        <v>0.75</v>
      </c>
      <c r="I1046" s="249">
        <f t="shared" si="461"/>
        <v>375</v>
      </c>
      <c r="J1046" s="170">
        <f t="shared" si="461"/>
        <v>383.51249999999999</v>
      </c>
      <c r="K1046" s="250">
        <v>0.15</v>
      </c>
      <c r="L1046" s="172">
        <f t="shared" si="454"/>
        <v>0.15</v>
      </c>
      <c r="M1046" s="249">
        <f t="shared" si="455"/>
        <v>250</v>
      </c>
      <c r="N1046" s="170">
        <f t="shared" si="462"/>
        <v>255.67500000000001</v>
      </c>
      <c r="O1046" s="250">
        <v>0.1</v>
      </c>
      <c r="P1046" s="172">
        <f t="shared" si="463"/>
        <v>0.1</v>
      </c>
      <c r="Q1046" s="251">
        <f t="shared" si="464"/>
        <v>0</v>
      </c>
      <c r="R1046" s="173">
        <f t="shared" si="465"/>
        <v>0</v>
      </c>
      <c r="S1046" s="252"/>
      <c r="T1046" s="171">
        <f t="shared" si="466"/>
        <v>0</v>
      </c>
      <c r="U1046" s="256">
        <v>2500</v>
      </c>
      <c r="V1046" s="170">
        <f t="shared" si="458"/>
        <v>2556.75</v>
      </c>
      <c r="W1046" s="258">
        <v>0.2</v>
      </c>
      <c r="X1046" s="257">
        <v>0</v>
      </c>
      <c r="Y1046" s="169">
        <v>0</v>
      </c>
      <c r="Z1046" s="170">
        <f t="shared" si="456"/>
        <v>0</v>
      </c>
      <c r="AA1046" s="407">
        <f t="shared" si="445"/>
        <v>0</v>
      </c>
      <c r="AB1046" s="194"/>
    </row>
    <row r="1047" spans="1:28" s="278" customFormat="1" ht="21" x14ac:dyDescent="0.25">
      <c r="A1047" s="200">
        <v>801002</v>
      </c>
      <c r="B1047" s="255" t="s">
        <v>19727</v>
      </c>
      <c r="C1047" s="248"/>
      <c r="D1047" s="247" t="s">
        <v>4</v>
      </c>
      <c r="E1047" s="249">
        <f t="shared" si="459"/>
        <v>3750</v>
      </c>
      <c r="F1047" s="170">
        <f t="shared" si="459"/>
        <v>3835.125</v>
      </c>
      <c r="G1047" s="250">
        <v>0.75</v>
      </c>
      <c r="H1047" s="171">
        <f t="shared" si="460"/>
        <v>0.75</v>
      </c>
      <c r="I1047" s="249">
        <f t="shared" si="461"/>
        <v>750</v>
      </c>
      <c r="J1047" s="170">
        <f t="shared" si="461"/>
        <v>767.02499999999998</v>
      </c>
      <c r="K1047" s="250">
        <v>0.15</v>
      </c>
      <c r="L1047" s="172">
        <f t="shared" si="454"/>
        <v>0.15</v>
      </c>
      <c r="M1047" s="249">
        <f t="shared" si="455"/>
        <v>500</v>
      </c>
      <c r="N1047" s="170">
        <f t="shared" si="462"/>
        <v>511.35</v>
      </c>
      <c r="O1047" s="250">
        <v>0.1</v>
      </c>
      <c r="P1047" s="172">
        <f t="shared" si="463"/>
        <v>0.1</v>
      </c>
      <c r="Q1047" s="251">
        <f t="shared" si="464"/>
        <v>0</v>
      </c>
      <c r="R1047" s="173">
        <f t="shared" si="465"/>
        <v>0</v>
      </c>
      <c r="S1047" s="252"/>
      <c r="T1047" s="171">
        <f t="shared" si="466"/>
        <v>0</v>
      </c>
      <c r="U1047" s="256">
        <v>5000</v>
      </c>
      <c r="V1047" s="170">
        <f t="shared" si="458"/>
        <v>5113.5</v>
      </c>
      <c r="W1047" s="258">
        <v>0.2</v>
      </c>
      <c r="X1047" s="257">
        <v>0</v>
      </c>
      <c r="Y1047" s="169">
        <v>0</v>
      </c>
      <c r="Z1047" s="170">
        <f t="shared" si="456"/>
        <v>0</v>
      </c>
      <c r="AA1047" s="407">
        <f t="shared" si="445"/>
        <v>0</v>
      </c>
      <c r="AB1047" s="194"/>
    </row>
    <row r="1048" spans="1:28" s="278" customFormat="1" ht="21" x14ac:dyDescent="0.25">
      <c r="A1048" s="200">
        <v>801002</v>
      </c>
      <c r="B1048" s="255" t="s">
        <v>19728</v>
      </c>
      <c r="C1048" s="248"/>
      <c r="D1048" s="247" t="s">
        <v>4</v>
      </c>
      <c r="E1048" s="249">
        <f t="shared" si="459"/>
        <v>4687.5</v>
      </c>
      <c r="F1048" s="170">
        <f t="shared" si="459"/>
        <v>4793.90625</v>
      </c>
      <c r="G1048" s="250">
        <v>0.75</v>
      </c>
      <c r="H1048" s="171">
        <f t="shared" si="460"/>
        <v>0.75</v>
      </c>
      <c r="I1048" s="249">
        <f t="shared" si="461"/>
        <v>937.5</v>
      </c>
      <c r="J1048" s="170">
        <f t="shared" si="461"/>
        <v>958.78125</v>
      </c>
      <c r="K1048" s="250">
        <v>0.15</v>
      </c>
      <c r="L1048" s="172">
        <f t="shared" si="454"/>
        <v>0.15</v>
      </c>
      <c r="M1048" s="249">
        <f t="shared" si="455"/>
        <v>625</v>
      </c>
      <c r="N1048" s="170">
        <f t="shared" si="462"/>
        <v>639.1875</v>
      </c>
      <c r="O1048" s="250">
        <v>0.1</v>
      </c>
      <c r="P1048" s="172">
        <f t="shared" si="463"/>
        <v>0.1</v>
      </c>
      <c r="Q1048" s="251">
        <f t="shared" si="464"/>
        <v>0</v>
      </c>
      <c r="R1048" s="173">
        <f t="shared" si="465"/>
        <v>0</v>
      </c>
      <c r="S1048" s="252"/>
      <c r="T1048" s="171">
        <f t="shared" si="466"/>
        <v>0</v>
      </c>
      <c r="U1048" s="256">
        <v>6250</v>
      </c>
      <c r="V1048" s="170">
        <f t="shared" si="458"/>
        <v>6391.875</v>
      </c>
      <c r="W1048" s="258">
        <v>0.2</v>
      </c>
      <c r="X1048" s="257">
        <v>0</v>
      </c>
      <c r="Y1048" s="169">
        <v>0</v>
      </c>
      <c r="Z1048" s="170">
        <f t="shared" si="456"/>
        <v>0</v>
      </c>
      <c r="AA1048" s="407">
        <f t="shared" si="445"/>
        <v>0</v>
      </c>
      <c r="AB1048" s="194"/>
    </row>
    <row r="1049" spans="1:28" s="278" customFormat="1" x14ac:dyDescent="0.25">
      <c r="A1049" s="200">
        <v>801003</v>
      </c>
      <c r="B1049" s="313" t="s">
        <v>19729</v>
      </c>
      <c r="C1049" s="248"/>
      <c r="D1049" s="247" t="s">
        <v>4</v>
      </c>
      <c r="E1049" s="249">
        <f t="shared" si="459"/>
        <v>624.99974999999995</v>
      </c>
      <c r="F1049" s="170">
        <f t="shared" si="459"/>
        <v>639.18724432499994</v>
      </c>
      <c r="G1049" s="250">
        <v>0.75</v>
      </c>
      <c r="H1049" s="171">
        <f t="shared" si="460"/>
        <v>0.75</v>
      </c>
      <c r="I1049" s="249">
        <f t="shared" si="461"/>
        <v>124.99994999999998</v>
      </c>
      <c r="J1049" s="170">
        <f t="shared" si="461"/>
        <v>127.83744886499998</v>
      </c>
      <c r="K1049" s="250">
        <v>0.15</v>
      </c>
      <c r="L1049" s="172">
        <f t="shared" si="454"/>
        <v>0.15</v>
      </c>
      <c r="M1049" s="249">
        <f t="shared" si="455"/>
        <v>83.333300000000008</v>
      </c>
      <c r="N1049" s="170">
        <f t="shared" si="462"/>
        <v>85.224965909999995</v>
      </c>
      <c r="O1049" s="250">
        <v>0.1</v>
      </c>
      <c r="P1049" s="172">
        <f t="shared" si="463"/>
        <v>0.1</v>
      </c>
      <c r="Q1049" s="251">
        <f t="shared" si="464"/>
        <v>0</v>
      </c>
      <c r="R1049" s="173">
        <f t="shared" si="465"/>
        <v>0</v>
      </c>
      <c r="S1049" s="252"/>
      <c r="T1049" s="171">
        <f t="shared" si="466"/>
        <v>0</v>
      </c>
      <c r="U1049" s="256">
        <v>833.33299999999997</v>
      </c>
      <c r="V1049" s="170">
        <f t="shared" si="458"/>
        <v>852.24965909999992</v>
      </c>
      <c r="W1049" s="258">
        <v>0.2</v>
      </c>
      <c r="X1049" s="257">
        <v>0</v>
      </c>
      <c r="Y1049" s="169">
        <v>0</v>
      </c>
      <c r="Z1049" s="170">
        <f t="shared" si="456"/>
        <v>0</v>
      </c>
      <c r="AA1049" s="407">
        <f t="shared" si="445"/>
        <v>0</v>
      </c>
      <c r="AB1049" s="194"/>
    </row>
    <row r="1050" spans="1:28" s="278" customFormat="1" x14ac:dyDescent="0.25">
      <c r="A1050" s="200">
        <v>801003</v>
      </c>
      <c r="B1050" s="313" t="s">
        <v>19730</v>
      </c>
      <c r="C1050" s="248"/>
      <c r="D1050" s="247" t="s">
        <v>4</v>
      </c>
      <c r="E1050" s="249">
        <f t="shared" si="459"/>
        <v>1562.4997499999999</v>
      </c>
      <c r="F1050" s="170">
        <f t="shared" si="459"/>
        <v>1597.9684943249999</v>
      </c>
      <c r="G1050" s="250">
        <v>0.75</v>
      </c>
      <c r="H1050" s="171">
        <f t="shared" si="460"/>
        <v>0.75</v>
      </c>
      <c r="I1050" s="249">
        <f t="shared" si="461"/>
        <v>312.49995000000001</v>
      </c>
      <c r="J1050" s="170">
        <f t="shared" si="461"/>
        <v>319.59369886499996</v>
      </c>
      <c r="K1050" s="250">
        <v>0.15</v>
      </c>
      <c r="L1050" s="172">
        <f t="shared" si="454"/>
        <v>0.15</v>
      </c>
      <c r="M1050" s="249">
        <f t="shared" si="455"/>
        <v>208.33330000000001</v>
      </c>
      <c r="N1050" s="170">
        <f t="shared" si="462"/>
        <v>213.06246591000001</v>
      </c>
      <c r="O1050" s="250">
        <v>0.1</v>
      </c>
      <c r="P1050" s="172">
        <f t="shared" si="463"/>
        <v>0.1</v>
      </c>
      <c r="Q1050" s="251">
        <f t="shared" si="464"/>
        <v>0</v>
      </c>
      <c r="R1050" s="173">
        <f t="shared" si="465"/>
        <v>0</v>
      </c>
      <c r="S1050" s="252"/>
      <c r="T1050" s="171">
        <f t="shared" si="466"/>
        <v>0</v>
      </c>
      <c r="U1050" s="256">
        <v>2083.3330000000001</v>
      </c>
      <c r="V1050" s="170">
        <f t="shared" si="458"/>
        <v>2130.6246590999999</v>
      </c>
      <c r="W1050" s="258">
        <v>0.2</v>
      </c>
      <c r="X1050" s="257">
        <v>0</v>
      </c>
      <c r="Y1050" s="169">
        <v>0</v>
      </c>
      <c r="Z1050" s="170">
        <f t="shared" si="456"/>
        <v>0</v>
      </c>
      <c r="AA1050" s="407">
        <f t="shared" si="445"/>
        <v>0</v>
      </c>
      <c r="AB1050" s="194"/>
    </row>
    <row r="1051" spans="1:28" s="278" customFormat="1" x14ac:dyDescent="0.25">
      <c r="A1051" s="200">
        <v>801003</v>
      </c>
      <c r="B1051" s="313" t="s">
        <v>19731</v>
      </c>
      <c r="C1051" s="248"/>
      <c r="D1051" s="247" t="s">
        <v>4</v>
      </c>
      <c r="E1051" s="249">
        <f t="shared" si="459"/>
        <v>2625</v>
      </c>
      <c r="F1051" s="170">
        <f t="shared" si="459"/>
        <v>2684.5874999999996</v>
      </c>
      <c r="G1051" s="250">
        <v>0.75</v>
      </c>
      <c r="H1051" s="171">
        <f t="shared" si="460"/>
        <v>0.75</v>
      </c>
      <c r="I1051" s="249">
        <f t="shared" si="461"/>
        <v>525</v>
      </c>
      <c r="J1051" s="170">
        <f t="shared" si="461"/>
        <v>536.9174999999999</v>
      </c>
      <c r="K1051" s="250">
        <v>0.15</v>
      </c>
      <c r="L1051" s="172">
        <f t="shared" si="454"/>
        <v>0.15</v>
      </c>
      <c r="M1051" s="249">
        <f t="shared" si="455"/>
        <v>350</v>
      </c>
      <c r="N1051" s="170">
        <f t="shared" si="462"/>
        <v>357.94499999999999</v>
      </c>
      <c r="O1051" s="250">
        <v>0.1</v>
      </c>
      <c r="P1051" s="172">
        <f t="shared" si="463"/>
        <v>0.1</v>
      </c>
      <c r="Q1051" s="251">
        <f t="shared" si="464"/>
        <v>0</v>
      </c>
      <c r="R1051" s="173">
        <f t="shared" si="465"/>
        <v>0</v>
      </c>
      <c r="S1051" s="252"/>
      <c r="T1051" s="171">
        <f t="shared" si="466"/>
        <v>0</v>
      </c>
      <c r="U1051" s="256">
        <v>3500</v>
      </c>
      <c r="V1051" s="170">
        <f t="shared" si="458"/>
        <v>3579.45</v>
      </c>
      <c r="W1051" s="258">
        <v>0.2</v>
      </c>
      <c r="X1051" s="257">
        <v>0</v>
      </c>
      <c r="Y1051" s="169">
        <v>0</v>
      </c>
      <c r="Z1051" s="170">
        <f t="shared" si="456"/>
        <v>0</v>
      </c>
      <c r="AA1051" s="407">
        <f t="shared" si="445"/>
        <v>0</v>
      </c>
      <c r="AB1051" s="194"/>
    </row>
    <row r="1052" spans="1:28" s="278" customFormat="1" ht="21" x14ac:dyDescent="0.25">
      <c r="A1052" s="200">
        <v>801004</v>
      </c>
      <c r="B1052" s="255" t="s">
        <v>19732</v>
      </c>
      <c r="C1052" s="248"/>
      <c r="D1052" s="247" t="s">
        <v>4</v>
      </c>
      <c r="E1052" s="249">
        <f t="shared" si="459"/>
        <v>1562.4997499999999</v>
      </c>
      <c r="F1052" s="170">
        <f t="shared" si="459"/>
        <v>1597.9684943249999</v>
      </c>
      <c r="G1052" s="250">
        <v>0.75</v>
      </c>
      <c r="H1052" s="171">
        <f t="shared" si="460"/>
        <v>0.75</v>
      </c>
      <c r="I1052" s="249">
        <f t="shared" si="461"/>
        <v>312.49995000000001</v>
      </c>
      <c r="J1052" s="170">
        <f t="shared" si="461"/>
        <v>319.59369886499996</v>
      </c>
      <c r="K1052" s="250">
        <v>0.15</v>
      </c>
      <c r="L1052" s="172">
        <f t="shared" si="454"/>
        <v>0.15</v>
      </c>
      <c r="M1052" s="249">
        <f t="shared" si="455"/>
        <v>208.33330000000001</v>
      </c>
      <c r="N1052" s="170">
        <f t="shared" si="462"/>
        <v>213.06246591000001</v>
      </c>
      <c r="O1052" s="250">
        <v>0.1</v>
      </c>
      <c r="P1052" s="172">
        <f t="shared" si="463"/>
        <v>0.1</v>
      </c>
      <c r="Q1052" s="251">
        <f t="shared" si="464"/>
        <v>0</v>
      </c>
      <c r="R1052" s="173">
        <f t="shared" si="465"/>
        <v>0</v>
      </c>
      <c r="S1052" s="250"/>
      <c r="T1052" s="171">
        <f t="shared" si="466"/>
        <v>0</v>
      </c>
      <c r="U1052" s="256">
        <v>2083.3330000000001</v>
      </c>
      <c r="V1052" s="170">
        <f t="shared" si="458"/>
        <v>2130.6246590999999</v>
      </c>
      <c r="W1052" s="258">
        <v>0.2</v>
      </c>
      <c r="X1052" s="257">
        <v>0</v>
      </c>
      <c r="Y1052" s="169">
        <v>0</v>
      </c>
      <c r="Z1052" s="170">
        <f t="shared" si="456"/>
        <v>0</v>
      </c>
      <c r="AA1052" s="407">
        <f t="shared" si="445"/>
        <v>0</v>
      </c>
      <c r="AB1052" s="194"/>
    </row>
    <row r="1053" spans="1:28" s="278" customFormat="1" ht="21.6" thickBot="1" x14ac:dyDescent="0.3">
      <c r="A1053" s="263">
        <v>801004</v>
      </c>
      <c r="B1053" s="327" t="s">
        <v>19733</v>
      </c>
      <c r="C1053" s="265"/>
      <c r="D1053" s="264" t="s">
        <v>4</v>
      </c>
      <c r="E1053" s="266">
        <f t="shared" si="459"/>
        <v>3125.0002500000001</v>
      </c>
      <c r="F1053" s="174">
        <f t="shared" si="459"/>
        <v>3195.9377556750001</v>
      </c>
      <c r="G1053" s="267">
        <v>0.75</v>
      </c>
      <c r="H1053" s="268">
        <f t="shared" si="460"/>
        <v>0.75</v>
      </c>
      <c r="I1053" s="266">
        <f t="shared" si="461"/>
        <v>625.00004999999999</v>
      </c>
      <c r="J1053" s="174">
        <f t="shared" si="461"/>
        <v>639.18755113500004</v>
      </c>
      <c r="K1053" s="267">
        <v>0.15</v>
      </c>
      <c r="L1053" s="269">
        <f t="shared" si="454"/>
        <v>0.15</v>
      </c>
      <c r="M1053" s="266">
        <f t="shared" si="455"/>
        <v>416.66670000000005</v>
      </c>
      <c r="N1053" s="174">
        <f t="shared" si="462"/>
        <v>426.12503409000004</v>
      </c>
      <c r="O1053" s="267">
        <v>0.1</v>
      </c>
      <c r="P1053" s="269">
        <f t="shared" si="463"/>
        <v>0.1</v>
      </c>
      <c r="Q1053" s="270">
        <f t="shared" si="464"/>
        <v>0</v>
      </c>
      <c r="R1053" s="271">
        <f t="shared" si="465"/>
        <v>0</v>
      </c>
      <c r="S1053" s="267"/>
      <c r="T1053" s="268">
        <f t="shared" si="466"/>
        <v>0</v>
      </c>
      <c r="U1053" s="409">
        <v>4166.6670000000004</v>
      </c>
      <c r="V1053" s="174">
        <f t="shared" si="458"/>
        <v>4261.2503409000001</v>
      </c>
      <c r="W1053" s="322">
        <v>0.2</v>
      </c>
      <c r="X1053" s="274">
        <v>0</v>
      </c>
      <c r="Y1053" s="291">
        <v>0</v>
      </c>
      <c r="Z1053" s="174">
        <f t="shared" si="456"/>
        <v>0</v>
      </c>
      <c r="AA1053" s="410">
        <f t="shared" si="445"/>
        <v>0</v>
      </c>
      <c r="AB1053" s="194"/>
    </row>
    <row r="1054" spans="1:28" s="278" customFormat="1" ht="21" x14ac:dyDescent="0.25">
      <c r="A1054" s="200">
        <v>801004</v>
      </c>
      <c r="B1054" s="255" t="s">
        <v>19734</v>
      </c>
      <c r="C1054" s="248"/>
      <c r="D1054" s="247" t="s">
        <v>4</v>
      </c>
      <c r="E1054" s="249">
        <f t="shared" si="459"/>
        <v>4687.5</v>
      </c>
      <c r="F1054" s="170">
        <f t="shared" si="459"/>
        <v>4793.90625</v>
      </c>
      <c r="G1054" s="250">
        <v>0.75</v>
      </c>
      <c r="H1054" s="171">
        <f t="shared" si="460"/>
        <v>0.75</v>
      </c>
      <c r="I1054" s="249">
        <f t="shared" si="461"/>
        <v>937.5</v>
      </c>
      <c r="J1054" s="170">
        <f t="shared" si="461"/>
        <v>958.78125</v>
      </c>
      <c r="K1054" s="250">
        <v>0.15</v>
      </c>
      <c r="L1054" s="172">
        <f t="shared" si="454"/>
        <v>0.15</v>
      </c>
      <c r="M1054" s="249">
        <f t="shared" si="455"/>
        <v>625</v>
      </c>
      <c r="N1054" s="170">
        <f t="shared" si="462"/>
        <v>639.1875</v>
      </c>
      <c r="O1054" s="250">
        <v>0.1</v>
      </c>
      <c r="P1054" s="172">
        <f t="shared" si="463"/>
        <v>0.1</v>
      </c>
      <c r="Q1054" s="251">
        <f t="shared" si="464"/>
        <v>0</v>
      </c>
      <c r="R1054" s="173">
        <f t="shared" si="465"/>
        <v>0</v>
      </c>
      <c r="S1054" s="250"/>
      <c r="T1054" s="171">
        <f t="shared" si="466"/>
        <v>0</v>
      </c>
      <c r="U1054" s="256">
        <v>6250</v>
      </c>
      <c r="V1054" s="170">
        <f t="shared" si="458"/>
        <v>6391.875</v>
      </c>
      <c r="W1054" s="258">
        <v>0.2</v>
      </c>
      <c r="X1054" s="257">
        <v>0</v>
      </c>
      <c r="Y1054" s="169">
        <v>0</v>
      </c>
      <c r="Z1054" s="170">
        <f t="shared" si="456"/>
        <v>0</v>
      </c>
      <c r="AA1054" s="407">
        <f t="shared" si="445"/>
        <v>0</v>
      </c>
      <c r="AB1054" s="194"/>
    </row>
    <row r="1055" spans="1:28" s="278" customFormat="1" x14ac:dyDescent="0.25">
      <c r="A1055" s="195" t="s">
        <v>14737</v>
      </c>
      <c r="B1055" s="317" t="s">
        <v>14738</v>
      </c>
      <c r="C1055" s="241"/>
      <c r="D1055" s="242"/>
      <c r="E1055" s="243"/>
      <c r="F1055" s="244"/>
      <c r="G1055" s="245"/>
      <c r="H1055" s="246"/>
      <c r="I1055" s="243"/>
      <c r="J1055" s="244"/>
      <c r="K1055" s="245"/>
      <c r="L1055" s="246"/>
      <c r="M1055" s="243"/>
      <c r="N1055" s="244"/>
      <c r="O1055" s="245"/>
      <c r="P1055" s="246"/>
      <c r="Q1055" s="243"/>
      <c r="R1055" s="244"/>
      <c r="S1055" s="245"/>
      <c r="T1055" s="246"/>
      <c r="U1055" s="246"/>
      <c r="V1055" s="246"/>
      <c r="W1055" s="246"/>
      <c r="X1055" s="246"/>
      <c r="Y1055" s="244"/>
      <c r="Z1055" s="244"/>
      <c r="AA1055" s="406"/>
      <c r="AB1055" s="194"/>
    </row>
    <row r="1056" spans="1:28" s="278" customFormat="1" x14ac:dyDescent="0.25">
      <c r="A1056" s="200">
        <v>802006</v>
      </c>
      <c r="B1056" s="313" t="s">
        <v>14739</v>
      </c>
      <c r="C1056" s="248"/>
      <c r="D1056" s="247" t="s">
        <v>11</v>
      </c>
      <c r="E1056" s="249">
        <f t="shared" si="459"/>
        <v>10</v>
      </c>
      <c r="F1056" s="170">
        <f t="shared" si="459"/>
        <v>10.146000000000001</v>
      </c>
      <c r="G1056" s="252">
        <v>0.1</v>
      </c>
      <c r="H1056" s="171">
        <f t="shared" si="460"/>
        <v>0.1</v>
      </c>
      <c r="I1056" s="249">
        <f t="shared" si="461"/>
        <v>10</v>
      </c>
      <c r="J1056" s="170">
        <f t="shared" si="461"/>
        <v>10.146000000000001</v>
      </c>
      <c r="K1056" s="252">
        <v>0.1</v>
      </c>
      <c r="L1056" s="172">
        <f t="shared" si="454"/>
        <v>0.1</v>
      </c>
      <c r="M1056" s="249">
        <f t="shared" si="455"/>
        <v>10</v>
      </c>
      <c r="N1056" s="170">
        <f t="shared" si="462"/>
        <v>10.146000000000001</v>
      </c>
      <c r="O1056" s="252">
        <v>0.1</v>
      </c>
      <c r="P1056" s="172">
        <f t="shared" si="463"/>
        <v>0.1</v>
      </c>
      <c r="Q1056" s="251">
        <f t="shared" si="464"/>
        <v>70</v>
      </c>
      <c r="R1056" s="173">
        <f t="shared" si="465"/>
        <v>71.022000000000006</v>
      </c>
      <c r="S1056" s="250">
        <v>0.7</v>
      </c>
      <c r="T1056" s="171">
        <f t="shared" si="466"/>
        <v>0.7</v>
      </c>
      <c r="U1056" s="256">
        <v>100</v>
      </c>
      <c r="V1056" s="170">
        <f t="shared" si="458"/>
        <v>101.46000000000001</v>
      </c>
      <c r="W1056" s="258">
        <v>0.1</v>
      </c>
      <c r="X1056" s="257">
        <f t="shared" ref="X1056:X1119" si="467">U1056+U1056*W1056</f>
        <v>110</v>
      </c>
      <c r="Y1056" s="170">
        <f t="shared" si="446"/>
        <v>111.60600000000002</v>
      </c>
      <c r="Z1056" s="170">
        <f t="shared" si="456"/>
        <v>115</v>
      </c>
      <c r="AA1056" s="407">
        <f t="shared" si="445"/>
        <v>0</v>
      </c>
      <c r="AB1056" s="194"/>
    </row>
    <row r="1057" spans="1:28" s="278" customFormat="1" x14ac:dyDescent="0.25">
      <c r="A1057" s="200">
        <v>802008</v>
      </c>
      <c r="B1057" s="313" t="s">
        <v>14740</v>
      </c>
      <c r="C1057" s="248"/>
      <c r="D1057" s="247" t="s">
        <v>11</v>
      </c>
      <c r="E1057" s="249">
        <f t="shared" si="459"/>
        <v>20</v>
      </c>
      <c r="F1057" s="170">
        <f t="shared" si="459"/>
        <v>20.292000000000002</v>
      </c>
      <c r="G1057" s="252">
        <v>0.1</v>
      </c>
      <c r="H1057" s="171">
        <f t="shared" si="460"/>
        <v>0.1</v>
      </c>
      <c r="I1057" s="249">
        <f t="shared" si="461"/>
        <v>20</v>
      </c>
      <c r="J1057" s="170">
        <f t="shared" si="461"/>
        <v>20.292000000000002</v>
      </c>
      <c r="K1057" s="252">
        <v>0.1</v>
      </c>
      <c r="L1057" s="172">
        <f t="shared" si="454"/>
        <v>0.1</v>
      </c>
      <c r="M1057" s="249">
        <f t="shared" si="455"/>
        <v>20</v>
      </c>
      <c r="N1057" s="170">
        <f t="shared" si="462"/>
        <v>20.292000000000002</v>
      </c>
      <c r="O1057" s="252">
        <v>0.1</v>
      </c>
      <c r="P1057" s="172">
        <f t="shared" si="463"/>
        <v>0.1</v>
      </c>
      <c r="Q1057" s="251">
        <f t="shared" si="464"/>
        <v>140</v>
      </c>
      <c r="R1057" s="173">
        <f t="shared" si="465"/>
        <v>142.04400000000001</v>
      </c>
      <c r="S1057" s="250">
        <v>0.7</v>
      </c>
      <c r="T1057" s="171">
        <f t="shared" si="466"/>
        <v>0.7</v>
      </c>
      <c r="U1057" s="256">
        <v>200</v>
      </c>
      <c r="V1057" s="170">
        <f t="shared" si="458"/>
        <v>202.92000000000002</v>
      </c>
      <c r="W1057" s="258">
        <v>0.1</v>
      </c>
      <c r="X1057" s="257">
        <f t="shared" si="467"/>
        <v>220</v>
      </c>
      <c r="Y1057" s="170">
        <f t="shared" si="446"/>
        <v>223.21200000000005</v>
      </c>
      <c r="Z1057" s="170">
        <f t="shared" si="456"/>
        <v>225</v>
      </c>
      <c r="AA1057" s="407">
        <f t="shared" si="445"/>
        <v>0</v>
      </c>
      <c r="AB1057" s="194"/>
    </row>
    <row r="1058" spans="1:28" s="278" customFormat="1" x14ac:dyDescent="0.25">
      <c r="A1058" s="200">
        <v>802026</v>
      </c>
      <c r="B1058" s="313" t="s">
        <v>14741</v>
      </c>
      <c r="C1058" s="248"/>
      <c r="D1058" s="247" t="s">
        <v>11</v>
      </c>
      <c r="E1058" s="249">
        <f t="shared" si="459"/>
        <v>13.63636</v>
      </c>
      <c r="F1058" s="170">
        <f t="shared" si="459"/>
        <v>13.835450856000001</v>
      </c>
      <c r="G1058" s="252">
        <v>0.1</v>
      </c>
      <c r="H1058" s="171">
        <f t="shared" si="460"/>
        <v>0.1</v>
      </c>
      <c r="I1058" s="249">
        <f t="shared" si="461"/>
        <v>13.63636</v>
      </c>
      <c r="J1058" s="170">
        <f t="shared" si="461"/>
        <v>13.835450856000001</v>
      </c>
      <c r="K1058" s="252">
        <v>0.1</v>
      </c>
      <c r="L1058" s="172">
        <f t="shared" si="454"/>
        <v>0.1</v>
      </c>
      <c r="M1058" s="249">
        <f t="shared" si="455"/>
        <v>13.63636</v>
      </c>
      <c r="N1058" s="170">
        <f t="shared" si="462"/>
        <v>13.835450856000001</v>
      </c>
      <c r="O1058" s="252">
        <v>0.1</v>
      </c>
      <c r="P1058" s="172">
        <f t="shared" si="463"/>
        <v>0.1</v>
      </c>
      <c r="Q1058" s="251">
        <f t="shared" si="464"/>
        <v>95.454519999999988</v>
      </c>
      <c r="R1058" s="173">
        <f t="shared" si="465"/>
        <v>96.848155991999988</v>
      </c>
      <c r="S1058" s="250">
        <v>0.7</v>
      </c>
      <c r="T1058" s="171">
        <f t="shared" si="466"/>
        <v>0.7</v>
      </c>
      <c r="U1058" s="256">
        <v>136.36359999999999</v>
      </c>
      <c r="V1058" s="170">
        <f t="shared" si="458"/>
        <v>138.35450856</v>
      </c>
      <c r="W1058" s="258">
        <v>0.1</v>
      </c>
      <c r="X1058" s="257">
        <f t="shared" si="467"/>
        <v>149.99995999999999</v>
      </c>
      <c r="Y1058" s="170">
        <f t="shared" si="446"/>
        <v>152.18995941600002</v>
      </c>
      <c r="Z1058" s="170">
        <f t="shared" si="456"/>
        <v>155</v>
      </c>
      <c r="AA1058" s="407">
        <f t="shared" si="445"/>
        <v>0</v>
      </c>
      <c r="AB1058" s="194"/>
    </row>
    <row r="1059" spans="1:28" s="278" customFormat="1" x14ac:dyDescent="0.25">
      <c r="A1059" s="200">
        <v>802028</v>
      </c>
      <c r="B1059" s="313" t="s">
        <v>14742</v>
      </c>
      <c r="C1059" s="248"/>
      <c r="D1059" s="247" t="s">
        <v>11</v>
      </c>
      <c r="E1059" s="249">
        <f t="shared" si="459"/>
        <v>18.181819999999998</v>
      </c>
      <c r="F1059" s="170">
        <f t="shared" si="459"/>
        <v>18.447274571999998</v>
      </c>
      <c r="G1059" s="252">
        <v>0.1</v>
      </c>
      <c r="H1059" s="171">
        <f t="shared" si="460"/>
        <v>0.1</v>
      </c>
      <c r="I1059" s="249">
        <f t="shared" si="461"/>
        <v>18.181819999999998</v>
      </c>
      <c r="J1059" s="170">
        <f t="shared" si="461"/>
        <v>18.447274571999998</v>
      </c>
      <c r="K1059" s="252">
        <v>0.1</v>
      </c>
      <c r="L1059" s="172">
        <f t="shared" si="454"/>
        <v>0.1</v>
      </c>
      <c r="M1059" s="249">
        <f t="shared" si="455"/>
        <v>18.181819999999998</v>
      </c>
      <c r="N1059" s="170">
        <f t="shared" si="462"/>
        <v>18.447274571999998</v>
      </c>
      <c r="O1059" s="252">
        <v>0.1</v>
      </c>
      <c r="P1059" s="172">
        <f t="shared" si="463"/>
        <v>0.1</v>
      </c>
      <c r="Q1059" s="251">
        <f t="shared" si="464"/>
        <v>127.27273999999998</v>
      </c>
      <c r="R1059" s="173">
        <f t="shared" si="465"/>
        <v>129.13092200399998</v>
      </c>
      <c r="S1059" s="250">
        <v>0.7</v>
      </c>
      <c r="T1059" s="171">
        <f t="shared" si="466"/>
        <v>0.7</v>
      </c>
      <c r="U1059" s="256">
        <v>181.81819999999999</v>
      </c>
      <c r="V1059" s="170">
        <f t="shared" si="458"/>
        <v>184.47274571999998</v>
      </c>
      <c r="W1059" s="258">
        <v>0.1</v>
      </c>
      <c r="X1059" s="257">
        <f t="shared" si="467"/>
        <v>200.00001999999998</v>
      </c>
      <c r="Y1059" s="170">
        <f t="shared" si="446"/>
        <v>202.920020292</v>
      </c>
      <c r="Z1059" s="170">
        <f t="shared" si="456"/>
        <v>205</v>
      </c>
      <c r="AA1059" s="407">
        <f t="shared" si="445"/>
        <v>0</v>
      </c>
      <c r="AB1059" s="194"/>
    </row>
    <row r="1060" spans="1:28" s="278" customFormat="1" x14ac:dyDescent="0.25">
      <c r="A1060" s="200">
        <v>802030</v>
      </c>
      <c r="B1060" s="313" t="s">
        <v>14743</v>
      </c>
      <c r="C1060" s="248"/>
      <c r="D1060" s="247" t="s">
        <v>11</v>
      </c>
      <c r="E1060" s="249">
        <f t="shared" si="459"/>
        <v>22.727270000000001</v>
      </c>
      <c r="F1060" s="170">
        <f t="shared" si="459"/>
        <v>23.059088142</v>
      </c>
      <c r="G1060" s="252">
        <v>0.1</v>
      </c>
      <c r="H1060" s="171">
        <f t="shared" si="460"/>
        <v>0.1</v>
      </c>
      <c r="I1060" s="249">
        <f t="shared" si="461"/>
        <v>22.727270000000001</v>
      </c>
      <c r="J1060" s="170">
        <f t="shared" si="461"/>
        <v>23.059088142</v>
      </c>
      <c r="K1060" s="252">
        <v>0.1</v>
      </c>
      <c r="L1060" s="172">
        <f t="shared" si="454"/>
        <v>0.1</v>
      </c>
      <c r="M1060" s="249">
        <f t="shared" si="455"/>
        <v>22.727270000000001</v>
      </c>
      <c r="N1060" s="170">
        <f t="shared" si="462"/>
        <v>23.059088142</v>
      </c>
      <c r="O1060" s="252">
        <v>0.1</v>
      </c>
      <c r="P1060" s="172">
        <f t="shared" si="463"/>
        <v>0.1</v>
      </c>
      <c r="Q1060" s="251">
        <f t="shared" si="464"/>
        <v>159.09088999999997</v>
      </c>
      <c r="R1060" s="173">
        <f t="shared" si="465"/>
        <v>161.41361699399999</v>
      </c>
      <c r="S1060" s="250">
        <v>0.7</v>
      </c>
      <c r="T1060" s="171">
        <f t="shared" si="466"/>
        <v>0.7</v>
      </c>
      <c r="U1060" s="256">
        <v>227.27269999999999</v>
      </c>
      <c r="V1060" s="170">
        <f t="shared" si="458"/>
        <v>230.59088141999999</v>
      </c>
      <c r="W1060" s="258">
        <v>0.1</v>
      </c>
      <c r="X1060" s="257">
        <f t="shared" si="467"/>
        <v>249.99996999999999</v>
      </c>
      <c r="Y1060" s="170">
        <f t="shared" si="446"/>
        <v>253.649969562</v>
      </c>
      <c r="Z1060" s="170">
        <f t="shared" si="456"/>
        <v>255</v>
      </c>
      <c r="AA1060" s="407">
        <f t="shared" si="445"/>
        <v>0</v>
      </c>
      <c r="AB1060" s="194"/>
    </row>
    <row r="1061" spans="1:28" s="278" customFormat="1" x14ac:dyDescent="0.25">
      <c r="A1061" s="200">
        <v>802045</v>
      </c>
      <c r="B1061" s="313" t="s">
        <v>14744</v>
      </c>
      <c r="C1061" s="248"/>
      <c r="D1061" s="247" t="s">
        <v>11</v>
      </c>
      <c r="E1061" s="249">
        <f t="shared" si="459"/>
        <v>9.0909099999999992</v>
      </c>
      <c r="F1061" s="170">
        <f t="shared" si="459"/>
        <v>9.2236372859999989</v>
      </c>
      <c r="G1061" s="252">
        <v>0.1</v>
      </c>
      <c r="H1061" s="171">
        <f t="shared" si="460"/>
        <v>0.1</v>
      </c>
      <c r="I1061" s="249">
        <f t="shared" si="461"/>
        <v>9.0909099999999992</v>
      </c>
      <c r="J1061" s="170">
        <f t="shared" si="461"/>
        <v>9.2236372859999989</v>
      </c>
      <c r="K1061" s="252">
        <v>0.1</v>
      </c>
      <c r="L1061" s="172">
        <f t="shared" si="454"/>
        <v>0.1</v>
      </c>
      <c r="M1061" s="249">
        <f t="shared" si="455"/>
        <v>9.0909099999999992</v>
      </c>
      <c r="N1061" s="170">
        <f t="shared" si="462"/>
        <v>9.2236372859999989</v>
      </c>
      <c r="O1061" s="252">
        <v>0.1</v>
      </c>
      <c r="P1061" s="172">
        <f t="shared" si="463"/>
        <v>0.1</v>
      </c>
      <c r="Q1061" s="251">
        <f t="shared" si="464"/>
        <v>63.636369999999992</v>
      </c>
      <c r="R1061" s="173">
        <f t="shared" si="465"/>
        <v>64.565461001999992</v>
      </c>
      <c r="S1061" s="250">
        <v>0.7</v>
      </c>
      <c r="T1061" s="171">
        <f t="shared" si="466"/>
        <v>0.7</v>
      </c>
      <c r="U1061" s="256">
        <v>90.909099999999995</v>
      </c>
      <c r="V1061" s="170">
        <f t="shared" si="458"/>
        <v>92.236372859999989</v>
      </c>
      <c r="W1061" s="258">
        <v>0.1</v>
      </c>
      <c r="X1061" s="257">
        <f t="shared" si="467"/>
        <v>100.00000999999999</v>
      </c>
      <c r="Y1061" s="170">
        <f t="shared" si="446"/>
        <v>101.460010146</v>
      </c>
      <c r="Z1061" s="170">
        <f t="shared" si="456"/>
        <v>105</v>
      </c>
      <c r="AA1061" s="407">
        <f t="shared" ref="AA1061:AA1124" si="468">C1061*Z1061</f>
        <v>0</v>
      </c>
      <c r="AB1061" s="194"/>
    </row>
    <row r="1062" spans="1:28" s="278" customFormat="1" x14ac:dyDescent="0.25">
      <c r="A1062" s="200">
        <v>802046</v>
      </c>
      <c r="B1062" s="313" t="s">
        <v>14745</v>
      </c>
      <c r="C1062" s="248"/>
      <c r="D1062" s="247" t="s">
        <v>11</v>
      </c>
      <c r="E1062" s="249">
        <f t="shared" si="459"/>
        <v>22.727270000000001</v>
      </c>
      <c r="F1062" s="170">
        <f t="shared" si="459"/>
        <v>23.059088142</v>
      </c>
      <c r="G1062" s="252">
        <v>0.1</v>
      </c>
      <c r="H1062" s="171">
        <f t="shared" si="460"/>
        <v>0.1</v>
      </c>
      <c r="I1062" s="249">
        <f t="shared" si="461"/>
        <v>22.727270000000001</v>
      </c>
      <c r="J1062" s="170">
        <f t="shared" si="461"/>
        <v>23.059088142</v>
      </c>
      <c r="K1062" s="252">
        <v>0.1</v>
      </c>
      <c r="L1062" s="172">
        <f t="shared" si="454"/>
        <v>0.1</v>
      </c>
      <c r="M1062" s="249">
        <f t="shared" si="455"/>
        <v>22.727270000000001</v>
      </c>
      <c r="N1062" s="170">
        <f t="shared" si="462"/>
        <v>23.059088142</v>
      </c>
      <c r="O1062" s="252">
        <v>0.1</v>
      </c>
      <c r="P1062" s="172">
        <f t="shared" si="463"/>
        <v>0.1</v>
      </c>
      <c r="Q1062" s="251">
        <f t="shared" si="464"/>
        <v>159.09088999999997</v>
      </c>
      <c r="R1062" s="173">
        <f t="shared" si="465"/>
        <v>161.41361699399999</v>
      </c>
      <c r="S1062" s="250">
        <v>0.7</v>
      </c>
      <c r="T1062" s="171">
        <f t="shared" si="466"/>
        <v>0.7</v>
      </c>
      <c r="U1062" s="256">
        <v>227.27269999999999</v>
      </c>
      <c r="V1062" s="170">
        <f t="shared" si="458"/>
        <v>230.59088141999999</v>
      </c>
      <c r="W1062" s="258">
        <v>0.1</v>
      </c>
      <c r="X1062" s="257">
        <f t="shared" si="467"/>
        <v>249.99996999999999</v>
      </c>
      <c r="Y1062" s="170">
        <f t="shared" si="446"/>
        <v>253.649969562</v>
      </c>
      <c r="Z1062" s="170">
        <f t="shared" si="456"/>
        <v>255</v>
      </c>
      <c r="AA1062" s="407">
        <f t="shared" si="468"/>
        <v>0</v>
      </c>
      <c r="AB1062" s="194"/>
    </row>
    <row r="1063" spans="1:28" s="278" customFormat="1" x14ac:dyDescent="0.25">
      <c r="A1063" s="200">
        <v>802048</v>
      </c>
      <c r="B1063" s="313" t="s">
        <v>14746</v>
      </c>
      <c r="C1063" s="248"/>
      <c r="D1063" s="247" t="s">
        <v>11</v>
      </c>
      <c r="E1063" s="249">
        <f t="shared" si="459"/>
        <v>45.454550000000005</v>
      </c>
      <c r="F1063" s="170">
        <f t="shared" si="459"/>
        <v>46.118186430000009</v>
      </c>
      <c r="G1063" s="252">
        <v>0.1</v>
      </c>
      <c r="H1063" s="171">
        <f t="shared" si="460"/>
        <v>0.1</v>
      </c>
      <c r="I1063" s="249">
        <f t="shared" si="461"/>
        <v>45.454550000000005</v>
      </c>
      <c r="J1063" s="170">
        <f t="shared" si="461"/>
        <v>46.118186430000009</v>
      </c>
      <c r="K1063" s="252">
        <v>0.1</v>
      </c>
      <c r="L1063" s="172">
        <f t="shared" si="454"/>
        <v>0.1</v>
      </c>
      <c r="M1063" s="249">
        <f t="shared" si="455"/>
        <v>45.454550000000005</v>
      </c>
      <c r="N1063" s="170">
        <f t="shared" si="462"/>
        <v>46.118186430000009</v>
      </c>
      <c r="O1063" s="252">
        <v>0.1</v>
      </c>
      <c r="P1063" s="172">
        <f t="shared" si="463"/>
        <v>0.1</v>
      </c>
      <c r="Q1063" s="251">
        <f t="shared" si="464"/>
        <v>318.18185</v>
      </c>
      <c r="R1063" s="173">
        <f t="shared" si="465"/>
        <v>322.82730500999998</v>
      </c>
      <c r="S1063" s="250">
        <v>0.7</v>
      </c>
      <c r="T1063" s="171">
        <f t="shared" si="466"/>
        <v>0.7</v>
      </c>
      <c r="U1063" s="256">
        <v>454.5455</v>
      </c>
      <c r="V1063" s="170">
        <f t="shared" si="458"/>
        <v>461.18186430000003</v>
      </c>
      <c r="W1063" s="258">
        <v>0.1</v>
      </c>
      <c r="X1063" s="257">
        <f t="shared" si="467"/>
        <v>500.00004999999999</v>
      </c>
      <c r="Y1063" s="170">
        <f t="shared" si="446"/>
        <v>507.30005073000007</v>
      </c>
      <c r="Z1063" s="170">
        <f t="shared" si="456"/>
        <v>510</v>
      </c>
      <c r="AA1063" s="407">
        <f t="shared" si="468"/>
        <v>0</v>
      </c>
      <c r="AB1063" s="194"/>
    </row>
    <row r="1064" spans="1:28" s="278" customFormat="1" x14ac:dyDescent="0.25">
      <c r="A1064" s="200">
        <v>802060</v>
      </c>
      <c r="B1064" s="313" t="s">
        <v>18970</v>
      </c>
      <c r="C1064" s="248"/>
      <c r="D1064" s="247" t="s">
        <v>11</v>
      </c>
      <c r="E1064" s="249">
        <f t="shared" si="459"/>
        <v>31.818180000000002</v>
      </c>
      <c r="F1064" s="170">
        <f t="shared" si="459"/>
        <v>32.282725428000006</v>
      </c>
      <c r="G1064" s="252">
        <v>0.1</v>
      </c>
      <c r="H1064" s="171">
        <f t="shared" si="460"/>
        <v>0.1</v>
      </c>
      <c r="I1064" s="249">
        <f t="shared" si="461"/>
        <v>31.818180000000002</v>
      </c>
      <c r="J1064" s="170">
        <f t="shared" si="461"/>
        <v>32.282725428000006</v>
      </c>
      <c r="K1064" s="252">
        <v>0.1</v>
      </c>
      <c r="L1064" s="172">
        <f t="shared" si="454"/>
        <v>0.1</v>
      </c>
      <c r="M1064" s="249">
        <f t="shared" si="455"/>
        <v>31.818180000000002</v>
      </c>
      <c r="N1064" s="170">
        <f t="shared" si="462"/>
        <v>32.282725428000006</v>
      </c>
      <c r="O1064" s="252">
        <v>0.1</v>
      </c>
      <c r="P1064" s="172">
        <f t="shared" si="463"/>
        <v>0.1</v>
      </c>
      <c r="Q1064" s="251">
        <f t="shared" si="464"/>
        <v>222.72726</v>
      </c>
      <c r="R1064" s="173">
        <f t="shared" si="465"/>
        <v>225.979077996</v>
      </c>
      <c r="S1064" s="250">
        <v>0.7</v>
      </c>
      <c r="T1064" s="171">
        <f t="shared" si="466"/>
        <v>0.7</v>
      </c>
      <c r="U1064" s="256">
        <v>318.18180000000001</v>
      </c>
      <c r="V1064" s="170">
        <f t="shared" si="458"/>
        <v>322.82725428000003</v>
      </c>
      <c r="W1064" s="258">
        <v>0.1</v>
      </c>
      <c r="X1064" s="257">
        <f t="shared" si="467"/>
        <v>349.99997999999999</v>
      </c>
      <c r="Y1064" s="170">
        <f t="shared" si="446"/>
        <v>355.10997970800008</v>
      </c>
      <c r="Z1064" s="170">
        <f t="shared" si="456"/>
        <v>360</v>
      </c>
      <c r="AA1064" s="407">
        <f t="shared" si="468"/>
        <v>0</v>
      </c>
      <c r="AB1064" s="194"/>
    </row>
    <row r="1065" spans="1:28" s="278" customFormat="1" x14ac:dyDescent="0.25">
      <c r="A1065" s="200">
        <v>802065</v>
      </c>
      <c r="B1065" s="313" t="s">
        <v>18971</v>
      </c>
      <c r="C1065" s="248"/>
      <c r="D1065" s="247" t="s">
        <v>11</v>
      </c>
      <c r="E1065" s="249">
        <f t="shared" si="459"/>
        <v>25</v>
      </c>
      <c r="F1065" s="170">
        <f t="shared" si="459"/>
        <v>25.365000000000006</v>
      </c>
      <c r="G1065" s="252">
        <v>0.1</v>
      </c>
      <c r="H1065" s="171">
        <f t="shared" si="460"/>
        <v>0.1</v>
      </c>
      <c r="I1065" s="249">
        <f t="shared" si="461"/>
        <v>25</v>
      </c>
      <c r="J1065" s="170">
        <f t="shared" si="461"/>
        <v>25.365000000000006</v>
      </c>
      <c r="K1065" s="252">
        <v>0.1</v>
      </c>
      <c r="L1065" s="172">
        <f t="shared" si="454"/>
        <v>0.1</v>
      </c>
      <c r="M1065" s="249">
        <f t="shared" si="455"/>
        <v>25</v>
      </c>
      <c r="N1065" s="170">
        <f t="shared" si="462"/>
        <v>25.365000000000006</v>
      </c>
      <c r="O1065" s="252">
        <v>0.1</v>
      </c>
      <c r="P1065" s="172">
        <f t="shared" si="463"/>
        <v>0.1</v>
      </c>
      <c r="Q1065" s="251">
        <f t="shared" si="464"/>
        <v>175</v>
      </c>
      <c r="R1065" s="173">
        <f t="shared" si="465"/>
        <v>177.55500000000001</v>
      </c>
      <c r="S1065" s="250">
        <v>0.7</v>
      </c>
      <c r="T1065" s="171">
        <f t="shared" si="466"/>
        <v>0.7</v>
      </c>
      <c r="U1065" s="256">
        <v>250</v>
      </c>
      <c r="V1065" s="170">
        <f t="shared" si="458"/>
        <v>253.65000000000003</v>
      </c>
      <c r="W1065" s="258">
        <v>0.1</v>
      </c>
      <c r="X1065" s="257">
        <f t="shared" si="467"/>
        <v>275</v>
      </c>
      <c r="Y1065" s="170">
        <f t="shared" si="446"/>
        <v>279.01500000000004</v>
      </c>
      <c r="Z1065" s="170">
        <f t="shared" si="456"/>
        <v>280</v>
      </c>
      <c r="AA1065" s="407">
        <f t="shared" si="468"/>
        <v>0</v>
      </c>
      <c r="AB1065" s="194"/>
    </row>
    <row r="1066" spans="1:28" s="278" customFormat="1" x14ac:dyDescent="0.25">
      <c r="A1066" s="200">
        <v>802070</v>
      </c>
      <c r="B1066" s="313" t="s">
        <v>18972</v>
      </c>
      <c r="C1066" s="248"/>
      <c r="D1066" s="247" t="s">
        <v>11</v>
      </c>
      <c r="E1066" s="249">
        <f t="shared" si="459"/>
        <v>34.090910000000001</v>
      </c>
      <c r="F1066" s="170">
        <f t="shared" si="459"/>
        <v>34.588637286000008</v>
      </c>
      <c r="G1066" s="252">
        <v>0.1</v>
      </c>
      <c r="H1066" s="171">
        <f t="shared" si="460"/>
        <v>0.1</v>
      </c>
      <c r="I1066" s="249">
        <f t="shared" si="461"/>
        <v>34.090910000000001</v>
      </c>
      <c r="J1066" s="170">
        <f t="shared" si="461"/>
        <v>34.588637286000008</v>
      </c>
      <c r="K1066" s="252">
        <v>0.1</v>
      </c>
      <c r="L1066" s="172">
        <f t="shared" si="454"/>
        <v>0.1</v>
      </c>
      <c r="M1066" s="249">
        <f t="shared" si="455"/>
        <v>34.090910000000001</v>
      </c>
      <c r="N1066" s="170">
        <f t="shared" si="462"/>
        <v>34.588637286000008</v>
      </c>
      <c r="O1066" s="252">
        <v>0.1</v>
      </c>
      <c r="P1066" s="172">
        <f t="shared" si="463"/>
        <v>0.1</v>
      </c>
      <c r="Q1066" s="251">
        <f t="shared" si="464"/>
        <v>238.63637</v>
      </c>
      <c r="R1066" s="173">
        <f t="shared" si="465"/>
        <v>242.12046100200001</v>
      </c>
      <c r="S1066" s="250">
        <v>0.7</v>
      </c>
      <c r="T1066" s="171">
        <f t="shared" si="466"/>
        <v>0.7</v>
      </c>
      <c r="U1066" s="256">
        <v>340.90910000000002</v>
      </c>
      <c r="V1066" s="170">
        <f t="shared" si="458"/>
        <v>345.88637286000005</v>
      </c>
      <c r="W1066" s="258">
        <v>0.1</v>
      </c>
      <c r="X1066" s="257">
        <f t="shared" si="467"/>
        <v>375.00001000000003</v>
      </c>
      <c r="Y1066" s="170">
        <f t="shared" ref="Y1066:Y1129" si="469">IF(V1066*(W1066+1)=0,X1066,V1066*(W1066+1))</f>
        <v>380.4750101460001</v>
      </c>
      <c r="Z1066" s="170">
        <f t="shared" si="456"/>
        <v>385</v>
      </c>
      <c r="AA1066" s="407">
        <f t="shared" si="468"/>
        <v>0</v>
      </c>
      <c r="AB1066" s="194"/>
    </row>
    <row r="1067" spans="1:28" s="278" customFormat="1" x14ac:dyDescent="0.25">
      <c r="A1067" s="200">
        <v>802075</v>
      </c>
      <c r="B1067" s="313" t="s">
        <v>18973</v>
      </c>
      <c r="C1067" s="248"/>
      <c r="D1067" s="247" t="s">
        <v>11</v>
      </c>
      <c r="E1067" s="249">
        <f t="shared" si="459"/>
        <v>38.636360000000003</v>
      </c>
      <c r="F1067" s="170">
        <f t="shared" si="459"/>
        <v>39.200450856000003</v>
      </c>
      <c r="G1067" s="252">
        <v>0.1</v>
      </c>
      <c r="H1067" s="171">
        <f t="shared" si="460"/>
        <v>0.1</v>
      </c>
      <c r="I1067" s="249">
        <f t="shared" si="461"/>
        <v>38.636360000000003</v>
      </c>
      <c r="J1067" s="170">
        <f t="shared" si="461"/>
        <v>39.200450856000003</v>
      </c>
      <c r="K1067" s="252">
        <v>0.1</v>
      </c>
      <c r="L1067" s="172">
        <f t="shared" si="454"/>
        <v>0.1</v>
      </c>
      <c r="M1067" s="249">
        <f t="shared" si="455"/>
        <v>38.636360000000003</v>
      </c>
      <c r="N1067" s="170">
        <f t="shared" si="462"/>
        <v>39.200450856000003</v>
      </c>
      <c r="O1067" s="252">
        <v>0.1</v>
      </c>
      <c r="P1067" s="172">
        <f t="shared" si="463"/>
        <v>0.1</v>
      </c>
      <c r="Q1067" s="251">
        <f t="shared" si="464"/>
        <v>270.45452</v>
      </c>
      <c r="R1067" s="173">
        <f t="shared" si="465"/>
        <v>274.40315599199994</v>
      </c>
      <c r="S1067" s="250">
        <v>0.7</v>
      </c>
      <c r="T1067" s="171">
        <f t="shared" si="466"/>
        <v>0.7</v>
      </c>
      <c r="U1067" s="256">
        <v>386.36360000000002</v>
      </c>
      <c r="V1067" s="170">
        <f t="shared" si="458"/>
        <v>392.00450855999998</v>
      </c>
      <c r="W1067" s="258">
        <v>0.1</v>
      </c>
      <c r="X1067" s="257">
        <f t="shared" si="467"/>
        <v>424.99996000000004</v>
      </c>
      <c r="Y1067" s="170">
        <f t="shared" si="469"/>
        <v>431.20495941600001</v>
      </c>
      <c r="Z1067" s="170">
        <f t="shared" si="456"/>
        <v>435</v>
      </c>
      <c r="AA1067" s="407">
        <f t="shared" si="468"/>
        <v>0</v>
      </c>
      <c r="AB1067" s="194"/>
    </row>
    <row r="1068" spans="1:28" s="278" customFormat="1" x14ac:dyDescent="0.25">
      <c r="A1068" s="200">
        <v>802080</v>
      </c>
      <c r="B1068" s="313" t="s">
        <v>19735</v>
      </c>
      <c r="C1068" s="248"/>
      <c r="D1068" s="247" t="s">
        <v>11</v>
      </c>
      <c r="E1068" s="249">
        <f t="shared" si="459"/>
        <v>45.455000000000005</v>
      </c>
      <c r="F1068" s="170">
        <f t="shared" si="459"/>
        <v>46.118643000000006</v>
      </c>
      <c r="G1068" s="252">
        <v>0.1</v>
      </c>
      <c r="H1068" s="171">
        <f t="shared" si="460"/>
        <v>0.1</v>
      </c>
      <c r="I1068" s="249">
        <f t="shared" si="461"/>
        <v>45.455000000000005</v>
      </c>
      <c r="J1068" s="170">
        <f t="shared" si="461"/>
        <v>46.118643000000006</v>
      </c>
      <c r="K1068" s="252">
        <v>0.1</v>
      </c>
      <c r="L1068" s="172">
        <f t="shared" si="454"/>
        <v>0.1</v>
      </c>
      <c r="M1068" s="249">
        <f t="shared" si="455"/>
        <v>45.455000000000005</v>
      </c>
      <c r="N1068" s="170">
        <f t="shared" si="462"/>
        <v>46.118643000000006</v>
      </c>
      <c r="O1068" s="252">
        <v>0.1</v>
      </c>
      <c r="P1068" s="172">
        <f t="shared" si="463"/>
        <v>0.1</v>
      </c>
      <c r="Q1068" s="251">
        <f t="shared" si="464"/>
        <v>318.185</v>
      </c>
      <c r="R1068" s="173">
        <f t="shared" si="465"/>
        <v>322.83050100000003</v>
      </c>
      <c r="S1068" s="250">
        <v>0.7</v>
      </c>
      <c r="T1068" s="171">
        <f t="shared" si="466"/>
        <v>0.7</v>
      </c>
      <c r="U1068" s="256">
        <v>454.55</v>
      </c>
      <c r="V1068" s="170">
        <f t="shared" si="458"/>
        <v>461.18643000000003</v>
      </c>
      <c r="W1068" s="258">
        <v>0.1</v>
      </c>
      <c r="X1068" s="257">
        <f t="shared" si="467"/>
        <v>500.005</v>
      </c>
      <c r="Y1068" s="170">
        <f t="shared" si="469"/>
        <v>507.30507300000005</v>
      </c>
      <c r="Z1068" s="170">
        <f t="shared" si="456"/>
        <v>510</v>
      </c>
      <c r="AA1068" s="407">
        <f t="shared" si="468"/>
        <v>0</v>
      </c>
      <c r="AB1068" s="194"/>
    </row>
    <row r="1069" spans="1:28" s="278" customFormat="1" x14ac:dyDescent="0.25">
      <c r="A1069" s="200">
        <v>802101</v>
      </c>
      <c r="B1069" s="313" t="s">
        <v>14747</v>
      </c>
      <c r="C1069" s="248"/>
      <c r="D1069" s="247" t="s">
        <v>11</v>
      </c>
      <c r="E1069" s="249">
        <f t="shared" si="459"/>
        <v>2.7272700000000003</v>
      </c>
      <c r="F1069" s="170">
        <f t="shared" si="459"/>
        <v>2.7670881420000004</v>
      </c>
      <c r="G1069" s="252">
        <v>0.1</v>
      </c>
      <c r="H1069" s="171">
        <f t="shared" si="460"/>
        <v>0.1</v>
      </c>
      <c r="I1069" s="249">
        <f t="shared" si="461"/>
        <v>2.7272700000000003</v>
      </c>
      <c r="J1069" s="170">
        <f t="shared" si="461"/>
        <v>2.7670881420000004</v>
      </c>
      <c r="K1069" s="252">
        <v>0.1</v>
      </c>
      <c r="L1069" s="172">
        <f t="shared" si="454"/>
        <v>0.1</v>
      </c>
      <c r="M1069" s="249">
        <f t="shared" si="455"/>
        <v>2.7272700000000003</v>
      </c>
      <c r="N1069" s="170">
        <f t="shared" si="462"/>
        <v>2.7670881420000004</v>
      </c>
      <c r="O1069" s="252">
        <v>0.1</v>
      </c>
      <c r="P1069" s="172">
        <f t="shared" si="463"/>
        <v>0.1</v>
      </c>
      <c r="Q1069" s="251">
        <f t="shared" si="464"/>
        <v>19.090889999999998</v>
      </c>
      <c r="R1069" s="173">
        <f t="shared" si="465"/>
        <v>19.369616993999998</v>
      </c>
      <c r="S1069" s="250">
        <v>0.7</v>
      </c>
      <c r="T1069" s="171">
        <f t="shared" si="466"/>
        <v>0.7</v>
      </c>
      <c r="U1069" s="256">
        <v>27.2727</v>
      </c>
      <c r="V1069" s="170">
        <f t="shared" si="458"/>
        <v>27.670881420000001</v>
      </c>
      <c r="W1069" s="258">
        <v>0.1</v>
      </c>
      <c r="X1069" s="257">
        <f t="shared" si="467"/>
        <v>29.999970000000001</v>
      </c>
      <c r="Y1069" s="170">
        <f t="shared" si="469"/>
        <v>30.437969562000003</v>
      </c>
      <c r="Z1069" s="170">
        <f t="shared" si="456"/>
        <v>31</v>
      </c>
      <c r="AA1069" s="407">
        <f t="shared" si="468"/>
        <v>0</v>
      </c>
      <c r="AB1069" s="194"/>
    </row>
    <row r="1070" spans="1:28" s="278" customFormat="1" x14ac:dyDescent="0.25">
      <c r="A1070" s="200">
        <v>802101</v>
      </c>
      <c r="B1070" s="313" t="s">
        <v>14748</v>
      </c>
      <c r="C1070" s="248"/>
      <c r="D1070" s="247" t="s">
        <v>11</v>
      </c>
      <c r="E1070" s="249">
        <f t="shared" si="459"/>
        <v>1.4545500000000002</v>
      </c>
      <c r="F1070" s="170">
        <f t="shared" si="459"/>
        <v>1.4757864300000001</v>
      </c>
      <c r="G1070" s="252">
        <v>0.1</v>
      </c>
      <c r="H1070" s="171">
        <f t="shared" si="460"/>
        <v>0.1</v>
      </c>
      <c r="I1070" s="249">
        <f t="shared" si="461"/>
        <v>1.4545500000000002</v>
      </c>
      <c r="J1070" s="170">
        <f t="shared" si="461"/>
        <v>1.4757864300000001</v>
      </c>
      <c r="K1070" s="252">
        <v>0.1</v>
      </c>
      <c r="L1070" s="172">
        <f t="shared" si="454"/>
        <v>0.1</v>
      </c>
      <c r="M1070" s="249">
        <f t="shared" si="455"/>
        <v>1.4545500000000002</v>
      </c>
      <c r="N1070" s="170">
        <f t="shared" si="462"/>
        <v>1.4757864300000001</v>
      </c>
      <c r="O1070" s="252">
        <v>0.1</v>
      </c>
      <c r="P1070" s="172">
        <f t="shared" si="463"/>
        <v>0.1</v>
      </c>
      <c r="Q1070" s="251">
        <f t="shared" si="464"/>
        <v>10.181849999999999</v>
      </c>
      <c r="R1070" s="173">
        <f t="shared" si="465"/>
        <v>10.33050501</v>
      </c>
      <c r="S1070" s="250">
        <v>0.7</v>
      </c>
      <c r="T1070" s="171">
        <f t="shared" si="466"/>
        <v>0.7</v>
      </c>
      <c r="U1070" s="256">
        <v>14.545500000000001</v>
      </c>
      <c r="V1070" s="170">
        <f t="shared" si="458"/>
        <v>14.7578643</v>
      </c>
      <c r="W1070" s="258">
        <v>0.1</v>
      </c>
      <c r="X1070" s="257">
        <f t="shared" si="467"/>
        <v>16.000050000000002</v>
      </c>
      <c r="Y1070" s="170">
        <f t="shared" si="469"/>
        <v>16.233650730000001</v>
      </c>
      <c r="Z1070" s="170">
        <f t="shared" si="456"/>
        <v>17</v>
      </c>
      <c r="AA1070" s="407">
        <f t="shared" si="468"/>
        <v>0</v>
      </c>
      <c r="AB1070" s="194"/>
    </row>
    <row r="1071" spans="1:28" s="278" customFormat="1" x14ac:dyDescent="0.25">
      <c r="A1071" s="200">
        <v>802102</v>
      </c>
      <c r="B1071" s="313" t="s">
        <v>14749</v>
      </c>
      <c r="C1071" s="248"/>
      <c r="D1071" s="247" t="s">
        <v>11</v>
      </c>
      <c r="E1071" s="249">
        <f t="shared" si="459"/>
        <v>4.5454500000000007</v>
      </c>
      <c r="F1071" s="170">
        <f t="shared" si="459"/>
        <v>4.6118135700000007</v>
      </c>
      <c r="G1071" s="252">
        <v>0.1</v>
      </c>
      <c r="H1071" s="171">
        <f t="shared" si="460"/>
        <v>0.1</v>
      </c>
      <c r="I1071" s="249">
        <f t="shared" si="461"/>
        <v>4.5454500000000007</v>
      </c>
      <c r="J1071" s="170">
        <f t="shared" si="461"/>
        <v>4.6118135700000007</v>
      </c>
      <c r="K1071" s="252">
        <v>0.1</v>
      </c>
      <c r="L1071" s="172">
        <f t="shared" si="454"/>
        <v>0.1</v>
      </c>
      <c r="M1071" s="249">
        <f t="shared" si="455"/>
        <v>4.5454500000000007</v>
      </c>
      <c r="N1071" s="170">
        <f t="shared" si="462"/>
        <v>4.6118135700000007</v>
      </c>
      <c r="O1071" s="252">
        <v>0.1</v>
      </c>
      <c r="P1071" s="172">
        <f t="shared" si="463"/>
        <v>0.1</v>
      </c>
      <c r="Q1071" s="251">
        <f t="shared" si="464"/>
        <v>31.818149999999999</v>
      </c>
      <c r="R1071" s="173">
        <f t="shared" si="465"/>
        <v>32.282694990000003</v>
      </c>
      <c r="S1071" s="250">
        <v>0.7</v>
      </c>
      <c r="T1071" s="171">
        <f t="shared" si="466"/>
        <v>0.7</v>
      </c>
      <c r="U1071" s="256">
        <v>45.454500000000003</v>
      </c>
      <c r="V1071" s="170">
        <f t="shared" si="458"/>
        <v>46.118135700000003</v>
      </c>
      <c r="W1071" s="258">
        <v>0.1</v>
      </c>
      <c r="X1071" s="257">
        <f t="shared" si="467"/>
        <v>49.999950000000005</v>
      </c>
      <c r="Y1071" s="170">
        <f t="shared" si="469"/>
        <v>50.729949270000006</v>
      </c>
      <c r="Z1071" s="170">
        <f t="shared" si="456"/>
        <v>51</v>
      </c>
      <c r="AA1071" s="407">
        <f t="shared" si="468"/>
        <v>0</v>
      </c>
      <c r="AB1071" s="194"/>
    </row>
    <row r="1072" spans="1:28" s="278" customFormat="1" x14ac:dyDescent="0.25">
      <c r="A1072" s="200">
        <v>802102</v>
      </c>
      <c r="B1072" s="313" t="s">
        <v>14750</v>
      </c>
      <c r="C1072" s="248"/>
      <c r="D1072" s="247" t="s">
        <v>11</v>
      </c>
      <c r="E1072" s="249">
        <f t="shared" si="459"/>
        <v>3</v>
      </c>
      <c r="F1072" s="170">
        <f t="shared" si="459"/>
        <v>3.0438000000000005</v>
      </c>
      <c r="G1072" s="252">
        <v>0.1</v>
      </c>
      <c r="H1072" s="171">
        <f t="shared" si="460"/>
        <v>0.1</v>
      </c>
      <c r="I1072" s="249">
        <f t="shared" si="461"/>
        <v>3</v>
      </c>
      <c r="J1072" s="170">
        <f t="shared" si="461"/>
        <v>3.0438000000000005</v>
      </c>
      <c r="K1072" s="252">
        <v>0.1</v>
      </c>
      <c r="L1072" s="172">
        <f t="shared" si="454"/>
        <v>0.1</v>
      </c>
      <c r="M1072" s="249">
        <f t="shared" si="455"/>
        <v>3</v>
      </c>
      <c r="N1072" s="170">
        <f t="shared" si="462"/>
        <v>3.0438000000000005</v>
      </c>
      <c r="O1072" s="252">
        <v>0.1</v>
      </c>
      <c r="P1072" s="172">
        <f t="shared" si="463"/>
        <v>0.1</v>
      </c>
      <c r="Q1072" s="251">
        <f t="shared" si="464"/>
        <v>21</v>
      </c>
      <c r="R1072" s="173">
        <f t="shared" si="465"/>
        <v>21.3066</v>
      </c>
      <c r="S1072" s="250">
        <v>0.7</v>
      </c>
      <c r="T1072" s="171">
        <f t="shared" si="466"/>
        <v>0.7</v>
      </c>
      <c r="U1072" s="256">
        <v>30</v>
      </c>
      <c r="V1072" s="170">
        <f t="shared" si="458"/>
        <v>30.438000000000002</v>
      </c>
      <c r="W1072" s="258">
        <v>0.1</v>
      </c>
      <c r="X1072" s="257">
        <f t="shared" si="467"/>
        <v>33</v>
      </c>
      <c r="Y1072" s="170">
        <f t="shared" si="469"/>
        <v>33.481800000000007</v>
      </c>
      <c r="Z1072" s="170">
        <f t="shared" si="456"/>
        <v>34</v>
      </c>
      <c r="AA1072" s="407">
        <f t="shared" si="468"/>
        <v>0</v>
      </c>
      <c r="AB1072" s="194"/>
    </row>
    <row r="1073" spans="1:28" s="278" customFormat="1" x14ac:dyDescent="0.25">
      <c r="A1073" s="200">
        <v>802103</v>
      </c>
      <c r="B1073" s="313" t="s">
        <v>14751</v>
      </c>
      <c r="C1073" s="248"/>
      <c r="D1073" s="247" t="s">
        <v>11</v>
      </c>
      <c r="E1073" s="249">
        <f t="shared" si="459"/>
        <v>5.4545500000000002</v>
      </c>
      <c r="F1073" s="170">
        <f t="shared" si="459"/>
        <v>5.5341864300000001</v>
      </c>
      <c r="G1073" s="252">
        <v>0.1</v>
      </c>
      <c r="H1073" s="171">
        <f t="shared" si="460"/>
        <v>0.1</v>
      </c>
      <c r="I1073" s="249">
        <f t="shared" si="461"/>
        <v>5.4545500000000002</v>
      </c>
      <c r="J1073" s="170">
        <f t="shared" si="461"/>
        <v>5.5341864300000001</v>
      </c>
      <c r="K1073" s="252">
        <v>0.1</v>
      </c>
      <c r="L1073" s="172">
        <f t="shared" si="454"/>
        <v>0.1</v>
      </c>
      <c r="M1073" s="249">
        <f t="shared" si="455"/>
        <v>5.4545500000000002</v>
      </c>
      <c r="N1073" s="170">
        <f t="shared" si="462"/>
        <v>5.5341864300000001</v>
      </c>
      <c r="O1073" s="252">
        <v>0.1</v>
      </c>
      <c r="P1073" s="172">
        <f t="shared" si="463"/>
        <v>0.1</v>
      </c>
      <c r="Q1073" s="251">
        <f t="shared" si="464"/>
        <v>38.181849999999997</v>
      </c>
      <c r="R1073" s="173">
        <f t="shared" si="465"/>
        <v>38.739305009999995</v>
      </c>
      <c r="S1073" s="250">
        <v>0.7</v>
      </c>
      <c r="T1073" s="171">
        <f t="shared" si="466"/>
        <v>0.7</v>
      </c>
      <c r="U1073" s="256">
        <v>54.545499999999997</v>
      </c>
      <c r="V1073" s="170">
        <f t="shared" si="458"/>
        <v>55.341864299999997</v>
      </c>
      <c r="W1073" s="258">
        <v>0.1</v>
      </c>
      <c r="X1073" s="257">
        <f t="shared" si="467"/>
        <v>60.000049999999995</v>
      </c>
      <c r="Y1073" s="170">
        <f t="shared" si="469"/>
        <v>60.876050730000003</v>
      </c>
      <c r="Z1073" s="170">
        <f t="shared" si="456"/>
        <v>61</v>
      </c>
      <c r="AA1073" s="407">
        <f t="shared" si="468"/>
        <v>0</v>
      </c>
      <c r="AB1073" s="194"/>
    </row>
    <row r="1074" spans="1:28" s="278" customFormat="1" x14ac:dyDescent="0.25">
      <c r="A1074" s="200">
        <v>802103</v>
      </c>
      <c r="B1074" s="313" t="s">
        <v>14752</v>
      </c>
      <c r="C1074" s="248"/>
      <c r="D1074" s="247" t="s">
        <v>11</v>
      </c>
      <c r="E1074" s="249">
        <f t="shared" si="459"/>
        <v>3.6363599999999998</v>
      </c>
      <c r="F1074" s="170">
        <f t="shared" si="459"/>
        <v>3.6894508560000001</v>
      </c>
      <c r="G1074" s="252">
        <v>0.1</v>
      </c>
      <c r="H1074" s="171">
        <f t="shared" si="460"/>
        <v>0.1</v>
      </c>
      <c r="I1074" s="249">
        <f t="shared" si="461"/>
        <v>3.6363599999999998</v>
      </c>
      <c r="J1074" s="170">
        <f t="shared" si="461"/>
        <v>3.6894508560000001</v>
      </c>
      <c r="K1074" s="252">
        <v>0.1</v>
      </c>
      <c r="L1074" s="172">
        <f t="shared" si="454"/>
        <v>0.1</v>
      </c>
      <c r="M1074" s="249">
        <f t="shared" si="455"/>
        <v>3.6363599999999998</v>
      </c>
      <c r="N1074" s="170">
        <f t="shared" si="462"/>
        <v>3.6894508560000001</v>
      </c>
      <c r="O1074" s="252">
        <v>0.1</v>
      </c>
      <c r="P1074" s="172">
        <f t="shared" si="463"/>
        <v>0.1</v>
      </c>
      <c r="Q1074" s="251">
        <f t="shared" si="464"/>
        <v>25.454519999999999</v>
      </c>
      <c r="R1074" s="173">
        <f t="shared" si="465"/>
        <v>25.826155991999997</v>
      </c>
      <c r="S1074" s="250">
        <v>0.7</v>
      </c>
      <c r="T1074" s="171">
        <f t="shared" si="466"/>
        <v>0.7</v>
      </c>
      <c r="U1074" s="256">
        <v>36.363599999999998</v>
      </c>
      <c r="V1074" s="170">
        <f t="shared" si="458"/>
        <v>36.894508559999998</v>
      </c>
      <c r="W1074" s="258">
        <v>0.1</v>
      </c>
      <c r="X1074" s="257">
        <f t="shared" si="467"/>
        <v>39.999960000000002</v>
      </c>
      <c r="Y1074" s="170">
        <f t="shared" si="469"/>
        <v>40.583959415999999</v>
      </c>
      <c r="Z1074" s="170">
        <f t="shared" si="456"/>
        <v>41</v>
      </c>
      <c r="AA1074" s="407">
        <f t="shared" si="468"/>
        <v>0</v>
      </c>
      <c r="AB1074" s="194"/>
    </row>
    <row r="1075" spans="1:28" s="278" customFormat="1" x14ac:dyDescent="0.25">
      <c r="A1075" s="200">
        <v>802105</v>
      </c>
      <c r="B1075" s="313" t="s">
        <v>14753</v>
      </c>
      <c r="C1075" s="248"/>
      <c r="D1075" s="247" t="s">
        <v>11</v>
      </c>
      <c r="E1075" s="249">
        <f t="shared" si="459"/>
        <v>6.3636400000000002</v>
      </c>
      <c r="F1075" s="170">
        <f t="shared" si="459"/>
        <v>6.4565491440000002</v>
      </c>
      <c r="G1075" s="252">
        <v>0.1</v>
      </c>
      <c r="H1075" s="171">
        <f t="shared" si="460"/>
        <v>0.1</v>
      </c>
      <c r="I1075" s="249">
        <f t="shared" si="461"/>
        <v>6.3636400000000002</v>
      </c>
      <c r="J1075" s="170">
        <f t="shared" si="461"/>
        <v>6.4565491440000002</v>
      </c>
      <c r="K1075" s="252">
        <v>0.1</v>
      </c>
      <c r="L1075" s="172">
        <f t="shared" si="454"/>
        <v>0.1</v>
      </c>
      <c r="M1075" s="249">
        <f t="shared" si="455"/>
        <v>6.3636400000000002</v>
      </c>
      <c r="N1075" s="170">
        <f t="shared" si="462"/>
        <v>6.4565491440000002</v>
      </c>
      <c r="O1075" s="252">
        <v>0.1</v>
      </c>
      <c r="P1075" s="172">
        <f t="shared" si="463"/>
        <v>0.1</v>
      </c>
      <c r="Q1075" s="251">
        <f t="shared" si="464"/>
        <v>44.545479999999998</v>
      </c>
      <c r="R1075" s="173">
        <f t="shared" si="465"/>
        <v>45.195844008000002</v>
      </c>
      <c r="S1075" s="250">
        <v>0.7</v>
      </c>
      <c r="T1075" s="171">
        <f t="shared" si="466"/>
        <v>0.7</v>
      </c>
      <c r="U1075" s="256">
        <v>63.636400000000002</v>
      </c>
      <c r="V1075" s="170">
        <f t="shared" si="458"/>
        <v>64.565491440000002</v>
      </c>
      <c r="W1075" s="258">
        <v>0.1</v>
      </c>
      <c r="X1075" s="257">
        <f t="shared" si="467"/>
        <v>70.000039999999998</v>
      </c>
      <c r="Y1075" s="170">
        <f t="shared" si="469"/>
        <v>71.02204058400001</v>
      </c>
      <c r="Z1075" s="170">
        <f t="shared" si="456"/>
        <v>72</v>
      </c>
      <c r="AA1075" s="407">
        <f t="shared" si="468"/>
        <v>0</v>
      </c>
      <c r="AB1075" s="194"/>
    </row>
    <row r="1076" spans="1:28" s="278" customFormat="1" x14ac:dyDescent="0.25">
      <c r="A1076" s="200">
        <v>802105</v>
      </c>
      <c r="B1076" s="313" t="s">
        <v>14754</v>
      </c>
      <c r="C1076" s="248"/>
      <c r="D1076" s="247" t="s">
        <v>11</v>
      </c>
      <c r="E1076" s="249">
        <f t="shared" si="459"/>
        <v>4.90909</v>
      </c>
      <c r="F1076" s="170">
        <f t="shared" si="459"/>
        <v>4.9807627139999999</v>
      </c>
      <c r="G1076" s="252">
        <v>0.1</v>
      </c>
      <c r="H1076" s="171">
        <f t="shared" si="460"/>
        <v>0.1</v>
      </c>
      <c r="I1076" s="249">
        <f t="shared" si="461"/>
        <v>4.90909</v>
      </c>
      <c r="J1076" s="170">
        <f t="shared" si="461"/>
        <v>4.9807627139999999</v>
      </c>
      <c r="K1076" s="252">
        <v>0.1</v>
      </c>
      <c r="L1076" s="172">
        <f t="shared" si="454"/>
        <v>0.1</v>
      </c>
      <c r="M1076" s="249">
        <f t="shared" si="455"/>
        <v>4.90909</v>
      </c>
      <c r="N1076" s="170">
        <f t="shared" si="462"/>
        <v>4.9807627139999999</v>
      </c>
      <c r="O1076" s="252">
        <v>0.1</v>
      </c>
      <c r="P1076" s="172">
        <f t="shared" si="463"/>
        <v>0.1</v>
      </c>
      <c r="Q1076" s="251">
        <f t="shared" si="464"/>
        <v>34.363629999999993</v>
      </c>
      <c r="R1076" s="173">
        <f t="shared" si="465"/>
        <v>34.865338997999991</v>
      </c>
      <c r="S1076" s="250">
        <v>0.7</v>
      </c>
      <c r="T1076" s="171">
        <f t="shared" si="466"/>
        <v>0.7</v>
      </c>
      <c r="U1076" s="256">
        <v>49.090899999999998</v>
      </c>
      <c r="V1076" s="170">
        <f t="shared" si="458"/>
        <v>49.807627139999994</v>
      </c>
      <c r="W1076" s="258">
        <v>0.1</v>
      </c>
      <c r="X1076" s="257">
        <f t="shared" si="467"/>
        <v>53.999989999999997</v>
      </c>
      <c r="Y1076" s="170">
        <f t="shared" si="469"/>
        <v>54.788389853999995</v>
      </c>
      <c r="Z1076" s="170">
        <f t="shared" si="456"/>
        <v>55</v>
      </c>
      <c r="AA1076" s="407">
        <f t="shared" si="468"/>
        <v>0</v>
      </c>
      <c r="AB1076" s="194"/>
    </row>
    <row r="1077" spans="1:28" s="278" customFormat="1" x14ac:dyDescent="0.25">
      <c r="A1077" s="200">
        <v>802111</v>
      </c>
      <c r="B1077" s="313" t="s">
        <v>14755</v>
      </c>
      <c r="C1077" s="248"/>
      <c r="D1077" s="247" t="s">
        <v>11</v>
      </c>
      <c r="E1077" s="249">
        <f t="shared" si="459"/>
        <v>1.8180000000000001</v>
      </c>
      <c r="F1077" s="170">
        <f t="shared" si="459"/>
        <v>1.8445428000000001</v>
      </c>
      <c r="G1077" s="252">
        <v>0.1</v>
      </c>
      <c r="H1077" s="171">
        <f t="shared" si="460"/>
        <v>0.1</v>
      </c>
      <c r="I1077" s="249">
        <f t="shared" si="461"/>
        <v>1.8180000000000001</v>
      </c>
      <c r="J1077" s="170">
        <f t="shared" si="461"/>
        <v>1.8445428000000001</v>
      </c>
      <c r="K1077" s="252">
        <v>0.1</v>
      </c>
      <c r="L1077" s="172">
        <f t="shared" si="454"/>
        <v>0.1</v>
      </c>
      <c r="M1077" s="249">
        <f t="shared" si="455"/>
        <v>1.8180000000000001</v>
      </c>
      <c r="N1077" s="170">
        <f t="shared" si="462"/>
        <v>1.8445428000000001</v>
      </c>
      <c r="O1077" s="252">
        <v>0.1</v>
      </c>
      <c r="P1077" s="172">
        <f t="shared" si="463"/>
        <v>0.1</v>
      </c>
      <c r="Q1077" s="251">
        <f t="shared" si="464"/>
        <v>12.725999999999999</v>
      </c>
      <c r="R1077" s="173">
        <f t="shared" si="465"/>
        <v>12.911799599999998</v>
      </c>
      <c r="S1077" s="250">
        <v>0.7</v>
      </c>
      <c r="T1077" s="171">
        <f t="shared" si="466"/>
        <v>0.7</v>
      </c>
      <c r="U1077" s="256">
        <v>18.18</v>
      </c>
      <c r="V1077" s="170">
        <f t="shared" si="458"/>
        <v>18.445428</v>
      </c>
      <c r="W1077" s="258">
        <v>0.1</v>
      </c>
      <c r="X1077" s="257">
        <f t="shared" si="467"/>
        <v>19.998000000000001</v>
      </c>
      <c r="Y1077" s="170">
        <f t="shared" si="469"/>
        <v>20.289970800000003</v>
      </c>
      <c r="Z1077" s="170">
        <f t="shared" si="456"/>
        <v>21</v>
      </c>
      <c r="AA1077" s="407">
        <f t="shared" si="468"/>
        <v>0</v>
      </c>
      <c r="AB1077" s="194"/>
    </row>
    <row r="1078" spans="1:28" s="278" customFormat="1" x14ac:dyDescent="0.25">
      <c r="A1078" s="200">
        <v>802111</v>
      </c>
      <c r="B1078" s="313" t="s">
        <v>14756</v>
      </c>
      <c r="C1078" s="248"/>
      <c r="D1078" s="247" t="s">
        <v>11</v>
      </c>
      <c r="E1078" s="249">
        <f t="shared" si="459"/>
        <v>1.6363600000000003</v>
      </c>
      <c r="F1078" s="170">
        <f t="shared" si="459"/>
        <v>1.6602508560000004</v>
      </c>
      <c r="G1078" s="252">
        <v>0.1</v>
      </c>
      <c r="H1078" s="171">
        <f t="shared" si="460"/>
        <v>0.1</v>
      </c>
      <c r="I1078" s="249">
        <f t="shared" si="461"/>
        <v>1.6363600000000003</v>
      </c>
      <c r="J1078" s="170">
        <f t="shared" si="461"/>
        <v>1.6602508560000004</v>
      </c>
      <c r="K1078" s="252">
        <v>0.1</v>
      </c>
      <c r="L1078" s="172">
        <f t="shared" si="454"/>
        <v>0.1</v>
      </c>
      <c r="M1078" s="249">
        <f t="shared" si="455"/>
        <v>1.6363600000000003</v>
      </c>
      <c r="N1078" s="170">
        <f t="shared" si="462"/>
        <v>1.6602508560000004</v>
      </c>
      <c r="O1078" s="252">
        <v>0.1</v>
      </c>
      <c r="P1078" s="172">
        <f t="shared" si="463"/>
        <v>0.1</v>
      </c>
      <c r="Q1078" s="251">
        <f t="shared" si="464"/>
        <v>11.45452</v>
      </c>
      <c r="R1078" s="173">
        <f t="shared" si="465"/>
        <v>11.621755992000002</v>
      </c>
      <c r="S1078" s="250">
        <v>0.7</v>
      </c>
      <c r="T1078" s="171">
        <f t="shared" si="466"/>
        <v>0.7</v>
      </c>
      <c r="U1078" s="256">
        <v>16.363600000000002</v>
      </c>
      <c r="V1078" s="170">
        <f t="shared" si="458"/>
        <v>16.602508560000004</v>
      </c>
      <c r="W1078" s="258">
        <v>0.1</v>
      </c>
      <c r="X1078" s="257">
        <f t="shared" si="467"/>
        <v>17.999960000000002</v>
      </c>
      <c r="Y1078" s="170">
        <f t="shared" si="469"/>
        <v>18.262759416000005</v>
      </c>
      <c r="Z1078" s="170">
        <f t="shared" si="456"/>
        <v>19</v>
      </c>
      <c r="AA1078" s="407">
        <f t="shared" si="468"/>
        <v>0</v>
      </c>
      <c r="AB1078" s="194"/>
    </row>
    <row r="1079" spans="1:28" s="278" customFormat="1" x14ac:dyDescent="0.25">
      <c r="A1079" s="200">
        <v>802112</v>
      </c>
      <c r="B1079" s="313" t="s">
        <v>14757</v>
      </c>
      <c r="C1079" s="248"/>
      <c r="D1079" s="247" t="s">
        <v>11</v>
      </c>
      <c r="E1079" s="249">
        <f t="shared" si="459"/>
        <v>3.6363599999999998</v>
      </c>
      <c r="F1079" s="170">
        <f t="shared" si="459"/>
        <v>3.6894508560000001</v>
      </c>
      <c r="G1079" s="252">
        <v>0.1</v>
      </c>
      <c r="H1079" s="171">
        <f t="shared" si="460"/>
        <v>0.1</v>
      </c>
      <c r="I1079" s="249">
        <f t="shared" si="461"/>
        <v>3.6363599999999998</v>
      </c>
      <c r="J1079" s="170">
        <f t="shared" si="461"/>
        <v>3.6894508560000001</v>
      </c>
      <c r="K1079" s="252">
        <v>0.1</v>
      </c>
      <c r="L1079" s="172">
        <f t="shared" si="454"/>
        <v>0.1</v>
      </c>
      <c r="M1079" s="249">
        <f t="shared" si="455"/>
        <v>3.6363599999999998</v>
      </c>
      <c r="N1079" s="170">
        <f t="shared" si="462"/>
        <v>3.6894508560000001</v>
      </c>
      <c r="O1079" s="252">
        <v>0.1</v>
      </c>
      <c r="P1079" s="172">
        <f t="shared" si="463"/>
        <v>0.1</v>
      </c>
      <c r="Q1079" s="251">
        <f t="shared" si="464"/>
        <v>25.454519999999999</v>
      </c>
      <c r="R1079" s="173">
        <f t="shared" si="465"/>
        <v>25.826155991999997</v>
      </c>
      <c r="S1079" s="250">
        <v>0.7</v>
      </c>
      <c r="T1079" s="171">
        <f t="shared" si="466"/>
        <v>0.7</v>
      </c>
      <c r="U1079" s="256">
        <v>36.363599999999998</v>
      </c>
      <c r="V1079" s="170">
        <f t="shared" si="458"/>
        <v>36.894508559999998</v>
      </c>
      <c r="W1079" s="258">
        <v>0.1</v>
      </c>
      <c r="X1079" s="257">
        <f t="shared" si="467"/>
        <v>39.999960000000002</v>
      </c>
      <c r="Y1079" s="170">
        <f t="shared" si="469"/>
        <v>40.583959415999999</v>
      </c>
      <c r="Z1079" s="170">
        <f t="shared" si="456"/>
        <v>41</v>
      </c>
      <c r="AA1079" s="407">
        <f t="shared" si="468"/>
        <v>0</v>
      </c>
      <c r="AB1079" s="194"/>
    </row>
    <row r="1080" spans="1:28" s="278" customFormat="1" x14ac:dyDescent="0.25">
      <c r="A1080" s="200">
        <v>802112</v>
      </c>
      <c r="B1080" s="313" t="s">
        <v>14758</v>
      </c>
      <c r="C1080" s="248"/>
      <c r="D1080" s="247" t="s">
        <v>11</v>
      </c>
      <c r="E1080" s="249">
        <f t="shared" si="459"/>
        <v>3.09091</v>
      </c>
      <c r="F1080" s="170">
        <f t="shared" si="459"/>
        <v>3.1360372860000001</v>
      </c>
      <c r="G1080" s="252">
        <v>0.1</v>
      </c>
      <c r="H1080" s="171">
        <f t="shared" si="460"/>
        <v>0.1</v>
      </c>
      <c r="I1080" s="249">
        <f t="shared" si="461"/>
        <v>3.09091</v>
      </c>
      <c r="J1080" s="170">
        <f t="shared" si="461"/>
        <v>3.1360372860000001</v>
      </c>
      <c r="K1080" s="252">
        <v>0.1</v>
      </c>
      <c r="L1080" s="172">
        <f t="shared" si="454"/>
        <v>0.1</v>
      </c>
      <c r="M1080" s="249">
        <f t="shared" si="455"/>
        <v>3.09091</v>
      </c>
      <c r="N1080" s="170">
        <f t="shared" si="462"/>
        <v>3.1360372860000001</v>
      </c>
      <c r="O1080" s="252">
        <v>0.1</v>
      </c>
      <c r="P1080" s="172">
        <f t="shared" si="463"/>
        <v>0.1</v>
      </c>
      <c r="Q1080" s="251">
        <f t="shared" si="464"/>
        <v>21.636369999999999</v>
      </c>
      <c r="R1080" s="173">
        <f t="shared" si="465"/>
        <v>21.952261001999997</v>
      </c>
      <c r="S1080" s="250">
        <v>0.7</v>
      </c>
      <c r="T1080" s="171">
        <f t="shared" si="466"/>
        <v>0.7</v>
      </c>
      <c r="U1080" s="256">
        <v>30.909099999999999</v>
      </c>
      <c r="V1080" s="170">
        <f t="shared" si="458"/>
        <v>31.360372859999998</v>
      </c>
      <c r="W1080" s="258">
        <v>0.1</v>
      </c>
      <c r="X1080" s="257">
        <f t="shared" si="467"/>
        <v>34.000009999999996</v>
      </c>
      <c r="Y1080" s="170">
        <f t="shared" si="469"/>
        <v>34.496410146000002</v>
      </c>
      <c r="Z1080" s="170">
        <f t="shared" si="456"/>
        <v>35</v>
      </c>
      <c r="AA1080" s="407">
        <f t="shared" si="468"/>
        <v>0</v>
      </c>
      <c r="AB1080" s="194"/>
    </row>
    <row r="1081" spans="1:28" s="278" customFormat="1" x14ac:dyDescent="0.25">
      <c r="A1081" s="200">
        <v>802115</v>
      </c>
      <c r="B1081" s="313" t="s">
        <v>14759</v>
      </c>
      <c r="C1081" s="248"/>
      <c r="D1081" s="247" t="s">
        <v>11</v>
      </c>
      <c r="E1081" s="249">
        <f t="shared" si="459"/>
        <v>5.90909</v>
      </c>
      <c r="F1081" s="170">
        <f t="shared" si="459"/>
        <v>5.9953627139999996</v>
      </c>
      <c r="G1081" s="252">
        <v>0.1</v>
      </c>
      <c r="H1081" s="171">
        <f t="shared" si="460"/>
        <v>0.1</v>
      </c>
      <c r="I1081" s="249">
        <f t="shared" si="461"/>
        <v>5.90909</v>
      </c>
      <c r="J1081" s="170">
        <f t="shared" si="461"/>
        <v>5.9953627139999996</v>
      </c>
      <c r="K1081" s="252">
        <v>0.1</v>
      </c>
      <c r="L1081" s="172">
        <f t="shared" si="454"/>
        <v>0.1</v>
      </c>
      <c r="M1081" s="249">
        <f t="shared" si="455"/>
        <v>5.90909</v>
      </c>
      <c r="N1081" s="170">
        <f t="shared" si="462"/>
        <v>5.9953627139999996</v>
      </c>
      <c r="O1081" s="252">
        <v>0.1</v>
      </c>
      <c r="P1081" s="172">
        <f t="shared" si="463"/>
        <v>0.1</v>
      </c>
      <c r="Q1081" s="251">
        <f t="shared" si="464"/>
        <v>41.363629999999993</v>
      </c>
      <c r="R1081" s="173">
        <f t="shared" si="465"/>
        <v>41.967538997999995</v>
      </c>
      <c r="S1081" s="250">
        <v>0.7</v>
      </c>
      <c r="T1081" s="171">
        <f t="shared" si="466"/>
        <v>0.7</v>
      </c>
      <c r="U1081" s="256">
        <v>59.090899999999998</v>
      </c>
      <c r="V1081" s="170">
        <f t="shared" si="458"/>
        <v>59.953627139999995</v>
      </c>
      <c r="W1081" s="258">
        <v>0.1</v>
      </c>
      <c r="X1081" s="257">
        <f t="shared" si="467"/>
        <v>64.999989999999997</v>
      </c>
      <c r="Y1081" s="170">
        <f t="shared" si="469"/>
        <v>65.948989854000004</v>
      </c>
      <c r="Z1081" s="170">
        <f t="shared" si="456"/>
        <v>66</v>
      </c>
      <c r="AA1081" s="407">
        <f t="shared" si="468"/>
        <v>0</v>
      </c>
      <c r="AB1081" s="194"/>
    </row>
    <row r="1082" spans="1:28" s="278" customFormat="1" x14ac:dyDescent="0.25">
      <c r="A1082" s="200">
        <v>802115</v>
      </c>
      <c r="B1082" s="313" t="s">
        <v>14760</v>
      </c>
      <c r="C1082" s="248"/>
      <c r="D1082" s="247" t="s">
        <v>11</v>
      </c>
      <c r="E1082" s="249">
        <f t="shared" si="459"/>
        <v>4.90909</v>
      </c>
      <c r="F1082" s="170">
        <f t="shared" si="459"/>
        <v>4.9807627139999999</v>
      </c>
      <c r="G1082" s="252">
        <v>0.1</v>
      </c>
      <c r="H1082" s="171">
        <f t="shared" si="460"/>
        <v>0.1</v>
      </c>
      <c r="I1082" s="249">
        <f t="shared" si="461"/>
        <v>4.90909</v>
      </c>
      <c r="J1082" s="170">
        <f t="shared" si="461"/>
        <v>4.9807627139999999</v>
      </c>
      <c r="K1082" s="252">
        <v>0.1</v>
      </c>
      <c r="L1082" s="172">
        <f t="shared" si="454"/>
        <v>0.1</v>
      </c>
      <c r="M1082" s="249">
        <f t="shared" si="455"/>
        <v>4.90909</v>
      </c>
      <c r="N1082" s="170">
        <f t="shared" si="462"/>
        <v>4.9807627139999999</v>
      </c>
      <c r="O1082" s="252">
        <v>0.1</v>
      </c>
      <c r="P1082" s="172">
        <f t="shared" si="463"/>
        <v>0.1</v>
      </c>
      <c r="Q1082" s="251">
        <f t="shared" si="464"/>
        <v>34.363629999999993</v>
      </c>
      <c r="R1082" s="173">
        <f t="shared" si="465"/>
        <v>34.865338997999991</v>
      </c>
      <c r="S1082" s="250">
        <v>0.7</v>
      </c>
      <c r="T1082" s="171">
        <f t="shared" si="466"/>
        <v>0.7</v>
      </c>
      <c r="U1082" s="256">
        <v>49.090899999999998</v>
      </c>
      <c r="V1082" s="170">
        <f t="shared" si="458"/>
        <v>49.807627139999994</v>
      </c>
      <c r="W1082" s="258">
        <v>0.1</v>
      </c>
      <c r="X1082" s="257">
        <f t="shared" si="467"/>
        <v>53.999989999999997</v>
      </c>
      <c r="Y1082" s="170">
        <f t="shared" si="469"/>
        <v>54.788389853999995</v>
      </c>
      <c r="Z1082" s="170">
        <f t="shared" si="456"/>
        <v>55</v>
      </c>
      <c r="AA1082" s="407">
        <f t="shared" si="468"/>
        <v>0</v>
      </c>
      <c r="AB1082" s="194"/>
    </row>
    <row r="1083" spans="1:28" s="278" customFormat="1" x14ac:dyDescent="0.25">
      <c r="A1083" s="200">
        <v>802121</v>
      </c>
      <c r="B1083" s="313" t="s">
        <v>14761</v>
      </c>
      <c r="C1083" s="248"/>
      <c r="D1083" s="247" t="s">
        <v>11</v>
      </c>
      <c r="E1083" s="249">
        <f t="shared" si="459"/>
        <v>2.2727300000000001</v>
      </c>
      <c r="F1083" s="170">
        <f t="shared" si="459"/>
        <v>2.305911858</v>
      </c>
      <c r="G1083" s="252">
        <v>0.1</v>
      </c>
      <c r="H1083" s="171">
        <f t="shared" si="460"/>
        <v>0.1</v>
      </c>
      <c r="I1083" s="249">
        <f t="shared" si="461"/>
        <v>2.2727300000000001</v>
      </c>
      <c r="J1083" s="170">
        <f t="shared" si="461"/>
        <v>2.305911858</v>
      </c>
      <c r="K1083" s="252">
        <v>0.1</v>
      </c>
      <c r="L1083" s="172">
        <f t="shared" ref="L1083:L1148" si="470">K1083</f>
        <v>0.1</v>
      </c>
      <c r="M1083" s="249">
        <f t="shared" ref="M1083:M1148" si="471">U1083*O1083</f>
        <v>2.2727300000000001</v>
      </c>
      <c r="N1083" s="170">
        <f t="shared" si="462"/>
        <v>2.305911858</v>
      </c>
      <c r="O1083" s="252">
        <v>0.1</v>
      </c>
      <c r="P1083" s="172">
        <f t="shared" si="463"/>
        <v>0.1</v>
      </c>
      <c r="Q1083" s="251">
        <f t="shared" si="464"/>
        <v>15.909109999999998</v>
      </c>
      <c r="R1083" s="173">
        <f t="shared" si="465"/>
        <v>16.141383005999998</v>
      </c>
      <c r="S1083" s="250">
        <v>0.7</v>
      </c>
      <c r="T1083" s="171">
        <f t="shared" si="466"/>
        <v>0.7</v>
      </c>
      <c r="U1083" s="256">
        <v>22.7273</v>
      </c>
      <c r="V1083" s="170">
        <f t="shared" si="458"/>
        <v>23.05911858</v>
      </c>
      <c r="W1083" s="258">
        <v>0.1</v>
      </c>
      <c r="X1083" s="257">
        <f t="shared" si="467"/>
        <v>25.000029999999999</v>
      </c>
      <c r="Y1083" s="170">
        <f t="shared" si="469"/>
        <v>25.365030438000002</v>
      </c>
      <c r="Z1083" s="170">
        <f t="shared" si="456"/>
        <v>26</v>
      </c>
      <c r="AA1083" s="407">
        <f t="shared" si="468"/>
        <v>0</v>
      </c>
      <c r="AB1083" s="194"/>
    </row>
    <row r="1084" spans="1:28" s="278" customFormat="1" x14ac:dyDescent="0.25">
      <c r="A1084" s="200">
        <v>802121</v>
      </c>
      <c r="B1084" s="313" t="s">
        <v>14762</v>
      </c>
      <c r="C1084" s="248"/>
      <c r="D1084" s="247" t="s">
        <v>11</v>
      </c>
      <c r="E1084" s="249">
        <f t="shared" si="459"/>
        <v>1.8181799999999999</v>
      </c>
      <c r="F1084" s="170">
        <f t="shared" si="459"/>
        <v>1.8447254280000001</v>
      </c>
      <c r="G1084" s="252">
        <v>0.1</v>
      </c>
      <c r="H1084" s="171">
        <f t="shared" si="460"/>
        <v>0.1</v>
      </c>
      <c r="I1084" s="249">
        <f t="shared" si="461"/>
        <v>1.8181799999999999</v>
      </c>
      <c r="J1084" s="170">
        <f t="shared" si="461"/>
        <v>1.8447254280000001</v>
      </c>
      <c r="K1084" s="252">
        <v>0.1</v>
      </c>
      <c r="L1084" s="172">
        <f t="shared" si="470"/>
        <v>0.1</v>
      </c>
      <c r="M1084" s="249">
        <f t="shared" si="471"/>
        <v>1.8181799999999999</v>
      </c>
      <c r="N1084" s="170">
        <f t="shared" si="462"/>
        <v>1.8447254280000001</v>
      </c>
      <c r="O1084" s="252">
        <v>0.1</v>
      </c>
      <c r="P1084" s="172">
        <f t="shared" si="463"/>
        <v>0.1</v>
      </c>
      <c r="Q1084" s="251">
        <f t="shared" si="464"/>
        <v>12.727259999999999</v>
      </c>
      <c r="R1084" s="173">
        <f t="shared" si="465"/>
        <v>12.913077995999998</v>
      </c>
      <c r="S1084" s="250">
        <v>0.7</v>
      </c>
      <c r="T1084" s="171">
        <f t="shared" si="466"/>
        <v>0.7</v>
      </c>
      <c r="U1084" s="256">
        <v>18.181799999999999</v>
      </c>
      <c r="V1084" s="170">
        <f t="shared" si="458"/>
        <v>18.447254279999999</v>
      </c>
      <c r="W1084" s="258">
        <v>0.1</v>
      </c>
      <c r="X1084" s="257">
        <f t="shared" si="467"/>
        <v>19.999980000000001</v>
      </c>
      <c r="Y1084" s="170">
        <f t="shared" si="469"/>
        <v>20.291979708</v>
      </c>
      <c r="Z1084" s="170">
        <f t="shared" ref="Z1084:Z1150" si="472">IF(Y1084=0, 0, IF(Y1084&lt;10, _xlfn.CEILING.MATH(Y1084,1), IF(Y1084&lt;100, _xlfn.CEILING.MATH(Y1084,1),IF(Y1084&lt;1000, _xlfn.CEILING.MATH(Y1084,5), IF(Y1084&lt;10000, _xlfn.CEILING.MATH(Y1084, 25), IF(Y1084&lt;100000, _xlfn.CEILING.MATH(Y1084,250), IF(Y1084&lt;1000000, _xlfn.CEILING.MATH(Y1084,500), 0)))))))</f>
        <v>21</v>
      </c>
      <c r="AA1084" s="407">
        <f t="shared" si="468"/>
        <v>0</v>
      </c>
      <c r="AB1084" s="194"/>
    </row>
    <row r="1085" spans="1:28" s="278" customFormat="1" x14ac:dyDescent="0.25">
      <c r="A1085" s="200">
        <v>802122</v>
      </c>
      <c r="B1085" s="313" t="s">
        <v>14763</v>
      </c>
      <c r="C1085" s="248"/>
      <c r="D1085" s="247" t="s">
        <v>11</v>
      </c>
      <c r="E1085" s="249">
        <f t="shared" si="459"/>
        <v>4.5454500000000007</v>
      </c>
      <c r="F1085" s="170">
        <f t="shared" si="459"/>
        <v>4.6118135700000007</v>
      </c>
      <c r="G1085" s="252">
        <v>0.1</v>
      </c>
      <c r="H1085" s="171">
        <f t="shared" si="460"/>
        <v>0.1</v>
      </c>
      <c r="I1085" s="249">
        <f t="shared" si="461"/>
        <v>4.5454500000000007</v>
      </c>
      <c r="J1085" s="170">
        <f t="shared" si="461"/>
        <v>4.6118135700000007</v>
      </c>
      <c r="K1085" s="252">
        <v>0.1</v>
      </c>
      <c r="L1085" s="172">
        <f t="shared" si="470"/>
        <v>0.1</v>
      </c>
      <c r="M1085" s="249">
        <f t="shared" si="471"/>
        <v>4.5454500000000007</v>
      </c>
      <c r="N1085" s="170">
        <f t="shared" si="462"/>
        <v>4.6118135700000007</v>
      </c>
      <c r="O1085" s="252">
        <v>0.1</v>
      </c>
      <c r="P1085" s="172">
        <f t="shared" si="463"/>
        <v>0.1</v>
      </c>
      <c r="Q1085" s="251">
        <f t="shared" si="464"/>
        <v>31.818149999999999</v>
      </c>
      <c r="R1085" s="173">
        <f t="shared" si="465"/>
        <v>32.282694990000003</v>
      </c>
      <c r="S1085" s="250">
        <v>0.7</v>
      </c>
      <c r="T1085" s="171">
        <f t="shared" si="466"/>
        <v>0.7</v>
      </c>
      <c r="U1085" s="256">
        <v>45.454500000000003</v>
      </c>
      <c r="V1085" s="170">
        <f t="shared" si="458"/>
        <v>46.118135700000003</v>
      </c>
      <c r="W1085" s="258">
        <v>0.1</v>
      </c>
      <c r="X1085" s="257">
        <f t="shared" si="467"/>
        <v>49.999950000000005</v>
      </c>
      <c r="Y1085" s="170">
        <f t="shared" si="469"/>
        <v>50.729949270000006</v>
      </c>
      <c r="Z1085" s="170">
        <f t="shared" si="472"/>
        <v>51</v>
      </c>
      <c r="AA1085" s="407">
        <f t="shared" si="468"/>
        <v>0</v>
      </c>
      <c r="AB1085" s="194"/>
    </row>
    <row r="1086" spans="1:28" s="278" customFormat="1" x14ac:dyDescent="0.25">
      <c r="A1086" s="200">
        <v>802122</v>
      </c>
      <c r="B1086" s="313" t="s">
        <v>14764</v>
      </c>
      <c r="C1086" s="248"/>
      <c r="D1086" s="247" t="s">
        <v>11</v>
      </c>
      <c r="E1086" s="249">
        <f t="shared" si="459"/>
        <v>3.6363599999999998</v>
      </c>
      <c r="F1086" s="170">
        <f t="shared" si="459"/>
        <v>3.6894508560000001</v>
      </c>
      <c r="G1086" s="252">
        <v>0.1</v>
      </c>
      <c r="H1086" s="171">
        <f t="shared" si="460"/>
        <v>0.1</v>
      </c>
      <c r="I1086" s="249">
        <f t="shared" si="461"/>
        <v>3.6363599999999998</v>
      </c>
      <c r="J1086" s="170">
        <f t="shared" si="461"/>
        <v>3.6894508560000001</v>
      </c>
      <c r="K1086" s="252">
        <v>0.1</v>
      </c>
      <c r="L1086" s="172">
        <f t="shared" si="470"/>
        <v>0.1</v>
      </c>
      <c r="M1086" s="249">
        <f t="shared" si="471"/>
        <v>3.6363599999999998</v>
      </c>
      <c r="N1086" s="170">
        <f t="shared" si="462"/>
        <v>3.6894508560000001</v>
      </c>
      <c r="O1086" s="252">
        <v>0.1</v>
      </c>
      <c r="P1086" s="172">
        <f t="shared" si="463"/>
        <v>0.1</v>
      </c>
      <c r="Q1086" s="251">
        <f t="shared" si="464"/>
        <v>25.454519999999999</v>
      </c>
      <c r="R1086" s="173">
        <f t="shared" si="465"/>
        <v>25.826155991999997</v>
      </c>
      <c r="S1086" s="250">
        <v>0.7</v>
      </c>
      <c r="T1086" s="171">
        <f t="shared" si="466"/>
        <v>0.7</v>
      </c>
      <c r="U1086" s="256">
        <v>36.363599999999998</v>
      </c>
      <c r="V1086" s="170">
        <f t="shared" si="458"/>
        <v>36.894508559999998</v>
      </c>
      <c r="W1086" s="258">
        <v>0.1</v>
      </c>
      <c r="X1086" s="257">
        <f t="shared" si="467"/>
        <v>39.999960000000002</v>
      </c>
      <c r="Y1086" s="170">
        <f t="shared" si="469"/>
        <v>40.583959415999999</v>
      </c>
      <c r="Z1086" s="170">
        <f t="shared" si="472"/>
        <v>41</v>
      </c>
      <c r="AA1086" s="407">
        <f t="shared" si="468"/>
        <v>0</v>
      </c>
      <c r="AB1086" s="194"/>
    </row>
    <row r="1087" spans="1:28" s="278" customFormat="1" x14ac:dyDescent="0.25">
      <c r="A1087" s="200">
        <v>802123</v>
      </c>
      <c r="B1087" s="313" t="s">
        <v>14765</v>
      </c>
      <c r="C1087" s="248"/>
      <c r="D1087" s="247" t="s">
        <v>11</v>
      </c>
      <c r="E1087" s="249">
        <f t="shared" si="459"/>
        <v>6.3636400000000002</v>
      </c>
      <c r="F1087" s="170">
        <f t="shared" si="459"/>
        <v>6.4565491440000002</v>
      </c>
      <c r="G1087" s="252">
        <v>0.1</v>
      </c>
      <c r="H1087" s="171">
        <f t="shared" si="460"/>
        <v>0.1</v>
      </c>
      <c r="I1087" s="249">
        <f t="shared" si="461"/>
        <v>6.3636400000000002</v>
      </c>
      <c r="J1087" s="170">
        <f t="shared" si="461"/>
        <v>6.4565491440000002</v>
      </c>
      <c r="K1087" s="252">
        <v>0.1</v>
      </c>
      <c r="L1087" s="172">
        <f t="shared" si="470"/>
        <v>0.1</v>
      </c>
      <c r="M1087" s="249">
        <f t="shared" si="471"/>
        <v>6.3636400000000002</v>
      </c>
      <c r="N1087" s="170">
        <f t="shared" si="462"/>
        <v>6.4565491440000002</v>
      </c>
      <c r="O1087" s="252">
        <v>0.1</v>
      </c>
      <c r="P1087" s="172">
        <f t="shared" si="463"/>
        <v>0.1</v>
      </c>
      <c r="Q1087" s="251">
        <f t="shared" si="464"/>
        <v>44.545479999999998</v>
      </c>
      <c r="R1087" s="173">
        <f t="shared" si="465"/>
        <v>45.195844008000002</v>
      </c>
      <c r="S1087" s="250">
        <v>0.7</v>
      </c>
      <c r="T1087" s="171">
        <f t="shared" si="466"/>
        <v>0.7</v>
      </c>
      <c r="U1087" s="256">
        <v>63.636400000000002</v>
      </c>
      <c r="V1087" s="170">
        <f t="shared" si="458"/>
        <v>64.565491440000002</v>
      </c>
      <c r="W1087" s="258">
        <v>0.1</v>
      </c>
      <c r="X1087" s="257">
        <f t="shared" si="467"/>
        <v>70.000039999999998</v>
      </c>
      <c r="Y1087" s="170">
        <f t="shared" si="469"/>
        <v>71.02204058400001</v>
      </c>
      <c r="Z1087" s="170">
        <f t="shared" si="472"/>
        <v>72</v>
      </c>
      <c r="AA1087" s="407">
        <f t="shared" si="468"/>
        <v>0</v>
      </c>
      <c r="AB1087" s="194"/>
    </row>
    <row r="1088" spans="1:28" s="278" customFormat="1" x14ac:dyDescent="0.25">
      <c r="A1088" s="200">
        <v>802123</v>
      </c>
      <c r="B1088" s="313" t="s">
        <v>14766</v>
      </c>
      <c r="C1088" s="248"/>
      <c r="D1088" s="247" t="s">
        <v>11</v>
      </c>
      <c r="E1088" s="249">
        <f t="shared" si="459"/>
        <v>5.4545500000000002</v>
      </c>
      <c r="F1088" s="170">
        <f t="shared" si="459"/>
        <v>5.5341864300000001</v>
      </c>
      <c r="G1088" s="250">
        <v>0.1</v>
      </c>
      <c r="H1088" s="171">
        <f t="shared" si="460"/>
        <v>0.1</v>
      </c>
      <c r="I1088" s="249">
        <f t="shared" si="461"/>
        <v>5.4545500000000002</v>
      </c>
      <c r="J1088" s="170">
        <f t="shared" si="461"/>
        <v>5.5341864300000001</v>
      </c>
      <c r="K1088" s="250">
        <v>0.1</v>
      </c>
      <c r="L1088" s="172">
        <f t="shared" si="470"/>
        <v>0.1</v>
      </c>
      <c r="M1088" s="249">
        <f t="shared" si="471"/>
        <v>5.4545500000000002</v>
      </c>
      <c r="N1088" s="170">
        <f t="shared" si="462"/>
        <v>5.5341864300000001</v>
      </c>
      <c r="O1088" s="250">
        <v>0.1</v>
      </c>
      <c r="P1088" s="172">
        <f t="shared" si="463"/>
        <v>0.1</v>
      </c>
      <c r="Q1088" s="251">
        <f t="shared" si="464"/>
        <v>38.181849999999997</v>
      </c>
      <c r="R1088" s="173">
        <f t="shared" si="465"/>
        <v>38.739305009999995</v>
      </c>
      <c r="S1088" s="250">
        <v>0.7</v>
      </c>
      <c r="T1088" s="171">
        <f t="shared" si="466"/>
        <v>0.7</v>
      </c>
      <c r="U1088" s="256">
        <v>54.545499999999997</v>
      </c>
      <c r="V1088" s="170">
        <f t="shared" ref="V1088:V1153" si="473">SUM(E1088*1.0235,I1088*1.0175,M1088*1.0245,Q1088*1.0115)</f>
        <v>55.341864299999997</v>
      </c>
      <c r="W1088" s="258">
        <v>0.1</v>
      </c>
      <c r="X1088" s="257">
        <f t="shared" si="467"/>
        <v>60.000049999999995</v>
      </c>
      <c r="Y1088" s="170">
        <f t="shared" si="469"/>
        <v>60.876050730000003</v>
      </c>
      <c r="Z1088" s="170">
        <f t="shared" si="472"/>
        <v>61</v>
      </c>
      <c r="AA1088" s="407">
        <f t="shared" si="468"/>
        <v>0</v>
      </c>
      <c r="AB1088" s="194"/>
    </row>
    <row r="1089" spans="1:28" s="278" customFormat="1" x14ac:dyDescent="0.25">
      <c r="A1089" s="200">
        <v>802125</v>
      </c>
      <c r="B1089" s="313" t="s">
        <v>14767</v>
      </c>
      <c r="C1089" s="248"/>
      <c r="D1089" s="247" t="s">
        <v>11</v>
      </c>
      <c r="E1089" s="249">
        <f t="shared" si="459"/>
        <v>7.7272700000000007</v>
      </c>
      <c r="F1089" s="170">
        <f t="shared" si="459"/>
        <v>7.840088141999999</v>
      </c>
      <c r="G1089" s="250">
        <v>0.1</v>
      </c>
      <c r="H1089" s="171">
        <f t="shared" si="460"/>
        <v>0.1</v>
      </c>
      <c r="I1089" s="249">
        <f t="shared" si="461"/>
        <v>7.7272700000000007</v>
      </c>
      <c r="J1089" s="170">
        <f t="shared" si="461"/>
        <v>7.840088141999999</v>
      </c>
      <c r="K1089" s="250">
        <v>0.1</v>
      </c>
      <c r="L1089" s="172">
        <f t="shared" si="470"/>
        <v>0.1</v>
      </c>
      <c r="M1089" s="249">
        <f t="shared" si="471"/>
        <v>7.7272700000000007</v>
      </c>
      <c r="N1089" s="170">
        <f t="shared" si="462"/>
        <v>7.840088141999999</v>
      </c>
      <c r="O1089" s="250">
        <v>0.1</v>
      </c>
      <c r="P1089" s="172">
        <f t="shared" si="463"/>
        <v>0.1</v>
      </c>
      <c r="Q1089" s="251">
        <f t="shared" si="464"/>
        <v>54.090889999999995</v>
      </c>
      <c r="R1089" s="173">
        <f t="shared" si="465"/>
        <v>54.880616993999993</v>
      </c>
      <c r="S1089" s="250">
        <v>0.7</v>
      </c>
      <c r="T1089" s="171">
        <f t="shared" si="466"/>
        <v>0.7</v>
      </c>
      <c r="U1089" s="256">
        <v>77.2727</v>
      </c>
      <c r="V1089" s="170">
        <f t="shared" si="473"/>
        <v>78.40088141999999</v>
      </c>
      <c r="W1089" s="258">
        <v>0.1</v>
      </c>
      <c r="X1089" s="257">
        <f t="shared" si="467"/>
        <v>84.999970000000005</v>
      </c>
      <c r="Y1089" s="170">
        <f t="shared" si="469"/>
        <v>86.240969561999989</v>
      </c>
      <c r="Z1089" s="170">
        <f t="shared" si="472"/>
        <v>87</v>
      </c>
      <c r="AA1089" s="407">
        <f t="shared" si="468"/>
        <v>0</v>
      </c>
      <c r="AB1089" s="194"/>
    </row>
    <row r="1090" spans="1:28" s="278" customFormat="1" x14ac:dyDescent="0.25">
      <c r="A1090" s="200">
        <v>802125</v>
      </c>
      <c r="B1090" s="313" t="s">
        <v>14768</v>
      </c>
      <c r="C1090" s="248"/>
      <c r="D1090" s="247" t="s">
        <v>11</v>
      </c>
      <c r="E1090" s="249">
        <f t="shared" si="459"/>
        <v>6.8181799999999999</v>
      </c>
      <c r="F1090" s="170">
        <f t="shared" si="459"/>
        <v>6.9177254280000007</v>
      </c>
      <c r="G1090" s="250">
        <v>0.1</v>
      </c>
      <c r="H1090" s="171">
        <f t="shared" si="460"/>
        <v>0.1</v>
      </c>
      <c r="I1090" s="249">
        <f t="shared" si="461"/>
        <v>6.8181799999999999</v>
      </c>
      <c r="J1090" s="170">
        <f t="shared" si="461"/>
        <v>6.9177254280000007</v>
      </c>
      <c r="K1090" s="250">
        <v>0.1</v>
      </c>
      <c r="L1090" s="172">
        <f t="shared" si="470"/>
        <v>0.1</v>
      </c>
      <c r="M1090" s="249">
        <f t="shared" si="471"/>
        <v>6.8181799999999999</v>
      </c>
      <c r="N1090" s="170">
        <f t="shared" si="462"/>
        <v>6.9177254280000007</v>
      </c>
      <c r="O1090" s="250">
        <v>0.1</v>
      </c>
      <c r="P1090" s="172">
        <f t="shared" si="463"/>
        <v>0.1</v>
      </c>
      <c r="Q1090" s="251">
        <f t="shared" si="464"/>
        <v>47.727259999999994</v>
      </c>
      <c r="R1090" s="173">
        <f t="shared" si="465"/>
        <v>48.424077995999994</v>
      </c>
      <c r="S1090" s="250">
        <v>0.7</v>
      </c>
      <c r="T1090" s="171">
        <f t="shared" si="466"/>
        <v>0.7</v>
      </c>
      <c r="U1090" s="256">
        <v>68.181799999999996</v>
      </c>
      <c r="V1090" s="170">
        <f t="shared" si="473"/>
        <v>69.17725428</v>
      </c>
      <c r="W1090" s="258">
        <v>0.1</v>
      </c>
      <c r="X1090" s="257">
        <f t="shared" si="467"/>
        <v>74.999979999999994</v>
      </c>
      <c r="Y1090" s="170">
        <f t="shared" si="469"/>
        <v>76.094979708000011</v>
      </c>
      <c r="Z1090" s="170">
        <f t="shared" si="472"/>
        <v>77</v>
      </c>
      <c r="AA1090" s="407">
        <f t="shared" si="468"/>
        <v>0</v>
      </c>
      <c r="AB1090" s="194"/>
    </row>
    <row r="1091" spans="1:28" s="278" customFormat="1" x14ac:dyDescent="0.25">
      <c r="A1091" s="200">
        <v>802154</v>
      </c>
      <c r="B1091" s="313" t="s">
        <v>19736</v>
      </c>
      <c r="C1091" s="248"/>
      <c r="D1091" s="247" t="s">
        <v>11</v>
      </c>
      <c r="E1091" s="249">
        <f t="shared" si="459"/>
        <v>2.2727300000000001</v>
      </c>
      <c r="F1091" s="170">
        <f t="shared" si="459"/>
        <v>2.305911858</v>
      </c>
      <c r="G1091" s="250">
        <v>0.1</v>
      </c>
      <c r="H1091" s="171">
        <f t="shared" si="460"/>
        <v>0.1</v>
      </c>
      <c r="I1091" s="249">
        <f t="shared" si="461"/>
        <v>2.2727300000000001</v>
      </c>
      <c r="J1091" s="170">
        <f t="shared" si="461"/>
        <v>2.305911858</v>
      </c>
      <c r="K1091" s="250">
        <v>0.1</v>
      </c>
      <c r="L1091" s="172">
        <f t="shared" si="470"/>
        <v>0.1</v>
      </c>
      <c r="M1091" s="249">
        <f t="shared" si="471"/>
        <v>2.2727300000000001</v>
      </c>
      <c r="N1091" s="170">
        <f t="shared" si="462"/>
        <v>2.305911858</v>
      </c>
      <c r="O1091" s="250">
        <v>0.1</v>
      </c>
      <c r="P1091" s="172">
        <f t="shared" si="463"/>
        <v>0.1</v>
      </c>
      <c r="Q1091" s="251">
        <f t="shared" si="464"/>
        <v>15.909109999999998</v>
      </c>
      <c r="R1091" s="173">
        <f t="shared" si="465"/>
        <v>16.141383005999998</v>
      </c>
      <c r="S1091" s="250">
        <v>0.7</v>
      </c>
      <c r="T1091" s="171">
        <f t="shared" si="466"/>
        <v>0.7</v>
      </c>
      <c r="U1091" s="256">
        <v>22.7273</v>
      </c>
      <c r="V1091" s="170">
        <f t="shared" si="473"/>
        <v>23.05911858</v>
      </c>
      <c r="W1091" s="258">
        <v>0.1</v>
      </c>
      <c r="X1091" s="257">
        <f t="shared" si="467"/>
        <v>25.000029999999999</v>
      </c>
      <c r="Y1091" s="170">
        <f t="shared" si="469"/>
        <v>25.365030438000002</v>
      </c>
      <c r="Z1091" s="170">
        <f t="shared" si="472"/>
        <v>26</v>
      </c>
      <c r="AA1091" s="407">
        <f t="shared" si="468"/>
        <v>0</v>
      </c>
      <c r="AB1091" s="194"/>
    </row>
    <row r="1092" spans="1:28" s="278" customFormat="1" x14ac:dyDescent="0.25">
      <c r="A1092" s="200">
        <v>802154</v>
      </c>
      <c r="B1092" s="313" t="s">
        <v>19737</v>
      </c>
      <c r="C1092" s="248"/>
      <c r="D1092" s="247" t="s">
        <v>11</v>
      </c>
      <c r="E1092" s="249">
        <f t="shared" si="459"/>
        <v>0.63636000000000004</v>
      </c>
      <c r="F1092" s="170">
        <f t="shared" si="459"/>
        <v>0.64565085600000005</v>
      </c>
      <c r="G1092" s="250">
        <v>0.1</v>
      </c>
      <c r="H1092" s="171">
        <f t="shared" si="460"/>
        <v>0.1</v>
      </c>
      <c r="I1092" s="249">
        <f t="shared" si="461"/>
        <v>0.63636000000000004</v>
      </c>
      <c r="J1092" s="170">
        <f t="shared" si="461"/>
        <v>0.64565085600000005</v>
      </c>
      <c r="K1092" s="250">
        <v>0.1</v>
      </c>
      <c r="L1092" s="172">
        <f t="shared" si="470"/>
        <v>0.1</v>
      </c>
      <c r="M1092" s="249">
        <f t="shared" si="471"/>
        <v>0.63636000000000004</v>
      </c>
      <c r="N1092" s="170">
        <f t="shared" si="462"/>
        <v>0.64565085600000005</v>
      </c>
      <c r="O1092" s="250">
        <v>0.1</v>
      </c>
      <c r="P1092" s="172">
        <f t="shared" si="463"/>
        <v>0.1</v>
      </c>
      <c r="Q1092" s="251">
        <f t="shared" si="464"/>
        <v>4.4545199999999996</v>
      </c>
      <c r="R1092" s="173">
        <f t="shared" si="465"/>
        <v>4.519555991999999</v>
      </c>
      <c r="S1092" s="250">
        <v>0.7</v>
      </c>
      <c r="T1092" s="171">
        <f t="shared" si="466"/>
        <v>0.7</v>
      </c>
      <c r="U1092" s="256">
        <v>6.3635999999999999</v>
      </c>
      <c r="V1092" s="170">
        <f t="shared" si="473"/>
        <v>6.4565085599999996</v>
      </c>
      <c r="W1092" s="258">
        <v>0.1</v>
      </c>
      <c r="X1092" s="257">
        <f t="shared" si="467"/>
        <v>6.9999599999999997</v>
      </c>
      <c r="Y1092" s="170">
        <f t="shared" si="469"/>
        <v>7.1021594160000001</v>
      </c>
      <c r="Z1092" s="170">
        <f>IF(Y1092=0, 0, IF(Y1092&lt;10, _xlfn.CEILING.MATH(Y1092,0.5), IF(Y1092&lt;100, _xlfn.CEILING.MATH(Y1092,1),IF(Y1092&lt;1000, _xlfn.CEILING.MATH(Y1092,5), IF(Y1092&lt;10000, _xlfn.CEILING.MATH(Y1092, 25), IF(Y1092&lt;100000, _xlfn.CEILING.MATH(Y1092,250), IF(Y1092&lt;1000000, _xlfn.CEILING.MATH(Y1092,500), 0)))))))</f>
        <v>7.5</v>
      </c>
      <c r="AA1092" s="407">
        <f t="shared" si="468"/>
        <v>0</v>
      </c>
      <c r="AB1092" s="194"/>
    </row>
    <row r="1093" spans="1:28" s="278" customFormat="1" x14ac:dyDescent="0.25">
      <c r="A1093" s="200">
        <v>802156</v>
      </c>
      <c r="B1093" s="313" t="s">
        <v>19738</v>
      </c>
      <c r="C1093" s="248"/>
      <c r="D1093" s="247" t="s">
        <v>11</v>
      </c>
      <c r="E1093" s="249">
        <f t="shared" si="459"/>
        <v>3.1818200000000001</v>
      </c>
      <c r="F1093" s="170">
        <f t="shared" si="459"/>
        <v>3.2282745720000001</v>
      </c>
      <c r="G1093" s="252">
        <v>0.1</v>
      </c>
      <c r="H1093" s="171">
        <f t="shared" si="460"/>
        <v>0.1</v>
      </c>
      <c r="I1093" s="249">
        <f t="shared" si="461"/>
        <v>3.1818200000000001</v>
      </c>
      <c r="J1093" s="170">
        <f t="shared" si="461"/>
        <v>3.2282745720000001</v>
      </c>
      <c r="K1093" s="252">
        <v>0.1</v>
      </c>
      <c r="L1093" s="172">
        <f t="shared" si="470"/>
        <v>0.1</v>
      </c>
      <c r="M1093" s="249">
        <f t="shared" si="471"/>
        <v>3.1818200000000001</v>
      </c>
      <c r="N1093" s="170">
        <f t="shared" si="462"/>
        <v>3.2282745720000001</v>
      </c>
      <c r="O1093" s="252">
        <v>0.1</v>
      </c>
      <c r="P1093" s="172">
        <f t="shared" si="463"/>
        <v>0.1</v>
      </c>
      <c r="Q1093" s="251">
        <f t="shared" si="464"/>
        <v>22.272739999999999</v>
      </c>
      <c r="R1093" s="173">
        <f t="shared" si="465"/>
        <v>22.597922004000001</v>
      </c>
      <c r="S1093" s="250">
        <v>0.7</v>
      </c>
      <c r="T1093" s="171">
        <f t="shared" si="466"/>
        <v>0.7</v>
      </c>
      <c r="U1093" s="256">
        <v>31.818200000000001</v>
      </c>
      <c r="V1093" s="170">
        <f t="shared" si="473"/>
        <v>32.282745720000001</v>
      </c>
      <c r="W1093" s="258">
        <v>0.1</v>
      </c>
      <c r="X1093" s="257">
        <f t="shared" si="467"/>
        <v>35.000019999999999</v>
      </c>
      <c r="Y1093" s="170">
        <f t="shared" si="469"/>
        <v>35.511020292000005</v>
      </c>
      <c r="Z1093" s="170">
        <f t="shared" si="472"/>
        <v>36</v>
      </c>
      <c r="AA1093" s="407">
        <f t="shared" si="468"/>
        <v>0</v>
      </c>
      <c r="AB1093" s="194"/>
    </row>
    <row r="1094" spans="1:28" s="278" customFormat="1" x14ac:dyDescent="0.25">
      <c r="A1094" s="200">
        <v>802156</v>
      </c>
      <c r="B1094" s="313" t="s">
        <v>19739</v>
      </c>
      <c r="C1094" s="248"/>
      <c r="D1094" s="247" t="s">
        <v>11</v>
      </c>
      <c r="E1094" s="249">
        <f t="shared" si="459"/>
        <v>0.90908999999999995</v>
      </c>
      <c r="F1094" s="170">
        <f t="shared" si="459"/>
        <v>0.92236271400000003</v>
      </c>
      <c r="G1094" s="252">
        <v>0.1</v>
      </c>
      <c r="H1094" s="171">
        <f t="shared" si="460"/>
        <v>0.1</v>
      </c>
      <c r="I1094" s="249">
        <f t="shared" si="461"/>
        <v>0.90908999999999995</v>
      </c>
      <c r="J1094" s="170">
        <f t="shared" si="461"/>
        <v>0.92236271400000003</v>
      </c>
      <c r="K1094" s="252">
        <v>0.1</v>
      </c>
      <c r="L1094" s="172">
        <f t="shared" si="470"/>
        <v>0.1</v>
      </c>
      <c r="M1094" s="249">
        <f t="shared" si="471"/>
        <v>0.90908999999999995</v>
      </c>
      <c r="N1094" s="170">
        <f t="shared" si="462"/>
        <v>0.92236271400000003</v>
      </c>
      <c r="O1094" s="252">
        <v>0.1</v>
      </c>
      <c r="P1094" s="172">
        <f t="shared" si="463"/>
        <v>0.1</v>
      </c>
      <c r="Q1094" s="251">
        <f t="shared" si="464"/>
        <v>6.3636299999999997</v>
      </c>
      <c r="R1094" s="173">
        <f t="shared" si="465"/>
        <v>6.4565389979999992</v>
      </c>
      <c r="S1094" s="250">
        <v>0.7</v>
      </c>
      <c r="T1094" s="171">
        <f t="shared" si="466"/>
        <v>0.7</v>
      </c>
      <c r="U1094" s="256">
        <v>9.0908999999999995</v>
      </c>
      <c r="V1094" s="170">
        <f t="shared" si="473"/>
        <v>9.2236271399999996</v>
      </c>
      <c r="W1094" s="258">
        <v>0.1</v>
      </c>
      <c r="X1094" s="257">
        <f t="shared" si="467"/>
        <v>9.9999900000000004</v>
      </c>
      <c r="Y1094" s="170">
        <f t="shared" si="469"/>
        <v>10.145989854</v>
      </c>
      <c r="Z1094" s="170">
        <f t="shared" si="472"/>
        <v>11</v>
      </c>
      <c r="AA1094" s="407">
        <f t="shared" si="468"/>
        <v>0</v>
      </c>
      <c r="AB1094" s="194"/>
    </row>
    <row r="1095" spans="1:28" s="278" customFormat="1" x14ac:dyDescent="0.25">
      <c r="A1095" s="200">
        <v>802160</v>
      </c>
      <c r="B1095" s="313" t="s">
        <v>14769</v>
      </c>
      <c r="C1095" s="248"/>
      <c r="D1095" s="247" t="s">
        <v>3</v>
      </c>
      <c r="E1095" s="249">
        <f t="shared" si="459"/>
        <v>4.5454500000000007</v>
      </c>
      <c r="F1095" s="170">
        <f t="shared" si="459"/>
        <v>4.6118135700000007</v>
      </c>
      <c r="G1095" s="252">
        <v>0.1</v>
      </c>
      <c r="H1095" s="171">
        <f t="shared" si="460"/>
        <v>0.1</v>
      </c>
      <c r="I1095" s="249">
        <f t="shared" si="461"/>
        <v>4.5454500000000007</v>
      </c>
      <c r="J1095" s="170">
        <f t="shared" si="461"/>
        <v>4.6118135700000007</v>
      </c>
      <c r="K1095" s="252">
        <v>0.1</v>
      </c>
      <c r="L1095" s="172">
        <f t="shared" si="470"/>
        <v>0.1</v>
      </c>
      <c r="M1095" s="249">
        <f t="shared" si="471"/>
        <v>4.5454500000000007</v>
      </c>
      <c r="N1095" s="170">
        <f t="shared" si="462"/>
        <v>4.6118135700000007</v>
      </c>
      <c r="O1095" s="252">
        <v>0.1</v>
      </c>
      <c r="P1095" s="172">
        <f t="shared" si="463"/>
        <v>0.1</v>
      </c>
      <c r="Q1095" s="251">
        <f t="shared" si="464"/>
        <v>31.818149999999999</v>
      </c>
      <c r="R1095" s="173">
        <f t="shared" si="465"/>
        <v>32.282694990000003</v>
      </c>
      <c r="S1095" s="250">
        <v>0.7</v>
      </c>
      <c r="T1095" s="171">
        <f t="shared" si="466"/>
        <v>0.7</v>
      </c>
      <c r="U1095" s="256">
        <v>45.454500000000003</v>
      </c>
      <c r="V1095" s="170">
        <f t="shared" si="473"/>
        <v>46.118135700000003</v>
      </c>
      <c r="W1095" s="258">
        <v>0.1</v>
      </c>
      <c r="X1095" s="257">
        <f t="shared" si="467"/>
        <v>49.999950000000005</v>
      </c>
      <c r="Y1095" s="170">
        <f t="shared" si="469"/>
        <v>50.729949270000006</v>
      </c>
      <c r="Z1095" s="170">
        <f t="shared" si="472"/>
        <v>51</v>
      </c>
      <c r="AA1095" s="407">
        <f t="shared" si="468"/>
        <v>0</v>
      </c>
      <c r="AB1095" s="194"/>
    </row>
    <row r="1096" spans="1:28" s="278" customFormat="1" x14ac:dyDescent="0.25">
      <c r="A1096" s="200">
        <v>802165</v>
      </c>
      <c r="B1096" s="313" t="s">
        <v>14770</v>
      </c>
      <c r="C1096" s="248"/>
      <c r="D1096" s="247" t="s">
        <v>3</v>
      </c>
      <c r="E1096" s="249">
        <f t="shared" si="459"/>
        <v>5.4545500000000002</v>
      </c>
      <c r="F1096" s="170">
        <f t="shared" si="459"/>
        <v>5.5341864300000001</v>
      </c>
      <c r="G1096" s="252">
        <v>0.1</v>
      </c>
      <c r="H1096" s="171">
        <f t="shared" si="460"/>
        <v>0.1</v>
      </c>
      <c r="I1096" s="249">
        <f t="shared" si="461"/>
        <v>5.4545500000000002</v>
      </c>
      <c r="J1096" s="170">
        <f t="shared" si="461"/>
        <v>5.5341864300000001</v>
      </c>
      <c r="K1096" s="252">
        <v>0.1</v>
      </c>
      <c r="L1096" s="172">
        <f t="shared" si="470"/>
        <v>0.1</v>
      </c>
      <c r="M1096" s="249">
        <f t="shared" si="471"/>
        <v>5.4545500000000002</v>
      </c>
      <c r="N1096" s="170">
        <f t="shared" si="462"/>
        <v>5.5341864300000001</v>
      </c>
      <c r="O1096" s="252">
        <v>0.1</v>
      </c>
      <c r="P1096" s="172">
        <f t="shared" si="463"/>
        <v>0.1</v>
      </c>
      <c r="Q1096" s="251">
        <f t="shared" si="464"/>
        <v>38.181849999999997</v>
      </c>
      <c r="R1096" s="173">
        <f t="shared" si="465"/>
        <v>38.739305009999995</v>
      </c>
      <c r="S1096" s="250">
        <v>0.7</v>
      </c>
      <c r="T1096" s="171">
        <f t="shared" si="466"/>
        <v>0.7</v>
      </c>
      <c r="U1096" s="256">
        <v>54.545499999999997</v>
      </c>
      <c r="V1096" s="170">
        <f t="shared" si="473"/>
        <v>55.341864299999997</v>
      </c>
      <c r="W1096" s="258">
        <v>0.1</v>
      </c>
      <c r="X1096" s="257">
        <f t="shared" si="467"/>
        <v>60.000049999999995</v>
      </c>
      <c r="Y1096" s="170">
        <f t="shared" si="469"/>
        <v>60.876050730000003</v>
      </c>
      <c r="Z1096" s="170">
        <f t="shared" si="472"/>
        <v>61</v>
      </c>
      <c r="AA1096" s="407">
        <f t="shared" si="468"/>
        <v>0</v>
      </c>
      <c r="AB1096" s="194"/>
    </row>
    <row r="1097" spans="1:28" s="278" customFormat="1" x14ac:dyDescent="0.25">
      <c r="A1097" s="200">
        <v>802161</v>
      </c>
      <c r="B1097" s="313" t="s">
        <v>14771</v>
      </c>
      <c r="C1097" s="248"/>
      <c r="D1097" s="247" t="s">
        <v>11</v>
      </c>
      <c r="E1097" s="249">
        <f t="shared" si="459"/>
        <v>1.3636400000000002</v>
      </c>
      <c r="F1097" s="170">
        <f t="shared" si="459"/>
        <v>1.3835491440000001</v>
      </c>
      <c r="G1097" s="252">
        <v>0.1</v>
      </c>
      <c r="H1097" s="171">
        <f t="shared" si="460"/>
        <v>0.1</v>
      </c>
      <c r="I1097" s="249">
        <f t="shared" si="461"/>
        <v>1.3636400000000002</v>
      </c>
      <c r="J1097" s="170">
        <f t="shared" si="461"/>
        <v>1.3835491440000001</v>
      </c>
      <c r="K1097" s="252">
        <v>0.1</v>
      </c>
      <c r="L1097" s="172">
        <f t="shared" si="470"/>
        <v>0.1</v>
      </c>
      <c r="M1097" s="249">
        <f t="shared" si="471"/>
        <v>1.3636400000000002</v>
      </c>
      <c r="N1097" s="170">
        <f t="shared" si="462"/>
        <v>1.3835491440000001</v>
      </c>
      <c r="O1097" s="252">
        <v>0.1</v>
      </c>
      <c r="P1097" s="172">
        <f t="shared" si="463"/>
        <v>0.1</v>
      </c>
      <c r="Q1097" s="251">
        <f t="shared" si="464"/>
        <v>9.5454799999999995</v>
      </c>
      <c r="R1097" s="173">
        <f t="shared" si="465"/>
        <v>9.6848440079999989</v>
      </c>
      <c r="S1097" s="250">
        <v>0.7</v>
      </c>
      <c r="T1097" s="171">
        <f t="shared" si="466"/>
        <v>0.7</v>
      </c>
      <c r="U1097" s="256">
        <v>13.6364</v>
      </c>
      <c r="V1097" s="170">
        <f t="shared" si="473"/>
        <v>13.83549144</v>
      </c>
      <c r="W1097" s="258">
        <v>0.1</v>
      </c>
      <c r="X1097" s="257">
        <f t="shared" si="467"/>
        <v>15.00004</v>
      </c>
      <c r="Y1097" s="170">
        <f t="shared" si="469"/>
        <v>15.219040584000002</v>
      </c>
      <c r="Z1097" s="170">
        <f t="shared" si="472"/>
        <v>16</v>
      </c>
      <c r="AA1097" s="407">
        <f t="shared" si="468"/>
        <v>0</v>
      </c>
      <c r="AB1097" s="194"/>
    </row>
    <row r="1098" spans="1:28" s="278" customFormat="1" x14ac:dyDescent="0.25">
      <c r="A1098" s="200">
        <v>802162</v>
      </c>
      <c r="B1098" s="313" t="s">
        <v>14772</v>
      </c>
      <c r="C1098" s="248"/>
      <c r="D1098" s="247" t="s">
        <v>11</v>
      </c>
      <c r="E1098" s="249">
        <f t="shared" si="459"/>
        <v>1.8181799999999999</v>
      </c>
      <c r="F1098" s="170">
        <f t="shared" si="459"/>
        <v>1.8447254280000001</v>
      </c>
      <c r="G1098" s="252">
        <v>0.1</v>
      </c>
      <c r="H1098" s="171">
        <f t="shared" si="460"/>
        <v>0.1</v>
      </c>
      <c r="I1098" s="249">
        <f t="shared" si="461"/>
        <v>1.8181799999999999</v>
      </c>
      <c r="J1098" s="170">
        <f t="shared" si="461"/>
        <v>1.8447254280000001</v>
      </c>
      <c r="K1098" s="252">
        <v>0.1</v>
      </c>
      <c r="L1098" s="172">
        <f t="shared" si="470"/>
        <v>0.1</v>
      </c>
      <c r="M1098" s="249">
        <f t="shared" si="471"/>
        <v>1.8181799999999999</v>
      </c>
      <c r="N1098" s="170">
        <f t="shared" si="462"/>
        <v>1.8447254280000001</v>
      </c>
      <c r="O1098" s="252">
        <v>0.1</v>
      </c>
      <c r="P1098" s="172">
        <f t="shared" si="463"/>
        <v>0.1</v>
      </c>
      <c r="Q1098" s="251">
        <f t="shared" si="464"/>
        <v>12.727259999999999</v>
      </c>
      <c r="R1098" s="173">
        <f t="shared" si="465"/>
        <v>12.913077995999998</v>
      </c>
      <c r="S1098" s="250">
        <v>0.7</v>
      </c>
      <c r="T1098" s="171">
        <f t="shared" si="466"/>
        <v>0.7</v>
      </c>
      <c r="U1098" s="256">
        <v>18.181799999999999</v>
      </c>
      <c r="V1098" s="170">
        <f t="shared" si="473"/>
        <v>18.447254279999999</v>
      </c>
      <c r="W1098" s="258">
        <v>0.1</v>
      </c>
      <c r="X1098" s="257">
        <f t="shared" si="467"/>
        <v>19.999980000000001</v>
      </c>
      <c r="Y1098" s="170">
        <f t="shared" si="469"/>
        <v>20.291979708</v>
      </c>
      <c r="Z1098" s="170">
        <f t="shared" si="472"/>
        <v>21</v>
      </c>
      <c r="AA1098" s="407">
        <f t="shared" si="468"/>
        <v>0</v>
      </c>
      <c r="AB1098" s="194"/>
    </row>
    <row r="1099" spans="1:28" s="278" customFormat="1" ht="14.4" thickBot="1" x14ac:dyDescent="0.3">
      <c r="A1099" s="263">
        <v>802214</v>
      </c>
      <c r="B1099" s="321" t="s">
        <v>19740</v>
      </c>
      <c r="C1099" s="265"/>
      <c r="D1099" s="264" t="s">
        <v>3</v>
      </c>
      <c r="E1099" s="266">
        <f t="shared" si="459"/>
        <v>10</v>
      </c>
      <c r="F1099" s="174">
        <f t="shared" si="459"/>
        <v>10.146000000000001</v>
      </c>
      <c r="G1099" s="408">
        <v>0.1</v>
      </c>
      <c r="H1099" s="268">
        <f t="shared" si="460"/>
        <v>0.1</v>
      </c>
      <c r="I1099" s="266">
        <f t="shared" si="461"/>
        <v>10</v>
      </c>
      <c r="J1099" s="174">
        <f t="shared" si="461"/>
        <v>10.146000000000001</v>
      </c>
      <c r="K1099" s="408">
        <v>0.1</v>
      </c>
      <c r="L1099" s="269">
        <f t="shared" si="470"/>
        <v>0.1</v>
      </c>
      <c r="M1099" s="266">
        <f t="shared" si="471"/>
        <v>10</v>
      </c>
      <c r="N1099" s="174">
        <f t="shared" si="462"/>
        <v>10.146000000000001</v>
      </c>
      <c r="O1099" s="408">
        <v>0.1</v>
      </c>
      <c r="P1099" s="269">
        <f t="shared" si="463"/>
        <v>0.1</v>
      </c>
      <c r="Q1099" s="270">
        <f t="shared" si="464"/>
        <v>70</v>
      </c>
      <c r="R1099" s="271">
        <f t="shared" si="465"/>
        <v>71.022000000000006</v>
      </c>
      <c r="S1099" s="267">
        <v>0.7</v>
      </c>
      <c r="T1099" s="268">
        <f t="shared" si="466"/>
        <v>0.7</v>
      </c>
      <c r="U1099" s="409">
        <v>100</v>
      </c>
      <c r="V1099" s="174">
        <f t="shared" si="473"/>
        <v>101.46000000000001</v>
      </c>
      <c r="W1099" s="322">
        <v>0.1</v>
      </c>
      <c r="X1099" s="274">
        <f t="shared" si="467"/>
        <v>110</v>
      </c>
      <c r="Y1099" s="174">
        <f t="shared" si="469"/>
        <v>111.60600000000002</v>
      </c>
      <c r="Z1099" s="174">
        <f t="shared" si="472"/>
        <v>115</v>
      </c>
      <c r="AA1099" s="410">
        <f t="shared" si="468"/>
        <v>0</v>
      </c>
      <c r="AB1099" s="194"/>
    </row>
    <row r="1100" spans="1:28" s="278" customFormat="1" x14ac:dyDescent="0.25">
      <c r="A1100" s="200">
        <v>802214</v>
      </c>
      <c r="B1100" s="313" t="s">
        <v>19741</v>
      </c>
      <c r="C1100" s="248"/>
      <c r="D1100" s="247" t="s">
        <v>3</v>
      </c>
      <c r="E1100" s="249">
        <f t="shared" si="459"/>
        <v>7.4545500000000011</v>
      </c>
      <c r="F1100" s="170">
        <f t="shared" si="459"/>
        <v>7.5633864300000004</v>
      </c>
      <c r="G1100" s="252">
        <v>0.1</v>
      </c>
      <c r="H1100" s="171">
        <f t="shared" si="460"/>
        <v>0.1</v>
      </c>
      <c r="I1100" s="249">
        <f t="shared" si="461"/>
        <v>7.4545500000000011</v>
      </c>
      <c r="J1100" s="170">
        <f t="shared" si="461"/>
        <v>7.5633864300000004</v>
      </c>
      <c r="K1100" s="252">
        <v>0.1</v>
      </c>
      <c r="L1100" s="172">
        <f t="shared" si="470"/>
        <v>0.1</v>
      </c>
      <c r="M1100" s="249">
        <f t="shared" si="471"/>
        <v>7.4545500000000011</v>
      </c>
      <c r="N1100" s="170">
        <f t="shared" si="462"/>
        <v>7.5633864300000004</v>
      </c>
      <c r="O1100" s="252">
        <v>0.1</v>
      </c>
      <c r="P1100" s="172">
        <f t="shared" si="463"/>
        <v>0.1</v>
      </c>
      <c r="Q1100" s="251">
        <f t="shared" si="464"/>
        <v>52.181849999999997</v>
      </c>
      <c r="R1100" s="173">
        <f t="shared" si="465"/>
        <v>52.943705009999995</v>
      </c>
      <c r="S1100" s="250">
        <v>0.7</v>
      </c>
      <c r="T1100" s="171">
        <f t="shared" si="466"/>
        <v>0.7</v>
      </c>
      <c r="U1100" s="256">
        <v>74.545500000000004</v>
      </c>
      <c r="V1100" s="170">
        <f t="shared" si="473"/>
        <v>75.633864299999999</v>
      </c>
      <c r="W1100" s="258">
        <v>0.1</v>
      </c>
      <c r="X1100" s="257">
        <f t="shared" si="467"/>
        <v>82.000050000000002</v>
      </c>
      <c r="Y1100" s="170">
        <f t="shared" si="469"/>
        <v>83.197250730000007</v>
      </c>
      <c r="Z1100" s="170">
        <f t="shared" si="472"/>
        <v>84</v>
      </c>
      <c r="AA1100" s="407">
        <f t="shared" si="468"/>
        <v>0</v>
      </c>
      <c r="AB1100" s="194"/>
    </row>
    <row r="1101" spans="1:28" s="278" customFormat="1" x14ac:dyDescent="0.25">
      <c r="A1101" s="200">
        <v>802218</v>
      </c>
      <c r="B1101" s="313" t="s">
        <v>19742</v>
      </c>
      <c r="C1101" s="248"/>
      <c r="D1101" s="247" t="s">
        <v>3</v>
      </c>
      <c r="E1101" s="249">
        <f t="shared" si="459"/>
        <v>5.4545500000000002</v>
      </c>
      <c r="F1101" s="170">
        <f t="shared" si="459"/>
        <v>5.5341864300000001</v>
      </c>
      <c r="G1101" s="252">
        <v>0.1</v>
      </c>
      <c r="H1101" s="171">
        <f t="shared" si="460"/>
        <v>0.1</v>
      </c>
      <c r="I1101" s="249">
        <f t="shared" si="461"/>
        <v>5.4545500000000002</v>
      </c>
      <c r="J1101" s="170">
        <f t="shared" si="461"/>
        <v>5.5341864300000001</v>
      </c>
      <c r="K1101" s="252">
        <v>0.1</v>
      </c>
      <c r="L1101" s="172">
        <f t="shared" si="470"/>
        <v>0.1</v>
      </c>
      <c r="M1101" s="249">
        <f t="shared" si="471"/>
        <v>5.4545500000000002</v>
      </c>
      <c r="N1101" s="170">
        <f t="shared" si="462"/>
        <v>5.5341864300000001</v>
      </c>
      <c r="O1101" s="252">
        <v>0.1</v>
      </c>
      <c r="P1101" s="172">
        <f t="shared" si="463"/>
        <v>0.1</v>
      </c>
      <c r="Q1101" s="251">
        <f t="shared" si="464"/>
        <v>38.181849999999997</v>
      </c>
      <c r="R1101" s="173">
        <f t="shared" si="465"/>
        <v>38.739305009999995</v>
      </c>
      <c r="S1101" s="250">
        <v>0.7</v>
      </c>
      <c r="T1101" s="171">
        <f t="shared" si="466"/>
        <v>0.7</v>
      </c>
      <c r="U1101" s="256">
        <v>54.545499999999997</v>
      </c>
      <c r="V1101" s="170">
        <f t="shared" si="473"/>
        <v>55.341864299999997</v>
      </c>
      <c r="W1101" s="258">
        <v>0.1</v>
      </c>
      <c r="X1101" s="257">
        <f t="shared" si="467"/>
        <v>60.000049999999995</v>
      </c>
      <c r="Y1101" s="170">
        <f t="shared" si="469"/>
        <v>60.876050730000003</v>
      </c>
      <c r="Z1101" s="170">
        <f t="shared" si="472"/>
        <v>61</v>
      </c>
      <c r="AA1101" s="407">
        <f t="shared" si="468"/>
        <v>0</v>
      </c>
      <c r="AB1101" s="194"/>
    </row>
    <row r="1102" spans="1:28" s="278" customFormat="1" x14ac:dyDescent="0.25">
      <c r="A1102" s="200">
        <v>802218</v>
      </c>
      <c r="B1102" s="313" t="s">
        <v>19743</v>
      </c>
      <c r="C1102" s="248"/>
      <c r="D1102" s="247" t="s">
        <v>3</v>
      </c>
      <c r="E1102" s="249">
        <f t="shared" si="459"/>
        <v>3.6363599999999998</v>
      </c>
      <c r="F1102" s="170">
        <f t="shared" si="459"/>
        <v>3.6894508560000001</v>
      </c>
      <c r="G1102" s="252">
        <v>0.1</v>
      </c>
      <c r="H1102" s="171">
        <f t="shared" si="460"/>
        <v>0.1</v>
      </c>
      <c r="I1102" s="249">
        <f t="shared" si="461"/>
        <v>3.6363599999999998</v>
      </c>
      <c r="J1102" s="170">
        <f t="shared" si="461"/>
        <v>3.6894508560000001</v>
      </c>
      <c r="K1102" s="252">
        <v>0.1</v>
      </c>
      <c r="L1102" s="172">
        <f t="shared" si="470"/>
        <v>0.1</v>
      </c>
      <c r="M1102" s="249">
        <f t="shared" si="471"/>
        <v>3.6363599999999998</v>
      </c>
      <c r="N1102" s="170">
        <f t="shared" si="462"/>
        <v>3.6894508560000001</v>
      </c>
      <c r="O1102" s="252">
        <v>0.1</v>
      </c>
      <c r="P1102" s="172">
        <f t="shared" si="463"/>
        <v>0.1</v>
      </c>
      <c r="Q1102" s="251">
        <f t="shared" si="464"/>
        <v>25.454519999999999</v>
      </c>
      <c r="R1102" s="173">
        <f t="shared" si="465"/>
        <v>25.826155991999997</v>
      </c>
      <c r="S1102" s="250">
        <v>0.7</v>
      </c>
      <c r="T1102" s="171">
        <f t="shared" si="466"/>
        <v>0.7</v>
      </c>
      <c r="U1102" s="256">
        <v>36.363599999999998</v>
      </c>
      <c r="V1102" s="170">
        <f t="shared" si="473"/>
        <v>36.894508559999998</v>
      </c>
      <c r="W1102" s="258">
        <v>0.1</v>
      </c>
      <c r="X1102" s="257">
        <f t="shared" si="467"/>
        <v>39.999960000000002</v>
      </c>
      <c r="Y1102" s="170">
        <f t="shared" si="469"/>
        <v>40.583959415999999</v>
      </c>
      <c r="Z1102" s="170">
        <f t="shared" si="472"/>
        <v>41</v>
      </c>
      <c r="AA1102" s="407">
        <f t="shared" si="468"/>
        <v>0</v>
      </c>
      <c r="AB1102" s="194"/>
    </row>
    <row r="1103" spans="1:28" s="278" customFormat="1" x14ac:dyDescent="0.25">
      <c r="A1103" s="200">
        <v>802220</v>
      </c>
      <c r="B1103" s="313" t="s">
        <v>14773</v>
      </c>
      <c r="C1103" s="248"/>
      <c r="D1103" s="247" t="s">
        <v>3</v>
      </c>
      <c r="E1103" s="249">
        <f t="shared" si="459"/>
        <v>4.5454500000000007</v>
      </c>
      <c r="F1103" s="170">
        <f t="shared" si="459"/>
        <v>4.6118135700000007</v>
      </c>
      <c r="G1103" s="252">
        <v>0.1</v>
      </c>
      <c r="H1103" s="171">
        <f t="shared" si="460"/>
        <v>0.1</v>
      </c>
      <c r="I1103" s="249">
        <f t="shared" si="461"/>
        <v>4.5454500000000007</v>
      </c>
      <c r="J1103" s="170">
        <f t="shared" si="461"/>
        <v>4.6118135700000007</v>
      </c>
      <c r="K1103" s="252">
        <v>0.1</v>
      </c>
      <c r="L1103" s="172">
        <f t="shared" si="470"/>
        <v>0.1</v>
      </c>
      <c r="M1103" s="249">
        <f t="shared" si="471"/>
        <v>4.5454500000000007</v>
      </c>
      <c r="N1103" s="170">
        <f t="shared" si="462"/>
        <v>4.6118135700000007</v>
      </c>
      <c r="O1103" s="252">
        <v>0.1</v>
      </c>
      <c r="P1103" s="172">
        <f t="shared" si="463"/>
        <v>0.1</v>
      </c>
      <c r="Q1103" s="251">
        <f t="shared" si="464"/>
        <v>31.818149999999999</v>
      </c>
      <c r="R1103" s="173">
        <f t="shared" si="465"/>
        <v>32.282694990000003</v>
      </c>
      <c r="S1103" s="250">
        <v>0.7</v>
      </c>
      <c r="T1103" s="171">
        <f t="shared" si="466"/>
        <v>0.7</v>
      </c>
      <c r="U1103" s="256">
        <v>45.454500000000003</v>
      </c>
      <c r="V1103" s="170">
        <f t="shared" si="473"/>
        <v>46.118135700000003</v>
      </c>
      <c r="W1103" s="258">
        <v>0.1</v>
      </c>
      <c r="X1103" s="257">
        <f t="shared" si="467"/>
        <v>49.999950000000005</v>
      </c>
      <c r="Y1103" s="170">
        <f t="shared" si="469"/>
        <v>50.729949270000006</v>
      </c>
      <c r="Z1103" s="170">
        <f t="shared" si="472"/>
        <v>51</v>
      </c>
      <c r="AA1103" s="407">
        <f t="shared" si="468"/>
        <v>0</v>
      </c>
      <c r="AB1103" s="194"/>
    </row>
    <row r="1104" spans="1:28" s="278" customFormat="1" x14ac:dyDescent="0.25">
      <c r="A1104" s="200">
        <v>802230</v>
      </c>
      <c r="B1104" s="313" t="s">
        <v>19744</v>
      </c>
      <c r="C1104" s="248"/>
      <c r="D1104" s="247" t="s">
        <v>3</v>
      </c>
      <c r="E1104" s="249">
        <f t="shared" si="459"/>
        <v>6.8181799999999999</v>
      </c>
      <c r="F1104" s="170">
        <f t="shared" si="459"/>
        <v>6.9177254280000007</v>
      </c>
      <c r="G1104" s="252">
        <v>0.1</v>
      </c>
      <c r="H1104" s="171">
        <f t="shared" si="460"/>
        <v>0.1</v>
      </c>
      <c r="I1104" s="249">
        <f t="shared" si="461"/>
        <v>6.8181799999999999</v>
      </c>
      <c r="J1104" s="170">
        <f t="shared" si="461"/>
        <v>6.9177254280000007</v>
      </c>
      <c r="K1104" s="252">
        <v>0.1</v>
      </c>
      <c r="L1104" s="172">
        <f t="shared" si="470"/>
        <v>0.1</v>
      </c>
      <c r="M1104" s="249">
        <f t="shared" si="471"/>
        <v>6.8181799999999999</v>
      </c>
      <c r="N1104" s="170">
        <f t="shared" si="462"/>
        <v>6.9177254280000007</v>
      </c>
      <c r="O1104" s="252">
        <v>0.1</v>
      </c>
      <c r="P1104" s="172">
        <f t="shared" si="463"/>
        <v>0.1</v>
      </c>
      <c r="Q1104" s="251">
        <f t="shared" si="464"/>
        <v>47.727259999999994</v>
      </c>
      <c r="R1104" s="173">
        <f t="shared" si="465"/>
        <v>48.424077995999994</v>
      </c>
      <c r="S1104" s="250">
        <v>0.7</v>
      </c>
      <c r="T1104" s="171">
        <f t="shared" si="466"/>
        <v>0.7</v>
      </c>
      <c r="U1104" s="256">
        <v>68.181799999999996</v>
      </c>
      <c r="V1104" s="170">
        <f t="shared" si="473"/>
        <v>69.17725428</v>
      </c>
      <c r="W1104" s="258">
        <v>0.1</v>
      </c>
      <c r="X1104" s="257">
        <f t="shared" si="467"/>
        <v>74.999979999999994</v>
      </c>
      <c r="Y1104" s="170">
        <f t="shared" si="469"/>
        <v>76.094979708000011</v>
      </c>
      <c r="Z1104" s="170">
        <f t="shared" si="472"/>
        <v>77</v>
      </c>
      <c r="AA1104" s="407">
        <f t="shared" si="468"/>
        <v>0</v>
      </c>
      <c r="AB1104" s="194"/>
    </row>
    <row r="1105" spans="1:28" s="278" customFormat="1" x14ac:dyDescent="0.25">
      <c r="A1105" s="200">
        <v>802230</v>
      </c>
      <c r="B1105" s="313" t="s">
        <v>19745</v>
      </c>
      <c r="C1105" s="248"/>
      <c r="D1105" s="247" t="s">
        <v>3</v>
      </c>
      <c r="E1105" s="249">
        <f t="shared" si="459"/>
        <v>4.5454500000000007</v>
      </c>
      <c r="F1105" s="170">
        <f t="shared" si="459"/>
        <v>4.6118135700000007</v>
      </c>
      <c r="G1105" s="250">
        <v>0.1</v>
      </c>
      <c r="H1105" s="171">
        <f t="shared" si="460"/>
        <v>0.1</v>
      </c>
      <c r="I1105" s="249">
        <f t="shared" si="461"/>
        <v>4.5454500000000007</v>
      </c>
      <c r="J1105" s="170">
        <f t="shared" si="461"/>
        <v>4.6118135700000007</v>
      </c>
      <c r="K1105" s="250">
        <v>0.1</v>
      </c>
      <c r="L1105" s="172">
        <f t="shared" si="470"/>
        <v>0.1</v>
      </c>
      <c r="M1105" s="249">
        <f t="shared" si="471"/>
        <v>4.5454500000000007</v>
      </c>
      <c r="N1105" s="170">
        <f t="shared" si="462"/>
        <v>4.6118135700000007</v>
      </c>
      <c r="O1105" s="250">
        <v>0.1</v>
      </c>
      <c r="P1105" s="172">
        <f t="shared" si="463"/>
        <v>0.1</v>
      </c>
      <c r="Q1105" s="251">
        <f t="shared" si="464"/>
        <v>31.818149999999999</v>
      </c>
      <c r="R1105" s="173">
        <f t="shared" si="465"/>
        <v>32.282694990000003</v>
      </c>
      <c r="S1105" s="250">
        <v>0.7</v>
      </c>
      <c r="T1105" s="171">
        <f t="shared" si="466"/>
        <v>0.7</v>
      </c>
      <c r="U1105" s="256">
        <v>45.454500000000003</v>
      </c>
      <c r="V1105" s="170">
        <f t="shared" si="473"/>
        <v>46.118135700000003</v>
      </c>
      <c r="W1105" s="258">
        <v>0.1</v>
      </c>
      <c r="X1105" s="257">
        <f t="shared" si="467"/>
        <v>49.999950000000005</v>
      </c>
      <c r="Y1105" s="170">
        <f t="shared" si="469"/>
        <v>50.729949270000006</v>
      </c>
      <c r="Z1105" s="170">
        <f t="shared" si="472"/>
        <v>51</v>
      </c>
      <c r="AA1105" s="407">
        <f t="shared" si="468"/>
        <v>0</v>
      </c>
      <c r="AB1105" s="194"/>
    </row>
    <row r="1106" spans="1:28" s="278" customFormat="1" x14ac:dyDescent="0.25">
      <c r="A1106" s="200">
        <v>802235</v>
      </c>
      <c r="B1106" s="313" t="s">
        <v>14465</v>
      </c>
      <c r="C1106" s="248"/>
      <c r="D1106" s="247" t="s">
        <v>3</v>
      </c>
      <c r="E1106" s="249">
        <f t="shared" ref="E1106:F1169" si="474">U1106*G1106</f>
        <v>5.9090000000000007</v>
      </c>
      <c r="F1106" s="170">
        <f t="shared" si="474"/>
        <v>5.9952714000000009</v>
      </c>
      <c r="G1106" s="250">
        <v>0.1</v>
      </c>
      <c r="H1106" s="171">
        <f t="shared" si="460"/>
        <v>0.1</v>
      </c>
      <c r="I1106" s="249">
        <f t="shared" ref="I1106:J1169" si="475">U1106*K1106</f>
        <v>5.9090000000000007</v>
      </c>
      <c r="J1106" s="170">
        <f t="shared" si="475"/>
        <v>5.9952714000000009</v>
      </c>
      <c r="K1106" s="250">
        <v>0.1</v>
      </c>
      <c r="L1106" s="172">
        <f t="shared" si="470"/>
        <v>0.1</v>
      </c>
      <c r="M1106" s="249">
        <f t="shared" si="471"/>
        <v>5.9090000000000007</v>
      </c>
      <c r="N1106" s="170">
        <f t="shared" si="462"/>
        <v>5.9952714000000009</v>
      </c>
      <c r="O1106" s="250">
        <v>0.1</v>
      </c>
      <c r="P1106" s="172">
        <f t="shared" si="463"/>
        <v>0.1</v>
      </c>
      <c r="Q1106" s="251">
        <f t="shared" si="464"/>
        <v>41.363</v>
      </c>
      <c r="R1106" s="173">
        <f t="shared" si="465"/>
        <v>41.9668998</v>
      </c>
      <c r="S1106" s="250">
        <v>0.7</v>
      </c>
      <c r="T1106" s="171">
        <f t="shared" si="466"/>
        <v>0.7</v>
      </c>
      <c r="U1106" s="256">
        <v>59.09</v>
      </c>
      <c r="V1106" s="170">
        <f t="shared" si="473"/>
        <v>59.952714000000007</v>
      </c>
      <c r="W1106" s="258">
        <v>0.1</v>
      </c>
      <c r="X1106" s="257">
        <f t="shared" si="467"/>
        <v>64.999000000000009</v>
      </c>
      <c r="Y1106" s="170">
        <f t="shared" si="469"/>
        <v>65.947985400000007</v>
      </c>
      <c r="Z1106" s="170">
        <f t="shared" si="472"/>
        <v>66</v>
      </c>
      <c r="AA1106" s="407">
        <f t="shared" si="468"/>
        <v>0</v>
      </c>
      <c r="AB1106" s="194"/>
    </row>
    <row r="1107" spans="1:28" s="278" customFormat="1" x14ac:dyDescent="0.25">
      <c r="A1107" s="200">
        <v>802240</v>
      </c>
      <c r="B1107" s="313" t="s">
        <v>14774</v>
      </c>
      <c r="C1107" s="248"/>
      <c r="D1107" s="247" t="s">
        <v>1</v>
      </c>
      <c r="E1107" s="249">
        <f t="shared" si="474"/>
        <v>0.18182000000000001</v>
      </c>
      <c r="F1107" s="170">
        <f t="shared" si="474"/>
        <v>0.18447457200000003</v>
      </c>
      <c r="G1107" s="250">
        <v>0.1</v>
      </c>
      <c r="H1107" s="171">
        <f t="shared" ref="H1107:H1169" si="476">G1107</f>
        <v>0.1</v>
      </c>
      <c r="I1107" s="249">
        <f t="shared" si="475"/>
        <v>0.18182000000000001</v>
      </c>
      <c r="J1107" s="170">
        <f t="shared" si="475"/>
        <v>0.18447457200000003</v>
      </c>
      <c r="K1107" s="250">
        <v>0.1</v>
      </c>
      <c r="L1107" s="172">
        <f t="shared" si="470"/>
        <v>0.1</v>
      </c>
      <c r="M1107" s="249">
        <f t="shared" si="471"/>
        <v>0.18182000000000001</v>
      </c>
      <c r="N1107" s="170">
        <f t="shared" ref="N1107:N1169" si="477">P1107*V1107</f>
        <v>0.18447457200000003</v>
      </c>
      <c r="O1107" s="250">
        <v>0.1</v>
      </c>
      <c r="P1107" s="172">
        <f t="shared" ref="P1107:P1169" si="478">O1107</f>
        <v>0.1</v>
      </c>
      <c r="Q1107" s="251">
        <f t="shared" ref="Q1107:Q1169" si="479">U1107*S1107</f>
        <v>1.27274</v>
      </c>
      <c r="R1107" s="173">
        <f t="shared" ref="R1107:R1169" si="480">T1107*V1107</f>
        <v>1.291322004</v>
      </c>
      <c r="S1107" s="250">
        <v>0.7</v>
      </c>
      <c r="T1107" s="171">
        <f t="shared" ref="T1107:T1169" si="481">S1107</f>
        <v>0.7</v>
      </c>
      <c r="U1107" s="256">
        <v>1.8182</v>
      </c>
      <c r="V1107" s="170">
        <f t="shared" si="473"/>
        <v>1.8447457200000001</v>
      </c>
      <c r="W1107" s="258">
        <v>0.1</v>
      </c>
      <c r="X1107" s="257">
        <f t="shared" si="467"/>
        <v>2.0000200000000001</v>
      </c>
      <c r="Y1107" s="170">
        <f t="shared" si="469"/>
        <v>2.0292202920000002</v>
      </c>
      <c r="Z1107" s="170">
        <f>IF(Y1107=0, 0, IF(Y1107&lt;10, _xlfn.CEILING.MATH(Y1107,0.05), IF(Y1107&lt;100, _xlfn.CEILING.MATH(Y1107,1),IF(Y1107&lt;1000, _xlfn.CEILING.MATH(Y1107,5), IF(Y1107&lt;10000, _xlfn.CEILING.MATH(Y1107, 25), IF(Y1107&lt;100000, _xlfn.CEILING.MATH(Y1107,250), IF(Y1107&lt;1000000, _xlfn.CEILING.MATH(Y1107,500), 0)))))))</f>
        <v>2.0500000000000003</v>
      </c>
      <c r="AA1107" s="407">
        <f t="shared" si="468"/>
        <v>0</v>
      </c>
      <c r="AB1107" s="194"/>
    </row>
    <row r="1108" spans="1:28" s="278" customFormat="1" x14ac:dyDescent="0.25">
      <c r="A1108" s="200">
        <v>802310</v>
      </c>
      <c r="B1108" s="313" t="s">
        <v>19746</v>
      </c>
      <c r="C1108" s="248"/>
      <c r="D1108" s="247" t="s">
        <v>11</v>
      </c>
      <c r="E1108" s="249">
        <f t="shared" si="474"/>
        <v>218.75</v>
      </c>
      <c r="F1108" s="170">
        <f t="shared" si="474"/>
        <v>223.04843749999998</v>
      </c>
      <c r="G1108" s="250">
        <v>0.35</v>
      </c>
      <c r="H1108" s="171">
        <f t="shared" si="476"/>
        <v>0.35</v>
      </c>
      <c r="I1108" s="249">
        <f t="shared" si="475"/>
        <v>343.75</v>
      </c>
      <c r="J1108" s="170">
        <f t="shared" si="475"/>
        <v>350.50468750000005</v>
      </c>
      <c r="K1108" s="250">
        <v>0.55000000000000004</v>
      </c>
      <c r="L1108" s="172">
        <f t="shared" si="470"/>
        <v>0.55000000000000004</v>
      </c>
      <c r="M1108" s="249">
        <f t="shared" si="471"/>
        <v>31.25</v>
      </c>
      <c r="N1108" s="170">
        <f t="shared" si="477"/>
        <v>31.864062500000003</v>
      </c>
      <c r="O1108" s="250">
        <v>0.05</v>
      </c>
      <c r="P1108" s="172">
        <f t="shared" si="478"/>
        <v>0.05</v>
      </c>
      <c r="Q1108" s="251">
        <f t="shared" si="479"/>
        <v>31.25</v>
      </c>
      <c r="R1108" s="173">
        <f t="shared" si="480"/>
        <v>31.864062500000003</v>
      </c>
      <c r="S1108" s="250">
        <v>0.05</v>
      </c>
      <c r="T1108" s="171">
        <f t="shared" si="481"/>
        <v>0.05</v>
      </c>
      <c r="U1108" s="256">
        <v>625</v>
      </c>
      <c r="V1108" s="170">
        <f t="shared" si="473"/>
        <v>637.28125</v>
      </c>
      <c r="W1108" s="258">
        <v>0.2</v>
      </c>
      <c r="X1108" s="257">
        <f t="shared" si="467"/>
        <v>750</v>
      </c>
      <c r="Y1108" s="170">
        <f t="shared" si="469"/>
        <v>764.73749999999995</v>
      </c>
      <c r="Z1108" s="170">
        <f t="shared" si="472"/>
        <v>765</v>
      </c>
      <c r="AA1108" s="407">
        <f t="shared" si="468"/>
        <v>0</v>
      </c>
      <c r="AB1108" s="194"/>
    </row>
    <row r="1109" spans="1:28" s="278" customFormat="1" x14ac:dyDescent="0.25">
      <c r="A1109" s="200">
        <v>802310</v>
      </c>
      <c r="B1109" s="313" t="s">
        <v>19747</v>
      </c>
      <c r="C1109" s="248"/>
      <c r="D1109" s="247" t="s">
        <v>11</v>
      </c>
      <c r="E1109" s="249">
        <f t="shared" si="474"/>
        <v>145.83333450000001</v>
      </c>
      <c r="F1109" s="170">
        <f t="shared" si="474"/>
        <v>148.69895952292501</v>
      </c>
      <c r="G1109" s="252">
        <v>0.35</v>
      </c>
      <c r="H1109" s="171">
        <f t="shared" si="476"/>
        <v>0.35</v>
      </c>
      <c r="I1109" s="249">
        <f t="shared" si="475"/>
        <v>229.16666850000001</v>
      </c>
      <c r="J1109" s="170">
        <f t="shared" si="475"/>
        <v>233.66979353602505</v>
      </c>
      <c r="K1109" s="252">
        <v>0.55000000000000004</v>
      </c>
      <c r="L1109" s="172">
        <f t="shared" si="470"/>
        <v>0.55000000000000004</v>
      </c>
      <c r="M1109" s="249">
        <f t="shared" si="471"/>
        <v>20.833333500000002</v>
      </c>
      <c r="N1109" s="170">
        <f t="shared" si="477"/>
        <v>21.242708503275004</v>
      </c>
      <c r="O1109" s="252">
        <v>0.05</v>
      </c>
      <c r="P1109" s="172">
        <f t="shared" si="478"/>
        <v>0.05</v>
      </c>
      <c r="Q1109" s="251">
        <f t="shared" si="479"/>
        <v>20.833333500000002</v>
      </c>
      <c r="R1109" s="173">
        <f t="shared" si="480"/>
        <v>21.242708503275004</v>
      </c>
      <c r="S1109" s="250">
        <v>0.05</v>
      </c>
      <c r="T1109" s="171">
        <f t="shared" si="481"/>
        <v>0.05</v>
      </c>
      <c r="U1109" s="256">
        <v>416.66667000000001</v>
      </c>
      <c r="V1109" s="170">
        <f t="shared" si="473"/>
        <v>424.85417006550006</v>
      </c>
      <c r="W1109" s="258">
        <v>0.2</v>
      </c>
      <c r="X1109" s="257">
        <f t="shared" si="467"/>
        <v>500.00000399999999</v>
      </c>
      <c r="Y1109" s="170">
        <f t="shared" si="469"/>
        <v>509.82500407860005</v>
      </c>
      <c r="Z1109" s="170">
        <f t="shared" si="472"/>
        <v>510</v>
      </c>
      <c r="AA1109" s="407">
        <f t="shared" si="468"/>
        <v>0</v>
      </c>
      <c r="AB1109" s="194"/>
    </row>
    <row r="1110" spans="1:28" s="278" customFormat="1" x14ac:dyDescent="0.25">
      <c r="A1110" s="200">
        <v>802315</v>
      </c>
      <c r="B1110" s="313" t="s">
        <v>19748</v>
      </c>
      <c r="C1110" s="248"/>
      <c r="D1110" s="247" t="s">
        <v>11</v>
      </c>
      <c r="E1110" s="249">
        <f t="shared" si="474"/>
        <v>291.66665499999999</v>
      </c>
      <c r="F1110" s="170">
        <f t="shared" si="474"/>
        <v>297.39790477074996</v>
      </c>
      <c r="G1110" s="250">
        <v>0.35</v>
      </c>
      <c r="H1110" s="171">
        <f t="shared" si="476"/>
        <v>0.35</v>
      </c>
      <c r="I1110" s="249">
        <f t="shared" si="475"/>
        <v>458.33331500000003</v>
      </c>
      <c r="J1110" s="170">
        <f t="shared" si="475"/>
        <v>467.33956463975005</v>
      </c>
      <c r="K1110" s="250">
        <v>0.55000000000000004</v>
      </c>
      <c r="L1110" s="172">
        <f t="shared" si="470"/>
        <v>0.55000000000000004</v>
      </c>
      <c r="M1110" s="249">
        <f t="shared" si="471"/>
        <v>41.666665000000002</v>
      </c>
      <c r="N1110" s="170">
        <f t="shared" si="477"/>
        <v>42.485414967250001</v>
      </c>
      <c r="O1110" s="250">
        <v>0.05</v>
      </c>
      <c r="P1110" s="172">
        <f t="shared" si="478"/>
        <v>0.05</v>
      </c>
      <c r="Q1110" s="251">
        <f t="shared" si="479"/>
        <v>41.666665000000002</v>
      </c>
      <c r="R1110" s="173">
        <f t="shared" si="480"/>
        <v>42.485414967250001</v>
      </c>
      <c r="S1110" s="250">
        <v>0.05</v>
      </c>
      <c r="T1110" s="171">
        <f t="shared" si="481"/>
        <v>0.05</v>
      </c>
      <c r="U1110" s="256">
        <v>833.33330000000001</v>
      </c>
      <c r="V1110" s="170">
        <f t="shared" si="473"/>
        <v>849.708299345</v>
      </c>
      <c r="W1110" s="258">
        <v>0.2</v>
      </c>
      <c r="X1110" s="257">
        <f t="shared" si="467"/>
        <v>999.99995999999999</v>
      </c>
      <c r="Y1110" s="170">
        <f t="shared" si="469"/>
        <v>1019.649959214</v>
      </c>
      <c r="Z1110" s="170">
        <f t="shared" si="472"/>
        <v>1025</v>
      </c>
      <c r="AA1110" s="407">
        <f t="shared" si="468"/>
        <v>0</v>
      </c>
      <c r="AB1110" s="194"/>
    </row>
    <row r="1111" spans="1:28" s="278" customFormat="1" x14ac:dyDescent="0.25">
      <c r="A1111" s="200">
        <v>802315</v>
      </c>
      <c r="B1111" s="313" t="s">
        <v>19749</v>
      </c>
      <c r="C1111" s="248"/>
      <c r="D1111" s="247" t="s">
        <v>11</v>
      </c>
      <c r="E1111" s="249">
        <f t="shared" si="474"/>
        <v>233.33334499999998</v>
      </c>
      <c r="F1111" s="170">
        <f t="shared" si="474"/>
        <v>237.91834522925004</v>
      </c>
      <c r="G1111" s="250">
        <v>0.35</v>
      </c>
      <c r="H1111" s="171">
        <f t="shared" si="476"/>
        <v>0.35</v>
      </c>
      <c r="I1111" s="249">
        <f t="shared" si="475"/>
        <v>366.66668500000003</v>
      </c>
      <c r="J1111" s="170">
        <f t="shared" si="475"/>
        <v>373.87168536025013</v>
      </c>
      <c r="K1111" s="250">
        <v>0.55000000000000004</v>
      </c>
      <c r="L1111" s="172">
        <f t="shared" si="470"/>
        <v>0.55000000000000004</v>
      </c>
      <c r="M1111" s="249">
        <f t="shared" si="471"/>
        <v>33.333334999999998</v>
      </c>
      <c r="N1111" s="170">
        <f t="shared" si="477"/>
        <v>33.988335032750008</v>
      </c>
      <c r="O1111" s="250">
        <v>0.05</v>
      </c>
      <c r="P1111" s="172">
        <f t="shared" si="478"/>
        <v>0.05</v>
      </c>
      <c r="Q1111" s="251">
        <f t="shared" si="479"/>
        <v>33.333334999999998</v>
      </c>
      <c r="R1111" s="173">
        <f t="shared" si="480"/>
        <v>33.988335032750008</v>
      </c>
      <c r="S1111" s="250">
        <v>0.05</v>
      </c>
      <c r="T1111" s="171">
        <f t="shared" si="481"/>
        <v>0.05</v>
      </c>
      <c r="U1111" s="256">
        <v>666.66669999999999</v>
      </c>
      <c r="V1111" s="170">
        <f t="shared" si="473"/>
        <v>679.76670065500014</v>
      </c>
      <c r="W1111" s="258">
        <v>0.2</v>
      </c>
      <c r="X1111" s="257">
        <f t="shared" si="467"/>
        <v>800.00004000000001</v>
      </c>
      <c r="Y1111" s="170">
        <f t="shared" si="469"/>
        <v>815.72004078600014</v>
      </c>
      <c r="Z1111" s="170">
        <f t="shared" si="472"/>
        <v>820</v>
      </c>
      <c r="AA1111" s="407">
        <f t="shared" si="468"/>
        <v>0</v>
      </c>
      <c r="AB1111" s="194"/>
    </row>
    <row r="1112" spans="1:28" s="278" customFormat="1" x14ac:dyDescent="0.25">
      <c r="A1112" s="200">
        <v>802320</v>
      </c>
      <c r="B1112" s="313" t="s">
        <v>14452</v>
      </c>
      <c r="C1112" s="248"/>
      <c r="D1112" s="247" t="s">
        <v>11</v>
      </c>
      <c r="E1112" s="249">
        <f t="shared" si="474"/>
        <v>145.83334499999998</v>
      </c>
      <c r="F1112" s="170">
        <f t="shared" si="474"/>
        <v>148.75001189999998</v>
      </c>
      <c r="G1112" s="250">
        <v>0.35</v>
      </c>
      <c r="H1112" s="171">
        <f t="shared" si="476"/>
        <v>0.35</v>
      </c>
      <c r="I1112" s="249">
        <f t="shared" si="475"/>
        <v>208.33335</v>
      </c>
      <c r="J1112" s="170">
        <f t="shared" si="475"/>
        <v>212.50001699999999</v>
      </c>
      <c r="K1112" s="250">
        <v>0.5</v>
      </c>
      <c r="L1112" s="172">
        <f t="shared" si="470"/>
        <v>0.5</v>
      </c>
      <c r="M1112" s="249">
        <f t="shared" si="471"/>
        <v>41.666670000000003</v>
      </c>
      <c r="N1112" s="170">
        <f t="shared" si="477"/>
        <v>42.500003399999997</v>
      </c>
      <c r="O1112" s="250">
        <v>0.1</v>
      </c>
      <c r="P1112" s="172">
        <f t="shared" si="478"/>
        <v>0.1</v>
      </c>
      <c r="Q1112" s="251">
        <f t="shared" si="479"/>
        <v>20.833335000000002</v>
      </c>
      <c r="R1112" s="173">
        <f t="shared" si="480"/>
        <v>21.250001699999999</v>
      </c>
      <c r="S1112" s="250">
        <v>0.05</v>
      </c>
      <c r="T1112" s="171">
        <f t="shared" si="481"/>
        <v>0.05</v>
      </c>
      <c r="U1112" s="256">
        <v>416.66669999999999</v>
      </c>
      <c r="V1112" s="170">
        <f t="shared" si="473"/>
        <v>425.00003399999997</v>
      </c>
      <c r="W1112" s="258">
        <v>0.2</v>
      </c>
      <c r="X1112" s="257">
        <f t="shared" si="467"/>
        <v>500.00004000000001</v>
      </c>
      <c r="Y1112" s="170">
        <f t="shared" si="469"/>
        <v>510.00004079999997</v>
      </c>
      <c r="Z1112" s="170">
        <f t="shared" si="472"/>
        <v>515</v>
      </c>
      <c r="AA1112" s="407">
        <f t="shared" si="468"/>
        <v>0</v>
      </c>
      <c r="AB1112" s="194"/>
    </row>
    <row r="1113" spans="1:28" s="278" customFormat="1" x14ac:dyDescent="0.25">
      <c r="A1113" s="200">
        <v>802325</v>
      </c>
      <c r="B1113" s="313" t="s">
        <v>14775</v>
      </c>
      <c r="C1113" s="248"/>
      <c r="D1113" s="247" t="s">
        <v>11</v>
      </c>
      <c r="E1113" s="249">
        <f t="shared" si="474"/>
        <v>187.50001499999999</v>
      </c>
      <c r="F1113" s="170">
        <f t="shared" si="474"/>
        <v>191.362515309</v>
      </c>
      <c r="G1113" s="250">
        <v>0.45</v>
      </c>
      <c r="H1113" s="171">
        <f t="shared" si="476"/>
        <v>0.45</v>
      </c>
      <c r="I1113" s="249">
        <f t="shared" si="475"/>
        <v>166.66668000000001</v>
      </c>
      <c r="J1113" s="170">
        <f t="shared" si="475"/>
        <v>170.10001360800001</v>
      </c>
      <c r="K1113" s="250">
        <v>0.4</v>
      </c>
      <c r="L1113" s="172">
        <f t="shared" si="470"/>
        <v>0.4</v>
      </c>
      <c r="M1113" s="249">
        <f t="shared" si="471"/>
        <v>41.666670000000003</v>
      </c>
      <c r="N1113" s="170">
        <f t="shared" si="477"/>
        <v>42.525003402000003</v>
      </c>
      <c r="O1113" s="250">
        <v>0.1</v>
      </c>
      <c r="P1113" s="172">
        <f t="shared" si="478"/>
        <v>0.1</v>
      </c>
      <c r="Q1113" s="251">
        <f t="shared" si="479"/>
        <v>20.833335000000002</v>
      </c>
      <c r="R1113" s="173">
        <f t="shared" si="480"/>
        <v>21.262501701000001</v>
      </c>
      <c r="S1113" s="250">
        <v>0.05</v>
      </c>
      <c r="T1113" s="171">
        <f t="shared" si="481"/>
        <v>0.05</v>
      </c>
      <c r="U1113" s="256">
        <v>416.66669999999999</v>
      </c>
      <c r="V1113" s="170">
        <f t="shared" si="473"/>
        <v>425.25003401999999</v>
      </c>
      <c r="W1113" s="258">
        <v>0.2</v>
      </c>
      <c r="X1113" s="257">
        <f t="shared" si="467"/>
        <v>500.00004000000001</v>
      </c>
      <c r="Y1113" s="170">
        <f t="shared" si="469"/>
        <v>510.30004082399995</v>
      </c>
      <c r="Z1113" s="170">
        <f t="shared" si="472"/>
        <v>515</v>
      </c>
      <c r="AA1113" s="407">
        <f t="shared" si="468"/>
        <v>0</v>
      </c>
      <c r="AB1113" s="194"/>
    </row>
    <row r="1114" spans="1:28" s="278" customFormat="1" x14ac:dyDescent="0.25">
      <c r="A1114" s="200">
        <v>802360</v>
      </c>
      <c r="B1114" s="313" t="s">
        <v>19750</v>
      </c>
      <c r="C1114" s="248"/>
      <c r="D1114" s="247" t="s">
        <v>2</v>
      </c>
      <c r="E1114" s="249">
        <f t="shared" si="474"/>
        <v>5.625</v>
      </c>
      <c r="F1114" s="170">
        <f t="shared" si="474"/>
        <v>5.7428437500000014</v>
      </c>
      <c r="G1114" s="250">
        <v>0.45</v>
      </c>
      <c r="H1114" s="171">
        <f t="shared" si="476"/>
        <v>0.45</v>
      </c>
      <c r="I1114" s="249">
        <f t="shared" si="475"/>
        <v>4.375</v>
      </c>
      <c r="J1114" s="170">
        <f t="shared" si="475"/>
        <v>4.4666562500000007</v>
      </c>
      <c r="K1114" s="250">
        <v>0.35</v>
      </c>
      <c r="L1114" s="172">
        <f t="shared" si="470"/>
        <v>0.35</v>
      </c>
      <c r="M1114" s="249">
        <f t="shared" si="471"/>
        <v>1.875</v>
      </c>
      <c r="N1114" s="170">
        <f t="shared" si="477"/>
        <v>1.9142812500000004</v>
      </c>
      <c r="O1114" s="250">
        <v>0.15</v>
      </c>
      <c r="P1114" s="172">
        <f t="shared" si="478"/>
        <v>0.15</v>
      </c>
      <c r="Q1114" s="251">
        <f t="shared" si="479"/>
        <v>0.625</v>
      </c>
      <c r="R1114" s="173">
        <f t="shared" si="480"/>
        <v>0.63809375000000024</v>
      </c>
      <c r="S1114" s="250">
        <v>0.05</v>
      </c>
      <c r="T1114" s="171">
        <f t="shared" si="481"/>
        <v>0.05</v>
      </c>
      <c r="U1114" s="256">
        <v>12.5</v>
      </c>
      <c r="V1114" s="170">
        <f t="shared" si="473"/>
        <v>12.761875000000003</v>
      </c>
      <c r="W1114" s="258">
        <v>0.2</v>
      </c>
      <c r="X1114" s="257">
        <f t="shared" si="467"/>
        <v>15</v>
      </c>
      <c r="Y1114" s="170">
        <f t="shared" si="469"/>
        <v>15.314250000000003</v>
      </c>
      <c r="Z1114" s="170">
        <f t="shared" si="472"/>
        <v>16</v>
      </c>
      <c r="AA1114" s="407">
        <f t="shared" si="468"/>
        <v>0</v>
      </c>
      <c r="AB1114" s="194"/>
    </row>
    <row r="1115" spans="1:28" s="278" customFormat="1" x14ac:dyDescent="0.25">
      <c r="A1115" s="200">
        <v>802360</v>
      </c>
      <c r="B1115" s="313" t="s">
        <v>19751</v>
      </c>
      <c r="C1115" s="248"/>
      <c r="D1115" s="247" t="s">
        <v>2</v>
      </c>
      <c r="E1115" s="249">
        <f t="shared" si="474"/>
        <v>4.1250014999999998</v>
      </c>
      <c r="F1115" s="170">
        <f t="shared" si="474"/>
        <v>4.2114202814250001</v>
      </c>
      <c r="G1115" s="250">
        <v>0.45</v>
      </c>
      <c r="H1115" s="171">
        <f t="shared" si="476"/>
        <v>0.45</v>
      </c>
      <c r="I1115" s="249">
        <f t="shared" si="475"/>
        <v>3.2083344999999999</v>
      </c>
      <c r="J1115" s="170">
        <f t="shared" si="475"/>
        <v>3.2755491077749999</v>
      </c>
      <c r="K1115" s="250">
        <v>0.35</v>
      </c>
      <c r="L1115" s="172">
        <f t="shared" si="470"/>
        <v>0.35</v>
      </c>
      <c r="M1115" s="249">
        <f t="shared" si="471"/>
        <v>1.3750004999999998</v>
      </c>
      <c r="N1115" s="170">
        <f t="shared" si="477"/>
        <v>1.403806760475</v>
      </c>
      <c r="O1115" s="250">
        <v>0.15</v>
      </c>
      <c r="P1115" s="172">
        <f t="shared" si="478"/>
        <v>0.15</v>
      </c>
      <c r="Q1115" s="251">
        <f t="shared" si="479"/>
        <v>0.4583335</v>
      </c>
      <c r="R1115" s="173">
        <f t="shared" si="480"/>
        <v>0.46793558682500003</v>
      </c>
      <c r="S1115" s="250">
        <v>0.05</v>
      </c>
      <c r="T1115" s="171">
        <f t="shared" si="481"/>
        <v>0.05</v>
      </c>
      <c r="U1115" s="256">
        <v>9.1666699999999999</v>
      </c>
      <c r="V1115" s="170">
        <f t="shared" si="473"/>
        <v>9.3587117365000001</v>
      </c>
      <c r="W1115" s="258">
        <v>0.2</v>
      </c>
      <c r="X1115" s="257">
        <f t="shared" si="467"/>
        <v>11.000004000000001</v>
      </c>
      <c r="Y1115" s="170">
        <f t="shared" si="469"/>
        <v>11.2304540838</v>
      </c>
      <c r="Z1115" s="170">
        <f t="shared" si="472"/>
        <v>12</v>
      </c>
      <c r="AA1115" s="407">
        <f t="shared" si="468"/>
        <v>0</v>
      </c>
      <c r="AB1115" s="194"/>
    </row>
    <row r="1116" spans="1:28" s="278" customFormat="1" x14ac:dyDescent="0.25">
      <c r="A1116" s="200">
        <v>802370</v>
      </c>
      <c r="B1116" s="313" t="s">
        <v>14776</v>
      </c>
      <c r="C1116" s="248"/>
      <c r="D1116" s="247" t="s">
        <v>3</v>
      </c>
      <c r="E1116" s="249">
        <f t="shared" si="474"/>
        <v>4.5454500000000007</v>
      </c>
      <c r="F1116" s="170">
        <f t="shared" si="474"/>
        <v>4.6031772150000005</v>
      </c>
      <c r="G1116" s="252">
        <v>0.1</v>
      </c>
      <c r="H1116" s="171">
        <f t="shared" si="476"/>
        <v>0.1</v>
      </c>
      <c r="I1116" s="249">
        <f t="shared" si="475"/>
        <v>0</v>
      </c>
      <c r="J1116" s="170">
        <f t="shared" si="475"/>
        <v>0</v>
      </c>
      <c r="K1116" s="252"/>
      <c r="L1116" s="172">
        <f t="shared" si="470"/>
        <v>0</v>
      </c>
      <c r="M1116" s="249">
        <f t="shared" si="471"/>
        <v>0</v>
      </c>
      <c r="N1116" s="170">
        <f t="shared" si="477"/>
        <v>0</v>
      </c>
      <c r="O1116" s="252"/>
      <c r="P1116" s="172">
        <f t="shared" si="478"/>
        <v>0</v>
      </c>
      <c r="Q1116" s="251">
        <f t="shared" si="479"/>
        <v>40.909050000000001</v>
      </c>
      <c r="R1116" s="173">
        <f t="shared" si="480"/>
        <v>41.428594935</v>
      </c>
      <c r="S1116" s="250">
        <v>0.9</v>
      </c>
      <c r="T1116" s="171">
        <f t="shared" si="481"/>
        <v>0.9</v>
      </c>
      <c r="U1116" s="256">
        <v>45.454500000000003</v>
      </c>
      <c r="V1116" s="170">
        <f t="shared" si="473"/>
        <v>46.031772150000002</v>
      </c>
      <c r="W1116" s="258">
        <v>0.1</v>
      </c>
      <c r="X1116" s="257">
        <f t="shared" si="467"/>
        <v>49.999950000000005</v>
      </c>
      <c r="Y1116" s="170">
        <f t="shared" si="469"/>
        <v>50.634949365000004</v>
      </c>
      <c r="Z1116" s="170">
        <f t="shared" si="472"/>
        <v>51</v>
      </c>
      <c r="AA1116" s="407">
        <f t="shared" si="468"/>
        <v>0</v>
      </c>
      <c r="AB1116" s="194"/>
    </row>
    <row r="1117" spans="1:28" s="278" customFormat="1" ht="21" x14ac:dyDescent="0.25">
      <c r="A1117" s="200">
        <v>802380</v>
      </c>
      <c r="B1117" s="255" t="s">
        <v>16098</v>
      </c>
      <c r="C1117" s="248"/>
      <c r="D1117" s="247" t="s">
        <v>3</v>
      </c>
      <c r="E1117" s="249">
        <f>U1117*G1117</f>
        <v>0</v>
      </c>
      <c r="F1117" s="170">
        <f>V1117*H1117</f>
        <v>1248</v>
      </c>
      <c r="G1117" s="252">
        <f>1248/3798</f>
        <v>0.32859399684044233</v>
      </c>
      <c r="H1117" s="171">
        <f>G1117</f>
        <v>0.32859399684044233</v>
      </c>
      <c r="I1117" s="249">
        <f>U1117*K1117</f>
        <v>0</v>
      </c>
      <c r="J1117" s="170">
        <f>V1117*L1117</f>
        <v>1519</v>
      </c>
      <c r="K1117" s="252">
        <f>1519/3798</f>
        <v>0.39994734070563454</v>
      </c>
      <c r="L1117" s="172">
        <f>K1117</f>
        <v>0.39994734070563454</v>
      </c>
      <c r="M1117" s="249">
        <f>U1117*O1117</f>
        <v>0</v>
      </c>
      <c r="N1117" s="170">
        <f>P1117*V1117</f>
        <v>597</v>
      </c>
      <c r="O1117" s="252">
        <f>597/3798</f>
        <v>0.15718799368088468</v>
      </c>
      <c r="P1117" s="172">
        <f>O1117</f>
        <v>0.15718799368088468</v>
      </c>
      <c r="Q1117" s="251"/>
      <c r="R1117" s="173">
        <f>T1117*V1117</f>
        <v>434</v>
      </c>
      <c r="S1117" s="250">
        <f>434/3798</f>
        <v>0.11427066877303844</v>
      </c>
      <c r="T1117" s="171">
        <f>S1117</f>
        <v>0.11427066877303844</v>
      </c>
      <c r="U1117" s="256"/>
      <c r="V1117" s="170">
        <v>3798</v>
      </c>
      <c r="W1117" s="258">
        <v>0.2</v>
      </c>
      <c r="X1117" s="257">
        <f>U1117+U1117*W1117</f>
        <v>0</v>
      </c>
      <c r="Y1117" s="170">
        <f>IF(V1117*(W1117+1)=0,X1117,V1117*(W1117+1))</f>
        <v>4557.5999999999995</v>
      </c>
      <c r="Z1117" s="170">
        <f>IF(Y1117=0, 0, IF(Y1117&lt;10, _xlfn.CEILING.MATH(Y1117,1), IF(Y1117&lt;100, _xlfn.CEILING.MATH(Y1117,1),IF(Y1117&lt;1000, _xlfn.CEILING.MATH(Y1117,5), IF(Y1117&lt;10000, _xlfn.CEILING.MATH(Y1117, 1), IF(Y1117&lt;100000, _xlfn.CEILING.MATH(Y1117,250), IF(Y1117&lt;1000000, _xlfn.CEILING.MATH(Y1117,500), 0)))))))</f>
        <v>4558</v>
      </c>
      <c r="AA1117" s="407">
        <f>C1117*Z1117</f>
        <v>0</v>
      </c>
      <c r="AB1117" s="194"/>
    </row>
    <row r="1118" spans="1:28" s="278" customFormat="1" ht="21" x14ac:dyDescent="0.25">
      <c r="A1118" s="200">
        <v>802380</v>
      </c>
      <c r="B1118" s="255" t="s">
        <v>16099</v>
      </c>
      <c r="C1118" s="248"/>
      <c r="D1118" s="247" t="s">
        <v>3</v>
      </c>
      <c r="E1118" s="249">
        <f>U1118*G1118</f>
        <v>0</v>
      </c>
      <c r="F1118" s="170">
        <f>V1118*H1118</f>
        <v>1248</v>
      </c>
      <c r="G1118" s="252">
        <f>1248/4070</f>
        <v>0.30663390663390666</v>
      </c>
      <c r="H1118" s="171">
        <f>G1118</f>
        <v>0.30663390663390666</v>
      </c>
      <c r="I1118" s="249">
        <f>U1118*K1118</f>
        <v>0</v>
      </c>
      <c r="J1118" s="170">
        <f>V1118*L1118</f>
        <v>1682</v>
      </c>
      <c r="K1118" s="252">
        <f>1682/4070</f>
        <v>0.41326781326781326</v>
      </c>
      <c r="L1118" s="172">
        <f>K1118</f>
        <v>0.41326781326781326</v>
      </c>
      <c r="M1118" s="249">
        <f>U1118*O1118</f>
        <v>0</v>
      </c>
      <c r="N1118" s="170">
        <f>P1118*V1118</f>
        <v>597</v>
      </c>
      <c r="O1118" s="252">
        <f>597/4070</f>
        <v>0.14668304668304669</v>
      </c>
      <c r="P1118" s="172">
        <f>O1118</f>
        <v>0.14668304668304669</v>
      </c>
      <c r="Q1118" s="251"/>
      <c r="R1118" s="173">
        <f>T1118*V1118</f>
        <v>543</v>
      </c>
      <c r="S1118" s="250">
        <f>543/4070</f>
        <v>0.13341523341523343</v>
      </c>
      <c r="T1118" s="171">
        <f>S1118</f>
        <v>0.13341523341523343</v>
      </c>
      <c r="U1118" s="256"/>
      <c r="V1118" s="170">
        <v>4070</v>
      </c>
      <c r="W1118" s="258">
        <v>0.2</v>
      </c>
      <c r="X1118" s="257">
        <f>U1118+U1118*W1118</f>
        <v>0</v>
      </c>
      <c r="Y1118" s="170">
        <f>IF(V1118*(W1118+1)=0,X1118,V1118*(W1118+1))</f>
        <v>4884</v>
      </c>
      <c r="Z1118" s="170">
        <f>IF(Y1118=0, 0, IF(Y1118&lt;10, _xlfn.CEILING.MATH(Y1118,1), IF(Y1118&lt;100, _xlfn.CEILING.MATH(Y1118,1),IF(Y1118&lt;1000, _xlfn.CEILING.MATH(Y1118,5), IF(Y1118&lt;10000, _xlfn.CEILING.MATH(Y1118, 1), IF(Y1118&lt;100000, _xlfn.CEILING.MATH(Y1118,250), IF(Y1118&lt;1000000, _xlfn.CEILING.MATH(Y1118,500), 0)))))))</f>
        <v>4884</v>
      </c>
      <c r="AA1118" s="407">
        <f>C1118*Z1118</f>
        <v>0</v>
      </c>
      <c r="AB1118" s="194"/>
    </row>
    <row r="1119" spans="1:28" s="278" customFormat="1" x14ac:dyDescent="0.25">
      <c r="A1119" s="200">
        <v>802400</v>
      </c>
      <c r="B1119" s="313" t="s">
        <v>19752</v>
      </c>
      <c r="C1119" s="248"/>
      <c r="D1119" s="247" t="s">
        <v>11</v>
      </c>
      <c r="E1119" s="249">
        <f t="shared" si="474"/>
        <v>227.27273000000002</v>
      </c>
      <c r="F1119" s="170">
        <f t="shared" si="474"/>
        <v>230.15909367100005</v>
      </c>
      <c r="G1119" s="252">
        <v>0.1</v>
      </c>
      <c r="H1119" s="171">
        <f t="shared" si="476"/>
        <v>0.1</v>
      </c>
      <c r="I1119" s="249">
        <f t="shared" si="475"/>
        <v>0</v>
      </c>
      <c r="J1119" s="170">
        <f t="shared" si="475"/>
        <v>0</v>
      </c>
      <c r="K1119" s="252"/>
      <c r="L1119" s="172">
        <f t="shared" si="470"/>
        <v>0</v>
      </c>
      <c r="M1119" s="249">
        <f t="shared" si="471"/>
        <v>0</v>
      </c>
      <c r="N1119" s="170">
        <f t="shared" si="477"/>
        <v>0</v>
      </c>
      <c r="O1119" s="252"/>
      <c r="P1119" s="172">
        <f t="shared" si="478"/>
        <v>0</v>
      </c>
      <c r="Q1119" s="251">
        <f t="shared" si="479"/>
        <v>2045.4545700000001</v>
      </c>
      <c r="R1119" s="173">
        <f t="shared" si="480"/>
        <v>2071.4318430390003</v>
      </c>
      <c r="S1119" s="250">
        <v>0.9</v>
      </c>
      <c r="T1119" s="171">
        <f t="shared" si="481"/>
        <v>0.9</v>
      </c>
      <c r="U1119" s="256">
        <v>2272.7273</v>
      </c>
      <c r="V1119" s="170">
        <f t="shared" si="473"/>
        <v>2301.5909367100003</v>
      </c>
      <c r="W1119" s="258">
        <v>0.1</v>
      </c>
      <c r="X1119" s="257">
        <f t="shared" si="467"/>
        <v>2500.0000300000002</v>
      </c>
      <c r="Y1119" s="170">
        <f t="shared" si="469"/>
        <v>2531.7500303810007</v>
      </c>
      <c r="Z1119" s="170">
        <f t="shared" si="472"/>
        <v>2550</v>
      </c>
      <c r="AA1119" s="407">
        <f t="shared" si="468"/>
        <v>0</v>
      </c>
      <c r="AB1119" s="194"/>
    </row>
    <row r="1120" spans="1:28" s="278" customFormat="1" x14ac:dyDescent="0.25">
      <c r="A1120" s="200">
        <v>802400</v>
      </c>
      <c r="B1120" s="313" t="s">
        <v>19753</v>
      </c>
      <c r="C1120" s="248"/>
      <c r="D1120" s="247" t="s">
        <v>11</v>
      </c>
      <c r="E1120" s="249">
        <f t="shared" si="474"/>
        <v>159.09091000000001</v>
      </c>
      <c r="F1120" s="170">
        <f t="shared" si="474"/>
        <v>161.11136455700003</v>
      </c>
      <c r="G1120" s="252">
        <v>0.1</v>
      </c>
      <c r="H1120" s="171">
        <f t="shared" si="476"/>
        <v>0.1</v>
      </c>
      <c r="I1120" s="249">
        <f t="shared" si="475"/>
        <v>0</v>
      </c>
      <c r="J1120" s="170">
        <f t="shared" si="475"/>
        <v>0</v>
      </c>
      <c r="K1120" s="252"/>
      <c r="L1120" s="172">
        <f t="shared" si="470"/>
        <v>0</v>
      </c>
      <c r="M1120" s="249">
        <f t="shared" si="471"/>
        <v>0</v>
      </c>
      <c r="N1120" s="170">
        <f t="shared" si="477"/>
        <v>0</v>
      </c>
      <c r="O1120" s="252"/>
      <c r="P1120" s="172">
        <f t="shared" si="478"/>
        <v>0</v>
      </c>
      <c r="Q1120" s="251">
        <f t="shared" si="479"/>
        <v>1431.8181900000002</v>
      </c>
      <c r="R1120" s="173">
        <f t="shared" si="480"/>
        <v>1450.0022810130004</v>
      </c>
      <c r="S1120" s="250">
        <v>0.9</v>
      </c>
      <c r="T1120" s="171">
        <f t="shared" si="481"/>
        <v>0.9</v>
      </c>
      <c r="U1120" s="256">
        <v>1590.9091000000001</v>
      </c>
      <c r="V1120" s="170">
        <f t="shared" si="473"/>
        <v>1611.1136455700002</v>
      </c>
      <c r="W1120" s="258">
        <v>0.1</v>
      </c>
      <c r="X1120" s="257">
        <f t="shared" ref="X1120:X1135" si="482">U1120+U1120*W1120</f>
        <v>1750.0000100000002</v>
      </c>
      <c r="Y1120" s="170">
        <f t="shared" si="469"/>
        <v>1772.2250101270004</v>
      </c>
      <c r="Z1120" s="170">
        <f t="shared" si="472"/>
        <v>1775</v>
      </c>
      <c r="AA1120" s="407">
        <f t="shared" si="468"/>
        <v>0</v>
      </c>
      <c r="AB1120" s="194"/>
    </row>
    <row r="1121" spans="1:28" s="278" customFormat="1" x14ac:dyDescent="0.25">
      <c r="A1121" s="200">
        <v>802400</v>
      </c>
      <c r="B1121" s="313" t="s">
        <v>19754</v>
      </c>
      <c r="C1121" s="248"/>
      <c r="D1121" s="247" t="s">
        <v>11</v>
      </c>
      <c r="E1121" s="249">
        <f t="shared" si="474"/>
        <v>68.181820000000002</v>
      </c>
      <c r="F1121" s="170">
        <f t="shared" si="474"/>
        <v>69.04772911400002</v>
      </c>
      <c r="G1121" s="252">
        <v>0.1</v>
      </c>
      <c r="H1121" s="171">
        <f t="shared" si="476"/>
        <v>0.1</v>
      </c>
      <c r="I1121" s="249">
        <f t="shared" si="475"/>
        <v>0</v>
      </c>
      <c r="J1121" s="170">
        <f t="shared" si="475"/>
        <v>0</v>
      </c>
      <c r="K1121" s="252"/>
      <c r="L1121" s="172">
        <f t="shared" si="470"/>
        <v>0</v>
      </c>
      <c r="M1121" s="249">
        <f t="shared" si="471"/>
        <v>0</v>
      </c>
      <c r="N1121" s="170">
        <f t="shared" si="477"/>
        <v>0</v>
      </c>
      <c r="O1121" s="252"/>
      <c r="P1121" s="172">
        <f t="shared" si="478"/>
        <v>0</v>
      </c>
      <c r="Q1121" s="251">
        <f t="shared" si="479"/>
        <v>613.63638000000003</v>
      </c>
      <c r="R1121" s="173">
        <f t="shared" si="480"/>
        <v>621.4295620260001</v>
      </c>
      <c r="S1121" s="250">
        <v>0.9</v>
      </c>
      <c r="T1121" s="171">
        <f t="shared" si="481"/>
        <v>0.9</v>
      </c>
      <c r="U1121" s="256">
        <v>681.81820000000005</v>
      </c>
      <c r="V1121" s="170">
        <f t="shared" si="473"/>
        <v>690.47729114000015</v>
      </c>
      <c r="W1121" s="258">
        <v>0.1</v>
      </c>
      <c r="X1121" s="257">
        <f t="shared" si="482"/>
        <v>750.00002000000006</v>
      </c>
      <c r="Y1121" s="170">
        <f t="shared" si="469"/>
        <v>759.5250202540002</v>
      </c>
      <c r="Z1121" s="170">
        <f t="shared" si="472"/>
        <v>760</v>
      </c>
      <c r="AA1121" s="407">
        <f t="shared" si="468"/>
        <v>0</v>
      </c>
      <c r="AB1121" s="194"/>
    </row>
    <row r="1122" spans="1:28" s="278" customFormat="1" x14ac:dyDescent="0.25">
      <c r="A1122" s="200">
        <v>802400</v>
      </c>
      <c r="B1122" s="313" t="s">
        <v>19755</v>
      </c>
      <c r="C1122" s="248"/>
      <c r="D1122" s="247" t="s">
        <v>11</v>
      </c>
      <c r="E1122" s="249">
        <f t="shared" si="474"/>
        <v>113.63636</v>
      </c>
      <c r="F1122" s="170">
        <f t="shared" si="474"/>
        <v>115.079541772</v>
      </c>
      <c r="G1122" s="252">
        <v>0.1</v>
      </c>
      <c r="H1122" s="171">
        <f t="shared" si="476"/>
        <v>0.1</v>
      </c>
      <c r="I1122" s="249">
        <f t="shared" si="475"/>
        <v>0</v>
      </c>
      <c r="J1122" s="170">
        <f t="shared" si="475"/>
        <v>0</v>
      </c>
      <c r="K1122" s="252"/>
      <c r="L1122" s="172">
        <f t="shared" si="470"/>
        <v>0</v>
      </c>
      <c r="M1122" s="249">
        <f t="shared" si="471"/>
        <v>0</v>
      </c>
      <c r="N1122" s="170">
        <f t="shared" si="477"/>
        <v>0</v>
      </c>
      <c r="O1122" s="252"/>
      <c r="P1122" s="172">
        <f t="shared" si="478"/>
        <v>0</v>
      </c>
      <c r="Q1122" s="251">
        <f t="shared" si="479"/>
        <v>1022.7272399999999</v>
      </c>
      <c r="R1122" s="173">
        <f t="shared" si="480"/>
        <v>1035.7158759480001</v>
      </c>
      <c r="S1122" s="250">
        <v>0.9</v>
      </c>
      <c r="T1122" s="171">
        <f t="shared" si="481"/>
        <v>0.9</v>
      </c>
      <c r="U1122" s="256">
        <v>1136.3635999999999</v>
      </c>
      <c r="V1122" s="170">
        <f t="shared" si="473"/>
        <v>1150.7954177199999</v>
      </c>
      <c r="W1122" s="258">
        <v>0.1</v>
      </c>
      <c r="X1122" s="257">
        <f t="shared" si="482"/>
        <v>1249.9999599999999</v>
      </c>
      <c r="Y1122" s="170">
        <f t="shared" si="469"/>
        <v>1265.874959492</v>
      </c>
      <c r="Z1122" s="170">
        <f t="shared" si="472"/>
        <v>1275</v>
      </c>
      <c r="AA1122" s="407">
        <f t="shared" si="468"/>
        <v>0</v>
      </c>
      <c r="AB1122" s="194"/>
    </row>
    <row r="1123" spans="1:28" s="278" customFormat="1" x14ac:dyDescent="0.25">
      <c r="A1123" s="200">
        <v>802400</v>
      </c>
      <c r="B1123" s="313" t="s">
        <v>19756</v>
      </c>
      <c r="C1123" s="248"/>
      <c r="D1123" s="247" t="s">
        <v>11</v>
      </c>
      <c r="E1123" s="249">
        <f t="shared" si="474"/>
        <v>81.818179999999998</v>
      </c>
      <c r="F1123" s="170">
        <f t="shared" si="474"/>
        <v>82.857270885999995</v>
      </c>
      <c r="G1123" s="252">
        <v>0.1</v>
      </c>
      <c r="H1123" s="171">
        <f t="shared" si="476"/>
        <v>0.1</v>
      </c>
      <c r="I1123" s="249">
        <f t="shared" si="475"/>
        <v>0</v>
      </c>
      <c r="J1123" s="170">
        <f t="shared" si="475"/>
        <v>0</v>
      </c>
      <c r="K1123" s="252"/>
      <c r="L1123" s="172">
        <f t="shared" si="470"/>
        <v>0</v>
      </c>
      <c r="M1123" s="249">
        <f t="shared" si="471"/>
        <v>0</v>
      </c>
      <c r="N1123" s="170">
        <f t="shared" si="477"/>
        <v>0</v>
      </c>
      <c r="O1123" s="252"/>
      <c r="P1123" s="172">
        <f t="shared" si="478"/>
        <v>0</v>
      </c>
      <c r="Q1123" s="251">
        <f t="shared" si="479"/>
        <v>736.36361999999997</v>
      </c>
      <c r="R1123" s="173">
        <f t="shared" si="480"/>
        <v>745.715437974</v>
      </c>
      <c r="S1123" s="250">
        <v>0.9</v>
      </c>
      <c r="T1123" s="171">
        <f t="shared" si="481"/>
        <v>0.9</v>
      </c>
      <c r="U1123" s="256">
        <v>818.18179999999995</v>
      </c>
      <c r="V1123" s="170">
        <f t="shared" si="473"/>
        <v>828.57270885999992</v>
      </c>
      <c r="W1123" s="258">
        <v>0.1</v>
      </c>
      <c r="X1123" s="257">
        <f t="shared" si="482"/>
        <v>899.99997999999994</v>
      </c>
      <c r="Y1123" s="170">
        <f t="shared" si="469"/>
        <v>911.42997974599996</v>
      </c>
      <c r="Z1123" s="170">
        <f t="shared" si="472"/>
        <v>915</v>
      </c>
      <c r="AA1123" s="407">
        <f t="shared" si="468"/>
        <v>0</v>
      </c>
      <c r="AB1123" s="194"/>
    </row>
    <row r="1124" spans="1:28" s="278" customFormat="1" x14ac:dyDescent="0.25">
      <c r="A1124" s="200">
        <v>802400</v>
      </c>
      <c r="B1124" s="313" t="s">
        <v>19757</v>
      </c>
      <c r="C1124" s="248"/>
      <c r="D1124" s="247" t="s">
        <v>11</v>
      </c>
      <c r="E1124" s="249">
        <f t="shared" si="474"/>
        <v>54.54545000000001</v>
      </c>
      <c r="F1124" s="170">
        <f t="shared" si="474"/>
        <v>55.238177215000007</v>
      </c>
      <c r="G1124" s="252">
        <v>0.1</v>
      </c>
      <c r="H1124" s="171">
        <f t="shared" si="476"/>
        <v>0.1</v>
      </c>
      <c r="I1124" s="249">
        <f t="shared" si="475"/>
        <v>0</v>
      </c>
      <c r="J1124" s="170">
        <f t="shared" si="475"/>
        <v>0</v>
      </c>
      <c r="K1124" s="252"/>
      <c r="L1124" s="172">
        <f t="shared" si="470"/>
        <v>0</v>
      </c>
      <c r="M1124" s="249">
        <f t="shared" si="471"/>
        <v>0</v>
      </c>
      <c r="N1124" s="170">
        <f t="shared" si="477"/>
        <v>0</v>
      </c>
      <c r="O1124" s="252"/>
      <c r="P1124" s="172">
        <f t="shared" si="478"/>
        <v>0</v>
      </c>
      <c r="Q1124" s="251">
        <f t="shared" si="479"/>
        <v>490.90905000000004</v>
      </c>
      <c r="R1124" s="173">
        <f t="shared" si="480"/>
        <v>497.14359493500007</v>
      </c>
      <c r="S1124" s="250">
        <v>0.9</v>
      </c>
      <c r="T1124" s="171">
        <f t="shared" si="481"/>
        <v>0.9</v>
      </c>
      <c r="U1124" s="256">
        <v>545.45450000000005</v>
      </c>
      <c r="V1124" s="170">
        <f t="shared" si="473"/>
        <v>552.38177215000007</v>
      </c>
      <c r="W1124" s="258">
        <v>0.1</v>
      </c>
      <c r="X1124" s="257">
        <f t="shared" si="482"/>
        <v>599.99995000000001</v>
      </c>
      <c r="Y1124" s="170">
        <f t="shared" si="469"/>
        <v>607.61994936500014</v>
      </c>
      <c r="Z1124" s="170">
        <f t="shared" si="472"/>
        <v>610</v>
      </c>
      <c r="AA1124" s="407">
        <f t="shared" si="468"/>
        <v>0</v>
      </c>
      <c r="AB1124" s="194"/>
    </row>
    <row r="1125" spans="1:28" s="278" customFormat="1" x14ac:dyDescent="0.25">
      <c r="A1125" s="200">
        <v>802460</v>
      </c>
      <c r="B1125" s="313" t="s">
        <v>19758</v>
      </c>
      <c r="C1125" s="248"/>
      <c r="D1125" s="247" t="s">
        <v>11</v>
      </c>
      <c r="E1125" s="249">
        <f t="shared" si="474"/>
        <v>352.08335499999998</v>
      </c>
      <c r="F1125" s="170">
        <f t="shared" si="474"/>
        <v>360.23408466825003</v>
      </c>
      <c r="G1125" s="250">
        <v>0.65</v>
      </c>
      <c r="H1125" s="171">
        <f t="shared" si="476"/>
        <v>0.65</v>
      </c>
      <c r="I1125" s="249">
        <f t="shared" si="475"/>
        <v>54.166670000000003</v>
      </c>
      <c r="J1125" s="170">
        <f t="shared" si="475"/>
        <v>55.420628410500001</v>
      </c>
      <c r="K1125" s="250">
        <v>0.1</v>
      </c>
      <c r="L1125" s="172">
        <f t="shared" si="470"/>
        <v>0.1</v>
      </c>
      <c r="M1125" s="249">
        <f t="shared" si="471"/>
        <v>135.416675</v>
      </c>
      <c r="N1125" s="170">
        <f t="shared" si="477"/>
        <v>138.55157102625</v>
      </c>
      <c r="O1125" s="250">
        <v>0.25</v>
      </c>
      <c r="P1125" s="172">
        <f t="shared" si="478"/>
        <v>0.25</v>
      </c>
      <c r="Q1125" s="251">
        <f t="shared" si="479"/>
        <v>0</v>
      </c>
      <c r="R1125" s="173">
        <f t="shared" si="480"/>
        <v>0</v>
      </c>
      <c r="S1125" s="252"/>
      <c r="T1125" s="171">
        <f t="shared" si="481"/>
        <v>0</v>
      </c>
      <c r="U1125" s="256">
        <v>541.66669999999999</v>
      </c>
      <c r="V1125" s="170">
        <f t="shared" si="473"/>
        <v>554.20628410500001</v>
      </c>
      <c r="W1125" s="258">
        <v>0.2</v>
      </c>
      <c r="X1125" s="257">
        <f t="shared" si="482"/>
        <v>650.00004000000001</v>
      </c>
      <c r="Y1125" s="170">
        <f t="shared" si="469"/>
        <v>665.04754092600001</v>
      </c>
      <c r="Z1125" s="170">
        <f t="shared" si="472"/>
        <v>670</v>
      </c>
      <c r="AA1125" s="407">
        <f t="shared" ref="AA1125:AA1190" si="483">C1125*Z1125</f>
        <v>0</v>
      </c>
      <c r="AB1125" s="194"/>
    </row>
    <row r="1126" spans="1:28" s="278" customFormat="1" x14ac:dyDescent="0.25">
      <c r="A1126" s="200">
        <v>802460</v>
      </c>
      <c r="B1126" s="313" t="s">
        <v>19759</v>
      </c>
      <c r="C1126" s="248"/>
      <c r="D1126" s="247" t="s">
        <v>11</v>
      </c>
      <c r="E1126" s="249">
        <f t="shared" si="474"/>
        <v>216.66645000000003</v>
      </c>
      <c r="F1126" s="170">
        <f t="shared" si="474"/>
        <v>221.68227831750008</v>
      </c>
      <c r="G1126" s="250">
        <v>0.65</v>
      </c>
      <c r="H1126" s="171">
        <f t="shared" si="476"/>
        <v>0.65</v>
      </c>
      <c r="I1126" s="249">
        <f t="shared" si="475"/>
        <v>33.333300000000001</v>
      </c>
      <c r="J1126" s="170">
        <f t="shared" si="475"/>
        <v>34.104965895000014</v>
      </c>
      <c r="K1126" s="250">
        <v>0.1</v>
      </c>
      <c r="L1126" s="172">
        <f t="shared" si="470"/>
        <v>0.1</v>
      </c>
      <c r="M1126" s="249">
        <f t="shared" si="471"/>
        <v>83.333250000000007</v>
      </c>
      <c r="N1126" s="170">
        <f t="shared" si="477"/>
        <v>85.262414737500023</v>
      </c>
      <c r="O1126" s="250">
        <v>0.25</v>
      </c>
      <c r="P1126" s="172">
        <f t="shared" si="478"/>
        <v>0.25</v>
      </c>
      <c r="Q1126" s="251">
        <f t="shared" si="479"/>
        <v>0</v>
      </c>
      <c r="R1126" s="173">
        <f t="shared" si="480"/>
        <v>0</v>
      </c>
      <c r="S1126" s="252"/>
      <c r="T1126" s="171">
        <f t="shared" si="481"/>
        <v>0</v>
      </c>
      <c r="U1126" s="256">
        <v>333.33300000000003</v>
      </c>
      <c r="V1126" s="170">
        <f t="shared" si="473"/>
        <v>341.04965895000009</v>
      </c>
      <c r="W1126" s="258">
        <v>0.2</v>
      </c>
      <c r="X1126" s="257">
        <f t="shared" si="482"/>
        <v>399.99960000000004</v>
      </c>
      <c r="Y1126" s="170">
        <f t="shared" si="469"/>
        <v>409.25959074000008</v>
      </c>
      <c r="Z1126" s="170">
        <f t="shared" si="472"/>
        <v>410</v>
      </c>
      <c r="AA1126" s="407">
        <f t="shared" si="483"/>
        <v>0</v>
      </c>
      <c r="AB1126" s="194"/>
    </row>
    <row r="1127" spans="1:28" s="278" customFormat="1" x14ac:dyDescent="0.25">
      <c r="A1127" s="200">
        <v>802465</v>
      </c>
      <c r="B1127" s="313" t="s">
        <v>19760</v>
      </c>
      <c r="C1127" s="248"/>
      <c r="D1127" s="247" t="s">
        <v>11</v>
      </c>
      <c r="E1127" s="249">
        <f t="shared" si="474"/>
        <v>270.83335499999998</v>
      </c>
      <c r="F1127" s="170">
        <f t="shared" si="474"/>
        <v>277.10314716824996</v>
      </c>
      <c r="G1127" s="250">
        <v>0.65</v>
      </c>
      <c r="H1127" s="171">
        <f t="shared" si="476"/>
        <v>0.65</v>
      </c>
      <c r="I1127" s="249">
        <f t="shared" si="475"/>
        <v>41.666670000000003</v>
      </c>
      <c r="J1127" s="170">
        <f t="shared" si="475"/>
        <v>42.631253410499994</v>
      </c>
      <c r="K1127" s="250">
        <v>0.1</v>
      </c>
      <c r="L1127" s="172">
        <f t="shared" si="470"/>
        <v>0.1</v>
      </c>
      <c r="M1127" s="249">
        <f t="shared" si="471"/>
        <v>104.166675</v>
      </c>
      <c r="N1127" s="170">
        <f t="shared" si="477"/>
        <v>106.57813352624999</v>
      </c>
      <c r="O1127" s="250">
        <v>0.25</v>
      </c>
      <c r="P1127" s="172">
        <f t="shared" si="478"/>
        <v>0.25</v>
      </c>
      <c r="Q1127" s="251">
        <f t="shared" si="479"/>
        <v>0</v>
      </c>
      <c r="R1127" s="173">
        <f t="shared" si="480"/>
        <v>0</v>
      </c>
      <c r="S1127" s="252"/>
      <c r="T1127" s="171">
        <f t="shared" si="481"/>
        <v>0</v>
      </c>
      <c r="U1127" s="256">
        <v>416.66669999999999</v>
      </c>
      <c r="V1127" s="170">
        <f t="shared" si="473"/>
        <v>426.31253410499994</v>
      </c>
      <c r="W1127" s="258">
        <v>0.2</v>
      </c>
      <c r="X1127" s="257">
        <f t="shared" si="482"/>
        <v>500.00004000000001</v>
      </c>
      <c r="Y1127" s="170">
        <f t="shared" si="469"/>
        <v>511.57504092599993</v>
      </c>
      <c r="Z1127" s="170">
        <f t="shared" si="472"/>
        <v>515</v>
      </c>
      <c r="AA1127" s="407">
        <f t="shared" si="483"/>
        <v>0</v>
      </c>
      <c r="AB1127" s="194"/>
    </row>
    <row r="1128" spans="1:28" s="278" customFormat="1" x14ac:dyDescent="0.25">
      <c r="A1128" s="200">
        <v>802465</v>
      </c>
      <c r="B1128" s="313" t="s">
        <v>19761</v>
      </c>
      <c r="C1128" s="248"/>
      <c r="D1128" s="247" t="s">
        <v>11</v>
      </c>
      <c r="E1128" s="249">
        <f t="shared" si="474"/>
        <v>189.58335500000001</v>
      </c>
      <c r="F1128" s="170">
        <f t="shared" si="474"/>
        <v>193.97220966825003</v>
      </c>
      <c r="G1128" s="250">
        <v>0.65</v>
      </c>
      <c r="H1128" s="171">
        <f t="shared" si="476"/>
        <v>0.65</v>
      </c>
      <c r="I1128" s="249">
        <f t="shared" si="475"/>
        <v>29.16667</v>
      </c>
      <c r="J1128" s="170">
        <f t="shared" si="475"/>
        <v>29.841878410500005</v>
      </c>
      <c r="K1128" s="250">
        <v>0.1</v>
      </c>
      <c r="L1128" s="172">
        <f t="shared" si="470"/>
        <v>0.1</v>
      </c>
      <c r="M1128" s="249">
        <f t="shared" si="471"/>
        <v>72.916674999999998</v>
      </c>
      <c r="N1128" s="170">
        <f t="shared" si="477"/>
        <v>74.604696026250011</v>
      </c>
      <c r="O1128" s="250">
        <v>0.25</v>
      </c>
      <c r="P1128" s="172">
        <f t="shared" si="478"/>
        <v>0.25</v>
      </c>
      <c r="Q1128" s="251">
        <f t="shared" si="479"/>
        <v>0</v>
      </c>
      <c r="R1128" s="173">
        <f t="shared" si="480"/>
        <v>0</v>
      </c>
      <c r="S1128" s="252"/>
      <c r="T1128" s="171">
        <f t="shared" si="481"/>
        <v>0</v>
      </c>
      <c r="U1128" s="256">
        <v>291.66669999999999</v>
      </c>
      <c r="V1128" s="170">
        <f t="shared" si="473"/>
        <v>298.41878410500004</v>
      </c>
      <c r="W1128" s="258">
        <v>0.2</v>
      </c>
      <c r="X1128" s="257">
        <f t="shared" si="482"/>
        <v>350.00004000000001</v>
      </c>
      <c r="Y1128" s="170">
        <f t="shared" si="469"/>
        <v>358.10254092600002</v>
      </c>
      <c r="Z1128" s="170">
        <f t="shared" si="472"/>
        <v>360</v>
      </c>
      <c r="AA1128" s="407">
        <f t="shared" si="483"/>
        <v>0</v>
      </c>
      <c r="AB1128" s="194"/>
    </row>
    <row r="1129" spans="1:28" s="278" customFormat="1" x14ac:dyDescent="0.25">
      <c r="A1129" s="200">
        <v>802470</v>
      </c>
      <c r="B1129" s="313" t="s">
        <v>14777</v>
      </c>
      <c r="C1129" s="248"/>
      <c r="D1129" s="247" t="s">
        <v>11</v>
      </c>
      <c r="E1129" s="249">
        <f t="shared" si="474"/>
        <v>270.83335499999998</v>
      </c>
      <c r="F1129" s="170">
        <f t="shared" si="474"/>
        <v>277.10314716824996</v>
      </c>
      <c r="G1129" s="250">
        <v>0.65</v>
      </c>
      <c r="H1129" s="171">
        <f t="shared" si="476"/>
        <v>0.65</v>
      </c>
      <c r="I1129" s="249">
        <f t="shared" si="475"/>
        <v>41.666670000000003</v>
      </c>
      <c r="J1129" s="170">
        <f t="shared" si="475"/>
        <v>42.631253410499994</v>
      </c>
      <c r="K1129" s="250">
        <v>0.1</v>
      </c>
      <c r="L1129" s="172">
        <f t="shared" si="470"/>
        <v>0.1</v>
      </c>
      <c r="M1129" s="249">
        <f t="shared" si="471"/>
        <v>104.166675</v>
      </c>
      <c r="N1129" s="170">
        <f t="shared" si="477"/>
        <v>106.57813352624999</v>
      </c>
      <c r="O1129" s="250">
        <v>0.25</v>
      </c>
      <c r="P1129" s="172">
        <f t="shared" si="478"/>
        <v>0.25</v>
      </c>
      <c r="Q1129" s="251">
        <f t="shared" si="479"/>
        <v>0</v>
      </c>
      <c r="R1129" s="173">
        <f t="shared" si="480"/>
        <v>0</v>
      </c>
      <c r="S1129" s="252"/>
      <c r="T1129" s="171">
        <f t="shared" si="481"/>
        <v>0</v>
      </c>
      <c r="U1129" s="256">
        <v>416.66669999999999</v>
      </c>
      <c r="V1129" s="170">
        <f t="shared" si="473"/>
        <v>426.31253410499994</v>
      </c>
      <c r="W1129" s="258">
        <v>0.2</v>
      </c>
      <c r="X1129" s="257">
        <f t="shared" si="482"/>
        <v>500.00004000000001</v>
      </c>
      <c r="Y1129" s="170">
        <f t="shared" si="469"/>
        <v>511.57504092599993</v>
      </c>
      <c r="Z1129" s="170">
        <f t="shared" si="472"/>
        <v>515</v>
      </c>
      <c r="AA1129" s="407">
        <f t="shared" si="483"/>
        <v>0</v>
      </c>
      <c r="AB1129" s="194"/>
    </row>
    <row r="1130" spans="1:28" s="278" customFormat="1" x14ac:dyDescent="0.25">
      <c r="A1130" s="200">
        <v>802475</v>
      </c>
      <c r="B1130" s="313" t="s">
        <v>14778</v>
      </c>
      <c r="C1130" s="248"/>
      <c r="D1130" s="247" t="s">
        <v>11</v>
      </c>
      <c r="E1130" s="249">
        <f t="shared" si="474"/>
        <v>13.63636</v>
      </c>
      <c r="F1130" s="170">
        <f t="shared" si="474"/>
        <v>13.809541772000001</v>
      </c>
      <c r="G1130" s="252">
        <v>0.1</v>
      </c>
      <c r="H1130" s="171">
        <f t="shared" si="476"/>
        <v>0.1</v>
      </c>
      <c r="I1130" s="249">
        <f t="shared" si="475"/>
        <v>0</v>
      </c>
      <c r="J1130" s="170">
        <f t="shared" si="475"/>
        <v>0</v>
      </c>
      <c r="K1130" s="252"/>
      <c r="L1130" s="172">
        <f t="shared" si="470"/>
        <v>0</v>
      </c>
      <c r="M1130" s="249">
        <f t="shared" si="471"/>
        <v>0</v>
      </c>
      <c r="N1130" s="170">
        <f t="shared" si="477"/>
        <v>0</v>
      </c>
      <c r="O1130" s="252"/>
      <c r="P1130" s="172">
        <f t="shared" si="478"/>
        <v>0</v>
      </c>
      <c r="Q1130" s="251">
        <f t="shared" si="479"/>
        <v>122.72723999999999</v>
      </c>
      <c r="R1130" s="173">
        <f t="shared" si="480"/>
        <v>124.285875948</v>
      </c>
      <c r="S1130" s="250">
        <v>0.9</v>
      </c>
      <c r="T1130" s="171">
        <f t="shared" si="481"/>
        <v>0.9</v>
      </c>
      <c r="U1130" s="256">
        <v>136.36359999999999</v>
      </c>
      <c r="V1130" s="170">
        <f t="shared" si="473"/>
        <v>138.09541772</v>
      </c>
      <c r="W1130" s="258">
        <v>0.1</v>
      </c>
      <c r="X1130" s="257">
        <f t="shared" si="482"/>
        <v>149.99995999999999</v>
      </c>
      <c r="Y1130" s="170">
        <f t="shared" ref="Y1130:Y1192" si="484">IF(V1130*(W1130+1)=0,X1130,V1130*(W1130+1))</f>
        <v>151.90495949200002</v>
      </c>
      <c r="Z1130" s="170">
        <f t="shared" si="472"/>
        <v>155</v>
      </c>
      <c r="AA1130" s="407">
        <f t="shared" si="483"/>
        <v>0</v>
      </c>
      <c r="AB1130" s="194"/>
    </row>
    <row r="1131" spans="1:28" s="278" customFormat="1" x14ac:dyDescent="0.25">
      <c r="A1131" s="200">
        <v>802480</v>
      </c>
      <c r="B1131" s="313" t="s">
        <v>14779</v>
      </c>
      <c r="C1131" s="248"/>
      <c r="D1131" s="247" t="s">
        <v>11</v>
      </c>
      <c r="E1131" s="249">
        <f t="shared" si="474"/>
        <v>26.590915000000003</v>
      </c>
      <c r="F1131" s="170">
        <f t="shared" si="474"/>
        <v>27.197187862000003</v>
      </c>
      <c r="G1131" s="250">
        <v>0.65</v>
      </c>
      <c r="H1131" s="171">
        <f t="shared" si="476"/>
        <v>0.65</v>
      </c>
      <c r="I1131" s="249">
        <f t="shared" si="475"/>
        <v>6.1363650000000005</v>
      </c>
      <c r="J1131" s="170">
        <f t="shared" si="475"/>
        <v>6.2762741220000011</v>
      </c>
      <c r="K1131" s="250">
        <v>0.15</v>
      </c>
      <c r="L1131" s="172">
        <f t="shared" si="470"/>
        <v>0.15</v>
      </c>
      <c r="M1131" s="249">
        <f t="shared" si="471"/>
        <v>8.1818200000000001</v>
      </c>
      <c r="N1131" s="170">
        <f t="shared" si="477"/>
        <v>8.3683654960000009</v>
      </c>
      <c r="O1131" s="250">
        <v>0.2</v>
      </c>
      <c r="P1131" s="172">
        <f t="shared" si="478"/>
        <v>0.2</v>
      </c>
      <c r="Q1131" s="251">
        <f t="shared" si="479"/>
        <v>0</v>
      </c>
      <c r="R1131" s="173">
        <f t="shared" si="480"/>
        <v>0</v>
      </c>
      <c r="S1131" s="252"/>
      <c r="T1131" s="171">
        <f t="shared" si="481"/>
        <v>0</v>
      </c>
      <c r="U1131" s="256">
        <v>40.909100000000002</v>
      </c>
      <c r="V1131" s="170">
        <f t="shared" si="473"/>
        <v>41.841827480000006</v>
      </c>
      <c r="W1131" s="258">
        <v>0.1</v>
      </c>
      <c r="X1131" s="257">
        <f t="shared" si="482"/>
        <v>45.000010000000003</v>
      </c>
      <c r="Y1131" s="170">
        <f t="shared" si="484"/>
        <v>46.026010228000011</v>
      </c>
      <c r="Z1131" s="170">
        <f t="shared" si="472"/>
        <v>47</v>
      </c>
      <c r="AA1131" s="407">
        <f t="shared" si="483"/>
        <v>0</v>
      </c>
      <c r="AB1131" s="194"/>
    </row>
    <row r="1132" spans="1:28" s="278" customFormat="1" x14ac:dyDescent="0.25">
      <c r="A1132" s="200">
        <v>802480</v>
      </c>
      <c r="B1132" s="313" t="s">
        <v>14780</v>
      </c>
      <c r="C1132" s="248"/>
      <c r="D1132" s="247" t="s">
        <v>11</v>
      </c>
      <c r="E1132" s="249">
        <f t="shared" si="474"/>
        <v>14.772745</v>
      </c>
      <c r="F1132" s="170">
        <f t="shared" si="474"/>
        <v>15.109563586</v>
      </c>
      <c r="G1132" s="250">
        <v>0.65</v>
      </c>
      <c r="H1132" s="171">
        <f t="shared" si="476"/>
        <v>0.65</v>
      </c>
      <c r="I1132" s="249">
        <f t="shared" si="475"/>
        <v>3.4090949999999998</v>
      </c>
      <c r="J1132" s="170">
        <f t="shared" si="475"/>
        <v>3.4868223659999997</v>
      </c>
      <c r="K1132" s="250">
        <v>0.15</v>
      </c>
      <c r="L1132" s="172">
        <f t="shared" si="470"/>
        <v>0.15</v>
      </c>
      <c r="M1132" s="249">
        <f t="shared" si="471"/>
        <v>4.5454600000000003</v>
      </c>
      <c r="N1132" s="170">
        <f t="shared" si="477"/>
        <v>4.6490964880000005</v>
      </c>
      <c r="O1132" s="250">
        <v>0.2</v>
      </c>
      <c r="P1132" s="172">
        <f t="shared" si="478"/>
        <v>0.2</v>
      </c>
      <c r="Q1132" s="251">
        <f t="shared" si="479"/>
        <v>0</v>
      </c>
      <c r="R1132" s="173">
        <f t="shared" si="480"/>
        <v>0</v>
      </c>
      <c r="S1132" s="252"/>
      <c r="T1132" s="171">
        <f t="shared" si="481"/>
        <v>0</v>
      </c>
      <c r="U1132" s="256">
        <v>22.7273</v>
      </c>
      <c r="V1132" s="170">
        <f t="shared" si="473"/>
        <v>23.24548244</v>
      </c>
      <c r="W1132" s="258">
        <v>0.1</v>
      </c>
      <c r="X1132" s="257">
        <f t="shared" si="482"/>
        <v>25.000029999999999</v>
      </c>
      <c r="Y1132" s="170">
        <f t="shared" si="484"/>
        <v>25.570030684000002</v>
      </c>
      <c r="Z1132" s="170">
        <f t="shared" si="472"/>
        <v>26</v>
      </c>
      <c r="AA1132" s="407">
        <f t="shared" si="483"/>
        <v>0</v>
      </c>
      <c r="AB1132" s="194"/>
    </row>
    <row r="1133" spans="1:28" s="278" customFormat="1" x14ac:dyDescent="0.25">
      <c r="A1133" s="200">
        <v>802600</v>
      </c>
      <c r="B1133" s="313" t="s">
        <v>14781</v>
      </c>
      <c r="C1133" s="248"/>
      <c r="D1133" s="247" t="s">
        <v>1</v>
      </c>
      <c r="E1133" s="249">
        <f t="shared" si="474"/>
        <v>0.27300000000000002</v>
      </c>
      <c r="F1133" s="170">
        <f t="shared" si="474"/>
        <v>0.27646710000000002</v>
      </c>
      <c r="G1133" s="250">
        <v>0.1</v>
      </c>
      <c r="H1133" s="171">
        <f t="shared" si="476"/>
        <v>0.1</v>
      </c>
      <c r="I1133" s="249">
        <f t="shared" si="475"/>
        <v>0</v>
      </c>
      <c r="J1133" s="170">
        <f t="shared" si="475"/>
        <v>0</v>
      </c>
      <c r="K1133" s="250"/>
      <c r="L1133" s="172">
        <f t="shared" si="470"/>
        <v>0</v>
      </c>
      <c r="M1133" s="249">
        <f t="shared" si="471"/>
        <v>0</v>
      </c>
      <c r="N1133" s="170">
        <f t="shared" si="477"/>
        <v>0</v>
      </c>
      <c r="O1133" s="250"/>
      <c r="P1133" s="172">
        <f t="shared" si="478"/>
        <v>0</v>
      </c>
      <c r="Q1133" s="251">
        <f t="shared" si="479"/>
        <v>2.4569999999999999</v>
      </c>
      <c r="R1133" s="173">
        <f t="shared" si="480"/>
        <v>2.4882038999999998</v>
      </c>
      <c r="S1133" s="252">
        <v>0.9</v>
      </c>
      <c r="T1133" s="171">
        <f t="shared" si="481"/>
        <v>0.9</v>
      </c>
      <c r="U1133" s="256">
        <v>2.73</v>
      </c>
      <c r="V1133" s="170">
        <f t="shared" si="473"/>
        <v>2.7646709999999999</v>
      </c>
      <c r="W1133" s="258">
        <v>0.1</v>
      </c>
      <c r="X1133" s="257">
        <f t="shared" si="482"/>
        <v>3.0030000000000001</v>
      </c>
      <c r="Y1133" s="170">
        <f t="shared" si="484"/>
        <v>3.0411381</v>
      </c>
      <c r="Z1133" s="170">
        <f t="shared" si="472"/>
        <v>4</v>
      </c>
      <c r="AA1133" s="407">
        <f t="shared" si="483"/>
        <v>0</v>
      </c>
      <c r="AB1133" s="194"/>
    </row>
    <row r="1134" spans="1:28" s="278" customFormat="1" x14ac:dyDescent="0.25">
      <c r="A1134" s="200">
        <v>802610</v>
      </c>
      <c r="B1134" s="313" t="s">
        <v>19762</v>
      </c>
      <c r="C1134" s="248"/>
      <c r="D1134" s="247" t="s">
        <v>1</v>
      </c>
      <c r="E1134" s="249">
        <f t="shared" si="474"/>
        <v>0</v>
      </c>
      <c r="F1134" s="170">
        <f t="shared" si="474"/>
        <v>0</v>
      </c>
      <c r="G1134" s="250"/>
      <c r="H1134" s="171">
        <f t="shared" si="476"/>
        <v>0</v>
      </c>
      <c r="I1134" s="249">
        <f t="shared" si="475"/>
        <v>0</v>
      </c>
      <c r="J1134" s="170">
        <f t="shared" si="475"/>
        <v>0</v>
      </c>
      <c r="K1134" s="250"/>
      <c r="L1134" s="172">
        <f t="shared" si="470"/>
        <v>0</v>
      </c>
      <c r="M1134" s="249">
        <f t="shared" si="471"/>
        <v>0</v>
      </c>
      <c r="N1134" s="170">
        <f t="shared" si="477"/>
        <v>0</v>
      </c>
      <c r="O1134" s="250"/>
      <c r="P1134" s="172">
        <f t="shared" si="478"/>
        <v>0</v>
      </c>
      <c r="Q1134" s="251">
        <f t="shared" si="479"/>
        <v>1.3635999999999999</v>
      </c>
      <c r="R1134" s="173">
        <f t="shared" si="480"/>
        <v>1.3792814</v>
      </c>
      <c r="S1134" s="252">
        <v>1</v>
      </c>
      <c r="T1134" s="171">
        <f t="shared" si="481"/>
        <v>1</v>
      </c>
      <c r="U1134" s="256">
        <v>1.3635999999999999</v>
      </c>
      <c r="V1134" s="170">
        <f t="shared" si="473"/>
        <v>1.3792814</v>
      </c>
      <c r="W1134" s="258">
        <v>0.1</v>
      </c>
      <c r="X1134" s="257">
        <f t="shared" si="482"/>
        <v>1.49996</v>
      </c>
      <c r="Y1134" s="170">
        <f t="shared" si="484"/>
        <v>1.5172095400000001</v>
      </c>
      <c r="Z1134" s="170">
        <f>IF(Y1134=0, 0, IF(Y1134&lt;10, _xlfn.CEILING.MATH(Y1134,0.1), IF(Y1134&lt;100, _xlfn.CEILING.MATH(Y1134,1),IF(Y1134&lt;1000, _xlfn.CEILING.MATH(Y1134,5), IF(Y1134&lt;10000, _xlfn.CEILING.MATH(Y1134, 25), IF(Y1134&lt;100000, _xlfn.CEILING.MATH(Y1134,250), IF(Y1134&lt;1000000, _xlfn.CEILING.MATH(Y1134,500), 0)))))))</f>
        <v>1.6</v>
      </c>
      <c r="AA1134" s="407">
        <f t="shared" si="483"/>
        <v>0</v>
      </c>
      <c r="AB1134" s="194"/>
    </row>
    <row r="1135" spans="1:28" s="278" customFormat="1" x14ac:dyDescent="0.25">
      <c r="A1135" s="200">
        <v>802610</v>
      </c>
      <c r="B1135" s="313" t="s">
        <v>19763</v>
      </c>
      <c r="C1135" s="248"/>
      <c r="D1135" s="247" t="s">
        <v>1</v>
      </c>
      <c r="E1135" s="249">
        <f t="shared" si="474"/>
        <v>0</v>
      </c>
      <c r="F1135" s="170">
        <f t="shared" si="474"/>
        <v>0</v>
      </c>
      <c r="G1135" s="250"/>
      <c r="H1135" s="171">
        <f t="shared" si="476"/>
        <v>0</v>
      </c>
      <c r="I1135" s="249">
        <f t="shared" si="475"/>
        <v>0</v>
      </c>
      <c r="J1135" s="170">
        <f t="shared" si="475"/>
        <v>0</v>
      </c>
      <c r="K1135" s="250"/>
      <c r="L1135" s="172">
        <f t="shared" si="470"/>
        <v>0</v>
      </c>
      <c r="M1135" s="249">
        <f t="shared" si="471"/>
        <v>0</v>
      </c>
      <c r="N1135" s="170">
        <f t="shared" si="477"/>
        <v>0</v>
      </c>
      <c r="O1135" s="250"/>
      <c r="P1135" s="172">
        <f t="shared" si="478"/>
        <v>0</v>
      </c>
      <c r="Q1135" s="251">
        <f t="shared" si="479"/>
        <v>0.68179999999999996</v>
      </c>
      <c r="R1135" s="173">
        <f t="shared" si="480"/>
        <v>0.6896407</v>
      </c>
      <c r="S1135" s="252">
        <v>1</v>
      </c>
      <c r="T1135" s="171">
        <f t="shared" si="481"/>
        <v>1</v>
      </c>
      <c r="U1135" s="256">
        <v>0.68179999999999996</v>
      </c>
      <c r="V1135" s="170">
        <f t="shared" si="473"/>
        <v>0.6896407</v>
      </c>
      <c r="W1135" s="258">
        <v>0.1</v>
      </c>
      <c r="X1135" s="257">
        <f t="shared" si="482"/>
        <v>0.74997999999999998</v>
      </c>
      <c r="Y1135" s="170">
        <f t="shared" si="484"/>
        <v>0.75860477000000004</v>
      </c>
      <c r="Z1135" s="170">
        <f>IF(Y1135=0, 0, IF(Y1135&lt;10, _xlfn.CEILING.MATH(Y1135,0.1), IF(Y1135&lt;100, _xlfn.CEILING.MATH(Y1135,1),IF(Y1135&lt;1000, _xlfn.CEILING.MATH(Y1135,5), IF(Y1135&lt;10000, _xlfn.CEILING.MATH(Y1135, 25), IF(Y1135&lt;100000, _xlfn.CEILING.MATH(Y1135,250), IF(Y1135&lt;1000000, _xlfn.CEILING.MATH(Y1135,500), 0)))))))</f>
        <v>0.8</v>
      </c>
      <c r="AA1135" s="407">
        <f t="shared" si="483"/>
        <v>0</v>
      </c>
      <c r="AB1135" s="194"/>
    </row>
    <row r="1136" spans="1:28" s="278" customFormat="1" x14ac:dyDescent="0.25">
      <c r="A1136" s="200">
        <v>802700</v>
      </c>
      <c r="B1136" s="313" t="s">
        <v>19764</v>
      </c>
      <c r="C1136" s="248"/>
      <c r="D1136" s="247" t="s">
        <v>4</v>
      </c>
      <c r="E1136" s="249">
        <f t="shared" si="474"/>
        <v>0</v>
      </c>
      <c r="F1136" s="170">
        <f t="shared" si="474"/>
        <v>0</v>
      </c>
      <c r="G1136" s="250"/>
      <c r="H1136" s="171">
        <f t="shared" si="476"/>
        <v>0</v>
      </c>
      <c r="I1136" s="249">
        <f t="shared" si="475"/>
        <v>0</v>
      </c>
      <c r="J1136" s="170">
        <f t="shared" si="475"/>
        <v>0</v>
      </c>
      <c r="K1136" s="250"/>
      <c r="L1136" s="172">
        <f t="shared" si="470"/>
        <v>0</v>
      </c>
      <c r="M1136" s="249">
        <f t="shared" si="471"/>
        <v>0</v>
      </c>
      <c r="N1136" s="170">
        <f t="shared" si="477"/>
        <v>0</v>
      </c>
      <c r="O1136" s="250"/>
      <c r="P1136" s="172">
        <f t="shared" si="478"/>
        <v>0</v>
      </c>
      <c r="Q1136" s="251">
        <f t="shared" si="479"/>
        <v>0</v>
      </c>
      <c r="R1136" s="173">
        <f t="shared" si="480"/>
        <v>5318.181818181818</v>
      </c>
      <c r="S1136" s="252">
        <v>0.9</v>
      </c>
      <c r="T1136" s="171">
        <f t="shared" si="481"/>
        <v>0.9</v>
      </c>
      <c r="U1136" s="256"/>
      <c r="V1136" s="170">
        <f>6500/1.1</f>
        <v>5909.090909090909</v>
      </c>
      <c r="W1136" s="258">
        <v>0.1</v>
      </c>
      <c r="X1136" s="257">
        <v>0</v>
      </c>
      <c r="Y1136" s="170">
        <v>0</v>
      </c>
      <c r="Z1136" s="170">
        <f>IF(Y1136=0, 0, IF(Y1136&lt;10, _xlfn.CEILING.MATH(Y1136,1), IF(Y1136&lt;100, _xlfn.CEILING.MATH(Y1136,1),IF(Y1136&lt;1000, _xlfn.CEILING.MATH(Y1136,5), IF(Y1136&lt;10000, _xlfn.CEILING.MATH(Y1136, 25), IF(Y1136&lt;100000, _xlfn.CEILING.MATH(Y1136,250), IF(Y1136&lt;1000000, _xlfn.CEILING.MATH(Y1136,500), 0)))))))</f>
        <v>0</v>
      </c>
      <c r="AA1136" s="407">
        <f t="shared" si="483"/>
        <v>0</v>
      </c>
      <c r="AB1136" s="194"/>
    </row>
    <row r="1137" spans="1:28" s="278" customFormat="1" x14ac:dyDescent="0.25">
      <c r="A1137" s="200">
        <v>802700</v>
      </c>
      <c r="B1137" s="313" t="s">
        <v>19765</v>
      </c>
      <c r="C1137" s="248"/>
      <c r="D1137" s="247" t="s">
        <v>4</v>
      </c>
      <c r="E1137" s="249">
        <f t="shared" si="474"/>
        <v>0</v>
      </c>
      <c r="F1137" s="170">
        <f t="shared" si="474"/>
        <v>0</v>
      </c>
      <c r="G1137" s="252"/>
      <c r="H1137" s="171">
        <f t="shared" si="476"/>
        <v>0</v>
      </c>
      <c r="I1137" s="249">
        <f t="shared" si="475"/>
        <v>0</v>
      </c>
      <c r="J1137" s="170">
        <f t="shared" si="475"/>
        <v>0</v>
      </c>
      <c r="K1137" s="252"/>
      <c r="L1137" s="172">
        <f t="shared" si="470"/>
        <v>0</v>
      </c>
      <c r="M1137" s="249">
        <f t="shared" si="471"/>
        <v>0</v>
      </c>
      <c r="N1137" s="170">
        <f t="shared" si="477"/>
        <v>0</v>
      </c>
      <c r="O1137" s="252"/>
      <c r="P1137" s="172">
        <f t="shared" si="478"/>
        <v>0</v>
      </c>
      <c r="Q1137" s="251">
        <f t="shared" si="479"/>
        <v>9818.1810000000005</v>
      </c>
      <c r="R1137" s="173">
        <f t="shared" si="480"/>
        <v>8937.9810733499999</v>
      </c>
      <c r="S1137" s="250">
        <v>0.9</v>
      </c>
      <c r="T1137" s="171">
        <f t="shared" si="481"/>
        <v>0.9</v>
      </c>
      <c r="U1137" s="256">
        <v>10909.09</v>
      </c>
      <c r="V1137" s="170">
        <f t="shared" si="473"/>
        <v>9931.0900815000005</v>
      </c>
      <c r="W1137" s="258">
        <v>0.1</v>
      </c>
      <c r="X1137" s="257">
        <v>0</v>
      </c>
      <c r="Y1137" s="170">
        <v>0</v>
      </c>
      <c r="Z1137" s="170">
        <f t="shared" si="472"/>
        <v>0</v>
      </c>
      <c r="AA1137" s="407">
        <f t="shared" si="483"/>
        <v>0</v>
      </c>
      <c r="AB1137" s="194"/>
    </row>
    <row r="1138" spans="1:28" s="278" customFormat="1" x14ac:dyDescent="0.25">
      <c r="A1138" s="200">
        <v>802700</v>
      </c>
      <c r="B1138" s="313" t="s">
        <v>19766</v>
      </c>
      <c r="C1138" s="248"/>
      <c r="D1138" s="247" t="s">
        <v>4</v>
      </c>
      <c r="E1138" s="249">
        <f t="shared" si="474"/>
        <v>0</v>
      </c>
      <c r="F1138" s="170">
        <f t="shared" si="474"/>
        <v>0</v>
      </c>
      <c r="G1138" s="252"/>
      <c r="H1138" s="171">
        <f t="shared" si="476"/>
        <v>0</v>
      </c>
      <c r="I1138" s="249">
        <f t="shared" si="475"/>
        <v>0</v>
      </c>
      <c r="J1138" s="170">
        <f t="shared" si="475"/>
        <v>0</v>
      </c>
      <c r="K1138" s="252"/>
      <c r="L1138" s="172">
        <f t="shared" si="470"/>
        <v>0</v>
      </c>
      <c r="M1138" s="249">
        <f t="shared" si="471"/>
        <v>0</v>
      </c>
      <c r="N1138" s="170">
        <f t="shared" si="477"/>
        <v>0</v>
      </c>
      <c r="O1138" s="252"/>
      <c r="P1138" s="172">
        <f t="shared" si="478"/>
        <v>0</v>
      </c>
      <c r="Q1138" s="251">
        <f t="shared" si="479"/>
        <v>20454.543000000001</v>
      </c>
      <c r="R1138" s="173">
        <f t="shared" si="480"/>
        <v>18620.793220050004</v>
      </c>
      <c r="S1138" s="250">
        <v>0.9</v>
      </c>
      <c r="T1138" s="171">
        <f t="shared" si="481"/>
        <v>0.9</v>
      </c>
      <c r="U1138" s="256">
        <v>22727.27</v>
      </c>
      <c r="V1138" s="170">
        <f t="shared" si="473"/>
        <v>20689.770244500003</v>
      </c>
      <c r="W1138" s="258">
        <v>0.1</v>
      </c>
      <c r="X1138" s="257">
        <v>0</v>
      </c>
      <c r="Y1138" s="170">
        <v>0</v>
      </c>
      <c r="Z1138" s="170">
        <f t="shared" si="472"/>
        <v>0</v>
      </c>
      <c r="AA1138" s="407">
        <f t="shared" si="483"/>
        <v>0</v>
      </c>
      <c r="AB1138" s="194"/>
    </row>
    <row r="1139" spans="1:28" s="278" customFormat="1" x14ac:dyDescent="0.25">
      <c r="A1139" s="200">
        <v>802710</v>
      </c>
      <c r="B1139" s="313" t="s">
        <v>19767</v>
      </c>
      <c r="C1139" s="248"/>
      <c r="D1139" s="247" t="s">
        <v>4</v>
      </c>
      <c r="E1139" s="249">
        <f t="shared" si="474"/>
        <v>0</v>
      </c>
      <c r="F1139" s="170">
        <f t="shared" si="474"/>
        <v>0</v>
      </c>
      <c r="G1139" s="252"/>
      <c r="H1139" s="171">
        <f t="shared" si="476"/>
        <v>0</v>
      </c>
      <c r="I1139" s="249">
        <f t="shared" si="475"/>
        <v>0</v>
      </c>
      <c r="J1139" s="170">
        <f t="shared" si="475"/>
        <v>0</v>
      </c>
      <c r="K1139" s="252"/>
      <c r="L1139" s="172">
        <f t="shared" si="470"/>
        <v>0</v>
      </c>
      <c r="M1139" s="249">
        <f t="shared" si="471"/>
        <v>0</v>
      </c>
      <c r="N1139" s="170">
        <f t="shared" si="477"/>
        <v>0</v>
      </c>
      <c r="O1139" s="252"/>
      <c r="P1139" s="172">
        <f t="shared" si="478"/>
        <v>0</v>
      </c>
      <c r="Q1139" s="251">
        <f t="shared" si="479"/>
        <v>2454.5454300000001</v>
      </c>
      <c r="R1139" s="173">
        <f t="shared" si="480"/>
        <v>2234.4954322005005</v>
      </c>
      <c r="S1139" s="250">
        <v>0.9</v>
      </c>
      <c r="T1139" s="171">
        <f t="shared" si="481"/>
        <v>0.9</v>
      </c>
      <c r="U1139" s="256">
        <v>2727.2727</v>
      </c>
      <c r="V1139" s="170">
        <f t="shared" si="473"/>
        <v>2482.7727024450005</v>
      </c>
      <c r="W1139" s="258">
        <v>0.1</v>
      </c>
      <c r="X1139" s="257">
        <v>0</v>
      </c>
      <c r="Y1139" s="170">
        <v>0</v>
      </c>
      <c r="Z1139" s="170">
        <f t="shared" si="472"/>
        <v>0</v>
      </c>
      <c r="AA1139" s="407">
        <f t="shared" si="483"/>
        <v>0</v>
      </c>
      <c r="AB1139" s="194"/>
    </row>
    <row r="1140" spans="1:28" s="278" customFormat="1" x14ac:dyDescent="0.25">
      <c r="A1140" s="200">
        <v>802710</v>
      </c>
      <c r="B1140" s="313" t="s">
        <v>19768</v>
      </c>
      <c r="C1140" s="248"/>
      <c r="D1140" s="247" t="s">
        <v>4</v>
      </c>
      <c r="E1140" s="249">
        <f t="shared" si="474"/>
        <v>0</v>
      </c>
      <c r="F1140" s="170">
        <f t="shared" si="474"/>
        <v>0</v>
      </c>
      <c r="G1140" s="252"/>
      <c r="H1140" s="171">
        <f t="shared" si="476"/>
        <v>0</v>
      </c>
      <c r="I1140" s="249">
        <f t="shared" si="475"/>
        <v>0</v>
      </c>
      <c r="J1140" s="170">
        <f t="shared" si="475"/>
        <v>0</v>
      </c>
      <c r="K1140" s="252"/>
      <c r="L1140" s="172">
        <f t="shared" si="470"/>
        <v>0</v>
      </c>
      <c r="M1140" s="249">
        <f t="shared" si="471"/>
        <v>0</v>
      </c>
      <c r="N1140" s="170">
        <f t="shared" si="477"/>
        <v>0</v>
      </c>
      <c r="O1140" s="252"/>
      <c r="P1140" s="172">
        <f t="shared" si="478"/>
        <v>0</v>
      </c>
      <c r="Q1140" s="251">
        <f t="shared" si="479"/>
        <v>4090.9090499999998</v>
      </c>
      <c r="R1140" s="173">
        <f t="shared" si="480"/>
        <v>3724.1590536674998</v>
      </c>
      <c r="S1140" s="250">
        <v>0.9</v>
      </c>
      <c r="T1140" s="171">
        <f t="shared" si="481"/>
        <v>0.9</v>
      </c>
      <c r="U1140" s="256">
        <v>4545.4544999999998</v>
      </c>
      <c r="V1140" s="170">
        <f t="shared" si="473"/>
        <v>4137.9545040749999</v>
      </c>
      <c r="W1140" s="258">
        <v>0.1</v>
      </c>
      <c r="X1140" s="257">
        <v>0</v>
      </c>
      <c r="Y1140" s="170">
        <v>0</v>
      </c>
      <c r="Z1140" s="170">
        <f t="shared" si="472"/>
        <v>0</v>
      </c>
      <c r="AA1140" s="407">
        <f t="shared" si="483"/>
        <v>0</v>
      </c>
      <c r="AB1140" s="194"/>
    </row>
    <row r="1141" spans="1:28" s="278" customFormat="1" x14ac:dyDescent="0.25">
      <c r="A1141" s="200">
        <v>802710</v>
      </c>
      <c r="B1141" s="313" t="s">
        <v>19769</v>
      </c>
      <c r="C1141" s="248"/>
      <c r="D1141" s="247" t="s">
        <v>4</v>
      </c>
      <c r="E1141" s="249">
        <f t="shared" si="474"/>
        <v>0</v>
      </c>
      <c r="F1141" s="170">
        <f t="shared" si="474"/>
        <v>0</v>
      </c>
      <c r="G1141" s="252"/>
      <c r="H1141" s="171">
        <f t="shared" si="476"/>
        <v>0</v>
      </c>
      <c r="I1141" s="249">
        <f t="shared" si="475"/>
        <v>0</v>
      </c>
      <c r="J1141" s="170">
        <f t="shared" si="475"/>
        <v>0</v>
      </c>
      <c r="K1141" s="252"/>
      <c r="L1141" s="172">
        <f t="shared" si="470"/>
        <v>0</v>
      </c>
      <c r="M1141" s="249">
        <f t="shared" si="471"/>
        <v>0</v>
      </c>
      <c r="N1141" s="170">
        <f t="shared" si="477"/>
        <v>0</v>
      </c>
      <c r="O1141" s="252"/>
      <c r="P1141" s="172">
        <f t="shared" si="478"/>
        <v>0</v>
      </c>
      <c r="Q1141" s="251">
        <f t="shared" si="479"/>
        <v>6136.3636200000001</v>
      </c>
      <c r="R1141" s="173">
        <f t="shared" si="480"/>
        <v>5586.2386214670005</v>
      </c>
      <c r="S1141" s="250">
        <v>0.9</v>
      </c>
      <c r="T1141" s="171">
        <f t="shared" si="481"/>
        <v>0.9</v>
      </c>
      <c r="U1141" s="256">
        <v>6818.1818000000003</v>
      </c>
      <c r="V1141" s="170">
        <f t="shared" si="473"/>
        <v>6206.9318016300003</v>
      </c>
      <c r="W1141" s="258">
        <v>0.1</v>
      </c>
      <c r="X1141" s="257">
        <v>0</v>
      </c>
      <c r="Y1141" s="170">
        <v>0</v>
      </c>
      <c r="Z1141" s="170">
        <f t="shared" si="472"/>
        <v>0</v>
      </c>
      <c r="AA1141" s="407">
        <f t="shared" si="483"/>
        <v>0</v>
      </c>
      <c r="AB1141" s="194"/>
    </row>
    <row r="1142" spans="1:28" s="278" customFormat="1" x14ac:dyDescent="0.25">
      <c r="A1142" s="195" t="s">
        <v>14782</v>
      </c>
      <c r="B1142" s="317" t="s">
        <v>14783</v>
      </c>
      <c r="C1142" s="241"/>
      <c r="D1142" s="242"/>
      <c r="E1142" s="243"/>
      <c r="F1142" s="244"/>
      <c r="G1142" s="245"/>
      <c r="H1142" s="246"/>
      <c r="I1142" s="243"/>
      <c r="J1142" s="244"/>
      <c r="K1142" s="245"/>
      <c r="L1142" s="246"/>
      <c r="M1142" s="243"/>
      <c r="N1142" s="244"/>
      <c r="O1142" s="245"/>
      <c r="P1142" s="246"/>
      <c r="Q1142" s="243"/>
      <c r="R1142" s="244"/>
      <c r="S1142" s="245"/>
      <c r="T1142" s="246"/>
      <c r="U1142" s="246"/>
      <c r="V1142" s="246"/>
      <c r="W1142" s="246"/>
      <c r="X1142" s="246"/>
      <c r="Y1142" s="244"/>
      <c r="Z1142" s="244"/>
      <c r="AA1142" s="406"/>
      <c r="AB1142" s="194"/>
    </row>
    <row r="1143" spans="1:28" s="278" customFormat="1" x14ac:dyDescent="0.25">
      <c r="A1143" s="200">
        <v>803005</v>
      </c>
      <c r="B1143" s="313" t="s">
        <v>19770</v>
      </c>
      <c r="C1143" s="248"/>
      <c r="D1143" s="247" t="s">
        <v>1</v>
      </c>
      <c r="E1143" s="249">
        <f t="shared" si="474"/>
        <v>0.22727</v>
      </c>
      <c r="F1143" s="170">
        <f t="shared" si="474"/>
        <v>0.23015632900000005</v>
      </c>
      <c r="G1143" s="250">
        <v>0.1</v>
      </c>
      <c r="H1143" s="171">
        <f t="shared" si="476"/>
        <v>0.1</v>
      </c>
      <c r="I1143" s="249">
        <f t="shared" si="475"/>
        <v>0</v>
      </c>
      <c r="J1143" s="170">
        <f t="shared" si="475"/>
        <v>0</v>
      </c>
      <c r="K1143" s="250"/>
      <c r="L1143" s="172">
        <f t="shared" si="470"/>
        <v>0</v>
      </c>
      <c r="M1143" s="249">
        <f t="shared" si="471"/>
        <v>0</v>
      </c>
      <c r="N1143" s="170">
        <f t="shared" si="477"/>
        <v>0</v>
      </c>
      <c r="O1143" s="250"/>
      <c r="P1143" s="172">
        <f t="shared" si="478"/>
        <v>0</v>
      </c>
      <c r="Q1143" s="251">
        <f t="shared" si="479"/>
        <v>2.0454300000000001</v>
      </c>
      <c r="R1143" s="173">
        <f t="shared" si="480"/>
        <v>2.0714069610000001</v>
      </c>
      <c r="S1143" s="252">
        <v>0.9</v>
      </c>
      <c r="T1143" s="171">
        <f t="shared" si="481"/>
        <v>0.9</v>
      </c>
      <c r="U1143" s="256">
        <v>2.2726999999999999</v>
      </c>
      <c r="V1143" s="170">
        <f t="shared" si="473"/>
        <v>2.3015632900000003</v>
      </c>
      <c r="W1143" s="258">
        <v>0.1</v>
      </c>
      <c r="X1143" s="257">
        <f t="shared" ref="X1143:X1160" si="485">U1143+U1143*W1143</f>
        <v>2.4999699999999998</v>
      </c>
      <c r="Y1143" s="170">
        <f t="shared" si="484"/>
        <v>2.5317196190000004</v>
      </c>
      <c r="Z1143" s="170">
        <f>IF(Y1143=0, 0, IF(Y1143&lt;10, _xlfn.CEILING.MATH(Y1143,0.25), IF(Y1143&lt;100, _xlfn.CEILING.MATH(Y1143,1),IF(Y1143&lt;1000, _xlfn.CEILING.MATH(Y1143,5), IF(Y1143&lt;10000, _xlfn.CEILING.MATH(Y1143, 25), IF(Y1143&lt;100000, _xlfn.CEILING.MATH(Y1143,250), IF(Y1143&lt;1000000, _xlfn.CEILING.MATH(Y1143,500), 0)))))))</f>
        <v>2.75</v>
      </c>
      <c r="AA1143" s="407">
        <f t="shared" si="483"/>
        <v>0</v>
      </c>
      <c r="AB1143" s="194"/>
    </row>
    <row r="1144" spans="1:28" s="278" customFormat="1" x14ac:dyDescent="0.25">
      <c r="A1144" s="200">
        <v>803005</v>
      </c>
      <c r="B1144" s="313" t="s">
        <v>19771</v>
      </c>
      <c r="C1144" s="248"/>
      <c r="D1144" s="247" t="s">
        <v>1</v>
      </c>
      <c r="E1144" s="249">
        <f t="shared" si="474"/>
        <v>0.19091000000000002</v>
      </c>
      <c r="F1144" s="170">
        <f t="shared" si="474"/>
        <v>0.19333455700000002</v>
      </c>
      <c r="G1144" s="250">
        <v>0.1</v>
      </c>
      <c r="H1144" s="171">
        <f t="shared" si="476"/>
        <v>0.1</v>
      </c>
      <c r="I1144" s="249">
        <f t="shared" si="475"/>
        <v>0</v>
      </c>
      <c r="J1144" s="170">
        <f t="shared" si="475"/>
        <v>0</v>
      </c>
      <c r="K1144" s="250"/>
      <c r="L1144" s="172">
        <f t="shared" si="470"/>
        <v>0</v>
      </c>
      <c r="M1144" s="249">
        <f t="shared" si="471"/>
        <v>0</v>
      </c>
      <c r="N1144" s="170">
        <f t="shared" si="477"/>
        <v>0</v>
      </c>
      <c r="O1144" s="250"/>
      <c r="P1144" s="172">
        <f t="shared" si="478"/>
        <v>0</v>
      </c>
      <c r="Q1144" s="251">
        <f t="shared" si="479"/>
        <v>1.7181900000000001</v>
      </c>
      <c r="R1144" s="173">
        <f t="shared" si="480"/>
        <v>1.7400110130000002</v>
      </c>
      <c r="S1144" s="252">
        <v>0.9</v>
      </c>
      <c r="T1144" s="171">
        <f t="shared" si="481"/>
        <v>0.9</v>
      </c>
      <c r="U1144" s="256">
        <v>1.9091</v>
      </c>
      <c r="V1144" s="170">
        <f t="shared" si="473"/>
        <v>1.9333455700000002</v>
      </c>
      <c r="W1144" s="258">
        <v>0.1</v>
      </c>
      <c r="X1144" s="257">
        <f t="shared" si="485"/>
        <v>2.1000100000000002</v>
      </c>
      <c r="Y1144" s="170">
        <f t="shared" si="484"/>
        <v>2.1266801270000002</v>
      </c>
      <c r="Z1144" s="170">
        <f>IF(Y1144=0, 0, IF(Y1144&lt;10, _xlfn.CEILING.MATH(Y1144,0.25), IF(Y1144&lt;100, _xlfn.CEILING.MATH(Y1144,1),IF(Y1144&lt;1000, _xlfn.CEILING.MATH(Y1144,5), IF(Y1144&lt;10000, _xlfn.CEILING.MATH(Y1144, 25), IF(Y1144&lt;100000, _xlfn.CEILING.MATH(Y1144,250), IF(Y1144&lt;1000000, _xlfn.CEILING.MATH(Y1144,500), 0)))))))</f>
        <v>2.25</v>
      </c>
      <c r="AA1144" s="407">
        <f t="shared" si="483"/>
        <v>0</v>
      </c>
      <c r="AB1144" s="194"/>
    </row>
    <row r="1145" spans="1:28" s="278" customFormat="1" ht="14.4" thickBot="1" x14ac:dyDescent="0.3">
      <c r="A1145" s="263">
        <v>803010</v>
      </c>
      <c r="B1145" s="321" t="s">
        <v>14784</v>
      </c>
      <c r="C1145" s="265"/>
      <c r="D1145" s="264" t="s">
        <v>1</v>
      </c>
      <c r="E1145" s="266">
        <f t="shared" si="474"/>
        <v>0.36364000000000002</v>
      </c>
      <c r="F1145" s="174">
        <f t="shared" si="474"/>
        <v>0.36825822800000013</v>
      </c>
      <c r="G1145" s="267">
        <v>0.1</v>
      </c>
      <c r="H1145" s="268">
        <f t="shared" si="476"/>
        <v>0.1</v>
      </c>
      <c r="I1145" s="266">
        <f t="shared" si="475"/>
        <v>0</v>
      </c>
      <c r="J1145" s="174">
        <f t="shared" si="475"/>
        <v>0</v>
      </c>
      <c r="K1145" s="267"/>
      <c r="L1145" s="269">
        <f t="shared" si="470"/>
        <v>0</v>
      </c>
      <c r="M1145" s="266">
        <f t="shared" si="471"/>
        <v>0</v>
      </c>
      <c r="N1145" s="174">
        <f t="shared" si="477"/>
        <v>0</v>
      </c>
      <c r="O1145" s="267"/>
      <c r="P1145" s="269">
        <f t="shared" si="478"/>
        <v>0</v>
      </c>
      <c r="Q1145" s="270">
        <f t="shared" si="479"/>
        <v>3.2727600000000003</v>
      </c>
      <c r="R1145" s="271">
        <f t="shared" si="480"/>
        <v>3.3143240520000008</v>
      </c>
      <c r="S1145" s="408">
        <v>0.9</v>
      </c>
      <c r="T1145" s="268">
        <f t="shared" si="481"/>
        <v>0.9</v>
      </c>
      <c r="U1145" s="409">
        <v>3.6364000000000001</v>
      </c>
      <c r="V1145" s="174">
        <f t="shared" si="473"/>
        <v>3.682582280000001</v>
      </c>
      <c r="W1145" s="322">
        <v>0.1</v>
      </c>
      <c r="X1145" s="274">
        <f t="shared" si="485"/>
        <v>4.0000400000000003</v>
      </c>
      <c r="Y1145" s="174">
        <f t="shared" si="484"/>
        <v>4.0508405080000012</v>
      </c>
      <c r="Z1145" s="174">
        <f>IF(Y1145=0, 0, IF(Y1145&lt;10, _xlfn.CEILING.MATH(Y1145,0.25), IF(Y1145&lt;100, _xlfn.CEILING.MATH(Y1145,1),IF(Y1145&lt;1000, _xlfn.CEILING.MATH(Y1145,5), IF(Y1145&lt;10000, _xlfn.CEILING.MATH(Y1145, 25), IF(Y1145&lt;100000, _xlfn.CEILING.MATH(Y1145,250), IF(Y1145&lt;1000000, _xlfn.CEILING.MATH(Y1145,500), 0)))))))</f>
        <v>4.25</v>
      </c>
      <c r="AA1145" s="410">
        <f t="shared" si="483"/>
        <v>0</v>
      </c>
      <c r="AB1145" s="194"/>
    </row>
    <row r="1146" spans="1:28" s="278" customFormat="1" x14ac:dyDescent="0.25">
      <c r="A1146" s="200">
        <v>803010</v>
      </c>
      <c r="B1146" s="313" t="s">
        <v>14785</v>
      </c>
      <c r="C1146" s="248"/>
      <c r="D1146" s="247" t="s">
        <v>1</v>
      </c>
      <c r="E1146" s="249">
        <f t="shared" si="474"/>
        <v>0.27273000000000003</v>
      </c>
      <c r="F1146" s="170">
        <f t="shared" si="474"/>
        <v>0.27619367100000003</v>
      </c>
      <c r="G1146" s="250">
        <v>0.1</v>
      </c>
      <c r="H1146" s="171">
        <f t="shared" si="476"/>
        <v>0.1</v>
      </c>
      <c r="I1146" s="249">
        <f t="shared" si="475"/>
        <v>0</v>
      </c>
      <c r="J1146" s="170">
        <f t="shared" si="475"/>
        <v>0</v>
      </c>
      <c r="K1146" s="250"/>
      <c r="L1146" s="172">
        <f t="shared" si="470"/>
        <v>0</v>
      </c>
      <c r="M1146" s="249">
        <f t="shared" si="471"/>
        <v>0</v>
      </c>
      <c r="N1146" s="170">
        <f t="shared" si="477"/>
        <v>0</v>
      </c>
      <c r="O1146" s="250"/>
      <c r="P1146" s="172">
        <f t="shared" si="478"/>
        <v>0</v>
      </c>
      <c r="Q1146" s="251">
        <f t="shared" si="479"/>
        <v>2.4545699999999999</v>
      </c>
      <c r="R1146" s="173">
        <f t="shared" si="480"/>
        <v>2.4857430389999999</v>
      </c>
      <c r="S1146" s="252">
        <v>0.9</v>
      </c>
      <c r="T1146" s="171">
        <f t="shared" si="481"/>
        <v>0.9</v>
      </c>
      <c r="U1146" s="256">
        <v>2.7273000000000001</v>
      </c>
      <c r="V1146" s="170">
        <f t="shared" si="473"/>
        <v>2.7619367100000001</v>
      </c>
      <c r="W1146" s="258">
        <v>0.1</v>
      </c>
      <c r="X1146" s="257">
        <f t="shared" si="485"/>
        <v>3.0000300000000002</v>
      </c>
      <c r="Y1146" s="170">
        <f t="shared" si="484"/>
        <v>3.0381303810000002</v>
      </c>
      <c r="Z1146" s="170">
        <f>IF(Y1146=0, 0, IF(Y1146&lt;10, _xlfn.CEILING.MATH(Y1146,0.25), IF(Y1146&lt;100, _xlfn.CEILING.MATH(Y1146,1),IF(Y1146&lt;1000, _xlfn.CEILING.MATH(Y1146,5), IF(Y1146&lt;10000, _xlfn.CEILING.MATH(Y1146, 25), IF(Y1146&lt;100000, _xlfn.CEILING.MATH(Y1146,250), IF(Y1146&lt;1000000, _xlfn.CEILING.MATH(Y1146,500), 0)))))))</f>
        <v>3.25</v>
      </c>
      <c r="AA1146" s="407">
        <f t="shared" si="483"/>
        <v>0</v>
      </c>
      <c r="AB1146" s="194"/>
    </row>
    <row r="1147" spans="1:28" s="278" customFormat="1" x14ac:dyDescent="0.25">
      <c r="A1147" s="200">
        <v>803023</v>
      </c>
      <c r="B1147" s="313" t="s">
        <v>19772</v>
      </c>
      <c r="C1147" s="248"/>
      <c r="D1147" s="247" t="s">
        <v>2</v>
      </c>
      <c r="E1147" s="249">
        <f t="shared" si="474"/>
        <v>6.3750150000000003</v>
      </c>
      <c r="F1147" s="170">
        <f t="shared" si="474"/>
        <v>6.5063403090000014</v>
      </c>
      <c r="G1147" s="250">
        <v>0.45</v>
      </c>
      <c r="H1147" s="171">
        <f t="shared" si="476"/>
        <v>0.45</v>
      </c>
      <c r="I1147" s="249">
        <f t="shared" si="475"/>
        <v>5.6666800000000004</v>
      </c>
      <c r="J1147" s="170">
        <f t="shared" si="475"/>
        <v>5.7834136080000009</v>
      </c>
      <c r="K1147" s="250">
        <v>0.4</v>
      </c>
      <c r="L1147" s="172">
        <f t="shared" si="470"/>
        <v>0.4</v>
      </c>
      <c r="M1147" s="249">
        <f t="shared" si="471"/>
        <v>1.4166700000000001</v>
      </c>
      <c r="N1147" s="170">
        <f t="shared" si="477"/>
        <v>1.4458534020000002</v>
      </c>
      <c r="O1147" s="250">
        <v>0.1</v>
      </c>
      <c r="P1147" s="172">
        <f t="shared" si="478"/>
        <v>0.1</v>
      </c>
      <c r="Q1147" s="251">
        <f t="shared" si="479"/>
        <v>0.70833500000000005</v>
      </c>
      <c r="R1147" s="173">
        <f t="shared" si="480"/>
        <v>0.72292670100000012</v>
      </c>
      <c r="S1147" s="250">
        <v>0.05</v>
      </c>
      <c r="T1147" s="171">
        <f t="shared" si="481"/>
        <v>0.05</v>
      </c>
      <c r="U1147" s="256">
        <v>14.166700000000001</v>
      </c>
      <c r="V1147" s="170">
        <f t="shared" si="473"/>
        <v>14.458534020000002</v>
      </c>
      <c r="W1147" s="258">
        <v>0.2</v>
      </c>
      <c r="X1147" s="257">
        <f t="shared" si="485"/>
        <v>17.000040000000002</v>
      </c>
      <c r="Y1147" s="170">
        <f t="shared" si="484"/>
        <v>17.350240824</v>
      </c>
      <c r="Z1147" s="170">
        <f t="shared" si="472"/>
        <v>18</v>
      </c>
      <c r="AA1147" s="407">
        <f t="shared" si="483"/>
        <v>0</v>
      </c>
      <c r="AB1147" s="194"/>
    </row>
    <row r="1148" spans="1:28" s="278" customFormat="1" x14ac:dyDescent="0.25">
      <c r="A1148" s="200">
        <v>803023</v>
      </c>
      <c r="B1148" s="313" t="s">
        <v>19773</v>
      </c>
      <c r="C1148" s="248"/>
      <c r="D1148" s="247" t="s">
        <v>2</v>
      </c>
      <c r="E1148" s="249">
        <f t="shared" si="474"/>
        <v>5.625</v>
      </c>
      <c r="F1148" s="170">
        <f t="shared" si="474"/>
        <v>5.7408750000000008</v>
      </c>
      <c r="G1148" s="250">
        <v>0.45</v>
      </c>
      <c r="H1148" s="171">
        <f t="shared" si="476"/>
        <v>0.45</v>
      </c>
      <c r="I1148" s="249">
        <f t="shared" si="475"/>
        <v>5</v>
      </c>
      <c r="J1148" s="170">
        <f t="shared" si="475"/>
        <v>5.1030000000000015</v>
      </c>
      <c r="K1148" s="250">
        <v>0.4</v>
      </c>
      <c r="L1148" s="172">
        <f t="shared" si="470"/>
        <v>0.4</v>
      </c>
      <c r="M1148" s="249">
        <f t="shared" si="471"/>
        <v>1.25</v>
      </c>
      <c r="N1148" s="170">
        <f t="shared" si="477"/>
        <v>1.2757500000000004</v>
      </c>
      <c r="O1148" s="250">
        <v>0.1</v>
      </c>
      <c r="P1148" s="172">
        <f t="shared" si="478"/>
        <v>0.1</v>
      </c>
      <c r="Q1148" s="251">
        <f t="shared" si="479"/>
        <v>0.625</v>
      </c>
      <c r="R1148" s="173">
        <f t="shared" si="480"/>
        <v>0.63787500000000019</v>
      </c>
      <c r="S1148" s="250">
        <v>0.05</v>
      </c>
      <c r="T1148" s="171">
        <f t="shared" si="481"/>
        <v>0.05</v>
      </c>
      <c r="U1148" s="256">
        <v>12.5</v>
      </c>
      <c r="V1148" s="170">
        <f t="shared" si="473"/>
        <v>12.757500000000002</v>
      </c>
      <c r="W1148" s="258">
        <v>0.2</v>
      </c>
      <c r="X1148" s="257">
        <f t="shared" si="485"/>
        <v>15</v>
      </c>
      <c r="Y1148" s="170">
        <f t="shared" si="484"/>
        <v>15.309000000000001</v>
      </c>
      <c r="Z1148" s="170">
        <f t="shared" si="472"/>
        <v>16</v>
      </c>
      <c r="AA1148" s="407">
        <f t="shared" si="483"/>
        <v>0</v>
      </c>
      <c r="AB1148" s="194"/>
    </row>
    <row r="1149" spans="1:28" s="278" customFormat="1" x14ac:dyDescent="0.25">
      <c r="A1149" s="200">
        <v>803024</v>
      </c>
      <c r="B1149" s="313" t="s">
        <v>19774</v>
      </c>
      <c r="C1149" s="248"/>
      <c r="D1149" s="247" t="s">
        <v>2</v>
      </c>
      <c r="E1149" s="249">
        <f t="shared" si="474"/>
        <v>7.1249849999999997</v>
      </c>
      <c r="F1149" s="170">
        <f t="shared" si="474"/>
        <v>7.2717596910000006</v>
      </c>
      <c r="G1149" s="250">
        <v>0.45</v>
      </c>
      <c r="H1149" s="171">
        <f t="shared" si="476"/>
        <v>0.45</v>
      </c>
      <c r="I1149" s="249">
        <f t="shared" si="475"/>
        <v>6.3333200000000005</v>
      </c>
      <c r="J1149" s="170">
        <f t="shared" si="475"/>
        <v>6.4637863920000003</v>
      </c>
      <c r="K1149" s="250">
        <v>0.4</v>
      </c>
      <c r="L1149" s="172">
        <f t="shared" ref="L1149:L1212" si="486">K1149</f>
        <v>0.4</v>
      </c>
      <c r="M1149" s="249">
        <f t="shared" ref="M1149:M1212" si="487">U1149*O1149</f>
        <v>1.5833300000000001</v>
      </c>
      <c r="N1149" s="170">
        <f t="shared" si="477"/>
        <v>1.6159465980000001</v>
      </c>
      <c r="O1149" s="250">
        <v>0.1</v>
      </c>
      <c r="P1149" s="172">
        <f t="shared" si="478"/>
        <v>0.1</v>
      </c>
      <c r="Q1149" s="251">
        <f t="shared" si="479"/>
        <v>0.79166500000000006</v>
      </c>
      <c r="R1149" s="173">
        <f t="shared" si="480"/>
        <v>0.80797329900000003</v>
      </c>
      <c r="S1149" s="250">
        <v>0.05</v>
      </c>
      <c r="T1149" s="171">
        <f t="shared" si="481"/>
        <v>0.05</v>
      </c>
      <c r="U1149" s="256">
        <v>15.833299999999999</v>
      </c>
      <c r="V1149" s="170">
        <f t="shared" si="473"/>
        <v>16.15946598</v>
      </c>
      <c r="W1149" s="258">
        <v>0.2</v>
      </c>
      <c r="X1149" s="257">
        <f t="shared" si="485"/>
        <v>18.999960000000002</v>
      </c>
      <c r="Y1149" s="170">
        <f t="shared" si="484"/>
        <v>19.391359175999998</v>
      </c>
      <c r="Z1149" s="170">
        <f t="shared" si="472"/>
        <v>20</v>
      </c>
      <c r="AA1149" s="407">
        <f t="shared" si="483"/>
        <v>0</v>
      </c>
      <c r="AB1149" s="194"/>
    </row>
    <row r="1150" spans="1:28" s="278" customFormat="1" x14ac:dyDescent="0.25">
      <c r="A1150" s="200">
        <v>803024</v>
      </c>
      <c r="B1150" s="313" t="s">
        <v>19775</v>
      </c>
      <c r="C1150" s="248"/>
      <c r="D1150" s="247" t="s">
        <v>2</v>
      </c>
      <c r="E1150" s="249">
        <f t="shared" si="474"/>
        <v>5.9998500000000003</v>
      </c>
      <c r="F1150" s="170">
        <f t="shared" si="474"/>
        <v>6.1234469100000002</v>
      </c>
      <c r="G1150" s="252">
        <v>0.45</v>
      </c>
      <c r="H1150" s="171">
        <f t="shared" si="476"/>
        <v>0.45</v>
      </c>
      <c r="I1150" s="249">
        <f t="shared" si="475"/>
        <v>5.3332000000000006</v>
      </c>
      <c r="J1150" s="170">
        <f t="shared" si="475"/>
        <v>5.4430639200000002</v>
      </c>
      <c r="K1150" s="252">
        <v>0.4</v>
      </c>
      <c r="L1150" s="172">
        <f t="shared" si="486"/>
        <v>0.4</v>
      </c>
      <c r="M1150" s="249">
        <f t="shared" si="487"/>
        <v>1.3333000000000002</v>
      </c>
      <c r="N1150" s="170">
        <f t="shared" si="477"/>
        <v>1.36076598</v>
      </c>
      <c r="O1150" s="252">
        <v>0.1</v>
      </c>
      <c r="P1150" s="172">
        <f t="shared" si="478"/>
        <v>0.1</v>
      </c>
      <c r="Q1150" s="251">
        <f t="shared" si="479"/>
        <v>0.66665000000000008</v>
      </c>
      <c r="R1150" s="173">
        <f t="shared" si="480"/>
        <v>0.68038299000000002</v>
      </c>
      <c r="S1150" s="250">
        <v>0.05</v>
      </c>
      <c r="T1150" s="171">
        <f t="shared" si="481"/>
        <v>0.05</v>
      </c>
      <c r="U1150" s="256">
        <v>13.333</v>
      </c>
      <c r="V1150" s="170">
        <f t="shared" si="473"/>
        <v>13.6076598</v>
      </c>
      <c r="W1150" s="258">
        <v>0.2</v>
      </c>
      <c r="X1150" s="257">
        <f t="shared" si="485"/>
        <v>15.999600000000001</v>
      </c>
      <c r="Y1150" s="170">
        <f t="shared" si="484"/>
        <v>16.32919176</v>
      </c>
      <c r="Z1150" s="170">
        <f t="shared" si="472"/>
        <v>17</v>
      </c>
      <c r="AA1150" s="407">
        <f t="shared" si="483"/>
        <v>0</v>
      </c>
      <c r="AB1150" s="194"/>
    </row>
    <row r="1151" spans="1:28" s="278" customFormat="1" x14ac:dyDescent="0.25">
      <c r="A1151" s="200">
        <v>803026</v>
      </c>
      <c r="B1151" s="313" t="s">
        <v>19776</v>
      </c>
      <c r="C1151" s="248"/>
      <c r="D1151" s="247" t="s">
        <v>2</v>
      </c>
      <c r="E1151" s="249">
        <f t="shared" si="474"/>
        <v>7.875</v>
      </c>
      <c r="F1151" s="170">
        <f t="shared" si="474"/>
        <v>8.0372250000000012</v>
      </c>
      <c r="G1151" s="250">
        <v>0.45</v>
      </c>
      <c r="H1151" s="171">
        <f t="shared" si="476"/>
        <v>0.45</v>
      </c>
      <c r="I1151" s="249">
        <f t="shared" si="475"/>
        <v>7</v>
      </c>
      <c r="J1151" s="170">
        <f t="shared" si="475"/>
        <v>7.1442000000000014</v>
      </c>
      <c r="K1151" s="250">
        <v>0.4</v>
      </c>
      <c r="L1151" s="172">
        <f t="shared" si="486"/>
        <v>0.4</v>
      </c>
      <c r="M1151" s="249">
        <f t="shared" si="487"/>
        <v>1.75</v>
      </c>
      <c r="N1151" s="170">
        <f t="shared" si="477"/>
        <v>1.7860500000000004</v>
      </c>
      <c r="O1151" s="250">
        <v>0.1</v>
      </c>
      <c r="P1151" s="172">
        <f t="shared" si="478"/>
        <v>0.1</v>
      </c>
      <c r="Q1151" s="251">
        <f t="shared" si="479"/>
        <v>0.875</v>
      </c>
      <c r="R1151" s="173">
        <f t="shared" si="480"/>
        <v>0.89302500000000018</v>
      </c>
      <c r="S1151" s="250">
        <v>0.05</v>
      </c>
      <c r="T1151" s="171">
        <f t="shared" si="481"/>
        <v>0.05</v>
      </c>
      <c r="U1151" s="256">
        <v>17.5</v>
      </c>
      <c r="V1151" s="170">
        <f t="shared" si="473"/>
        <v>17.860500000000002</v>
      </c>
      <c r="W1151" s="258">
        <v>0.2</v>
      </c>
      <c r="X1151" s="257">
        <f t="shared" si="485"/>
        <v>21</v>
      </c>
      <c r="Y1151" s="170">
        <f t="shared" si="484"/>
        <v>21.432600000000001</v>
      </c>
      <c r="Z1151" s="170">
        <f t="shared" ref="Z1151:Z1200" si="488">IF(Y1151=0, 0, IF(Y1151&lt;10, _xlfn.CEILING.MATH(Y1151,1), IF(Y1151&lt;100, _xlfn.CEILING.MATH(Y1151,1),IF(Y1151&lt;1000, _xlfn.CEILING.MATH(Y1151,5), IF(Y1151&lt;10000, _xlfn.CEILING.MATH(Y1151, 25), IF(Y1151&lt;100000, _xlfn.CEILING.MATH(Y1151,250), IF(Y1151&lt;1000000, _xlfn.CEILING.MATH(Y1151,500), 0)))))))</f>
        <v>22</v>
      </c>
      <c r="AA1151" s="407">
        <f t="shared" si="483"/>
        <v>0</v>
      </c>
      <c r="AB1151" s="194"/>
    </row>
    <row r="1152" spans="1:28" s="278" customFormat="1" x14ac:dyDescent="0.25">
      <c r="A1152" s="200">
        <v>803026</v>
      </c>
      <c r="B1152" s="313" t="s">
        <v>19777</v>
      </c>
      <c r="C1152" s="248"/>
      <c r="D1152" s="247" t="s">
        <v>2</v>
      </c>
      <c r="E1152" s="249">
        <f t="shared" si="474"/>
        <v>6.75</v>
      </c>
      <c r="F1152" s="170">
        <f t="shared" si="474"/>
        <v>6.889050000000001</v>
      </c>
      <c r="G1152" s="250">
        <v>0.45</v>
      </c>
      <c r="H1152" s="171">
        <f t="shared" si="476"/>
        <v>0.45</v>
      </c>
      <c r="I1152" s="249">
        <f t="shared" si="475"/>
        <v>6</v>
      </c>
      <c r="J1152" s="170">
        <f t="shared" si="475"/>
        <v>6.1236000000000006</v>
      </c>
      <c r="K1152" s="250">
        <v>0.4</v>
      </c>
      <c r="L1152" s="172">
        <f t="shared" si="486"/>
        <v>0.4</v>
      </c>
      <c r="M1152" s="249">
        <f t="shared" si="487"/>
        <v>1.5</v>
      </c>
      <c r="N1152" s="170">
        <f t="shared" si="477"/>
        <v>1.5309000000000001</v>
      </c>
      <c r="O1152" s="250">
        <v>0.1</v>
      </c>
      <c r="P1152" s="172">
        <f t="shared" si="478"/>
        <v>0.1</v>
      </c>
      <c r="Q1152" s="251">
        <f t="shared" si="479"/>
        <v>0.75</v>
      </c>
      <c r="R1152" s="173">
        <f t="shared" si="480"/>
        <v>0.76545000000000007</v>
      </c>
      <c r="S1152" s="250">
        <v>0.05</v>
      </c>
      <c r="T1152" s="171">
        <f t="shared" si="481"/>
        <v>0.05</v>
      </c>
      <c r="U1152" s="256">
        <v>15</v>
      </c>
      <c r="V1152" s="170">
        <f t="shared" si="473"/>
        <v>15.309000000000001</v>
      </c>
      <c r="W1152" s="258">
        <v>0.2</v>
      </c>
      <c r="X1152" s="257">
        <f t="shared" si="485"/>
        <v>18</v>
      </c>
      <c r="Y1152" s="170">
        <f t="shared" si="484"/>
        <v>18.370799999999999</v>
      </c>
      <c r="Z1152" s="170">
        <f t="shared" si="488"/>
        <v>19</v>
      </c>
      <c r="AA1152" s="407">
        <f t="shared" si="483"/>
        <v>0</v>
      </c>
      <c r="AB1152" s="194"/>
    </row>
    <row r="1153" spans="1:28" s="278" customFormat="1" x14ac:dyDescent="0.25">
      <c r="A1153" s="200">
        <v>803044</v>
      </c>
      <c r="B1153" s="313" t="s">
        <v>19778</v>
      </c>
      <c r="C1153" s="248"/>
      <c r="D1153" s="247" t="s">
        <v>2</v>
      </c>
      <c r="E1153" s="249">
        <f t="shared" si="474"/>
        <v>7.5000149999999994</v>
      </c>
      <c r="F1153" s="170">
        <f t="shared" si="474"/>
        <v>7.6545153089999998</v>
      </c>
      <c r="G1153" s="250">
        <v>0.45</v>
      </c>
      <c r="H1153" s="171">
        <f t="shared" si="476"/>
        <v>0.45</v>
      </c>
      <c r="I1153" s="249">
        <f t="shared" si="475"/>
        <v>6.6666799999999995</v>
      </c>
      <c r="J1153" s="170">
        <f t="shared" si="475"/>
        <v>6.804013608</v>
      </c>
      <c r="K1153" s="250">
        <v>0.4</v>
      </c>
      <c r="L1153" s="172">
        <f t="shared" si="486"/>
        <v>0.4</v>
      </c>
      <c r="M1153" s="249">
        <f t="shared" si="487"/>
        <v>1.6666699999999999</v>
      </c>
      <c r="N1153" s="170">
        <f t="shared" si="477"/>
        <v>1.701003402</v>
      </c>
      <c r="O1153" s="250">
        <v>0.1</v>
      </c>
      <c r="P1153" s="172">
        <f t="shared" si="478"/>
        <v>0.1</v>
      </c>
      <c r="Q1153" s="251">
        <f t="shared" si="479"/>
        <v>0.83333499999999994</v>
      </c>
      <c r="R1153" s="173">
        <f t="shared" si="480"/>
        <v>0.850501701</v>
      </c>
      <c r="S1153" s="250">
        <v>0.05</v>
      </c>
      <c r="T1153" s="171">
        <f t="shared" si="481"/>
        <v>0.05</v>
      </c>
      <c r="U1153" s="256">
        <v>16.666699999999999</v>
      </c>
      <c r="V1153" s="170">
        <f t="shared" si="473"/>
        <v>17.010034019999999</v>
      </c>
      <c r="W1153" s="258">
        <v>0.2</v>
      </c>
      <c r="X1153" s="257">
        <f t="shared" si="485"/>
        <v>20.000039999999998</v>
      </c>
      <c r="Y1153" s="170">
        <f t="shared" si="484"/>
        <v>20.412040823999998</v>
      </c>
      <c r="Z1153" s="170">
        <f t="shared" si="488"/>
        <v>21</v>
      </c>
      <c r="AA1153" s="407">
        <f t="shared" si="483"/>
        <v>0</v>
      </c>
      <c r="AB1153" s="194"/>
    </row>
    <row r="1154" spans="1:28" s="278" customFormat="1" x14ac:dyDescent="0.25">
      <c r="A1154" s="200">
        <v>803044</v>
      </c>
      <c r="B1154" s="313" t="s">
        <v>19779</v>
      </c>
      <c r="C1154" s="248"/>
      <c r="D1154" s="247" t="s">
        <v>2</v>
      </c>
      <c r="E1154" s="249">
        <f t="shared" si="474"/>
        <v>6.3750150000000003</v>
      </c>
      <c r="F1154" s="170">
        <f t="shared" si="474"/>
        <v>6.5063403090000014</v>
      </c>
      <c r="G1154" s="250">
        <v>0.45</v>
      </c>
      <c r="H1154" s="171">
        <f t="shared" si="476"/>
        <v>0.45</v>
      </c>
      <c r="I1154" s="249">
        <f t="shared" si="475"/>
        <v>5.6666800000000004</v>
      </c>
      <c r="J1154" s="170">
        <f t="shared" si="475"/>
        <v>5.7834136080000009</v>
      </c>
      <c r="K1154" s="250">
        <v>0.4</v>
      </c>
      <c r="L1154" s="172">
        <f t="shared" si="486"/>
        <v>0.4</v>
      </c>
      <c r="M1154" s="249">
        <f t="shared" si="487"/>
        <v>1.4166700000000001</v>
      </c>
      <c r="N1154" s="170">
        <f t="shared" si="477"/>
        <v>1.4458534020000002</v>
      </c>
      <c r="O1154" s="250">
        <v>0.1</v>
      </c>
      <c r="P1154" s="172">
        <f t="shared" si="478"/>
        <v>0.1</v>
      </c>
      <c r="Q1154" s="251">
        <f t="shared" si="479"/>
        <v>0.70833500000000005</v>
      </c>
      <c r="R1154" s="173">
        <f t="shared" si="480"/>
        <v>0.72292670100000012</v>
      </c>
      <c r="S1154" s="250">
        <v>0.05</v>
      </c>
      <c r="T1154" s="171">
        <f t="shared" si="481"/>
        <v>0.05</v>
      </c>
      <c r="U1154" s="256">
        <v>14.166700000000001</v>
      </c>
      <c r="V1154" s="170">
        <f t="shared" ref="V1154:V1217" si="489">SUM(E1154*1.0235,I1154*1.0175,M1154*1.0245,Q1154*1.0115)</f>
        <v>14.458534020000002</v>
      </c>
      <c r="W1154" s="258">
        <v>0.2</v>
      </c>
      <c r="X1154" s="257">
        <f t="shared" si="485"/>
        <v>17.000040000000002</v>
      </c>
      <c r="Y1154" s="170">
        <f t="shared" si="484"/>
        <v>17.350240824</v>
      </c>
      <c r="Z1154" s="170">
        <f t="shared" si="488"/>
        <v>18</v>
      </c>
      <c r="AA1154" s="407">
        <f t="shared" si="483"/>
        <v>0</v>
      </c>
      <c r="AB1154" s="194"/>
    </row>
    <row r="1155" spans="1:28" s="278" customFormat="1" x14ac:dyDescent="0.25">
      <c r="A1155" s="200">
        <v>803046</v>
      </c>
      <c r="B1155" s="313" t="s">
        <v>19780</v>
      </c>
      <c r="C1155" s="248"/>
      <c r="D1155" s="247" t="s">
        <v>2</v>
      </c>
      <c r="E1155" s="249">
        <f t="shared" si="474"/>
        <v>8.2498500000000003</v>
      </c>
      <c r="F1155" s="170">
        <f t="shared" si="474"/>
        <v>8.4197969100000005</v>
      </c>
      <c r="G1155" s="250">
        <v>0.45</v>
      </c>
      <c r="H1155" s="171">
        <f t="shared" si="476"/>
        <v>0.45</v>
      </c>
      <c r="I1155" s="249">
        <f t="shared" si="475"/>
        <v>7.3331999999999997</v>
      </c>
      <c r="J1155" s="170">
        <f t="shared" si="475"/>
        <v>7.484263920000001</v>
      </c>
      <c r="K1155" s="250">
        <v>0.4</v>
      </c>
      <c r="L1155" s="172">
        <f t="shared" si="486"/>
        <v>0.4</v>
      </c>
      <c r="M1155" s="249">
        <f t="shared" si="487"/>
        <v>1.8332999999999999</v>
      </c>
      <c r="N1155" s="170">
        <f t="shared" si="477"/>
        <v>1.8710659800000002</v>
      </c>
      <c r="O1155" s="250">
        <v>0.1</v>
      </c>
      <c r="P1155" s="172">
        <f t="shared" si="478"/>
        <v>0.1</v>
      </c>
      <c r="Q1155" s="251">
        <f t="shared" si="479"/>
        <v>0.91664999999999996</v>
      </c>
      <c r="R1155" s="173">
        <f t="shared" si="480"/>
        <v>0.93553299000000012</v>
      </c>
      <c r="S1155" s="250">
        <v>0.05</v>
      </c>
      <c r="T1155" s="171">
        <f t="shared" si="481"/>
        <v>0.05</v>
      </c>
      <c r="U1155" s="256">
        <v>18.332999999999998</v>
      </c>
      <c r="V1155" s="170">
        <f t="shared" si="489"/>
        <v>18.710659800000002</v>
      </c>
      <c r="W1155" s="258">
        <v>0.2</v>
      </c>
      <c r="X1155" s="257">
        <f t="shared" si="485"/>
        <v>21.999599999999997</v>
      </c>
      <c r="Y1155" s="170">
        <f t="shared" si="484"/>
        <v>22.45279176</v>
      </c>
      <c r="Z1155" s="170">
        <f t="shared" si="488"/>
        <v>23</v>
      </c>
      <c r="AA1155" s="407">
        <f t="shared" si="483"/>
        <v>0</v>
      </c>
      <c r="AB1155" s="194"/>
    </row>
    <row r="1156" spans="1:28" s="278" customFormat="1" x14ac:dyDescent="0.25">
      <c r="A1156" s="200">
        <v>803046</v>
      </c>
      <c r="B1156" s="313" t="s">
        <v>19781</v>
      </c>
      <c r="C1156" s="248"/>
      <c r="D1156" s="247" t="s">
        <v>2</v>
      </c>
      <c r="E1156" s="249">
        <f t="shared" si="474"/>
        <v>7.1249849999999997</v>
      </c>
      <c r="F1156" s="170">
        <f t="shared" si="474"/>
        <v>7.2717596910000006</v>
      </c>
      <c r="G1156" s="250">
        <v>0.45</v>
      </c>
      <c r="H1156" s="171">
        <f t="shared" si="476"/>
        <v>0.45</v>
      </c>
      <c r="I1156" s="249">
        <f t="shared" si="475"/>
        <v>6.3333200000000005</v>
      </c>
      <c r="J1156" s="170">
        <f t="shared" si="475"/>
        <v>6.4637863920000003</v>
      </c>
      <c r="K1156" s="250">
        <v>0.4</v>
      </c>
      <c r="L1156" s="172">
        <f t="shared" si="486"/>
        <v>0.4</v>
      </c>
      <c r="M1156" s="249">
        <f t="shared" si="487"/>
        <v>1.5833300000000001</v>
      </c>
      <c r="N1156" s="170">
        <f t="shared" si="477"/>
        <v>1.6159465980000001</v>
      </c>
      <c r="O1156" s="250">
        <v>0.1</v>
      </c>
      <c r="P1156" s="172">
        <f t="shared" si="478"/>
        <v>0.1</v>
      </c>
      <c r="Q1156" s="251">
        <f t="shared" si="479"/>
        <v>0.79166500000000006</v>
      </c>
      <c r="R1156" s="173">
        <f t="shared" si="480"/>
        <v>0.80797329900000003</v>
      </c>
      <c r="S1156" s="250">
        <v>0.05</v>
      </c>
      <c r="T1156" s="171">
        <f t="shared" si="481"/>
        <v>0.05</v>
      </c>
      <c r="U1156" s="256">
        <v>15.833299999999999</v>
      </c>
      <c r="V1156" s="170">
        <f t="shared" si="489"/>
        <v>16.15946598</v>
      </c>
      <c r="W1156" s="258">
        <v>0.2</v>
      </c>
      <c r="X1156" s="257">
        <f t="shared" si="485"/>
        <v>18.999960000000002</v>
      </c>
      <c r="Y1156" s="170">
        <f t="shared" si="484"/>
        <v>19.391359175999998</v>
      </c>
      <c r="Z1156" s="170">
        <f t="shared" si="488"/>
        <v>20</v>
      </c>
      <c r="AA1156" s="407">
        <f t="shared" si="483"/>
        <v>0</v>
      </c>
      <c r="AB1156" s="194"/>
    </row>
    <row r="1157" spans="1:28" s="278" customFormat="1" x14ac:dyDescent="0.25">
      <c r="A1157" s="200">
        <v>803100</v>
      </c>
      <c r="B1157" s="313" t="s">
        <v>19782</v>
      </c>
      <c r="C1157" s="248"/>
      <c r="D1157" s="247" t="s">
        <v>2</v>
      </c>
      <c r="E1157" s="249">
        <f t="shared" si="474"/>
        <v>166.66668000000001</v>
      </c>
      <c r="F1157" s="170">
        <f t="shared" si="474"/>
        <v>170.05001360400001</v>
      </c>
      <c r="G1157" s="250">
        <v>0.4</v>
      </c>
      <c r="H1157" s="171">
        <f t="shared" si="476"/>
        <v>0.4</v>
      </c>
      <c r="I1157" s="249">
        <f t="shared" si="475"/>
        <v>187.50001499999999</v>
      </c>
      <c r="J1157" s="170">
        <f t="shared" si="475"/>
        <v>191.30626530449999</v>
      </c>
      <c r="K1157" s="250">
        <v>0.45</v>
      </c>
      <c r="L1157" s="172">
        <f t="shared" si="486"/>
        <v>0.45</v>
      </c>
      <c r="M1157" s="249">
        <f t="shared" si="487"/>
        <v>41.666670000000003</v>
      </c>
      <c r="N1157" s="170">
        <f t="shared" si="477"/>
        <v>42.512503401000004</v>
      </c>
      <c r="O1157" s="250">
        <v>0.1</v>
      </c>
      <c r="P1157" s="172">
        <f t="shared" si="478"/>
        <v>0.1</v>
      </c>
      <c r="Q1157" s="251">
        <f t="shared" si="479"/>
        <v>20.833335000000002</v>
      </c>
      <c r="R1157" s="173">
        <f t="shared" si="480"/>
        <v>21.256251700500002</v>
      </c>
      <c r="S1157" s="250">
        <v>0.05</v>
      </c>
      <c r="T1157" s="171">
        <f t="shared" si="481"/>
        <v>0.05</v>
      </c>
      <c r="U1157" s="256">
        <v>416.66669999999999</v>
      </c>
      <c r="V1157" s="170">
        <f t="shared" si="489"/>
        <v>425.12503400999998</v>
      </c>
      <c r="W1157" s="258">
        <v>0.2</v>
      </c>
      <c r="X1157" s="257">
        <f t="shared" si="485"/>
        <v>500.00004000000001</v>
      </c>
      <c r="Y1157" s="170">
        <f t="shared" si="484"/>
        <v>510.15004081199993</v>
      </c>
      <c r="Z1157" s="170">
        <f t="shared" si="488"/>
        <v>515</v>
      </c>
      <c r="AA1157" s="407">
        <f t="shared" si="483"/>
        <v>0</v>
      </c>
      <c r="AB1157" s="194"/>
    </row>
    <row r="1158" spans="1:28" s="278" customFormat="1" x14ac:dyDescent="0.25">
      <c r="A1158" s="200">
        <v>803100</v>
      </c>
      <c r="B1158" s="313" t="s">
        <v>19783</v>
      </c>
      <c r="C1158" s="248"/>
      <c r="D1158" s="247" t="s">
        <v>2</v>
      </c>
      <c r="E1158" s="249">
        <f t="shared" si="474"/>
        <v>100</v>
      </c>
      <c r="F1158" s="170">
        <f t="shared" si="474"/>
        <v>102.03000000000003</v>
      </c>
      <c r="G1158" s="250">
        <v>0.4</v>
      </c>
      <c r="H1158" s="171">
        <f t="shared" si="476"/>
        <v>0.4</v>
      </c>
      <c r="I1158" s="249">
        <f t="shared" si="475"/>
        <v>112.5</v>
      </c>
      <c r="J1158" s="170">
        <f t="shared" si="475"/>
        <v>114.78375000000003</v>
      </c>
      <c r="K1158" s="250">
        <v>0.45</v>
      </c>
      <c r="L1158" s="172">
        <f t="shared" si="486"/>
        <v>0.45</v>
      </c>
      <c r="M1158" s="249">
        <f t="shared" si="487"/>
        <v>25</v>
      </c>
      <c r="N1158" s="170">
        <f t="shared" si="477"/>
        <v>25.507500000000007</v>
      </c>
      <c r="O1158" s="250">
        <v>0.1</v>
      </c>
      <c r="P1158" s="172">
        <f t="shared" si="478"/>
        <v>0.1</v>
      </c>
      <c r="Q1158" s="251">
        <f t="shared" si="479"/>
        <v>12.5</v>
      </c>
      <c r="R1158" s="173">
        <f t="shared" si="480"/>
        <v>12.753750000000004</v>
      </c>
      <c r="S1158" s="250">
        <v>0.05</v>
      </c>
      <c r="T1158" s="171">
        <f t="shared" si="481"/>
        <v>0.05</v>
      </c>
      <c r="U1158" s="256">
        <v>250</v>
      </c>
      <c r="V1158" s="170">
        <f t="shared" si="489"/>
        <v>255.07500000000005</v>
      </c>
      <c r="W1158" s="258">
        <v>0.2</v>
      </c>
      <c r="X1158" s="257">
        <f t="shared" si="485"/>
        <v>300</v>
      </c>
      <c r="Y1158" s="170">
        <f t="shared" si="484"/>
        <v>306.09000000000003</v>
      </c>
      <c r="Z1158" s="170">
        <f t="shared" si="488"/>
        <v>310</v>
      </c>
      <c r="AA1158" s="407">
        <f t="shared" si="483"/>
        <v>0</v>
      </c>
      <c r="AB1158" s="194"/>
    </row>
    <row r="1159" spans="1:28" s="278" customFormat="1" x14ac:dyDescent="0.25">
      <c r="A1159" s="200">
        <v>803110</v>
      </c>
      <c r="B1159" s="313" t="s">
        <v>14786</v>
      </c>
      <c r="C1159" s="248"/>
      <c r="D1159" s="247" t="s">
        <v>11</v>
      </c>
      <c r="E1159" s="249">
        <f t="shared" si="474"/>
        <v>100</v>
      </c>
      <c r="F1159" s="170">
        <f t="shared" si="474"/>
        <v>102.03000000000003</v>
      </c>
      <c r="G1159" s="250">
        <v>0.4</v>
      </c>
      <c r="H1159" s="171">
        <f t="shared" si="476"/>
        <v>0.4</v>
      </c>
      <c r="I1159" s="249">
        <f t="shared" si="475"/>
        <v>112.5</v>
      </c>
      <c r="J1159" s="170">
        <f t="shared" si="475"/>
        <v>114.78375000000003</v>
      </c>
      <c r="K1159" s="250">
        <v>0.45</v>
      </c>
      <c r="L1159" s="172">
        <f t="shared" si="486"/>
        <v>0.45</v>
      </c>
      <c r="M1159" s="249">
        <f t="shared" si="487"/>
        <v>25</v>
      </c>
      <c r="N1159" s="170">
        <f t="shared" si="477"/>
        <v>25.507500000000007</v>
      </c>
      <c r="O1159" s="250">
        <v>0.1</v>
      </c>
      <c r="P1159" s="172">
        <f t="shared" si="478"/>
        <v>0.1</v>
      </c>
      <c r="Q1159" s="251">
        <f t="shared" si="479"/>
        <v>12.5</v>
      </c>
      <c r="R1159" s="173">
        <f t="shared" si="480"/>
        <v>12.753750000000004</v>
      </c>
      <c r="S1159" s="250">
        <v>0.05</v>
      </c>
      <c r="T1159" s="171">
        <f t="shared" si="481"/>
        <v>0.05</v>
      </c>
      <c r="U1159" s="256">
        <v>250</v>
      </c>
      <c r="V1159" s="170">
        <f t="shared" si="489"/>
        <v>255.07500000000005</v>
      </c>
      <c r="W1159" s="258">
        <v>0.2</v>
      </c>
      <c r="X1159" s="257">
        <f t="shared" si="485"/>
        <v>300</v>
      </c>
      <c r="Y1159" s="170">
        <f t="shared" si="484"/>
        <v>306.09000000000003</v>
      </c>
      <c r="Z1159" s="170">
        <f t="shared" si="488"/>
        <v>310</v>
      </c>
      <c r="AA1159" s="407">
        <f t="shared" si="483"/>
        <v>0</v>
      </c>
      <c r="AB1159" s="194"/>
    </row>
    <row r="1160" spans="1:28" s="278" customFormat="1" x14ac:dyDescent="0.25">
      <c r="A1160" s="200">
        <v>803112</v>
      </c>
      <c r="B1160" s="313" t="s">
        <v>14787</v>
      </c>
      <c r="C1160" s="248"/>
      <c r="D1160" s="247" t="s">
        <v>11</v>
      </c>
      <c r="E1160" s="249">
        <f t="shared" si="474"/>
        <v>116.66655</v>
      </c>
      <c r="F1160" s="170">
        <f t="shared" si="474"/>
        <v>118.99988099999999</v>
      </c>
      <c r="G1160" s="250">
        <v>0.35</v>
      </c>
      <c r="H1160" s="171">
        <f t="shared" si="476"/>
        <v>0.35</v>
      </c>
      <c r="I1160" s="249">
        <f t="shared" si="475"/>
        <v>166.66650000000001</v>
      </c>
      <c r="J1160" s="170">
        <f t="shared" si="475"/>
        <v>169.99983</v>
      </c>
      <c r="K1160" s="250">
        <v>0.5</v>
      </c>
      <c r="L1160" s="172">
        <f t="shared" si="486"/>
        <v>0.5</v>
      </c>
      <c r="M1160" s="249">
        <f t="shared" si="487"/>
        <v>33.333300000000001</v>
      </c>
      <c r="N1160" s="170">
        <f t="shared" si="477"/>
        <v>33.999966000000001</v>
      </c>
      <c r="O1160" s="250">
        <v>0.1</v>
      </c>
      <c r="P1160" s="172">
        <f t="shared" si="478"/>
        <v>0.1</v>
      </c>
      <c r="Q1160" s="251">
        <f t="shared" si="479"/>
        <v>16.666650000000001</v>
      </c>
      <c r="R1160" s="173">
        <f t="shared" si="480"/>
        <v>16.999983</v>
      </c>
      <c r="S1160" s="250">
        <v>0.05</v>
      </c>
      <c r="T1160" s="171">
        <f t="shared" si="481"/>
        <v>0.05</v>
      </c>
      <c r="U1160" s="256">
        <v>333.33300000000003</v>
      </c>
      <c r="V1160" s="170">
        <f t="shared" si="489"/>
        <v>339.99966000000001</v>
      </c>
      <c r="W1160" s="258">
        <v>0.2</v>
      </c>
      <c r="X1160" s="257">
        <f t="shared" si="485"/>
        <v>399.99960000000004</v>
      </c>
      <c r="Y1160" s="170">
        <f t="shared" si="484"/>
        <v>407.99959200000001</v>
      </c>
      <c r="Z1160" s="170">
        <f t="shared" si="488"/>
        <v>410</v>
      </c>
      <c r="AA1160" s="407">
        <f t="shared" si="483"/>
        <v>0</v>
      </c>
      <c r="AB1160" s="194"/>
    </row>
    <row r="1161" spans="1:28" s="278" customFormat="1" x14ac:dyDescent="0.25">
      <c r="A1161" s="195" t="s">
        <v>14788</v>
      </c>
      <c r="B1161" s="317" t="s">
        <v>14789</v>
      </c>
      <c r="C1161" s="241"/>
      <c r="D1161" s="242"/>
      <c r="E1161" s="243"/>
      <c r="F1161" s="244"/>
      <c r="G1161" s="245"/>
      <c r="H1161" s="246"/>
      <c r="I1161" s="243"/>
      <c r="J1161" s="244"/>
      <c r="K1161" s="245"/>
      <c r="L1161" s="246"/>
      <c r="M1161" s="243"/>
      <c r="N1161" s="244"/>
      <c r="O1161" s="245"/>
      <c r="P1161" s="246"/>
      <c r="Q1161" s="243"/>
      <c r="R1161" s="244"/>
      <c r="S1161" s="245"/>
      <c r="T1161" s="246"/>
      <c r="U1161" s="246"/>
      <c r="V1161" s="246"/>
      <c r="W1161" s="246"/>
      <c r="X1161" s="246"/>
      <c r="Y1161" s="244"/>
      <c r="Z1161" s="244"/>
      <c r="AA1161" s="406"/>
      <c r="AB1161" s="194"/>
    </row>
    <row r="1162" spans="1:28" s="278" customFormat="1" x14ac:dyDescent="0.25">
      <c r="A1162" s="200">
        <v>804005</v>
      </c>
      <c r="B1162" s="313" t="s">
        <v>19784</v>
      </c>
      <c r="C1162" s="248"/>
      <c r="D1162" s="247" t="s">
        <v>2</v>
      </c>
      <c r="E1162" s="249">
        <f t="shared" si="474"/>
        <v>25.875</v>
      </c>
      <c r="F1162" s="170">
        <f t="shared" si="474"/>
        <v>26.417081249999999</v>
      </c>
      <c r="G1162" s="250">
        <v>0.45</v>
      </c>
      <c r="H1162" s="171">
        <f t="shared" si="476"/>
        <v>0.45</v>
      </c>
      <c r="I1162" s="249">
        <f t="shared" si="475"/>
        <v>20.125</v>
      </c>
      <c r="J1162" s="170">
        <f t="shared" si="475"/>
        <v>20.54661875</v>
      </c>
      <c r="K1162" s="250">
        <v>0.35</v>
      </c>
      <c r="L1162" s="172">
        <f t="shared" si="486"/>
        <v>0.35</v>
      </c>
      <c r="M1162" s="249">
        <f t="shared" si="487"/>
        <v>8.625</v>
      </c>
      <c r="N1162" s="170">
        <f t="shared" si="477"/>
        <v>8.8056937499999997</v>
      </c>
      <c r="O1162" s="250">
        <v>0.15</v>
      </c>
      <c r="P1162" s="172">
        <f t="shared" si="478"/>
        <v>0.15</v>
      </c>
      <c r="Q1162" s="251">
        <f t="shared" si="479"/>
        <v>2.875</v>
      </c>
      <c r="R1162" s="173">
        <f t="shared" si="480"/>
        <v>2.9352312500000002</v>
      </c>
      <c r="S1162" s="250">
        <v>0.05</v>
      </c>
      <c r="T1162" s="171">
        <f t="shared" si="481"/>
        <v>0.05</v>
      </c>
      <c r="U1162" s="256">
        <v>57.5</v>
      </c>
      <c r="V1162" s="170">
        <f t="shared" si="489"/>
        <v>58.704625</v>
      </c>
      <c r="W1162" s="258">
        <v>0.2</v>
      </c>
      <c r="X1162" s="257">
        <f t="shared" ref="X1162:X1168" si="490">U1162+U1162*W1162</f>
        <v>69</v>
      </c>
      <c r="Y1162" s="170">
        <f t="shared" si="484"/>
        <v>70.445549999999997</v>
      </c>
      <c r="Z1162" s="170">
        <f t="shared" si="488"/>
        <v>71</v>
      </c>
      <c r="AA1162" s="407">
        <f t="shared" si="483"/>
        <v>0</v>
      </c>
      <c r="AB1162" s="194"/>
    </row>
    <row r="1163" spans="1:28" s="278" customFormat="1" x14ac:dyDescent="0.25">
      <c r="A1163" s="200">
        <v>804005</v>
      </c>
      <c r="B1163" s="313" t="s">
        <v>19785</v>
      </c>
      <c r="C1163" s="248"/>
      <c r="D1163" s="247" t="s">
        <v>2</v>
      </c>
      <c r="E1163" s="249">
        <f t="shared" si="474"/>
        <v>16.875</v>
      </c>
      <c r="F1163" s="170">
        <f t="shared" si="474"/>
        <v>17.228531250000003</v>
      </c>
      <c r="G1163" s="250">
        <v>0.45</v>
      </c>
      <c r="H1163" s="171">
        <f t="shared" si="476"/>
        <v>0.45</v>
      </c>
      <c r="I1163" s="249">
        <f t="shared" si="475"/>
        <v>13.125</v>
      </c>
      <c r="J1163" s="170">
        <f t="shared" si="475"/>
        <v>13.399968750000001</v>
      </c>
      <c r="K1163" s="250">
        <v>0.35</v>
      </c>
      <c r="L1163" s="172">
        <f t="shared" si="486"/>
        <v>0.35</v>
      </c>
      <c r="M1163" s="249">
        <f t="shared" si="487"/>
        <v>5.625</v>
      </c>
      <c r="N1163" s="170">
        <f t="shared" si="477"/>
        <v>5.7428437500000005</v>
      </c>
      <c r="O1163" s="250">
        <v>0.15</v>
      </c>
      <c r="P1163" s="172">
        <f t="shared" si="478"/>
        <v>0.15</v>
      </c>
      <c r="Q1163" s="251">
        <f t="shared" si="479"/>
        <v>1.875</v>
      </c>
      <c r="R1163" s="173">
        <f t="shared" si="480"/>
        <v>1.9142812500000002</v>
      </c>
      <c r="S1163" s="250">
        <v>0.05</v>
      </c>
      <c r="T1163" s="171">
        <f t="shared" si="481"/>
        <v>0.05</v>
      </c>
      <c r="U1163" s="256">
        <v>37.5</v>
      </c>
      <c r="V1163" s="170">
        <f t="shared" si="489"/>
        <v>38.285625000000003</v>
      </c>
      <c r="W1163" s="258">
        <v>0.2</v>
      </c>
      <c r="X1163" s="257">
        <f t="shared" si="490"/>
        <v>45</v>
      </c>
      <c r="Y1163" s="170">
        <f t="shared" si="484"/>
        <v>45.942750000000004</v>
      </c>
      <c r="Z1163" s="170">
        <f t="shared" si="488"/>
        <v>46</v>
      </c>
      <c r="AA1163" s="407">
        <f t="shared" si="483"/>
        <v>0</v>
      </c>
      <c r="AB1163" s="194"/>
    </row>
    <row r="1164" spans="1:28" s="278" customFormat="1" x14ac:dyDescent="0.25">
      <c r="A1164" s="200">
        <v>804005</v>
      </c>
      <c r="B1164" s="313" t="s">
        <v>19786</v>
      </c>
      <c r="C1164" s="248"/>
      <c r="D1164" s="247" t="s">
        <v>2</v>
      </c>
      <c r="E1164" s="249">
        <f t="shared" si="474"/>
        <v>13.125014999999999</v>
      </c>
      <c r="F1164" s="170">
        <f t="shared" si="474"/>
        <v>13.399984064250001</v>
      </c>
      <c r="G1164" s="250">
        <v>0.45</v>
      </c>
      <c r="H1164" s="171">
        <f t="shared" si="476"/>
        <v>0.45</v>
      </c>
      <c r="I1164" s="249">
        <f t="shared" si="475"/>
        <v>10.208345</v>
      </c>
      <c r="J1164" s="170">
        <f t="shared" si="475"/>
        <v>10.422209827750001</v>
      </c>
      <c r="K1164" s="250">
        <v>0.35</v>
      </c>
      <c r="L1164" s="172">
        <f t="shared" si="486"/>
        <v>0.35</v>
      </c>
      <c r="M1164" s="249">
        <f t="shared" si="487"/>
        <v>4.3750049999999998</v>
      </c>
      <c r="N1164" s="170">
        <f t="shared" si="477"/>
        <v>4.4666613547500003</v>
      </c>
      <c r="O1164" s="250">
        <v>0.15</v>
      </c>
      <c r="P1164" s="172">
        <f t="shared" si="478"/>
        <v>0.15</v>
      </c>
      <c r="Q1164" s="251">
        <f t="shared" si="479"/>
        <v>1.4583349999999999</v>
      </c>
      <c r="R1164" s="173">
        <f t="shared" si="480"/>
        <v>1.4888871182500001</v>
      </c>
      <c r="S1164" s="250">
        <v>0.05</v>
      </c>
      <c r="T1164" s="171">
        <f t="shared" si="481"/>
        <v>0.05</v>
      </c>
      <c r="U1164" s="256">
        <v>29.166699999999999</v>
      </c>
      <c r="V1164" s="170">
        <f t="shared" si="489"/>
        <v>29.777742365000002</v>
      </c>
      <c r="W1164" s="258">
        <v>0.2</v>
      </c>
      <c r="X1164" s="257">
        <f t="shared" si="490"/>
        <v>35.000039999999998</v>
      </c>
      <c r="Y1164" s="170">
        <f t="shared" si="484"/>
        <v>35.733290838000002</v>
      </c>
      <c r="Z1164" s="170">
        <f t="shared" si="488"/>
        <v>36</v>
      </c>
      <c r="AA1164" s="407">
        <f t="shared" si="483"/>
        <v>0</v>
      </c>
      <c r="AB1164" s="194"/>
    </row>
    <row r="1165" spans="1:28" s="278" customFormat="1" x14ac:dyDescent="0.25">
      <c r="A1165" s="200">
        <v>804010</v>
      </c>
      <c r="B1165" s="313" t="s">
        <v>19787</v>
      </c>
      <c r="C1165" s="248"/>
      <c r="D1165" s="247" t="s">
        <v>2</v>
      </c>
      <c r="E1165" s="249">
        <f t="shared" si="474"/>
        <v>9.3749850000000006</v>
      </c>
      <c r="F1165" s="170">
        <f t="shared" si="474"/>
        <v>9.5713909357500011</v>
      </c>
      <c r="G1165" s="250">
        <v>0.45</v>
      </c>
      <c r="H1165" s="171">
        <f t="shared" si="476"/>
        <v>0.45</v>
      </c>
      <c r="I1165" s="249">
        <f t="shared" si="475"/>
        <v>7.2916549999999996</v>
      </c>
      <c r="J1165" s="170">
        <f t="shared" si="475"/>
        <v>7.4444151722500003</v>
      </c>
      <c r="K1165" s="250">
        <v>0.35</v>
      </c>
      <c r="L1165" s="172">
        <f t="shared" si="486"/>
        <v>0.35</v>
      </c>
      <c r="M1165" s="249">
        <f t="shared" si="487"/>
        <v>3.1249950000000002</v>
      </c>
      <c r="N1165" s="170">
        <f t="shared" si="477"/>
        <v>3.1904636452499999</v>
      </c>
      <c r="O1165" s="250">
        <v>0.15</v>
      </c>
      <c r="P1165" s="172">
        <f t="shared" si="478"/>
        <v>0.15</v>
      </c>
      <c r="Q1165" s="251">
        <f t="shared" si="479"/>
        <v>1.0416650000000001</v>
      </c>
      <c r="R1165" s="173">
        <f t="shared" si="480"/>
        <v>1.0634878817500002</v>
      </c>
      <c r="S1165" s="250">
        <v>0.05</v>
      </c>
      <c r="T1165" s="171">
        <f t="shared" si="481"/>
        <v>0.05</v>
      </c>
      <c r="U1165" s="256">
        <v>20.833300000000001</v>
      </c>
      <c r="V1165" s="170">
        <f t="shared" si="489"/>
        <v>21.269757635000001</v>
      </c>
      <c r="W1165" s="258">
        <v>0.2</v>
      </c>
      <c r="X1165" s="257">
        <f t="shared" si="490"/>
        <v>24.999960000000002</v>
      </c>
      <c r="Y1165" s="170">
        <f t="shared" si="484"/>
        <v>25.523709161999999</v>
      </c>
      <c r="Z1165" s="170">
        <f t="shared" si="488"/>
        <v>26</v>
      </c>
      <c r="AA1165" s="407">
        <f t="shared" si="483"/>
        <v>0</v>
      </c>
      <c r="AB1165" s="194"/>
    </row>
    <row r="1166" spans="1:28" s="278" customFormat="1" x14ac:dyDescent="0.25">
      <c r="A1166" s="200">
        <v>804010</v>
      </c>
      <c r="B1166" s="313" t="s">
        <v>19788</v>
      </c>
      <c r="C1166" s="248"/>
      <c r="D1166" s="247" t="s">
        <v>2</v>
      </c>
      <c r="E1166" s="249">
        <f t="shared" si="474"/>
        <v>22.5</v>
      </c>
      <c r="F1166" s="170">
        <f t="shared" si="474"/>
        <v>22.971375000000005</v>
      </c>
      <c r="G1166" s="250">
        <v>0.45</v>
      </c>
      <c r="H1166" s="171">
        <f t="shared" si="476"/>
        <v>0.45</v>
      </c>
      <c r="I1166" s="249">
        <f t="shared" si="475"/>
        <v>17.5</v>
      </c>
      <c r="J1166" s="170">
        <f t="shared" si="475"/>
        <v>17.866625000000003</v>
      </c>
      <c r="K1166" s="250">
        <v>0.35</v>
      </c>
      <c r="L1166" s="172">
        <f t="shared" si="486"/>
        <v>0.35</v>
      </c>
      <c r="M1166" s="249">
        <f t="shared" si="487"/>
        <v>7.5</v>
      </c>
      <c r="N1166" s="170">
        <f t="shared" si="477"/>
        <v>7.6571250000000015</v>
      </c>
      <c r="O1166" s="250">
        <v>0.15</v>
      </c>
      <c r="P1166" s="172">
        <f t="shared" si="478"/>
        <v>0.15</v>
      </c>
      <c r="Q1166" s="251">
        <f t="shared" si="479"/>
        <v>2.5</v>
      </c>
      <c r="R1166" s="173">
        <f t="shared" si="480"/>
        <v>2.5523750000000009</v>
      </c>
      <c r="S1166" s="250">
        <v>0.05</v>
      </c>
      <c r="T1166" s="171">
        <f t="shared" si="481"/>
        <v>0.05</v>
      </c>
      <c r="U1166" s="256">
        <v>50</v>
      </c>
      <c r="V1166" s="170">
        <f t="shared" si="489"/>
        <v>51.047500000000014</v>
      </c>
      <c r="W1166" s="258">
        <v>0.2</v>
      </c>
      <c r="X1166" s="257">
        <f t="shared" si="490"/>
        <v>60</v>
      </c>
      <c r="Y1166" s="170">
        <f t="shared" si="484"/>
        <v>61.257000000000012</v>
      </c>
      <c r="Z1166" s="170">
        <f t="shared" si="488"/>
        <v>62</v>
      </c>
      <c r="AA1166" s="407">
        <f t="shared" si="483"/>
        <v>0</v>
      </c>
      <c r="AB1166" s="194"/>
    </row>
    <row r="1167" spans="1:28" s="278" customFormat="1" x14ac:dyDescent="0.25">
      <c r="A1167" s="200">
        <v>804015</v>
      </c>
      <c r="B1167" s="313" t="s">
        <v>19789</v>
      </c>
      <c r="C1167" s="248"/>
      <c r="D1167" s="247" t="s">
        <v>2</v>
      </c>
      <c r="E1167" s="249">
        <f t="shared" si="474"/>
        <v>14.99985</v>
      </c>
      <c r="F1167" s="170">
        <f t="shared" si="474"/>
        <v>15.314096857500004</v>
      </c>
      <c r="G1167" s="250">
        <v>0.45</v>
      </c>
      <c r="H1167" s="171">
        <f t="shared" si="476"/>
        <v>0.45</v>
      </c>
      <c r="I1167" s="249">
        <f t="shared" si="475"/>
        <v>11.666549999999999</v>
      </c>
      <c r="J1167" s="170">
        <f t="shared" si="475"/>
        <v>11.910964222500002</v>
      </c>
      <c r="K1167" s="250">
        <v>0.35</v>
      </c>
      <c r="L1167" s="172">
        <f t="shared" si="486"/>
        <v>0.35</v>
      </c>
      <c r="M1167" s="249">
        <f t="shared" si="487"/>
        <v>4.9999499999999992</v>
      </c>
      <c r="N1167" s="170">
        <f t="shared" si="477"/>
        <v>5.1046989525000006</v>
      </c>
      <c r="O1167" s="250">
        <v>0.15</v>
      </c>
      <c r="P1167" s="172">
        <f t="shared" si="478"/>
        <v>0.15</v>
      </c>
      <c r="Q1167" s="251">
        <f t="shared" si="479"/>
        <v>1.66665</v>
      </c>
      <c r="R1167" s="173">
        <f t="shared" si="480"/>
        <v>1.7015663175000004</v>
      </c>
      <c r="S1167" s="250">
        <v>0.05</v>
      </c>
      <c r="T1167" s="171">
        <f t="shared" si="481"/>
        <v>0.05</v>
      </c>
      <c r="U1167" s="256">
        <v>33.332999999999998</v>
      </c>
      <c r="V1167" s="170">
        <f t="shared" si="489"/>
        <v>34.031326350000008</v>
      </c>
      <c r="W1167" s="258">
        <v>0.2</v>
      </c>
      <c r="X1167" s="257">
        <f t="shared" si="490"/>
        <v>39.999600000000001</v>
      </c>
      <c r="Y1167" s="170">
        <f t="shared" si="484"/>
        <v>40.837591620000005</v>
      </c>
      <c r="Z1167" s="170">
        <f t="shared" si="488"/>
        <v>41</v>
      </c>
      <c r="AA1167" s="407">
        <f t="shared" si="483"/>
        <v>0</v>
      </c>
      <c r="AB1167" s="194"/>
    </row>
    <row r="1168" spans="1:28" s="278" customFormat="1" x14ac:dyDescent="0.25">
      <c r="A1168" s="200">
        <v>804015</v>
      </c>
      <c r="B1168" s="313" t="s">
        <v>19790</v>
      </c>
      <c r="C1168" s="248"/>
      <c r="D1168" s="247" t="s">
        <v>2</v>
      </c>
      <c r="E1168" s="249">
        <f t="shared" si="474"/>
        <v>19.875015000000001</v>
      </c>
      <c r="F1168" s="170">
        <f t="shared" si="474"/>
        <v>20.29139656425</v>
      </c>
      <c r="G1168" s="250">
        <v>0.45</v>
      </c>
      <c r="H1168" s="171">
        <f t="shared" si="476"/>
        <v>0.45</v>
      </c>
      <c r="I1168" s="249">
        <f t="shared" si="475"/>
        <v>15.458344999999998</v>
      </c>
      <c r="J1168" s="170">
        <f t="shared" si="475"/>
        <v>15.78219732775</v>
      </c>
      <c r="K1168" s="250">
        <v>0.35</v>
      </c>
      <c r="L1168" s="172">
        <f t="shared" si="486"/>
        <v>0.35</v>
      </c>
      <c r="M1168" s="249">
        <f t="shared" si="487"/>
        <v>6.6250049999999998</v>
      </c>
      <c r="N1168" s="170">
        <f t="shared" si="477"/>
        <v>6.7637988547500001</v>
      </c>
      <c r="O1168" s="250">
        <v>0.15</v>
      </c>
      <c r="P1168" s="172">
        <f t="shared" si="478"/>
        <v>0.15</v>
      </c>
      <c r="Q1168" s="251">
        <f t="shared" si="479"/>
        <v>2.2083349999999999</v>
      </c>
      <c r="R1168" s="173">
        <f t="shared" si="480"/>
        <v>2.2545996182500003</v>
      </c>
      <c r="S1168" s="250">
        <v>0.05</v>
      </c>
      <c r="T1168" s="171">
        <f t="shared" si="481"/>
        <v>0.05</v>
      </c>
      <c r="U1168" s="256">
        <v>44.166699999999999</v>
      </c>
      <c r="V1168" s="170">
        <f t="shared" si="489"/>
        <v>45.091992365000003</v>
      </c>
      <c r="W1168" s="258">
        <v>0.2</v>
      </c>
      <c r="X1168" s="257">
        <f t="shared" si="490"/>
        <v>53.000039999999998</v>
      </c>
      <c r="Y1168" s="170">
        <f t="shared" si="484"/>
        <v>54.110390838000001</v>
      </c>
      <c r="Z1168" s="170">
        <f t="shared" si="488"/>
        <v>55</v>
      </c>
      <c r="AA1168" s="407">
        <f t="shared" si="483"/>
        <v>0</v>
      </c>
      <c r="AB1168" s="194"/>
    </row>
    <row r="1169" spans="1:28" s="278" customFormat="1" x14ac:dyDescent="0.25">
      <c r="A1169" s="200">
        <v>804025</v>
      </c>
      <c r="B1169" s="313" t="s">
        <v>16100</v>
      </c>
      <c r="C1169" s="248"/>
      <c r="D1169" s="247" t="s">
        <v>2</v>
      </c>
      <c r="E1169" s="249">
        <f t="shared" si="474"/>
        <v>0</v>
      </c>
      <c r="F1169" s="170">
        <f t="shared" si="474"/>
        <v>19.385999999999999</v>
      </c>
      <c r="G1169" s="250">
        <v>0.45</v>
      </c>
      <c r="H1169" s="171">
        <f t="shared" si="476"/>
        <v>0.45</v>
      </c>
      <c r="I1169" s="249">
        <f t="shared" si="475"/>
        <v>0</v>
      </c>
      <c r="J1169" s="170">
        <f t="shared" si="475"/>
        <v>15.077999999999998</v>
      </c>
      <c r="K1169" s="250">
        <v>0.35</v>
      </c>
      <c r="L1169" s="172">
        <f t="shared" si="486"/>
        <v>0.35</v>
      </c>
      <c r="M1169" s="249">
        <f t="shared" si="487"/>
        <v>0</v>
      </c>
      <c r="N1169" s="170">
        <f t="shared" si="477"/>
        <v>6.4619999999999997</v>
      </c>
      <c r="O1169" s="250">
        <v>0.15</v>
      </c>
      <c r="P1169" s="172">
        <f t="shared" si="478"/>
        <v>0.15</v>
      </c>
      <c r="Q1169" s="251">
        <f t="shared" si="479"/>
        <v>0</v>
      </c>
      <c r="R1169" s="173">
        <f t="shared" si="480"/>
        <v>2.1539999999999999</v>
      </c>
      <c r="S1169" s="250">
        <v>0.05</v>
      </c>
      <c r="T1169" s="171">
        <f t="shared" si="481"/>
        <v>0.05</v>
      </c>
      <c r="U1169" s="256"/>
      <c r="V1169" s="170">
        <v>43.08</v>
      </c>
      <c r="W1169" s="258">
        <v>0.2</v>
      </c>
      <c r="X1169" s="257">
        <f>U1169+U1169*W1169</f>
        <v>0</v>
      </c>
      <c r="Y1169" s="170">
        <f>IF(V1169*(W1169+1)=0,X1169,V1169*(W1169+1))</f>
        <v>51.695999999999998</v>
      </c>
      <c r="Z1169" s="170">
        <f t="shared" si="488"/>
        <v>52</v>
      </c>
      <c r="AA1169" s="407">
        <f t="shared" si="483"/>
        <v>0</v>
      </c>
      <c r="AB1169" s="194"/>
    </row>
    <row r="1170" spans="1:28" s="278" customFormat="1" x14ac:dyDescent="0.25">
      <c r="A1170" s="200">
        <v>804025</v>
      </c>
      <c r="B1170" s="313" t="s">
        <v>16101</v>
      </c>
      <c r="C1170" s="248"/>
      <c r="D1170" s="247" t="s">
        <v>2</v>
      </c>
      <c r="E1170" s="249">
        <f>U1170*G1170</f>
        <v>0</v>
      </c>
      <c r="F1170" s="170">
        <f>V1170*H1170</f>
        <v>17.500500000000002</v>
      </c>
      <c r="G1170" s="250">
        <v>0.45</v>
      </c>
      <c r="H1170" s="171">
        <f>G1170</f>
        <v>0.45</v>
      </c>
      <c r="I1170" s="249">
        <f>U1170*K1170</f>
        <v>0</v>
      </c>
      <c r="J1170" s="170">
        <f>V1170*L1170</f>
        <v>13.611499999999999</v>
      </c>
      <c r="K1170" s="250">
        <v>0.35</v>
      </c>
      <c r="L1170" s="172">
        <f>K1170</f>
        <v>0.35</v>
      </c>
      <c r="M1170" s="249">
        <f>U1170*O1170</f>
        <v>0</v>
      </c>
      <c r="N1170" s="170">
        <f>P1170*V1170</f>
        <v>5.8334999999999999</v>
      </c>
      <c r="O1170" s="250">
        <v>0.05</v>
      </c>
      <c r="P1170" s="172">
        <v>0.15</v>
      </c>
      <c r="Q1170" s="251">
        <f>U1170*S1170</f>
        <v>0</v>
      </c>
      <c r="R1170" s="173">
        <f>T1170*V1170</f>
        <v>1.9445000000000001</v>
      </c>
      <c r="S1170" s="250">
        <v>0.05</v>
      </c>
      <c r="T1170" s="171">
        <f>S1170</f>
        <v>0.05</v>
      </c>
      <c r="U1170" s="256"/>
      <c r="V1170" s="170">
        <v>38.89</v>
      </c>
      <c r="W1170" s="258">
        <v>0.2</v>
      </c>
      <c r="X1170" s="257">
        <f>U1170+U1170*W1170</f>
        <v>0</v>
      </c>
      <c r="Y1170" s="170">
        <f>IF(V1170*(W1170+1)=0,X1170,V1170*(W1170+1))</f>
        <v>46.667999999999999</v>
      </c>
      <c r="Z1170" s="170">
        <f>IF(Y1170=0, 0, IF(Y1170&lt;10, _xlfn.CEILING.MATH(Y1170,1), IF(Y1170&lt;100, _xlfn.CEILING.MATH(Y1170,1),IF(Y1170&lt;1000, _xlfn.CEILING.MATH(Y1170,5), IF(Y1170&lt;10000, _xlfn.CEILING.MATH(Y1170, 25), IF(Y1170&lt;100000, _xlfn.CEILING.MATH(Y1170,250), IF(Y1170&lt;1000000, _xlfn.CEILING.MATH(Y1170,500), 0)))))))</f>
        <v>47</v>
      </c>
      <c r="AA1170" s="407">
        <f>C1170*Z1170</f>
        <v>0</v>
      </c>
      <c r="AB1170" s="194"/>
    </row>
    <row r="1171" spans="1:28" s="278" customFormat="1" x14ac:dyDescent="0.25">
      <c r="A1171" s="200">
        <v>804025</v>
      </c>
      <c r="B1171" s="313" t="s">
        <v>16102</v>
      </c>
      <c r="C1171" s="248"/>
      <c r="D1171" s="247" t="s">
        <v>2</v>
      </c>
      <c r="E1171" s="249">
        <f>U1171*G1171</f>
        <v>0</v>
      </c>
      <c r="F1171" s="170">
        <f>V1171*H1171</f>
        <v>15.821999999999999</v>
      </c>
      <c r="G1171" s="250">
        <v>0.45</v>
      </c>
      <c r="H1171" s="171">
        <f>G1171</f>
        <v>0.45</v>
      </c>
      <c r="I1171" s="249">
        <f>U1171*K1171</f>
        <v>0</v>
      </c>
      <c r="J1171" s="170">
        <f>V1171*L1171</f>
        <v>12.305999999999997</v>
      </c>
      <c r="K1171" s="250">
        <v>0.35</v>
      </c>
      <c r="L1171" s="172">
        <f>K1171</f>
        <v>0.35</v>
      </c>
      <c r="M1171" s="249">
        <f>U1171*O1171</f>
        <v>0</v>
      </c>
      <c r="N1171" s="170">
        <f>P1171*V1171</f>
        <v>5.2739999999999991</v>
      </c>
      <c r="O1171" s="250">
        <v>0.05</v>
      </c>
      <c r="P1171" s="172">
        <v>0.15</v>
      </c>
      <c r="Q1171" s="251">
        <f>U1171*S1171</f>
        <v>0</v>
      </c>
      <c r="R1171" s="173">
        <f>T1171*V1171</f>
        <v>1.758</v>
      </c>
      <c r="S1171" s="250">
        <v>0.05</v>
      </c>
      <c r="T1171" s="171">
        <f>S1171</f>
        <v>0.05</v>
      </c>
      <c r="U1171" s="256"/>
      <c r="V1171" s="170">
        <v>35.159999999999997</v>
      </c>
      <c r="W1171" s="258">
        <v>0.2</v>
      </c>
      <c r="X1171" s="257">
        <f>U1171+U1171*W1171</f>
        <v>0</v>
      </c>
      <c r="Y1171" s="170">
        <f>IF(V1171*(W1171+1)=0,X1171,V1171*(W1171+1))</f>
        <v>42.191999999999993</v>
      </c>
      <c r="Z1171" s="170">
        <f>IF(Y1171=0, 0, IF(Y1171&lt;10, _xlfn.CEILING.MATH(Y1171,1), IF(Y1171&lt;100, _xlfn.CEILING.MATH(Y1171,1),IF(Y1171&lt;1000, _xlfn.CEILING.MATH(Y1171,5), IF(Y1171&lt;10000, _xlfn.CEILING.MATH(Y1171, 25), IF(Y1171&lt;100000, _xlfn.CEILING.MATH(Y1171,250), IF(Y1171&lt;1000000, _xlfn.CEILING.MATH(Y1171,500), 0)))))))</f>
        <v>43</v>
      </c>
      <c r="AA1171" s="407">
        <f>C1171*Z1171</f>
        <v>0</v>
      </c>
      <c r="AB1171" s="194"/>
    </row>
    <row r="1172" spans="1:28" s="278" customFormat="1" x14ac:dyDescent="0.25">
      <c r="A1172" s="195" t="s">
        <v>14790</v>
      </c>
      <c r="B1172" s="317" t="s">
        <v>14791</v>
      </c>
      <c r="C1172" s="241"/>
      <c r="D1172" s="242"/>
      <c r="E1172" s="243"/>
      <c r="F1172" s="244"/>
      <c r="G1172" s="245"/>
      <c r="H1172" s="246"/>
      <c r="I1172" s="243"/>
      <c r="J1172" s="244"/>
      <c r="K1172" s="245"/>
      <c r="L1172" s="246"/>
      <c r="M1172" s="243"/>
      <c r="N1172" s="244"/>
      <c r="O1172" s="245"/>
      <c r="P1172" s="246"/>
      <c r="Q1172" s="243"/>
      <c r="R1172" s="244"/>
      <c r="S1172" s="245"/>
      <c r="T1172" s="246"/>
      <c r="U1172" s="246"/>
      <c r="V1172" s="246"/>
      <c r="W1172" s="246"/>
      <c r="X1172" s="246"/>
      <c r="Y1172" s="244"/>
      <c r="Z1172" s="244"/>
      <c r="AA1172" s="406"/>
      <c r="AB1172" s="194"/>
    </row>
    <row r="1173" spans="1:28" s="278" customFormat="1" x14ac:dyDescent="0.25">
      <c r="A1173" s="200">
        <v>806002</v>
      </c>
      <c r="B1173" s="313" t="s">
        <v>19791</v>
      </c>
      <c r="C1173" s="248"/>
      <c r="D1173" s="247" t="s">
        <v>2</v>
      </c>
      <c r="E1173" s="249">
        <f t="shared" ref="E1173:F1230" si="491">U1173*G1173</f>
        <v>7.9166650000000001</v>
      </c>
      <c r="F1173" s="170">
        <f t="shared" si="491"/>
        <v>8.0821232985000009</v>
      </c>
      <c r="G1173" s="250">
        <v>0.5</v>
      </c>
      <c r="H1173" s="171">
        <f t="shared" ref="H1173:H1236" si="492">G1173</f>
        <v>0.5</v>
      </c>
      <c r="I1173" s="249">
        <f t="shared" ref="I1173:J1230" si="493">U1173*K1173</f>
        <v>5.5416654999999997</v>
      </c>
      <c r="J1173" s="170">
        <f t="shared" si="493"/>
        <v>5.6574863089500003</v>
      </c>
      <c r="K1173" s="250">
        <v>0.35</v>
      </c>
      <c r="L1173" s="172">
        <f t="shared" si="486"/>
        <v>0.35</v>
      </c>
      <c r="M1173" s="249">
        <f t="shared" si="487"/>
        <v>1.5833330000000001</v>
      </c>
      <c r="N1173" s="170">
        <f t="shared" ref="N1173:N1236" si="494">P1173*V1173</f>
        <v>1.6164246597000003</v>
      </c>
      <c r="O1173" s="250">
        <v>0.1</v>
      </c>
      <c r="P1173" s="172">
        <f t="shared" ref="P1173:P1236" si="495">O1173</f>
        <v>0.1</v>
      </c>
      <c r="Q1173" s="251">
        <f t="shared" ref="Q1173:Q1236" si="496">U1173*S1173</f>
        <v>0.79166650000000005</v>
      </c>
      <c r="R1173" s="173">
        <f t="shared" ref="R1173:R1236" si="497">T1173*V1173</f>
        <v>0.80821232985000013</v>
      </c>
      <c r="S1173" s="250">
        <v>0.05</v>
      </c>
      <c r="T1173" s="171">
        <f t="shared" ref="T1173:T1236" si="498">S1173</f>
        <v>0.05</v>
      </c>
      <c r="U1173" s="256">
        <v>15.83333</v>
      </c>
      <c r="V1173" s="170">
        <f t="shared" si="489"/>
        <v>16.164246597000002</v>
      </c>
      <c r="W1173" s="258">
        <v>0.2</v>
      </c>
      <c r="X1173" s="257">
        <f t="shared" ref="X1173:X1180" si="499">U1173+U1173*W1173</f>
        <v>18.999995999999999</v>
      </c>
      <c r="Y1173" s="170">
        <f t="shared" si="484"/>
        <v>19.397095916400001</v>
      </c>
      <c r="Z1173" s="170">
        <f t="shared" si="488"/>
        <v>20</v>
      </c>
      <c r="AA1173" s="407">
        <f t="shared" si="483"/>
        <v>0</v>
      </c>
      <c r="AB1173" s="194"/>
    </row>
    <row r="1174" spans="1:28" s="278" customFormat="1" x14ac:dyDescent="0.25">
      <c r="A1174" s="200">
        <v>806002</v>
      </c>
      <c r="B1174" s="313" t="s">
        <v>19792</v>
      </c>
      <c r="C1174" s="248"/>
      <c r="D1174" s="247" t="s">
        <v>2</v>
      </c>
      <c r="E1174" s="249">
        <f t="shared" si="491"/>
        <v>5.8333500000000003</v>
      </c>
      <c r="F1174" s="170">
        <f t="shared" si="491"/>
        <v>5.9552670150000004</v>
      </c>
      <c r="G1174" s="250">
        <v>0.5</v>
      </c>
      <c r="H1174" s="171">
        <f t="shared" si="492"/>
        <v>0.5</v>
      </c>
      <c r="I1174" s="249">
        <f t="shared" si="493"/>
        <v>4.0833449999999996</v>
      </c>
      <c r="J1174" s="170">
        <f t="shared" si="493"/>
        <v>4.1686869105</v>
      </c>
      <c r="K1174" s="250">
        <v>0.35</v>
      </c>
      <c r="L1174" s="172">
        <f t="shared" si="486"/>
        <v>0.35</v>
      </c>
      <c r="M1174" s="249">
        <f t="shared" si="487"/>
        <v>1.1666700000000001</v>
      </c>
      <c r="N1174" s="170">
        <f t="shared" si="494"/>
        <v>1.1910534030000002</v>
      </c>
      <c r="O1174" s="250">
        <v>0.1</v>
      </c>
      <c r="P1174" s="172">
        <f t="shared" si="495"/>
        <v>0.1</v>
      </c>
      <c r="Q1174" s="251">
        <f t="shared" si="496"/>
        <v>0.58333500000000005</v>
      </c>
      <c r="R1174" s="173">
        <f t="shared" si="497"/>
        <v>0.59552670150000009</v>
      </c>
      <c r="S1174" s="250">
        <v>0.05</v>
      </c>
      <c r="T1174" s="171">
        <f t="shared" si="498"/>
        <v>0.05</v>
      </c>
      <c r="U1174" s="256">
        <v>11.666700000000001</v>
      </c>
      <c r="V1174" s="170">
        <f t="shared" si="489"/>
        <v>11.910534030000001</v>
      </c>
      <c r="W1174" s="258">
        <v>0.2</v>
      </c>
      <c r="X1174" s="257">
        <f t="shared" si="499"/>
        <v>14.00004</v>
      </c>
      <c r="Y1174" s="170">
        <f t="shared" si="484"/>
        <v>14.292640836</v>
      </c>
      <c r="Z1174" s="170">
        <f t="shared" si="488"/>
        <v>15</v>
      </c>
      <c r="AA1174" s="407">
        <f t="shared" si="483"/>
        <v>0</v>
      </c>
      <c r="AB1174" s="194"/>
    </row>
    <row r="1175" spans="1:28" s="278" customFormat="1" x14ac:dyDescent="0.25">
      <c r="A1175" s="200">
        <v>806004</v>
      </c>
      <c r="B1175" s="313" t="s">
        <v>19793</v>
      </c>
      <c r="C1175" s="248"/>
      <c r="D1175" s="247" t="s">
        <v>2</v>
      </c>
      <c r="E1175" s="249">
        <f t="shared" si="491"/>
        <v>7.9166499999999997</v>
      </c>
      <c r="F1175" s="170">
        <f t="shared" si="491"/>
        <v>8.0821079850000004</v>
      </c>
      <c r="G1175" s="250">
        <v>0.5</v>
      </c>
      <c r="H1175" s="171">
        <f t="shared" si="492"/>
        <v>0.5</v>
      </c>
      <c r="I1175" s="249">
        <f t="shared" si="493"/>
        <v>5.5416549999999996</v>
      </c>
      <c r="J1175" s="170">
        <f t="shared" si="493"/>
        <v>5.6574755894999997</v>
      </c>
      <c r="K1175" s="250">
        <v>0.35</v>
      </c>
      <c r="L1175" s="172">
        <f t="shared" si="486"/>
        <v>0.35</v>
      </c>
      <c r="M1175" s="249">
        <f t="shared" si="487"/>
        <v>1.5833300000000001</v>
      </c>
      <c r="N1175" s="170">
        <f t="shared" si="494"/>
        <v>1.6164215970000002</v>
      </c>
      <c r="O1175" s="250">
        <v>0.1</v>
      </c>
      <c r="P1175" s="172">
        <f t="shared" si="495"/>
        <v>0.1</v>
      </c>
      <c r="Q1175" s="251">
        <f t="shared" si="496"/>
        <v>0.79166500000000006</v>
      </c>
      <c r="R1175" s="173">
        <f t="shared" si="497"/>
        <v>0.8082107985000001</v>
      </c>
      <c r="S1175" s="250">
        <v>0.05</v>
      </c>
      <c r="T1175" s="171">
        <f t="shared" si="498"/>
        <v>0.05</v>
      </c>
      <c r="U1175" s="256">
        <v>15.833299999999999</v>
      </c>
      <c r="V1175" s="170">
        <f t="shared" si="489"/>
        <v>16.164215970000001</v>
      </c>
      <c r="W1175" s="258">
        <v>0.2</v>
      </c>
      <c r="X1175" s="257">
        <f t="shared" si="499"/>
        <v>18.999960000000002</v>
      </c>
      <c r="Y1175" s="170">
        <f t="shared" si="484"/>
        <v>19.397059164000002</v>
      </c>
      <c r="Z1175" s="170">
        <f t="shared" si="488"/>
        <v>20</v>
      </c>
      <c r="AA1175" s="407">
        <f t="shared" si="483"/>
        <v>0</v>
      </c>
      <c r="AB1175" s="194"/>
    </row>
    <row r="1176" spans="1:28" s="278" customFormat="1" x14ac:dyDescent="0.25">
      <c r="A1176" s="200">
        <v>806004</v>
      </c>
      <c r="B1176" s="313" t="s">
        <v>19794</v>
      </c>
      <c r="C1176" s="248"/>
      <c r="D1176" s="247" t="s">
        <v>2</v>
      </c>
      <c r="E1176" s="249">
        <f t="shared" si="491"/>
        <v>5.8333500000000003</v>
      </c>
      <c r="F1176" s="170">
        <f t="shared" si="491"/>
        <v>5.9552670150000004</v>
      </c>
      <c r="G1176" s="250">
        <v>0.5</v>
      </c>
      <c r="H1176" s="171">
        <f t="shared" si="492"/>
        <v>0.5</v>
      </c>
      <c r="I1176" s="249">
        <f t="shared" si="493"/>
        <v>4.0833449999999996</v>
      </c>
      <c r="J1176" s="170">
        <f t="shared" si="493"/>
        <v>4.1686869105</v>
      </c>
      <c r="K1176" s="250">
        <v>0.35</v>
      </c>
      <c r="L1176" s="172">
        <f t="shared" si="486"/>
        <v>0.35</v>
      </c>
      <c r="M1176" s="249">
        <f t="shared" si="487"/>
        <v>1.1666700000000001</v>
      </c>
      <c r="N1176" s="170">
        <f t="shared" si="494"/>
        <v>1.1910534030000002</v>
      </c>
      <c r="O1176" s="250">
        <v>0.1</v>
      </c>
      <c r="P1176" s="172">
        <f t="shared" si="495"/>
        <v>0.1</v>
      </c>
      <c r="Q1176" s="251">
        <f t="shared" si="496"/>
        <v>0.58333500000000005</v>
      </c>
      <c r="R1176" s="173">
        <f t="shared" si="497"/>
        <v>0.59552670150000009</v>
      </c>
      <c r="S1176" s="250">
        <v>0.05</v>
      </c>
      <c r="T1176" s="171">
        <f t="shared" si="498"/>
        <v>0.05</v>
      </c>
      <c r="U1176" s="256">
        <v>11.666700000000001</v>
      </c>
      <c r="V1176" s="170">
        <f t="shared" si="489"/>
        <v>11.910534030000001</v>
      </c>
      <c r="W1176" s="258">
        <v>0.2</v>
      </c>
      <c r="X1176" s="257">
        <f t="shared" si="499"/>
        <v>14.00004</v>
      </c>
      <c r="Y1176" s="170">
        <f t="shared" si="484"/>
        <v>14.292640836</v>
      </c>
      <c r="Z1176" s="170">
        <f t="shared" si="488"/>
        <v>15</v>
      </c>
      <c r="AA1176" s="407">
        <f t="shared" si="483"/>
        <v>0</v>
      </c>
      <c r="AB1176" s="194"/>
    </row>
    <row r="1177" spans="1:28" s="278" customFormat="1" x14ac:dyDescent="0.25">
      <c r="A1177" s="200">
        <v>806010</v>
      </c>
      <c r="B1177" s="313" t="s">
        <v>19795</v>
      </c>
      <c r="C1177" s="248"/>
      <c r="D1177" s="247" t="s">
        <v>2</v>
      </c>
      <c r="E1177" s="249">
        <f t="shared" si="491"/>
        <v>5.8334999999999999</v>
      </c>
      <c r="F1177" s="170">
        <f t="shared" si="491"/>
        <v>5.9554201500000001</v>
      </c>
      <c r="G1177" s="250">
        <v>0.5</v>
      </c>
      <c r="H1177" s="171">
        <f t="shared" si="492"/>
        <v>0.5</v>
      </c>
      <c r="I1177" s="249">
        <f t="shared" si="493"/>
        <v>4.08345</v>
      </c>
      <c r="J1177" s="170">
        <f t="shared" si="493"/>
        <v>4.1687941049999999</v>
      </c>
      <c r="K1177" s="250">
        <v>0.35</v>
      </c>
      <c r="L1177" s="172">
        <f t="shared" si="486"/>
        <v>0.35</v>
      </c>
      <c r="M1177" s="249">
        <f t="shared" si="487"/>
        <v>1.1667000000000001</v>
      </c>
      <c r="N1177" s="170">
        <f t="shared" si="494"/>
        <v>1.1910840300000001</v>
      </c>
      <c r="O1177" s="250">
        <v>0.1</v>
      </c>
      <c r="P1177" s="172">
        <f t="shared" si="495"/>
        <v>0.1</v>
      </c>
      <c r="Q1177" s="251">
        <f t="shared" si="496"/>
        <v>0.58335000000000004</v>
      </c>
      <c r="R1177" s="173">
        <f t="shared" si="497"/>
        <v>0.59554201500000004</v>
      </c>
      <c r="S1177" s="250">
        <v>0.05</v>
      </c>
      <c r="T1177" s="171">
        <f t="shared" si="498"/>
        <v>0.05</v>
      </c>
      <c r="U1177" s="256">
        <v>11.667</v>
      </c>
      <c r="V1177" s="170">
        <f t="shared" si="489"/>
        <v>11.9108403</v>
      </c>
      <c r="W1177" s="258">
        <v>0.2</v>
      </c>
      <c r="X1177" s="257">
        <f t="shared" si="499"/>
        <v>14.000399999999999</v>
      </c>
      <c r="Y1177" s="170">
        <f t="shared" si="484"/>
        <v>14.29300836</v>
      </c>
      <c r="Z1177" s="170">
        <f t="shared" si="488"/>
        <v>15</v>
      </c>
      <c r="AA1177" s="407">
        <f t="shared" si="483"/>
        <v>0</v>
      </c>
      <c r="AB1177" s="194"/>
    </row>
    <row r="1178" spans="1:28" s="278" customFormat="1" x14ac:dyDescent="0.25">
      <c r="A1178" s="200">
        <v>806010</v>
      </c>
      <c r="B1178" s="313" t="s">
        <v>19796</v>
      </c>
      <c r="C1178" s="248"/>
      <c r="D1178" s="247" t="s">
        <v>2</v>
      </c>
      <c r="E1178" s="249">
        <f t="shared" si="491"/>
        <v>5</v>
      </c>
      <c r="F1178" s="170">
        <f t="shared" si="491"/>
        <v>5.1045000000000007</v>
      </c>
      <c r="G1178" s="250">
        <v>0.5</v>
      </c>
      <c r="H1178" s="171">
        <f t="shared" si="492"/>
        <v>0.5</v>
      </c>
      <c r="I1178" s="249">
        <f t="shared" si="493"/>
        <v>3.5</v>
      </c>
      <c r="J1178" s="170">
        <f t="shared" si="493"/>
        <v>3.57315</v>
      </c>
      <c r="K1178" s="250">
        <v>0.35</v>
      </c>
      <c r="L1178" s="172">
        <f t="shared" si="486"/>
        <v>0.35</v>
      </c>
      <c r="M1178" s="249">
        <f t="shared" si="487"/>
        <v>1</v>
      </c>
      <c r="N1178" s="170">
        <f t="shared" si="494"/>
        <v>1.0209000000000001</v>
      </c>
      <c r="O1178" s="250">
        <v>0.1</v>
      </c>
      <c r="P1178" s="172">
        <f t="shared" si="495"/>
        <v>0.1</v>
      </c>
      <c r="Q1178" s="251">
        <f t="shared" si="496"/>
        <v>0.5</v>
      </c>
      <c r="R1178" s="173">
        <f t="shared" si="497"/>
        <v>0.51045000000000007</v>
      </c>
      <c r="S1178" s="250">
        <v>0.05</v>
      </c>
      <c r="T1178" s="171">
        <f t="shared" si="498"/>
        <v>0.05</v>
      </c>
      <c r="U1178" s="256">
        <v>10</v>
      </c>
      <c r="V1178" s="170">
        <f t="shared" si="489"/>
        <v>10.209000000000001</v>
      </c>
      <c r="W1178" s="258">
        <v>0.2</v>
      </c>
      <c r="X1178" s="257">
        <f t="shared" si="499"/>
        <v>12</v>
      </c>
      <c r="Y1178" s="170">
        <f t="shared" si="484"/>
        <v>12.250800000000002</v>
      </c>
      <c r="Z1178" s="170">
        <f t="shared" si="488"/>
        <v>13</v>
      </c>
      <c r="AA1178" s="407">
        <f t="shared" si="483"/>
        <v>0</v>
      </c>
      <c r="AB1178" s="194"/>
    </row>
    <row r="1179" spans="1:28" s="278" customFormat="1" x14ac:dyDescent="0.25">
      <c r="A1179" s="200">
        <v>806020</v>
      </c>
      <c r="B1179" s="313" t="s">
        <v>19797</v>
      </c>
      <c r="C1179" s="248"/>
      <c r="D1179" s="247" t="s">
        <v>2</v>
      </c>
      <c r="E1179" s="249">
        <f t="shared" si="491"/>
        <v>8.3333499999999994</v>
      </c>
      <c r="F1179" s="170">
        <f t="shared" si="491"/>
        <v>8.5075170149999995</v>
      </c>
      <c r="G1179" s="250">
        <v>0.5</v>
      </c>
      <c r="H1179" s="171">
        <f t="shared" si="492"/>
        <v>0.5</v>
      </c>
      <c r="I1179" s="249">
        <f t="shared" si="493"/>
        <v>5.8333449999999996</v>
      </c>
      <c r="J1179" s="170">
        <f t="shared" si="493"/>
        <v>5.9552619104999991</v>
      </c>
      <c r="K1179" s="250">
        <v>0.35</v>
      </c>
      <c r="L1179" s="172">
        <f t="shared" si="486"/>
        <v>0.35</v>
      </c>
      <c r="M1179" s="249">
        <f t="shared" si="487"/>
        <v>1.6666699999999999</v>
      </c>
      <c r="N1179" s="170">
        <f t="shared" si="494"/>
        <v>1.701503403</v>
      </c>
      <c r="O1179" s="250">
        <v>0.1</v>
      </c>
      <c r="P1179" s="172">
        <f t="shared" si="495"/>
        <v>0.1</v>
      </c>
      <c r="Q1179" s="251">
        <f t="shared" si="496"/>
        <v>0.83333499999999994</v>
      </c>
      <c r="R1179" s="173">
        <f t="shared" si="497"/>
        <v>0.85075170150000001</v>
      </c>
      <c r="S1179" s="250">
        <v>0.05</v>
      </c>
      <c r="T1179" s="171">
        <f t="shared" si="498"/>
        <v>0.05</v>
      </c>
      <c r="U1179" s="256">
        <v>16.666699999999999</v>
      </c>
      <c r="V1179" s="170">
        <f t="shared" si="489"/>
        <v>17.015034029999999</v>
      </c>
      <c r="W1179" s="258">
        <v>0.2</v>
      </c>
      <c r="X1179" s="257">
        <f t="shared" si="499"/>
        <v>20.000039999999998</v>
      </c>
      <c r="Y1179" s="170">
        <f t="shared" si="484"/>
        <v>20.418040835999999</v>
      </c>
      <c r="Z1179" s="170">
        <f t="shared" si="488"/>
        <v>21</v>
      </c>
      <c r="AA1179" s="407">
        <f t="shared" si="483"/>
        <v>0</v>
      </c>
      <c r="AB1179" s="194"/>
    </row>
    <row r="1180" spans="1:28" s="278" customFormat="1" x14ac:dyDescent="0.25">
      <c r="A1180" s="200">
        <v>806020</v>
      </c>
      <c r="B1180" s="313" t="s">
        <v>19798</v>
      </c>
      <c r="C1180" s="248"/>
      <c r="D1180" s="247" t="s">
        <v>2</v>
      </c>
      <c r="E1180" s="249">
        <f t="shared" si="491"/>
        <v>6.6666499999999997</v>
      </c>
      <c r="F1180" s="170">
        <f t="shared" si="491"/>
        <v>6.805982985</v>
      </c>
      <c r="G1180" s="250">
        <v>0.5</v>
      </c>
      <c r="H1180" s="171">
        <f t="shared" si="492"/>
        <v>0.5</v>
      </c>
      <c r="I1180" s="249">
        <f t="shared" si="493"/>
        <v>4.6666549999999996</v>
      </c>
      <c r="J1180" s="170">
        <f t="shared" si="493"/>
        <v>4.7641880894999993</v>
      </c>
      <c r="K1180" s="250">
        <v>0.35</v>
      </c>
      <c r="L1180" s="172">
        <f t="shared" si="486"/>
        <v>0.35</v>
      </c>
      <c r="M1180" s="249">
        <f t="shared" si="487"/>
        <v>1.3333300000000001</v>
      </c>
      <c r="N1180" s="170">
        <f t="shared" si="494"/>
        <v>1.3611965970000002</v>
      </c>
      <c r="O1180" s="250">
        <v>0.1</v>
      </c>
      <c r="P1180" s="172">
        <f t="shared" si="495"/>
        <v>0.1</v>
      </c>
      <c r="Q1180" s="251">
        <f t="shared" si="496"/>
        <v>0.66666500000000006</v>
      </c>
      <c r="R1180" s="173">
        <f t="shared" si="497"/>
        <v>0.68059829850000009</v>
      </c>
      <c r="S1180" s="250">
        <v>0.05</v>
      </c>
      <c r="T1180" s="171">
        <f t="shared" si="498"/>
        <v>0.05</v>
      </c>
      <c r="U1180" s="256">
        <v>13.333299999999999</v>
      </c>
      <c r="V1180" s="170">
        <f t="shared" si="489"/>
        <v>13.61196597</v>
      </c>
      <c r="W1180" s="258">
        <v>0.2</v>
      </c>
      <c r="X1180" s="257">
        <f t="shared" si="499"/>
        <v>15.99996</v>
      </c>
      <c r="Y1180" s="170">
        <f t="shared" si="484"/>
        <v>16.334359163999999</v>
      </c>
      <c r="Z1180" s="170">
        <f t="shared" si="488"/>
        <v>17</v>
      </c>
      <c r="AA1180" s="407">
        <f t="shared" si="483"/>
        <v>0</v>
      </c>
      <c r="AB1180" s="194"/>
    </row>
    <row r="1181" spans="1:28" s="278" customFormat="1" x14ac:dyDescent="0.25">
      <c r="A1181" s="195" t="s">
        <v>14792</v>
      </c>
      <c r="B1181" s="317" t="s">
        <v>14793</v>
      </c>
      <c r="C1181" s="241"/>
      <c r="D1181" s="242"/>
      <c r="E1181" s="243"/>
      <c r="F1181" s="244"/>
      <c r="G1181" s="245"/>
      <c r="H1181" s="246"/>
      <c r="I1181" s="243"/>
      <c r="J1181" s="244"/>
      <c r="K1181" s="245"/>
      <c r="L1181" s="246"/>
      <c r="M1181" s="243"/>
      <c r="N1181" s="244"/>
      <c r="O1181" s="245"/>
      <c r="P1181" s="246"/>
      <c r="Q1181" s="243"/>
      <c r="R1181" s="244"/>
      <c r="S1181" s="245"/>
      <c r="T1181" s="246"/>
      <c r="U1181" s="246"/>
      <c r="V1181" s="246"/>
      <c r="W1181" s="246"/>
      <c r="X1181" s="246"/>
      <c r="Y1181" s="244"/>
      <c r="Z1181" s="244"/>
      <c r="AA1181" s="406"/>
      <c r="AB1181" s="194"/>
    </row>
    <row r="1182" spans="1:28" s="278" customFormat="1" x14ac:dyDescent="0.25">
      <c r="A1182" s="200">
        <v>807005</v>
      </c>
      <c r="B1182" s="313" t="s">
        <v>19799</v>
      </c>
      <c r="C1182" s="248"/>
      <c r="D1182" s="247" t="s">
        <v>2</v>
      </c>
      <c r="E1182" s="249">
        <f t="shared" si="491"/>
        <v>13.125</v>
      </c>
      <c r="F1182" s="170">
        <f t="shared" si="491"/>
        <v>13.392093750000001</v>
      </c>
      <c r="G1182" s="250">
        <v>0.35</v>
      </c>
      <c r="H1182" s="171">
        <f t="shared" si="492"/>
        <v>0.35</v>
      </c>
      <c r="I1182" s="249">
        <f t="shared" si="493"/>
        <v>16.875</v>
      </c>
      <c r="J1182" s="170">
        <f t="shared" si="493"/>
        <v>17.218406250000001</v>
      </c>
      <c r="K1182" s="250">
        <v>0.45</v>
      </c>
      <c r="L1182" s="172">
        <f t="shared" si="486"/>
        <v>0.45</v>
      </c>
      <c r="M1182" s="249">
        <f t="shared" si="487"/>
        <v>5.625</v>
      </c>
      <c r="N1182" s="170">
        <f t="shared" si="494"/>
        <v>5.7394687500000003</v>
      </c>
      <c r="O1182" s="250">
        <v>0.15</v>
      </c>
      <c r="P1182" s="172">
        <f t="shared" si="495"/>
        <v>0.15</v>
      </c>
      <c r="Q1182" s="251">
        <f t="shared" si="496"/>
        <v>1.875</v>
      </c>
      <c r="R1182" s="173">
        <f t="shared" si="497"/>
        <v>1.9131562500000001</v>
      </c>
      <c r="S1182" s="250">
        <v>0.05</v>
      </c>
      <c r="T1182" s="171">
        <f t="shared" si="498"/>
        <v>0.05</v>
      </c>
      <c r="U1182" s="256">
        <v>37.5</v>
      </c>
      <c r="V1182" s="170">
        <f t="shared" si="489"/>
        <v>38.263125000000002</v>
      </c>
      <c r="W1182" s="258">
        <v>0.2</v>
      </c>
      <c r="X1182" s="257">
        <f>U1182+U1182*W1182</f>
        <v>45</v>
      </c>
      <c r="Y1182" s="170">
        <f t="shared" si="484"/>
        <v>45.915750000000003</v>
      </c>
      <c r="Z1182" s="170">
        <f t="shared" si="488"/>
        <v>46</v>
      </c>
      <c r="AA1182" s="407">
        <f t="shared" si="483"/>
        <v>0</v>
      </c>
      <c r="AB1182" s="194"/>
    </row>
    <row r="1183" spans="1:28" s="278" customFormat="1" x14ac:dyDescent="0.25">
      <c r="A1183" s="200">
        <v>807005</v>
      </c>
      <c r="B1183" s="313" t="s">
        <v>19800</v>
      </c>
      <c r="C1183" s="248"/>
      <c r="D1183" s="247" t="s">
        <v>2</v>
      </c>
      <c r="E1183" s="249">
        <f t="shared" si="491"/>
        <v>10.208345</v>
      </c>
      <c r="F1183" s="170">
        <f t="shared" si="491"/>
        <v>10.416084820749999</v>
      </c>
      <c r="G1183" s="250">
        <v>0.35</v>
      </c>
      <c r="H1183" s="171">
        <f t="shared" si="492"/>
        <v>0.35</v>
      </c>
      <c r="I1183" s="249">
        <f t="shared" si="493"/>
        <v>13.125014999999999</v>
      </c>
      <c r="J1183" s="170">
        <f t="shared" si="493"/>
        <v>13.392109055250002</v>
      </c>
      <c r="K1183" s="250">
        <v>0.45</v>
      </c>
      <c r="L1183" s="172">
        <f t="shared" si="486"/>
        <v>0.45</v>
      </c>
      <c r="M1183" s="249">
        <f t="shared" si="487"/>
        <v>4.3750049999999998</v>
      </c>
      <c r="N1183" s="170">
        <f t="shared" si="494"/>
        <v>4.4640363517499999</v>
      </c>
      <c r="O1183" s="250">
        <v>0.15</v>
      </c>
      <c r="P1183" s="172">
        <f t="shared" si="495"/>
        <v>0.15</v>
      </c>
      <c r="Q1183" s="251">
        <f t="shared" si="496"/>
        <v>1.4583349999999999</v>
      </c>
      <c r="R1183" s="173">
        <f t="shared" si="497"/>
        <v>1.4880121172500003</v>
      </c>
      <c r="S1183" s="250">
        <v>0.05</v>
      </c>
      <c r="T1183" s="171">
        <f t="shared" si="498"/>
        <v>0.05</v>
      </c>
      <c r="U1183" s="256">
        <v>29.166699999999999</v>
      </c>
      <c r="V1183" s="170">
        <f t="shared" si="489"/>
        <v>29.760242345000002</v>
      </c>
      <c r="W1183" s="258">
        <v>0.2</v>
      </c>
      <c r="X1183" s="257">
        <f>U1183+U1183*W1183</f>
        <v>35.000039999999998</v>
      </c>
      <c r="Y1183" s="170">
        <f t="shared" si="484"/>
        <v>35.712290813999999</v>
      </c>
      <c r="Z1183" s="170">
        <f t="shared" si="488"/>
        <v>36</v>
      </c>
      <c r="AA1183" s="407">
        <f t="shared" si="483"/>
        <v>0</v>
      </c>
      <c r="AB1183" s="194"/>
    </row>
    <row r="1184" spans="1:28" s="278" customFormat="1" x14ac:dyDescent="0.25">
      <c r="A1184" s="200">
        <v>807010</v>
      </c>
      <c r="B1184" s="313" t="s">
        <v>19801</v>
      </c>
      <c r="C1184" s="248"/>
      <c r="D1184" s="247" t="s">
        <v>2</v>
      </c>
      <c r="E1184" s="249">
        <f t="shared" si="491"/>
        <v>7.2916549999999996</v>
      </c>
      <c r="F1184" s="170">
        <f t="shared" si="491"/>
        <v>7.4400401792500004</v>
      </c>
      <c r="G1184" s="250">
        <v>0.35</v>
      </c>
      <c r="H1184" s="171">
        <f t="shared" si="492"/>
        <v>0.35</v>
      </c>
      <c r="I1184" s="249">
        <f t="shared" si="493"/>
        <v>9.3749850000000006</v>
      </c>
      <c r="J1184" s="170">
        <f t="shared" si="493"/>
        <v>9.5657659447500016</v>
      </c>
      <c r="K1184" s="250">
        <v>0.45</v>
      </c>
      <c r="L1184" s="172">
        <f t="shared" si="486"/>
        <v>0.45</v>
      </c>
      <c r="M1184" s="249">
        <f t="shared" si="487"/>
        <v>3.1249950000000002</v>
      </c>
      <c r="N1184" s="170">
        <f t="shared" si="494"/>
        <v>3.1885886482500005</v>
      </c>
      <c r="O1184" s="250">
        <v>0.15</v>
      </c>
      <c r="P1184" s="172">
        <f t="shared" si="495"/>
        <v>0.15</v>
      </c>
      <c r="Q1184" s="251">
        <f t="shared" si="496"/>
        <v>1.0416650000000001</v>
      </c>
      <c r="R1184" s="173">
        <f t="shared" si="497"/>
        <v>1.0628628827500002</v>
      </c>
      <c r="S1184" s="250">
        <v>0.05</v>
      </c>
      <c r="T1184" s="171">
        <f t="shared" si="498"/>
        <v>0.05</v>
      </c>
      <c r="U1184" s="256">
        <v>20.833300000000001</v>
      </c>
      <c r="V1184" s="170">
        <f t="shared" si="489"/>
        <v>21.257257655000004</v>
      </c>
      <c r="W1184" s="258">
        <v>0.2</v>
      </c>
      <c r="X1184" s="257">
        <f>U1184+U1184*W1184</f>
        <v>24.999960000000002</v>
      </c>
      <c r="Y1184" s="170">
        <f t="shared" si="484"/>
        <v>25.508709186000004</v>
      </c>
      <c r="Z1184" s="170">
        <f t="shared" si="488"/>
        <v>26</v>
      </c>
      <c r="AA1184" s="407">
        <f t="shared" si="483"/>
        <v>0</v>
      </c>
      <c r="AB1184" s="194"/>
    </row>
    <row r="1185" spans="1:28" s="278" customFormat="1" x14ac:dyDescent="0.25">
      <c r="A1185" s="200">
        <v>807010</v>
      </c>
      <c r="B1185" s="313" t="s">
        <v>19802</v>
      </c>
      <c r="C1185" s="248"/>
      <c r="D1185" s="247" t="s">
        <v>2</v>
      </c>
      <c r="E1185" s="249">
        <f t="shared" si="491"/>
        <v>4.375</v>
      </c>
      <c r="F1185" s="170">
        <f t="shared" si="491"/>
        <v>4.4640312500000006</v>
      </c>
      <c r="G1185" s="250">
        <v>0.35</v>
      </c>
      <c r="H1185" s="171">
        <f t="shared" si="492"/>
        <v>0.35</v>
      </c>
      <c r="I1185" s="249">
        <f t="shared" si="493"/>
        <v>5.625</v>
      </c>
      <c r="J1185" s="170">
        <f t="shared" si="493"/>
        <v>5.7394687500000012</v>
      </c>
      <c r="K1185" s="250">
        <v>0.45</v>
      </c>
      <c r="L1185" s="172">
        <f t="shared" si="486"/>
        <v>0.45</v>
      </c>
      <c r="M1185" s="249">
        <f t="shared" si="487"/>
        <v>1.875</v>
      </c>
      <c r="N1185" s="170">
        <f t="shared" si="494"/>
        <v>1.9131562500000003</v>
      </c>
      <c r="O1185" s="250">
        <v>0.15</v>
      </c>
      <c r="P1185" s="172">
        <f t="shared" si="495"/>
        <v>0.15</v>
      </c>
      <c r="Q1185" s="251">
        <f t="shared" si="496"/>
        <v>0.625</v>
      </c>
      <c r="R1185" s="173">
        <f t="shared" si="497"/>
        <v>0.63771875000000022</v>
      </c>
      <c r="S1185" s="252">
        <v>0.05</v>
      </c>
      <c r="T1185" s="171">
        <f t="shared" si="498"/>
        <v>0.05</v>
      </c>
      <c r="U1185" s="256">
        <v>12.5</v>
      </c>
      <c r="V1185" s="170">
        <f t="shared" si="489"/>
        <v>12.754375000000003</v>
      </c>
      <c r="W1185" s="258">
        <v>0.2</v>
      </c>
      <c r="X1185" s="257">
        <f>U1185+U1185*W1185</f>
        <v>15</v>
      </c>
      <c r="Y1185" s="170">
        <f t="shared" si="484"/>
        <v>15.305250000000003</v>
      </c>
      <c r="Z1185" s="170">
        <f>IF(Y1185=0, 0, IF(Y1185&lt;10, _xlfn.CEILING.MATH(Y1185,1), IF(Y1185&lt;100, _xlfn.CEILING.MATH(Y1185,0.5),IF(Y1185&lt;1000, _xlfn.CEILING.MATH(Y1185,5), IF(Y1185&lt;10000, _xlfn.CEILING.MATH(Y1185, 25), IF(Y1185&lt;100000, _xlfn.CEILING.MATH(Y1185,250), IF(Y1185&lt;1000000, _xlfn.CEILING.MATH(Y1185,500), 0)))))))</f>
        <v>15.5</v>
      </c>
      <c r="AA1185" s="407">
        <f t="shared" si="483"/>
        <v>0</v>
      </c>
      <c r="AB1185" s="194"/>
    </row>
    <row r="1186" spans="1:28" s="278" customFormat="1" x14ac:dyDescent="0.25">
      <c r="A1186" s="195" t="s">
        <v>14794</v>
      </c>
      <c r="B1186" s="317" t="s">
        <v>14795</v>
      </c>
      <c r="C1186" s="241"/>
      <c r="D1186" s="242"/>
      <c r="E1186" s="243"/>
      <c r="F1186" s="244"/>
      <c r="G1186" s="245"/>
      <c r="H1186" s="246"/>
      <c r="I1186" s="243"/>
      <c r="J1186" s="244"/>
      <c r="K1186" s="245"/>
      <c r="L1186" s="246"/>
      <c r="M1186" s="243"/>
      <c r="N1186" s="244"/>
      <c r="O1186" s="245"/>
      <c r="P1186" s="246"/>
      <c r="Q1186" s="243"/>
      <c r="R1186" s="244"/>
      <c r="S1186" s="245"/>
      <c r="T1186" s="246"/>
      <c r="U1186" s="246"/>
      <c r="V1186" s="246"/>
      <c r="W1186" s="246"/>
      <c r="X1186" s="246"/>
      <c r="Y1186" s="244"/>
      <c r="Z1186" s="244"/>
      <c r="AA1186" s="406"/>
      <c r="AB1186" s="194"/>
    </row>
    <row r="1187" spans="1:28" s="278" customFormat="1" x14ac:dyDescent="0.25">
      <c r="A1187" s="200">
        <v>808001</v>
      </c>
      <c r="B1187" s="313" t="s">
        <v>14796</v>
      </c>
      <c r="C1187" s="248"/>
      <c r="D1187" s="247" t="s">
        <v>11</v>
      </c>
      <c r="E1187" s="249">
        <f t="shared" si="491"/>
        <v>0.81818000000000013</v>
      </c>
      <c r="F1187" s="170">
        <f t="shared" si="491"/>
        <v>0.82857088600000017</v>
      </c>
      <c r="G1187" s="250">
        <v>0.1</v>
      </c>
      <c r="H1187" s="171">
        <f t="shared" si="492"/>
        <v>0.1</v>
      </c>
      <c r="I1187" s="249">
        <f t="shared" si="493"/>
        <v>0</v>
      </c>
      <c r="J1187" s="170">
        <f t="shared" si="493"/>
        <v>0</v>
      </c>
      <c r="K1187" s="250"/>
      <c r="L1187" s="172">
        <f t="shared" si="486"/>
        <v>0</v>
      </c>
      <c r="M1187" s="249">
        <f t="shared" si="487"/>
        <v>0</v>
      </c>
      <c r="N1187" s="170">
        <f t="shared" si="494"/>
        <v>0</v>
      </c>
      <c r="O1187" s="250"/>
      <c r="P1187" s="172">
        <f t="shared" si="495"/>
        <v>0</v>
      </c>
      <c r="Q1187" s="251">
        <f t="shared" si="496"/>
        <v>7.3636200000000009</v>
      </c>
      <c r="R1187" s="173">
        <f t="shared" si="497"/>
        <v>7.4571379740000019</v>
      </c>
      <c r="S1187" s="252">
        <v>0.9</v>
      </c>
      <c r="T1187" s="171">
        <f t="shared" si="498"/>
        <v>0.9</v>
      </c>
      <c r="U1187" s="256">
        <v>8.1818000000000008</v>
      </c>
      <c r="V1187" s="170">
        <f t="shared" si="489"/>
        <v>8.2857088600000015</v>
      </c>
      <c r="W1187" s="258">
        <v>0.1</v>
      </c>
      <c r="X1187" s="257">
        <f t="shared" ref="X1187:X1192" si="500">U1187+U1187*W1187</f>
        <v>8.9999800000000008</v>
      </c>
      <c r="Y1187" s="170">
        <f t="shared" si="484"/>
        <v>9.1142797460000029</v>
      </c>
      <c r="Z1187" s="170">
        <f>IF(Y1187=0, 0, IF(Y1187&lt;10, _xlfn.CEILING.MATH(Y1187,0.25), IF(Y1187&lt;100, _xlfn.CEILING.MATH(Y1187,1),IF(Y1187&lt;1000, _xlfn.CEILING.MATH(Y1187,5), IF(Y1187&lt;10000, _xlfn.CEILING.MATH(Y1187, 25), IF(Y1187&lt;100000, _xlfn.CEILING.MATH(Y1187,250), IF(Y1187&lt;1000000, _xlfn.CEILING.MATH(Y1187,500), 0)))))))</f>
        <v>9.25</v>
      </c>
      <c r="AA1187" s="407">
        <f t="shared" si="483"/>
        <v>0</v>
      </c>
      <c r="AB1187" s="194"/>
    </row>
    <row r="1188" spans="1:28" s="278" customFormat="1" x14ac:dyDescent="0.25">
      <c r="A1188" s="200">
        <v>808001</v>
      </c>
      <c r="B1188" s="313" t="s">
        <v>14797</v>
      </c>
      <c r="C1188" s="248"/>
      <c r="D1188" s="247" t="s">
        <v>11</v>
      </c>
      <c r="E1188" s="249">
        <f t="shared" si="491"/>
        <v>0.63636000000000004</v>
      </c>
      <c r="F1188" s="170">
        <f t="shared" si="491"/>
        <v>0.64444177200000008</v>
      </c>
      <c r="G1188" s="250">
        <v>0.1</v>
      </c>
      <c r="H1188" s="171">
        <f t="shared" si="492"/>
        <v>0.1</v>
      </c>
      <c r="I1188" s="249">
        <f t="shared" si="493"/>
        <v>0</v>
      </c>
      <c r="J1188" s="170">
        <f t="shared" si="493"/>
        <v>0</v>
      </c>
      <c r="K1188" s="250"/>
      <c r="L1188" s="172">
        <f t="shared" si="486"/>
        <v>0</v>
      </c>
      <c r="M1188" s="249">
        <f t="shared" si="487"/>
        <v>0</v>
      </c>
      <c r="N1188" s="170">
        <f t="shared" si="494"/>
        <v>0</v>
      </c>
      <c r="O1188" s="250"/>
      <c r="P1188" s="172">
        <f t="shared" si="495"/>
        <v>0</v>
      </c>
      <c r="Q1188" s="251">
        <f t="shared" si="496"/>
        <v>5.7272400000000001</v>
      </c>
      <c r="R1188" s="173">
        <f t="shared" si="497"/>
        <v>5.799975948000001</v>
      </c>
      <c r="S1188" s="252">
        <v>0.9</v>
      </c>
      <c r="T1188" s="171">
        <f t="shared" si="498"/>
        <v>0.9</v>
      </c>
      <c r="U1188" s="256">
        <v>6.3635999999999999</v>
      </c>
      <c r="V1188" s="170">
        <f t="shared" si="489"/>
        <v>6.4444177200000006</v>
      </c>
      <c r="W1188" s="258">
        <v>0.1</v>
      </c>
      <c r="X1188" s="257">
        <f t="shared" si="500"/>
        <v>6.9999599999999997</v>
      </c>
      <c r="Y1188" s="170">
        <f t="shared" si="484"/>
        <v>7.088859492000001</v>
      </c>
      <c r="Z1188" s="170">
        <f>IF(Y1188=0, 0, IF(Y1188&lt;10, _xlfn.CEILING.MATH(Y1188,0.25), IF(Y1188&lt;100, _xlfn.CEILING.MATH(Y1188,1),IF(Y1188&lt;1000, _xlfn.CEILING.MATH(Y1188,5), IF(Y1188&lt;10000, _xlfn.CEILING.MATH(Y1188, 25), IF(Y1188&lt;100000, _xlfn.CEILING.MATH(Y1188,250), IF(Y1188&lt;1000000, _xlfn.CEILING.MATH(Y1188,500), 0)))))))</f>
        <v>7.25</v>
      </c>
      <c r="AA1188" s="407">
        <f t="shared" si="483"/>
        <v>0</v>
      </c>
      <c r="AB1188" s="194"/>
    </row>
    <row r="1189" spans="1:28" s="278" customFormat="1" x14ac:dyDescent="0.25">
      <c r="A1189" s="200">
        <v>808002</v>
      </c>
      <c r="B1189" s="313" t="s">
        <v>14798</v>
      </c>
      <c r="C1189" s="248"/>
      <c r="D1189" s="247" t="s">
        <v>11</v>
      </c>
      <c r="E1189" s="249">
        <f t="shared" si="491"/>
        <v>1.3636400000000002</v>
      </c>
      <c r="F1189" s="170">
        <f t="shared" si="491"/>
        <v>1.3809582280000001</v>
      </c>
      <c r="G1189" s="250">
        <v>0.1</v>
      </c>
      <c r="H1189" s="171">
        <f t="shared" si="492"/>
        <v>0.1</v>
      </c>
      <c r="I1189" s="249">
        <f t="shared" si="493"/>
        <v>0</v>
      </c>
      <c r="J1189" s="170">
        <f t="shared" si="493"/>
        <v>0</v>
      </c>
      <c r="K1189" s="250"/>
      <c r="L1189" s="172">
        <f t="shared" si="486"/>
        <v>0</v>
      </c>
      <c r="M1189" s="249">
        <f t="shared" si="487"/>
        <v>0</v>
      </c>
      <c r="N1189" s="170">
        <f t="shared" si="494"/>
        <v>0</v>
      </c>
      <c r="O1189" s="250"/>
      <c r="P1189" s="172">
        <f t="shared" si="495"/>
        <v>0</v>
      </c>
      <c r="Q1189" s="251">
        <f t="shared" si="496"/>
        <v>12.27276</v>
      </c>
      <c r="R1189" s="173">
        <f t="shared" si="497"/>
        <v>12.428624052000002</v>
      </c>
      <c r="S1189" s="252">
        <v>0.9</v>
      </c>
      <c r="T1189" s="171">
        <f t="shared" si="498"/>
        <v>0.9</v>
      </c>
      <c r="U1189" s="256">
        <v>13.6364</v>
      </c>
      <c r="V1189" s="170">
        <f t="shared" si="489"/>
        <v>13.809582280000001</v>
      </c>
      <c r="W1189" s="258">
        <v>0.1</v>
      </c>
      <c r="X1189" s="257">
        <f t="shared" si="500"/>
        <v>15.00004</v>
      </c>
      <c r="Y1189" s="170">
        <f t="shared" si="484"/>
        <v>15.190540508000002</v>
      </c>
      <c r="Z1189" s="170">
        <f>IF(Y1189=0, 0, IF(Y1189&lt;10, _xlfn.CEILING.MATH(Y1189,0.25), IF(Y1189&lt;100, _xlfn.CEILING.MATH(Y1189,0.25),IF(Y1189&lt;1000, _xlfn.CEILING.MATH(Y1189,5), IF(Y1189&lt;10000, _xlfn.CEILING.MATH(Y1189, 25), IF(Y1189&lt;100000, _xlfn.CEILING.MATH(Y1189,250), IF(Y1189&lt;1000000, _xlfn.CEILING.MATH(Y1189,500), 0)))))))</f>
        <v>15.25</v>
      </c>
      <c r="AA1189" s="407">
        <f t="shared" si="483"/>
        <v>0</v>
      </c>
      <c r="AB1189" s="194"/>
    </row>
    <row r="1190" spans="1:28" s="278" customFormat="1" x14ac:dyDescent="0.25">
      <c r="A1190" s="200">
        <v>808002</v>
      </c>
      <c r="B1190" s="313" t="s">
        <v>19803</v>
      </c>
      <c r="C1190" s="248"/>
      <c r="D1190" s="247" t="s">
        <v>11</v>
      </c>
      <c r="E1190" s="249">
        <f t="shared" si="491"/>
        <v>0.90908999999999995</v>
      </c>
      <c r="F1190" s="170">
        <f t="shared" si="491"/>
        <v>0.92063544300000011</v>
      </c>
      <c r="G1190" s="250">
        <v>0.1</v>
      </c>
      <c r="H1190" s="171">
        <f t="shared" si="492"/>
        <v>0.1</v>
      </c>
      <c r="I1190" s="249">
        <f t="shared" si="493"/>
        <v>0</v>
      </c>
      <c r="J1190" s="170">
        <f t="shared" si="493"/>
        <v>0</v>
      </c>
      <c r="K1190" s="250"/>
      <c r="L1190" s="172">
        <f t="shared" si="486"/>
        <v>0</v>
      </c>
      <c r="M1190" s="249">
        <f t="shared" si="487"/>
        <v>0</v>
      </c>
      <c r="N1190" s="170">
        <f t="shared" si="494"/>
        <v>0</v>
      </c>
      <c r="O1190" s="250"/>
      <c r="P1190" s="172">
        <f t="shared" si="495"/>
        <v>0</v>
      </c>
      <c r="Q1190" s="251">
        <f t="shared" si="496"/>
        <v>8.1818100000000005</v>
      </c>
      <c r="R1190" s="173">
        <f t="shared" si="497"/>
        <v>8.285718987000001</v>
      </c>
      <c r="S1190" s="252">
        <v>0.9</v>
      </c>
      <c r="T1190" s="171">
        <f t="shared" si="498"/>
        <v>0.9</v>
      </c>
      <c r="U1190" s="256">
        <v>9.0908999999999995</v>
      </c>
      <c r="V1190" s="170">
        <f t="shared" si="489"/>
        <v>9.2063544300000011</v>
      </c>
      <c r="W1190" s="258">
        <v>0.1</v>
      </c>
      <c r="X1190" s="257">
        <f t="shared" si="500"/>
        <v>9.9999900000000004</v>
      </c>
      <c r="Y1190" s="170">
        <f t="shared" si="484"/>
        <v>10.126989873000001</v>
      </c>
      <c r="Z1190" s="170">
        <f>IF(Y1190=0, 0, IF(Y1190&lt;10, _xlfn.CEILING.MATH(Y1190,0.25), IF(Y1190&lt;100, _xlfn.CEILING.MATH(Y1190,0.5),IF(Y1190&lt;1000, _xlfn.CEILING.MATH(Y1190,5), IF(Y1190&lt;10000, _xlfn.CEILING.MATH(Y1190, 25), IF(Y1190&lt;100000, _xlfn.CEILING.MATH(Y1190,250), IF(Y1190&lt;1000000, _xlfn.CEILING.MATH(Y1190,500), 0)))))))</f>
        <v>10.5</v>
      </c>
      <c r="AA1190" s="407">
        <f t="shared" si="483"/>
        <v>0</v>
      </c>
      <c r="AB1190" s="194"/>
    </row>
    <row r="1191" spans="1:28" s="278" customFormat="1" x14ac:dyDescent="0.25">
      <c r="A1191" s="200">
        <v>808005</v>
      </c>
      <c r="B1191" s="313" t="s">
        <v>14799</v>
      </c>
      <c r="C1191" s="248"/>
      <c r="D1191" s="247" t="s">
        <v>11</v>
      </c>
      <c r="E1191" s="249">
        <f t="shared" si="491"/>
        <v>0.72727000000000008</v>
      </c>
      <c r="F1191" s="170">
        <f t="shared" si="491"/>
        <v>0.73650632900000013</v>
      </c>
      <c r="G1191" s="250">
        <v>0.1</v>
      </c>
      <c r="H1191" s="171">
        <f t="shared" si="492"/>
        <v>0.1</v>
      </c>
      <c r="I1191" s="249">
        <f t="shared" si="493"/>
        <v>0</v>
      </c>
      <c r="J1191" s="170">
        <f t="shared" si="493"/>
        <v>0</v>
      </c>
      <c r="K1191" s="250"/>
      <c r="L1191" s="172">
        <f t="shared" si="486"/>
        <v>0</v>
      </c>
      <c r="M1191" s="249">
        <f t="shared" si="487"/>
        <v>0</v>
      </c>
      <c r="N1191" s="170">
        <f t="shared" si="494"/>
        <v>0</v>
      </c>
      <c r="O1191" s="250"/>
      <c r="P1191" s="172">
        <f t="shared" si="495"/>
        <v>0</v>
      </c>
      <c r="Q1191" s="251">
        <f t="shared" si="496"/>
        <v>6.5454300000000005</v>
      </c>
      <c r="R1191" s="173">
        <f t="shared" si="497"/>
        <v>6.628556961000001</v>
      </c>
      <c r="S1191" s="252">
        <v>0.9</v>
      </c>
      <c r="T1191" s="171">
        <f t="shared" si="498"/>
        <v>0.9</v>
      </c>
      <c r="U1191" s="256">
        <v>7.2727000000000004</v>
      </c>
      <c r="V1191" s="170">
        <f t="shared" si="489"/>
        <v>7.365063290000001</v>
      </c>
      <c r="W1191" s="258">
        <v>0.1</v>
      </c>
      <c r="X1191" s="257">
        <f t="shared" si="500"/>
        <v>7.9999700000000002</v>
      </c>
      <c r="Y1191" s="170">
        <f t="shared" si="484"/>
        <v>8.1015696190000011</v>
      </c>
      <c r="Z1191" s="170">
        <f>IF(Y1191=0, 0, IF(Y1191&lt;10, _xlfn.CEILING.MATH(Y1191,0.25), IF(Y1191&lt;100, _xlfn.CEILING.MATH(Y1191,1),IF(Y1191&lt;1000, _xlfn.CEILING.MATH(Y1191,5), IF(Y1191&lt;10000, _xlfn.CEILING.MATH(Y1191, 25), IF(Y1191&lt;100000, _xlfn.CEILING.MATH(Y1191,250), IF(Y1191&lt;1000000, _xlfn.CEILING.MATH(Y1191,500), 0)))))))</f>
        <v>8.25</v>
      </c>
      <c r="AA1191" s="407">
        <f t="shared" ref="AA1191:AA1220" si="501">C1191*Z1191</f>
        <v>0</v>
      </c>
      <c r="AB1191" s="194"/>
    </row>
    <row r="1192" spans="1:28" s="278" customFormat="1" ht="14.4" thickBot="1" x14ac:dyDescent="0.3">
      <c r="A1192" s="263">
        <v>808005</v>
      </c>
      <c r="B1192" s="321" t="s">
        <v>14800</v>
      </c>
      <c r="C1192" s="265"/>
      <c r="D1192" s="264" t="s">
        <v>11</v>
      </c>
      <c r="E1192" s="266">
        <f t="shared" si="491"/>
        <v>0.45455000000000001</v>
      </c>
      <c r="F1192" s="174">
        <f t="shared" si="491"/>
        <v>0.46032278500000001</v>
      </c>
      <c r="G1192" s="267">
        <v>0.1</v>
      </c>
      <c r="H1192" s="268">
        <f t="shared" si="492"/>
        <v>0.1</v>
      </c>
      <c r="I1192" s="266">
        <f t="shared" si="493"/>
        <v>0</v>
      </c>
      <c r="J1192" s="174">
        <f t="shared" si="493"/>
        <v>0</v>
      </c>
      <c r="K1192" s="267"/>
      <c r="L1192" s="269">
        <f t="shared" si="486"/>
        <v>0</v>
      </c>
      <c r="M1192" s="266">
        <f t="shared" si="487"/>
        <v>0</v>
      </c>
      <c r="N1192" s="174">
        <f t="shared" si="494"/>
        <v>0</v>
      </c>
      <c r="O1192" s="267"/>
      <c r="P1192" s="269">
        <f t="shared" si="495"/>
        <v>0</v>
      </c>
      <c r="Q1192" s="270">
        <f t="shared" si="496"/>
        <v>4.0909499999999994</v>
      </c>
      <c r="R1192" s="271">
        <f t="shared" si="497"/>
        <v>4.1429050649999999</v>
      </c>
      <c r="S1192" s="408">
        <v>0.9</v>
      </c>
      <c r="T1192" s="268">
        <f t="shared" si="498"/>
        <v>0.9</v>
      </c>
      <c r="U1192" s="409">
        <v>4.5454999999999997</v>
      </c>
      <c r="V1192" s="174">
        <f t="shared" si="489"/>
        <v>4.6032278499999997</v>
      </c>
      <c r="W1192" s="322">
        <v>0.1</v>
      </c>
      <c r="X1192" s="274">
        <f t="shared" si="500"/>
        <v>5.0000499999999999</v>
      </c>
      <c r="Y1192" s="174">
        <f t="shared" si="484"/>
        <v>5.0635506350000004</v>
      </c>
      <c r="Z1192" s="174">
        <f>IF(Y1192=0, 0, IF(Y1192&lt;10, _xlfn.CEILING.MATH(Y1192,0.25), IF(Y1192&lt;100, _xlfn.CEILING.MATH(Y1192,1),IF(Y1192&lt;1000, _xlfn.CEILING.MATH(Y1192,5), IF(Y1192&lt;10000, _xlfn.CEILING.MATH(Y1192, 25), IF(Y1192&lt;100000, _xlfn.CEILING.MATH(Y1192,250), IF(Y1192&lt;1000000, _xlfn.CEILING.MATH(Y1192,500), 0)))))))</f>
        <v>5.25</v>
      </c>
      <c r="AA1192" s="410">
        <f t="shared" si="501"/>
        <v>0</v>
      </c>
      <c r="AB1192" s="194"/>
    </row>
    <row r="1193" spans="1:28" s="278" customFormat="1" x14ac:dyDescent="0.25">
      <c r="A1193" s="195" t="s">
        <v>14801</v>
      </c>
      <c r="B1193" s="317" t="s">
        <v>14802</v>
      </c>
      <c r="C1193" s="241"/>
      <c r="D1193" s="242"/>
      <c r="E1193" s="243"/>
      <c r="F1193" s="244"/>
      <c r="G1193" s="245"/>
      <c r="H1193" s="246"/>
      <c r="I1193" s="243"/>
      <c r="J1193" s="244"/>
      <c r="K1193" s="245"/>
      <c r="L1193" s="246"/>
      <c r="M1193" s="243"/>
      <c r="N1193" s="244"/>
      <c r="O1193" s="245"/>
      <c r="P1193" s="246"/>
      <c r="Q1193" s="243"/>
      <c r="R1193" s="244"/>
      <c r="S1193" s="245"/>
      <c r="T1193" s="246"/>
      <c r="U1193" s="246"/>
      <c r="V1193" s="246"/>
      <c r="W1193" s="246"/>
      <c r="X1193" s="246"/>
      <c r="Y1193" s="244"/>
      <c r="Z1193" s="244"/>
      <c r="AA1193" s="406"/>
      <c r="AB1193" s="194"/>
    </row>
    <row r="1194" spans="1:28" s="278" customFormat="1" x14ac:dyDescent="0.25">
      <c r="A1194" s="200">
        <v>811005</v>
      </c>
      <c r="B1194" s="313" t="s">
        <v>19804</v>
      </c>
      <c r="C1194" s="248"/>
      <c r="D1194" s="247" t="s">
        <v>2</v>
      </c>
      <c r="E1194" s="249">
        <f t="shared" si="491"/>
        <v>5.4545500000000002</v>
      </c>
      <c r="F1194" s="170">
        <f t="shared" si="491"/>
        <v>5.5238227850000001</v>
      </c>
      <c r="G1194" s="250">
        <v>0.1</v>
      </c>
      <c r="H1194" s="171">
        <f t="shared" si="492"/>
        <v>0.1</v>
      </c>
      <c r="I1194" s="249">
        <f t="shared" si="493"/>
        <v>0</v>
      </c>
      <c r="J1194" s="170">
        <f t="shared" si="493"/>
        <v>0</v>
      </c>
      <c r="K1194" s="252"/>
      <c r="L1194" s="172">
        <f t="shared" si="486"/>
        <v>0</v>
      </c>
      <c r="M1194" s="249">
        <f t="shared" si="487"/>
        <v>0</v>
      </c>
      <c r="N1194" s="170">
        <f t="shared" si="494"/>
        <v>0</v>
      </c>
      <c r="O1194" s="252"/>
      <c r="P1194" s="172">
        <f t="shared" si="495"/>
        <v>0</v>
      </c>
      <c r="Q1194" s="251">
        <f t="shared" si="496"/>
        <v>49.090949999999999</v>
      </c>
      <c r="R1194" s="173">
        <f t="shared" si="497"/>
        <v>49.714405065000001</v>
      </c>
      <c r="S1194" s="250">
        <v>0.9</v>
      </c>
      <c r="T1194" s="171">
        <f t="shared" si="498"/>
        <v>0.9</v>
      </c>
      <c r="U1194" s="256">
        <v>54.545499999999997</v>
      </c>
      <c r="V1194" s="170">
        <f t="shared" si="489"/>
        <v>55.238227850000001</v>
      </c>
      <c r="W1194" s="258">
        <v>0.1</v>
      </c>
      <c r="X1194" s="257">
        <f t="shared" ref="X1194:X1201" si="502">U1194+U1194*W1194</f>
        <v>60.000049999999995</v>
      </c>
      <c r="Y1194" s="170">
        <f t="shared" ref="Y1194:Y1252" si="503">IF(V1194*(W1194+1)=0,X1194,V1194*(W1194+1))</f>
        <v>60.762050635000008</v>
      </c>
      <c r="Z1194" s="170">
        <f t="shared" si="488"/>
        <v>61</v>
      </c>
      <c r="AA1194" s="407">
        <f t="shared" si="501"/>
        <v>0</v>
      </c>
      <c r="AB1194" s="194"/>
    </row>
    <row r="1195" spans="1:28" s="278" customFormat="1" x14ac:dyDescent="0.25">
      <c r="A1195" s="200">
        <v>811005</v>
      </c>
      <c r="B1195" s="313" t="s">
        <v>19805</v>
      </c>
      <c r="C1195" s="248"/>
      <c r="D1195" s="247" t="s">
        <v>2</v>
      </c>
      <c r="E1195" s="249">
        <f t="shared" si="491"/>
        <v>4.09091</v>
      </c>
      <c r="F1195" s="170">
        <f t="shared" si="491"/>
        <v>4.1428645570000011</v>
      </c>
      <c r="G1195" s="252">
        <v>0.1</v>
      </c>
      <c r="H1195" s="171">
        <f t="shared" si="492"/>
        <v>0.1</v>
      </c>
      <c r="I1195" s="249">
        <f t="shared" si="493"/>
        <v>0</v>
      </c>
      <c r="J1195" s="170">
        <f t="shared" si="493"/>
        <v>0</v>
      </c>
      <c r="K1195" s="252"/>
      <c r="L1195" s="172">
        <f t="shared" si="486"/>
        <v>0</v>
      </c>
      <c r="M1195" s="249">
        <f t="shared" si="487"/>
        <v>0</v>
      </c>
      <c r="N1195" s="170">
        <f t="shared" si="494"/>
        <v>0</v>
      </c>
      <c r="O1195" s="252"/>
      <c r="P1195" s="172">
        <f t="shared" si="495"/>
        <v>0</v>
      </c>
      <c r="Q1195" s="251">
        <f t="shared" si="496"/>
        <v>36.818190000000001</v>
      </c>
      <c r="R1195" s="173">
        <f t="shared" si="497"/>
        <v>37.285781013000005</v>
      </c>
      <c r="S1195" s="250">
        <v>0.9</v>
      </c>
      <c r="T1195" s="171">
        <f t="shared" si="498"/>
        <v>0.9</v>
      </c>
      <c r="U1195" s="256">
        <v>40.909100000000002</v>
      </c>
      <c r="V1195" s="170">
        <f t="shared" si="489"/>
        <v>41.428645570000008</v>
      </c>
      <c r="W1195" s="258">
        <v>0.1</v>
      </c>
      <c r="X1195" s="257">
        <f t="shared" si="502"/>
        <v>45.000010000000003</v>
      </c>
      <c r="Y1195" s="170">
        <f t="shared" si="503"/>
        <v>45.57151012700001</v>
      </c>
      <c r="Z1195" s="170">
        <f t="shared" si="488"/>
        <v>46</v>
      </c>
      <c r="AA1195" s="407">
        <f t="shared" si="501"/>
        <v>0</v>
      </c>
      <c r="AB1195" s="194"/>
    </row>
    <row r="1196" spans="1:28" s="278" customFormat="1" x14ac:dyDescent="0.25">
      <c r="A1196" s="200">
        <v>811025</v>
      </c>
      <c r="B1196" s="313" t="s">
        <v>19806</v>
      </c>
      <c r="C1196" s="248"/>
      <c r="D1196" s="247" t="s">
        <v>2</v>
      </c>
      <c r="E1196" s="249">
        <f t="shared" si="491"/>
        <v>4.5454500000000007</v>
      </c>
      <c r="F1196" s="170">
        <f t="shared" si="491"/>
        <v>4.6031772150000005</v>
      </c>
      <c r="G1196" s="250">
        <v>0.1</v>
      </c>
      <c r="H1196" s="171">
        <f t="shared" si="492"/>
        <v>0.1</v>
      </c>
      <c r="I1196" s="249">
        <f t="shared" si="493"/>
        <v>0</v>
      </c>
      <c r="J1196" s="170">
        <f t="shared" si="493"/>
        <v>0</v>
      </c>
      <c r="K1196" s="252"/>
      <c r="L1196" s="172">
        <f t="shared" si="486"/>
        <v>0</v>
      </c>
      <c r="M1196" s="249">
        <f t="shared" si="487"/>
        <v>0</v>
      </c>
      <c r="N1196" s="170">
        <f t="shared" si="494"/>
        <v>0</v>
      </c>
      <c r="O1196" s="252"/>
      <c r="P1196" s="172">
        <f t="shared" si="495"/>
        <v>0</v>
      </c>
      <c r="Q1196" s="251">
        <f t="shared" si="496"/>
        <v>40.909050000000001</v>
      </c>
      <c r="R1196" s="173">
        <f t="shared" si="497"/>
        <v>41.428594935</v>
      </c>
      <c r="S1196" s="250">
        <v>0.9</v>
      </c>
      <c r="T1196" s="171">
        <f t="shared" si="498"/>
        <v>0.9</v>
      </c>
      <c r="U1196" s="256">
        <v>45.454500000000003</v>
      </c>
      <c r="V1196" s="170">
        <f t="shared" si="489"/>
        <v>46.031772150000002</v>
      </c>
      <c r="W1196" s="258">
        <v>0.1</v>
      </c>
      <c r="X1196" s="257">
        <f t="shared" si="502"/>
        <v>49.999950000000005</v>
      </c>
      <c r="Y1196" s="170">
        <f t="shared" si="503"/>
        <v>50.634949365000004</v>
      </c>
      <c r="Z1196" s="170">
        <f t="shared" si="488"/>
        <v>51</v>
      </c>
      <c r="AA1196" s="407">
        <f t="shared" si="501"/>
        <v>0</v>
      </c>
      <c r="AB1196" s="194"/>
    </row>
    <row r="1197" spans="1:28" s="278" customFormat="1" x14ac:dyDescent="0.25">
      <c r="A1197" s="200">
        <v>811025</v>
      </c>
      <c r="B1197" s="313" t="s">
        <v>19807</v>
      </c>
      <c r="C1197" s="248"/>
      <c r="D1197" s="247" t="s">
        <v>2</v>
      </c>
      <c r="E1197" s="249">
        <f t="shared" si="491"/>
        <v>3.8181800000000004</v>
      </c>
      <c r="F1197" s="170">
        <f t="shared" si="491"/>
        <v>3.866670886000001</v>
      </c>
      <c r="G1197" s="250">
        <v>0.1</v>
      </c>
      <c r="H1197" s="171">
        <f t="shared" si="492"/>
        <v>0.1</v>
      </c>
      <c r="I1197" s="249">
        <f t="shared" si="493"/>
        <v>0</v>
      </c>
      <c r="J1197" s="170">
        <f t="shared" si="493"/>
        <v>0</v>
      </c>
      <c r="K1197" s="252"/>
      <c r="L1197" s="172">
        <f t="shared" si="486"/>
        <v>0</v>
      </c>
      <c r="M1197" s="249">
        <f t="shared" si="487"/>
        <v>0</v>
      </c>
      <c r="N1197" s="170">
        <f t="shared" si="494"/>
        <v>0</v>
      </c>
      <c r="O1197" s="252"/>
      <c r="P1197" s="172">
        <f t="shared" si="495"/>
        <v>0</v>
      </c>
      <c r="Q1197" s="251">
        <f t="shared" si="496"/>
        <v>34.363620000000004</v>
      </c>
      <c r="R1197" s="173">
        <f t="shared" si="497"/>
        <v>34.800037974000006</v>
      </c>
      <c r="S1197" s="250">
        <v>0.9</v>
      </c>
      <c r="T1197" s="171">
        <f t="shared" si="498"/>
        <v>0.9</v>
      </c>
      <c r="U1197" s="256">
        <v>38.181800000000003</v>
      </c>
      <c r="V1197" s="170">
        <f t="shared" si="489"/>
        <v>38.666708860000007</v>
      </c>
      <c r="W1197" s="258">
        <v>0.1</v>
      </c>
      <c r="X1197" s="257">
        <f t="shared" si="502"/>
        <v>41.999980000000001</v>
      </c>
      <c r="Y1197" s="170">
        <f t="shared" si="503"/>
        <v>42.533379746000008</v>
      </c>
      <c r="Z1197" s="170">
        <f t="shared" si="488"/>
        <v>43</v>
      </c>
      <c r="AA1197" s="407">
        <f t="shared" si="501"/>
        <v>0</v>
      </c>
      <c r="AB1197" s="194"/>
    </row>
    <row r="1198" spans="1:28" s="278" customFormat="1" x14ac:dyDescent="0.25">
      <c r="A1198" s="200">
        <v>811070</v>
      </c>
      <c r="B1198" s="313" t="s">
        <v>14803</v>
      </c>
      <c r="C1198" s="248"/>
      <c r="D1198" s="247" t="s">
        <v>2</v>
      </c>
      <c r="E1198" s="249">
        <f t="shared" si="491"/>
        <v>4.5454500000000007</v>
      </c>
      <c r="F1198" s="170">
        <f t="shared" si="491"/>
        <v>4.6031772150000005</v>
      </c>
      <c r="G1198" s="250">
        <v>0.1</v>
      </c>
      <c r="H1198" s="171">
        <f t="shared" si="492"/>
        <v>0.1</v>
      </c>
      <c r="I1198" s="249">
        <f t="shared" si="493"/>
        <v>0</v>
      </c>
      <c r="J1198" s="170">
        <f t="shared" si="493"/>
        <v>0</v>
      </c>
      <c r="K1198" s="252"/>
      <c r="L1198" s="172">
        <f t="shared" si="486"/>
        <v>0</v>
      </c>
      <c r="M1198" s="249">
        <f t="shared" si="487"/>
        <v>0</v>
      </c>
      <c r="N1198" s="170">
        <f t="shared" si="494"/>
        <v>0</v>
      </c>
      <c r="O1198" s="252"/>
      <c r="P1198" s="172">
        <f t="shared" si="495"/>
        <v>0</v>
      </c>
      <c r="Q1198" s="251">
        <f t="shared" si="496"/>
        <v>40.909050000000001</v>
      </c>
      <c r="R1198" s="173">
        <f t="shared" si="497"/>
        <v>41.428594935</v>
      </c>
      <c r="S1198" s="250">
        <v>0.9</v>
      </c>
      <c r="T1198" s="171">
        <f t="shared" si="498"/>
        <v>0.9</v>
      </c>
      <c r="U1198" s="256">
        <v>45.454500000000003</v>
      </c>
      <c r="V1198" s="170">
        <f t="shared" si="489"/>
        <v>46.031772150000002</v>
      </c>
      <c r="W1198" s="258">
        <v>0.1</v>
      </c>
      <c r="X1198" s="257">
        <f t="shared" si="502"/>
        <v>49.999950000000005</v>
      </c>
      <c r="Y1198" s="170">
        <f t="shared" si="503"/>
        <v>50.634949365000004</v>
      </c>
      <c r="Z1198" s="170">
        <f t="shared" si="488"/>
        <v>51</v>
      </c>
      <c r="AA1198" s="407">
        <f t="shared" si="501"/>
        <v>0</v>
      </c>
      <c r="AB1198" s="194"/>
    </row>
    <row r="1199" spans="1:28" s="278" customFormat="1" x14ac:dyDescent="0.25">
      <c r="A1199" s="200">
        <v>811100</v>
      </c>
      <c r="B1199" s="313" t="s">
        <v>19808</v>
      </c>
      <c r="C1199" s="248"/>
      <c r="D1199" s="247" t="s">
        <v>11</v>
      </c>
      <c r="E1199" s="249">
        <f t="shared" si="491"/>
        <v>159.09091000000001</v>
      </c>
      <c r="F1199" s="170">
        <f t="shared" si="491"/>
        <v>161.11136455700003</v>
      </c>
      <c r="G1199" s="250">
        <v>0.1</v>
      </c>
      <c r="H1199" s="171">
        <f t="shared" si="492"/>
        <v>0.1</v>
      </c>
      <c r="I1199" s="249">
        <f t="shared" si="493"/>
        <v>0</v>
      </c>
      <c r="J1199" s="170">
        <f t="shared" si="493"/>
        <v>0</v>
      </c>
      <c r="K1199" s="252"/>
      <c r="L1199" s="172">
        <f t="shared" si="486"/>
        <v>0</v>
      </c>
      <c r="M1199" s="249">
        <f t="shared" si="487"/>
        <v>0</v>
      </c>
      <c r="N1199" s="170">
        <f t="shared" si="494"/>
        <v>0</v>
      </c>
      <c r="O1199" s="252"/>
      <c r="P1199" s="172">
        <f t="shared" si="495"/>
        <v>0</v>
      </c>
      <c r="Q1199" s="251">
        <f t="shared" si="496"/>
        <v>1431.8181900000002</v>
      </c>
      <c r="R1199" s="173">
        <f t="shared" si="497"/>
        <v>1450.0022810130004</v>
      </c>
      <c r="S1199" s="250">
        <v>0.9</v>
      </c>
      <c r="T1199" s="171">
        <f t="shared" si="498"/>
        <v>0.9</v>
      </c>
      <c r="U1199" s="256">
        <v>1590.9091000000001</v>
      </c>
      <c r="V1199" s="170">
        <f t="shared" si="489"/>
        <v>1611.1136455700002</v>
      </c>
      <c r="W1199" s="258">
        <v>0.1</v>
      </c>
      <c r="X1199" s="257">
        <f t="shared" si="502"/>
        <v>1750.0000100000002</v>
      </c>
      <c r="Y1199" s="170">
        <f t="shared" si="503"/>
        <v>1772.2250101270004</v>
      </c>
      <c r="Z1199" s="170">
        <f t="shared" si="488"/>
        <v>1775</v>
      </c>
      <c r="AA1199" s="407">
        <f t="shared" si="501"/>
        <v>0</v>
      </c>
      <c r="AB1199" s="194"/>
    </row>
    <row r="1200" spans="1:28" s="278" customFormat="1" x14ac:dyDescent="0.25">
      <c r="A1200" s="200">
        <v>811100</v>
      </c>
      <c r="B1200" s="313" t="s">
        <v>19809</v>
      </c>
      <c r="C1200" s="248"/>
      <c r="D1200" s="247" t="s">
        <v>11</v>
      </c>
      <c r="E1200" s="249">
        <f t="shared" si="491"/>
        <v>136.36364</v>
      </c>
      <c r="F1200" s="170">
        <f t="shared" si="491"/>
        <v>138.09545822800004</v>
      </c>
      <c r="G1200" s="250">
        <v>0.1</v>
      </c>
      <c r="H1200" s="171">
        <f t="shared" si="492"/>
        <v>0.1</v>
      </c>
      <c r="I1200" s="249">
        <f t="shared" si="493"/>
        <v>0</v>
      </c>
      <c r="J1200" s="170">
        <f t="shared" si="493"/>
        <v>0</v>
      </c>
      <c r="K1200" s="252"/>
      <c r="L1200" s="172">
        <f t="shared" si="486"/>
        <v>0</v>
      </c>
      <c r="M1200" s="249">
        <f t="shared" si="487"/>
        <v>0</v>
      </c>
      <c r="N1200" s="170">
        <f t="shared" si="494"/>
        <v>0</v>
      </c>
      <c r="O1200" s="252"/>
      <c r="P1200" s="172">
        <f t="shared" si="495"/>
        <v>0</v>
      </c>
      <c r="Q1200" s="251">
        <f t="shared" si="496"/>
        <v>1227.2727600000001</v>
      </c>
      <c r="R1200" s="173">
        <f t="shared" si="497"/>
        <v>1242.8591240520002</v>
      </c>
      <c r="S1200" s="250">
        <v>0.9</v>
      </c>
      <c r="T1200" s="171">
        <f t="shared" si="498"/>
        <v>0.9</v>
      </c>
      <c r="U1200" s="256">
        <v>1363.6364000000001</v>
      </c>
      <c r="V1200" s="170">
        <f t="shared" si="489"/>
        <v>1380.9545822800003</v>
      </c>
      <c r="W1200" s="258">
        <v>0.1</v>
      </c>
      <c r="X1200" s="257">
        <f t="shared" si="502"/>
        <v>1500.0000400000001</v>
      </c>
      <c r="Y1200" s="170">
        <f t="shared" si="503"/>
        <v>1519.0500405080004</v>
      </c>
      <c r="Z1200" s="170">
        <f t="shared" si="488"/>
        <v>1525</v>
      </c>
      <c r="AA1200" s="407">
        <f t="shared" si="501"/>
        <v>0</v>
      </c>
      <c r="AB1200" s="194"/>
    </row>
    <row r="1201" spans="1:28" s="278" customFormat="1" x14ac:dyDescent="0.25">
      <c r="A1201" s="200">
        <v>811120</v>
      </c>
      <c r="B1201" s="313" t="s">
        <v>14804</v>
      </c>
      <c r="C1201" s="248"/>
      <c r="D1201" s="247" t="s">
        <v>2</v>
      </c>
      <c r="E1201" s="249">
        <f t="shared" si="491"/>
        <v>0.90908999999999995</v>
      </c>
      <c r="F1201" s="170">
        <f t="shared" si="491"/>
        <v>0.92063544300000011</v>
      </c>
      <c r="G1201" s="250">
        <v>0.1</v>
      </c>
      <c r="H1201" s="171">
        <f t="shared" si="492"/>
        <v>0.1</v>
      </c>
      <c r="I1201" s="249">
        <f t="shared" si="493"/>
        <v>0</v>
      </c>
      <c r="J1201" s="170">
        <f t="shared" si="493"/>
        <v>0</v>
      </c>
      <c r="K1201" s="250"/>
      <c r="L1201" s="172">
        <f t="shared" si="486"/>
        <v>0</v>
      </c>
      <c r="M1201" s="249">
        <f t="shared" si="487"/>
        <v>0</v>
      </c>
      <c r="N1201" s="170">
        <f t="shared" si="494"/>
        <v>0</v>
      </c>
      <c r="O1201" s="250"/>
      <c r="P1201" s="172">
        <f t="shared" si="495"/>
        <v>0</v>
      </c>
      <c r="Q1201" s="251">
        <f t="shared" si="496"/>
        <v>8.1818100000000005</v>
      </c>
      <c r="R1201" s="173">
        <f t="shared" si="497"/>
        <v>8.285718987000001</v>
      </c>
      <c r="S1201" s="252">
        <v>0.9</v>
      </c>
      <c r="T1201" s="171">
        <f t="shared" si="498"/>
        <v>0.9</v>
      </c>
      <c r="U1201" s="256">
        <v>9.0908999999999995</v>
      </c>
      <c r="V1201" s="170">
        <f t="shared" si="489"/>
        <v>9.2063544300000011</v>
      </c>
      <c r="W1201" s="258">
        <v>0.1</v>
      </c>
      <c r="X1201" s="257">
        <f t="shared" si="502"/>
        <v>9.9999900000000004</v>
      </c>
      <c r="Y1201" s="170">
        <f t="shared" si="503"/>
        <v>10.126989873000001</v>
      </c>
      <c r="Z1201" s="170">
        <f>IF(Y1201=0, 0, IF(Y1201&lt;10, _xlfn.CEILING.MATH(Y1201,1), IF(Y1201&lt;100, _xlfn.CEILING.MATH(Y1201,0.5),IF(Y1201&lt;1000, _xlfn.CEILING.MATH(Y1201,5), IF(Y1201&lt;10000, _xlfn.CEILING.MATH(Y1201, 25), IF(Y1201&lt;100000, _xlfn.CEILING.MATH(Y1201,250), IF(Y1201&lt;1000000, _xlfn.CEILING.MATH(Y1201,500), 0)))))))</f>
        <v>10.5</v>
      </c>
      <c r="AA1201" s="407">
        <f t="shared" si="501"/>
        <v>0</v>
      </c>
      <c r="AB1201" s="194"/>
    </row>
    <row r="1202" spans="1:28" s="278" customFormat="1" x14ac:dyDescent="0.25">
      <c r="A1202" s="195" t="s">
        <v>14805</v>
      </c>
      <c r="B1202" s="317" t="s">
        <v>14806</v>
      </c>
      <c r="C1202" s="241"/>
      <c r="D1202" s="242"/>
      <c r="E1202" s="243"/>
      <c r="F1202" s="244"/>
      <c r="G1202" s="245"/>
      <c r="H1202" s="246"/>
      <c r="I1202" s="243"/>
      <c r="J1202" s="244"/>
      <c r="K1202" s="245"/>
      <c r="L1202" s="246"/>
      <c r="M1202" s="243"/>
      <c r="N1202" s="244"/>
      <c r="O1202" s="245"/>
      <c r="P1202" s="246"/>
      <c r="Q1202" s="243"/>
      <c r="R1202" s="244"/>
      <c r="S1202" s="245"/>
      <c r="T1202" s="246"/>
      <c r="U1202" s="246"/>
      <c r="V1202" s="246"/>
      <c r="W1202" s="246"/>
      <c r="X1202" s="246"/>
      <c r="Y1202" s="244"/>
      <c r="Z1202" s="244"/>
      <c r="AA1202" s="406"/>
      <c r="AB1202" s="194"/>
    </row>
    <row r="1203" spans="1:28" s="278" customFormat="1" x14ac:dyDescent="0.25">
      <c r="A1203" s="200">
        <v>812001</v>
      </c>
      <c r="B1203" s="313" t="s">
        <v>19810</v>
      </c>
      <c r="C1203" s="248"/>
      <c r="D1203" s="247" t="s">
        <v>2</v>
      </c>
      <c r="E1203" s="249">
        <f t="shared" si="491"/>
        <v>4.0909910000000007</v>
      </c>
      <c r="F1203" s="170">
        <f t="shared" si="491"/>
        <v>4.1429465857000007</v>
      </c>
      <c r="G1203" s="250">
        <v>0.1</v>
      </c>
      <c r="H1203" s="171">
        <f t="shared" si="492"/>
        <v>0.1</v>
      </c>
      <c r="I1203" s="249">
        <f t="shared" si="493"/>
        <v>0</v>
      </c>
      <c r="J1203" s="170">
        <f t="shared" si="493"/>
        <v>0</v>
      </c>
      <c r="K1203" s="252"/>
      <c r="L1203" s="172">
        <f t="shared" si="486"/>
        <v>0</v>
      </c>
      <c r="M1203" s="249">
        <f t="shared" si="487"/>
        <v>0</v>
      </c>
      <c r="N1203" s="170">
        <f t="shared" si="494"/>
        <v>0</v>
      </c>
      <c r="O1203" s="252"/>
      <c r="P1203" s="172">
        <f t="shared" si="495"/>
        <v>0</v>
      </c>
      <c r="Q1203" s="251">
        <f t="shared" si="496"/>
        <v>36.818919000000001</v>
      </c>
      <c r="R1203" s="173">
        <f t="shared" si="497"/>
        <v>37.286519271300001</v>
      </c>
      <c r="S1203" s="250">
        <v>0.9</v>
      </c>
      <c r="T1203" s="171">
        <f t="shared" si="498"/>
        <v>0.9</v>
      </c>
      <c r="U1203" s="256">
        <v>40.909910000000004</v>
      </c>
      <c r="V1203" s="170">
        <f t="shared" si="489"/>
        <v>41.429465857000004</v>
      </c>
      <c r="W1203" s="258">
        <v>0.1</v>
      </c>
      <c r="X1203" s="257">
        <f t="shared" ref="X1203:X1220" si="504">U1203+U1203*W1203</f>
        <v>45.000901000000006</v>
      </c>
      <c r="Y1203" s="170">
        <f t="shared" si="503"/>
        <v>45.572412442700006</v>
      </c>
      <c r="Z1203" s="170">
        <f t="shared" ref="Z1203:Z1265" si="505">IF(Y1203=0, 0, IF(Y1203&lt;10, _xlfn.CEILING.MATH(Y1203,1), IF(Y1203&lt;100, _xlfn.CEILING.MATH(Y1203,1),IF(Y1203&lt;1000, _xlfn.CEILING.MATH(Y1203,5), IF(Y1203&lt;10000, _xlfn.CEILING.MATH(Y1203, 25), IF(Y1203&lt;100000, _xlfn.CEILING.MATH(Y1203,250), IF(Y1203&lt;1000000, _xlfn.CEILING.MATH(Y1203,500), 0)))))))</f>
        <v>46</v>
      </c>
      <c r="AA1203" s="407">
        <f t="shared" si="501"/>
        <v>0</v>
      </c>
      <c r="AB1203" s="194"/>
    </row>
    <row r="1204" spans="1:28" s="278" customFormat="1" x14ac:dyDescent="0.25">
      <c r="A1204" s="200">
        <v>812001</v>
      </c>
      <c r="B1204" s="313" t="s">
        <v>19811</v>
      </c>
      <c r="C1204" s="248"/>
      <c r="D1204" s="247" t="s">
        <v>2</v>
      </c>
      <c r="E1204" s="249">
        <f t="shared" si="491"/>
        <v>2.7272700000000003</v>
      </c>
      <c r="F1204" s="170">
        <f t="shared" si="491"/>
        <v>2.7619063290000003</v>
      </c>
      <c r="G1204" s="250">
        <v>0.1</v>
      </c>
      <c r="H1204" s="171">
        <f t="shared" si="492"/>
        <v>0.1</v>
      </c>
      <c r="I1204" s="249">
        <f t="shared" si="493"/>
        <v>0</v>
      </c>
      <c r="J1204" s="170">
        <f t="shared" si="493"/>
        <v>0</v>
      </c>
      <c r="K1204" s="252"/>
      <c r="L1204" s="172">
        <f t="shared" si="486"/>
        <v>0</v>
      </c>
      <c r="M1204" s="249">
        <f t="shared" si="487"/>
        <v>0</v>
      </c>
      <c r="N1204" s="170">
        <f t="shared" si="494"/>
        <v>0</v>
      </c>
      <c r="O1204" s="252"/>
      <c r="P1204" s="172">
        <f t="shared" si="495"/>
        <v>0</v>
      </c>
      <c r="Q1204" s="251">
        <f t="shared" si="496"/>
        <v>24.54543</v>
      </c>
      <c r="R1204" s="173">
        <f t="shared" si="497"/>
        <v>24.857156961000001</v>
      </c>
      <c r="S1204" s="250">
        <v>0.9</v>
      </c>
      <c r="T1204" s="171">
        <f t="shared" si="498"/>
        <v>0.9</v>
      </c>
      <c r="U1204" s="256">
        <v>27.2727</v>
      </c>
      <c r="V1204" s="170">
        <f t="shared" si="489"/>
        <v>27.61906329</v>
      </c>
      <c r="W1204" s="258">
        <v>0.1</v>
      </c>
      <c r="X1204" s="257">
        <f t="shared" si="504"/>
        <v>29.999970000000001</v>
      </c>
      <c r="Y1204" s="170">
        <f t="shared" si="503"/>
        <v>30.380969619000002</v>
      </c>
      <c r="Z1204" s="170">
        <f t="shared" si="505"/>
        <v>31</v>
      </c>
      <c r="AA1204" s="407">
        <f t="shared" si="501"/>
        <v>0</v>
      </c>
      <c r="AB1204" s="194"/>
    </row>
    <row r="1205" spans="1:28" s="278" customFormat="1" x14ac:dyDescent="0.25">
      <c r="A1205" s="200">
        <v>812003</v>
      </c>
      <c r="B1205" s="313" t="s">
        <v>19812</v>
      </c>
      <c r="C1205" s="248"/>
      <c r="D1205" s="247" t="s">
        <v>2</v>
      </c>
      <c r="E1205" s="249">
        <f t="shared" si="491"/>
        <v>4.2727300000000001</v>
      </c>
      <c r="F1205" s="170">
        <f t="shared" si="491"/>
        <v>4.3269936710000012</v>
      </c>
      <c r="G1205" s="250">
        <v>0.1</v>
      </c>
      <c r="H1205" s="171">
        <f t="shared" si="492"/>
        <v>0.1</v>
      </c>
      <c r="I1205" s="249">
        <f t="shared" si="493"/>
        <v>0</v>
      </c>
      <c r="J1205" s="170">
        <f t="shared" si="493"/>
        <v>0</v>
      </c>
      <c r="K1205" s="252"/>
      <c r="L1205" s="172">
        <f t="shared" si="486"/>
        <v>0</v>
      </c>
      <c r="M1205" s="249">
        <f t="shared" si="487"/>
        <v>0</v>
      </c>
      <c r="N1205" s="170">
        <f t="shared" si="494"/>
        <v>0</v>
      </c>
      <c r="O1205" s="252"/>
      <c r="P1205" s="172">
        <f t="shared" si="495"/>
        <v>0</v>
      </c>
      <c r="Q1205" s="251">
        <f t="shared" si="496"/>
        <v>38.454570000000004</v>
      </c>
      <c r="R1205" s="173">
        <f t="shared" si="497"/>
        <v>38.942943039000014</v>
      </c>
      <c r="S1205" s="250">
        <v>0.9</v>
      </c>
      <c r="T1205" s="171">
        <f t="shared" si="498"/>
        <v>0.9</v>
      </c>
      <c r="U1205" s="256">
        <v>42.7273</v>
      </c>
      <c r="V1205" s="170">
        <f t="shared" si="489"/>
        <v>43.26993671000001</v>
      </c>
      <c r="W1205" s="258">
        <v>0.1</v>
      </c>
      <c r="X1205" s="257">
        <f t="shared" si="504"/>
        <v>47.000030000000002</v>
      </c>
      <c r="Y1205" s="170">
        <f t="shared" si="503"/>
        <v>47.596930381000014</v>
      </c>
      <c r="Z1205" s="170">
        <f t="shared" si="505"/>
        <v>48</v>
      </c>
      <c r="AA1205" s="407">
        <f t="shared" si="501"/>
        <v>0</v>
      </c>
      <c r="AB1205" s="194"/>
    </row>
    <row r="1206" spans="1:28" s="278" customFormat="1" x14ac:dyDescent="0.25">
      <c r="A1206" s="200">
        <v>812003</v>
      </c>
      <c r="B1206" s="313" t="s">
        <v>19813</v>
      </c>
      <c r="C1206" s="248"/>
      <c r="D1206" s="247" t="s">
        <v>2</v>
      </c>
      <c r="E1206" s="249">
        <f t="shared" si="491"/>
        <v>2.7272700000000003</v>
      </c>
      <c r="F1206" s="170">
        <f t="shared" si="491"/>
        <v>2.7619063290000003</v>
      </c>
      <c r="G1206" s="250">
        <v>0.1</v>
      </c>
      <c r="H1206" s="171">
        <f t="shared" si="492"/>
        <v>0.1</v>
      </c>
      <c r="I1206" s="249">
        <f t="shared" si="493"/>
        <v>0</v>
      </c>
      <c r="J1206" s="170">
        <f t="shared" si="493"/>
        <v>0</v>
      </c>
      <c r="K1206" s="252"/>
      <c r="L1206" s="172">
        <f t="shared" si="486"/>
        <v>0</v>
      </c>
      <c r="M1206" s="249">
        <f t="shared" si="487"/>
        <v>0</v>
      </c>
      <c r="N1206" s="170">
        <f t="shared" si="494"/>
        <v>0</v>
      </c>
      <c r="O1206" s="252"/>
      <c r="P1206" s="172">
        <f t="shared" si="495"/>
        <v>0</v>
      </c>
      <c r="Q1206" s="251">
        <f t="shared" si="496"/>
        <v>24.54543</v>
      </c>
      <c r="R1206" s="173">
        <f t="shared" si="497"/>
        <v>24.857156961000001</v>
      </c>
      <c r="S1206" s="250">
        <v>0.9</v>
      </c>
      <c r="T1206" s="171">
        <f t="shared" si="498"/>
        <v>0.9</v>
      </c>
      <c r="U1206" s="256">
        <v>27.2727</v>
      </c>
      <c r="V1206" s="170">
        <f t="shared" si="489"/>
        <v>27.61906329</v>
      </c>
      <c r="W1206" s="258">
        <v>0.1</v>
      </c>
      <c r="X1206" s="257">
        <f t="shared" si="504"/>
        <v>29.999970000000001</v>
      </c>
      <c r="Y1206" s="170">
        <f t="shared" si="503"/>
        <v>30.380969619000002</v>
      </c>
      <c r="Z1206" s="170">
        <f t="shared" si="505"/>
        <v>31</v>
      </c>
      <c r="AA1206" s="407">
        <f t="shared" si="501"/>
        <v>0</v>
      </c>
      <c r="AB1206" s="194"/>
    </row>
    <row r="1207" spans="1:28" s="278" customFormat="1" x14ac:dyDescent="0.25">
      <c r="A1207" s="200">
        <v>812004</v>
      </c>
      <c r="B1207" s="313" t="s">
        <v>19814</v>
      </c>
      <c r="C1207" s="248"/>
      <c r="D1207" s="247" t="s">
        <v>2</v>
      </c>
      <c r="E1207" s="249">
        <f t="shared" si="491"/>
        <v>4.5454500000000007</v>
      </c>
      <c r="F1207" s="170">
        <f t="shared" si="491"/>
        <v>4.6031772150000005</v>
      </c>
      <c r="G1207" s="250">
        <v>0.1</v>
      </c>
      <c r="H1207" s="171">
        <f t="shared" si="492"/>
        <v>0.1</v>
      </c>
      <c r="I1207" s="249">
        <f t="shared" si="493"/>
        <v>0</v>
      </c>
      <c r="J1207" s="170">
        <f t="shared" si="493"/>
        <v>0</v>
      </c>
      <c r="K1207" s="252"/>
      <c r="L1207" s="172">
        <f t="shared" si="486"/>
        <v>0</v>
      </c>
      <c r="M1207" s="249">
        <f t="shared" si="487"/>
        <v>0</v>
      </c>
      <c r="N1207" s="170">
        <f t="shared" si="494"/>
        <v>0</v>
      </c>
      <c r="O1207" s="252"/>
      <c r="P1207" s="172">
        <f t="shared" si="495"/>
        <v>0</v>
      </c>
      <c r="Q1207" s="251">
        <f t="shared" si="496"/>
        <v>40.909050000000001</v>
      </c>
      <c r="R1207" s="173">
        <f t="shared" si="497"/>
        <v>41.428594935</v>
      </c>
      <c r="S1207" s="250">
        <v>0.9</v>
      </c>
      <c r="T1207" s="171">
        <f t="shared" si="498"/>
        <v>0.9</v>
      </c>
      <c r="U1207" s="256">
        <v>45.454500000000003</v>
      </c>
      <c r="V1207" s="170">
        <f t="shared" si="489"/>
        <v>46.031772150000002</v>
      </c>
      <c r="W1207" s="258">
        <v>0.1</v>
      </c>
      <c r="X1207" s="257">
        <f t="shared" si="504"/>
        <v>49.999950000000005</v>
      </c>
      <c r="Y1207" s="170">
        <f t="shared" si="503"/>
        <v>50.634949365000004</v>
      </c>
      <c r="Z1207" s="170">
        <f t="shared" si="505"/>
        <v>51</v>
      </c>
      <c r="AA1207" s="407">
        <f t="shared" si="501"/>
        <v>0</v>
      </c>
      <c r="AB1207" s="194"/>
    </row>
    <row r="1208" spans="1:28" s="278" customFormat="1" x14ac:dyDescent="0.25">
      <c r="A1208" s="200">
        <v>812004</v>
      </c>
      <c r="B1208" s="313" t="s">
        <v>19815</v>
      </c>
      <c r="C1208" s="248"/>
      <c r="D1208" s="247" t="s">
        <v>2</v>
      </c>
      <c r="E1208" s="249">
        <f t="shared" si="491"/>
        <v>2.7270000000000003</v>
      </c>
      <c r="F1208" s="170">
        <f t="shared" si="491"/>
        <v>2.7616329000000004</v>
      </c>
      <c r="G1208" s="250">
        <v>0.1</v>
      </c>
      <c r="H1208" s="171">
        <f t="shared" si="492"/>
        <v>0.1</v>
      </c>
      <c r="I1208" s="249">
        <f t="shared" si="493"/>
        <v>0</v>
      </c>
      <c r="J1208" s="170">
        <f t="shared" si="493"/>
        <v>0</v>
      </c>
      <c r="K1208" s="252"/>
      <c r="L1208" s="172">
        <f t="shared" si="486"/>
        <v>0</v>
      </c>
      <c r="M1208" s="249">
        <f t="shared" si="487"/>
        <v>0</v>
      </c>
      <c r="N1208" s="170">
        <f t="shared" si="494"/>
        <v>0</v>
      </c>
      <c r="O1208" s="252"/>
      <c r="P1208" s="172">
        <f t="shared" si="495"/>
        <v>0</v>
      </c>
      <c r="Q1208" s="251">
        <f t="shared" si="496"/>
        <v>24.542999999999999</v>
      </c>
      <c r="R1208" s="173">
        <f t="shared" si="497"/>
        <v>24.854696100000002</v>
      </c>
      <c r="S1208" s="250">
        <v>0.9</v>
      </c>
      <c r="T1208" s="171">
        <f t="shared" si="498"/>
        <v>0.9</v>
      </c>
      <c r="U1208" s="256">
        <v>27.27</v>
      </c>
      <c r="V1208" s="170">
        <f t="shared" si="489"/>
        <v>27.616329</v>
      </c>
      <c r="W1208" s="258">
        <v>0.1</v>
      </c>
      <c r="X1208" s="257">
        <f t="shared" si="504"/>
        <v>29.997</v>
      </c>
      <c r="Y1208" s="170">
        <f t="shared" si="503"/>
        <v>30.377961900000003</v>
      </c>
      <c r="Z1208" s="170">
        <f t="shared" si="505"/>
        <v>31</v>
      </c>
      <c r="AA1208" s="407">
        <f t="shared" si="501"/>
        <v>0</v>
      </c>
      <c r="AB1208" s="194"/>
    </row>
    <row r="1209" spans="1:28" s="278" customFormat="1" x14ac:dyDescent="0.25">
      <c r="A1209" s="200">
        <v>812006</v>
      </c>
      <c r="B1209" s="313" t="s">
        <v>19816</v>
      </c>
      <c r="C1209" s="248"/>
      <c r="D1209" s="247" t="s">
        <v>2</v>
      </c>
      <c r="E1209" s="249">
        <f t="shared" si="491"/>
        <v>5</v>
      </c>
      <c r="F1209" s="170">
        <f t="shared" si="491"/>
        <v>5.0635000000000012</v>
      </c>
      <c r="G1209" s="250">
        <v>0.1</v>
      </c>
      <c r="H1209" s="171">
        <f t="shared" si="492"/>
        <v>0.1</v>
      </c>
      <c r="I1209" s="249">
        <f t="shared" si="493"/>
        <v>0</v>
      </c>
      <c r="J1209" s="170">
        <f t="shared" si="493"/>
        <v>0</v>
      </c>
      <c r="K1209" s="252"/>
      <c r="L1209" s="172">
        <f t="shared" si="486"/>
        <v>0</v>
      </c>
      <c r="M1209" s="249">
        <f t="shared" si="487"/>
        <v>0</v>
      </c>
      <c r="N1209" s="170">
        <f t="shared" si="494"/>
        <v>0</v>
      </c>
      <c r="O1209" s="252"/>
      <c r="P1209" s="172">
        <f t="shared" si="495"/>
        <v>0</v>
      </c>
      <c r="Q1209" s="251">
        <f t="shared" si="496"/>
        <v>45</v>
      </c>
      <c r="R1209" s="173">
        <f t="shared" si="497"/>
        <v>45.571500000000007</v>
      </c>
      <c r="S1209" s="250">
        <v>0.9</v>
      </c>
      <c r="T1209" s="171">
        <f t="shared" si="498"/>
        <v>0.9</v>
      </c>
      <c r="U1209" s="256">
        <v>50</v>
      </c>
      <c r="V1209" s="170">
        <f t="shared" si="489"/>
        <v>50.635000000000005</v>
      </c>
      <c r="W1209" s="258">
        <v>0.1</v>
      </c>
      <c r="X1209" s="257">
        <f t="shared" si="504"/>
        <v>55</v>
      </c>
      <c r="Y1209" s="170">
        <f t="shared" si="503"/>
        <v>55.69850000000001</v>
      </c>
      <c r="Z1209" s="170">
        <f t="shared" si="505"/>
        <v>56</v>
      </c>
      <c r="AA1209" s="407">
        <f t="shared" si="501"/>
        <v>0</v>
      </c>
      <c r="AB1209" s="194"/>
    </row>
    <row r="1210" spans="1:28" s="278" customFormat="1" x14ac:dyDescent="0.25">
      <c r="A1210" s="200">
        <v>812006</v>
      </c>
      <c r="B1210" s="313" t="s">
        <v>19817</v>
      </c>
      <c r="C1210" s="248"/>
      <c r="D1210" s="247" t="s">
        <v>2</v>
      </c>
      <c r="E1210" s="249">
        <f t="shared" si="491"/>
        <v>2.7270000000000003</v>
      </c>
      <c r="F1210" s="170">
        <f t="shared" si="491"/>
        <v>2.7616329000000004</v>
      </c>
      <c r="G1210" s="250">
        <v>0.1</v>
      </c>
      <c r="H1210" s="171">
        <f t="shared" si="492"/>
        <v>0.1</v>
      </c>
      <c r="I1210" s="249">
        <f t="shared" si="493"/>
        <v>0</v>
      </c>
      <c r="J1210" s="170">
        <f t="shared" si="493"/>
        <v>0</v>
      </c>
      <c r="K1210" s="252"/>
      <c r="L1210" s="172">
        <f t="shared" si="486"/>
        <v>0</v>
      </c>
      <c r="M1210" s="249">
        <f t="shared" si="487"/>
        <v>0</v>
      </c>
      <c r="N1210" s="170">
        <f t="shared" si="494"/>
        <v>0</v>
      </c>
      <c r="O1210" s="252"/>
      <c r="P1210" s="172">
        <f t="shared" si="495"/>
        <v>0</v>
      </c>
      <c r="Q1210" s="251">
        <f t="shared" si="496"/>
        <v>24.542999999999999</v>
      </c>
      <c r="R1210" s="173">
        <f t="shared" si="497"/>
        <v>24.854696100000002</v>
      </c>
      <c r="S1210" s="250">
        <v>0.9</v>
      </c>
      <c r="T1210" s="171">
        <f t="shared" si="498"/>
        <v>0.9</v>
      </c>
      <c r="U1210" s="256">
        <v>27.27</v>
      </c>
      <c r="V1210" s="170">
        <f t="shared" si="489"/>
        <v>27.616329</v>
      </c>
      <c r="W1210" s="258">
        <v>0.1</v>
      </c>
      <c r="X1210" s="257">
        <f t="shared" si="504"/>
        <v>29.997</v>
      </c>
      <c r="Y1210" s="170">
        <f t="shared" si="503"/>
        <v>30.377961900000003</v>
      </c>
      <c r="Z1210" s="170">
        <f t="shared" si="505"/>
        <v>31</v>
      </c>
      <c r="AA1210" s="407">
        <f t="shared" si="501"/>
        <v>0</v>
      </c>
      <c r="AB1210" s="194"/>
    </row>
    <row r="1211" spans="1:28" s="278" customFormat="1" x14ac:dyDescent="0.25">
      <c r="A1211" s="200">
        <v>812014</v>
      </c>
      <c r="B1211" s="313" t="s">
        <v>19818</v>
      </c>
      <c r="C1211" s="248"/>
      <c r="D1211" s="247" t="s">
        <v>11</v>
      </c>
      <c r="E1211" s="249">
        <f t="shared" si="491"/>
        <v>145.45455000000001</v>
      </c>
      <c r="F1211" s="170">
        <f t="shared" si="491"/>
        <v>147.30182278500001</v>
      </c>
      <c r="G1211" s="250">
        <v>0.1</v>
      </c>
      <c r="H1211" s="171">
        <f t="shared" si="492"/>
        <v>0.1</v>
      </c>
      <c r="I1211" s="249">
        <f t="shared" si="493"/>
        <v>0</v>
      </c>
      <c r="J1211" s="170">
        <f t="shared" si="493"/>
        <v>0</v>
      </c>
      <c r="K1211" s="252"/>
      <c r="L1211" s="172">
        <f t="shared" si="486"/>
        <v>0</v>
      </c>
      <c r="M1211" s="249">
        <f t="shared" si="487"/>
        <v>0</v>
      </c>
      <c r="N1211" s="170">
        <f t="shared" si="494"/>
        <v>0</v>
      </c>
      <c r="O1211" s="252"/>
      <c r="P1211" s="172">
        <f t="shared" si="495"/>
        <v>0</v>
      </c>
      <c r="Q1211" s="251">
        <f t="shared" si="496"/>
        <v>1309.09095</v>
      </c>
      <c r="R1211" s="173">
        <f t="shared" si="497"/>
        <v>1325.7164050650001</v>
      </c>
      <c r="S1211" s="250">
        <v>0.9</v>
      </c>
      <c r="T1211" s="171">
        <f t="shared" si="498"/>
        <v>0.9</v>
      </c>
      <c r="U1211" s="256">
        <v>1454.5454999999999</v>
      </c>
      <c r="V1211" s="170">
        <f t="shared" si="489"/>
        <v>1473.0182278500001</v>
      </c>
      <c r="W1211" s="258">
        <v>0.1</v>
      </c>
      <c r="X1211" s="257">
        <f t="shared" si="504"/>
        <v>1600.0000499999999</v>
      </c>
      <c r="Y1211" s="170">
        <f t="shared" si="503"/>
        <v>1620.3200506350004</v>
      </c>
      <c r="Z1211" s="170">
        <f t="shared" si="505"/>
        <v>1625</v>
      </c>
      <c r="AA1211" s="407">
        <f t="shared" si="501"/>
        <v>0</v>
      </c>
      <c r="AB1211" s="194"/>
    </row>
    <row r="1212" spans="1:28" s="278" customFormat="1" x14ac:dyDescent="0.25">
      <c r="A1212" s="200">
        <v>812014</v>
      </c>
      <c r="B1212" s="313" t="s">
        <v>19819</v>
      </c>
      <c r="C1212" s="248"/>
      <c r="D1212" s="247" t="s">
        <v>11</v>
      </c>
      <c r="E1212" s="249">
        <f t="shared" si="491"/>
        <v>127.27273000000001</v>
      </c>
      <c r="F1212" s="170">
        <f t="shared" si="491"/>
        <v>128.88909367100004</v>
      </c>
      <c r="G1212" s="250">
        <v>0.1</v>
      </c>
      <c r="H1212" s="171">
        <f t="shared" si="492"/>
        <v>0.1</v>
      </c>
      <c r="I1212" s="249">
        <f t="shared" si="493"/>
        <v>0</v>
      </c>
      <c r="J1212" s="170">
        <f t="shared" si="493"/>
        <v>0</v>
      </c>
      <c r="K1212" s="252"/>
      <c r="L1212" s="172">
        <f t="shared" si="486"/>
        <v>0</v>
      </c>
      <c r="M1212" s="249">
        <f t="shared" si="487"/>
        <v>0</v>
      </c>
      <c r="N1212" s="170">
        <f t="shared" si="494"/>
        <v>0</v>
      </c>
      <c r="O1212" s="252"/>
      <c r="P1212" s="172">
        <f t="shared" si="495"/>
        <v>0</v>
      </c>
      <c r="Q1212" s="251">
        <f t="shared" si="496"/>
        <v>1145.4545700000001</v>
      </c>
      <c r="R1212" s="173">
        <f t="shared" si="497"/>
        <v>1160.0018430390003</v>
      </c>
      <c r="S1212" s="250">
        <v>0.9</v>
      </c>
      <c r="T1212" s="171">
        <f t="shared" si="498"/>
        <v>0.9</v>
      </c>
      <c r="U1212" s="256">
        <v>1272.7273</v>
      </c>
      <c r="V1212" s="170">
        <f t="shared" si="489"/>
        <v>1288.8909367100002</v>
      </c>
      <c r="W1212" s="258">
        <v>0.1</v>
      </c>
      <c r="X1212" s="257">
        <f t="shared" si="504"/>
        <v>1400.0000299999999</v>
      </c>
      <c r="Y1212" s="170">
        <f t="shared" si="503"/>
        <v>1417.7800303810004</v>
      </c>
      <c r="Z1212" s="170">
        <f t="shared" si="505"/>
        <v>1425</v>
      </c>
      <c r="AA1212" s="407">
        <f t="shared" si="501"/>
        <v>0</v>
      </c>
      <c r="AB1212" s="194"/>
    </row>
    <row r="1213" spans="1:28" s="278" customFormat="1" x14ac:dyDescent="0.25">
      <c r="A1213" s="200">
        <v>812020</v>
      </c>
      <c r="B1213" s="313" t="s">
        <v>19820</v>
      </c>
      <c r="C1213" s="248"/>
      <c r="D1213" s="247" t="s">
        <v>11</v>
      </c>
      <c r="E1213" s="249">
        <f t="shared" si="491"/>
        <v>181.81818000000001</v>
      </c>
      <c r="F1213" s="170">
        <f t="shared" si="491"/>
        <v>184.12727088600002</v>
      </c>
      <c r="G1213" s="250">
        <v>0.1</v>
      </c>
      <c r="H1213" s="171">
        <f t="shared" si="492"/>
        <v>0.1</v>
      </c>
      <c r="I1213" s="249">
        <f t="shared" si="493"/>
        <v>0</v>
      </c>
      <c r="J1213" s="170">
        <f t="shared" si="493"/>
        <v>0</v>
      </c>
      <c r="K1213" s="252"/>
      <c r="L1213" s="172">
        <f t="shared" ref="L1213:L1252" si="506">K1213</f>
        <v>0</v>
      </c>
      <c r="M1213" s="249">
        <f t="shared" ref="M1213:M1252" si="507">U1213*O1213</f>
        <v>0</v>
      </c>
      <c r="N1213" s="170">
        <f t="shared" si="494"/>
        <v>0</v>
      </c>
      <c r="O1213" s="252"/>
      <c r="P1213" s="172">
        <f t="shared" si="495"/>
        <v>0</v>
      </c>
      <c r="Q1213" s="251">
        <f t="shared" si="496"/>
        <v>1636.3636200000001</v>
      </c>
      <c r="R1213" s="173">
        <f t="shared" si="497"/>
        <v>1657.1454379740003</v>
      </c>
      <c r="S1213" s="250">
        <v>0.9</v>
      </c>
      <c r="T1213" s="171">
        <f t="shared" si="498"/>
        <v>0.9</v>
      </c>
      <c r="U1213" s="256">
        <v>1818.1818000000001</v>
      </c>
      <c r="V1213" s="170">
        <f t="shared" si="489"/>
        <v>1841.2727088600002</v>
      </c>
      <c r="W1213" s="258">
        <v>0.1</v>
      </c>
      <c r="X1213" s="257">
        <f t="shared" si="504"/>
        <v>1999.9999800000001</v>
      </c>
      <c r="Y1213" s="170">
        <f t="shared" si="503"/>
        <v>2025.3999797460003</v>
      </c>
      <c r="Z1213" s="170">
        <f t="shared" si="505"/>
        <v>2050</v>
      </c>
      <c r="AA1213" s="407">
        <f t="shared" si="501"/>
        <v>0</v>
      </c>
      <c r="AB1213" s="194"/>
    </row>
    <row r="1214" spans="1:28" s="278" customFormat="1" x14ac:dyDescent="0.25">
      <c r="A1214" s="200">
        <v>812020</v>
      </c>
      <c r="B1214" s="313" t="s">
        <v>19821</v>
      </c>
      <c r="C1214" s="248"/>
      <c r="D1214" s="247" t="s">
        <v>11</v>
      </c>
      <c r="E1214" s="249">
        <f t="shared" si="491"/>
        <v>163.63636</v>
      </c>
      <c r="F1214" s="170">
        <f t="shared" si="491"/>
        <v>165.71454177199999</v>
      </c>
      <c r="G1214" s="250">
        <v>0.1</v>
      </c>
      <c r="H1214" s="171">
        <f t="shared" si="492"/>
        <v>0.1</v>
      </c>
      <c r="I1214" s="249">
        <f t="shared" si="493"/>
        <v>0</v>
      </c>
      <c r="J1214" s="170">
        <f t="shared" si="493"/>
        <v>0</v>
      </c>
      <c r="K1214" s="252"/>
      <c r="L1214" s="172">
        <f t="shared" si="506"/>
        <v>0</v>
      </c>
      <c r="M1214" s="249">
        <f t="shared" si="507"/>
        <v>0</v>
      </c>
      <c r="N1214" s="170">
        <f t="shared" si="494"/>
        <v>0</v>
      </c>
      <c r="O1214" s="252"/>
      <c r="P1214" s="172">
        <f t="shared" si="495"/>
        <v>0</v>
      </c>
      <c r="Q1214" s="251">
        <f t="shared" si="496"/>
        <v>1472.7272399999999</v>
      </c>
      <c r="R1214" s="173">
        <f t="shared" si="497"/>
        <v>1491.430875948</v>
      </c>
      <c r="S1214" s="250">
        <v>0.9</v>
      </c>
      <c r="T1214" s="171">
        <f t="shared" si="498"/>
        <v>0.9</v>
      </c>
      <c r="U1214" s="256">
        <v>1636.3635999999999</v>
      </c>
      <c r="V1214" s="170">
        <f t="shared" si="489"/>
        <v>1657.1454177199998</v>
      </c>
      <c r="W1214" s="258">
        <v>0.1</v>
      </c>
      <c r="X1214" s="257">
        <f t="shared" si="504"/>
        <v>1799.9999599999999</v>
      </c>
      <c r="Y1214" s="170">
        <f t="shared" si="503"/>
        <v>1822.8599594919999</v>
      </c>
      <c r="Z1214" s="170">
        <f t="shared" si="505"/>
        <v>1825</v>
      </c>
      <c r="AA1214" s="407">
        <f t="shared" si="501"/>
        <v>0</v>
      </c>
      <c r="AB1214" s="194"/>
    </row>
    <row r="1215" spans="1:28" s="278" customFormat="1" x14ac:dyDescent="0.25">
      <c r="A1215" s="200">
        <v>812026</v>
      </c>
      <c r="B1215" s="313" t="s">
        <v>19822</v>
      </c>
      <c r="C1215" s="248"/>
      <c r="D1215" s="247" t="s">
        <v>11</v>
      </c>
      <c r="E1215" s="249">
        <f t="shared" si="491"/>
        <v>59.090910000000001</v>
      </c>
      <c r="F1215" s="170">
        <f t="shared" si="491"/>
        <v>59.841364557000013</v>
      </c>
      <c r="G1215" s="250">
        <v>0.1</v>
      </c>
      <c r="H1215" s="171">
        <f t="shared" si="492"/>
        <v>0.1</v>
      </c>
      <c r="I1215" s="249">
        <f t="shared" si="493"/>
        <v>0</v>
      </c>
      <c r="J1215" s="170">
        <f t="shared" si="493"/>
        <v>0</v>
      </c>
      <c r="K1215" s="252"/>
      <c r="L1215" s="172">
        <f t="shared" si="506"/>
        <v>0</v>
      </c>
      <c r="M1215" s="249">
        <f t="shared" si="507"/>
        <v>0</v>
      </c>
      <c r="N1215" s="170">
        <f t="shared" si="494"/>
        <v>0</v>
      </c>
      <c r="O1215" s="252"/>
      <c r="P1215" s="172">
        <f t="shared" si="495"/>
        <v>0</v>
      </c>
      <c r="Q1215" s="251">
        <f t="shared" si="496"/>
        <v>531.81818999999996</v>
      </c>
      <c r="R1215" s="173">
        <f t="shared" si="497"/>
        <v>538.57228101300007</v>
      </c>
      <c r="S1215" s="250">
        <v>0.9</v>
      </c>
      <c r="T1215" s="171">
        <f t="shared" si="498"/>
        <v>0.9</v>
      </c>
      <c r="U1215" s="256">
        <v>590.90909999999997</v>
      </c>
      <c r="V1215" s="170">
        <f t="shared" si="489"/>
        <v>598.41364557000009</v>
      </c>
      <c r="W1215" s="258">
        <v>0.1</v>
      </c>
      <c r="X1215" s="257">
        <f t="shared" si="504"/>
        <v>650.00000999999997</v>
      </c>
      <c r="Y1215" s="170">
        <f t="shared" si="503"/>
        <v>658.25501012700011</v>
      </c>
      <c r="Z1215" s="170">
        <f t="shared" si="505"/>
        <v>660</v>
      </c>
      <c r="AA1215" s="407">
        <f t="shared" si="501"/>
        <v>0</v>
      </c>
      <c r="AB1215" s="194"/>
    </row>
    <row r="1216" spans="1:28" s="278" customFormat="1" x14ac:dyDescent="0.25">
      <c r="A1216" s="200">
        <v>812026</v>
      </c>
      <c r="B1216" s="313" t="s">
        <v>19823</v>
      </c>
      <c r="C1216" s="248"/>
      <c r="D1216" s="247" t="s">
        <v>11</v>
      </c>
      <c r="E1216" s="249">
        <f t="shared" si="491"/>
        <v>45.454550000000005</v>
      </c>
      <c r="F1216" s="170">
        <f t="shared" si="491"/>
        <v>46.03182278500001</v>
      </c>
      <c r="G1216" s="250">
        <v>0.1</v>
      </c>
      <c r="H1216" s="171">
        <f t="shared" si="492"/>
        <v>0.1</v>
      </c>
      <c r="I1216" s="249">
        <f t="shared" si="493"/>
        <v>0</v>
      </c>
      <c r="J1216" s="170">
        <f t="shared" si="493"/>
        <v>0</v>
      </c>
      <c r="K1216" s="252"/>
      <c r="L1216" s="172">
        <f t="shared" si="506"/>
        <v>0</v>
      </c>
      <c r="M1216" s="249">
        <f t="shared" si="507"/>
        <v>0</v>
      </c>
      <c r="N1216" s="170">
        <f t="shared" si="494"/>
        <v>0</v>
      </c>
      <c r="O1216" s="252"/>
      <c r="P1216" s="172">
        <f t="shared" si="495"/>
        <v>0</v>
      </c>
      <c r="Q1216" s="251">
        <f t="shared" si="496"/>
        <v>409.09095000000002</v>
      </c>
      <c r="R1216" s="173">
        <f t="shared" si="497"/>
        <v>414.28640506500011</v>
      </c>
      <c r="S1216" s="250">
        <v>0.9</v>
      </c>
      <c r="T1216" s="171">
        <f t="shared" si="498"/>
        <v>0.9</v>
      </c>
      <c r="U1216" s="256">
        <v>454.5455</v>
      </c>
      <c r="V1216" s="170">
        <f t="shared" si="489"/>
        <v>460.31822785000008</v>
      </c>
      <c r="W1216" s="258">
        <v>0.1</v>
      </c>
      <c r="X1216" s="257">
        <f t="shared" si="504"/>
        <v>500.00004999999999</v>
      </c>
      <c r="Y1216" s="170">
        <f t="shared" si="503"/>
        <v>506.35005063500012</v>
      </c>
      <c r="Z1216" s="170">
        <f t="shared" si="505"/>
        <v>510</v>
      </c>
      <c r="AA1216" s="407">
        <f t="shared" si="501"/>
        <v>0</v>
      </c>
      <c r="AB1216" s="194"/>
    </row>
    <row r="1217" spans="1:28" s="278" customFormat="1" x14ac:dyDescent="0.25">
      <c r="A1217" s="200">
        <v>812034</v>
      </c>
      <c r="B1217" s="313" t="s">
        <v>19824</v>
      </c>
      <c r="C1217" s="248"/>
      <c r="D1217" s="247" t="s">
        <v>11</v>
      </c>
      <c r="E1217" s="249">
        <f t="shared" si="491"/>
        <v>77.27273000000001</v>
      </c>
      <c r="F1217" s="170">
        <f t="shared" si="491"/>
        <v>78.254093671000021</v>
      </c>
      <c r="G1217" s="250">
        <v>0.1</v>
      </c>
      <c r="H1217" s="171">
        <f t="shared" si="492"/>
        <v>0.1</v>
      </c>
      <c r="I1217" s="249">
        <f t="shared" si="493"/>
        <v>0</v>
      </c>
      <c r="J1217" s="170">
        <f t="shared" si="493"/>
        <v>0</v>
      </c>
      <c r="K1217" s="252"/>
      <c r="L1217" s="172">
        <f t="shared" si="506"/>
        <v>0</v>
      </c>
      <c r="M1217" s="249">
        <f t="shared" si="507"/>
        <v>0</v>
      </c>
      <c r="N1217" s="170">
        <f t="shared" si="494"/>
        <v>0</v>
      </c>
      <c r="O1217" s="252"/>
      <c r="P1217" s="172">
        <f t="shared" si="495"/>
        <v>0</v>
      </c>
      <c r="Q1217" s="251">
        <f t="shared" si="496"/>
        <v>695.45456999999999</v>
      </c>
      <c r="R1217" s="173">
        <f t="shared" si="497"/>
        <v>704.28684303900013</v>
      </c>
      <c r="S1217" s="250">
        <v>0.9</v>
      </c>
      <c r="T1217" s="171">
        <f t="shared" si="498"/>
        <v>0.9</v>
      </c>
      <c r="U1217" s="256">
        <v>772.72730000000001</v>
      </c>
      <c r="V1217" s="170">
        <f t="shared" si="489"/>
        <v>782.5409367100001</v>
      </c>
      <c r="W1217" s="258">
        <v>0.1</v>
      </c>
      <c r="X1217" s="257">
        <f t="shared" si="504"/>
        <v>850.00003000000004</v>
      </c>
      <c r="Y1217" s="170">
        <f t="shared" si="503"/>
        <v>860.79503038100017</v>
      </c>
      <c r="Z1217" s="170">
        <f t="shared" si="505"/>
        <v>865</v>
      </c>
      <c r="AA1217" s="407">
        <f t="shared" si="501"/>
        <v>0</v>
      </c>
      <c r="AB1217" s="194"/>
    </row>
    <row r="1218" spans="1:28" s="278" customFormat="1" x14ac:dyDescent="0.25">
      <c r="A1218" s="200">
        <v>812034</v>
      </c>
      <c r="B1218" s="313" t="s">
        <v>19825</v>
      </c>
      <c r="C1218" s="248"/>
      <c r="D1218" s="247" t="s">
        <v>11</v>
      </c>
      <c r="E1218" s="249">
        <f t="shared" si="491"/>
        <v>63.636360000000003</v>
      </c>
      <c r="F1218" s="170">
        <f t="shared" si="491"/>
        <v>64.444541772000008</v>
      </c>
      <c r="G1218" s="250">
        <v>0.1</v>
      </c>
      <c r="H1218" s="171">
        <f t="shared" si="492"/>
        <v>0.1</v>
      </c>
      <c r="I1218" s="249">
        <f t="shared" si="493"/>
        <v>0</v>
      </c>
      <c r="J1218" s="170">
        <f t="shared" si="493"/>
        <v>0</v>
      </c>
      <c r="K1218" s="252"/>
      <c r="L1218" s="172">
        <f t="shared" si="506"/>
        <v>0</v>
      </c>
      <c r="M1218" s="249">
        <f t="shared" si="507"/>
        <v>0</v>
      </c>
      <c r="N1218" s="170">
        <f t="shared" si="494"/>
        <v>0</v>
      </c>
      <c r="O1218" s="252"/>
      <c r="P1218" s="172">
        <f t="shared" si="495"/>
        <v>0</v>
      </c>
      <c r="Q1218" s="251">
        <f t="shared" si="496"/>
        <v>572.72724000000005</v>
      </c>
      <c r="R1218" s="173">
        <f t="shared" si="497"/>
        <v>580.00087594800004</v>
      </c>
      <c r="S1218" s="250">
        <v>0.9</v>
      </c>
      <c r="T1218" s="171">
        <f t="shared" si="498"/>
        <v>0.9</v>
      </c>
      <c r="U1218" s="256">
        <v>636.36360000000002</v>
      </c>
      <c r="V1218" s="170">
        <f t="shared" ref="V1218:V1231" si="508">SUM(E1218*1.0235,I1218*1.0175,M1218*1.0245,Q1218*1.0115)</f>
        <v>644.44541772000002</v>
      </c>
      <c r="W1218" s="258">
        <v>0.1</v>
      </c>
      <c r="X1218" s="257">
        <f t="shared" si="504"/>
        <v>699.99995999999999</v>
      </c>
      <c r="Y1218" s="170">
        <f t="shared" si="503"/>
        <v>708.88995949200012</v>
      </c>
      <c r="Z1218" s="170">
        <f t="shared" si="505"/>
        <v>710</v>
      </c>
      <c r="AA1218" s="407">
        <f t="shared" si="501"/>
        <v>0</v>
      </c>
      <c r="AB1218" s="194"/>
    </row>
    <row r="1219" spans="1:28" s="278" customFormat="1" x14ac:dyDescent="0.25">
      <c r="A1219" s="200">
        <v>812040</v>
      </c>
      <c r="B1219" s="313" t="s">
        <v>19826</v>
      </c>
      <c r="C1219" s="248"/>
      <c r="D1219" s="247" t="s">
        <v>2</v>
      </c>
      <c r="E1219" s="249">
        <f t="shared" si="491"/>
        <v>100</v>
      </c>
      <c r="F1219" s="170">
        <f t="shared" si="491"/>
        <v>101.27000000000001</v>
      </c>
      <c r="G1219" s="250">
        <v>0.1</v>
      </c>
      <c r="H1219" s="171">
        <f t="shared" si="492"/>
        <v>0.1</v>
      </c>
      <c r="I1219" s="249">
        <f t="shared" si="493"/>
        <v>0</v>
      </c>
      <c r="J1219" s="170">
        <f t="shared" si="493"/>
        <v>0</v>
      </c>
      <c r="K1219" s="252"/>
      <c r="L1219" s="172">
        <f t="shared" si="506"/>
        <v>0</v>
      </c>
      <c r="M1219" s="249">
        <f t="shared" si="507"/>
        <v>0</v>
      </c>
      <c r="N1219" s="170">
        <f t="shared" si="494"/>
        <v>0</v>
      </c>
      <c r="O1219" s="252"/>
      <c r="P1219" s="172">
        <f t="shared" si="495"/>
        <v>0</v>
      </c>
      <c r="Q1219" s="251">
        <f t="shared" si="496"/>
        <v>900</v>
      </c>
      <c r="R1219" s="173">
        <f t="shared" si="497"/>
        <v>911.43000000000006</v>
      </c>
      <c r="S1219" s="250">
        <v>0.9</v>
      </c>
      <c r="T1219" s="171">
        <f t="shared" si="498"/>
        <v>0.9</v>
      </c>
      <c r="U1219" s="256">
        <v>1000</v>
      </c>
      <c r="V1219" s="170">
        <f t="shared" si="508"/>
        <v>1012.7</v>
      </c>
      <c r="W1219" s="258">
        <v>0.1</v>
      </c>
      <c r="X1219" s="257">
        <f t="shared" si="504"/>
        <v>1100</v>
      </c>
      <c r="Y1219" s="170">
        <f t="shared" si="503"/>
        <v>1113.97</v>
      </c>
      <c r="Z1219" s="170">
        <f t="shared" si="505"/>
        <v>1125</v>
      </c>
      <c r="AA1219" s="407">
        <f t="shared" si="501"/>
        <v>0</v>
      </c>
      <c r="AB1219" s="194"/>
    </row>
    <row r="1220" spans="1:28" s="278" customFormat="1" x14ac:dyDescent="0.25">
      <c r="A1220" s="200">
        <v>812040</v>
      </c>
      <c r="B1220" s="313" t="s">
        <v>19827</v>
      </c>
      <c r="C1220" s="248"/>
      <c r="D1220" s="247" t="s">
        <v>2</v>
      </c>
      <c r="E1220" s="249">
        <f t="shared" si="491"/>
        <v>81.818179999999998</v>
      </c>
      <c r="F1220" s="170">
        <f t="shared" si="491"/>
        <v>82.857270885999995</v>
      </c>
      <c r="G1220" s="250">
        <v>0.1</v>
      </c>
      <c r="H1220" s="171">
        <f t="shared" si="492"/>
        <v>0.1</v>
      </c>
      <c r="I1220" s="249">
        <f t="shared" si="493"/>
        <v>0</v>
      </c>
      <c r="J1220" s="170">
        <f t="shared" si="493"/>
        <v>0</v>
      </c>
      <c r="K1220" s="252"/>
      <c r="L1220" s="172">
        <f t="shared" si="506"/>
        <v>0</v>
      </c>
      <c r="M1220" s="249">
        <f t="shared" si="507"/>
        <v>0</v>
      </c>
      <c r="N1220" s="170">
        <f t="shared" si="494"/>
        <v>0</v>
      </c>
      <c r="O1220" s="252"/>
      <c r="P1220" s="172">
        <f t="shared" si="495"/>
        <v>0</v>
      </c>
      <c r="Q1220" s="251">
        <f t="shared" si="496"/>
        <v>736.36361999999997</v>
      </c>
      <c r="R1220" s="173">
        <f t="shared" si="497"/>
        <v>745.715437974</v>
      </c>
      <c r="S1220" s="250">
        <v>0.9</v>
      </c>
      <c r="T1220" s="171">
        <f t="shared" si="498"/>
        <v>0.9</v>
      </c>
      <c r="U1220" s="256">
        <v>818.18179999999995</v>
      </c>
      <c r="V1220" s="170">
        <f t="shared" si="508"/>
        <v>828.57270885999992</v>
      </c>
      <c r="W1220" s="258">
        <v>0.1</v>
      </c>
      <c r="X1220" s="257">
        <f t="shared" si="504"/>
        <v>899.99997999999994</v>
      </c>
      <c r="Y1220" s="170">
        <f t="shared" si="503"/>
        <v>911.42997974599996</v>
      </c>
      <c r="Z1220" s="170">
        <f t="shared" si="505"/>
        <v>915</v>
      </c>
      <c r="AA1220" s="407">
        <f t="shared" si="501"/>
        <v>0</v>
      </c>
      <c r="AB1220" s="194"/>
    </row>
    <row r="1221" spans="1:28" s="278" customFormat="1" x14ac:dyDescent="0.25">
      <c r="A1221" s="195" t="s">
        <v>14807</v>
      </c>
      <c r="B1221" s="317" t="s">
        <v>14808</v>
      </c>
      <c r="C1221" s="241"/>
      <c r="D1221" s="242"/>
      <c r="E1221" s="243"/>
      <c r="F1221" s="244"/>
      <c r="G1221" s="245"/>
      <c r="H1221" s="246"/>
      <c r="I1221" s="243"/>
      <c r="J1221" s="244"/>
      <c r="K1221" s="245"/>
      <c r="L1221" s="246"/>
      <c r="M1221" s="243"/>
      <c r="N1221" s="244"/>
      <c r="O1221" s="245"/>
      <c r="P1221" s="246"/>
      <c r="Q1221" s="243"/>
      <c r="R1221" s="244"/>
      <c r="S1221" s="245"/>
      <c r="T1221" s="246"/>
      <c r="U1221" s="246"/>
      <c r="V1221" s="246"/>
      <c r="W1221" s="246"/>
      <c r="X1221" s="246"/>
      <c r="Y1221" s="244"/>
      <c r="Z1221" s="244"/>
      <c r="AA1221" s="406"/>
      <c r="AB1221" s="194"/>
    </row>
    <row r="1222" spans="1:28" s="278" customFormat="1" x14ac:dyDescent="0.25">
      <c r="A1222" s="200">
        <v>813020</v>
      </c>
      <c r="B1222" s="313" t="s">
        <v>19828</v>
      </c>
      <c r="C1222" s="248"/>
      <c r="D1222" s="247" t="s">
        <v>11</v>
      </c>
      <c r="E1222" s="249">
        <f t="shared" si="491"/>
        <v>458.33335</v>
      </c>
      <c r="F1222" s="170">
        <f t="shared" si="491"/>
        <v>467.91251701499999</v>
      </c>
      <c r="G1222" s="250">
        <v>0.5</v>
      </c>
      <c r="H1222" s="171">
        <f t="shared" si="492"/>
        <v>0.5</v>
      </c>
      <c r="I1222" s="249">
        <f t="shared" si="493"/>
        <v>320.83334499999995</v>
      </c>
      <c r="J1222" s="170">
        <f t="shared" si="493"/>
        <v>327.5387619105</v>
      </c>
      <c r="K1222" s="250">
        <v>0.35</v>
      </c>
      <c r="L1222" s="172">
        <f t="shared" si="506"/>
        <v>0.35</v>
      </c>
      <c r="M1222" s="249">
        <f t="shared" si="507"/>
        <v>91.666670000000011</v>
      </c>
      <c r="N1222" s="170">
        <f t="shared" si="494"/>
        <v>93.582503403000004</v>
      </c>
      <c r="O1222" s="250">
        <v>0.1</v>
      </c>
      <c r="P1222" s="172">
        <f t="shared" si="495"/>
        <v>0.1</v>
      </c>
      <c r="Q1222" s="251">
        <f t="shared" si="496"/>
        <v>45.833335000000005</v>
      </c>
      <c r="R1222" s="173">
        <f t="shared" si="497"/>
        <v>46.791251701500002</v>
      </c>
      <c r="S1222" s="250">
        <v>0.05</v>
      </c>
      <c r="T1222" s="171">
        <f t="shared" si="498"/>
        <v>0.05</v>
      </c>
      <c r="U1222" s="256">
        <v>916.66669999999999</v>
      </c>
      <c r="V1222" s="170">
        <f t="shared" si="508"/>
        <v>935.82503402999998</v>
      </c>
      <c r="W1222" s="258">
        <v>0.2</v>
      </c>
      <c r="X1222" s="257">
        <f>U1222+U1222*W1222</f>
        <v>1100.0000399999999</v>
      </c>
      <c r="Y1222" s="170">
        <f t="shared" si="503"/>
        <v>1122.9900408359999</v>
      </c>
      <c r="Z1222" s="170">
        <f t="shared" si="505"/>
        <v>1125</v>
      </c>
      <c r="AA1222" s="407">
        <f t="shared" ref="AA1222:AA1285" si="509">C1222*Z1222</f>
        <v>0</v>
      </c>
      <c r="AB1222" s="194"/>
    </row>
    <row r="1223" spans="1:28" s="278" customFormat="1" x14ac:dyDescent="0.25">
      <c r="A1223" s="200">
        <v>813020</v>
      </c>
      <c r="B1223" s="313" t="s">
        <v>19829</v>
      </c>
      <c r="C1223" s="248"/>
      <c r="D1223" s="247" t="s">
        <v>11</v>
      </c>
      <c r="E1223" s="249">
        <f t="shared" si="491"/>
        <v>208.33333500000001</v>
      </c>
      <c r="F1223" s="170">
        <f t="shared" si="491"/>
        <v>212.68750170150003</v>
      </c>
      <c r="G1223" s="250">
        <v>0.5</v>
      </c>
      <c r="H1223" s="171">
        <f t="shared" si="492"/>
        <v>0.5</v>
      </c>
      <c r="I1223" s="249">
        <f t="shared" si="493"/>
        <v>145.83333450000001</v>
      </c>
      <c r="J1223" s="170">
        <f t="shared" si="493"/>
        <v>148.88125119105001</v>
      </c>
      <c r="K1223" s="250">
        <v>0.35</v>
      </c>
      <c r="L1223" s="172">
        <f t="shared" si="506"/>
        <v>0.35</v>
      </c>
      <c r="M1223" s="249">
        <f t="shared" si="507"/>
        <v>41.666667000000004</v>
      </c>
      <c r="N1223" s="170">
        <f t="shared" si="494"/>
        <v>42.537500340300006</v>
      </c>
      <c r="O1223" s="250">
        <v>0.1</v>
      </c>
      <c r="P1223" s="172">
        <f t="shared" si="495"/>
        <v>0.1</v>
      </c>
      <c r="Q1223" s="251">
        <f t="shared" si="496"/>
        <v>20.833333500000002</v>
      </c>
      <c r="R1223" s="173">
        <f t="shared" si="497"/>
        <v>21.268750170150003</v>
      </c>
      <c r="S1223" s="250">
        <v>0.05</v>
      </c>
      <c r="T1223" s="171">
        <f t="shared" si="498"/>
        <v>0.05</v>
      </c>
      <c r="U1223" s="256">
        <v>416.66667000000001</v>
      </c>
      <c r="V1223" s="170">
        <f t="shared" si="508"/>
        <v>425.37500340300005</v>
      </c>
      <c r="W1223" s="258">
        <v>0.2</v>
      </c>
      <c r="X1223" s="257">
        <f>U1223+U1223*W1223</f>
        <v>500.00000399999999</v>
      </c>
      <c r="Y1223" s="170">
        <f t="shared" si="503"/>
        <v>510.45000408360005</v>
      </c>
      <c r="Z1223" s="170">
        <f t="shared" si="505"/>
        <v>515</v>
      </c>
      <c r="AA1223" s="407">
        <f t="shared" si="509"/>
        <v>0</v>
      </c>
      <c r="AB1223" s="194"/>
    </row>
    <row r="1224" spans="1:28" s="278" customFormat="1" x14ac:dyDescent="0.25">
      <c r="A1224" s="200">
        <v>813030</v>
      </c>
      <c r="B1224" s="313" t="s">
        <v>14809</v>
      </c>
      <c r="C1224" s="248"/>
      <c r="D1224" s="247" t="s">
        <v>11</v>
      </c>
      <c r="E1224" s="249">
        <f t="shared" si="491"/>
        <v>291.66668999999996</v>
      </c>
      <c r="F1224" s="170">
        <f t="shared" si="491"/>
        <v>298.50627388049992</v>
      </c>
      <c r="G1224" s="250">
        <v>0.7</v>
      </c>
      <c r="H1224" s="171">
        <f t="shared" si="492"/>
        <v>0.7</v>
      </c>
      <c r="I1224" s="249">
        <f t="shared" si="493"/>
        <v>20.833335000000002</v>
      </c>
      <c r="J1224" s="170">
        <f t="shared" si="493"/>
        <v>21.32187670575</v>
      </c>
      <c r="K1224" s="250">
        <v>0.05</v>
      </c>
      <c r="L1224" s="172">
        <f t="shared" si="506"/>
        <v>0.05</v>
      </c>
      <c r="M1224" s="249">
        <f t="shared" si="507"/>
        <v>104.166675</v>
      </c>
      <c r="N1224" s="170">
        <f t="shared" si="494"/>
        <v>106.60938352874999</v>
      </c>
      <c r="O1224" s="250">
        <v>0.25</v>
      </c>
      <c r="P1224" s="172">
        <f t="shared" si="495"/>
        <v>0.25</v>
      </c>
      <c r="Q1224" s="251">
        <f t="shared" si="496"/>
        <v>0</v>
      </c>
      <c r="R1224" s="173">
        <f t="shared" si="497"/>
        <v>0</v>
      </c>
      <c r="S1224" s="252"/>
      <c r="T1224" s="171">
        <f t="shared" si="498"/>
        <v>0</v>
      </c>
      <c r="U1224" s="256">
        <v>416.66669999999999</v>
      </c>
      <c r="V1224" s="170">
        <f t="shared" si="508"/>
        <v>426.43753411499995</v>
      </c>
      <c r="W1224" s="258">
        <v>0.2</v>
      </c>
      <c r="X1224" s="257">
        <f>U1224+U1224*W1224</f>
        <v>500.00004000000001</v>
      </c>
      <c r="Y1224" s="170">
        <f t="shared" si="503"/>
        <v>511.72504093799989</v>
      </c>
      <c r="Z1224" s="170">
        <f t="shared" si="505"/>
        <v>515</v>
      </c>
      <c r="AA1224" s="407">
        <f t="shared" si="509"/>
        <v>0</v>
      </c>
      <c r="AB1224" s="194"/>
    </row>
    <row r="1225" spans="1:28" s="278" customFormat="1" x14ac:dyDescent="0.25">
      <c r="A1225" s="200">
        <v>813120</v>
      </c>
      <c r="B1225" s="313" t="s">
        <v>14810</v>
      </c>
      <c r="C1225" s="248"/>
      <c r="D1225" s="247" t="s">
        <v>11</v>
      </c>
      <c r="E1225" s="249">
        <f t="shared" si="491"/>
        <v>765.62497499999995</v>
      </c>
      <c r="F1225" s="170">
        <f t="shared" si="491"/>
        <v>783.80856815624998</v>
      </c>
      <c r="G1225" s="250">
        <v>0.75</v>
      </c>
      <c r="H1225" s="171">
        <f t="shared" si="492"/>
        <v>0.75</v>
      </c>
      <c r="I1225" s="249">
        <f t="shared" si="493"/>
        <v>0</v>
      </c>
      <c r="J1225" s="170">
        <f t="shared" si="493"/>
        <v>0</v>
      </c>
      <c r="K1225" s="252"/>
      <c r="L1225" s="172">
        <f t="shared" si="506"/>
        <v>0</v>
      </c>
      <c r="M1225" s="249">
        <f t="shared" si="507"/>
        <v>255.208325</v>
      </c>
      <c r="N1225" s="170">
        <f t="shared" si="494"/>
        <v>261.26952271875001</v>
      </c>
      <c r="O1225" s="250">
        <v>0.25</v>
      </c>
      <c r="P1225" s="172">
        <f t="shared" si="495"/>
        <v>0.25</v>
      </c>
      <c r="Q1225" s="251">
        <f t="shared" si="496"/>
        <v>0</v>
      </c>
      <c r="R1225" s="173">
        <f t="shared" si="497"/>
        <v>0</v>
      </c>
      <c r="S1225" s="252"/>
      <c r="T1225" s="171">
        <f t="shared" si="498"/>
        <v>0</v>
      </c>
      <c r="U1225" s="256">
        <v>1020.8333</v>
      </c>
      <c r="V1225" s="170">
        <f t="shared" si="508"/>
        <v>1045.078090875</v>
      </c>
      <c r="W1225" s="258">
        <v>0.2</v>
      </c>
      <c r="X1225" s="257">
        <f>U1225+U1225*W1225</f>
        <v>1224.9999600000001</v>
      </c>
      <c r="Y1225" s="170">
        <f t="shared" si="503"/>
        <v>1254.0937090499999</v>
      </c>
      <c r="Z1225" s="170">
        <f t="shared" si="505"/>
        <v>1275</v>
      </c>
      <c r="AA1225" s="407">
        <f t="shared" si="509"/>
        <v>0</v>
      </c>
      <c r="AB1225" s="194"/>
    </row>
    <row r="1226" spans="1:28" s="278" customFormat="1" x14ac:dyDescent="0.25">
      <c r="A1226" s="200">
        <v>813125</v>
      </c>
      <c r="B1226" s="313" t="s">
        <v>19830</v>
      </c>
      <c r="C1226" s="248"/>
      <c r="D1226" s="247" t="s">
        <v>11</v>
      </c>
      <c r="E1226" s="249">
        <f t="shared" si="491"/>
        <v>291.66899999999998</v>
      </c>
      <c r="F1226" s="170">
        <f t="shared" si="491"/>
        <v>298.50863804999994</v>
      </c>
      <c r="G1226" s="250">
        <v>0.7</v>
      </c>
      <c r="H1226" s="171">
        <f t="shared" si="492"/>
        <v>0.7</v>
      </c>
      <c r="I1226" s="249">
        <f t="shared" si="493"/>
        <v>20.833500000000001</v>
      </c>
      <c r="J1226" s="170">
        <f t="shared" si="493"/>
        <v>21.322045575000001</v>
      </c>
      <c r="K1226" s="250">
        <v>0.05</v>
      </c>
      <c r="L1226" s="172">
        <f t="shared" si="506"/>
        <v>0.05</v>
      </c>
      <c r="M1226" s="249">
        <f t="shared" si="507"/>
        <v>104.1675</v>
      </c>
      <c r="N1226" s="170">
        <f t="shared" si="494"/>
        <v>106.61022787499999</v>
      </c>
      <c r="O1226" s="250">
        <v>0.25</v>
      </c>
      <c r="P1226" s="172">
        <f t="shared" si="495"/>
        <v>0.25</v>
      </c>
      <c r="Q1226" s="251">
        <f t="shared" si="496"/>
        <v>0</v>
      </c>
      <c r="R1226" s="173">
        <f t="shared" si="497"/>
        <v>0</v>
      </c>
      <c r="S1226" s="252"/>
      <c r="T1226" s="171">
        <f t="shared" si="498"/>
        <v>0</v>
      </c>
      <c r="U1226" s="256">
        <v>416.67</v>
      </c>
      <c r="V1226" s="170">
        <f t="shared" si="508"/>
        <v>426.44091149999997</v>
      </c>
      <c r="W1226" s="258">
        <v>0.2</v>
      </c>
      <c r="X1226" s="257">
        <f>U1226+U1226*W1226</f>
        <v>500.00400000000002</v>
      </c>
      <c r="Y1226" s="170">
        <f t="shared" si="503"/>
        <v>511.72909379999993</v>
      </c>
      <c r="Z1226" s="170">
        <f t="shared" si="505"/>
        <v>515</v>
      </c>
      <c r="AA1226" s="407">
        <f t="shared" si="509"/>
        <v>0</v>
      </c>
      <c r="AB1226" s="194"/>
    </row>
    <row r="1227" spans="1:28" s="278" customFormat="1" x14ac:dyDescent="0.25">
      <c r="A1227" s="195" t="s">
        <v>14811</v>
      </c>
      <c r="B1227" s="317" t="s">
        <v>18896</v>
      </c>
      <c r="C1227" s="241"/>
      <c r="D1227" s="242"/>
      <c r="E1227" s="243"/>
      <c r="F1227" s="244"/>
      <c r="G1227" s="245"/>
      <c r="H1227" s="246"/>
      <c r="I1227" s="243"/>
      <c r="J1227" s="244"/>
      <c r="K1227" s="245"/>
      <c r="L1227" s="246"/>
      <c r="M1227" s="243"/>
      <c r="N1227" s="244"/>
      <c r="O1227" s="245"/>
      <c r="P1227" s="246"/>
      <c r="Q1227" s="243"/>
      <c r="R1227" s="244"/>
      <c r="S1227" s="245"/>
      <c r="T1227" s="246"/>
      <c r="U1227" s="246"/>
      <c r="V1227" s="246"/>
      <c r="W1227" s="246"/>
      <c r="X1227" s="246"/>
      <c r="Y1227" s="244"/>
      <c r="Z1227" s="244"/>
      <c r="AA1227" s="406"/>
      <c r="AB1227" s="194"/>
    </row>
    <row r="1228" spans="1:28" s="278" customFormat="1" x14ac:dyDescent="0.25">
      <c r="A1228" s="200">
        <v>814005</v>
      </c>
      <c r="B1228" s="313" t="s">
        <v>19831</v>
      </c>
      <c r="C1228" s="248"/>
      <c r="D1228" s="247" t="s">
        <v>7</v>
      </c>
      <c r="E1228" s="249">
        <f t="shared" si="491"/>
        <v>23.332000000000001</v>
      </c>
      <c r="F1228" s="170">
        <f t="shared" si="491"/>
        <v>23.805639600000006</v>
      </c>
      <c r="G1228" s="250">
        <v>0.4</v>
      </c>
      <c r="H1228" s="171">
        <f t="shared" si="492"/>
        <v>0.4</v>
      </c>
      <c r="I1228" s="249">
        <f t="shared" si="493"/>
        <v>26.2485</v>
      </c>
      <c r="J1228" s="170">
        <f t="shared" si="493"/>
        <v>26.781344550000004</v>
      </c>
      <c r="K1228" s="250">
        <v>0.45</v>
      </c>
      <c r="L1228" s="172">
        <f t="shared" si="506"/>
        <v>0.45</v>
      </c>
      <c r="M1228" s="249">
        <f t="shared" si="507"/>
        <v>5.8330000000000002</v>
      </c>
      <c r="N1228" s="170">
        <f t="shared" si="494"/>
        <v>5.9514099000000016</v>
      </c>
      <c r="O1228" s="250">
        <v>0.1</v>
      </c>
      <c r="P1228" s="172">
        <f t="shared" si="495"/>
        <v>0.1</v>
      </c>
      <c r="Q1228" s="251">
        <f t="shared" si="496"/>
        <v>2.9165000000000001</v>
      </c>
      <c r="R1228" s="173">
        <f t="shared" si="497"/>
        <v>2.9757049500000008</v>
      </c>
      <c r="S1228" s="252">
        <v>0.05</v>
      </c>
      <c r="T1228" s="171">
        <f t="shared" si="498"/>
        <v>0.05</v>
      </c>
      <c r="U1228" s="256">
        <v>58.33</v>
      </c>
      <c r="V1228" s="170">
        <f t="shared" si="508"/>
        <v>59.514099000000009</v>
      </c>
      <c r="W1228" s="258">
        <v>0.2</v>
      </c>
      <c r="X1228" s="257">
        <f t="shared" ref="X1228:X1252" si="510">U1228+U1228*W1228</f>
        <v>69.995999999999995</v>
      </c>
      <c r="Y1228" s="170">
        <f t="shared" si="503"/>
        <v>71.416918800000005</v>
      </c>
      <c r="Z1228" s="170">
        <f t="shared" si="505"/>
        <v>72</v>
      </c>
      <c r="AA1228" s="407">
        <f t="shared" si="509"/>
        <v>0</v>
      </c>
      <c r="AB1228" s="194"/>
    </row>
    <row r="1229" spans="1:28" s="278" customFormat="1" x14ac:dyDescent="0.25">
      <c r="A1229" s="200">
        <v>814005</v>
      </c>
      <c r="B1229" s="313" t="s">
        <v>19832</v>
      </c>
      <c r="C1229" s="248"/>
      <c r="D1229" s="247" t="s">
        <v>7</v>
      </c>
      <c r="E1229" s="249">
        <f t="shared" si="491"/>
        <v>33.333320000000001</v>
      </c>
      <c r="F1229" s="170">
        <f t="shared" si="491"/>
        <v>34.009986396000002</v>
      </c>
      <c r="G1229" s="250">
        <v>0.4</v>
      </c>
      <c r="H1229" s="171">
        <f t="shared" si="492"/>
        <v>0.4</v>
      </c>
      <c r="I1229" s="249">
        <f t="shared" si="493"/>
        <v>37.499984999999995</v>
      </c>
      <c r="J1229" s="170">
        <f t="shared" si="493"/>
        <v>38.261234695500001</v>
      </c>
      <c r="K1229" s="250">
        <v>0.45</v>
      </c>
      <c r="L1229" s="172">
        <f t="shared" si="506"/>
        <v>0.45</v>
      </c>
      <c r="M1229" s="249">
        <f t="shared" si="507"/>
        <v>8.3333300000000001</v>
      </c>
      <c r="N1229" s="170">
        <f t="shared" si="494"/>
        <v>8.5024965990000005</v>
      </c>
      <c r="O1229" s="250">
        <v>0.1</v>
      </c>
      <c r="P1229" s="172">
        <f t="shared" si="495"/>
        <v>0.1</v>
      </c>
      <c r="Q1229" s="251">
        <f t="shared" si="496"/>
        <v>4.1666650000000001</v>
      </c>
      <c r="R1229" s="173">
        <f t="shared" si="497"/>
        <v>4.2512482995000003</v>
      </c>
      <c r="S1229" s="252">
        <v>0.05</v>
      </c>
      <c r="T1229" s="171">
        <f t="shared" si="498"/>
        <v>0.05</v>
      </c>
      <c r="U1229" s="256">
        <v>83.333299999999994</v>
      </c>
      <c r="V1229" s="170">
        <f t="shared" si="508"/>
        <v>85.024965989999998</v>
      </c>
      <c r="W1229" s="258">
        <v>0.2</v>
      </c>
      <c r="X1229" s="257">
        <f t="shared" si="510"/>
        <v>99.999959999999987</v>
      </c>
      <c r="Y1229" s="170">
        <f t="shared" si="503"/>
        <v>102.02995918799999</v>
      </c>
      <c r="Z1229" s="170">
        <f t="shared" si="505"/>
        <v>105</v>
      </c>
      <c r="AA1229" s="407">
        <f t="shared" si="509"/>
        <v>0</v>
      </c>
      <c r="AB1229" s="194"/>
    </row>
    <row r="1230" spans="1:28" s="278" customFormat="1" x14ac:dyDescent="0.25">
      <c r="A1230" s="200">
        <v>814010</v>
      </c>
      <c r="B1230" s="313" t="s">
        <v>19833</v>
      </c>
      <c r="C1230" s="248"/>
      <c r="D1230" s="247" t="s">
        <v>2</v>
      </c>
      <c r="E1230" s="249">
        <f t="shared" si="491"/>
        <v>7.5</v>
      </c>
      <c r="F1230" s="170">
        <f t="shared" si="491"/>
        <v>7.6740000000000004</v>
      </c>
      <c r="G1230" s="250">
        <v>0.6</v>
      </c>
      <c r="H1230" s="171">
        <f t="shared" si="492"/>
        <v>0.6</v>
      </c>
      <c r="I1230" s="249">
        <f t="shared" si="493"/>
        <v>1.25</v>
      </c>
      <c r="J1230" s="170">
        <f t="shared" si="493"/>
        <v>1.2790000000000001</v>
      </c>
      <c r="K1230" s="250">
        <v>0.1</v>
      </c>
      <c r="L1230" s="172">
        <f t="shared" si="506"/>
        <v>0.1</v>
      </c>
      <c r="M1230" s="249">
        <f t="shared" si="507"/>
        <v>3.75</v>
      </c>
      <c r="N1230" s="170">
        <f t="shared" si="494"/>
        <v>3.8370000000000002</v>
      </c>
      <c r="O1230" s="250">
        <v>0.3</v>
      </c>
      <c r="P1230" s="172">
        <f t="shared" si="495"/>
        <v>0.3</v>
      </c>
      <c r="Q1230" s="251">
        <f t="shared" si="496"/>
        <v>0</v>
      </c>
      <c r="R1230" s="173">
        <f t="shared" si="497"/>
        <v>0</v>
      </c>
      <c r="S1230" s="252"/>
      <c r="T1230" s="171">
        <f t="shared" si="498"/>
        <v>0</v>
      </c>
      <c r="U1230" s="256">
        <v>12.5</v>
      </c>
      <c r="V1230" s="170">
        <f t="shared" si="508"/>
        <v>12.790000000000001</v>
      </c>
      <c r="W1230" s="258">
        <v>0.2</v>
      </c>
      <c r="X1230" s="257">
        <f t="shared" si="510"/>
        <v>15</v>
      </c>
      <c r="Y1230" s="170">
        <f t="shared" si="503"/>
        <v>15.348000000000001</v>
      </c>
      <c r="Z1230" s="170">
        <f>IF(Y1230=0, 0, IF(Y1230&lt;10, _xlfn.CEILING.MATH(Y1230,1), IF(Y1230&lt;100, _xlfn.CEILING.MATH(Y1230,0.5),IF(Y1230&lt;1000, _xlfn.CEILING.MATH(Y1230,5), IF(Y1230&lt;10000, _xlfn.CEILING.MATH(Y1230, 25), IF(Y1230&lt;100000, _xlfn.CEILING.MATH(Y1230,250), IF(Y1230&lt;1000000, _xlfn.CEILING.MATH(Y1230,500), 0)))))))</f>
        <v>15.5</v>
      </c>
      <c r="AA1230" s="407">
        <f t="shared" si="509"/>
        <v>0</v>
      </c>
      <c r="AB1230" s="194"/>
    </row>
    <row r="1231" spans="1:28" s="278" customFormat="1" x14ac:dyDescent="0.25">
      <c r="A1231" s="200">
        <v>814010</v>
      </c>
      <c r="B1231" s="313" t="s">
        <v>19834</v>
      </c>
      <c r="C1231" s="248"/>
      <c r="D1231" s="247" t="s">
        <v>2</v>
      </c>
      <c r="E1231" s="249">
        <f t="shared" ref="E1231:F1269" si="511">U1231*G1231</f>
        <v>6</v>
      </c>
      <c r="F1231" s="170">
        <f t="shared" si="511"/>
        <v>6.1391999999999998</v>
      </c>
      <c r="G1231" s="250">
        <v>0.6</v>
      </c>
      <c r="H1231" s="171">
        <f t="shared" si="492"/>
        <v>0.6</v>
      </c>
      <c r="I1231" s="249">
        <f t="shared" ref="I1231:J1269" si="512">U1231*K1231</f>
        <v>1</v>
      </c>
      <c r="J1231" s="170">
        <f t="shared" si="512"/>
        <v>1.0231999999999999</v>
      </c>
      <c r="K1231" s="250">
        <v>0.1</v>
      </c>
      <c r="L1231" s="172">
        <f t="shared" si="506"/>
        <v>0.1</v>
      </c>
      <c r="M1231" s="249">
        <f t="shared" si="507"/>
        <v>3</v>
      </c>
      <c r="N1231" s="170">
        <f t="shared" si="494"/>
        <v>3.0695999999999999</v>
      </c>
      <c r="O1231" s="250">
        <v>0.3</v>
      </c>
      <c r="P1231" s="172">
        <f t="shared" si="495"/>
        <v>0.3</v>
      </c>
      <c r="Q1231" s="251">
        <f t="shared" si="496"/>
        <v>0</v>
      </c>
      <c r="R1231" s="173">
        <f t="shared" si="497"/>
        <v>0</v>
      </c>
      <c r="S1231" s="252"/>
      <c r="T1231" s="171">
        <f t="shared" si="498"/>
        <v>0</v>
      </c>
      <c r="U1231" s="256">
        <v>10</v>
      </c>
      <c r="V1231" s="170">
        <f t="shared" si="508"/>
        <v>10.231999999999999</v>
      </c>
      <c r="W1231" s="258">
        <v>0.2</v>
      </c>
      <c r="X1231" s="257">
        <f t="shared" si="510"/>
        <v>12</v>
      </c>
      <c r="Y1231" s="170">
        <f t="shared" si="503"/>
        <v>12.2784</v>
      </c>
      <c r="Z1231" s="170">
        <f>IF(Y1231=0, 0, IF(Y1231&lt;10, _xlfn.CEILING.MATH(Y1231,1), IF(Y1231&lt;100, _xlfn.CEILING.MATH(Y1231,0.5),IF(Y1231&lt;1000, _xlfn.CEILING.MATH(Y1231,5), IF(Y1231&lt;10000, _xlfn.CEILING.MATH(Y1231, 25), IF(Y1231&lt;100000, _xlfn.CEILING.MATH(Y1231,250), IF(Y1231&lt;1000000, _xlfn.CEILING.MATH(Y1231,500), 0)))))))</f>
        <v>12.5</v>
      </c>
      <c r="AA1231" s="407">
        <f t="shared" si="509"/>
        <v>0</v>
      </c>
      <c r="AB1231" s="194"/>
    </row>
    <row r="1232" spans="1:28" s="278" customFormat="1" x14ac:dyDescent="0.25">
      <c r="A1232" s="200">
        <v>814015</v>
      </c>
      <c r="B1232" s="313" t="s">
        <v>16103</v>
      </c>
      <c r="C1232" s="248"/>
      <c r="D1232" s="247" t="s">
        <v>7</v>
      </c>
      <c r="E1232" s="249">
        <f t="shared" si="511"/>
        <v>0</v>
      </c>
      <c r="F1232" s="170">
        <f t="shared" si="511"/>
        <v>35.650000000000006</v>
      </c>
      <c r="G1232" s="250">
        <v>0.372</v>
      </c>
      <c r="H1232" s="171">
        <f t="shared" si="492"/>
        <v>0.372</v>
      </c>
      <c r="I1232" s="249">
        <f t="shared" si="512"/>
        <v>0</v>
      </c>
      <c r="J1232" s="170">
        <f t="shared" si="512"/>
        <v>49.833333333333343</v>
      </c>
      <c r="K1232" s="250">
        <v>0.52</v>
      </c>
      <c r="L1232" s="172">
        <f t="shared" si="506"/>
        <v>0.52</v>
      </c>
      <c r="M1232" s="249">
        <f t="shared" si="507"/>
        <v>0</v>
      </c>
      <c r="N1232" s="170">
        <f t="shared" si="494"/>
        <v>6.2291666666666679</v>
      </c>
      <c r="O1232" s="250">
        <v>6.5000000000000002E-2</v>
      </c>
      <c r="P1232" s="172">
        <f t="shared" si="495"/>
        <v>6.5000000000000002E-2</v>
      </c>
      <c r="Q1232" s="251">
        <f t="shared" si="496"/>
        <v>0</v>
      </c>
      <c r="R1232" s="173">
        <f t="shared" si="497"/>
        <v>4.1208333333333336</v>
      </c>
      <c r="S1232" s="252">
        <v>4.2999999999999997E-2</v>
      </c>
      <c r="T1232" s="171">
        <f t="shared" si="498"/>
        <v>4.2999999999999997E-2</v>
      </c>
      <c r="U1232" s="256"/>
      <c r="V1232" s="170">
        <f>115/1.2</f>
        <v>95.833333333333343</v>
      </c>
      <c r="W1232" s="258">
        <v>0.2</v>
      </c>
      <c r="X1232" s="257">
        <f>U1232+U1232*W1232</f>
        <v>0</v>
      </c>
      <c r="Y1232" s="170">
        <f>IF(V1232*(W1232+1)=0,X1232,V1232*(W1232+1))</f>
        <v>115.00000000000001</v>
      </c>
      <c r="Z1232" s="170">
        <f t="shared" si="505"/>
        <v>115</v>
      </c>
      <c r="AA1232" s="407">
        <f t="shared" si="509"/>
        <v>0</v>
      </c>
      <c r="AB1232" s="194"/>
    </row>
    <row r="1233" spans="1:28" s="278" customFormat="1" x14ac:dyDescent="0.25">
      <c r="A1233" s="200">
        <v>814015</v>
      </c>
      <c r="B1233" s="313" t="s">
        <v>16104</v>
      </c>
      <c r="C1233" s="248"/>
      <c r="D1233" s="247" t="s">
        <v>7</v>
      </c>
      <c r="E1233" s="249">
        <f t="shared" si="511"/>
        <v>0</v>
      </c>
      <c r="F1233" s="170">
        <f t="shared" si="511"/>
        <v>21.080000000000002</v>
      </c>
      <c r="G1233" s="250">
        <v>0.372</v>
      </c>
      <c r="H1233" s="171">
        <f t="shared" si="492"/>
        <v>0.372</v>
      </c>
      <c r="I1233" s="249">
        <f t="shared" si="512"/>
        <v>0</v>
      </c>
      <c r="J1233" s="170">
        <f t="shared" si="512"/>
        <v>29.466666666666669</v>
      </c>
      <c r="K1233" s="250">
        <v>0.52</v>
      </c>
      <c r="L1233" s="172">
        <f t="shared" si="506"/>
        <v>0.52</v>
      </c>
      <c r="M1233" s="249">
        <f t="shared" si="507"/>
        <v>0</v>
      </c>
      <c r="N1233" s="170">
        <f t="shared" si="494"/>
        <v>3.6833333333333336</v>
      </c>
      <c r="O1233" s="250">
        <v>6.5000000000000002E-2</v>
      </c>
      <c r="P1233" s="172">
        <f t="shared" si="495"/>
        <v>6.5000000000000002E-2</v>
      </c>
      <c r="Q1233" s="251">
        <f t="shared" si="496"/>
        <v>0</v>
      </c>
      <c r="R1233" s="173">
        <f t="shared" si="497"/>
        <v>2.4366666666666665</v>
      </c>
      <c r="S1233" s="252">
        <v>4.2999999999999997E-2</v>
      </c>
      <c r="T1233" s="171">
        <f t="shared" si="498"/>
        <v>4.2999999999999997E-2</v>
      </c>
      <c r="U1233" s="256"/>
      <c r="V1233" s="170">
        <f>68/1.2</f>
        <v>56.666666666666671</v>
      </c>
      <c r="W1233" s="258">
        <v>0.2</v>
      </c>
      <c r="X1233" s="257">
        <f>U1233+U1233*W1233</f>
        <v>0</v>
      </c>
      <c r="Y1233" s="170">
        <f>IF(V1233*(W1233+1)=0,X1233,V1233*(W1233+1))</f>
        <v>68</v>
      </c>
      <c r="Z1233" s="170">
        <f t="shared" si="505"/>
        <v>68</v>
      </c>
      <c r="AA1233" s="407">
        <f t="shared" si="509"/>
        <v>0</v>
      </c>
      <c r="AB1233" s="194"/>
    </row>
    <row r="1234" spans="1:28" s="278" customFormat="1" x14ac:dyDescent="0.25">
      <c r="A1234" s="200">
        <v>814015</v>
      </c>
      <c r="B1234" s="313" t="s">
        <v>16105</v>
      </c>
      <c r="C1234" s="248"/>
      <c r="D1234" s="247" t="s">
        <v>7</v>
      </c>
      <c r="E1234" s="249">
        <f t="shared" si="511"/>
        <v>0</v>
      </c>
      <c r="F1234" s="170">
        <f t="shared" si="511"/>
        <v>17.745000000000001</v>
      </c>
      <c r="G1234" s="250">
        <v>0.33800000000000002</v>
      </c>
      <c r="H1234" s="171">
        <f t="shared" si="492"/>
        <v>0.33800000000000002</v>
      </c>
      <c r="I1234" s="249">
        <f t="shared" si="512"/>
        <v>0</v>
      </c>
      <c r="J1234" s="170">
        <f t="shared" si="512"/>
        <v>28.875000000000004</v>
      </c>
      <c r="K1234" s="250">
        <v>0.55000000000000004</v>
      </c>
      <c r="L1234" s="172">
        <f t="shared" si="506"/>
        <v>0.55000000000000004</v>
      </c>
      <c r="M1234" s="249">
        <f t="shared" si="507"/>
        <v>0</v>
      </c>
      <c r="N1234" s="170">
        <f t="shared" si="494"/>
        <v>3.5175000000000001</v>
      </c>
      <c r="O1234" s="250">
        <v>6.7000000000000004E-2</v>
      </c>
      <c r="P1234" s="172">
        <f t="shared" si="495"/>
        <v>6.7000000000000004E-2</v>
      </c>
      <c r="Q1234" s="251">
        <f t="shared" si="496"/>
        <v>0</v>
      </c>
      <c r="R1234" s="173">
        <f t="shared" si="497"/>
        <v>2.3624999999999998</v>
      </c>
      <c r="S1234" s="252">
        <v>4.4999999999999998E-2</v>
      </c>
      <c r="T1234" s="171">
        <f t="shared" si="498"/>
        <v>4.4999999999999998E-2</v>
      </c>
      <c r="U1234" s="256"/>
      <c r="V1234" s="170">
        <f>63/1.2</f>
        <v>52.5</v>
      </c>
      <c r="W1234" s="258">
        <v>0.2</v>
      </c>
      <c r="X1234" s="257">
        <f>U1234+U1234*W1234</f>
        <v>0</v>
      </c>
      <c r="Y1234" s="170">
        <f>IF(V1234*(W1234+1)=0,X1234,V1234*(W1234+1))</f>
        <v>63</v>
      </c>
      <c r="Z1234" s="170">
        <f t="shared" si="505"/>
        <v>63</v>
      </c>
      <c r="AA1234" s="407">
        <f t="shared" si="509"/>
        <v>0</v>
      </c>
      <c r="AB1234" s="194"/>
    </row>
    <row r="1235" spans="1:28" s="278" customFormat="1" x14ac:dyDescent="0.25">
      <c r="A1235" s="200">
        <v>814021</v>
      </c>
      <c r="B1235" s="313" t="s">
        <v>19835</v>
      </c>
      <c r="C1235" s="248"/>
      <c r="D1235" s="247" t="s">
        <v>7</v>
      </c>
      <c r="E1235" s="249">
        <f t="shared" si="511"/>
        <v>0</v>
      </c>
      <c r="F1235" s="170">
        <f t="shared" si="511"/>
        <v>126.66666666666669</v>
      </c>
      <c r="G1235" s="250">
        <v>0.4</v>
      </c>
      <c r="H1235" s="171">
        <f t="shared" si="492"/>
        <v>0.4</v>
      </c>
      <c r="I1235" s="249">
        <f t="shared" si="512"/>
        <v>0</v>
      </c>
      <c r="J1235" s="170">
        <f t="shared" si="512"/>
        <v>126.66666666666669</v>
      </c>
      <c r="K1235" s="250">
        <v>0.4</v>
      </c>
      <c r="L1235" s="172">
        <f t="shared" si="506"/>
        <v>0.4</v>
      </c>
      <c r="M1235" s="249">
        <f t="shared" si="507"/>
        <v>0</v>
      </c>
      <c r="N1235" s="170">
        <f t="shared" si="494"/>
        <v>47.5</v>
      </c>
      <c r="O1235" s="250">
        <v>0.15</v>
      </c>
      <c r="P1235" s="172">
        <f t="shared" si="495"/>
        <v>0.15</v>
      </c>
      <c r="Q1235" s="251">
        <f t="shared" si="496"/>
        <v>0</v>
      </c>
      <c r="R1235" s="173">
        <f t="shared" si="497"/>
        <v>15.833333333333336</v>
      </c>
      <c r="S1235" s="252">
        <v>0.05</v>
      </c>
      <c r="T1235" s="171">
        <f t="shared" si="498"/>
        <v>0.05</v>
      </c>
      <c r="U1235" s="256"/>
      <c r="V1235" s="170">
        <f>380/1.2</f>
        <v>316.66666666666669</v>
      </c>
      <c r="W1235" s="258">
        <v>0.2</v>
      </c>
      <c r="X1235" s="257">
        <f t="shared" si="510"/>
        <v>0</v>
      </c>
      <c r="Y1235" s="170">
        <f t="shared" si="503"/>
        <v>380</v>
      </c>
      <c r="Z1235" s="170">
        <f t="shared" si="505"/>
        <v>380</v>
      </c>
      <c r="AA1235" s="407">
        <f t="shared" si="509"/>
        <v>0</v>
      </c>
      <c r="AB1235" s="194"/>
    </row>
    <row r="1236" spans="1:28" s="278" customFormat="1" x14ac:dyDescent="0.25">
      <c r="A1236" s="200">
        <v>814021</v>
      </c>
      <c r="B1236" s="313" t="s">
        <v>19836</v>
      </c>
      <c r="C1236" s="248"/>
      <c r="D1236" s="247" t="s">
        <v>7</v>
      </c>
      <c r="E1236" s="249">
        <f t="shared" si="511"/>
        <v>0</v>
      </c>
      <c r="F1236" s="170">
        <f t="shared" si="511"/>
        <v>90</v>
      </c>
      <c r="G1236" s="250">
        <v>0.4</v>
      </c>
      <c r="H1236" s="171">
        <f t="shared" si="492"/>
        <v>0.4</v>
      </c>
      <c r="I1236" s="249">
        <f t="shared" si="512"/>
        <v>0</v>
      </c>
      <c r="J1236" s="170">
        <f t="shared" si="512"/>
        <v>90</v>
      </c>
      <c r="K1236" s="250">
        <v>0.4</v>
      </c>
      <c r="L1236" s="172">
        <f t="shared" si="506"/>
        <v>0.4</v>
      </c>
      <c r="M1236" s="249">
        <f t="shared" si="507"/>
        <v>0</v>
      </c>
      <c r="N1236" s="170">
        <f t="shared" si="494"/>
        <v>33.75</v>
      </c>
      <c r="O1236" s="250">
        <v>0.15</v>
      </c>
      <c r="P1236" s="172">
        <f t="shared" si="495"/>
        <v>0.15</v>
      </c>
      <c r="Q1236" s="251">
        <f t="shared" si="496"/>
        <v>0</v>
      </c>
      <c r="R1236" s="173">
        <f t="shared" si="497"/>
        <v>11.25</v>
      </c>
      <c r="S1236" s="252">
        <v>0.05</v>
      </c>
      <c r="T1236" s="171">
        <f t="shared" si="498"/>
        <v>0.05</v>
      </c>
      <c r="U1236" s="256"/>
      <c r="V1236" s="170">
        <f>270/1.2</f>
        <v>225</v>
      </c>
      <c r="W1236" s="258">
        <v>0.2</v>
      </c>
      <c r="X1236" s="257">
        <f t="shared" si="510"/>
        <v>0</v>
      </c>
      <c r="Y1236" s="170">
        <f t="shared" si="503"/>
        <v>270</v>
      </c>
      <c r="Z1236" s="170">
        <f t="shared" si="505"/>
        <v>270</v>
      </c>
      <c r="AA1236" s="407">
        <f t="shared" si="509"/>
        <v>0</v>
      </c>
      <c r="AB1236" s="194"/>
    </row>
    <row r="1237" spans="1:28" s="278" customFormat="1" x14ac:dyDescent="0.25">
      <c r="A1237" s="200">
        <v>814024</v>
      </c>
      <c r="B1237" s="313" t="s">
        <v>16106</v>
      </c>
      <c r="C1237" s="248"/>
      <c r="D1237" s="247" t="s">
        <v>7</v>
      </c>
      <c r="E1237" s="249">
        <f>U1237*G1237</f>
        <v>0</v>
      </c>
      <c r="F1237" s="170">
        <f>V1237*H1237</f>
        <v>133.33333333333334</v>
      </c>
      <c r="G1237" s="250">
        <v>0.4</v>
      </c>
      <c r="H1237" s="171">
        <f>G1237</f>
        <v>0.4</v>
      </c>
      <c r="I1237" s="249">
        <f>U1237*K1237</f>
        <v>0</v>
      </c>
      <c r="J1237" s="170">
        <f>V1237*L1237</f>
        <v>133.33333333333334</v>
      </c>
      <c r="K1237" s="250">
        <v>0.4</v>
      </c>
      <c r="L1237" s="172">
        <f>K1237</f>
        <v>0.4</v>
      </c>
      <c r="M1237" s="249">
        <f>U1237*O1237</f>
        <v>0</v>
      </c>
      <c r="N1237" s="170">
        <f>P1237*V1237</f>
        <v>50.000000000000007</v>
      </c>
      <c r="O1237" s="250">
        <v>0.15</v>
      </c>
      <c r="P1237" s="172">
        <f>O1237</f>
        <v>0.15</v>
      </c>
      <c r="Q1237" s="251">
        <f>U1237*S1237</f>
        <v>0</v>
      </c>
      <c r="R1237" s="173">
        <f>T1237*V1237</f>
        <v>16.666666666666668</v>
      </c>
      <c r="S1237" s="252">
        <v>0.05</v>
      </c>
      <c r="T1237" s="171">
        <f>S1237</f>
        <v>0.05</v>
      </c>
      <c r="U1237" s="256"/>
      <c r="V1237" s="170">
        <f>400/1.2</f>
        <v>333.33333333333337</v>
      </c>
      <c r="W1237" s="258">
        <v>0.2</v>
      </c>
      <c r="X1237" s="257">
        <f>U1237+U1237*W1237</f>
        <v>0</v>
      </c>
      <c r="Y1237" s="170">
        <f>IF(V1237*(W1237+1)=0,X1237,V1237*(W1237+1))</f>
        <v>400.00000000000006</v>
      </c>
      <c r="Z1237" s="170">
        <f>IF(Y1237=0, 0, IF(Y1237&lt;10, _xlfn.CEILING.MATH(Y1237,1), IF(Y1237&lt;100, _xlfn.CEILING.MATH(Y1237,1),IF(Y1237&lt;1000, _xlfn.CEILING.MATH(Y1237,5), IF(Y1237&lt;10000, _xlfn.CEILING.MATH(Y1237, 25), IF(Y1237&lt;100000, _xlfn.CEILING.MATH(Y1237,250), IF(Y1237&lt;1000000, _xlfn.CEILING.MATH(Y1237,500), 0)))))))</f>
        <v>400</v>
      </c>
      <c r="AA1237" s="407">
        <f>C1237*Z1237</f>
        <v>0</v>
      </c>
      <c r="AB1237" s="194"/>
    </row>
    <row r="1238" spans="1:28" s="278" customFormat="1" x14ac:dyDescent="0.25">
      <c r="A1238" s="200">
        <v>814024</v>
      </c>
      <c r="B1238" s="313" t="s">
        <v>16107</v>
      </c>
      <c r="C1238" s="248"/>
      <c r="D1238" s="247" t="s">
        <v>7</v>
      </c>
      <c r="E1238" s="249">
        <f>U1238*G1238</f>
        <v>0</v>
      </c>
      <c r="F1238" s="170">
        <f>V1238*H1238</f>
        <v>96.666666666666686</v>
      </c>
      <c r="G1238" s="250">
        <v>0.4</v>
      </c>
      <c r="H1238" s="171">
        <f>G1238</f>
        <v>0.4</v>
      </c>
      <c r="I1238" s="249">
        <f>U1238*K1238</f>
        <v>0</v>
      </c>
      <c r="J1238" s="170">
        <f>V1238*L1238</f>
        <v>96.666666666666686</v>
      </c>
      <c r="K1238" s="250">
        <v>0.4</v>
      </c>
      <c r="L1238" s="172">
        <f>K1238</f>
        <v>0.4</v>
      </c>
      <c r="M1238" s="249">
        <f>U1238*O1238</f>
        <v>0</v>
      </c>
      <c r="N1238" s="170">
        <f>P1238*V1238</f>
        <v>36.25</v>
      </c>
      <c r="O1238" s="250">
        <v>0.15</v>
      </c>
      <c r="P1238" s="172">
        <f>O1238</f>
        <v>0.15</v>
      </c>
      <c r="Q1238" s="251">
        <f>U1238*S1238</f>
        <v>0</v>
      </c>
      <c r="R1238" s="173">
        <f>T1238*V1238</f>
        <v>12.083333333333336</v>
      </c>
      <c r="S1238" s="252">
        <v>0.05</v>
      </c>
      <c r="T1238" s="171">
        <f>S1238</f>
        <v>0.05</v>
      </c>
      <c r="U1238" s="256"/>
      <c r="V1238" s="170">
        <f>290/1.2</f>
        <v>241.66666666666669</v>
      </c>
      <c r="W1238" s="258">
        <v>0.2</v>
      </c>
      <c r="X1238" s="257">
        <f>U1238+U1238*W1238</f>
        <v>0</v>
      </c>
      <c r="Y1238" s="170">
        <f>IF(V1238*(W1238+1)=0,X1238,V1238*(W1238+1))</f>
        <v>290</v>
      </c>
      <c r="Z1238" s="170">
        <f>IF(Y1238=0, 0, IF(Y1238&lt;10, _xlfn.CEILING.MATH(Y1238,1), IF(Y1238&lt;100, _xlfn.CEILING.MATH(Y1238,1),IF(Y1238&lt;1000, _xlfn.CEILING.MATH(Y1238,5), IF(Y1238&lt;10000, _xlfn.CEILING.MATH(Y1238, 25), IF(Y1238&lt;100000, _xlfn.CEILING.MATH(Y1238,250), IF(Y1238&lt;1000000, _xlfn.CEILING.MATH(Y1238,500), 0)))))))</f>
        <v>290</v>
      </c>
      <c r="AA1238" s="407">
        <f>C1238*Z1238</f>
        <v>0</v>
      </c>
      <c r="AB1238" s="194"/>
    </row>
    <row r="1239" spans="1:28" s="278" customFormat="1" ht="14.4" thickBot="1" x14ac:dyDescent="0.3">
      <c r="A1239" s="263">
        <v>814025</v>
      </c>
      <c r="B1239" s="321" t="s">
        <v>14812</v>
      </c>
      <c r="C1239" s="265"/>
      <c r="D1239" s="264" t="s">
        <v>1</v>
      </c>
      <c r="E1239" s="266">
        <f t="shared" si="511"/>
        <v>37.499850000000002</v>
      </c>
      <c r="F1239" s="174">
        <f t="shared" si="511"/>
        <v>38.27234691000001</v>
      </c>
      <c r="G1239" s="267">
        <v>0.45</v>
      </c>
      <c r="H1239" s="268">
        <f t="shared" ref="H1239:H1269" si="513">G1239</f>
        <v>0.45</v>
      </c>
      <c r="I1239" s="266">
        <f t="shared" si="512"/>
        <v>33.333199999999998</v>
      </c>
      <c r="J1239" s="174">
        <f t="shared" si="512"/>
        <v>34.019863920000006</v>
      </c>
      <c r="K1239" s="267">
        <v>0.4</v>
      </c>
      <c r="L1239" s="269">
        <f t="shared" si="506"/>
        <v>0.4</v>
      </c>
      <c r="M1239" s="266">
        <f t="shared" si="507"/>
        <v>8.3332999999999995</v>
      </c>
      <c r="N1239" s="174">
        <f t="shared" ref="N1239:N1269" si="514">P1239*V1239</f>
        <v>8.5049659800000015</v>
      </c>
      <c r="O1239" s="267">
        <v>0.1</v>
      </c>
      <c r="P1239" s="269">
        <f t="shared" ref="P1239:P1269" si="515">O1239</f>
        <v>0.1</v>
      </c>
      <c r="Q1239" s="270">
        <f t="shared" ref="Q1239:Q1269" si="516">U1239*S1239</f>
        <v>4.1666499999999997</v>
      </c>
      <c r="R1239" s="271">
        <f t="shared" ref="R1239:R1269" si="517">T1239*V1239</f>
        <v>4.2524829900000007</v>
      </c>
      <c r="S1239" s="267">
        <v>0.05</v>
      </c>
      <c r="T1239" s="268">
        <f t="shared" ref="T1239:T1269" si="518">S1239</f>
        <v>0.05</v>
      </c>
      <c r="U1239" s="409">
        <v>83.332999999999998</v>
      </c>
      <c r="V1239" s="174">
        <f t="shared" ref="V1239:V1294" si="519">SUM(E1239*1.0235,I1239*1.0175,M1239*1.0245,Q1239*1.0115)</f>
        <v>85.049659800000015</v>
      </c>
      <c r="W1239" s="322">
        <v>0.2</v>
      </c>
      <c r="X1239" s="274">
        <f t="shared" si="510"/>
        <v>99.999600000000001</v>
      </c>
      <c r="Y1239" s="174">
        <f t="shared" si="503"/>
        <v>102.05959176000002</v>
      </c>
      <c r="Z1239" s="174">
        <f t="shared" si="505"/>
        <v>105</v>
      </c>
      <c r="AA1239" s="410">
        <f t="shared" si="509"/>
        <v>0</v>
      </c>
      <c r="AB1239" s="194"/>
    </row>
    <row r="1240" spans="1:28" s="278" customFormat="1" x14ac:dyDescent="0.25">
      <c r="A1240" s="426">
        <v>814030</v>
      </c>
      <c r="B1240" s="427" t="s">
        <v>19837</v>
      </c>
      <c r="C1240" s="428"/>
      <c r="D1240" s="429" t="s">
        <v>7</v>
      </c>
      <c r="E1240" s="423">
        <f t="shared" si="511"/>
        <v>6.6667000000000005</v>
      </c>
      <c r="F1240" s="430">
        <f t="shared" si="511"/>
        <v>6.7513670900000013</v>
      </c>
      <c r="G1240" s="431">
        <v>0.1</v>
      </c>
      <c r="H1240" s="432">
        <f t="shared" si="513"/>
        <v>0.1</v>
      </c>
      <c r="I1240" s="423">
        <f t="shared" si="512"/>
        <v>0</v>
      </c>
      <c r="J1240" s="430">
        <f t="shared" si="512"/>
        <v>0</v>
      </c>
      <c r="K1240" s="439"/>
      <c r="L1240" s="433">
        <f t="shared" si="506"/>
        <v>0</v>
      </c>
      <c r="M1240" s="423">
        <f t="shared" si="507"/>
        <v>0</v>
      </c>
      <c r="N1240" s="430">
        <f t="shared" si="514"/>
        <v>0</v>
      </c>
      <c r="O1240" s="439"/>
      <c r="P1240" s="433">
        <f t="shared" si="515"/>
        <v>0</v>
      </c>
      <c r="Q1240" s="425">
        <f t="shared" si="516"/>
        <v>60.000300000000003</v>
      </c>
      <c r="R1240" s="434">
        <f t="shared" si="517"/>
        <v>60.762303810000006</v>
      </c>
      <c r="S1240" s="431">
        <v>0.9</v>
      </c>
      <c r="T1240" s="432">
        <f t="shared" si="518"/>
        <v>0.9</v>
      </c>
      <c r="U1240" s="435">
        <v>66.667000000000002</v>
      </c>
      <c r="V1240" s="430">
        <f t="shared" si="519"/>
        <v>67.513670900000008</v>
      </c>
      <c r="W1240" s="424">
        <v>0.2</v>
      </c>
      <c r="X1240" s="436">
        <f t="shared" si="510"/>
        <v>80.000399999999999</v>
      </c>
      <c r="Y1240" s="430">
        <f t="shared" si="503"/>
        <v>81.016405080000013</v>
      </c>
      <c r="Z1240" s="430">
        <f t="shared" si="505"/>
        <v>82</v>
      </c>
      <c r="AA1240" s="437">
        <f t="shared" si="509"/>
        <v>0</v>
      </c>
      <c r="AB1240" s="194"/>
    </row>
    <row r="1241" spans="1:28" s="278" customFormat="1" x14ac:dyDescent="0.25">
      <c r="A1241" s="200">
        <v>814030</v>
      </c>
      <c r="B1241" s="313" t="s">
        <v>19838</v>
      </c>
      <c r="C1241" s="248"/>
      <c r="D1241" s="247" t="s">
        <v>7</v>
      </c>
      <c r="E1241" s="249">
        <f t="shared" si="511"/>
        <v>5.8330000000000002</v>
      </c>
      <c r="F1241" s="170">
        <f t="shared" si="511"/>
        <v>5.9070791000000007</v>
      </c>
      <c r="G1241" s="250">
        <v>0.1</v>
      </c>
      <c r="H1241" s="171">
        <f t="shared" si="513"/>
        <v>0.1</v>
      </c>
      <c r="I1241" s="249">
        <f t="shared" si="512"/>
        <v>0</v>
      </c>
      <c r="J1241" s="170">
        <f t="shared" si="512"/>
        <v>0</v>
      </c>
      <c r="K1241" s="252"/>
      <c r="L1241" s="172">
        <f t="shared" si="506"/>
        <v>0</v>
      </c>
      <c r="M1241" s="249">
        <f t="shared" si="507"/>
        <v>0</v>
      </c>
      <c r="N1241" s="170">
        <f t="shared" si="514"/>
        <v>0</v>
      </c>
      <c r="O1241" s="252"/>
      <c r="P1241" s="172">
        <f t="shared" si="515"/>
        <v>0</v>
      </c>
      <c r="Q1241" s="251">
        <f t="shared" si="516"/>
        <v>52.497</v>
      </c>
      <c r="R1241" s="173">
        <f t="shared" si="517"/>
        <v>53.16371190000001</v>
      </c>
      <c r="S1241" s="250">
        <v>0.9</v>
      </c>
      <c r="T1241" s="171">
        <f t="shared" si="518"/>
        <v>0.9</v>
      </c>
      <c r="U1241" s="256">
        <v>58.33</v>
      </c>
      <c r="V1241" s="170">
        <f t="shared" si="519"/>
        <v>59.070791000000007</v>
      </c>
      <c r="W1241" s="258">
        <v>0.2</v>
      </c>
      <c r="X1241" s="257">
        <f t="shared" si="510"/>
        <v>69.995999999999995</v>
      </c>
      <c r="Y1241" s="170">
        <f t="shared" si="503"/>
        <v>70.884949200000008</v>
      </c>
      <c r="Z1241" s="170">
        <f t="shared" si="505"/>
        <v>71</v>
      </c>
      <c r="AA1241" s="407">
        <f t="shared" si="509"/>
        <v>0</v>
      </c>
      <c r="AB1241" s="194"/>
    </row>
    <row r="1242" spans="1:28" s="278" customFormat="1" x14ac:dyDescent="0.25">
      <c r="A1242" s="200">
        <v>814120</v>
      </c>
      <c r="B1242" s="313" t="s">
        <v>19839</v>
      </c>
      <c r="C1242" s="248"/>
      <c r="D1242" s="247" t="s">
        <v>11</v>
      </c>
      <c r="E1242" s="249">
        <f t="shared" si="511"/>
        <v>281.25</v>
      </c>
      <c r="F1242" s="170">
        <f t="shared" si="511"/>
        <v>287.04374999999999</v>
      </c>
      <c r="G1242" s="250">
        <v>0.45</v>
      </c>
      <c r="H1242" s="171">
        <f t="shared" si="513"/>
        <v>0.45</v>
      </c>
      <c r="I1242" s="249">
        <f t="shared" si="512"/>
        <v>250</v>
      </c>
      <c r="J1242" s="170">
        <f t="shared" si="512"/>
        <v>255.15</v>
      </c>
      <c r="K1242" s="250">
        <v>0.4</v>
      </c>
      <c r="L1242" s="172">
        <f t="shared" si="506"/>
        <v>0.4</v>
      </c>
      <c r="M1242" s="249">
        <f t="shared" si="507"/>
        <v>62.5</v>
      </c>
      <c r="N1242" s="170">
        <f t="shared" si="514"/>
        <v>63.787500000000001</v>
      </c>
      <c r="O1242" s="250">
        <v>0.1</v>
      </c>
      <c r="P1242" s="172">
        <f t="shared" si="515"/>
        <v>0.1</v>
      </c>
      <c r="Q1242" s="251">
        <f t="shared" si="516"/>
        <v>31.25</v>
      </c>
      <c r="R1242" s="173">
        <f t="shared" si="517"/>
        <v>31.893750000000001</v>
      </c>
      <c r="S1242" s="250">
        <v>0.05</v>
      </c>
      <c r="T1242" s="171">
        <f t="shared" si="518"/>
        <v>0.05</v>
      </c>
      <c r="U1242" s="256">
        <v>625</v>
      </c>
      <c r="V1242" s="170">
        <f t="shared" si="519"/>
        <v>637.875</v>
      </c>
      <c r="W1242" s="258">
        <v>0.2</v>
      </c>
      <c r="X1242" s="257">
        <f t="shared" si="510"/>
        <v>750</v>
      </c>
      <c r="Y1242" s="170">
        <f t="shared" si="503"/>
        <v>765.44999999999993</v>
      </c>
      <c r="Z1242" s="170">
        <f t="shared" si="505"/>
        <v>770</v>
      </c>
      <c r="AA1242" s="407">
        <f t="shared" si="509"/>
        <v>0</v>
      </c>
      <c r="AB1242" s="194"/>
    </row>
    <row r="1243" spans="1:28" s="278" customFormat="1" x14ac:dyDescent="0.25">
      <c r="A1243" s="200">
        <v>814120</v>
      </c>
      <c r="B1243" s="313" t="s">
        <v>19840</v>
      </c>
      <c r="C1243" s="248"/>
      <c r="D1243" s="247" t="s">
        <v>11</v>
      </c>
      <c r="E1243" s="249">
        <f t="shared" si="511"/>
        <v>187.50014999999999</v>
      </c>
      <c r="F1243" s="170">
        <f t="shared" si="511"/>
        <v>191.36265309000001</v>
      </c>
      <c r="G1243" s="250">
        <v>0.45</v>
      </c>
      <c r="H1243" s="171">
        <f t="shared" si="513"/>
        <v>0.45</v>
      </c>
      <c r="I1243" s="249">
        <f t="shared" si="512"/>
        <v>166.66679999999999</v>
      </c>
      <c r="J1243" s="170">
        <f t="shared" si="512"/>
        <v>170.10013608</v>
      </c>
      <c r="K1243" s="250">
        <v>0.4</v>
      </c>
      <c r="L1243" s="172">
        <f t="shared" si="506"/>
        <v>0.4</v>
      </c>
      <c r="M1243" s="249">
        <f t="shared" si="507"/>
        <v>41.666699999999999</v>
      </c>
      <c r="N1243" s="170">
        <f t="shared" si="514"/>
        <v>42.52503402</v>
      </c>
      <c r="O1243" s="250">
        <v>0.1</v>
      </c>
      <c r="P1243" s="172">
        <f t="shared" si="515"/>
        <v>0.1</v>
      </c>
      <c r="Q1243" s="251">
        <f t="shared" si="516"/>
        <v>20.833349999999999</v>
      </c>
      <c r="R1243" s="173">
        <f t="shared" si="517"/>
        <v>21.26251701</v>
      </c>
      <c r="S1243" s="250">
        <v>0.05</v>
      </c>
      <c r="T1243" s="171">
        <f t="shared" si="518"/>
        <v>0.05</v>
      </c>
      <c r="U1243" s="256">
        <v>416.66699999999997</v>
      </c>
      <c r="V1243" s="170">
        <f t="shared" si="519"/>
        <v>425.25034019999998</v>
      </c>
      <c r="W1243" s="258">
        <v>0.2</v>
      </c>
      <c r="X1243" s="257">
        <f t="shared" si="510"/>
        <v>500.00039999999996</v>
      </c>
      <c r="Y1243" s="170">
        <f t="shared" si="503"/>
        <v>510.30040823999997</v>
      </c>
      <c r="Z1243" s="170">
        <f t="shared" si="505"/>
        <v>515</v>
      </c>
      <c r="AA1243" s="407">
        <f t="shared" si="509"/>
        <v>0</v>
      </c>
      <c r="AB1243" s="194"/>
    </row>
    <row r="1244" spans="1:28" s="278" customFormat="1" ht="21" x14ac:dyDescent="0.25">
      <c r="A1244" s="200">
        <v>814234</v>
      </c>
      <c r="B1244" s="255" t="s">
        <v>19841</v>
      </c>
      <c r="C1244" s="248"/>
      <c r="D1244" s="247" t="s">
        <v>7</v>
      </c>
      <c r="E1244" s="249">
        <f t="shared" si="511"/>
        <v>28.125</v>
      </c>
      <c r="F1244" s="170">
        <f t="shared" si="511"/>
        <v>28.704375000000006</v>
      </c>
      <c r="G1244" s="250">
        <v>0.45</v>
      </c>
      <c r="H1244" s="171">
        <f t="shared" si="513"/>
        <v>0.45</v>
      </c>
      <c r="I1244" s="249">
        <f t="shared" si="512"/>
        <v>25</v>
      </c>
      <c r="J1244" s="170">
        <f t="shared" si="512"/>
        <v>25.515000000000004</v>
      </c>
      <c r="K1244" s="250">
        <v>0.4</v>
      </c>
      <c r="L1244" s="172">
        <f t="shared" si="506"/>
        <v>0.4</v>
      </c>
      <c r="M1244" s="249">
        <f t="shared" si="507"/>
        <v>6.25</v>
      </c>
      <c r="N1244" s="170">
        <f t="shared" si="514"/>
        <v>6.378750000000001</v>
      </c>
      <c r="O1244" s="250">
        <v>0.1</v>
      </c>
      <c r="P1244" s="172">
        <f t="shared" si="515"/>
        <v>0.1</v>
      </c>
      <c r="Q1244" s="251">
        <f t="shared" si="516"/>
        <v>3.125</v>
      </c>
      <c r="R1244" s="173">
        <f t="shared" si="517"/>
        <v>3.1893750000000005</v>
      </c>
      <c r="S1244" s="250">
        <v>0.05</v>
      </c>
      <c r="T1244" s="171">
        <f t="shared" si="518"/>
        <v>0.05</v>
      </c>
      <c r="U1244" s="256">
        <v>62.5</v>
      </c>
      <c r="V1244" s="170">
        <f t="shared" si="519"/>
        <v>63.787500000000009</v>
      </c>
      <c r="W1244" s="258">
        <v>0.2</v>
      </c>
      <c r="X1244" s="257">
        <f t="shared" si="510"/>
        <v>75</v>
      </c>
      <c r="Y1244" s="170">
        <f t="shared" si="503"/>
        <v>76.545000000000002</v>
      </c>
      <c r="Z1244" s="170">
        <f t="shared" si="505"/>
        <v>77</v>
      </c>
      <c r="AA1244" s="407">
        <f t="shared" si="509"/>
        <v>0</v>
      </c>
      <c r="AB1244" s="194"/>
    </row>
    <row r="1245" spans="1:28" s="278" customFormat="1" x14ac:dyDescent="0.25">
      <c r="A1245" s="200">
        <v>814234</v>
      </c>
      <c r="B1245" s="255" t="s">
        <v>19842</v>
      </c>
      <c r="C1245" s="248"/>
      <c r="D1245" s="247" t="s">
        <v>7</v>
      </c>
      <c r="E1245" s="249">
        <f t="shared" si="511"/>
        <v>22.5</v>
      </c>
      <c r="F1245" s="170">
        <f t="shared" si="511"/>
        <v>22.963500000000003</v>
      </c>
      <c r="G1245" s="250">
        <v>0.45</v>
      </c>
      <c r="H1245" s="171">
        <f t="shared" si="513"/>
        <v>0.45</v>
      </c>
      <c r="I1245" s="249">
        <f t="shared" si="512"/>
        <v>20</v>
      </c>
      <c r="J1245" s="170">
        <f t="shared" si="512"/>
        <v>20.412000000000006</v>
      </c>
      <c r="K1245" s="250">
        <v>0.4</v>
      </c>
      <c r="L1245" s="172">
        <f t="shared" si="506"/>
        <v>0.4</v>
      </c>
      <c r="M1245" s="249">
        <f t="shared" si="507"/>
        <v>5</v>
      </c>
      <c r="N1245" s="170">
        <f t="shared" si="514"/>
        <v>5.1030000000000015</v>
      </c>
      <c r="O1245" s="250">
        <v>0.1</v>
      </c>
      <c r="P1245" s="172">
        <f t="shared" si="515"/>
        <v>0.1</v>
      </c>
      <c r="Q1245" s="251">
        <f t="shared" si="516"/>
        <v>2.5</v>
      </c>
      <c r="R1245" s="173">
        <f t="shared" si="517"/>
        <v>2.5515000000000008</v>
      </c>
      <c r="S1245" s="250">
        <v>0.05</v>
      </c>
      <c r="T1245" s="171">
        <f t="shared" si="518"/>
        <v>0.05</v>
      </c>
      <c r="U1245" s="256">
        <v>50</v>
      </c>
      <c r="V1245" s="170">
        <f t="shared" si="519"/>
        <v>51.030000000000008</v>
      </c>
      <c r="W1245" s="258">
        <v>0.2</v>
      </c>
      <c r="X1245" s="257">
        <f t="shared" si="510"/>
        <v>60</v>
      </c>
      <c r="Y1245" s="170">
        <f t="shared" si="503"/>
        <v>61.236000000000004</v>
      </c>
      <c r="Z1245" s="170">
        <f t="shared" si="505"/>
        <v>62</v>
      </c>
      <c r="AA1245" s="407">
        <f t="shared" si="509"/>
        <v>0</v>
      </c>
      <c r="AB1245" s="194"/>
    </row>
    <row r="1246" spans="1:28" s="278" customFormat="1" x14ac:dyDescent="0.25">
      <c r="A1246" s="200">
        <v>814240</v>
      </c>
      <c r="B1246" s="313" t="s">
        <v>19843</v>
      </c>
      <c r="C1246" s="248"/>
      <c r="D1246" s="247" t="s">
        <v>7</v>
      </c>
      <c r="E1246" s="249">
        <f t="shared" si="511"/>
        <v>33.333350000000003</v>
      </c>
      <c r="F1246" s="170">
        <f t="shared" si="511"/>
        <v>34.030017014999999</v>
      </c>
      <c r="G1246" s="250">
        <v>0.5</v>
      </c>
      <c r="H1246" s="171">
        <f t="shared" si="513"/>
        <v>0.5</v>
      </c>
      <c r="I1246" s="249">
        <f t="shared" si="512"/>
        <v>23.333345000000001</v>
      </c>
      <c r="J1246" s="170">
        <f t="shared" si="512"/>
        <v>23.821011910499998</v>
      </c>
      <c r="K1246" s="250">
        <v>0.35</v>
      </c>
      <c r="L1246" s="172">
        <f t="shared" si="506"/>
        <v>0.35</v>
      </c>
      <c r="M1246" s="249">
        <f t="shared" si="507"/>
        <v>6.6666700000000008</v>
      </c>
      <c r="N1246" s="170">
        <f t="shared" si="514"/>
        <v>6.8060034030000001</v>
      </c>
      <c r="O1246" s="250">
        <v>0.1</v>
      </c>
      <c r="P1246" s="172">
        <f t="shared" si="515"/>
        <v>0.1</v>
      </c>
      <c r="Q1246" s="251">
        <f t="shared" si="516"/>
        <v>3.3333350000000004</v>
      </c>
      <c r="R1246" s="173">
        <f t="shared" si="517"/>
        <v>3.4030017015</v>
      </c>
      <c r="S1246" s="252">
        <v>0.05</v>
      </c>
      <c r="T1246" s="171">
        <f t="shared" si="518"/>
        <v>0.05</v>
      </c>
      <c r="U1246" s="256">
        <v>66.666700000000006</v>
      </c>
      <c r="V1246" s="170">
        <f t="shared" si="519"/>
        <v>68.060034029999997</v>
      </c>
      <c r="W1246" s="258">
        <v>0.2</v>
      </c>
      <c r="X1246" s="257">
        <f t="shared" si="510"/>
        <v>80.000040000000013</v>
      </c>
      <c r="Y1246" s="170">
        <f t="shared" si="503"/>
        <v>81.672040835999994</v>
      </c>
      <c r="Z1246" s="170">
        <f t="shared" si="505"/>
        <v>82</v>
      </c>
      <c r="AA1246" s="407">
        <f t="shared" si="509"/>
        <v>0</v>
      </c>
      <c r="AB1246" s="194"/>
    </row>
    <row r="1247" spans="1:28" s="278" customFormat="1" x14ac:dyDescent="0.25">
      <c r="A1247" s="200">
        <v>814240</v>
      </c>
      <c r="B1247" s="313" t="s">
        <v>19844</v>
      </c>
      <c r="C1247" s="248"/>
      <c r="D1247" s="247" t="s">
        <v>7</v>
      </c>
      <c r="E1247" s="249">
        <f t="shared" si="511"/>
        <v>29.166650000000001</v>
      </c>
      <c r="F1247" s="170">
        <f t="shared" si="511"/>
        <v>29.776232985000004</v>
      </c>
      <c r="G1247" s="250">
        <v>0.5</v>
      </c>
      <c r="H1247" s="171">
        <f t="shared" si="513"/>
        <v>0.5</v>
      </c>
      <c r="I1247" s="249">
        <f t="shared" si="512"/>
        <v>20.416654999999999</v>
      </c>
      <c r="J1247" s="170">
        <f t="shared" si="512"/>
        <v>20.843363089500002</v>
      </c>
      <c r="K1247" s="250">
        <v>0.35</v>
      </c>
      <c r="L1247" s="172">
        <f t="shared" si="506"/>
        <v>0.35</v>
      </c>
      <c r="M1247" s="249">
        <f t="shared" si="507"/>
        <v>5.8333300000000001</v>
      </c>
      <c r="N1247" s="170">
        <f t="shared" si="514"/>
        <v>5.9552465970000013</v>
      </c>
      <c r="O1247" s="250">
        <v>0.1</v>
      </c>
      <c r="P1247" s="172">
        <f t="shared" si="515"/>
        <v>0.1</v>
      </c>
      <c r="Q1247" s="251">
        <f t="shared" si="516"/>
        <v>2.9166650000000001</v>
      </c>
      <c r="R1247" s="173">
        <f t="shared" si="517"/>
        <v>2.9776232985000006</v>
      </c>
      <c r="S1247" s="252">
        <v>0.05</v>
      </c>
      <c r="T1247" s="171">
        <f t="shared" si="518"/>
        <v>0.05</v>
      </c>
      <c r="U1247" s="256">
        <v>58.333300000000001</v>
      </c>
      <c r="V1247" s="170">
        <f t="shared" si="519"/>
        <v>59.552465970000007</v>
      </c>
      <c r="W1247" s="258">
        <v>0.2</v>
      </c>
      <c r="X1247" s="257">
        <f t="shared" si="510"/>
        <v>69.999960000000002</v>
      </c>
      <c r="Y1247" s="170">
        <f t="shared" si="503"/>
        <v>71.462959164000011</v>
      </c>
      <c r="Z1247" s="170">
        <f t="shared" si="505"/>
        <v>72</v>
      </c>
      <c r="AA1247" s="407">
        <f t="shared" si="509"/>
        <v>0</v>
      </c>
      <c r="AB1247" s="194"/>
    </row>
    <row r="1248" spans="1:28" s="278" customFormat="1" x14ac:dyDescent="0.25">
      <c r="A1248" s="200">
        <v>814240</v>
      </c>
      <c r="B1248" s="313" t="s">
        <v>19845</v>
      </c>
      <c r="C1248" s="248"/>
      <c r="D1248" s="247" t="s">
        <v>7</v>
      </c>
      <c r="E1248" s="249">
        <f t="shared" si="511"/>
        <v>25</v>
      </c>
      <c r="F1248" s="170">
        <f t="shared" si="511"/>
        <v>25.522500000000004</v>
      </c>
      <c r="G1248" s="250">
        <v>0.5</v>
      </c>
      <c r="H1248" s="171">
        <f t="shared" si="513"/>
        <v>0.5</v>
      </c>
      <c r="I1248" s="249">
        <f t="shared" si="512"/>
        <v>17.5</v>
      </c>
      <c r="J1248" s="170">
        <f t="shared" si="512"/>
        <v>17.865750000000002</v>
      </c>
      <c r="K1248" s="250">
        <v>0.35</v>
      </c>
      <c r="L1248" s="172">
        <f t="shared" si="506"/>
        <v>0.35</v>
      </c>
      <c r="M1248" s="249">
        <f t="shared" si="507"/>
        <v>5</v>
      </c>
      <c r="N1248" s="170">
        <f t="shared" si="514"/>
        <v>5.1045000000000016</v>
      </c>
      <c r="O1248" s="250">
        <v>0.1</v>
      </c>
      <c r="P1248" s="172">
        <f t="shared" si="515"/>
        <v>0.1</v>
      </c>
      <c r="Q1248" s="251">
        <f t="shared" si="516"/>
        <v>2.5</v>
      </c>
      <c r="R1248" s="173">
        <f t="shared" si="517"/>
        <v>2.5522500000000008</v>
      </c>
      <c r="S1248" s="252">
        <v>0.05</v>
      </c>
      <c r="T1248" s="171">
        <f t="shared" si="518"/>
        <v>0.05</v>
      </c>
      <c r="U1248" s="256">
        <v>50</v>
      </c>
      <c r="V1248" s="170">
        <f t="shared" si="519"/>
        <v>51.045000000000009</v>
      </c>
      <c r="W1248" s="258">
        <v>0.2</v>
      </c>
      <c r="X1248" s="257">
        <f t="shared" si="510"/>
        <v>60</v>
      </c>
      <c r="Y1248" s="170">
        <f t="shared" si="503"/>
        <v>61.254000000000005</v>
      </c>
      <c r="Z1248" s="170">
        <f t="shared" si="505"/>
        <v>62</v>
      </c>
      <c r="AA1248" s="407">
        <f t="shared" si="509"/>
        <v>0</v>
      </c>
      <c r="AB1248" s="194"/>
    </row>
    <row r="1249" spans="1:28" s="278" customFormat="1" ht="21" x14ac:dyDescent="0.25">
      <c r="A1249" s="200">
        <v>814250</v>
      </c>
      <c r="B1249" s="255" t="s">
        <v>19846</v>
      </c>
      <c r="C1249" s="248"/>
      <c r="D1249" s="247" t="s">
        <v>7</v>
      </c>
      <c r="E1249" s="249">
        <f t="shared" si="511"/>
        <v>58.333350000000003</v>
      </c>
      <c r="F1249" s="170">
        <f t="shared" si="511"/>
        <v>59.572933687500012</v>
      </c>
      <c r="G1249" s="250">
        <v>0.5</v>
      </c>
      <c r="H1249" s="171">
        <f t="shared" si="513"/>
        <v>0.5</v>
      </c>
      <c r="I1249" s="249">
        <f t="shared" si="512"/>
        <v>35.000010000000003</v>
      </c>
      <c r="J1249" s="170">
        <f t="shared" si="512"/>
        <v>35.743760212500007</v>
      </c>
      <c r="K1249" s="250">
        <v>0.3</v>
      </c>
      <c r="L1249" s="172">
        <f t="shared" si="506"/>
        <v>0.3</v>
      </c>
      <c r="M1249" s="249">
        <f t="shared" si="507"/>
        <v>17.500005000000002</v>
      </c>
      <c r="N1249" s="170">
        <f t="shared" si="514"/>
        <v>17.871880106250003</v>
      </c>
      <c r="O1249" s="250">
        <v>0.15</v>
      </c>
      <c r="P1249" s="172">
        <f t="shared" si="515"/>
        <v>0.15</v>
      </c>
      <c r="Q1249" s="251">
        <f t="shared" si="516"/>
        <v>5.8333350000000008</v>
      </c>
      <c r="R1249" s="173">
        <f t="shared" si="517"/>
        <v>5.9572933687500012</v>
      </c>
      <c r="S1249" s="252">
        <v>0.05</v>
      </c>
      <c r="T1249" s="171">
        <f t="shared" si="518"/>
        <v>0.05</v>
      </c>
      <c r="U1249" s="256">
        <v>116.66670000000001</v>
      </c>
      <c r="V1249" s="170">
        <f t="shared" si="519"/>
        <v>119.14586737500002</v>
      </c>
      <c r="W1249" s="258">
        <v>0.2</v>
      </c>
      <c r="X1249" s="257">
        <f t="shared" si="510"/>
        <v>140.00004000000001</v>
      </c>
      <c r="Y1249" s="170">
        <f t="shared" si="503"/>
        <v>142.97504085000003</v>
      </c>
      <c r="Z1249" s="170">
        <f t="shared" si="505"/>
        <v>145</v>
      </c>
      <c r="AA1249" s="407">
        <f t="shared" si="509"/>
        <v>0</v>
      </c>
      <c r="AB1249" s="194"/>
    </row>
    <row r="1250" spans="1:28" s="278" customFormat="1" ht="21" x14ac:dyDescent="0.25">
      <c r="A1250" s="200">
        <v>814250</v>
      </c>
      <c r="B1250" s="255" t="s">
        <v>19847</v>
      </c>
      <c r="C1250" s="248"/>
      <c r="D1250" s="247" t="s">
        <v>7</v>
      </c>
      <c r="E1250" s="249">
        <f t="shared" si="511"/>
        <v>50</v>
      </c>
      <c r="F1250" s="170">
        <f t="shared" si="511"/>
        <v>51.0625</v>
      </c>
      <c r="G1250" s="250">
        <v>0.5</v>
      </c>
      <c r="H1250" s="171">
        <f t="shared" si="513"/>
        <v>0.5</v>
      </c>
      <c r="I1250" s="249">
        <f t="shared" si="512"/>
        <v>30</v>
      </c>
      <c r="J1250" s="170">
        <f t="shared" si="512"/>
        <v>30.637499999999999</v>
      </c>
      <c r="K1250" s="250">
        <v>0.3</v>
      </c>
      <c r="L1250" s="172">
        <f t="shared" si="506"/>
        <v>0.3</v>
      </c>
      <c r="M1250" s="249">
        <f t="shared" si="507"/>
        <v>15</v>
      </c>
      <c r="N1250" s="170">
        <f t="shared" si="514"/>
        <v>15.31875</v>
      </c>
      <c r="O1250" s="250">
        <v>0.15</v>
      </c>
      <c r="P1250" s="172">
        <f t="shared" si="515"/>
        <v>0.15</v>
      </c>
      <c r="Q1250" s="251">
        <f t="shared" si="516"/>
        <v>5</v>
      </c>
      <c r="R1250" s="173">
        <f t="shared" si="517"/>
        <v>5.1062500000000002</v>
      </c>
      <c r="S1250" s="250">
        <v>0.05</v>
      </c>
      <c r="T1250" s="171">
        <f t="shared" si="518"/>
        <v>0.05</v>
      </c>
      <c r="U1250" s="256">
        <v>100</v>
      </c>
      <c r="V1250" s="170">
        <f t="shared" si="519"/>
        <v>102.125</v>
      </c>
      <c r="W1250" s="258">
        <v>0.2</v>
      </c>
      <c r="X1250" s="257">
        <f t="shared" si="510"/>
        <v>120</v>
      </c>
      <c r="Y1250" s="170">
        <f t="shared" si="503"/>
        <v>122.55</v>
      </c>
      <c r="Z1250" s="170">
        <f t="shared" si="505"/>
        <v>125</v>
      </c>
      <c r="AA1250" s="407">
        <f t="shared" si="509"/>
        <v>0</v>
      </c>
      <c r="AB1250" s="194"/>
    </row>
    <row r="1251" spans="1:28" s="278" customFormat="1" ht="21" x14ac:dyDescent="0.25">
      <c r="A1251" s="200">
        <v>814251</v>
      </c>
      <c r="B1251" s="255" t="s">
        <v>19848</v>
      </c>
      <c r="C1251" s="248"/>
      <c r="D1251" s="247" t="s">
        <v>7</v>
      </c>
      <c r="E1251" s="249">
        <f t="shared" si="511"/>
        <v>56.25</v>
      </c>
      <c r="F1251" s="170">
        <f t="shared" si="511"/>
        <v>57.408750000000012</v>
      </c>
      <c r="G1251" s="250">
        <v>0.45</v>
      </c>
      <c r="H1251" s="171">
        <f t="shared" si="513"/>
        <v>0.45</v>
      </c>
      <c r="I1251" s="249">
        <f t="shared" si="512"/>
        <v>50</v>
      </c>
      <c r="J1251" s="170">
        <f t="shared" si="512"/>
        <v>51.030000000000008</v>
      </c>
      <c r="K1251" s="250">
        <v>0.4</v>
      </c>
      <c r="L1251" s="172">
        <f t="shared" si="506"/>
        <v>0.4</v>
      </c>
      <c r="M1251" s="249">
        <f t="shared" si="507"/>
        <v>12.5</v>
      </c>
      <c r="N1251" s="170">
        <f t="shared" si="514"/>
        <v>12.757500000000002</v>
      </c>
      <c r="O1251" s="250">
        <v>0.1</v>
      </c>
      <c r="P1251" s="172">
        <f t="shared" si="515"/>
        <v>0.1</v>
      </c>
      <c r="Q1251" s="251">
        <f t="shared" si="516"/>
        <v>6.25</v>
      </c>
      <c r="R1251" s="173">
        <f t="shared" si="517"/>
        <v>6.378750000000001</v>
      </c>
      <c r="S1251" s="250">
        <v>0.05</v>
      </c>
      <c r="T1251" s="171">
        <f t="shared" si="518"/>
        <v>0.05</v>
      </c>
      <c r="U1251" s="256">
        <v>125</v>
      </c>
      <c r="V1251" s="170">
        <f t="shared" si="519"/>
        <v>127.57500000000002</v>
      </c>
      <c r="W1251" s="258">
        <v>0.2</v>
      </c>
      <c r="X1251" s="257">
        <f t="shared" si="510"/>
        <v>150</v>
      </c>
      <c r="Y1251" s="170">
        <f t="shared" si="503"/>
        <v>153.09</v>
      </c>
      <c r="Z1251" s="170">
        <f t="shared" si="505"/>
        <v>155</v>
      </c>
      <c r="AA1251" s="407">
        <f t="shared" si="509"/>
        <v>0</v>
      </c>
      <c r="AB1251" s="194"/>
    </row>
    <row r="1252" spans="1:28" s="278" customFormat="1" ht="21" x14ac:dyDescent="0.25">
      <c r="A1252" s="200">
        <v>814251</v>
      </c>
      <c r="B1252" s="255" t="s">
        <v>19849</v>
      </c>
      <c r="C1252" s="248"/>
      <c r="D1252" s="247" t="s">
        <v>7</v>
      </c>
      <c r="E1252" s="249">
        <f t="shared" si="511"/>
        <v>45</v>
      </c>
      <c r="F1252" s="170">
        <f t="shared" si="511"/>
        <v>45.927000000000007</v>
      </c>
      <c r="G1252" s="250">
        <v>0.45</v>
      </c>
      <c r="H1252" s="171">
        <f t="shared" si="513"/>
        <v>0.45</v>
      </c>
      <c r="I1252" s="249">
        <f t="shared" si="512"/>
        <v>40</v>
      </c>
      <c r="J1252" s="170">
        <f t="shared" si="512"/>
        <v>40.824000000000012</v>
      </c>
      <c r="K1252" s="250">
        <v>0.4</v>
      </c>
      <c r="L1252" s="172">
        <f t="shared" si="506"/>
        <v>0.4</v>
      </c>
      <c r="M1252" s="249">
        <f t="shared" si="507"/>
        <v>10</v>
      </c>
      <c r="N1252" s="170">
        <f t="shared" si="514"/>
        <v>10.206000000000003</v>
      </c>
      <c r="O1252" s="250">
        <v>0.1</v>
      </c>
      <c r="P1252" s="172">
        <f t="shared" si="515"/>
        <v>0.1</v>
      </c>
      <c r="Q1252" s="251">
        <f t="shared" si="516"/>
        <v>5</v>
      </c>
      <c r="R1252" s="173">
        <f t="shared" si="517"/>
        <v>5.1030000000000015</v>
      </c>
      <c r="S1252" s="250">
        <v>0.05</v>
      </c>
      <c r="T1252" s="171">
        <f t="shared" si="518"/>
        <v>0.05</v>
      </c>
      <c r="U1252" s="256">
        <v>100</v>
      </c>
      <c r="V1252" s="170">
        <f t="shared" si="519"/>
        <v>102.06000000000002</v>
      </c>
      <c r="W1252" s="258">
        <v>0.2</v>
      </c>
      <c r="X1252" s="257">
        <f t="shared" si="510"/>
        <v>120</v>
      </c>
      <c r="Y1252" s="170">
        <f t="shared" si="503"/>
        <v>122.47200000000001</v>
      </c>
      <c r="Z1252" s="170">
        <f t="shared" si="505"/>
        <v>125</v>
      </c>
      <c r="AA1252" s="407">
        <f t="shared" si="509"/>
        <v>0</v>
      </c>
      <c r="AB1252" s="194"/>
    </row>
    <row r="1253" spans="1:28" s="278" customFormat="1" x14ac:dyDescent="0.25">
      <c r="A1253" s="195" t="s">
        <v>14813</v>
      </c>
      <c r="B1253" s="317" t="s">
        <v>14814</v>
      </c>
      <c r="C1253" s="241"/>
      <c r="D1253" s="242"/>
      <c r="E1253" s="243"/>
      <c r="F1253" s="244"/>
      <c r="G1253" s="245"/>
      <c r="H1253" s="246"/>
      <c r="I1253" s="243"/>
      <c r="J1253" s="244"/>
      <c r="K1253" s="245"/>
      <c r="L1253" s="246"/>
      <c r="M1253" s="243"/>
      <c r="N1253" s="244"/>
      <c r="O1253" s="245"/>
      <c r="P1253" s="246"/>
      <c r="Q1253" s="243"/>
      <c r="R1253" s="244"/>
      <c r="S1253" s="245"/>
      <c r="T1253" s="246"/>
      <c r="U1253" s="246"/>
      <c r="V1253" s="246"/>
      <c r="W1253" s="246"/>
      <c r="X1253" s="246"/>
      <c r="Y1253" s="244"/>
      <c r="Z1253" s="244"/>
      <c r="AA1253" s="406"/>
      <c r="AB1253" s="194"/>
    </row>
    <row r="1254" spans="1:28" s="278" customFormat="1" x14ac:dyDescent="0.25">
      <c r="A1254" s="200">
        <v>815020</v>
      </c>
      <c r="B1254" s="313" t="s">
        <v>19850</v>
      </c>
      <c r="C1254" s="248"/>
      <c r="D1254" s="247" t="s">
        <v>12</v>
      </c>
      <c r="E1254" s="249">
        <f t="shared" si="511"/>
        <v>5.4545500000000002</v>
      </c>
      <c r="F1254" s="170">
        <f t="shared" si="511"/>
        <v>5.5611864525000003</v>
      </c>
      <c r="G1254" s="250">
        <v>0.1</v>
      </c>
      <c r="H1254" s="171">
        <f t="shared" si="513"/>
        <v>0.1</v>
      </c>
      <c r="I1254" s="249">
        <f t="shared" si="512"/>
        <v>32.7273</v>
      </c>
      <c r="J1254" s="170">
        <f t="shared" si="512"/>
        <v>33.367118714999997</v>
      </c>
      <c r="K1254" s="250">
        <v>0.6</v>
      </c>
      <c r="L1254" s="172">
        <f t="shared" ref="L1254:L1300" si="520">K1254</f>
        <v>0.6</v>
      </c>
      <c r="M1254" s="249">
        <f t="shared" ref="M1254:M1300" si="521">U1254*O1254</f>
        <v>13.636374999999999</v>
      </c>
      <c r="N1254" s="170">
        <f t="shared" si="514"/>
        <v>13.90296613125</v>
      </c>
      <c r="O1254" s="250">
        <v>0.25</v>
      </c>
      <c r="P1254" s="172">
        <f t="shared" si="515"/>
        <v>0.25</v>
      </c>
      <c r="Q1254" s="251">
        <f t="shared" si="516"/>
        <v>2.7272750000000001</v>
      </c>
      <c r="R1254" s="173">
        <f t="shared" si="517"/>
        <v>2.7805932262500002</v>
      </c>
      <c r="S1254" s="250">
        <v>0.05</v>
      </c>
      <c r="T1254" s="171">
        <f t="shared" si="518"/>
        <v>0.05</v>
      </c>
      <c r="U1254" s="256">
        <v>54.545499999999997</v>
      </c>
      <c r="V1254" s="170">
        <f t="shared" si="519"/>
        <v>55.611864525000001</v>
      </c>
      <c r="W1254" s="258">
        <v>0.1</v>
      </c>
      <c r="X1254" s="257">
        <f t="shared" ref="X1254:X1265" si="522">U1254+U1254*W1254</f>
        <v>60.000049999999995</v>
      </c>
      <c r="Y1254" s="170">
        <f t="shared" ref="Y1254:Y1321" si="523">IF(V1254*(W1254+1)=0,X1254,V1254*(W1254+1))</f>
        <v>61.173050977500004</v>
      </c>
      <c r="Z1254" s="170">
        <f t="shared" si="505"/>
        <v>62</v>
      </c>
      <c r="AA1254" s="407">
        <f t="shared" si="509"/>
        <v>0</v>
      </c>
      <c r="AB1254" s="194"/>
    </row>
    <row r="1255" spans="1:28" s="278" customFormat="1" x14ac:dyDescent="0.25">
      <c r="A1255" s="200">
        <v>815020</v>
      </c>
      <c r="B1255" s="313" t="s">
        <v>19851</v>
      </c>
      <c r="C1255" s="248"/>
      <c r="D1255" s="247" t="s">
        <v>12</v>
      </c>
      <c r="E1255" s="249">
        <f t="shared" si="511"/>
        <v>3.6363599999999998</v>
      </c>
      <c r="F1255" s="170">
        <f t="shared" si="511"/>
        <v>3.7074508379999997</v>
      </c>
      <c r="G1255" s="250">
        <v>0.1</v>
      </c>
      <c r="H1255" s="171">
        <f t="shared" si="513"/>
        <v>0.1</v>
      </c>
      <c r="I1255" s="249">
        <f t="shared" si="512"/>
        <v>21.818159999999999</v>
      </c>
      <c r="J1255" s="170">
        <f t="shared" si="512"/>
        <v>22.244705027999998</v>
      </c>
      <c r="K1255" s="250">
        <v>0.6</v>
      </c>
      <c r="L1255" s="172">
        <f t="shared" si="520"/>
        <v>0.6</v>
      </c>
      <c r="M1255" s="249">
        <f t="shared" si="521"/>
        <v>9.0908999999999995</v>
      </c>
      <c r="N1255" s="170">
        <f t="shared" si="514"/>
        <v>9.2686270949999994</v>
      </c>
      <c r="O1255" s="250">
        <v>0.25</v>
      </c>
      <c r="P1255" s="172">
        <f t="shared" si="515"/>
        <v>0.25</v>
      </c>
      <c r="Q1255" s="251">
        <f t="shared" si="516"/>
        <v>1.8181799999999999</v>
      </c>
      <c r="R1255" s="173">
        <f t="shared" si="517"/>
        <v>1.8537254189999999</v>
      </c>
      <c r="S1255" s="250">
        <v>0.05</v>
      </c>
      <c r="T1255" s="171">
        <f t="shared" si="518"/>
        <v>0.05</v>
      </c>
      <c r="U1255" s="256">
        <v>36.363599999999998</v>
      </c>
      <c r="V1255" s="170">
        <f t="shared" si="519"/>
        <v>37.074508379999997</v>
      </c>
      <c r="W1255" s="258">
        <v>0.1</v>
      </c>
      <c r="X1255" s="257">
        <f t="shared" si="522"/>
        <v>39.999960000000002</v>
      </c>
      <c r="Y1255" s="170">
        <f t="shared" si="523"/>
        <v>40.781959217999997</v>
      </c>
      <c r="Z1255" s="170">
        <f t="shared" si="505"/>
        <v>41</v>
      </c>
      <c r="AA1255" s="407">
        <f t="shared" si="509"/>
        <v>0</v>
      </c>
      <c r="AB1255" s="194"/>
    </row>
    <row r="1256" spans="1:28" s="278" customFormat="1" x14ac:dyDescent="0.25">
      <c r="A1256" s="200">
        <v>815030</v>
      </c>
      <c r="B1256" s="313" t="s">
        <v>19852</v>
      </c>
      <c r="C1256" s="248"/>
      <c r="D1256" s="247" t="s">
        <v>12</v>
      </c>
      <c r="E1256" s="249">
        <f t="shared" si="511"/>
        <v>6.3636400000000002</v>
      </c>
      <c r="F1256" s="170">
        <f t="shared" si="511"/>
        <v>6.488049162000002</v>
      </c>
      <c r="G1256" s="250">
        <v>0.1</v>
      </c>
      <c r="H1256" s="171">
        <f t="shared" si="513"/>
        <v>0.1</v>
      </c>
      <c r="I1256" s="249">
        <f t="shared" si="512"/>
        <v>38.181840000000001</v>
      </c>
      <c r="J1256" s="170">
        <f t="shared" si="512"/>
        <v>38.92829497200001</v>
      </c>
      <c r="K1256" s="250">
        <v>0.6</v>
      </c>
      <c r="L1256" s="172">
        <f t="shared" si="520"/>
        <v>0.6</v>
      </c>
      <c r="M1256" s="249">
        <f t="shared" si="521"/>
        <v>15.9091</v>
      </c>
      <c r="N1256" s="170">
        <f t="shared" si="514"/>
        <v>16.220122905000004</v>
      </c>
      <c r="O1256" s="250">
        <v>0.25</v>
      </c>
      <c r="P1256" s="172">
        <f t="shared" si="515"/>
        <v>0.25</v>
      </c>
      <c r="Q1256" s="251">
        <f t="shared" si="516"/>
        <v>3.1818200000000001</v>
      </c>
      <c r="R1256" s="173">
        <f t="shared" si="517"/>
        <v>3.244024581000001</v>
      </c>
      <c r="S1256" s="250">
        <v>0.05</v>
      </c>
      <c r="T1256" s="171">
        <f t="shared" si="518"/>
        <v>0.05</v>
      </c>
      <c r="U1256" s="256">
        <v>63.636400000000002</v>
      </c>
      <c r="V1256" s="170">
        <f t="shared" si="519"/>
        <v>64.880491620000015</v>
      </c>
      <c r="W1256" s="258">
        <v>0.1</v>
      </c>
      <c r="X1256" s="257">
        <f t="shared" si="522"/>
        <v>70.000039999999998</v>
      </c>
      <c r="Y1256" s="170">
        <f t="shared" si="523"/>
        <v>71.368540782000025</v>
      </c>
      <c r="Z1256" s="170">
        <f t="shared" si="505"/>
        <v>72</v>
      </c>
      <c r="AA1256" s="407">
        <f t="shared" si="509"/>
        <v>0</v>
      </c>
      <c r="AB1256" s="194"/>
    </row>
    <row r="1257" spans="1:28" s="278" customFormat="1" x14ac:dyDescent="0.25">
      <c r="A1257" s="200">
        <v>815030</v>
      </c>
      <c r="B1257" s="313" t="s">
        <v>19853</v>
      </c>
      <c r="C1257" s="248"/>
      <c r="D1257" s="247" t="s">
        <v>12</v>
      </c>
      <c r="E1257" s="249">
        <f t="shared" si="511"/>
        <v>4.5454500000000007</v>
      </c>
      <c r="F1257" s="170">
        <f t="shared" si="511"/>
        <v>4.6343135475000006</v>
      </c>
      <c r="G1257" s="250">
        <v>0.1</v>
      </c>
      <c r="H1257" s="171">
        <f t="shared" si="513"/>
        <v>0.1</v>
      </c>
      <c r="I1257" s="249">
        <f t="shared" si="512"/>
        <v>27.2727</v>
      </c>
      <c r="J1257" s="170">
        <f t="shared" si="512"/>
        <v>27.805881285000002</v>
      </c>
      <c r="K1257" s="250">
        <v>0.6</v>
      </c>
      <c r="L1257" s="172">
        <f t="shared" si="520"/>
        <v>0.6</v>
      </c>
      <c r="M1257" s="249">
        <f t="shared" si="521"/>
        <v>11.363625000000001</v>
      </c>
      <c r="N1257" s="170">
        <f t="shared" si="514"/>
        <v>11.585783868750001</v>
      </c>
      <c r="O1257" s="250">
        <v>0.25</v>
      </c>
      <c r="P1257" s="172">
        <f t="shared" si="515"/>
        <v>0.25</v>
      </c>
      <c r="Q1257" s="251">
        <f t="shared" si="516"/>
        <v>2.2727250000000003</v>
      </c>
      <c r="R1257" s="173">
        <f t="shared" si="517"/>
        <v>2.3171567737500003</v>
      </c>
      <c r="S1257" s="250">
        <v>0.05</v>
      </c>
      <c r="T1257" s="171">
        <f t="shared" si="518"/>
        <v>0.05</v>
      </c>
      <c r="U1257" s="256">
        <v>45.454500000000003</v>
      </c>
      <c r="V1257" s="170">
        <f t="shared" si="519"/>
        <v>46.343135475000004</v>
      </c>
      <c r="W1257" s="258">
        <v>0.1</v>
      </c>
      <c r="X1257" s="257">
        <f t="shared" si="522"/>
        <v>49.999950000000005</v>
      </c>
      <c r="Y1257" s="170">
        <f t="shared" si="523"/>
        <v>50.977449022500011</v>
      </c>
      <c r="Z1257" s="170">
        <f t="shared" si="505"/>
        <v>51</v>
      </c>
      <c r="AA1257" s="407">
        <f t="shared" si="509"/>
        <v>0</v>
      </c>
      <c r="AB1257" s="194"/>
    </row>
    <row r="1258" spans="1:28" s="278" customFormat="1" x14ac:dyDescent="0.25">
      <c r="A1258" s="200">
        <v>815040</v>
      </c>
      <c r="B1258" s="313" t="s">
        <v>19854</v>
      </c>
      <c r="C1258" s="248"/>
      <c r="D1258" s="247" t="s">
        <v>3</v>
      </c>
      <c r="E1258" s="249">
        <f t="shared" si="511"/>
        <v>110.833365</v>
      </c>
      <c r="F1258" s="170">
        <f t="shared" si="511"/>
        <v>113.3714490585</v>
      </c>
      <c r="G1258" s="250">
        <v>0.95</v>
      </c>
      <c r="H1258" s="171">
        <f t="shared" si="513"/>
        <v>0.95</v>
      </c>
      <c r="I1258" s="249">
        <f t="shared" si="512"/>
        <v>0</v>
      </c>
      <c r="J1258" s="170">
        <f t="shared" si="512"/>
        <v>0</v>
      </c>
      <c r="K1258" s="251"/>
      <c r="L1258" s="172">
        <f t="shared" si="520"/>
        <v>0</v>
      </c>
      <c r="M1258" s="249">
        <f t="shared" si="521"/>
        <v>0</v>
      </c>
      <c r="N1258" s="170">
        <f t="shared" si="514"/>
        <v>0</v>
      </c>
      <c r="O1258" s="251"/>
      <c r="P1258" s="172">
        <f t="shared" si="515"/>
        <v>0</v>
      </c>
      <c r="Q1258" s="251">
        <f t="shared" si="516"/>
        <v>5.8333350000000008</v>
      </c>
      <c r="R1258" s="173">
        <f t="shared" si="517"/>
        <v>5.9669183715000003</v>
      </c>
      <c r="S1258" s="250">
        <v>0.05</v>
      </c>
      <c r="T1258" s="171">
        <f t="shared" si="518"/>
        <v>0.05</v>
      </c>
      <c r="U1258" s="256">
        <v>116.66670000000001</v>
      </c>
      <c r="V1258" s="170">
        <f t="shared" si="519"/>
        <v>119.33836743000001</v>
      </c>
      <c r="W1258" s="258">
        <v>0.2</v>
      </c>
      <c r="X1258" s="257">
        <f t="shared" si="522"/>
        <v>140.00004000000001</v>
      </c>
      <c r="Y1258" s="170">
        <f t="shared" si="523"/>
        <v>143.20604091600001</v>
      </c>
      <c r="Z1258" s="170">
        <f t="shared" si="505"/>
        <v>145</v>
      </c>
      <c r="AA1258" s="407">
        <f t="shared" si="509"/>
        <v>0</v>
      </c>
      <c r="AB1258" s="194"/>
    </row>
    <row r="1259" spans="1:28" s="278" customFormat="1" x14ac:dyDescent="0.25">
      <c r="A1259" s="200">
        <v>815040</v>
      </c>
      <c r="B1259" s="313" t="s">
        <v>19855</v>
      </c>
      <c r="C1259" s="248"/>
      <c r="D1259" s="247" t="s">
        <v>3</v>
      </c>
      <c r="E1259" s="249">
        <f t="shared" si="511"/>
        <v>98.958365000000001</v>
      </c>
      <c r="F1259" s="170">
        <f t="shared" si="511"/>
        <v>101.2245115585</v>
      </c>
      <c r="G1259" s="250">
        <v>0.95</v>
      </c>
      <c r="H1259" s="171">
        <f t="shared" si="513"/>
        <v>0.95</v>
      </c>
      <c r="I1259" s="249">
        <f t="shared" si="512"/>
        <v>0</v>
      </c>
      <c r="J1259" s="170">
        <f t="shared" si="512"/>
        <v>0</v>
      </c>
      <c r="K1259" s="251"/>
      <c r="L1259" s="172">
        <f t="shared" si="520"/>
        <v>0</v>
      </c>
      <c r="M1259" s="249">
        <f t="shared" si="521"/>
        <v>0</v>
      </c>
      <c r="N1259" s="170">
        <f t="shared" si="514"/>
        <v>0</v>
      </c>
      <c r="O1259" s="251"/>
      <c r="P1259" s="172">
        <f t="shared" si="515"/>
        <v>0</v>
      </c>
      <c r="Q1259" s="251">
        <f t="shared" si="516"/>
        <v>5.2083350000000008</v>
      </c>
      <c r="R1259" s="173">
        <f t="shared" si="517"/>
        <v>5.3276058715000012</v>
      </c>
      <c r="S1259" s="250">
        <v>0.05</v>
      </c>
      <c r="T1259" s="171">
        <f t="shared" si="518"/>
        <v>0.05</v>
      </c>
      <c r="U1259" s="256">
        <v>104.16670000000001</v>
      </c>
      <c r="V1259" s="170">
        <f t="shared" si="519"/>
        <v>106.55211743000001</v>
      </c>
      <c r="W1259" s="258">
        <v>0.2</v>
      </c>
      <c r="X1259" s="257">
        <f t="shared" si="522"/>
        <v>125.00004000000001</v>
      </c>
      <c r="Y1259" s="170">
        <f t="shared" si="523"/>
        <v>127.862540916</v>
      </c>
      <c r="Z1259" s="170">
        <f t="shared" si="505"/>
        <v>130</v>
      </c>
      <c r="AA1259" s="407">
        <f t="shared" si="509"/>
        <v>0</v>
      </c>
      <c r="AB1259" s="194"/>
    </row>
    <row r="1260" spans="1:28" s="278" customFormat="1" x14ac:dyDescent="0.25">
      <c r="A1260" s="200">
        <v>815050</v>
      </c>
      <c r="B1260" s="313" t="s">
        <v>19856</v>
      </c>
      <c r="C1260" s="248"/>
      <c r="D1260" s="247" t="s">
        <v>3</v>
      </c>
      <c r="E1260" s="249">
        <f t="shared" si="511"/>
        <v>57.2916685</v>
      </c>
      <c r="F1260" s="170">
        <f t="shared" si="511"/>
        <v>58.526303956174999</v>
      </c>
      <c r="G1260" s="250">
        <v>0.55000000000000004</v>
      </c>
      <c r="H1260" s="171">
        <f t="shared" si="513"/>
        <v>0.55000000000000004</v>
      </c>
      <c r="I1260" s="249">
        <f t="shared" si="512"/>
        <v>26.041667499999999</v>
      </c>
      <c r="J1260" s="170">
        <f t="shared" si="512"/>
        <v>26.602865434624999</v>
      </c>
      <c r="K1260" s="250">
        <v>0.25</v>
      </c>
      <c r="L1260" s="172">
        <f t="shared" si="520"/>
        <v>0.25</v>
      </c>
      <c r="M1260" s="249">
        <f t="shared" si="521"/>
        <v>15.625000499999999</v>
      </c>
      <c r="N1260" s="170">
        <f t="shared" si="514"/>
        <v>15.961719260774998</v>
      </c>
      <c r="O1260" s="250">
        <v>0.15</v>
      </c>
      <c r="P1260" s="172">
        <f t="shared" si="515"/>
        <v>0.15</v>
      </c>
      <c r="Q1260" s="251">
        <f t="shared" si="516"/>
        <v>5.2083335000000002</v>
      </c>
      <c r="R1260" s="173">
        <f t="shared" si="517"/>
        <v>5.3205730869250001</v>
      </c>
      <c r="S1260" s="250">
        <v>0.05</v>
      </c>
      <c r="T1260" s="171">
        <f t="shared" si="518"/>
        <v>0.05</v>
      </c>
      <c r="U1260" s="256">
        <v>104.16667</v>
      </c>
      <c r="V1260" s="170">
        <f t="shared" si="519"/>
        <v>106.41146173849999</v>
      </c>
      <c r="W1260" s="258">
        <v>0.2</v>
      </c>
      <c r="X1260" s="257">
        <f t="shared" si="522"/>
        <v>125.00000399999999</v>
      </c>
      <c r="Y1260" s="170">
        <f t="shared" si="523"/>
        <v>127.69375408619999</v>
      </c>
      <c r="Z1260" s="170">
        <f t="shared" si="505"/>
        <v>130</v>
      </c>
      <c r="AA1260" s="407">
        <f t="shared" si="509"/>
        <v>0</v>
      </c>
      <c r="AB1260" s="194"/>
    </row>
    <row r="1261" spans="1:28" s="278" customFormat="1" x14ac:dyDescent="0.25">
      <c r="A1261" s="200">
        <v>815050</v>
      </c>
      <c r="B1261" s="313" t="s">
        <v>19857</v>
      </c>
      <c r="C1261" s="248"/>
      <c r="D1261" s="247" t="s">
        <v>3</v>
      </c>
      <c r="E1261" s="249">
        <f t="shared" si="511"/>
        <v>52.708314999999999</v>
      </c>
      <c r="F1261" s="170">
        <f t="shared" si="511"/>
        <v>53.844179188250003</v>
      </c>
      <c r="G1261" s="250">
        <v>0.55000000000000004</v>
      </c>
      <c r="H1261" s="171">
        <f t="shared" si="513"/>
        <v>0.55000000000000004</v>
      </c>
      <c r="I1261" s="249">
        <f t="shared" si="512"/>
        <v>23.958324999999999</v>
      </c>
      <c r="J1261" s="170">
        <f t="shared" si="512"/>
        <v>24.47462690375</v>
      </c>
      <c r="K1261" s="250">
        <v>0.25</v>
      </c>
      <c r="L1261" s="172">
        <f t="shared" si="520"/>
        <v>0.25</v>
      </c>
      <c r="M1261" s="249">
        <f t="shared" si="521"/>
        <v>14.374994999999998</v>
      </c>
      <c r="N1261" s="170">
        <f t="shared" si="514"/>
        <v>14.68477614225</v>
      </c>
      <c r="O1261" s="250">
        <v>0.15</v>
      </c>
      <c r="P1261" s="172">
        <f t="shared" si="515"/>
        <v>0.15</v>
      </c>
      <c r="Q1261" s="251">
        <f t="shared" si="516"/>
        <v>4.7916650000000001</v>
      </c>
      <c r="R1261" s="173">
        <f t="shared" si="517"/>
        <v>4.8949253807500002</v>
      </c>
      <c r="S1261" s="250">
        <v>0.05</v>
      </c>
      <c r="T1261" s="171">
        <f t="shared" si="518"/>
        <v>0.05</v>
      </c>
      <c r="U1261" s="256">
        <v>95.833299999999994</v>
      </c>
      <c r="V1261" s="170">
        <f t="shared" si="519"/>
        <v>97.898507615</v>
      </c>
      <c r="W1261" s="258">
        <v>0.2</v>
      </c>
      <c r="X1261" s="257">
        <f t="shared" si="522"/>
        <v>114.99995999999999</v>
      </c>
      <c r="Y1261" s="170">
        <f t="shared" si="523"/>
        <v>117.478209138</v>
      </c>
      <c r="Z1261" s="170">
        <f t="shared" si="505"/>
        <v>120</v>
      </c>
      <c r="AA1261" s="407">
        <f t="shared" si="509"/>
        <v>0</v>
      </c>
      <c r="AB1261" s="194"/>
    </row>
    <row r="1262" spans="1:28" s="278" customFormat="1" x14ac:dyDescent="0.25">
      <c r="A1262" s="200">
        <v>815060</v>
      </c>
      <c r="B1262" s="313" t="s">
        <v>19858</v>
      </c>
      <c r="C1262" s="248"/>
      <c r="D1262" s="247" t="s">
        <v>3</v>
      </c>
      <c r="E1262" s="249">
        <f t="shared" si="511"/>
        <v>45</v>
      </c>
      <c r="F1262" s="170">
        <f t="shared" si="511"/>
        <v>45.927000000000007</v>
      </c>
      <c r="G1262" s="250">
        <v>0.45</v>
      </c>
      <c r="H1262" s="171">
        <f t="shared" si="513"/>
        <v>0.45</v>
      </c>
      <c r="I1262" s="249">
        <f t="shared" si="512"/>
        <v>40</v>
      </c>
      <c r="J1262" s="170">
        <f t="shared" si="512"/>
        <v>40.824000000000012</v>
      </c>
      <c r="K1262" s="250">
        <v>0.4</v>
      </c>
      <c r="L1262" s="172">
        <f t="shared" si="520"/>
        <v>0.4</v>
      </c>
      <c r="M1262" s="249">
        <f t="shared" si="521"/>
        <v>10</v>
      </c>
      <c r="N1262" s="170">
        <f t="shared" si="514"/>
        <v>10.206000000000003</v>
      </c>
      <c r="O1262" s="250">
        <v>0.1</v>
      </c>
      <c r="P1262" s="172">
        <f t="shared" si="515"/>
        <v>0.1</v>
      </c>
      <c r="Q1262" s="251">
        <f t="shared" si="516"/>
        <v>5</v>
      </c>
      <c r="R1262" s="173">
        <f t="shared" si="517"/>
        <v>5.1030000000000015</v>
      </c>
      <c r="S1262" s="250">
        <v>0.05</v>
      </c>
      <c r="T1262" s="171">
        <f t="shared" si="518"/>
        <v>0.05</v>
      </c>
      <c r="U1262" s="256">
        <v>100</v>
      </c>
      <c r="V1262" s="170">
        <f t="shared" si="519"/>
        <v>102.06000000000002</v>
      </c>
      <c r="W1262" s="258">
        <v>0.2</v>
      </c>
      <c r="X1262" s="257">
        <f t="shared" si="522"/>
        <v>120</v>
      </c>
      <c r="Y1262" s="170">
        <f t="shared" si="523"/>
        <v>122.47200000000001</v>
      </c>
      <c r="Z1262" s="170">
        <f t="shared" si="505"/>
        <v>125</v>
      </c>
      <c r="AA1262" s="407">
        <f t="shared" si="509"/>
        <v>0</v>
      </c>
      <c r="AB1262" s="194"/>
    </row>
    <row r="1263" spans="1:28" s="278" customFormat="1" x14ac:dyDescent="0.25">
      <c r="A1263" s="200">
        <v>815060</v>
      </c>
      <c r="B1263" s="313" t="s">
        <v>19859</v>
      </c>
      <c r="C1263" s="248"/>
      <c r="D1263" s="247" t="s">
        <v>3</v>
      </c>
      <c r="E1263" s="249">
        <f t="shared" si="511"/>
        <v>41.250015000000005</v>
      </c>
      <c r="F1263" s="170">
        <f t="shared" si="511"/>
        <v>42.099765309000013</v>
      </c>
      <c r="G1263" s="250">
        <v>0.45</v>
      </c>
      <c r="H1263" s="171">
        <f t="shared" si="513"/>
        <v>0.45</v>
      </c>
      <c r="I1263" s="249">
        <f t="shared" si="512"/>
        <v>36.666680000000007</v>
      </c>
      <c r="J1263" s="170">
        <f t="shared" si="512"/>
        <v>37.422013608000007</v>
      </c>
      <c r="K1263" s="250">
        <v>0.4</v>
      </c>
      <c r="L1263" s="172">
        <f t="shared" si="520"/>
        <v>0.4</v>
      </c>
      <c r="M1263" s="249">
        <f t="shared" si="521"/>
        <v>9.1666700000000017</v>
      </c>
      <c r="N1263" s="170">
        <f t="shared" si="514"/>
        <v>9.3555034020000019</v>
      </c>
      <c r="O1263" s="250">
        <v>0.1</v>
      </c>
      <c r="P1263" s="172">
        <f t="shared" si="515"/>
        <v>0.1</v>
      </c>
      <c r="Q1263" s="251">
        <f t="shared" si="516"/>
        <v>4.5833350000000008</v>
      </c>
      <c r="R1263" s="173">
        <f t="shared" si="517"/>
        <v>4.6777517010000009</v>
      </c>
      <c r="S1263" s="250">
        <v>0.05</v>
      </c>
      <c r="T1263" s="171">
        <f t="shared" si="518"/>
        <v>0.05</v>
      </c>
      <c r="U1263" s="256">
        <v>91.666700000000006</v>
      </c>
      <c r="V1263" s="170">
        <f t="shared" si="519"/>
        <v>93.555034020000022</v>
      </c>
      <c r="W1263" s="258">
        <v>0.2</v>
      </c>
      <c r="X1263" s="257">
        <f t="shared" si="522"/>
        <v>110.00004000000001</v>
      </c>
      <c r="Y1263" s="170">
        <f t="shared" si="523"/>
        <v>112.26604082400003</v>
      </c>
      <c r="Z1263" s="170">
        <f t="shared" si="505"/>
        <v>115</v>
      </c>
      <c r="AA1263" s="407">
        <f t="shared" si="509"/>
        <v>0</v>
      </c>
      <c r="AB1263" s="194"/>
    </row>
    <row r="1264" spans="1:28" s="278" customFormat="1" x14ac:dyDescent="0.25">
      <c r="A1264" s="200">
        <v>815200</v>
      </c>
      <c r="B1264" s="313" t="s">
        <v>19860</v>
      </c>
      <c r="C1264" s="248"/>
      <c r="D1264" s="247" t="s">
        <v>12</v>
      </c>
      <c r="E1264" s="249">
        <f t="shared" si="511"/>
        <v>5.4545500000000002</v>
      </c>
      <c r="F1264" s="170">
        <f t="shared" si="511"/>
        <v>5.5614591800000008</v>
      </c>
      <c r="G1264" s="250">
        <v>0.1</v>
      </c>
      <c r="H1264" s="171">
        <f t="shared" si="513"/>
        <v>0.1</v>
      </c>
      <c r="I1264" s="249">
        <f t="shared" si="512"/>
        <v>27.272749999999998</v>
      </c>
      <c r="J1264" s="170">
        <f t="shared" si="512"/>
        <v>27.807295900000003</v>
      </c>
      <c r="K1264" s="250">
        <v>0.5</v>
      </c>
      <c r="L1264" s="172">
        <f t="shared" si="520"/>
        <v>0.5</v>
      </c>
      <c r="M1264" s="249">
        <f t="shared" si="521"/>
        <v>16.36365</v>
      </c>
      <c r="N1264" s="170">
        <f t="shared" si="514"/>
        <v>16.68437754</v>
      </c>
      <c r="O1264" s="250">
        <v>0.3</v>
      </c>
      <c r="P1264" s="172">
        <f t="shared" si="515"/>
        <v>0.3</v>
      </c>
      <c r="Q1264" s="251">
        <f t="shared" si="516"/>
        <v>5.4545500000000002</v>
      </c>
      <c r="R1264" s="173">
        <f t="shared" si="517"/>
        <v>5.5614591800000008</v>
      </c>
      <c r="S1264" s="250">
        <v>0.1</v>
      </c>
      <c r="T1264" s="171">
        <f t="shared" si="518"/>
        <v>0.1</v>
      </c>
      <c r="U1264" s="256">
        <v>54.545499999999997</v>
      </c>
      <c r="V1264" s="170">
        <f t="shared" si="519"/>
        <v>55.614591800000007</v>
      </c>
      <c r="W1264" s="258">
        <v>0.1</v>
      </c>
      <c r="X1264" s="257">
        <f t="shared" si="522"/>
        <v>60.000049999999995</v>
      </c>
      <c r="Y1264" s="170">
        <f t="shared" si="523"/>
        <v>61.176050980000014</v>
      </c>
      <c r="Z1264" s="170">
        <f t="shared" si="505"/>
        <v>62</v>
      </c>
      <c r="AA1264" s="407">
        <f t="shared" si="509"/>
        <v>0</v>
      </c>
      <c r="AB1264" s="194"/>
    </row>
    <row r="1265" spans="1:28" s="278" customFormat="1" x14ac:dyDescent="0.25">
      <c r="A1265" s="200">
        <v>815200</v>
      </c>
      <c r="B1265" s="313" t="s">
        <v>19861</v>
      </c>
      <c r="C1265" s="248"/>
      <c r="D1265" s="247" t="s">
        <v>12</v>
      </c>
      <c r="E1265" s="249">
        <f t="shared" si="511"/>
        <v>4.5454500000000007</v>
      </c>
      <c r="F1265" s="170">
        <f t="shared" si="511"/>
        <v>4.6345408200000007</v>
      </c>
      <c r="G1265" s="250">
        <v>0.1</v>
      </c>
      <c r="H1265" s="171">
        <f t="shared" si="513"/>
        <v>0.1</v>
      </c>
      <c r="I1265" s="249">
        <f t="shared" si="512"/>
        <v>22.727250000000002</v>
      </c>
      <c r="J1265" s="170">
        <f t="shared" si="512"/>
        <v>23.172704100000001</v>
      </c>
      <c r="K1265" s="250">
        <v>0.5</v>
      </c>
      <c r="L1265" s="172">
        <f t="shared" si="520"/>
        <v>0.5</v>
      </c>
      <c r="M1265" s="249">
        <f t="shared" si="521"/>
        <v>13.63635</v>
      </c>
      <c r="N1265" s="170">
        <f t="shared" si="514"/>
        <v>13.903622459999999</v>
      </c>
      <c r="O1265" s="250">
        <v>0.3</v>
      </c>
      <c r="P1265" s="172">
        <f t="shared" si="515"/>
        <v>0.3</v>
      </c>
      <c r="Q1265" s="251">
        <f t="shared" si="516"/>
        <v>4.5454500000000007</v>
      </c>
      <c r="R1265" s="173">
        <f t="shared" si="517"/>
        <v>4.6345408200000007</v>
      </c>
      <c r="S1265" s="250">
        <v>0.1</v>
      </c>
      <c r="T1265" s="171">
        <f t="shared" si="518"/>
        <v>0.1</v>
      </c>
      <c r="U1265" s="256">
        <v>45.454500000000003</v>
      </c>
      <c r="V1265" s="170">
        <f t="shared" si="519"/>
        <v>46.345408200000001</v>
      </c>
      <c r="W1265" s="258">
        <v>0.1</v>
      </c>
      <c r="X1265" s="257">
        <f t="shared" si="522"/>
        <v>49.999950000000005</v>
      </c>
      <c r="Y1265" s="170">
        <f t="shared" si="523"/>
        <v>50.979949020000006</v>
      </c>
      <c r="Z1265" s="170">
        <f t="shared" si="505"/>
        <v>51</v>
      </c>
      <c r="AA1265" s="407">
        <f t="shared" si="509"/>
        <v>0</v>
      </c>
      <c r="AB1265" s="194"/>
    </row>
    <row r="1266" spans="1:28" s="278" customFormat="1" x14ac:dyDescent="0.25">
      <c r="A1266" s="195" t="s">
        <v>14815</v>
      </c>
      <c r="B1266" s="317" t="s">
        <v>14816</v>
      </c>
      <c r="C1266" s="241"/>
      <c r="D1266" s="242"/>
      <c r="E1266" s="243"/>
      <c r="F1266" s="244"/>
      <c r="G1266" s="245"/>
      <c r="H1266" s="246"/>
      <c r="I1266" s="243"/>
      <c r="J1266" s="244"/>
      <c r="K1266" s="245"/>
      <c r="L1266" s="246"/>
      <c r="M1266" s="243"/>
      <c r="N1266" s="244"/>
      <c r="O1266" s="245"/>
      <c r="P1266" s="246"/>
      <c r="Q1266" s="243"/>
      <c r="R1266" s="244"/>
      <c r="S1266" s="245"/>
      <c r="T1266" s="246"/>
      <c r="U1266" s="246"/>
      <c r="V1266" s="246"/>
      <c r="W1266" s="246"/>
      <c r="X1266" s="246"/>
      <c r="Y1266" s="244"/>
      <c r="Z1266" s="244"/>
      <c r="AA1266" s="406"/>
      <c r="AB1266" s="194"/>
    </row>
    <row r="1267" spans="1:28" s="278" customFormat="1" x14ac:dyDescent="0.25">
      <c r="A1267" s="200">
        <v>816100</v>
      </c>
      <c r="B1267" s="313" t="s">
        <v>19862</v>
      </c>
      <c r="C1267" s="248"/>
      <c r="D1267" s="247" t="s">
        <v>7</v>
      </c>
      <c r="E1267" s="249">
        <f t="shared" si="511"/>
        <v>3.3333200000000001</v>
      </c>
      <c r="F1267" s="170">
        <f t="shared" si="511"/>
        <v>3.4021530579999997</v>
      </c>
      <c r="G1267" s="250">
        <v>0.4</v>
      </c>
      <c r="H1267" s="171">
        <f t="shared" si="513"/>
        <v>0.4</v>
      </c>
      <c r="I1267" s="249">
        <f t="shared" si="512"/>
        <v>3.3333200000000001</v>
      </c>
      <c r="J1267" s="170">
        <f t="shared" si="512"/>
        <v>3.4021530579999997</v>
      </c>
      <c r="K1267" s="250">
        <v>0.4</v>
      </c>
      <c r="L1267" s="172">
        <f t="shared" si="520"/>
        <v>0.4</v>
      </c>
      <c r="M1267" s="249">
        <f t="shared" si="521"/>
        <v>1.249995</v>
      </c>
      <c r="N1267" s="170">
        <f t="shared" si="514"/>
        <v>1.2758073967499999</v>
      </c>
      <c r="O1267" s="250">
        <v>0.15</v>
      </c>
      <c r="P1267" s="172">
        <f t="shared" si="515"/>
        <v>0.15</v>
      </c>
      <c r="Q1267" s="251">
        <f t="shared" si="516"/>
        <v>0.41666500000000001</v>
      </c>
      <c r="R1267" s="173">
        <f t="shared" si="517"/>
        <v>0.42526913224999996</v>
      </c>
      <c r="S1267" s="250">
        <v>0.05</v>
      </c>
      <c r="T1267" s="171">
        <f t="shared" si="518"/>
        <v>0.05</v>
      </c>
      <c r="U1267" s="256">
        <v>8.3332999999999995</v>
      </c>
      <c r="V1267" s="170">
        <f t="shared" si="519"/>
        <v>8.5053826449999992</v>
      </c>
      <c r="W1267" s="258">
        <v>0.2</v>
      </c>
      <c r="X1267" s="257">
        <f>U1267+U1267*W1267</f>
        <v>9.9999599999999997</v>
      </c>
      <c r="Y1267" s="170">
        <f t="shared" si="523"/>
        <v>10.206459173999999</v>
      </c>
      <c r="Z1267" s="170">
        <f t="shared" ref="Z1267:Z1332" si="524">IF(Y1267=0, 0, IF(Y1267&lt;10, _xlfn.CEILING.MATH(Y1267,1), IF(Y1267&lt;100, _xlfn.CEILING.MATH(Y1267,1),IF(Y1267&lt;1000, _xlfn.CEILING.MATH(Y1267,5), IF(Y1267&lt;10000, _xlfn.CEILING.MATH(Y1267, 25), IF(Y1267&lt;100000, _xlfn.CEILING.MATH(Y1267,250), IF(Y1267&lt;1000000, _xlfn.CEILING.MATH(Y1267,500), 0)))))))</f>
        <v>11</v>
      </c>
      <c r="AA1267" s="407">
        <f t="shared" si="509"/>
        <v>0</v>
      </c>
      <c r="AB1267" s="194"/>
    </row>
    <row r="1268" spans="1:28" s="278" customFormat="1" x14ac:dyDescent="0.25">
      <c r="A1268" s="200">
        <v>816100</v>
      </c>
      <c r="B1268" s="313" t="s">
        <v>19863</v>
      </c>
      <c r="C1268" s="248"/>
      <c r="D1268" s="247" t="s">
        <v>7</v>
      </c>
      <c r="E1268" s="249">
        <f t="shared" si="511"/>
        <v>6.6666799999999995</v>
      </c>
      <c r="F1268" s="170">
        <f t="shared" si="511"/>
        <v>6.8043469419999996</v>
      </c>
      <c r="G1268" s="250">
        <v>0.4</v>
      </c>
      <c r="H1268" s="171">
        <f t="shared" si="513"/>
        <v>0.4</v>
      </c>
      <c r="I1268" s="249">
        <f t="shared" si="512"/>
        <v>6.6666799999999995</v>
      </c>
      <c r="J1268" s="170">
        <f t="shared" si="512"/>
        <v>6.8043469419999996</v>
      </c>
      <c r="K1268" s="250">
        <v>0.4</v>
      </c>
      <c r="L1268" s="172">
        <f t="shared" si="520"/>
        <v>0.4</v>
      </c>
      <c r="M1268" s="249">
        <f t="shared" si="521"/>
        <v>2.5000049999999998</v>
      </c>
      <c r="N1268" s="170">
        <f t="shared" si="514"/>
        <v>2.5516301032499995</v>
      </c>
      <c r="O1268" s="250">
        <v>0.15</v>
      </c>
      <c r="P1268" s="172">
        <f t="shared" si="515"/>
        <v>0.15</v>
      </c>
      <c r="Q1268" s="251">
        <f t="shared" si="516"/>
        <v>0.83333499999999994</v>
      </c>
      <c r="R1268" s="173">
        <f t="shared" si="517"/>
        <v>0.85054336774999995</v>
      </c>
      <c r="S1268" s="250">
        <v>0.05</v>
      </c>
      <c r="T1268" s="171">
        <f t="shared" si="518"/>
        <v>0.05</v>
      </c>
      <c r="U1268" s="256">
        <v>16.666699999999999</v>
      </c>
      <c r="V1268" s="170">
        <f t="shared" si="519"/>
        <v>17.010867354999998</v>
      </c>
      <c r="W1268" s="258">
        <v>0.2</v>
      </c>
      <c r="X1268" s="257">
        <f>U1268+U1268*W1268</f>
        <v>20.000039999999998</v>
      </c>
      <c r="Y1268" s="170">
        <f t="shared" si="523"/>
        <v>20.413040825999996</v>
      </c>
      <c r="Z1268" s="170">
        <f t="shared" si="524"/>
        <v>21</v>
      </c>
      <c r="AA1268" s="407">
        <f t="shared" si="509"/>
        <v>0</v>
      </c>
      <c r="AB1268" s="194"/>
    </row>
    <row r="1269" spans="1:28" s="278" customFormat="1" x14ac:dyDescent="0.25">
      <c r="A1269" s="200">
        <v>816100</v>
      </c>
      <c r="B1269" s="313" t="s">
        <v>19864</v>
      </c>
      <c r="C1269" s="248"/>
      <c r="D1269" s="247" t="s">
        <v>7</v>
      </c>
      <c r="E1269" s="249">
        <f t="shared" si="511"/>
        <v>10</v>
      </c>
      <c r="F1269" s="170">
        <f t="shared" si="511"/>
        <v>10.206500000000004</v>
      </c>
      <c r="G1269" s="252">
        <v>0.4</v>
      </c>
      <c r="H1269" s="171">
        <f t="shared" si="513"/>
        <v>0.4</v>
      </c>
      <c r="I1269" s="249">
        <f t="shared" si="512"/>
        <v>10</v>
      </c>
      <c r="J1269" s="170">
        <f t="shared" si="512"/>
        <v>10.206500000000004</v>
      </c>
      <c r="K1269" s="252">
        <v>0.4</v>
      </c>
      <c r="L1269" s="172">
        <f t="shared" si="520"/>
        <v>0.4</v>
      </c>
      <c r="M1269" s="249">
        <f t="shared" si="521"/>
        <v>3.75</v>
      </c>
      <c r="N1269" s="170">
        <f t="shared" si="514"/>
        <v>3.8274375000000007</v>
      </c>
      <c r="O1269" s="252">
        <v>0.15</v>
      </c>
      <c r="P1269" s="172">
        <f t="shared" si="515"/>
        <v>0.15</v>
      </c>
      <c r="Q1269" s="251">
        <f t="shared" si="516"/>
        <v>1.25</v>
      </c>
      <c r="R1269" s="173">
        <f t="shared" si="517"/>
        <v>1.2758125000000005</v>
      </c>
      <c r="S1269" s="250">
        <v>0.05</v>
      </c>
      <c r="T1269" s="171">
        <f t="shared" si="518"/>
        <v>0.05</v>
      </c>
      <c r="U1269" s="256">
        <v>25</v>
      </c>
      <c r="V1269" s="170">
        <f t="shared" si="519"/>
        <v>25.516250000000007</v>
      </c>
      <c r="W1269" s="258">
        <v>0.2</v>
      </c>
      <c r="X1269" s="257">
        <f>U1269+U1269*W1269</f>
        <v>30</v>
      </c>
      <c r="Y1269" s="170">
        <f t="shared" si="523"/>
        <v>30.619500000000006</v>
      </c>
      <c r="Z1269" s="170">
        <f t="shared" si="524"/>
        <v>31</v>
      </c>
      <c r="AA1269" s="407">
        <f t="shared" si="509"/>
        <v>0</v>
      </c>
      <c r="AB1269" s="194"/>
    </row>
    <row r="1270" spans="1:28" s="278" customFormat="1" x14ac:dyDescent="0.25">
      <c r="A1270" s="195" t="s">
        <v>14817</v>
      </c>
      <c r="B1270" s="317" t="s">
        <v>14818</v>
      </c>
      <c r="C1270" s="241"/>
      <c r="D1270" s="242"/>
      <c r="E1270" s="243"/>
      <c r="F1270" s="244"/>
      <c r="G1270" s="245"/>
      <c r="H1270" s="246"/>
      <c r="I1270" s="243"/>
      <c r="J1270" s="244"/>
      <c r="K1270" s="245"/>
      <c r="L1270" s="246"/>
      <c r="M1270" s="243"/>
      <c r="N1270" s="244"/>
      <c r="O1270" s="245"/>
      <c r="P1270" s="246"/>
      <c r="Q1270" s="243"/>
      <c r="R1270" s="244"/>
      <c r="S1270" s="245"/>
      <c r="T1270" s="246"/>
      <c r="U1270" s="246"/>
      <c r="V1270" s="246"/>
      <c r="W1270" s="246"/>
      <c r="X1270" s="246"/>
      <c r="Y1270" s="244"/>
      <c r="Z1270" s="244"/>
      <c r="AA1270" s="406"/>
      <c r="AB1270" s="194"/>
    </row>
    <row r="1271" spans="1:28" s="278" customFormat="1" x14ac:dyDescent="0.25">
      <c r="A1271" s="200">
        <v>817001</v>
      </c>
      <c r="B1271" s="313" t="s">
        <v>19865</v>
      </c>
      <c r="C1271" s="248"/>
      <c r="D1271" s="247" t="s">
        <v>3</v>
      </c>
      <c r="E1271" s="249">
        <f t="shared" ref="E1271:F1317" si="525">U1271*G1271</f>
        <v>450</v>
      </c>
      <c r="F1271" s="170">
        <f t="shared" si="525"/>
        <v>459.2700000000001</v>
      </c>
      <c r="G1271" s="250">
        <v>0.45</v>
      </c>
      <c r="H1271" s="171">
        <f t="shared" ref="H1271:H1334" si="526">G1271</f>
        <v>0.45</v>
      </c>
      <c r="I1271" s="249">
        <f t="shared" ref="I1271:J1317" si="527">U1271*K1271</f>
        <v>400</v>
      </c>
      <c r="J1271" s="170">
        <f t="shared" si="527"/>
        <v>408.24000000000007</v>
      </c>
      <c r="K1271" s="250">
        <v>0.4</v>
      </c>
      <c r="L1271" s="172">
        <f t="shared" si="520"/>
        <v>0.4</v>
      </c>
      <c r="M1271" s="249">
        <f t="shared" si="521"/>
        <v>100</v>
      </c>
      <c r="N1271" s="170">
        <f t="shared" ref="N1271:N1334" si="528">P1271*V1271</f>
        <v>102.06000000000002</v>
      </c>
      <c r="O1271" s="250">
        <v>0.1</v>
      </c>
      <c r="P1271" s="172">
        <f t="shared" ref="P1271:P1334" si="529">O1271</f>
        <v>0.1</v>
      </c>
      <c r="Q1271" s="251">
        <f t="shared" ref="Q1271:Q1334" si="530">U1271*S1271</f>
        <v>50</v>
      </c>
      <c r="R1271" s="173">
        <f t="shared" ref="R1271:R1334" si="531">T1271*V1271</f>
        <v>51.030000000000008</v>
      </c>
      <c r="S1271" s="250">
        <v>0.05</v>
      </c>
      <c r="T1271" s="171">
        <f t="shared" ref="T1271:T1334" si="532">S1271</f>
        <v>0.05</v>
      </c>
      <c r="U1271" s="256">
        <v>1000</v>
      </c>
      <c r="V1271" s="170">
        <f t="shared" si="519"/>
        <v>1020.6000000000001</v>
      </c>
      <c r="W1271" s="258">
        <v>0.2</v>
      </c>
      <c r="X1271" s="257">
        <f>U1271+U1271*W1271</f>
        <v>1200</v>
      </c>
      <c r="Y1271" s="170">
        <f t="shared" si="523"/>
        <v>1224.72</v>
      </c>
      <c r="Z1271" s="170">
        <f t="shared" si="524"/>
        <v>1225</v>
      </c>
      <c r="AA1271" s="407">
        <f t="shared" si="509"/>
        <v>0</v>
      </c>
      <c r="AB1271" s="194"/>
    </row>
    <row r="1272" spans="1:28" s="278" customFormat="1" x14ac:dyDescent="0.25">
      <c r="A1272" s="200">
        <v>817001</v>
      </c>
      <c r="B1272" s="313" t="s">
        <v>19866</v>
      </c>
      <c r="C1272" s="248"/>
      <c r="D1272" s="247" t="s">
        <v>3</v>
      </c>
      <c r="E1272" s="249">
        <f t="shared" si="525"/>
        <v>374.99984999999998</v>
      </c>
      <c r="F1272" s="170">
        <f t="shared" si="525"/>
        <v>382.72484691</v>
      </c>
      <c r="G1272" s="250">
        <v>0.45</v>
      </c>
      <c r="H1272" s="171">
        <f t="shared" si="526"/>
        <v>0.45</v>
      </c>
      <c r="I1272" s="249">
        <f t="shared" si="527"/>
        <v>333.33320000000003</v>
      </c>
      <c r="J1272" s="170">
        <f t="shared" si="527"/>
        <v>340.19986392000004</v>
      </c>
      <c r="K1272" s="250">
        <v>0.4</v>
      </c>
      <c r="L1272" s="172">
        <f t="shared" si="520"/>
        <v>0.4</v>
      </c>
      <c r="M1272" s="249">
        <f t="shared" si="521"/>
        <v>83.333300000000008</v>
      </c>
      <c r="N1272" s="170">
        <f t="shared" si="528"/>
        <v>85.04996598000001</v>
      </c>
      <c r="O1272" s="250">
        <v>0.1</v>
      </c>
      <c r="P1272" s="172">
        <f t="shared" si="529"/>
        <v>0.1</v>
      </c>
      <c r="Q1272" s="251">
        <f t="shared" si="530"/>
        <v>41.666650000000004</v>
      </c>
      <c r="R1272" s="173">
        <f t="shared" si="531"/>
        <v>42.524982990000005</v>
      </c>
      <c r="S1272" s="250">
        <v>0.05</v>
      </c>
      <c r="T1272" s="171">
        <f t="shared" si="532"/>
        <v>0.05</v>
      </c>
      <c r="U1272" s="256">
        <v>833.33299999999997</v>
      </c>
      <c r="V1272" s="170">
        <f t="shared" si="519"/>
        <v>850.49965980000002</v>
      </c>
      <c r="W1272" s="258">
        <v>0.2</v>
      </c>
      <c r="X1272" s="257">
        <f>U1272+U1272*W1272</f>
        <v>999.99959999999999</v>
      </c>
      <c r="Y1272" s="170">
        <f t="shared" si="523"/>
        <v>1020.59959176</v>
      </c>
      <c r="Z1272" s="170">
        <f t="shared" si="524"/>
        <v>1025</v>
      </c>
      <c r="AA1272" s="407">
        <f t="shared" si="509"/>
        <v>0</v>
      </c>
      <c r="AB1272" s="194"/>
    </row>
    <row r="1273" spans="1:28" s="278" customFormat="1" x14ac:dyDescent="0.25">
      <c r="A1273" s="200">
        <v>817010</v>
      </c>
      <c r="B1273" s="313" t="s">
        <v>19867</v>
      </c>
      <c r="C1273" s="248"/>
      <c r="D1273" s="247" t="s">
        <v>3</v>
      </c>
      <c r="E1273" s="249">
        <f t="shared" si="525"/>
        <v>506.25</v>
      </c>
      <c r="F1273" s="170">
        <f t="shared" si="525"/>
        <v>516.67875000000004</v>
      </c>
      <c r="G1273" s="250">
        <v>0.45</v>
      </c>
      <c r="H1273" s="171">
        <f t="shared" si="526"/>
        <v>0.45</v>
      </c>
      <c r="I1273" s="249">
        <f t="shared" si="527"/>
        <v>450</v>
      </c>
      <c r="J1273" s="170">
        <f t="shared" si="527"/>
        <v>459.27</v>
      </c>
      <c r="K1273" s="250">
        <v>0.4</v>
      </c>
      <c r="L1273" s="172">
        <f t="shared" si="520"/>
        <v>0.4</v>
      </c>
      <c r="M1273" s="249">
        <f t="shared" si="521"/>
        <v>112.5</v>
      </c>
      <c r="N1273" s="170">
        <f t="shared" si="528"/>
        <v>114.8175</v>
      </c>
      <c r="O1273" s="250">
        <v>0.1</v>
      </c>
      <c r="P1273" s="172">
        <f t="shared" si="529"/>
        <v>0.1</v>
      </c>
      <c r="Q1273" s="251">
        <f t="shared" si="530"/>
        <v>56.25</v>
      </c>
      <c r="R1273" s="173">
        <f t="shared" si="531"/>
        <v>57.408749999999998</v>
      </c>
      <c r="S1273" s="250">
        <v>0.05</v>
      </c>
      <c r="T1273" s="171">
        <f t="shared" si="532"/>
        <v>0.05</v>
      </c>
      <c r="U1273" s="253">
        <v>1125</v>
      </c>
      <c r="V1273" s="170">
        <f t="shared" si="519"/>
        <v>1148.175</v>
      </c>
      <c r="W1273" s="258">
        <v>0.2</v>
      </c>
      <c r="X1273" s="257">
        <f>U1273+U1273*W1273</f>
        <v>1350</v>
      </c>
      <c r="Y1273" s="170">
        <f t="shared" si="523"/>
        <v>1377.81</v>
      </c>
      <c r="Z1273" s="170">
        <f t="shared" si="524"/>
        <v>1400</v>
      </c>
      <c r="AA1273" s="407">
        <f t="shared" si="509"/>
        <v>0</v>
      </c>
      <c r="AB1273" s="194"/>
    </row>
    <row r="1274" spans="1:28" s="278" customFormat="1" x14ac:dyDescent="0.25">
      <c r="A1274" s="200">
        <v>817010</v>
      </c>
      <c r="B1274" s="313" t="s">
        <v>19868</v>
      </c>
      <c r="C1274" s="248"/>
      <c r="D1274" s="247" t="s">
        <v>3</v>
      </c>
      <c r="E1274" s="249">
        <f t="shared" si="525"/>
        <v>374.99984999999998</v>
      </c>
      <c r="F1274" s="170">
        <f t="shared" si="525"/>
        <v>382.72484691</v>
      </c>
      <c r="G1274" s="250">
        <v>0.45</v>
      </c>
      <c r="H1274" s="171">
        <f t="shared" si="526"/>
        <v>0.45</v>
      </c>
      <c r="I1274" s="249">
        <f t="shared" si="527"/>
        <v>333.33320000000003</v>
      </c>
      <c r="J1274" s="170">
        <f t="shared" si="527"/>
        <v>340.19986392000004</v>
      </c>
      <c r="K1274" s="250">
        <v>0.4</v>
      </c>
      <c r="L1274" s="172">
        <f t="shared" si="520"/>
        <v>0.4</v>
      </c>
      <c r="M1274" s="249">
        <f t="shared" si="521"/>
        <v>83.333300000000008</v>
      </c>
      <c r="N1274" s="170">
        <f t="shared" si="528"/>
        <v>85.04996598000001</v>
      </c>
      <c r="O1274" s="250">
        <v>0.1</v>
      </c>
      <c r="P1274" s="172">
        <f t="shared" si="529"/>
        <v>0.1</v>
      </c>
      <c r="Q1274" s="251">
        <f t="shared" si="530"/>
        <v>41.666650000000004</v>
      </c>
      <c r="R1274" s="173">
        <f t="shared" si="531"/>
        <v>42.524982990000005</v>
      </c>
      <c r="S1274" s="250">
        <v>0.05</v>
      </c>
      <c r="T1274" s="171">
        <f t="shared" si="532"/>
        <v>0.05</v>
      </c>
      <c r="U1274" s="256">
        <v>833.33299999999997</v>
      </c>
      <c r="V1274" s="170">
        <f t="shared" si="519"/>
        <v>850.49965980000002</v>
      </c>
      <c r="W1274" s="258">
        <v>0.2</v>
      </c>
      <c r="X1274" s="257">
        <f>U1274+U1274*W1274</f>
        <v>999.99959999999999</v>
      </c>
      <c r="Y1274" s="170">
        <f t="shared" si="523"/>
        <v>1020.59959176</v>
      </c>
      <c r="Z1274" s="170">
        <f t="shared" si="524"/>
        <v>1025</v>
      </c>
      <c r="AA1274" s="407">
        <f t="shared" si="509"/>
        <v>0</v>
      </c>
      <c r="AB1274" s="194"/>
    </row>
    <row r="1275" spans="1:28" s="278" customFormat="1" x14ac:dyDescent="0.25">
      <c r="A1275" s="195" t="s">
        <v>14819</v>
      </c>
      <c r="B1275" s="317" t="s">
        <v>14820</v>
      </c>
      <c r="C1275" s="241"/>
      <c r="D1275" s="242"/>
      <c r="E1275" s="243"/>
      <c r="F1275" s="244"/>
      <c r="G1275" s="245"/>
      <c r="H1275" s="246"/>
      <c r="I1275" s="243"/>
      <c r="J1275" s="244"/>
      <c r="K1275" s="245"/>
      <c r="L1275" s="246"/>
      <c r="M1275" s="243"/>
      <c r="N1275" s="244"/>
      <c r="O1275" s="245"/>
      <c r="P1275" s="246"/>
      <c r="Q1275" s="243"/>
      <c r="R1275" s="244"/>
      <c r="S1275" s="245"/>
      <c r="T1275" s="246"/>
      <c r="U1275" s="246"/>
      <c r="V1275" s="246"/>
      <c r="W1275" s="246"/>
      <c r="X1275" s="246"/>
      <c r="Y1275" s="244"/>
      <c r="Z1275" s="244"/>
      <c r="AA1275" s="406"/>
      <c r="AB1275" s="194"/>
    </row>
    <row r="1276" spans="1:28" s="278" customFormat="1" x14ac:dyDescent="0.25">
      <c r="A1276" s="200">
        <v>818020</v>
      </c>
      <c r="B1276" s="313" t="s">
        <v>19869</v>
      </c>
      <c r="C1276" s="248"/>
      <c r="D1276" s="247" t="s">
        <v>1</v>
      </c>
      <c r="E1276" s="249">
        <f t="shared" si="525"/>
        <v>33.333320000000001</v>
      </c>
      <c r="F1276" s="170">
        <f t="shared" si="525"/>
        <v>34.021653057999998</v>
      </c>
      <c r="G1276" s="250">
        <v>0.4</v>
      </c>
      <c r="H1276" s="171">
        <f t="shared" si="526"/>
        <v>0.4</v>
      </c>
      <c r="I1276" s="249">
        <f t="shared" si="527"/>
        <v>33.333320000000001</v>
      </c>
      <c r="J1276" s="170">
        <f t="shared" si="527"/>
        <v>34.021653057999998</v>
      </c>
      <c r="K1276" s="250">
        <v>0.4</v>
      </c>
      <c r="L1276" s="172">
        <f t="shared" si="520"/>
        <v>0.4</v>
      </c>
      <c r="M1276" s="249">
        <f t="shared" si="521"/>
        <v>12.499994999999998</v>
      </c>
      <c r="N1276" s="170">
        <f t="shared" si="528"/>
        <v>12.758119896749999</v>
      </c>
      <c r="O1276" s="250">
        <v>0.15</v>
      </c>
      <c r="P1276" s="172">
        <f t="shared" si="529"/>
        <v>0.15</v>
      </c>
      <c r="Q1276" s="251">
        <f t="shared" si="530"/>
        <v>4.1666650000000001</v>
      </c>
      <c r="R1276" s="173">
        <f t="shared" si="531"/>
        <v>4.2527066322499998</v>
      </c>
      <c r="S1276" s="250">
        <v>0.05</v>
      </c>
      <c r="T1276" s="171">
        <f t="shared" si="532"/>
        <v>0.05</v>
      </c>
      <c r="U1276" s="256">
        <v>83.333299999999994</v>
      </c>
      <c r="V1276" s="170">
        <f t="shared" si="519"/>
        <v>85.054132644999996</v>
      </c>
      <c r="W1276" s="258">
        <v>0.2</v>
      </c>
      <c r="X1276" s="257">
        <f t="shared" ref="X1276:X1294" si="533">U1276+U1276*W1276</f>
        <v>99.999959999999987</v>
      </c>
      <c r="Y1276" s="170">
        <f t="shared" si="523"/>
        <v>102.06495917399999</v>
      </c>
      <c r="Z1276" s="170">
        <f t="shared" si="524"/>
        <v>105</v>
      </c>
      <c r="AA1276" s="407">
        <f t="shared" si="509"/>
        <v>0</v>
      </c>
      <c r="AB1276" s="194"/>
    </row>
    <row r="1277" spans="1:28" s="278" customFormat="1" x14ac:dyDescent="0.25">
      <c r="A1277" s="200">
        <v>818020</v>
      </c>
      <c r="B1277" s="313" t="s">
        <v>19870</v>
      </c>
      <c r="C1277" s="248"/>
      <c r="D1277" s="247" t="s">
        <v>2</v>
      </c>
      <c r="E1277" s="249">
        <f t="shared" si="525"/>
        <v>26.666680000000003</v>
      </c>
      <c r="F1277" s="170">
        <f t="shared" si="525"/>
        <v>27.217346942000006</v>
      </c>
      <c r="G1277" s="250">
        <v>0.4</v>
      </c>
      <c r="H1277" s="171">
        <f t="shared" si="526"/>
        <v>0.4</v>
      </c>
      <c r="I1277" s="249">
        <f t="shared" si="527"/>
        <v>26.666680000000003</v>
      </c>
      <c r="J1277" s="170">
        <f t="shared" si="527"/>
        <v>27.217346942000006</v>
      </c>
      <c r="K1277" s="250">
        <v>0.4</v>
      </c>
      <c r="L1277" s="172">
        <f t="shared" si="520"/>
        <v>0.4</v>
      </c>
      <c r="M1277" s="249">
        <f t="shared" si="521"/>
        <v>10.000005</v>
      </c>
      <c r="N1277" s="170">
        <f t="shared" si="528"/>
        <v>10.206505103250002</v>
      </c>
      <c r="O1277" s="250">
        <v>0.15</v>
      </c>
      <c r="P1277" s="172">
        <f t="shared" si="529"/>
        <v>0.15</v>
      </c>
      <c r="Q1277" s="251">
        <f t="shared" si="530"/>
        <v>3.3333350000000004</v>
      </c>
      <c r="R1277" s="173">
        <f t="shared" si="531"/>
        <v>3.4021683677500008</v>
      </c>
      <c r="S1277" s="250">
        <v>0.05</v>
      </c>
      <c r="T1277" s="171">
        <f t="shared" si="532"/>
        <v>0.05</v>
      </c>
      <c r="U1277" s="256">
        <v>66.666700000000006</v>
      </c>
      <c r="V1277" s="170">
        <f t="shared" si="519"/>
        <v>68.043367355000015</v>
      </c>
      <c r="W1277" s="258">
        <v>0.2</v>
      </c>
      <c r="X1277" s="257">
        <f t="shared" si="533"/>
        <v>80.000040000000013</v>
      </c>
      <c r="Y1277" s="170">
        <f t="shared" si="523"/>
        <v>81.652040826000018</v>
      </c>
      <c r="Z1277" s="170">
        <f t="shared" si="524"/>
        <v>82</v>
      </c>
      <c r="AA1277" s="407">
        <f t="shared" si="509"/>
        <v>0</v>
      </c>
      <c r="AB1277" s="194"/>
    </row>
    <row r="1278" spans="1:28" s="278" customFormat="1" x14ac:dyDescent="0.25">
      <c r="A1278" s="200">
        <v>818030</v>
      </c>
      <c r="B1278" s="313" t="s">
        <v>19871</v>
      </c>
      <c r="C1278" s="248"/>
      <c r="D1278" s="247" t="s">
        <v>2</v>
      </c>
      <c r="E1278" s="249">
        <f t="shared" si="525"/>
        <v>70</v>
      </c>
      <c r="F1278" s="170">
        <f t="shared" si="525"/>
        <v>71.470000000000013</v>
      </c>
      <c r="G1278" s="250">
        <v>0.4</v>
      </c>
      <c r="H1278" s="171">
        <f t="shared" si="526"/>
        <v>0.4</v>
      </c>
      <c r="I1278" s="249">
        <f t="shared" si="527"/>
        <v>61.249999999999993</v>
      </c>
      <c r="J1278" s="170">
        <f t="shared" si="527"/>
        <v>62.53625000000001</v>
      </c>
      <c r="K1278" s="250">
        <v>0.35</v>
      </c>
      <c r="L1278" s="172">
        <f t="shared" si="520"/>
        <v>0.35</v>
      </c>
      <c r="M1278" s="249">
        <f t="shared" si="521"/>
        <v>35</v>
      </c>
      <c r="N1278" s="170">
        <f t="shared" si="528"/>
        <v>35.735000000000007</v>
      </c>
      <c r="O1278" s="250">
        <v>0.2</v>
      </c>
      <c r="P1278" s="172">
        <f t="shared" si="529"/>
        <v>0.2</v>
      </c>
      <c r="Q1278" s="251">
        <f t="shared" si="530"/>
        <v>8.75</v>
      </c>
      <c r="R1278" s="173">
        <f t="shared" si="531"/>
        <v>8.9337500000000016</v>
      </c>
      <c r="S1278" s="250">
        <v>0.05</v>
      </c>
      <c r="T1278" s="171">
        <f t="shared" si="532"/>
        <v>0.05</v>
      </c>
      <c r="U1278" s="256">
        <v>175</v>
      </c>
      <c r="V1278" s="170">
        <f t="shared" si="519"/>
        <v>178.67500000000004</v>
      </c>
      <c r="W1278" s="258">
        <v>0.2</v>
      </c>
      <c r="X1278" s="257">
        <f t="shared" si="533"/>
        <v>210</v>
      </c>
      <c r="Y1278" s="170">
        <f t="shared" si="523"/>
        <v>214.41000000000005</v>
      </c>
      <c r="Z1278" s="170">
        <f t="shared" si="524"/>
        <v>215</v>
      </c>
      <c r="AA1278" s="407">
        <f t="shared" si="509"/>
        <v>0</v>
      </c>
      <c r="AB1278" s="194"/>
    </row>
    <row r="1279" spans="1:28" s="278" customFormat="1" x14ac:dyDescent="0.25">
      <c r="A1279" s="200">
        <v>818030</v>
      </c>
      <c r="B1279" s="313" t="s">
        <v>19872</v>
      </c>
      <c r="C1279" s="248"/>
      <c r="D1279" s="247" t="s">
        <v>2</v>
      </c>
      <c r="E1279" s="249">
        <f t="shared" si="525"/>
        <v>66.666679999999999</v>
      </c>
      <c r="F1279" s="170">
        <f t="shared" si="525"/>
        <v>68.06668028</v>
      </c>
      <c r="G1279" s="250">
        <v>0.4</v>
      </c>
      <c r="H1279" s="171">
        <f t="shared" si="526"/>
        <v>0.4</v>
      </c>
      <c r="I1279" s="249">
        <f t="shared" si="527"/>
        <v>58.333344999999994</v>
      </c>
      <c r="J1279" s="170">
        <f t="shared" si="527"/>
        <v>59.558345244999998</v>
      </c>
      <c r="K1279" s="250">
        <v>0.35</v>
      </c>
      <c r="L1279" s="172">
        <f t="shared" si="520"/>
        <v>0.35</v>
      </c>
      <c r="M1279" s="249">
        <f t="shared" si="521"/>
        <v>33.33334</v>
      </c>
      <c r="N1279" s="170">
        <f t="shared" si="528"/>
        <v>34.03334014</v>
      </c>
      <c r="O1279" s="250">
        <v>0.2</v>
      </c>
      <c r="P1279" s="172">
        <f t="shared" si="529"/>
        <v>0.2</v>
      </c>
      <c r="Q1279" s="251">
        <f t="shared" si="530"/>
        <v>8.3333349999999999</v>
      </c>
      <c r="R1279" s="173">
        <f t="shared" si="531"/>
        <v>8.508335035</v>
      </c>
      <c r="S1279" s="250">
        <v>0.05</v>
      </c>
      <c r="T1279" s="171">
        <f t="shared" si="532"/>
        <v>0.05</v>
      </c>
      <c r="U1279" s="256">
        <v>166.66669999999999</v>
      </c>
      <c r="V1279" s="170">
        <f t="shared" si="519"/>
        <v>170.16670070000001</v>
      </c>
      <c r="W1279" s="258">
        <v>0.2</v>
      </c>
      <c r="X1279" s="257">
        <f t="shared" si="533"/>
        <v>200.00003999999998</v>
      </c>
      <c r="Y1279" s="170">
        <f t="shared" si="523"/>
        <v>204.20004084000001</v>
      </c>
      <c r="Z1279" s="170">
        <f t="shared" si="524"/>
        <v>205</v>
      </c>
      <c r="AA1279" s="407">
        <f t="shared" si="509"/>
        <v>0</v>
      </c>
      <c r="AB1279" s="194"/>
    </row>
    <row r="1280" spans="1:28" s="278" customFormat="1" x14ac:dyDescent="0.25">
      <c r="A1280" s="200">
        <v>818030</v>
      </c>
      <c r="B1280" s="313" t="s">
        <v>19873</v>
      </c>
      <c r="C1280" s="248"/>
      <c r="D1280" s="247" t="s">
        <v>2</v>
      </c>
      <c r="E1280" s="249">
        <f t="shared" si="525"/>
        <v>51.041549999999994</v>
      </c>
      <c r="F1280" s="170">
        <f t="shared" si="525"/>
        <v>52.115974627499995</v>
      </c>
      <c r="G1280" s="250">
        <v>0.35</v>
      </c>
      <c r="H1280" s="171">
        <f t="shared" si="526"/>
        <v>0.35</v>
      </c>
      <c r="I1280" s="249">
        <f t="shared" si="527"/>
        <v>51.041549999999994</v>
      </c>
      <c r="J1280" s="170">
        <f t="shared" si="527"/>
        <v>52.115974627499995</v>
      </c>
      <c r="K1280" s="250">
        <v>0.35</v>
      </c>
      <c r="L1280" s="172">
        <f t="shared" si="520"/>
        <v>0.35</v>
      </c>
      <c r="M1280" s="249">
        <f t="shared" si="521"/>
        <v>36.45825</v>
      </c>
      <c r="N1280" s="170">
        <f t="shared" si="528"/>
        <v>37.2256961625</v>
      </c>
      <c r="O1280" s="250">
        <v>0.25</v>
      </c>
      <c r="P1280" s="172">
        <f t="shared" si="529"/>
        <v>0.25</v>
      </c>
      <c r="Q1280" s="251">
        <f t="shared" si="530"/>
        <v>7.2916500000000006</v>
      </c>
      <c r="R1280" s="173">
        <f t="shared" si="531"/>
        <v>7.4451392325000008</v>
      </c>
      <c r="S1280" s="250">
        <v>0.05</v>
      </c>
      <c r="T1280" s="171">
        <f t="shared" si="532"/>
        <v>0.05</v>
      </c>
      <c r="U1280" s="256">
        <v>145.833</v>
      </c>
      <c r="V1280" s="170">
        <f t="shared" si="519"/>
        <v>148.90278465</v>
      </c>
      <c r="W1280" s="258">
        <v>0.2</v>
      </c>
      <c r="X1280" s="257">
        <f t="shared" si="533"/>
        <v>174.99959999999999</v>
      </c>
      <c r="Y1280" s="170">
        <f t="shared" si="523"/>
        <v>178.68334157999999</v>
      </c>
      <c r="Z1280" s="170">
        <f t="shared" si="524"/>
        <v>180</v>
      </c>
      <c r="AA1280" s="407">
        <f t="shared" si="509"/>
        <v>0</v>
      </c>
      <c r="AB1280" s="194"/>
    </row>
    <row r="1281" spans="1:28" s="278" customFormat="1" x14ac:dyDescent="0.25">
      <c r="A1281" s="200">
        <v>818040</v>
      </c>
      <c r="B1281" s="313" t="s">
        <v>19874</v>
      </c>
      <c r="C1281" s="248"/>
      <c r="D1281" s="247" t="s">
        <v>2</v>
      </c>
      <c r="E1281" s="249">
        <f t="shared" si="525"/>
        <v>66.666800000000009</v>
      </c>
      <c r="F1281" s="170">
        <f t="shared" si="525"/>
        <v>68.043469420000008</v>
      </c>
      <c r="G1281" s="250">
        <v>0.4</v>
      </c>
      <c r="H1281" s="171">
        <f t="shared" si="526"/>
        <v>0.4</v>
      </c>
      <c r="I1281" s="249">
        <f t="shared" si="527"/>
        <v>66.666800000000009</v>
      </c>
      <c r="J1281" s="170">
        <f t="shared" si="527"/>
        <v>68.043469420000008</v>
      </c>
      <c r="K1281" s="250">
        <v>0.4</v>
      </c>
      <c r="L1281" s="172">
        <f t="shared" si="520"/>
        <v>0.4</v>
      </c>
      <c r="M1281" s="249">
        <f t="shared" si="521"/>
        <v>25.000049999999998</v>
      </c>
      <c r="N1281" s="170">
        <f t="shared" si="528"/>
        <v>25.516301032500003</v>
      </c>
      <c r="O1281" s="250">
        <v>0.15</v>
      </c>
      <c r="P1281" s="172">
        <f t="shared" si="529"/>
        <v>0.15</v>
      </c>
      <c r="Q1281" s="251">
        <f t="shared" si="530"/>
        <v>8.3333500000000011</v>
      </c>
      <c r="R1281" s="173">
        <f t="shared" si="531"/>
        <v>8.505433677500001</v>
      </c>
      <c r="S1281" s="250">
        <v>0.05</v>
      </c>
      <c r="T1281" s="171">
        <f t="shared" si="532"/>
        <v>0.05</v>
      </c>
      <c r="U1281" s="256">
        <v>166.667</v>
      </c>
      <c r="V1281" s="170">
        <f t="shared" si="519"/>
        <v>170.10867355000002</v>
      </c>
      <c r="W1281" s="258">
        <v>0.2</v>
      </c>
      <c r="X1281" s="257">
        <f t="shared" si="533"/>
        <v>200.00040000000001</v>
      </c>
      <c r="Y1281" s="170">
        <f t="shared" si="523"/>
        <v>204.13040826000002</v>
      </c>
      <c r="Z1281" s="170">
        <f t="shared" si="524"/>
        <v>205</v>
      </c>
      <c r="AA1281" s="407">
        <f t="shared" si="509"/>
        <v>0</v>
      </c>
      <c r="AB1281" s="194"/>
    </row>
    <row r="1282" spans="1:28" s="278" customFormat="1" x14ac:dyDescent="0.25">
      <c r="A1282" s="200">
        <v>818040</v>
      </c>
      <c r="B1282" s="313" t="s">
        <v>19875</v>
      </c>
      <c r="C1282" s="248"/>
      <c r="D1282" s="247" t="s">
        <v>2</v>
      </c>
      <c r="E1282" s="249">
        <f t="shared" si="525"/>
        <v>60</v>
      </c>
      <c r="F1282" s="170">
        <f t="shared" si="525"/>
        <v>61.260000000000019</v>
      </c>
      <c r="G1282" s="250">
        <v>0.4</v>
      </c>
      <c r="H1282" s="171">
        <f t="shared" si="526"/>
        <v>0.4</v>
      </c>
      <c r="I1282" s="249">
        <f t="shared" si="527"/>
        <v>52.5</v>
      </c>
      <c r="J1282" s="170">
        <f t="shared" si="527"/>
        <v>53.602500000000006</v>
      </c>
      <c r="K1282" s="250">
        <v>0.35</v>
      </c>
      <c r="L1282" s="172">
        <f t="shared" si="520"/>
        <v>0.35</v>
      </c>
      <c r="M1282" s="249">
        <f t="shared" si="521"/>
        <v>30</v>
      </c>
      <c r="N1282" s="170">
        <f t="shared" si="528"/>
        <v>30.63000000000001</v>
      </c>
      <c r="O1282" s="250">
        <v>0.2</v>
      </c>
      <c r="P1282" s="172">
        <f t="shared" si="529"/>
        <v>0.2</v>
      </c>
      <c r="Q1282" s="251">
        <f t="shared" si="530"/>
        <v>7.5</v>
      </c>
      <c r="R1282" s="173">
        <f t="shared" si="531"/>
        <v>7.6575000000000024</v>
      </c>
      <c r="S1282" s="250">
        <v>0.05</v>
      </c>
      <c r="T1282" s="171">
        <f t="shared" si="532"/>
        <v>0.05</v>
      </c>
      <c r="U1282" s="256">
        <v>150</v>
      </c>
      <c r="V1282" s="170">
        <f t="shared" si="519"/>
        <v>153.15000000000003</v>
      </c>
      <c r="W1282" s="258">
        <v>0.2</v>
      </c>
      <c r="X1282" s="257">
        <f t="shared" si="533"/>
        <v>180</v>
      </c>
      <c r="Y1282" s="170">
        <f t="shared" si="523"/>
        <v>183.78000000000003</v>
      </c>
      <c r="Z1282" s="170">
        <f t="shared" si="524"/>
        <v>185</v>
      </c>
      <c r="AA1282" s="407">
        <f t="shared" si="509"/>
        <v>0</v>
      </c>
      <c r="AB1282" s="194"/>
    </row>
    <row r="1283" spans="1:28" s="278" customFormat="1" ht="14.4" thickBot="1" x14ac:dyDescent="0.3">
      <c r="A1283" s="263">
        <v>818040</v>
      </c>
      <c r="B1283" s="321" t="s">
        <v>19876</v>
      </c>
      <c r="C1283" s="265"/>
      <c r="D1283" s="264" t="s">
        <v>2</v>
      </c>
      <c r="E1283" s="266">
        <f t="shared" si="525"/>
        <v>49.583344999999994</v>
      </c>
      <c r="F1283" s="174">
        <f t="shared" si="525"/>
        <v>50.627074412249989</v>
      </c>
      <c r="G1283" s="267">
        <v>0.35</v>
      </c>
      <c r="H1283" s="268">
        <f t="shared" si="526"/>
        <v>0.35</v>
      </c>
      <c r="I1283" s="266">
        <f t="shared" si="527"/>
        <v>49.583344999999994</v>
      </c>
      <c r="J1283" s="174">
        <f t="shared" si="527"/>
        <v>50.627074412249989</v>
      </c>
      <c r="K1283" s="267">
        <v>0.35</v>
      </c>
      <c r="L1283" s="269">
        <f t="shared" si="520"/>
        <v>0.35</v>
      </c>
      <c r="M1283" s="266">
        <f t="shared" si="521"/>
        <v>35.416674999999998</v>
      </c>
      <c r="N1283" s="174">
        <f t="shared" si="528"/>
        <v>36.162196008749994</v>
      </c>
      <c r="O1283" s="267">
        <v>0.25</v>
      </c>
      <c r="P1283" s="269">
        <f t="shared" si="529"/>
        <v>0.25</v>
      </c>
      <c r="Q1283" s="270">
        <f t="shared" si="530"/>
        <v>7.0833349999999999</v>
      </c>
      <c r="R1283" s="271">
        <f t="shared" si="531"/>
        <v>7.2324392017499992</v>
      </c>
      <c r="S1283" s="267">
        <v>0.05</v>
      </c>
      <c r="T1283" s="268">
        <f t="shared" si="532"/>
        <v>0.05</v>
      </c>
      <c r="U1283" s="409">
        <v>141.66669999999999</v>
      </c>
      <c r="V1283" s="174">
        <f t="shared" si="519"/>
        <v>144.64878403499998</v>
      </c>
      <c r="W1283" s="322">
        <v>0.2</v>
      </c>
      <c r="X1283" s="274">
        <f t="shared" si="533"/>
        <v>170.00003999999998</v>
      </c>
      <c r="Y1283" s="174">
        <f t="shared" si="523"/>
        <v>173.57854084199997</v>
      </c>
      <c r="Z1283" s="174">
        <f t="shared" si="524"/>
        <v>175</v>
      </c>
      <c r="AA1283" s="410">
        <f t="shared" si="509"/>
        <v>0</v>
      </c>
      <c r="AB1283" s="194"/>
    </row>
    <row r="1284" spans="1:28" s="278" customFormat="1" x14ac:dyDescent="0.25">
      <c r="A1284" s="426">
        <v>818140</v>
      </c>
      <c r="B1284" s="427" t="s">
        <v>19877</v>
      </c>
      <c r="C1284" s="428"/>
      <c r="D1284" s="429" t="s">
        <v>2</v>
      </c>
      <c r="E1284" s="423">
        <f t="shared" si="525"/>
        <v>18.181819999999998</v>
      </c>
      <c r="F1284" s="430">
        <f t="shared" si="525"/>
        <v>18.412729114000001</v>
      </c>
      <c r="G1284" s="431">
        <v>0.1</v>
      </c>
      <c r="H1284" s="432">
        <f t="shared" si="526"/>
        <v>0.1</v>
      </c>
      <c r="I1284" s="423">
        <f t="shared" si="527"/>
        <v>0</v>
      </c>
      <c r="J1284" s="430">
        <f t="shared" si="527"/>
        <v>0</v>
      </c>
      <c r="K1284" s="425"/>
      <c r="L1284" s="433">
        <f t="shared" si="520"/>
        <v>0</v>
      </c>
      <c r="M1284" s="423">
        <f t="shared" si="521"/>
        <v>0</v>
      </c>
      <c r="N1284" s="430">
        <f t="shared" si="528"/>
        <v>0</v>
      </c>
      <c r="O1284" s="425"/>
      <c r="P1284" s="433">
        <f t="shared" si="529"/>
        <v>0</v>
      </c>
      <c r="Q1284" s="425">
        <f t="shared" si="530"/>
        <v>163.63638</v>
      </c>
      <c r="R1284" s="434">
        <f t="shared" si="531"/>
        <v>165.71456202600001</v>
      </c>
      <c r="S1284" s="431">
        <v>0.9</v>
      </c>
      <c r="T1284" s="432">
        <f t="shared" si="532"/>
        <v>0.9</v>
      </c>
      <c r="U1284" s="435">
        <v>181.81819999999999</v>
      </c>
      <c r="V1284" s="430">
        <f t="shared" si="519"/>
        <v>184.12729114000001</v>
      </c>
      <c r="W1284" s="424">
        <v>0.1</v>
      </c>
      <c r="X1284" s="436">
        <f t="shared" si="533"/>
        <v>200.00001999999998</v>
      </c>
      <c r="Y1284" s="430">
        <f t="shared" si="523"/>
        <v>202.54002025400004</v>
      </c>
      <c r="Z1284" s="430">
        <f t="shared" si="524"/>
        <v>205</v>
      </c>
      <c r="AA1284" s="437">
        <f t="shared" si="509"/>
        <v>0</v>
      </c>
      <c r="AB1284" s="194"/>
    </row>
    <row r="1285" spans="1:28" s="278" customFormat="1" x14ac:dyDescent="0.25">
      <c r="A1285" s="200">
        <v>818140</v>
      </c>
      <c r="B1285" s="313" t="s">
        <v>19878</v>
      </c>
      <c r="C1285" s="248"/>
      <c r="D1285" s="247" t="s">
        <v>2</v>
      </c>
      <c r="E1285" s="249">
        <f t="shared" si="525"/>
        <v>15.454550000000001</v>
      </c>
      <c r="F1285" s="170">
        <f t="shared" si="525"/>
        <v>15.650822785000003</v>
      </c>
      <c r="G1285" s="250">
        <v>0.1</v>
      </c>
      <c r="H1285" s="171">
        <f t="shared" si="526"/>
        <v>0.1</v>
      </c>
      <c r="I1285" s="249">
        <f t="shared" si="527"/>
        <v>0</v>
      </c>
      <c r="J1285" s="170">
        <f t="shared" si="527"/>
        <v>0</v>
      </c>
      <c r="K1285" s="251"/>
      <c r="L1285" s="172">
        <f t="shared" si="520"/>
        <v>0</v>
      </c>
      <c r="M1285" s="249">
        <f t="shared" si="521"/>
        <v>0</v>
      </c>
      <c r="N1285" s="170">
        <f t="shared" si="528"/>
        <v>0</v>
      </c>
      <c r="O1285" s="251"/>
      <c r="P1285" s="172">
        <f t="shared" si="529"/>
        <v>0</v>
      </c>
      <c r="Q1285" s="251">
        <f t="shared" si="530"/>
        <v>139.09095000000002</v>
      </c>
      <c r="R1285" s="173">
        <f t="shared" si="531"/>
        <v>140.85740506500002</v>
      </c>
      <c r="S1285" s="250">
        <v>0.9</v>
      </c>
      <c r="T1285" s="171">
        <f t="shared" si="532"/>
        <v>0.9</v>
      </c>
      <c r="U1285" s="256">
        <v>154.5455</v>
      </c>
      <c r="V1285" s="170">
        <f t="shared" si="519"/>
        <v>156.50822785000003</v>
      </c>
      <c r="W1285" s="258">
        <v>0.1</v>
      </c>
      <c r="X1285" s="257">
        <f t="shared" si="533"/>
        <v>170.00005000000002</v>
      </c>
      <c r="Y1285" s="170">
        <f t="shared" si="523"/>
        <v>172.15905063500003</v>
      </c>
      <c r="Z1285" s="170">
        <f t="shared" si="524"/>
        <v>175</v>
      </c>
      <c r="AA1285" s="407">
        <f t="shared" si="509"/>
        <v>0</v>
      </c>
      <c r="AB1285" s="194"/>
    </row>
    <row r="1286" spans="1:28" s="278" customFormat="1" x14ac:dyDescent="0.25">
      <c r="A1286" s="200">
        <v>818140</v>
      </c>
      <c r="B1286" s="313" t="s">
        <v>19879</v>
      </c>
      <c r="C1286" s="248"/>
      <c r="D1286" s="247" t="s">
        <v>2</v>
      </c>
      <c r="E1286" s="249">
        <f t="shared" si="525"/>
        <v>9.0909099999999992</v>
      </c>
      <c r="F1286" s="170">
        <f t="shared" si="525"/>
        <v>9.2063645570000006</v>
      </c>
      <c r="G1286" s="250">
        <v>0.1</v>
      </c>
      <c r="H1286" s="171">
        <f t="shared" si="526"/>
        <v>0.1</v>
      </c>
      <c r="I1286" s="249">
        <f t="shared" si="527"/>
        <v>0</v>
      </c>
      <c r="J1286" s="170">
        <f t="shared" si="527"/>
        <v>0</v>
      </c>
      <c r="K1286" s="251"/>
      <c r="L1286" s="172">
        <f t="shared" si="520"/>
        <v>0</v>
      </c>
      <c r="M1286" s="249">
        <f t="shared" si="521"/>
        <v>0</v>
      </c>
      <c r="N1286" s="170">
        <f t="shared" si="528"/>
        <v>0</v>
      </c>
      <c r="O1286" s="251"/>
      <c r="P1286" s="172">
        <f t="shared" si="529"/>
        <v>0</v>
      </c>
      <c r="Q1286" s="251">
        <f t="shared" si="530"/>
        <v>81.818190000000001</v>
      </c>
      <c r="R1286" s="173">
        <f t="shared" si="531"/>
        <v>82.857281013000005</v>
      </c>
      <c r="S1286" s="250">
        <v>0.9</v>
      </c>
      <c r="T1286" s="171">
        <f t="shared" si="532"/>
        <v>0.9</v>
      </c>
      <c r="U1286" s="256">
        <v>90.909099999999995</v>
      </c>
      <c r="V1286" s="170">
        <f t="shared" si="519"/>
        <v>92.063645570000006</v>
      </c>
      <c r="W1286" s="258">
        <v>0.1</v>
      </c>
      <c r="X1286" s="257">
        <f t="shared" si="533"/>
        <v>100.00000999999999</v>
      </c>
      <c r="Y1286" s="170">
        <f t="shared" si="523"/>
        <v>101.27001012700002</v>
      </c>
      <c r="Z1286" s="170">
        <f t="shared" si="524"/>
        <v>105</v>
      </c>
      <c r="AA1286" s="407">
        <f t="shared" ref="AA1286:AA1300" si="534">C1286*Z1286</f>
        <v>0</v>
      </c>
      <c r="AB1286" s="194"/>
    </row>
    <row r="1287" spans="1:28" s="278" customFormat="1" x14ac:dyDescent="0.25">
      <c r="A1287" s="200">
        <v>818142</v>
      </c>
      <c r="B1287" s="313" t="s">
        <v>19880</v>
      </c>
      <c r="C1287" s="248"/>
      <c r="D1287" s="247" t="s">
        <v>2</v>
      </c>
      <c r="E1287" s="249">
        <f t="shared" si="525"/>
        <v>19.090910000000001</v>
      </c>
      <c r="F1287" s="170">
        <f t="shared" si="525"/>
        <v>19.333364556999999</v>
      </c>
      <c r="G1287" s="250">
        <v>0.1</v>
      </c>
      <c r="H1287" s="171">
        <f t="shared" si="526"/>
        <v>0.1</v>
      </c>
      <c r="I1287" s="249">
        <f t="shared" si="527"/>
        <v>0</v>
      </c>
      <c r="J1287" s="170">
        <f t="shared" si="527"/>
        <v>0</v>
      </c>
      <c r="K1287" s="251"/>
      <c r="L1287" s="172">
        <f t="shared" si="520"/>
        <v>0</v>
      </c>
      <c r="M1287" s="249">
        <f t="shared" si="521"/>
        <v>0</v>
      </c>
      <c r="N1287" s="170">
        <f t="shared" si="528"/>
        <v>0</v>
      </c>
      <c r="O1287" s="251"/>
      <c r="P1287" s="172">
        <f t="shared" si="529"/>
        <v>0</v>
      </c>
      <c r="Q1287" s="251">
        <f t="shared" si="530"/>
        <v>171.81818999999999</v>
      </c>
      <c r="R1287" s="173">
        <f t="shared" si="531"/>
        <v>174.00028101300001</v>
      </c>
      <c r="S1287" s="250">
        <v>0.9</v>
      </c>
      <c r="T1287" s="171">
        <f t="shared" si="532"/>
        <v>0.9</v>
      </c>
      <c r="U1287" s="256">
        <v>190.9091</v>
      </c>
      <c r="V1287" s="170">
        <f t="shared" si="519"/>
        <v>193.33364556999999</v>
      </c>
      <c r="W1287" s="258">
        <v>0.1</v>
      </c>
      <c r="X1287" s="257">
        <f t="shared" si="533"/>
        <v>210.00001</v>
      </c>
      <c r="Y1287" s="170">
        <f t="shared" si="523"/>
        <v>212.667010127</v>
      </c>
      <c r="Z1287" s="170">
        <f t="shared" si="524"/>
        <v>215</v>
      </c>
      <c r="AA1287" s="407">
        <f t="shared" si="534"/>
        <v>0</v>
      </c>
      <c r="AB1287" s="194"/>
    </row>
    <row r="1288" spans="1:28" s="278" customFormat="1" x14ac:dyDescent="0.25">
      <c r="A1288" s="200">
        <v>818142</v>
      </c>
      <c r="B1288" s="313" t="s">
        <v>19881</v>
      </c>
      <c r="C1288" s="248"/>
      <c r="D1288" s="247" t="s">
        <v>2</v>
      </c>
      <c r="E1288" s="249">
        <f t="shared" si="525"/>
        <v>16.36364</v>
      </c>
      <c r="F1288" s="170">
        <f t="shared" si="525"/>
        <v>16.571458228000004</v>
      </c>
      <c r="G1288" s="250">
        <v>0.1</v>
      </c>
      <c r="H1288" s="171">
        <f t="shared" si="526"/>
        <v>0.1</v>
      </c>
      <c r="I1288" s="249">
        <f t="shared" si="527"/>
        <v>0</v>
      </c>
      <c r="J1288" s="170">
        <f t="shared" si="527"/>
        <v>0</v>
      </c>
      <c r="K1288" s="251"/>
      <c r="L1288" s="172">
        <f t="shared" si="520"/>
        <v>0</v>
      </c>
      <c r="M1288" s="249">
        <f t="shared" si="521"/>
        <v>0</v>
      </c>
      <c r="N1288" s="170">
        <f t="shared" si="528"/>
        <v>0</v>
      </c>
      <c r="O1288" s="251"/>
      <c r="P1288" s="172">
        <f t="shared" si="529"/>
        <v>0</v>
      </c>
      <c r="Q1288" s="251">
        <f t="shared" si="530"/>
        <v>147.27276000000001</v>
      </c>
      <c r="R1288" s="173">
        <f t="shared" si="531"/>
        <v>149.14312405200002</v>
      </c>
      <c r="S1288" s="250">
        <v>0.9</v>
      </c>
      <c r="T1288" s="171">
        <f t="shared" si="532"/>
        <v>0.9</v>
      </c>
      <c r="U1288" s="256">
        <v>163.63640000000001</v>
      </c>
      <c r="V1288" s="170">
        <f t="shared" si="519"/>
        <v>165.71458228000003</v>
      </c>
      <c r="W1288" s="258">
        <v>0.1</v>
      </c>
      <c r="X1288" s="257">
        <f t="shared" si="533"/>
        <v>180.00004000000001</v>
      </c>
      <c r="Y1288" s="170">
        <f t="shared" si="523"/>
        <v>182.28604050800004</v>
      </c>
      <c r="Z1288" s="170">
        <f t="shared" si="524"/>
        <v>185</v>
      </c>
      <c r="AA1288" s="407">
        <f t="shared" si="534"/>
        <v>0</v>
      </c>
      <c r="AB1288" s="194"/>
    </row>
    <row r="1289" spans="1:28" s="278" customFormat="1" x14ac:dyDescent="0.25">
      <c r="A1289" s="200">
        <v>818142</v>
      </c>
      <c r="B1289" s="313" t="s">
        <v>19882</v>
      </c>
      <c r="C1289" s="248"/>
      <c r="D1289" s="247" t="s">
        <v>2</v>
      </c>
      <c r="E1289" s="249">
        <f t="shared" si="525"/>
        <v>9.0909099999999992</v>
      </c>
      <c r="F1289" s="170">
        <f t="shared" si="525"/>
        <v>9.2063645570000006</v>
      </c>
      <c r="G1289" s="250">
        <v>0.1</v>
      </c>
      <c r="H1289" s="171">
        <f t="shared" si="526"/>
        <v>0.1</v>
      </c>
      <c r="I1289" s="249">
        <f t="shared" si="527"/>
        <v>0</v>
      </c>
      <c r="J1289" s="170">
        <f t="shared" si="527"/>
        <v>0</v>
      </c>
      <c r="K1289" s="251"/>
      <c r="L1289" s="172">
        <f t="shared" si="520"/>
        <v>0</v>
      </c>
      <c r="M1289" s="249">
        <f t="shared" si="521"/>
        <v>0</v>
      </c>
      <c r="N1289" s="170">
        <f t="shared" si="528"/>
        <v>0</v>
      </c>
      <c r="O1289" s="251"/>
      <c r="P1289" s="172">
        <f t="shared" si="529"/>
        <v>0</v>
      </c>
      <c r="Q1289" s="251">
        <f t="shared" si="530"/>
        <v>81.818190000000001</v>
      </c>
      <c r="R1289" s="173">
        <f t="shared" si="531"/>
        <v>82.857281013000005</v>
      </c>
      <c r="S1289" s="250">
        <v>0.9</v>
      </c>
      <c r="T1289" s="171">
        <f t="shared" si="532"/>
        <v>0.9</v>
      </c>
      <c r="U1289" s="256">
        <v>90.909099999999995</v>
      </c>
      <c r="V1289" s="170">
        <f t="shared" si="519"/>
        <v>92.063645570000006</v>
      </c>
      <c r="W1289" s="258">
        <v>0.1</v>
      </c>
      <c r="X1289" s="257">
        <f t="shared" si="533"/>
        <v>100.00000999999999</v>
      </c>
      <c r="Y1289" s="170">
        <f t="shared" si="523"/>
        <v>101.27001012700002</v>
      </c>
      <c r="Z1289" s="170">
        <f t="shared" si="524"/>
        <v>105</v>
      </c>
      <c r="AA1289" s="407">
        <f t="shared" si="534"/>
        <v>0</v>
      </c>
      <c r="AB1289" s="194"/>
    </row>
    <row r="1290" spans="1:28" s="278" customFormat="1" x14ac:dyDescent="0.25">
      <c r="A1290" s="200">
        <v>818143</v>
      </c>
      <c r="B1290" s="313" t="s">
        <v>19883</v>
      </c>
      <c r="C1290" s="248"/>
      <c r="D1290" s="247" t="s">
        <v>2</v>
      </c>
      <c r="E1290" s="249">
        <f t="shared" si="525"/>
        <v>20</v>
      </c>
      <c r="F1290" s="170">
        <f t="shared" si="525"/>
        <v>20.254000000000005</v>
      </c>
      <c r="G1290" s="250">
        <v>0.1</v>
      </c>
      <c r="H1290" s="171">
        <f t="shared" si="526"/>
        <v>0.1</v>
      </c>
      <c r="I1290" s="249">
        <f t="shared" si="527"/>
        <v>0</v>
      </c>
      <c r="J1290" s="170">
        <f t="shared" si="527"/>
        <v>0</v>
      </c>
      <c r="K1290" s="251"/>
      <c r="L1290" s="172">
        <f t="shared" si="520"/>
        <v>0</v>
      </c>
      <c r="M1290" s="249">
        <f t="shared" si="521"/>
        <v>0</v>
      </c>
      <c r="N1290" s="170">
        <f t="shared" si="528"/>
        <v>0</v>
      </c>
      <c r="O1290" s="251"/>
      <c r="P1290" s="172">
        <f t="shared" si="529"/>
        <v>0</v>
      </c>
      <c r="Q1290" s="251">
        <f t="shared" si="530"/>
        <v>180</v>
      </c>
      <c r="R1290" s="173">
        <f t="shared" si="531"/>
        <v>182.28600000000003</v>
      </c>
      <c r="S1290" s="250">
        <v>0.9</v>
      </c>
      <c r="T1290" s="171">
        <f t="shared" si="532"/>
        <v>0.9</v>
      </c>
      <c r="U1290" s="256">
        <v>200</v>
      </c>
      <c r="V1290" s="170">
        <f t="shared" si="519"/>
        <v>202.54000000000002</v>
      </c>
      <c r="W1290" s="258">
        <v>0.1</v>
      </c>
      <c r="X1290" s="257">
        <f t="shared" si="533"/>
        <v>220</v>
      </c>
      <c r="Y1290" s="170">
        <f t="shared" si="523"/>
        <v>222.79400000000004</v>
      </c>
      <c r="Z1290" s="170">
        <f t="shared" si="524"/>
        <v>225</v>
      </c>
      <c r="AA1290" s="407">
        <f t="shared" si="534"/>
        <v>0</v>
      </c>
      <c r="AB1290" s="194"/>
    </row>
    <row r="1291" spans="1:28" s="278" customFormat="1" x14ac:dyDescent="0.25">
      <c r="A1291" s="200">
        <v>818143</v>
      </c>
      <c r="B1291" s="313" t="s">
        <v>19884</v>
      </c>
      <c r="C1291" s="248"/>
      <c r="D1291" s="247" t="s">
        <v>2</v>
      </c>
      <c r="E1291" s="249">
        <f t="shared" si="525"/>
        <v>17.272730000000003</v>
      </c>
      <c r="F1291" s="170">
        <f t="shared" si="525"/>
        <v>17.492093671000003</v>
      </c>
      <c r="G1291" s="250">
        <v>0.1</v>
      </c>
      <c r="H1291" s="171">
        <f t="shared" si="526"/>
        <v>0.1</v>
      </c>
      <c r="I1291" s="249">
        <f t="shared" si="527"/>
        <v>0</v>
      </c>
      <c r="J1291" s="170">
        <f t="shared" si="527"/>
        <v>0</v>
      </c>
      <c r="K1291" s="251"/>
      <c r="L1291" s="172">
        <f t="shared" si="520"/>
        <v>0</v>
      </c>
      <c r="M1291" s="249">
        <f t="shared" si="521"/>
        <v>0</v>
      </c>
      <c r="N1291" s="170">
        <f t="shared" si="528"/>
        <v>0</v>
      </c>
      <c r="O1291" s="251"/>
      <c r="P1291" s="172">
        <f t="shared" si="529"/>
        <v>0</v>
      </c>
      <c r="Q1291" s="251">
        <f t="shared" si="530"/>
        <v>155.45457000000002</v>
      </c>
      <c r="R1291" s="173">
        <f t="shared" si="531"/>
        <v>157.42884303900004</v>
      </c>
      <c r="S1291" s="250">
        <v>0.9</v>
      </c>
      <c r="T1291" s="171">
        <f t="shared" si="532"/>
        <v>0.9</v>
      </c>
      <c r="U1291" s="256">
        <v>172.72730000000001</v>
      </c>
      <c r="V1291" s="170">
        <f t="shared" si="519"/>
        <v>174.92093671000003</v>
      </c>
      <c r="W1291" s="258">
        <v>0.1</v>
      </c>
      <c r="X1291" s="257">
        <f t="shared" si="533"/>
        <v>190.00003000000001</v>
      </c>
      <c r="Y1291" s="170">
        <f t="shared" si="523"/>
        <v>192.41303038100006</v>
      </c>
      <c r="Z1291" s="170">
        <f t="shared" si="524"/>
        <v>195</v>
      </c>
      <c r="AA1291" s="407">
        <f t="shared" si="534"/>
        <v>0</v>
      </c>
      <c r="AB1291" s="194"/>
    </row>
    <row r="1292" spans="1:28" s="278" customFormat="1" x14ac:dyDescent="0.25">
      <c r="A1292" s="200">
        <v>818143</v>
      </c>
      <c r="B1292" s="313" t="s">
        <v>19885</v>
      </c>
      <c r="C1292" s="248"/>
      <c r="D1292" s="247" t="s">
        <v>2</v>
      </c>
      <c r="E1292" s="249">
        <f t="shared" si="525"/>
        <v>10</v>
      </c>
      <c r="F1292" s="170">
        <f t="shared" si="525"/>
        <v>10.127000000000002</v>
      </c>
      <c r="G1292" s="250">
        <v>0.1</v>
      </c>
      <c r="H1292" s="171">
        <f t="shared" si="526"/>
        <v>0.1</v>
      </c>
      <c r="I1292" s="249">
        <f t="shared" si="527"/>
        <v>0</v>
      </c>
      <c r="J1292" s="170">
        <f t="shared" si="527"/>
        <v>0</v>
      </c>
      <c r="K1292" s="251"/>
      <c r="L1292" s="172">
        <f t="shared" si="520"/>
        <v>0</v>
      </c>
      <c r="M1292" s="249">
        <f t="shared" si="521"/>
        <v>0</v>
      </c>
      <c r="N1292" s="170">
        <f t="shared" si="528"/>
        <v>0</v>
      </c>
      <c r="O1292" s="251"/>
      <c r="P1292" s="172">
        <f t="shared" si="529"/>
        <v>0</v>
      </c>
      <c r="Q1292" s="251">
        <f t="shared" si="530"/>
        <v>90</v>
      </c>
      <c r="R1292" s="173">
        <f t="shared" si="531"/>
        <v>91.143000000000015</v>
      </c>
      <c r="S1292" s="250">
        <v>0.9</v>
      </c>
      <c r="T1292" s="171">
        <f t="shared" si="532"/>
        <v>0.9</v>
      </c>
      <c r="U1292" s="256">
        <v>100</v>
      </c>
      <c r="V1292" s="170">
        <f t="shared" si="519"/>
        <v>101.27000000000001</v>
      </c>
      <c r="W1292" s="258">
        <v>0.1</v>
      </c>
      <c r="X1292" s="257">
        <f t="shared" si="533"/>
        <v>110</v>
      </c>
      <c r="Y1292" s="170">
        <f t="shared" si="523"/>
        <v>111.39700000000002</v>
      </c>
      <c r="Z1292" s="170">
        <f t="shared" si="524"/>
        <v>115</v>
      </c>
      <c r="AA1292" s="407">
        <f t="shared" si="534"/>
        <v>0</v>
      </c>
      <c r="AB1292" s="194"/>
    </row>
    <row r="1293" spans="1:28" s="278" customFormat="1" x14ac:dyDescent="0.25">
      <c r="A1293" s="200">
        <v>818241</v>
      </c>
      <c r="B1293" s="313" t="s">
        <v>19886</v>
      </c>
      <c r="C1293" s="248"/>
      <c r="D1293" s="247" t="s">
        <v>1</v>
      </c>
      <c r="E1293" s="249">
        <f t="shared" si="525"/>
        <v>36.666680000000007</v>
      </c>
      <c r="F1293" s="170">
        <f t="shared" si="525"/>
        <v>37.423846942000004</v>
      </c>
      <c r="G1293" s="250">
        <v>0.4</v>
      </c>
      <c r="H1293" s="171">
        <f t="shared" si="526"/>
        <v>0.4</v>
      </c>
      <c r="I1293" s="249">
        <f t="shared" si="527"/>
        <v>36.666680000000007</v>
      </c>
      <c r="J1293" s="170">
        <f t="shared" si="527"/>
        <v>37.423846942000004</v>
      </c>
      <c r="K1293" s="250">
        <v>0.4</v>
      </c>
      <c r="L1293" s="172">
        <f t="shared" si="520"/>
        <v>0.4</v>
      </c>
      <c r="M1293" s="249">
        <f t="shared" si="521"/>
        <v>13.750005</v>
      </c>
      <c r="N1293" s="170">
        <f t="shared" si="528"/>
        <v>14.033942603250003</v>
      </c>
      <c r="O1293" s="250">
        <v>0.15</v>
      </c>
      <c r="P1293" s="172">
        <f t="shared" si="529"/>
        <v>0.15</v>
      </c>
      <c r="Q1293" s="251">
        <f t="shared" si="530"/>
        <v>4.5833350000000008</v>
      </c>
      <c r="R1293" s="173">
        <f t="shared" si="531"/>
        <v>4.6779808677500005</v>
      </c>
      <c r="S1293" s="250">
        <v>0.05</v>
      </c>
      <c r="T1293" s="171">
        <f t="shared" si="532"/>
        <v>0.05</v>
      </c>
      <c r="U1293" s="256">
        <v>91.666700000000006</v>
      </c>
      <c r="V1293" s="170">
        <f t="shared" si="519"/>
        <v>93.559617355000015</v>
      </c>
      <c r="W1293" s="258">
        <v>0.2</v>
      </c>
      <c r="X1293" s="257">
        <f t="shared" si="533"/>
        <v>110.00004000000001</v>
      </c>
      <c r="Y1293" s="170">
        <f t="shared" si="523"/>
        <v>112.27154082600002</v>
      </c>
      <c r="Z1293" s="170">
        <f t="shared" si="524"/>
        <v>115</v>
      </c>
      <c r="AA1293" s="407">
        <f t="shared" si="534"/>
        <v>0</v>
      </c>
      <c r="AB1293" s="194"/>
    </row>
    <row r="1294" spans="1:28" s="278" customFormat="1" x14ac:dyDescent="0.25">
      <c r="A1294" s="200">
        <v>818241</v>
      </c>
      <c r="B1294" s="313" t="s">
        <v>19887</v>
      </c>
      <c r="C1294" s="248"/>
      <c r="D1294" s="247" t="s">
        <v>1</v>
      </c>
      <c r="E1294" s="249">
        <f t="shared" si="525"/>
        <v>33.333199999999998</v>
      </c>
      <c r="F1294" s="170">
        <f t="shared" si="525"/>
        <v>34.021530579999997</v>
      </c>
      <c r="G1294" s="250">
        <v>0.4</v>
      </c>
      <c r="H1294" s="171">
        <f t="shared" si="526"/>
        <v>0.4</v>
      </c>
      <c r="I1294" s="249">
        <f t="shared" si="527"/>
        <v>33.333199999999998</v>
      </c>
      <c r="J1294" s="170">
        <f t="shared" si="527"/>
        <v>34.021530579999997</v>
      </c>
      <c r="K1294" s="250">
        <v>0.4</v>
      </c>
      <c r="L1294" s="172">
        <f t="shared" si="520"/>
        <v>0.4</v>
      </c>
      <c r="M1294" s="249">
        <f t="shared" si="521"/>
        <v>12.49995</v>
      </c>
      <c r="N1294" s="170">
        <f t="shared" si="528"/>
        <v>12.758073967499998</v>
      </c>
      <c r="O1294" s="250">
        <v>0.15</v>
      </c>
      <c r="P1294" s="172">
        <f t="shared" si="529"/>
        <v>0.15</v>
      </c>
      <c r="Q1294" s="251">
        <f t="shared" si="530"/>
        <v>4.1666499999999997</v>
      </c>
      <c r="R1294" s="173">
        <f t="shared" si="531"/>
        <v>4.2526913224999996</v>
      </c>
      <c r="S1294" s="250">
        <v>0.05</v>
      </c>
      <c r="T1294" s="171">
        <f t="shared" si="532"/>
        <v>0.05</v>
      </c>
      <c r="U1294" s="256">
        <v>83.332999999999998</v>
      </c>
      <c r="V1294" s="170">
        <f t="shared" si="519"/>
        <v>85.053826449999988</v>
      </c>
      <c r="W1294" s="258">
        <v>0.2</v>
      </c>
      <c r="X1294" s="257">
        <f t="shared" si="533"/>
        <v>99.999600000000001</v>
      </c>
      <c r="Y1294" s="170">
        <f t="shared" si="523"/>
        <v>102.06459173999998</v>
      </c>
      <c r="Z1294" s="170">
        <f t="shared" si="524"/>
        <v>105</v>
      </c>
      <c r="AA1294" s="407">
        <f t="shared" si="534"/>
        <v>0</v>
      </c>
      <c r="AB1294" s="194"/>
    </row>
    <row r="1295" spans="1:28" s="278" customFormat="1" x14ac:dyDescent="0.25">
      <c r="A1295" s="200">
        <v>818241</v>
      </c>
      <c r="B1295" s="313" t="s">
        <v>19888</v>
      </c>
      <c r="C1295" s="248"/>
      <c r="D1295" s="247" t="s">
        <v>1</v>
      </c>
      <c r="E1295" s="249">
        <f>U1295*G1295</f>
        <v>26.666680000000003</v>
      </c>
      <c r="F1295" s="170">
        <f>V1295*H1295</f>
        <v>27.217346942000006</v>
      </c>
      <c r="G1295" s="250">
        <v>0.4</v>
      </c>
      <c r="H1295" s="171">
        <f>G1295</f>
        <v>0.4</v>
      </c>
      <c r="I1295" s="249">
        <f>U1295*K1295</f>
        <v>26.666680000000003</v>
      </c>
      <c r="J1295" s="170">
        <f>V1295*L1295</f>
        <v>27.217346942000006</v>
      </c>
      <c r="K1295" s="250">
        <v>0.4</v>
      </c>
      <c r="L1295" s="172">
        <f>K1295</f>
        <v>0.4</v>
      </c>
      <c r="M1295" s="249">
        <f>U1295*O1295</f>
        <v>10.000005</v>
      </c>
      <c r="N1295" s="170">
        <f>P1295*V1295</f>
        <v>10.206505103250002</v>
      </c>
      <c r="O1295" s="250">
        <v>0.15</v>
      </c>
      <c r="P1295" s="172">
        <f>O1295</f>
        <v>0.15</v>
      </c>
      <c r="Q1295" s="251">
        <f>U1295*S1295</f>
        <v>3.3333350000000004</v>
      </c>
      <c r="R1295" s="173">
        <f>T1295*V1295</f>
        <v>3.4021683677500008</v>
      </c>
      <c r="S1295" s="250">
        <v>0.05</v>
      </c>
      <c r="T1295" s="171">
        <f>S1295</f>
        <v>0.05</v>
      </c>
      <c r="U1295" s="256">
        <v>66.666700000000006</v>
      </c>
      <c r="V1295" s="170">
        <f>SUM(E1295*1.0235,I1295*1.0175,M1295*1.0245,Q1295*1.0115)</f>
        <v>68.043367355000015</v>
      </c>
      <c r="W1295" s="258">
        <v>0.2</v>
      </c>
      <c r="X1295" s="257">
        <f>U1295+U1295*W1295</f>
        <v>80.000040000000013</v>
      </c>
      <c r="Y1295" s="170">
        <f>IF(V1295*(W1295+1)=0,X1295,V1295*(W1295+1))</f>
        <v>81.652040826000018</v>
      </c>
      <c r="Z1295" s="170">
        <f>IF(Y1295=0, 0, IF(Y1295&lt;10, _xlfn.CEILING.MATH(Y1295,1), IF(Y1295&lt;100, _xlfn.CEILING.MATH(Y1295,1),IF(Y1295&lt;1000, _xlfn.CEILING.MATH(Y1295,5), IF(Y1295&lt;10000, _xlfn.CEILING.MATH(Y1295, 25), IF(Y1295&lt;100000, _xlfn.CEILING.MATH(Y1295,250), IF(Y1295&lt;1000000, _xlfn.CEILING.MATH(Y1295,500), 0)))))))</f>
        <v>82</v>
      </c>
      <c r="AA1295" s="407">
        <f>C1295*Z1295</f>
        <v>0</v>
      </c>
      <c r="AB1295" s="194"/>
    </row>
    <row r="1296" spans="1:28" s="278" customFormat="1" x14ac:dyDescent="0.25">
      <c r="A1296" s="200">
        <v>818250</v>
      </c>
      <c r="B1296" s="313" t="s">
        <v>16108</v>
      </c>
      <c r="C1296" s="248"/>
      <c r="D1296" s="247" t="s">
        <v>2</v>
      </c>
      <c r="E1296" s="249">
        <f>U1296*G1296</f>
        <v>0</v>
      </c>
      <c r="F1296" s="170">
        <f>V1296*H1296</f>
        <v>87.75</v>
      </c>
      <c r="G1296" s="250">
        <v>0.45</v>
      </c>
      <c r="H1296" s="171">
        <f>G1296</f>
        <v>0.45</v>
      </c>
      <c r="I1296" s="249">
        <f>U1296*K1296</f>
        <v>0</v>
      </c>
      <c r="J1296" s="170">
        <f>V1296*L1296</f>
        <v>87.75</v>
      </c>
      <c r="K1296" s="250">
        <v>0.45</v>
      </c>
      <c r="L1296" s="172">
        <f>K1296</f>
        <v>0.45</v>
      </c>
      <c r="M1296" s="249">
        <f>U1296*O1296</f>
        <v>0</v>
      </c>
      <c r="N1296" s="170">
        <f>P1296*V1296</f>
        <v>14.625</v>
      </c>
      <c r="O1296" s="250">
        <v>7.4999999999999997E-2</v>
      </c>
      <c r="P1296" s="172">
        <f>O1296</f>
        <v>7.4999999999999997E-2</v>
      </c>
      <c r="Q1296" s="251">
        <f>U1296*S1296</f>
        <v>0</v>
      </c>
      <c r="R1296" s="173">
        <f>T1296*V1296</f>
        <v>4.875</v>
      </c>
      <c r="S1296" s="252">
        <v>2.5000000000000001E-2</v>
      </c>
      <c r="T1296" s="171">
        <f>S1296</f>
        <v>2.5000000000000001E-2</v>
      </c>
      <c r="U1296" s="256"/>
      <c r="V1296" s="170">
        <v>195</v>
      </c>
      <c r="W1296" s="258">
        <v>0.2</v>
      </c>
      <c r="X1296" s="257">
        <f>U1296+U1296*W1296</f>
        <v>0</v>
      </c>
      <c r="Y1296" s="170">
        <f>IF(V1296*(W1296+1)=0,X1296,V1296*(W1296+1))</f>
        <v>234</v>
      </c>
      <c r="Z1296" s="170">
        <f>IF(Y1296=0, 0, IF(Y1296&lt;10, _xlfn.CEILING.MATH(Y1296,1), IF(Y1296&lt;100, _xlfn.CEILING.MATH(Y1296,1),IF(Y1296&lt;1000, _xlfn.CEILING.MATH(Y1296,5), IF(Y1296&lt;10000, _xlfn.CEILING.MATH(Y1296, 25), IF(Y1296&lt;100000, _xlfn.CEILING.MATH(Y1296,250), IF(Y1296&lt;1000000, _xlfn.CEILING.MATH(Y1296,500), 0)))))))</f>
        <v>235</v>
      </c>
      <c r="AA1296" s="407">
        <f>C1296*Z1296</f>
        <v>0</v>
      </c>
      <c r="AB1296" s="194"/>
    </row>
    <row r="1297" spans="1:28" s="278" customFormat="1" x14ac:dyDescent="0.25">
      <c r="A1297" s="195" t="s">
        <v>14821</v>
      </c>
      <c r="B1297" s="317" t="s">
        <v>14822</v>
      </c>
      <c r="C1297" s="241"/>
      <c r="D1297" s="242"/>
      <c r="E1297" s="243"/>
      <c r="F1297" s="244"/>
      <c r="G1297" s="245"/>
      <c r="H1297" s="246"/>
      <c r="I1297" s="243"/>
      <c r="J1297" s="244"/>
      <c r="K1297" s="245"/>
      <c r="L1297" s="246"/>
      <c r="M1297" s="243"/>
      <c r="N1297" s="244"/>
      <c r="O1297" s="245"/>
      <c r="P1297" s="246"/>
      <c r="Q1297" s="243"/>
      <c r="R1297" s="244"/>
      <c r="S1297" s="245"/>
      <c r="T1297" s="246"/>
      <c r="U1297" s="246"/>
      <c r="V1297" s="246"/>
      <c r="W1297" s="246"/>
      <c r="X1297" s="246"/>
      <c r="Y1297" s="244"/>
      <c r="Z1297" s="244"/>
      <c r="AA1297" s="406"/>
      <c r="AB1297" s="194"/>
    </row>
    <row r="1298" spans="1:28" s="278" customFormat="1" x14ac:dyDescent="0.25">
      <c r="A1298" s="200">
        <v>819006</v>
      </c>
      <c r="B1298" s="313" t="s">
        <v>19889</v>
      </c>
      <c r="C1298" s="248"/>
      <c r="D1298" s="247" t="s">
        <v>7</v>
      </c>
      <c r="E1298" s="249">
        <f t="shared" si="525"/>
        <v>41.250015000000005</v>
      </c>
      <c r="F1298" s="170">
        <f t="shared" si="525"/>
        <v>42.099765309000013</v>
      </c>
      <c r="G1298" s="250">
        <v>0.45</v>
      </c>
      <c r="H1298" s="171">
        <f t="shared" si="526"/>
        <v>0.45</v>
      </c>
      <c r="I1298" s="249">
        <f t="shared" si="527"/>
        <v>36.666680000000007</v>
      </c>
      <c r="J1298" s="170">
        <f t="shared" si="527"/>
        <v>37.422013608000007</v>
      </c>
      <c r="K1298" s="250">
        <v>0.4</v>
      </c>
      <c r="L1298" s="172">
        <f t="shared" si="520"/>
        <v>0.4</v>
      </c>
      <c r="M1298" s="249">
        <f t="shared" si="521"/>
        <v>9.1666700000000017</v>
      </c>
      <c r="N1298" s="170">
        <f t="shared" si="528"/>
        <v>9.3555034020000019</v>
      </c>
      <c r="O1298" s="250">
        <v>0.1</v>
      </c>
      <c r="P1298" s="172">
        <f t="shared" si="529"/>
        <v>0.1</v>
      </c>
      <c r="Q1298" s="251">
        <f t="shared" si="530"/>
        <v>4.5833350000000008</v>
      </c>
      <c r="R1298" s="173">
        <f t="shared" si="531"/>
        <v>4.6777517010000009</v>
      </c>
      <c r="S1298" s="250">
        <v>0.05</v>
      </c>
      <c r="T1298" s="171">
        <f t="shared" si="532"/>
        <v>0.05</v>
      </c>
      <c r="U1298" s="256">
        <v>91.666700000000006</v>
      </c>
      <c r="V1298" s="170">
        <f t="shared" ref="V1298:V1338" si="535">SUM(E1298*1.0235,I1298*1.0175,M1298*1.0245,Q1298*1.0115)</f>
        <v>93.555034020000022</v>
      </c>
      <c r="W1298" s="258">
        <v>0.2</v>
      </c>
      <c r="X1298" s="257">
        <f t="shared" ref="X1298:X1313" si="536">U1298+U1298*W1298</f>
        <v>110.00004000000001</v>
      </c>
      <c r="Y1298" s="170">
        <f t="shared" si="523"/>
        <v>112.26604082400003</v>
      </c>
      <c r="Z1298" s="170">
        <f t="shared" si="524"/>
        <v>115</v>
      </c>
      <c r="AA1298" s="407">
        <f t="shared" si="534"/>
        <v>0</v>
      </c>
      <c r="AB1298" s="194"/>
    </row>
    <row r="1299" spans="1:28" s="278" customFormat="1" x14ac:dyDescent="0.25">
      <c r="A1299" s="200">
        <v>819006</v>
      </c>
      <c r="B1299" s="313" t="s">
        <v>19890</v>
      </c>
      <c r="C1299" s="248"/>
      <c r="D1299" s="247" t="s">
        <v>7</v>
      </c>
      <c r="E1299" s="249">
        <f t="shared" si="525"/>
        <v>37.499850000000002</v>
      </c>
      <c r="F1299" s="170">
        <f t="shared" si="525"/>
        <v>38.27234691000001</v>
      </c>
      <c r="G1299" s="250">
        <v>0.45</v>
      </c>
      <c r="H1299" s="171">
        <f t="shared" si="526"/>
        <v>0.45</v>
      </c>
      <c r="I1299" s="249">
        <f t="shared" si="527"/>
        <v>33.333199999999998</v>
      </c>
      <c r="J1299" s="170">
        <f t="shared" si="527"/>
        <v>34.019863920000006</v>
      </c>
      <c r="K1299" s="250">
        <v>0.4</v>
      </c>
      <c r="L1299" s="172">
        <f t="shared" si="520"/>
        <v>0.4</v>
      </c>
      <c r="M1299" s="249">
        <f t="shared" si="521"/>
        <v>8.3332999999999995</v>
      </c>
      <c r="N1299" s="170">
        <f t="shared" si="528"/>
        <v>8.5049659800000015</v>
      </c>
      <c r="O1299" s="250">
        <v>0.1</v>
      </c>
      <c r="P1299" s="172">
        <f t="shared" si="529"/>
        <v>0.1</v>
      </c>
      <c r="Q1299" s="251">
        <f t="shared" si="530"/>
        <v>4.1666499999999997</v>
      </c>
      <c r="R1299" s="173">
        <f t="shared" si="531"/>
        <v>4.2524829900000007</v>
      </c>
      <c r="S1299" s="250">
        <v>0.05</v>
      </c>
      <c r="T1299" s="171">
        <f t="shared" si="532"/>
        <v>0.05</v>
      </c>
      <c r="U1299" s="256">
        <v>83.332999999999998</v>
      </c>
      <c r="V1299" s="170">
        <f t="shared" si="535"/>
        <v>85.049659800000015</v>
      </c>
      <c r="W1299" s="258">
        <v>0.2</v>
      </c>
      <c r="X1299" s="257">
        <f t="shared" si="536"/>
        <v>99.999600000000001</v>
      </c>
      <c r="Y1299" s="170">
        <f t="shared" si="523"/>
        <v>102.05959176000002</v>
      </c>
      <c r="Z1299" s="170">
        <f t="shared" si="524"/>
        <v>105</v>
      </c>
      <c r="AA1299" s="407">
        <f t="shared" si="534"/>
        <v>0</v>
      </c>
      <c r="AB1299" s="194"/>
    </row>
    <row r="1300" spans="1:28" s="278" customFormat="1" x14ac:dyDescent="0.25">
      <c r="A1300" s="200">
        <v>819006</v>
      </c>
      <c r="B1300" s="313" t="s">
        <v>19891</v>
      </c>
      <c r="C1300" s="248"/>
      <c r="D1300" s="247" t="s">
        <v>7</v>
      </c>
      <c r="E1300" s="249">
        <f t="shared" si="525"/>
        <v>31.874984999999999</v>
      </c>
      <c r="F1300" s="170">
        <f t="shared" si="525"/>
        <v>32.531609691</v>
      </c>
      <c r="G1300" s="250">
        <v>0.45</v>
      </c>
      <c r="H1300" s="171">
        <f t="shared" si="526"/>
        <v>0.45</v>
      </c>
      <c r="I1300" s="249">
        <f t="shared" si="527"/>
        <v>28.333320000000001</v>
      </c>
      <c r="J1300" s="170">
        <f t="shared" si="527"/>
        <v>28.916986392000002</v>
      </c>
      <c r="K1300" s="250">
        <v>0.4</v>
      </c>
      <c r="L1300" s="172">
        <f t="shared" si="520"/>
        <v>0.4</v>
      </c>
      <c r="M1300" s="249">
        <f t="shared" si="521"/>
        <v>7.0833300000000001</v>
      </c>
      <c r="N1300" s="170">
        <f t="shared" si="528"/>
        <v>7.2292465980000005</v>
      </c>
      <c r="O1300" s="250">
        <v>0.1</v>
      </c>
      <c r="P1300" s="172">
        <f t="shared" si="529"/>
        <v>0.1</v>
      </c>
      <c r="Q1300" s="251">
        <f t="shared" si="530"/>
        <v>3.5416650000000001</v>
      </c>
      <c r="R1300" s="173">
        <f t="shared" si="531"/>
        <v>3.6146232990000002</v>
      </c>
      <c r="S1300" s="252">
        <v>0.05</v>
      </c>
      <c r="T1300" s="171">
        <f t="shared" si="532"/>
        <v>0.05</v>
      </c>
      <c r="U1300" s="256">
        <v>70.833299999999994</v>
      </c>
      <c r="V1300" s="170">
        <f t="shared" si="535"/>
        <v>72.292465980000003</v>
      </c>
      <c r="W1300" s="258">
        <v>0.2</v>
      </c>
      <c r="X1300" s="257">
        <f t="shared" si="536"/>
        <v>84.999959999999987</v>
      </c>
      <c r="Y1300" s="170">
        <f t="shared" si="523"/>
        <v>86.750959175999995</v>
      </c>
      <c r="Z1300" s="170">
        <f t="shared" si="524"/>
        <v>87</v>
      </c>
      <c r="AA1300" s="407">
        <f t="shared" si="534"/>
        <v>0</v>
      </c>
      <c r="AB1300" s="194"/>
    </row>
    <row r="1301" spans="1:28" s="278" customFormat="1" ht="21" x14ac:dyDescent="0.25">
      <c r="A1301" s="200">
        <v>819007</v>
      </c>
      <c r="B1301" s="255" t="s">
        <v>16109</v>
      </c>
      <c r="C1301" s="248"/>
      <c r="D1301" s="247" t="s">
        <v>7</v>
      </c>
      <c r="E1301" s="249">
        <f t="shared" si="525"/>
        <v>0</v>
      </c>
      <c r="F1301" s="170">
        <f t="shared" si="525"/>
        <v>52.5</v>
      </c>
      <c r="G1301" s="250">
        <v>0.45</v>
      </c>
      <c r="H1301" s="171">
        <f>G1301</f>
        <v>0.45</v>
      </c>
      <c r="I1301" s="249">
        <f t="shared" si="527"/>
        <v>0</v>
      </c>
      <c r="J1301" s="170">
        <f t="shared" si="527"/>
        <v>46.666666666666671</v>
      </c>
      <c r="K1301" s="250">
        <v>0.4</v>
      </c>
      <c r="L1301" s="172">
        <f>K1301</f>
        <v>0.4</v>
      </c>
      <c r="M1301" s="249">
        <f>U1301*O1301</f>
        <v>0</v>
      </c>
      <c r="N1301" s="170">
        <f>P1301*V1301</f>
        <v>11.666666666666668</v>
      </c>
      <c r="O1301" s="250">
        <v>0.1</v>
      </c>
      <c r="P1301" s="172">
        <f>O1301</f>
        <v>0.1</v>
      </c>
      <c r="Q1301" s="251">
        <f>U1301*S1301</f>
        <v>0</v>
      </c>
      <c r="R1301" s="173">
        <f>T1301*V1301</f>
        <v>5.8333333333333339</v>
      </c>
      <c r="S1301" s="252">
        <v>0.05</v>
      </c>
      <c r="T1301" s="171">
        <f>S1301</f>
        <v>0.05</v>
      </c>
      <c r="U1301" s="256"/>
      <c r="V1301" s="170">
        <f>140/1.2</f>
        <v>116.66666666666667</v>
      </c>
      <c r="W1301" s="258">
        <v>0.2</v>
      </c>
      <c r="X1301" s="257">
        <f>U1301+U1301*W1301</f>
        <v>0</v>
      </c>
      <c r="Y1301" s="170">
        <f>IF(V1301*(W1301+1)=0,X1301,V1301*(W1301+1))</f>
        <v>140</v>
      </c>
      <c r="Z1301" s="170">
        <f>IF(Y1301=0, 0, IF(Y1301&lt;10, _xlfn.CEILING.MATH(Y1301,1), IF(Y1301&lt;100, _xlfn.CEILING.MATH(Y1301,1),IF(Y1301&lt;1000, _xlfn.CEILING.MATH(Y1301,5), IF(Y1301&lt;10000, _xlfn.CEILING.MATH(Y1301, 25), IF(Y1301&lt;100000, _xlfn.CEILING.MATH(Y1301,250), IF(Y1301&lt;1000000, _xlfn.CEILING.MATH(Y1301,500), 0)))))))</f>
        <v>140</v>
      </c>
      <c r="AA1301" s="407">
        <f>C1301*Z1301</f>
        <v>0</v>
      </c>
      <c r="AB1301" s="194"/>
    </row>
    <row r="1302" spans="1:28" s="278" customFormat="1" ht="21" x14ac:dyDescent="0.25">
      <c r="A1302" s="200">
        <v>819007</v>
      </c>
      <c r="B1302" s="255" t="s">
        <v>16110</v>
      </c>
      <c r="C1302" s="248"/>
      <c r="D1302" s="247" t="s">
        <v>7</v>
      </c>
      <c r="E1302" s="249">
        <f t="shared" si="525"/>
        <v>0</v>
      </c>
      <c r="F1302" s="170">
        <f t="shared" si="525"/>
        <v>39.750000000000007</v>
      </c>
      <c r="G1302" s="250">
        <v>0.45</v>
      </c>
      <c r="H1302" s="171">
        <f>G1302</f>
        <v>0.45</v>
      </c>
      <c r="I1302" s="249">
        <f t="shared" si="527"/>
        <v>0</v>
      </c>
      <c r="J1302" s="170">
        <f t="shared" si="527"/>
        <v>35.333333333333336</v>
      </c>
      <c r="K1302" s="250">
        <v>0.4</v>
      </c>
      <c r="L1302" s="172">
        <f>K1302</f>
        <v>0.4</v>
      </c>
      <c r="M1302" s="249">
        <f>U1302*O1302</f>
        <v>0</v>
      </c>
      <c r="N1302" s="170">
        <f>P1302*V1302</f>
        <v>8.8333333333333339</v>
      </c>
      <c r="O1302" s="250">
        <v>0.1</v>
      </c>
      <c r="P1302" s="172">
        <f>O1302</f>
        <v>0.1</v>
      </c>
      <c r="Q1302" s="251">
        <f>U1302*S1302</f>
        <v>0</v>
      </c>
      <c r="R1302" s="173">
        <f>T1302*V1302</f>
        <v>4.416666666666667</v>
      </c>
      <c r="S1302" s="252">
        <v>0.05</v>
      </c>
      <c r="T1302" s="171">
        <f>S1302</f>
        <v>0.05</v>
      </c>
      <c r="U1302" s="256"/>
      <c r="V1302" s="170">
        <f>106/1.2</f>
        <v>88.333333333333343</v>
      </c>
      <c r="W1302" s="258">
        <v>0.2</v>
      </c>
      <c r="X1302" s="257">
        <f>U1302+U1302*W1302</f>
        <v>0</v>
      </c>
      <c r="Y1302" s="170">
        <f>IF(V1302*(W1302+1)=0,X1302,V1302*(W1302+1))</f>
        <v>106.00000000000001</v>
      </c>
      <c r="Z1302" s="170">
        <f>IF(Y1302=0, 0, IF(Y1302&lt;10, _xlfn.CEILING.MATH(Y1302,1), IF(Y1302&lt;100, _xlfn.CEILING.MATH(Y1302,1),IF(Y1302&lt;1000, _xlfn.CEILING.MATH(Y1302,1), IF(Y1302&lt;10000, _xlfn.CEILING.MATH(Y1302, 25), IF(Y1302&lt;100000, _xlfn.CEILING.MATH(Y1302,250), IF(Y1302&lt;1000000, _xlfn.CEILING.MATH(Y1302,500), 0)))))))</f>
        <v>106</v>
      </c>
      <c r="AA1302" s="407">
        <f>C1302*Z1302</f>
        <v>0</v>
      </c>
      <c r="AB1302" s="194"/>
    </row>
    <row r="1303" spans="1:28" s="278" customFormat="1" x14ac:dyDescent="0.25">
      <c r="A1303" s="200">
        <v>819007</v>
      </c>
      <c r="B1303" s="255" t="s">
        <v>16111</v>
      </c>
      <c r="C1303" s="248"/>
      <c r="D1303" s="247" t="s">
        <v>7</v>
      </c>
      <c r="E1303" s="249">
        <f t="shared" si="525"/>
        <v>0</v>
      </c>
      <c r="F1303" s="170">
        <f t="shared" si="525"/>
        <v>34.875</v>
      </c>
      <c r="G1303" s="250">
        <v>0.45</v>
      </c>
      <c r="H1303" s="171">
        <f>G1303</f>
        <v>0.45</v>
      </c>
      <c r="I1303" s="249">
        <f t="shared" si="527"/>
        <v>0</v>
      </c>
      <c r="J1303" s="170">
        <f t="shared" si="527"/>
        <v>31</v>
      </c>
      <c r="K1303" s="250">
        <v>0.4</v>
      </c>
      <c r="L1303" s="172">
        <f>K1303</f>
        <v>0.4</v>
      </c>
      <c r="M1303" s="249">
        <f>U1303*O1303</f>
        <v>0</v>
      </c>
      <c r="N1303" s="170">
        <f>P1303*V1303</f>
        <v>7.75</v>
      </c>
      <c r="O1303" s="250">
        <v>0.1</v>
      </c>
      <c r="P1303" s="172">
        <f>O1303</f>
        <v>0.1</v>
      </c>
      <c r="Q1303" s="251">
        <f>U1303*S1303</f>
        <v>0</v>
      </c>
      <c r="R1303" s="173">
        <f>T1303*V1303</f>
        <v>3.875</v>
      </c>
      <c r="S1303" s="252">
        <v>0.05</v>
      </c>
      <c r="T1303" s="171">
        <f>S1303</f>
        <v>0.05</v>
      </c>
      <c r="U1303" s="256"/>
      <c r="V1303" s="170">
        <f>93/1.2</f>
        <v>77.5</v>
      </c>
      <c r="W1303" s="258">
        <v>0.2</v>
      </c>
      <c r="X1303" s="257">
        <f>U1303+U1303*W1303</f>
        <v>0</v>
      </c>
      <c r="Y1303" s="170">
        <f>IF(V1303*(W1303+1)=0,X1303,V1303*(W1303+1))</f>
        <v>93</v>
      </c>
      <c r="Z1303" s="170">
        <f>IF(Y1303=0, 0, IF(Y1303&lt;10, _xlfn.CEILING.MATH(Y1303,1), IF(Y1303&lt;100, _xlfn.CEILING.MATH(Y1303,1),IF(Y1303&lt;1000, _xlfn.CEILING.MATH(Y1303,5), IF(Y1303&lt;10000, _xlfn.CEILING.MATH(Y1303, 25), IF(Y1303&lt;100000, _xlfn.CEILING.MATH(Y1303,250), IF(Y1303&lt;1000000, _xlfn.CEILING.MATH(Y1303,500), 0)))))))</f>
        <v>93</v>
      </c>
      <c r="AA1303" s="407">
        <f>C1303*Z1303</f>
        <v>0</v>
      </c>
      <c r="AB1303" s="194"/>
    </row>
    <row r="1304" spans="1:28" s="278" customFormat="1" x14ac:dyDescent="0.25">
      <c r="A1304" s="200">
        <v>819008</v>
      </c>
      <c r="B1304" s="313" t="s">
        <v>19892</v>
      </c>
      <c r="C1304" s="248"/>
      <c r="D1304" s="247" t="s">
        <v>7</v>
      </c>
      <c r="E1304" s="249">
        <f t="shared" si="525"/>
        <v>45</v>
      </c>
      <c r="F1304" s="170">
        <f t="shared" si="525"/>
        <v>45.927000000000007</v>
      </c>
      <c r="G1304" s="250">
        <v>0.45</v>
      </c>
      <c r="H1304" s="171">
        <f t="shared" si="526"/>
        <v>0.45</v>
      </c>
      <c r="I1304" s="249">
        <f t="shared" si="527"/>
        <v>40</v>
      </c>
      <c r="J1304" s="170">
        <f t="shared" si="527"/>
        <v>40.824000000000012</v>
      </c>
      <c r="K1304" s="250">
        <v>0.4</v>
      </c>
      <c r="L1304" s="172">
        <f t="shared" ref="L1304:L1358" si="537">K1304</f>
        <v>0.4</v>
      </c>
      <c r="M1304" s="249">
        <f t="shared" ref="M1304:M1358" si="538">U1304*O1304</f>
        <v>10</v>
      </c>
      <c r="N1304" s="170">
        <f t="shared" si="528"/>
        <v>10.206000000000003</v>
      </c>
      <c r="O1304" s="250">
        <v>0.1</v>
      </c>
      <c r="P1304" s="172">
        <f t="shared" si="529"/>
        <v>0.1</v>
      </c>
      <c r="Q1304" s="251">
        <f t="shared" si="530"/>
        <v>5</v>
      </c>
      <c r="R1304" s="173">
        <f t="shared" si="531"/>
        <v>5.1030000000000015</v>
      </c>
      <c r="S1304" s="250">
        <v>0.05</v>
      </c>
      <c r="T1304" s="171">
        <f t="shared" si="532"/>
        <v>0.05</v>
      </c>
      <c r="U1304" s="256">
        <v>100</v>
      </c>
      <c r="V1304" s="170">
        <f t="shared" si="535"/>
        <v>102.06000000000002</v>
      </c>
      <c r="W1304" s="258">
        <v>0.2</v>
      </c>
      <c r="X1304" s="257">
        <f t="shared" si="536"/>
        <v>120</v>
      </c>
      <c r="Y1304" s="170">
        <f t="shared" si="523"/>
        <v>122.47200000000001</v>
      </c>
      <c r="Z1304" s="170">
        <f t="shared" si="524"/>
        <v>125</v>
      </c>
      <c r="AA1304" s="407">
        <f t="shared" ref="AA1304:AA1373" si="539">C1304*Z1304</f>
        <v>0</v>
      </c>
      <c r="AB1304" s="194"/>
    </row>
    <row r="1305" spans="1:28" s="278" customFormat="1" x14ac:dyDescent="0.25">
      <c r="A1305" s="200">
        <v>819008</v>
      </c>
      <c r="B1305" s="313" t="s">
        <v>19893</v>
      </c>
      <c r="C1305" s="248"/>
      <c r="D1305" s="247" t="s">
        <v>7</v>
      </c>
      <c r="E1305" s="249">
        <f t="shared" si="525"/>
        <v>41.250001499999996</v>
      </c>
      <c r="F1305" s="170">
        <f t="shared" si="525"/>
        <v>42.099751530900001</v>
      </c>
      <c r="G1305" s="250">
        <v>0.45</v>
      </c>
      <c r="H1305" s="171">
        <f t="shared" si="526"/>
        <v>0.45</v>
      </c>
      <c r="I1305" s="249">
        <f t="shared" si="527"/>
        <v>36.666668000000001</v>
      </c>
      <c r="J1305" s="170">
        <f t="shared" si="527"/>
        <v>37.422001360800003</v>
      </c>
      <c r="K1305" s="250">
        <v>0.4</v>
      </c>
      <c r="L1305" s="172">
        <f t="shared" si="537"/>
        <v>0.4</v>
      </c>
      <c r="M1305" s="249">
        <f t="shared" si="538"/>
        <v>9.1666670000000003</v>
      </c>
      <c r="N1305" s="170">
        <f t="shared" si="528"/>
        <v>9.3555003402000008</v>
      </c>
      <c r="O1305" s="250">
        <v>0.1</v>
      </c>
      <c r="P1305" s="172">
        <f t="shared" si="529"/>
        <v>0.1</v>
      </c>
      <c r="Q1305" s="251">
        <f t="shared" si="530"/>
        <v>4.5833335000000002</v>
      </c>
      <c r="R1305" s="173">
        <f t="shared" si="531"/>
        <v>4.6777501701000004</v>
      </c>
      <c r="S1305" s="250">
        <v>0.05</v>
      </c>
      <c r="T1305" s="171">
        <f t="shared" si="532"/>
        <v>0.05</v>
      </c>
      <c r="U1305" s="256">
        <v>91.666669999999996</v>
      </c>
      <c r="V1305" s="170">
        <f t="shared" si="535"/>
        <v>93.555003401999997</v>
      </c>
      <c r="W1305" s="258">
        <v>0.2</v>
      </c>
      <c r="X1305" s="257">
        <f t="shared" si="536"/>
        <v>110.00000399999999</v>
      </c>
      <c r="Y1305" s="170">
        <f t="shared" si="523"/>
        <v>112.26600408239999</v>
      </c>
      <c r="Z1305" s="170">
        <f t="shared" si="524"/>
        <v>115</v>
      </c>
      <c r="AA1305" s="407">
        <f t="shared" si="539"/>
        <v>0</v>
      </c>
      <c r="AB1305" s="194"/>
    </row>
    <row r="1306" spans="1:28" s="278" customFormat="1" x14ac:dyDescent="0.25">
      <c r="A1306" s="200">
        <v>819008</v>
      </c>
      <c r="B1306" s="313" t="s">
        <v>19894</v>
      </c>
      <c r="C1306" s="248"/>
      <c r="D1306" s="247" t="s">
        <v>7</v>
      </c>
      <c r="E1306" s="249">
        <f t="shared" si="525"/>
        <v>35.625015000000005</v>
      </c>
      <c r="F1306" s="170">
        <f t="shared" si="525"/>
        <v>36.35889030900001</v>
      </c>
      <c r="G1306" s="250">
        <v>0.45</v>
      </c>
      <c r="H1306" s="171">
        <f t="shared" si="526"/>
        <v>0.45</v>
      </c>
      <c r="I1306" s="249">
        <f t="shared" si="527"/>
        <v>31.666680000000003</v>
      </c>
      <c r="J1306" s="170">
        <f t="shared" si="527"/>
        <v>32.319013608000006</v>
      </c>
      <c r="K1306" s="250">
        <v>0.4</v>
      </c>
      <c r="L1306" s="172">
        <f t="shared" si="537"/>
        <v>0.4</v>
      </c>
      <c r="M1306" s="249">
        <f t="shared" si="538"/>
        <v>7.9166700000000008</v>
      </c>
      <c r="N1306" s="170">
        <f t="shared" si="528"/>
        <v>8.0797534020000015</v>
      </c>
      <c r="O1306" s="250">
        <v>0.1</v>
      </c>
      <c r="P1306" s="172">
        <f t="shared" si="529"/>
        <v>0.1</v>
      </c>
      <c r="Q1306" s="251">
        <f t="shared" si="530"/>
        <v>3.9583350000000004</v>
      </c>
      <c r="R1306" s="173">
        <f t="shared" si="531"/>
        <v>4.0398767010000007</v>
      </c>
      <c r="S1306" s="252">
        <v>0.05</v>
      </c>
      <c r="T1306" s="171">
        <f t="shared" si="532"/>
        <v>0.05</v>
      </c>
      <c r="U1306" s="256">
        <v>79.166700000000006</v>
      </c>
      <c r="V1306" s="170">
        <f t="shared" si="535"/>
        <v>80.797534020000015</v>
      </c>
      <c r="W1306" s="258">
        <v>0.2</v>
      </c>
      <c r="X1306" s="257">
        <f t="shared" si="536"/>
        <v>95.000040000000013</v>
      </c>
      <c r="Y1306" s="170">
        <f t="shared" si="523"/>
        <v>96.957040824000018</v>
      </c>
      <c r="Z1306" s="170">
        <f t="shared" si="524"/>
        <v>97</v>
      </c>
      <c r="AA1306" s="407">
        <f t="shared" si="539"/>
        <v>0</v>
      </c>
      <c r="AB1306" s="194"/>
    </row>
    <row r="1307" spans="1:28" s="278" customFormat="1" ht="21" x14ac:dyDescent="0.25">
      <c r="A1307" s="200">
        <v>819009</v>
      </c>
      <c r="B1307" s="255" t="s">
        <v>16112</v>
      </c>
      <c r="C1307" s="248"/>
      <c r="D1307" s="247" t="s">
        <v>7</v>
      </c>
      <c r="E1307" s="249">
        <f t="shared" si="525"/>
        <v>0</v>
      </c>
      <c r="F1307" s="170">
        <f t="shared" si="525"/>
        <v>55.875</v>
      </c>
      <c r="G1307" s="250">
        <v>0.45</v>
      </c>
      <c r="H1307" s="171">
        <f>G1307</f>
        <v>0.45</v>
      </c>
      <c r="I1307" s="249">
        <f t="shared" si="527"/>
        <v>0</v>
      </c>
      <c r="J1307" s="170">
        <f t="shared" si="527"/>
        <v>49.666666666666671</v>
      </c>
      <c r="K1307" s="250">
        <v>0.4</v>
      </c>
      <c r="L1307" s="172">
        <f>K1307</f>
        <v>0.4</v>
      </c>
      <c r="M1307" s="249">
        <f>U1307*O1307</f>
        <v>0</v>
      </c>
      <c r="N1307" s="170">
        <f>P1307*V1307</f>
        <v>12.416666666666668</v>
      </c>
      <c r="O1307" s="250">
        <v>0.1</v>
      </c>
      <c r="P1307" s="172">
        <f>O1307</f>
        <v>0.1</v>
      </c>
      <c r="Q1307" s="251">
        <f>U1307*S1307</f>
        <v>0</v>
      </c>
      <c r="R1307" s="173">
        <f>T1307*V1307</f>
        <v>6.2083333333333339</v>
      </c>
      <c r="S1307" s="252">
        <v>0.05</v>
      </c>
      <c r="T1307" s="171">
        <f>S1307</f>
        <v>0.05</v>
      </c>
      <c r="U1307" s="256"/>
      <c r="V1307" s="170">
        <f>149/1.2</f>
        <v>124.16666666666667</v>
      </c>
      <c r="W1307" s="258">
        <v>0.2</v>
      </c>
      <c r="X1307" s="257">
        <f>U1307+U1307*W1307</f>
        <v>0</v>
      </c>
      <c r="Y1307" s="170">
        <f>IF(V1307*(W1307+1)=0,X1307,V1307*(W1307+1))</f>
        <v>149</v>
      </c>
      <c r="Z1307" s="170">
        <f>IF(Y1307=0, 0, IF(Y1307&lt;10, _xlfn.CEILING.MATH(Y1307,1), IF(Y1307&lt;100, _xlfn.CEILING.MATH(Y1307,1),IF(Y1307&lt;1000, _xlfn.CEILING.MATH(Y1307,5), IF(Y1307&lt;10000, _xlfn.CEILING.MATH(Y1307, 25), IF(Y1307&lt;100000, _xlfn.CEILING.MATH(Y1307,250), IF(Y1307&lt;1000000, _xlfn.CEILING.MATH(Y1307,500), 0)))))))</f>
        <v>150</v>
      </c>
      <c r="AA1307" s="407">
        <f>C1307*Z1307</f>
        <v>0</v>
      </c>
      <c r="AB1307" s="194"/>
    </row>
    <row r="1308" spans="1:28" s="278" customFormat="1" ht="21" x14ac:dyDescent="0.25">
      <c r="A1308" s="200">
        <v>819009</v>
      </c>
      <c r="B1308" s="255" t="s">
        <v>16113</v>
      </c>
      <c r="C1308" s="248"/>
      <c r="D1308" s="247" t="s">
        <v>7</v>
      </c>
      <c r="E1308" s="249">
        <f t="shared" si="525"/>
        <v>0</v>
      </c>
      <c r="F1308" s="170">
        <f t="shared" si="525"/>
        <v>42.75</v>
      </c>
      <c r="G1308" s="250">
        <v>0.45</v>
      </c>
      <c r="H1308" s="171">
        <f>G1308</f>
        <v>0.45</v>
      </c>
      <c r="I1308" s="249">
        <f t="shared" si="527"/>
        <v>0</v>
      </c>
      <c r="J1308" s="170">
        <f t="shared" si="527"/>
        <v>38</v>
      </c>
      <c r="K1308" s="250">
        <v>0.4</v>
      </c>
      <c r="L1308" s="172">
        <f>K1308</f>
        <v>0.4</v>
      </c>
      <c r="M1308" s="249">
        <f>U1308*O1308</f>
        <v>0</v>
      </c>
      <c r="N1308" s="170">
        <f>P1308*V1308</f>
        <v>9.5</v>
      </c>
      <c r="O1308" s="250">
        <v>0.1</v>
      </c>
      <c r="P1308" s="172">
        <f>O1308</f>
        <v>0.1</v>
      </c>
      <c r="Q1308" s="251">
        <f>U1308*S1308</f>
        <v>0</v>
      </c>
      <c r="R1308" s="173">
        <f>T1308*V1308</f>
        <v>4.75</v>
      </c>
      <c r="S1308" s="252">
        <v>0.05</v>
      </c>
      <c r="T1308" s="171">
        <f>S1308</f>
        <v>0.05</v>
      </c>
      <c r="U1308" s="256"/>
      <c r="V1308" s="170">
        <f>114/1.2</f>
        <v>95</v>
      </c>
      <c r="W1308" s="258">
        <v>0.2</v>
      </c>
      <c r="X1308" s="257">
        <f>U1308+U1308*W1308</f>
        <v>0</v>
      </c>
      <c r="Y1308" s="170">
        <f>IF(V1308*(W1308+1)=0,X1308,V1308*(W1308+1))</f>
        <v>114</v>
      </c>
      <c r="Z1308" s="170">
        <f>IF(Y1308=0, 0, IF(Y1308&lt;10, _xlfn.CEILING.MATH(Y1308,1), IF(Y1308&lt;100, _xlfn.CEILING.MATH(Y1308,1),IF(Y1308&lt;1000, _xlfn.CEILING.MATH(Y1308,1), IF(Y1308&lt;10000, _xlfn.CEILING.MATH(Y1308, 25), IF(Y1308&lt;100000, _xlfn.CEILING.MATH(Y1308,250), IF(Y1308&lt;1000000, _xlfn.CEILING.MATH(Y1308,500), 0)))))))</f>
        <v>114</v>
      </c>
      <c r="AA1308" s="407">
        <f>C1308*Z1308</f>
        <v>0</v>
      </c>
      <c r="AB1308" s="194"/>
    </row>
    <row r="1309" spans="1:28" s="278" customFormat="1" x14ac:dyDescent="0.25">
      <c r="A1309" s="200">
        <v>819009</v>
      </c>
      <c r="B1309" s="255" t="s">
        <v>16114</v>
      </c>
      <c r="C1309" s="248"/>
      <c r="D1309" s="247" t="s">
        <v>7</v>
      </c>
      <c r="E1309" s="249">
        <f t="shared" si="525"/>
        <v>0</v>
      </c>
      <c r="F1309" s="170">
        <f t="shared" si="525"/>
        <v>37.500000000000007</v>
      </c>
      <c r="G1309" s="250">
        <v>0.45</v>
      </c>
      <c r="H1309" s="171">
        <f>G1309</f>
        <v>0.45</v>
      </c>
      <c r="I1309" s="249">
        <f t="shared" si="527"/>
        <v>0</v>
      </c>
      <c r="J1309" s="170">
        <f t="shared" si="527"/>
        <v>33.333333333333336</v>
      </c>
      <c r="K1309" s="250">
        <v>0.4</v>
      </c>
      <c r="L1309" s="172">
        <f>K1309</f>
        <v>0.4</v>
      </c>
      <c r="M1309" s="249">
        <f>U1309*O1309</f>
        <v>0</v>
      </c>
      <c r="N1309" s="170">
        <f>P1309*V1309</f>
        <v>8.3333333333333339</v>
      </c>
      <c r="O1309" s="250">
        <v>0.1</v>
      </c>
      <c r="P1309" s="172">
        <f>O1309</f>
        <v>0.1</v>
      </c>
      <c r="Q1309" s="251">
        <f>U1309*S1309</f>
        <v>0</v>
      </c>
      <c r="R1309" s="173">
        <f>T1309*V1309</f>
        <v>4.166666666666667</v>
      </c>
      <c r="S1309" s="252">
        <v>0.05</v>
      </c>
      <c r="T1309" s="171">
        <f>S1309</f>
        <v>0.05</v>
      </c>
      <c r="U1309" s="256"/>
      <c r="V1309" s="170">
        <f>100/1.2</f>
        <v>83.333333333333343</v>
      </c>
      <c r="W1309" s="258">
        <v>0.2</v>
      </c>
      <c r="X1309" s="257">
        <f>U1309+U1309*W1309</f>
        <v>0</v>
      </c>
      <c r="Y1309" s="170">
        <f>IF(V1309*(W1309+1)=0,X1309,V1309*(W1309+1))</f>
        <v>100.00000000000001</v>
      </c>
      <c r="Z1309" s="170">
        <f>IF(Y1309=0, 0, IF(Y1309&lt;10, _xlfn.CEILING.MATH(Y1309,1), IF(Y1309&lt;100, _xlfn.CEILING.MATH(Y1309,1),IF(Y1309&lt;1000, _xlfn.CEILING.MATH(Y1309,5), IF(Y1309&lt;10000, _xlfn.CEILING.MATH(Y1309, 25), IF(Y1309&lt;100000, _xlfn.CEILING.MATH(Y1309,250), IF(Y1309&lt;1000000, _xlfn.CEILING.MATH(Y1309,500), 0)))))))</f>
        <v>100</v>
      </c>
      <c r="AA1309" s="407">
        <f>C1309*Z1309</f>
        <v>0</v>
      </c>
      <c r="AB1309" s="194"/>
    </row>
    <row r="1310" spans="1:28" s="278" customFormat="1" x14ac:dyDescent="0.25">
      <c r="A1310" s="200">
        <v>819018</v>
      </c>
      <c r="B1310" s="313" t="s">
        <v>19895</v>
      </c>
      <c r="C1310" s="248"/>
      <c r="D1310" s="247" t="s">
        <v>7</v>
      </c>
      <c r="E1310" s="249">
        <f t="shared" si="525"/>
        <v>41.666680000000007</v>
      </c>
      <c r="F1310" s="170">
        <f t="shared" si="525"/>
        <v>42.512513604000013</v>
      </c>
      <c r="G1310" s="250">
        <v>0.4</v>
      </c>
      <c r="H1310" s="171">
        <f t="shared" si="526"/>
        <v>0.4</v>
      </c>
      <c r="I1310" s="249">
        <f t="shared" si="527"/>
        <v>46.875015000000005</v>
      </c>
      <c r="J1310" s="170">
        <f t="shared" si="527"/>
        <v>47.826577804500012</v>
      </c>
      <c r="K1310" s="250">
        <v>0.45</v>
      </c>
      <c r="L1310" s="172">
        <f t="shared" si="537"/>
        <v>0.45</v>
      </c>
      <c r="M1310" s="249">
        <f t="shared" si="538"/>
        <v>10.416670000000002</v>
      </c>
      <c r="N1310" s="170">
        <f t="shared" si="528"/>
        <v>10.628128401000003</v>
      </c>
      <c r="O1310" s="250">
        <v>0.1</v>
      </c>
      <c r="P1310" s="172">
        <f t="shared" si="529"/>
        <v>0.1</v>
      </c>
      <c r="Q1310" s="251">
        <f t="shared" si="530"/>
        <v>5.2083350000000008</v>
      </c>
      <c r="R1310" s="173">
        <f t="shared" si="531"/>
        <v>5.3140642005000016</v>
      </c>
      <c r="S1310" s="252">
        <v>0.05</v>
      </c>
      <c r="T1310" s="171">
        <f t="shared" si="532"/>
        <v>0.05</v>
      </c>
      <c r="U1310" s="256">
        <v>104.16670000000001</v>
      </c>
      <c r="V1310" s="170">
        <f t="shared" si="535"/>
        <v>106.28128401000002</v>
      </c>
      <c r="W1310" s="258">
        <v>0.2</v>
      </c>
      <c r="X1310" s="257">
        <f t="shared" si="536"/>
        <v>125.00004000000001</v>
      </c>
      <c r="Y1310" s="170">
        <f t="shared" si="523"/>
        <v>127.53754081200002</v>
      </c>
      <c r="Z1310" s="170">
        <f t="shared" si="524"/>
        <v>130</v>
      </c>
      <c r="AA1310" s="407">
        <f t="shared" si="539"/>
        <v>0</v>
      </c>
      <c r="AB1310" s="194"/>
    </row>
    <row r="1311" spans="1:28" s="278" customFormat="1" x14ac:dyDescent="0.25">
      <c r="A1311" s="200">
        <v>819018</v>
      </c>
      <c r="B1311" s="313" t="s">
        <v>19896</v>
      </c>
      <c r="C1311" s="248"/>
      <c r="D1311" s="247" t="s">
        <v>7</v>
      </c>
      <c r="E1311" s="249">
        <f t="shared" si="525"/>
        <v>35</v>
      </c>
      <c r="F1311" s="170">
        <f t="shared" si="525"/>
        <v>35.71050000000001</v>
      </c>
      <c r="G1311" s="250">
        <v>0.4</v>
      </c>
      <c r="H1311" s="171">
        <f t="shared" si="526"/>
        <v>0.4</v>
      </c>
      <c r="I1311" s="249">
        <f t="shared" si="527"/>
        <v>39.375</v>
      </c>
      <c r="J1311" s="170">
        <f t="shared" si="527"/>
        <v>40.174312500000006</v>
      </c>
      <c r="K1311" s="250">
        <v>0.45</v>
      </c>
      <c r="L1311" s="172">
        <f t="shared" si="537"/>
        <v>0.45</v>
      </c>
      <c r="M1311" s="249">
        <f t="shared" si="538"/>
        <v>8.75</v>
      </c>
      <c r="N1311" s="170">
        <f t="shared" si="528"/>
        <v>8.9276250000000026</v>
      </c>
      <c r="O1311" s="250">
        <v>0.1</v>
      </c>
      <c r="P1311" s="172">
        <f t="shared" si="529"/>
        <v>0.1</v>
      </c>
      <c r="Q1311" s="251">
        <f t="shared" si="530"/>
        <v>4.375</v>
      </c>
      <c r="R1311" s="173">
        <f t="shared" si="531"/>
        <v>4.4638125000000013</v>
      </c>
      <c r="S1311" s="252">
        <v>0.05</v>
      </c>
      <c r="T1311" s="171">
        <f t="shared" si="532"/>
        <v>0.05</v>
      </c>
      <c r="U1311" s="256">
        <v>87.5</v>
      </c>
      <c r="V1311" s="170">
        <f t="shared" si="535"/>
        <v>89.276250000000019</v>
      </c>
      <c r="W1311" s="258">
        <v>0.2</v>
      </c>
      <c r="X1311" s="257">
        <f t="shared" si="536"/>
        <v>105</v>
      </c>
      <c r="Y1311" s="170">
        <f t="shared" si="523"/>
        <v>107.13150000000002</v>
      </c>
      <c r="Z1311" s="170">
        <f t="shared" si="524"/>
        <v>110</v>
      </c>
      <c r="AA1311" s="407">
        <f t="shared" si="539"/>
        <v>0</v>
      </c>
      <c r="AB1311" s="194"/>
    </row>
    <row r="1312" spans="1:28" s="278" customFormat="1" x14ac:dyDescent="0.25">
      <c r="A1312" s="200">
        <v>819020</v>
      </c>
      <c r="B1312" s="313" t="s">
        <v>19897</v>
      </c>
      <c r="C1312" s="248"/>
      <c r="D1312" s="247" t="s">
        <v>7</v>
      </c>
      <c r="E1312" s="249">
        <f t="shared" si="525"/>
        <v>43.124984999999995</v>
      </c>
      <c r="F1312" s="170">
        <f t="shared" si="525"/>
        <v>44.013359691000005</v>
      </c>
      <c r="G1312" s="250">
        <v>0.45</v>
      </c>
      <c r="H1312" s="171">
        <f t="shared" si="526"/>
        <v>0.45</v>
      </c>
      <c r="I1312" s="249">
        <f t="shared" si="527"/>
        <v>38.333320000000001</v>
      </c>
      <c r="J1312" s="170">
        <f t="shared" si="527"/>
        <v>39.122986392000001</v>
      </c>
      <c r="K1312" s="250">
        <v>0.4</v>
      </c>
      <c r="L1312" s="172">
        <f t="shared" si="537"/>
        <v>0.4</v>
      </c>
      <c r="M1312" s="249">
        <f t="shared" si="538"/>
        <v>9.5833300000000001</v>
      </c>
      <c r="N1312" s="170">
        <f t="shared" si="528"/>
        <v>9.7807465980000003</v>
      </c>
      <c r="O1312" s="250">
        <v>0.1</v>
      </c>
      <c r="P1312" s="172">
        <f t="shared" si="529"/>
        <v>0.1</v>
      </c>
      <c r="Q1312" s="251">
        <f t="shared" si="530"/>
        <v>4.7916650000000001</v>
      </c>
      <c r="R1312" s="173">
        <f t="shared" si="531"/>
        <v>4.8903732990000002</v>
      </c>
      <c r="S1312" s="252">
        <v>0.05</v>
      </c>
      <c r="T1312" s="171">
        <f t="shared" si="532"/>
        <v>0.05</v>
      </c>
      <c r="U1312" s="256">
        <v>95.833299999999994</v>
      </c>
      <c r="V1312" s="170">
        <f t="shared" si="535"/>
        <v>97.807465980000003</v>
      </c>
      <c r="W1312" s="258">
        <v>0.2</v>
      </c>
      <c r="X1312" s="257">
        <f t="shared" si="536"/>
        <v>114.99995999999999</v>
      </c>
      <c r="Y1312" s="170">
        <f t="shared" si="523"/>
        <v>117.368959176</v>
      </c>
      <c r="Z1312" s="170">
        <f t="shared" si="524"/>
        <v>120</v>
      </c>
      <c r="AA1312" s="407">
        <f t="shared" si="539"/>
        <v>0</v>
      </c>
      <c r="AB1312" s="194"/>
    </row>
    <row r="1313" spans="1:28" s="278" customFormat="1" x14ac:dyDescent="0.25">
      <c r="A1313" s="200">
        <v>819020</v>
      </c>
      <c r="B1313" s="313" t="s">
        <v>19898</v>
      </c>
      <c r="C1313" s="248"/>
      <c r="D1313" s="247" t="s">
        <v>7</v>
      </c>
      <c r="E1313" s="249">
        <f t="shared" si="525"/>
        <v>37.499850000000002</v>
      </c>
      <c r="F1313" s="170">
        <f t="shared" si="525"/>
        <v>38.27234691000001</v>
      </c>
      <c r="G1313" s="250">
        <v>0.45</v>
      </c>
      <c r="H1313" s="171">
        <f t="shared" si="526"/>
        <v>0.45</v>
      </c>
      <c r="I1313" s="249">
        <f t="shared" si="527"/>
        <v>33.333199999999998</v>
      </c>
      <c r="J1313" s="170">
        <f t="shared" si="527"/>
        <v>34.019863920000006</v>
      </c>
      <c r="K1313" s="250">
        <v>0.4</v>
      </c>
      <c r="L1313" s="172">
        <f t="shared" si="537"/>
        <v>0.4</v>
      </c>
      <c r="M1313" s="249">
        <f t="shared" si="538"/>
        <v>8.3332999999999995</v>
      </c>
      <c r="N1313" s="170">
        <f t="shared" si="528"/>
        <v>8.5049659800000015</v>
      </c>
      <c r="O1313" s="250">
        <v>0.1</v>
      </c>
      <c r="P1313" s="172">
        <f t="shared" si="529"/>
        <v>0.1</v>
      </c>
      <c r="Q1313" s="251">
        <f t="shared" si="530"/>
        <v>4.1666499999999997</v>
      </c>
      <c r="R1313" s="173">
        <f t="shared" si="531"/>
        <v>4.2524829900000007</v>
      </c>
      <c r="S1313" s="252">
        <v>0.05</v>
      </c>
      <c r="T1313" s="171">
        <f t="shared" si="532"/>
        <v>0.05</v>
      </c>
      <c r="U1313" s="256">
        <v>83.332999999999998</v>
      </c>
      <c r="V1313" s="170">
        <f t="shared" si="535"/>
        <v>85.049659800000015</v>
      </c>
      <c r="W1313" s="258">
        <v>0.2</v>
      </c>
      <c r="X1313" s="257">
        <f t="shared" si="536"/>
        <v>99.999600000000001</v>
      </c>
      <c r="Y1313" s="170">
        <f t="shared" si="523"/>
        <v>102.05959176000002</v>
      </c>
      <c r="Z1313" s="170">
        <f t="shared" si="524"/>
        <v>105</v>
      </c>
      <c r="AA1313" s="407">
        <f t="shared" si="539"/>
        <v>0</v>
      </c>
      <c r="AB1313" s="194"/>
    </row>
    <row r="1314" spans="1:28" s="278" customFormat="1" x14ac:dyDescent="0.25">
      <c r="A1314" s="195" t="s">
        <v>14823</v>
      </c>
      <c r="B1314" s="317" t="s">
        <v>14824</v>
      </c>
      <c r="C1314" s="241"/>
      <c r="D1314" s="242"/>
      <c r="E1314" s="243"/>
      <c r="F1314" s="244"/>
      <c r="G1314" s="245"/>
      <c r="H1314" s="246"/>
      <c r="I1314" s="243"/>
      <c r="J1314" s="244"/>
      <c r="K1314" s="245"/>
      <c r="L1314" s="246"/>
      <c r="M1314" s="243"/>
      <c r="N1314" s="244"/>
      <c r="O1314" s="245"/>
      <c r="P1314" s="246"/>
      <c r="Q1314" s="243"/>
      <c r="R1314" s="244"/>
      <c r="S1314" s="245"/>
      <c r="T1314" s="246"/>
      <c r="U1314" s="246"/>
      <c r="V1314" s="246"/>
      <c r="W1314" s="246"/>
      <c r="X1314" s="246"/>
      <c r="Y1314" s="244"/>
      <c r="Z1314" s="244"/>
      <c r="AA1314" s="406"/>
      <c r="AB1314" s="194"/>
    </row>
    <row r="1315" spans="1:28" s="278" customFormat="1" x14ac:dyDescent="0.25">
      <c r="A1315" s="200">
        <v>821006</v>
      </c>
      <c r="B1315" s="313" t="s">
        <v>19899</v>
      </c>
      <c r="C1315" s="248"/>
      <c r="D1315" s="247" t="s">
        <v>11</v>
      </c>
      <c r="E1315" s="249">
        <f t="shared" si="525"/>
        <v>300</v>
      </c>
      <c r="F1315" s="170">
        <f t="shared" si="525"/>
        <v>307.11</v>
      </c>
      <c r="G1315" s="250">
        <v>0.8</v>
      </c>
      <c r="H1315" s="171">
        <f t="shared" si="526"/>
        <v>0.8</v>
      </c>
      <c r="I1315" s="249">
        <f t="shared" si="527"/>
        <v>0</v>
      </c>
      <c r="J1315" s="170">
        <f t="shared" si="527"/>
        <v>0</v>
      </c>
      <c r="K1315" s="251"/>
      <c r="L1315" s="172">
        <f t="shared" si="537"/>
        <v>0</v>
      </c>
      <c r="M1315" s="249">
        <f t="shared" si="538"/>
        <v>75</v>
      </c>
      <c r="N1315" s="170">
        <f t="shared" si="528"/>
        <v>76.777500000000003</v>
      </c>
      <c r="O1315" s="250">
        <v>0.2</v>
      </c>
      <c r="P1315" s="172">
        <f t="shared" si="529"/>
        <v>0.2</v>
      </c>
      <c r="Q1315" s="251">
        <f t="shared" si="530"/>
        <v>0</v>
      </c>
      <c r="R1315" s="173">
        <f t="shared" si="531"/>
        <v>0</v>
      </c>
      <c r="S1315" s="251"/>
      <c r="T1315" s="171">
        <f t="shared" si="532"/>
        <v>0</v>
      </c>
      <c r="U1315" s="256">
        <v>375</v>
      </c>
      <c r="V1315" s="170">
        <f t="shared" si="535"/>
        <v>383.88749999999999</v>
      </c>
      <c r="W1315" s="258">
        <v>0.2</v>
      </c>
      <c r="X1315" s="257">
        <f t="shared" ref="X1315:X1337" si="540">U1315+U1315*W1315</f>
        <v>450</v>
      </c>
      <c r="Y1315" s="170">
        <f t="shared" si="523"/>
        <v>460.66499999999996</v>
      </c>
      <c r="Z1315" s="170">
        <f t="shared" si="524"/>
        <v>465</v>
      </c>
      <c r="AA1315" s="407">
        <f t="shared" si="539"/>
        <v>0</v>
      </c>
      <c r="AB1315" s="194"/>
    </row>
    <row r="1316" spans="1:28" s="278" customFormat="1" x14ac:dyDescent="0.25">
      <c r="A1316" s="200">
        <v>821006</v>
      </c>
      <c r="B1316" s="313" t="s">
        <v>19900</v>
      </c>
      <c r="C1316" s="248"/>
      <c r="D1316" s="247" t="s">
        <v>11</v>
      </c>
      <c r="E1316" s="249">
        <f t="shared" si="525"/>
        <v>200</v>
      </c>
      <c r="F1316" s="170">
        <f t="shared" si="525"/>
        <v>204.74</v>
      </c>
      <c r="G1316" s="250">
        <v>0.8</v>
      </c>
      <c r="H1316" s="171">
        <f t="shared" si="526"/>
        <v>0.8</v>
      </c>
      <c r="I1316" s="249">
        <f t="shared" si="527"/>
        <v>0</v>
      </c>
      <c r="J1316" s="170">
        <f t="shared" si="527"/>
        <v>0</v>
      </c>
      <c r="K1316" s="251"/>
      <c r="L1316" s="172">
        <f t="shared" si="537"/>
        <v>0</v>
      </c>
      <c r="M1316" s="249">
        <f t="shared" si="538"/>
        <v>50</v>
      </c>
      <c r="N1316" s="170">
        <f t="shared" si="528"/>
        <v>51.185000000000002</v>
      </c>
      <c r="O1316" s="250">
        <v>0.2</v>
      </c>
      <c r="P1316" s="172">
        <f t="shared" si="529"/>
        <v>0.2</v>
      </c>
      <c r="Q1316" s="251">
        <f t="shared" si="530"/>
        <v>0</v>
      </c>
      <c r="R1316" s="173">
        <f t="shared" si="531"/>
        <v>0</v>
      </c>
      <c r="S1316" s="251"/>
      <c r="T1316" s="171">
        <f t="shared" si="532"/>
        <v>0</v>
      </c>
      <c r="U1316" s="256">
        <v>250</v>
      </c>
      <c r="V1316" s="170">
        <f t="shared" si="535"/>
        <v>255.92500000000001</v>
      </c>
      <c r="W1316" s="258">
        <v>0.2</v>
      </c>
      <c r="X1316" s="257">
        <f t="shared" si="540"/>
        <v>300</v>
      </c>
      <c r="Y1316" s="170">
        <f t="shared" si="523"/>
        <v>307.11</v>
      </c>
      <c r="Z1316" s="170">
        <f t="shared" si="524"/>
        <v>310</v>
      </c>
      <c r="AA1316" s="407">
        <f t="shared" si="539"/>
        <v>0</v>
      </c>
      <c r="AB1316" s="194"/>
    </row>
    <row r="1317" spans="1:28" s="278" customFormat="1" x14ac:dyDescent="0.25">
      <c r="A1317" s="200">
        <v>821006</v>
      </c>
      <c r="B1317" s="313" t="s">
        <v>19901</v>
      </c>
      <c r="C1317" s="248"/>
      <c r="D1317" s="247" t="s">
        <v>11</v>
      </c>
      <c r="E1317" s="249">
        <f t="shared" si="525"/>
        <v>166.66640000000001</v>
      </c>
      <c r="F1317" s="170">
        <f t="shared" si="525"/>
        <v>170.61639368000002</v>
      </c>
      <c r="G1317" s="250">
        <v>0.8</v>
      </c>
      <c r="H1317" s="171">
        <f t="shared" si="526"/>
        <v>0.8</v>
      </c>
      <c r="I1317" s="249">
        <f t="shared" si="527"/>
        <v>0</v>
      </c>
      <c r="J1317" s="170">
        <f t="shared" si="527"/>
        <v>0</v>
      </c>
      <c r="K1317" s="251"/>
      <c r="L1317" s="172">
        <f t="shared" si="537"/>
        <v>0</v>
      </c>
      <c r="M1317" s="249">
        <f t="shared" si="538"/>
        <v>41.666600000000003</v>
      </c>
      <c r="N1317" s="170">
        <f t="shared" si="528"/>
        <v>42.654098420000004</v>
      </c>
      <c r="O1317" s="250">
        <v>0.2</v>
      </c>
      <c r="P1317" s="172">
        <f t="shared" si="529"/>
        <v>0.2</v>
      </c>
      <c r="Q1317" s="251">
        <f t="shared" si="530"/>
        <v>0</v>
      </c>
      <c r="R1317" s="173">
        <f t="shared" si="531"/>
        <v>0</v>
      </c>
      <c r="S1317" s="251"/>
      <c r="T1317" s="171">
        <f t="shared" si="532"/>
        <v>0</v>
      </c>
      <c r="U1317" s="256">
        <v>208.333</v>
      </c>
      <c r="V1317" s="170">
        <f t="shared" si="535"/>
        <v>213.27049210000001</v>
      </c>
      <c r="W1317" s="258">
        <v>0.2</v>
      </c>
      <c r="X1317" s="257">
        <f t="shared" si="540"/>
        <v>249.99959999999999</v>
      </c>
      <c r="Y1317" s="170">
        <f t="shared" si="523"/>
        <v>255.92459052000001</v>
      </c>
      <c r="Z1317" s="170">
        <f t="shared" si="524"/>
        <v>260</v>
      </c>
      <c r="AA1317" s="407">
        <f t="shared" si="539"/>
        <v>0</v>
      </c>
      <c r="AB1317" s="194"/>
    </row>
    <row r="1318" spans="1:28" s="278" customFormat="1" x14ac:dyDescent="0.25">
      <c r="A1318" s="200">
        <v>821011</v>
      </c>
      <c r="B1318" s="255" t="s">
        <v>19902</v>
      </c>
      <c r="C1318" s="248"/>
      <c r="D1318" s="247" t="s">
        <v>11</v>
      </c>
      <c r="E1318" s="249">
        <f t="shared" ref="E1318:F1385" si="541">U1318*G1318</f>
        <v>266.66640000000001</v>
      </c>
      <c r="F1318" s="170">
        <f t="shared" si="541"/>
        <v>272.98639368000005</v>
      </c>
      <c r="G1318" s="250">
        <v>0.8</v>
      </c>
      <c r="H1318" s="171">
        <f t="shared" si="526"/>
        <v>0.8</v>
      </c>
      <c r="I1318" s="249">
        <f t="shared" ref="I1318:J1385" si="542">U1318*K1318</f>
        <v>0</v>
      </c>
      <c r="J1318" s="170">
        <f t="shared" si="542"/>
        <v>0</v>
      </c>
      <c r="K1318" s="251"/>
      <c r="L1318" s="172">
        <f t="shared" si="537"/>
        <v>0</v>
      </c>
      <c r="M1318" s="249">
        <f t="shared" si="538"/>
        <v>66.666600000000003</v>
      </c>
      <c r="N1318" s="170">
        <f t="shared" si="528"/>
        <v>68.246598420000012</v>
      </c>
      <c r="O1318" s="250">
        <v>0.2</v>
      </c>
      <c r="P1318" s="172">
        <f t="shared" si="529"/>
        <v>0.2</v>
      </c>
      <c r="Q1318" s="251">
        <f t="shared" si="530"/>
        <v>0</v>
      </c>
      <c r="R1318" s="173">
        <f t="shared" si="531"/>
        <v>0</v>
      </c>
      <c r="S1318" s="251"/>
      <c r="T1318" s="171">
        <f t="shared" si="532"/>
        <v>0</v>
      </c>
      <c r="U1318" s="256">
        <v>333.33300000000003</v>
      </c>
      <c r="V1318" s="170">
        <f t="shared" si="535"/>
        <v>341.23299210000005</v>
      </c>
      <c r="W1318" s="258">
        <v>0.2</v>
      </c>
      <c r="X1318" s="257">
        <f t="shared" si="540"/>
        <v>399.99960000000004</v>
      </c>
      <c r="Y1318" s="170">
        <f t="shared" si="523"/>
        <v>409.47959052000004</v>
      </c>
      <c r="Z1318" s="170">
        <f t="shared" si="524"/>
        <v>410</v>
      </c>
      <c r="AA1318" s="407">
        <f t="shared" si="539"/>
        <v>0</v>
      </c>
      <c r="AB1318" s="194"/>
    </row>
    <row r="1319" spans="1:28" s="278" customFormat="1" x14ac:dyDescent="0.25">
      <c r="A1319" s="200">
        <v>821011</v>
      </c>
      <c r="B1319" s="255" t="s">
        <v>19903</v>
      </c>
      <c r="C1319" s="248"/>
      <c r="D1319" s="247" t="s">
        <v>11</v>
      </c>
      <c r="E1319" s="249">
        <f t="shared" si="541"/>
        <v>233.33336</v>
      </c>
      <c r="F1319" s="170">
        <f t="shared" si="541"/>
        <v>238.86336063200002</v>
      </c>
      <c r="G1319" s="250">
        <v>0.8</v>
      </c>
      <c r="H1319" s="171">
        <f t="shared" si="526"/>
        <v>0.8</v>
      </c>
      <c r="I1319" s="249">
        <f t="shared" si="542"/>
        <v>0</v>
      </c>
      <c r="J1319" s="170">
        <f t="shared" si="542"/>
        <v>0</v>
      </c>
      <c r="K1319" s="251"/>
      <c r="L1319" s="172">
        <f t="shared" si="537"/>
        <v>0</v>
      </c>
      <c r="M1319" s="249">
        <f t="shared" si="538"/>
        <v>58.33334</v>
      </c>
      <c r="N1319" s="170">
        <f t="shared" si="528"/>
        <v>59.715840158000006</v>
      </c>
      <c r="O1319" s="250">
        <v>0.2</v>
      </c>
      <c r="P1319" s="172">
        <f t="shared" si="529"/>
        <v>0.2</v>
      </c>
      <c r="Q1319" s="251">
        <f t="shared" si="530"/>
        <v>0</v>
      </c>
      <c r="R1319" s="173">
        <f t="shared" si="531"/>
        <v>0</v>
      </c>
      <c r="S1319" s="251"/>
      <c r="T1319" s="171">
        <f t="shared" si="532"/>
        <v>0</v>
      </c>
      <c r="U1319" s="256">
        <v>291.66669999999999</v>
      </c>
      <c r="V1319" s="170">
        <f t="shared" si="535"/>
        <v>298.57920079000002</v>
      </c>
      <c r="W1319" s="258">
        <v>0.2</v>
      </c>
      <c r="X1319" s="257">
        <f t="shared" si="540"/>
        <v>350.00004000000001</v>
      </c>
      <c r="Y1319" s="170">
        <f t="shared" si="523"/>
        <v>358.29504094800001</v>
      </c>
      <c r="Z1319" s="170">
        <f t="shared" si="524"/>
        <v>360</v>
      </c>
      <c r="AA1319" s="407">
        <f t="shared" si="539"/>
        <v>0</v>
      </c>
      <c r="AB1319" s="194"/>
    </row>
    <row r="1320" spans="1:28" s="278" customFormat="1" ht="21" x14ac:dyDescent="0.25">
      <c r="A1320" s="200">
        <v>821015</v>
      </c>
      <c r="B1320" s="255" t="s">
        <v>19904</v>
      </c>
      <c r="C1320" s="248"/>
      <c r="D1320" s="247" t="s">
        <v>11</v>
      </c>
      <c r="E1320" s="249">
        <f t="shared" si="541"/>
        <v>133.33336</v>
      </c>
      <c r="F1320" s="170">
        <f t="shared" si="541"/>
        <v>136.49336063200002</v>
      </c>
      <c r="G1320" s="250">
        <v>0.8</v>
      </c>
      <c r="H1320" s="171">
        <f t="shared" si="526"/>
        <v>0.8</v>
      </c>
      <c r="I1320" s="249">
        <f t="shared" si="542"/>
        <v>0</v>
      </c>
      <c r="J1320" s="170">
        <f t="shared" si="542"/>
        <v>0</v>
      </c>
      <c r="K1320" s="251"/>
      <c r="L1320" s="172">
        <f t="shared" si="537"/>
        <v>0</v>
      </c>
      <c r="M1320" s="249">
        <f t="shared" si="538"/>
        <v>33.33334</v>
      </c>
      <c r="N1320" s="170">
        <f t="shared" si="528"/>
        <v>34.123340158000005</v>
      </c>
      <c r="O1320" s="250">
        <v>0.2</v>
      </c>
      <c r="P1320" s="172">
        <f t="shared" si="529"/>
        <v>0.2</v>
      </c>
      <c r="Q1320" s="251">
        <f t="shared" si="530"/>
        <v>0</v>
      </c>
      <c r="R1320" s="173">
        <f t="shared" si="531"/>
        <v>0</v>
      </c>
      <c r="S1320" s="251"/>
      <c r="T1320" s="171">
        <f t="shared" si="532"/>
        <v>0</v>
      </c>
      <c r="U1320" s="256">
        <v>166.66669999999999</v>
      </c>
      <c r="V1320" s="170">
        <f t="shared" si="535"/>
        <v>170.61670079000001</v>
      </c>
      <c r="W1320" s="258">
        <v>0.2</v>
      </c>
      <c r="X1320" s="257">
        <f t="shared" si="540"/>
        <v>200.00003999999998</v>
      </c>
      <c r="Y1320" s="170">
        <f t="shared" si="523"/>
        <v>204.740040948</v>
      </c>
      <c r="Z1320" s="170">
        <f t="shared" si="524"/>
        <v>205</v>
      </c>
      <c r="AA1320" s="407">
        <f t="shared" si="539"/>
        <v>0</v>
      </c>
      <c r="AB1320" s="194"/>
    </row>
    <row r="1321" spans="1:28" s="278" customFormat="1" ht="21" x14ac:dyDescent="0.25">
      <c r="A1321" s="200">
        <v>821015</v>
      </c>
      <c r="B1321" s="255" t="s">
        <v>19905</v>
      </c>
      <c r="C1321" s="248"/>
      <c r="D1321" s="247" t="s">
        <v>11</v>
      </c>
      <c r="E1321" s="249">
        <f t="shared" si="541"/>
        <v>100</v>
      </c>
      <c r="F1321" s="170">
        <f t="shared" si="541"/>
        <v>102.37</v>
      </c>
      <c r="G1321" s="250">
        <v>0.8</v>
      </c>
      <c r="H1321" s="171">
        <f t="shared" si="526"/>
        <v>0.8</v>
      </c>
      <c r="I1321" s="249">
        <f t="shared" si="542"/>
        <v>0</v>
      </c>
      <c r="J1321" s="170">
        <f t="shared" si="542"/>
        <v>0</v>
      </c>
      <c r="K1321" s="251"/>
      <c r="L1321" s="172">
        <f t="shared" si="537"/>
        <v>0</v>
      </c>
      <c r="M1321" s="249">
        <f t="shared" si="538"/>
        <v>25</v>
      </c>
      <c r="N1321" s="170">
        <f t="shared" si="528"/>
        <v>25.592500000000001</v>
      </c>
      <c r="O1321" s="250">
        <v>0.2</v>
      </c>
      <c r="P1321" s="172">
        <f t="shared" si="529"/>
        <v>0.2</v>
      </c>
      <c r="Q1321" s="251">
        <f t="shared" si="530"/>
        <v>0</v>
      </c>
      <c r="R1321" s="173">
        <f t="shared" si="531"/>
        <v>0</v>
      </c>
      <c r="S1321" s="251"/>
      <c r="T1321" s="171">
        <f t="shared" si="532"/>
        <v>0</v>
      </c>
      <c r="U1321" s="256">
        <v>125</v>
      </c>
      <c r="V1321" s="170">
        <f t="shared" si="535"/>
        <v>127.96250000000001</v>
      </c>
      <c r="W1321" s="258">
        <v>0.2</v>
      </c>
      <c r="X1321" s="257">
        <f t="shared" si="540"/>
        <v>150</v>
      </c>
      <c r="Y1321" s="170">
        <f t="shared" si="523"/>
        <v>153.55500000000001</v>
      </c>
      <c r="Z1321" s="170">
        <f t="shared" si="524"/>
        <v>155</v>
      </c>
      <c r="AA1321" s="407">
        <f t="shared" si="539"/>
        <v>0</v>
      </c>
      <c r="AB1321" s="194"/>
    </row>
    <row r="1322" spans="1:28" s="278" customFormat="1" x14ac:dyDescent="0.25">
      <c r="A1322" s="200">
        <v>821025</v>
      </c>
      <c r="B1322" s="313" t="s">
        <v>19906</v>
      </c>
      <c r="C1322" s="248"/>
      <c r="D1322" s="247" t="s">
        <v>11</v>
      </c>
      <c r="E1322" s="249">
        <f t="shared" si="541"/>
        <v>133.33599999999998</v>
      </c>
      <c r="F1322" s="170">
        <f t="shared" si="541"/>
        <v>136.49606319999998</v>
      </c>
      <c r="G1322" s="250">
        <v>0.8</v>
      </c>
      <c r="H1322" s="171">
        <f t="shared" si="526"/>
        <v>0.8</v>
      </c>
      <c r="I1322" s="249">
        <f t="shared" si="542"/>
        <v>0</v>
      </c>
      <c r="J1322" s="170">
        <f t="shared" si="542"/>
        <v>0</v>
      </c>
      <c r="K1322" s="250"/>
      <c r="L1322" s="172">
        <f t="shared" si="537"/>
        <v>0</v>
      </c>
      <c r="M1322" s="249">
        <f t="shared" si="538"/>
        <v>33.333999999999996</v>
      </c>
      <c r="N1322" s="170">
        <f t="shared" si="528"/>
        <v>34.124015799999995</v>
      </c>
      <c r="O1322" s="250">
        <v>0.2</v>
      </c>
      <c r="P1322" s="172">
        <f t="shared" si="529"/>
        <v>0.2</v>
      </c>
      <c r="Q1322" s="251">
        <f t="shared" si="530"/>
        <v>0</v>
      </c>
      <c r="R1322" s="173">
        <f t="shared" si="531"/>
        <v>0</v>
      </c>
      <c r="S1322" s="250"/>
      <c r="T1322" s="171">
        <f t="shared" si="532"/>
        <v>0</v>
      </c>
      <c r="U1322" s="256">
        <v>166.67</v>
      </c>
      <c r="V1322" s="170">
        <f t="shared" si="535"/>
        <v>170.62007899999998</v>
      </c>
      <c r="W1322" s="258">
        <v>0.2</v>
      </c>
      <c r="X1322" s="257">
        <f t="shared" si="540"/>
        <v>200.00399999999999</v>
      </c>
      <c r="Y1322" s="170">
        <f t="shared" ref="Y1322:Y1388" si="543">IF(V1322*(W1322+1)=0,X1322,V1322*(W1322+1))</f>
        <v>204.74409479999997</v>
      </c>
      <c r="Z1322" s="170">
        <f t="shared" si="524"/>
        <v>205</v>
      </c>
      <c r="AA1322" s="407">
        <f t="shared" si="539"/>
        <v>0</v>
      </c>
      <c r="AB1322" s="194"/>
    </row>
    <row r="1323" spans="1:28" s="278" customFormat="1" x14ac:dyDescent="0.25">
      <c r="A1323" s="200">
        <v>821025</v>
      </c>
      <c r="B1323" s="313" t="s">
        <v>19907</v>
      </c>
      <c r="C1323" s="248"/>
      <c r="D1323" s="247" t="s">
        <v>11</v>
      </c>
      <c r="E1323" s="249">
        <f t="shared" si="541"/>
        <v>100</v>
      </c>
      <c r="F1323" s="170">
        <f t="shared" si="541"/>
        <v>102.37</v>
      </c>
      <c r="G1323" s="250">
        <v>0.8</v>
      </c>
      <c r="H1323" s="171">
        <f t="shared" si="526"/>
        <v>0.8</v>
      </c>
      <c r="I1323" s="249">
        <f t="shared" si="542"/>
        <v>0</v>
      </c>
      <c r="J1323" s="170">
        <f t="shared" si="542"/>
        <v>0</v>
      </c>
      <c r="K1323" s="250"/>
      <c r="L1323" s="172">
        <f t="shared" si="537"/>
        <v>0</v>
      </c>
      <c r="M1323" s="249">
        <f t="shared" si="538"/>
        <v>25</v>
      </c>
      <c r="N1323" s="170">
        <f t="shared" si="528"/>
        <v>25.592500000000001</v>
      </c>
      <c r="O1323" s="250">
        <v>0.2</v>
      </c>
      <c r="P1323" s="172">
        <f t="shared" si="529"/>
        <v>0.2</v>
      </c>
      <c r="Q1323" s="251">
        <f t="shared" si="530"/>
        <v>0</v>
      </c>
      <c r="R1323" s="173">
        <f t="shared" si="531"/>
        <v>0</v>
      </c>
      <c r="S1323" s="250"/>
      <c r="T1323" s="171">
        <f t="shared" si="532"/>
        <v>0</v>
      </c>
      <c r="U1323" s="256">
        <v>125</v>
      </c>
      <c r="V1323" s="170">
        <f t="shared" si="535"/>
        <v>127.96250000000001</v>
      </c>
      <c r="W1323" s="258">
        <v>0.2</v>
      </c>
      <c r="X1323" s="257">
        <f t="shared" si="540"/>
        <v>150</v>
      </c>
      <c r="Y1323" s="170">
        <f t="shared" si="543"/>
        <v>153.55500000000001</v>
      </c>
      <c r="Z1323" s="170">
        <f t="shared" si="524"/>
        <v>155</v>
      </c>
      <c r="AA1323" s="407">
        <f t="shared" si="539"/>
        <v>0</v>
      </c>
      <c r="AB1323" s="194"/>
    </row>
    <row r="1324" spans="1:28" s="278" customFormat="1" x14ac:dyDescent="0.25">
      <c r="A1324" s="200">
        <v>821030</v>
      </c>
      <c r="B1324" s="313" t="s">
        <v>19908</v>
      </c>
      <c r="C1324" s="248"/>
      <c r="D1324" s="247" t="s">
        <v>11</v>
      </c>
      <c r="E1324" s="249">
        <f t="shared" si="541"/>
        <v>112.5</v>
      </c>
      <c r="F1324" s="170">
        <f t="shared" si="541"/>
        <v>114.89625000000001</v>
      </c>
      <c r="G1324" s="250">
        <v>0.45</v>
      </c>
      <c r="H1324" s="171">
        <f t="shared" si="526"/>
        <v>0.45</v>
      </c>
      <c r="I1324" s="249">
        <f t="shared" si="542"/>
        <v>75</v>
      </c>
      <c r="J1324" s="170">
        <f t="shared" si="542"/>
        <v>76.597499999999997</v>
      </c>
      <c r="K1324" s="250">
        <v>0.3</v>
      </c>
      <c r="L1324" s="172">
        <f t="shared" si="537"/>
        <v>0.3</v>
      </c>
      <c r="M1324" s="249">
        <f t="shared" si="538"/>
        <v>50</v>
      </c>
      <c r="N1324" s="170">
        <f t="shared" si="528"/>
        <v>51.065000000000005</v>
      </c>
      <c r="O1324" s="250">
        <v>0.2</v>
      </c>
      <c r="P1324" s="172">
        <f t="shared" si="529"/>
        <v>0.2</v>
      </c>
      <c r="Q1324" s="251">
        <f t="shared" si="530"/>
        <v>12.5</v>
      </c>
      <c r="R1324" s="173">
        <f t="shared" si="531"/>
        <v>12.766250000000001</v>
      </c>
      <c r="S1324" s="250">
        <v>0.05</v>
      </c>
      <c r="T1324" s="171">
        <f t="shared" si="532"/>
        <v>0.05</v>
      </c>
      <c r="U1324" s="256">
        <v>250</v>
      </c>
      <c r="V1324" s="170">
        <f t="shared" si="535"/>
        <v>255.32500000000002</v>
      </c>
      <c r="W1324" s="258">
        <v>0.2</v>
      </c>
      <c r="X1324" s="257">
        <f t="shared" si="540"/>
        <v>300</v>
      </c>
      <c r="Y1324" s="170">
        <f t="shared" si="543"/>
        <v>306.39</v>
      </c>
      <c r="Z1324" s="170">
        <f t="shared" si="524"/>
        <v>310</v>
      </c>
      <c r="AA1324" s="407">
        <f t="shared" si="539"/>
        <v>0</v>
      </c>
      <c r="AB1324" s="194"/>
    </row>
    <row r="1325" spans="1:28" s="278" customFormat="1" ht="14.4" thickBot="1" x14ac:dyDescent="0.3">
      <c r="A1325" s="263">
        <v>821030</v>
      </c>
      <c r="B1325" s="321" t="s">
        <v>19909</v>
      </c>
      <c r="C1325" s="265"/>
      <c r="D1325" s="264" t="s">
        <v>11</v>
      </c>
      <c r="E1325" s="266">
        <f t="shared" si="541"/>
        <v>75.001499999999993</v>
      </c>
      <c r="F1325" s="174">
        <f t="shared" si="541"/>
        <v>76.599031949999997</v>
      </c>
      <c r="G1325" s="267">
        <v>0.45</v>
      </c>
      <c r="H1325" s="268">
        <f t="shared" si="526"/>
        <v>0.45</v>
      </c>
      <c r="I1325" s="266">
        <f t="shared" si="542"/>
        <v>50.000999999999998</v>
      </c>
      <c r="J1325" s="174">
        <f t="shared" si="542"/>
        <v>51.066021299999996</v>
      </c>
      <c r="K1325" s="267">
        <v>0.3</v>
      </c>
      <c r="L1325" s="269">
        <f t="shared" si="537"/>
        <v>0.3</v>
      </c>
      <c r="M1325" s="266">
        <f t="shared" si="538"/>
        <v>33.333999999999996</v>
      </c>
      <c r="N1325" s="174">
        <f t="shared" si="528"/>
        <v>34.044014199999999</v>
      </c>
      <c r="O1325" s="267">
        <v>0.2</v>
      </c>
      <c r="P1325" s="269">
        <f t="shared" si="529"/>
        <v>0.2</v>
      </c>
      <c r="Q1325" s="270">
        <f t="shared" si="530"/>
        <v>8.333499999999999</v>
      </c>
      <c r="R1325" s="271">
        <f t="shared" si="531"/>
        <v>8.5110035499999999</v>
      </c>
      <c r="S1325" s="267">
        <v>0.05</v>
      </c>
      <c r="T1325" s="268">
        <f t="shared" si="532"/>
        <v>0.05</v>
      </c>
      <c r="U1325" s="409">
        <v>166.67</v>
      </c>
      <c r="V1325" s="174">
        <f t="shared" si="535"/>
        <v>170.22007099999999</v>
      </c>
      <c r="W1325" s="322">
        <v>0.2</v>
      </c>
      <c r="X1325" s="274">
        <f t="shared" si="540"/>
        <v>200.00399999999999</v>
      </c>
      <c r="Y1325" s="174">
        <f t="shared" si="543"/>
        <v>204.26408519999998</v>
      </c>
      <c r="Z1325" s="174">
        <f t="shared" si="524"/>
        <v>205</v>
      </c>
      <c r="AA1325" s="410">
        <f t="shared" si="539"/>
        <v>0</v>
      </c>
      <c r="AB1325" s="194"/>
    </row>
    <row r="1326" spans="1:28" s="278" customFormat="1" x14ac:dyDescent="0.25">
      <c r="A1326" s="426">
        <v>821035</v>
      </c>
      <c r="B1326" s="427" t="s">
        <v>19910</v>
      </c>
      <c r="C1326" s="428"/>
      <c r="D1326" s="429" t="s">
        <v>11</v>
      </c>
      <c r="E1326" s="423">
        <f t="shared" si="541"/>
        <v>66.666679999999999</v>
      </c>
      <c r="F1326" s="430">
        <f t="shared" si="541"/>
        <v>68.06668028</v>
      </c>
      <c r="G1326" s="431">
        <v>0.4</v>
      </c>
      <c r="H1326" s="432">
        <f t="shared" si="526"/>
        <v>0.4</v>
      </c>
      <c r="I1326" s="423">
        <f t="shared" si="542"/>
        <v>58.333344999999994</v>
      </c>
      <c r="J1326" s="430">
        <f t="shared" si="542"/>
        <v>59.558345244999998</v>
      </c>
      <c r="K1326" s="431">
        <v>0.35</v>
      </c>
      <c r="L1326" s="433">
        <f t="shared" si="537"/>
        <v>0.35</v>
      </c>
      <c r="M1326" s="423">
        <f t="shared" si="538"/>
        <v>33.33334</v>
      </c>
      <c r="N1326" s="430">
        <f t="shared" si="528"/>
        <v>34.03334014</v>
      </c>
      <c r="O1326" s="431">
        <v>0.2</v>
      </c>
      <c r="P1326" s="433">
        <f t="shared" si="529"/>
        <v>0.2</v>
      </c>
      <c r="Q1326" s="425">
        <f t="shared" si="530"/>
        <v>8.3333349999999999</v>
      </c>
      <c r="R1326" s="434">
        <f t="shared" si="531"/>
        <v>8.508335035</v>
      </c>
      <c r="S1326" s="431">
        <v>0.05</v>
      </c>
      <c r="T1326" s="432">
        <f t="shared" si="532"/>
        <v>0.05</v>
      </c>
      <c r="U1326" s="435">
        <v>166.66669999999999</v>
      </c>
      <c r="V1326" s="430">
        <f t="shared" si="535"/>
        <v>170.16670070000001</v>
      </c>
      <c r="W1326" s="424">
        <v>0.2</v>
      </c>
      <c r="X1326" s="436">
        <f t="shared" si="540"/>
        <v>200.00003999999998</v>
      </c>
      <c r="Y1326" s="430">
        <f t="shared" si="543"/>
        <v>204.20004084000001</v>
      </c>
      <c r="Z1326" s="430">
        <f t="shared" si="524"/>
        <v>205</v>
      </c>
      <c r="AA1326" s="437">
        <f t="shared" si="539"/>
        <v>0</v>
      </c>
      <c r="AB1326" s="194"/>
    </row>
    <row r="1327" spans="1:28" s="278" customFormat="1" x14ac:dyDescent="0.25">
      <c r="A1327" s="200">
        <v>821035</v>
      </c>
      <c r="B1327" s="313" t="s">
        <v>19911</v>
      </c>
      <c r="C1327" s="248"/>
      <c r="D1327" s="247" t="s">
        <v>11</v>
      </c>
      <c r="E1327" s="249">
        <f t="shared" si="541"/>
        <v>50</v>
      </c>
      <c r="F1327" s="170">
        <f t="shared" si="541"/>
        <v>51.050000000000011</v>
      </c>
      <c r="G1327" s="250">
        <v>0.4</v>
      </c>
      <c r="H1327" s="171">
        <f t="shared" si="526"/>
        <v>0.4</v>
      </c>
      <c r="I1327" s="249">
        <f t="shared" si="542"/>
        <v>43.75</v>
      </c>
      <c r="J1327" s="170">
        <f t="shared" si="542"/>
        <v>44.668750000000003</v>
      </c>
      <c r="K1327" s="250">
        <v>0.35</v>
      </c>
      <c r="L1327" s="172">
        <f t="shared" si="537"/>
        <v>0.35</v>
      </c>
      <c r="M1327" s="249">
        <f t="shared" si="538"/>
        <v>25</v>
      </c>
      <c r="N1327" s="170">
        <f t="shared" si="528"/>
        <v>25.525000000000006</v>
      </c>
      <c r="O1327" s="250">
        <v>0.2</v>
      </c>
      <c r="P1327" s="172">
        <f t="shared" si="529"/>
        <v>0.2</v>
      </c>
      <c r="Q1327" s="251">
        <f t="shared" si="530"/>
        <v>6.25</v>
      </c>
      <c r="R1327" s="173">
        <f t="shared" si="531"/>
        <v>6.3812500000000014</v>
      </c>
      <c r="S1327" s="250">
        <v>0.05</v>
      </c>
      <c r="T1327" s="171">
        <f t="shared" si="532"/>
        <v>0.05</v>
      </c>
      <c r="U1327" s="256">
        <v>125</v>
      </c>
      <c r="V1327" s="170">
        <f t="shared" si="535"/>
        <v>127.62500000000001</v>
      </c>
      <c r="W1327" s="258">
        <v>0.2</v>
      </c>
      <c r="X1327" s="257">
        <f t="shared" si="540"/>
        <v>150</v>
      </c>
      <c r="Y1327" s="170">
        <f t="shared" si="543"/>
        <v>153.15</v>
      </c>
      <c r="Z1327" s="170">
        <f t="shared" si="524"/>
        <v>155</v>
      </c>
      <c r="AA1327" s="407">
        <f t="shared" si="539"/>
        <v>0</v>
      </c>
      <c r="AB1327" s="194"/>
    </row>
    <row r="1328" spans="1:28" s="278" customFormat="1" x14ac:dyDescent="0.25">
      <c r="A1328" s="200">
        <v>821040</v>
      </c>
      <c r="B1328" s="313" t="s">
        <v>19912</v>
      </c>
      <c r="C1328" s="248"/>
      <c r="D1328" s="247" t="s">
        <v>11</v>
      </c>
      <c r="E1328" s="249">
        <f t="shared" si="541"/>
        <v>75.001499999999993</v>
      </c>
      <c r="F1328" s="170">
        <f t="shared" si="541"/>
        <v>76.599031949999997</v>
      </c>
      <c r="G1328" s="250">
        <v>0.45</v>
      </c>
      <c r="H1328" s="171">
        <f t="shared" si="526"/>
        <v>0.45</v>
      </c>
      <c r="I1328" s="249">
        <f t="shared" si="542"/>
        <v>50.000999999999998</v>
      </c>
      <c r="J1328" s="170">
        <f t="shared" si="542"/>
        <v>51.066021299999996</v>
      </c>
      <c r="K1328" s="250">
        <v>0.3</v>
      </c>
      <c r="L1328" s="172">
        <f t="shared" si="537"/>
        <v>0.3</v>
      </c>
      <c r="M1328" s="249">
        <f t="shared" si="538"/>
        <v>33.333999999999996</v>
      </c>
      <c r="N1328" s="170">
        <f t="shared" si="528"/>
        <v>34.044014199999999</v>
      </c>
      <c r="O1328" s="250">
        <v>0.2</v>
      </c>
      <c r="P1328" s="172">
        <f t="shared" si="529"/>
        <v>0.2</v>
      </c>
      <c r="Q1328" s="251">
        <f t="shared" si="530"/>
        <v>8.333499999999999</v>
      </c>
      <c r="R1328" s="173">
        <f t="shared" si="531"/>
        <v>8.5110035499999999</v>
      </c>
      <c r="S1328" s="250">
        <v>0.05</v>
      </c>
      <c r="T1328" s="171">
        <f t="shared" si="532"/>
        <v>0.05</v>
      </c>
      <c r="U1328" s="256">
        <v>166.67</v>
      </c>
      <c r="V1328" s="170">
        <f t="shared" si="535"/>
        <v>170.22007099999999</v>
      </c>
      <c r="W1328" s="258">
        <v>0.2</v>
      </c>
      <c r="X1328" s="257">
        <f t="shared" si="540"/>
        <v>200.00399999999999</v>
      </c>
      <c r="Y1328" s="170">
        <f t="shared" si="543"/>
        <v>204.26408519999998</v>
      </c>
      <c r="Z1328" s="170">
        <f t="shared" si="524"/>
        <v>205</v>
      </c>
      <c r="AA1328" s="407">
        <f t="shared" si="539"/>
        <v>0</v>
      </c>
      <c r="AB1328" s="194"/>
    </row>
    <row r="1329" spans="1:28" s="278" customFormat="1" x14ac:dyDescent="0.25">
      <c r="A1329" s="200">
        <v>821040</v>
      </c>
      <c r="B1329" s="313" t="s">
        <v>19913</v>
      </c>
      <c r="C1329" s="248"/>
      <c r="D1329" s="247" t="s">
        <v>11</v>
      </c>
      <c r="E1329" s="249">
        <f t="shared" si="541"/>
        <v>56.25</v>
      </c>
      <c r="F1329" s="170">
        <f t="shared" si="541"/>
        <v>57.448125000000005</v>
      </c>
      <c r="G1329" s="250">
        <v>0.45</v>
      </c>
      <c r="H1329" s="171">
        <f t="shared" si="526"/>
        <v>0.45</v>
      </c>
      <c r="I1329" s="249">
        <f t="shared" si="542"/>
        <v>37.5</v>
      </c>
      <c r="J1329" s="170">
        <f t="shared" si="542"/>
        <v>38.298749999999998</v>
      </c>
      <c r="K1329" s="250">
        <v>0.3</v>
      </c>
      <c r="L1329" s="172">
        <f t="shared" si="537"/>
        <v>0.3</v>
      </c>
      <c r="M1329" s="249">
        <f t="shared" si="538"/>
        <v>25</v>
      </c>
      <c r="N1329" s="170">
        <f t="shared" si="528"/>
        <v>25.532500000000002</v>
      </c>
      <c r="O1329" s="250">
        <v>0.2</v>
      </c>
      <c r="P1329" s="172">
        <f t="shared" si="529"/>
        <v>0.2</v>
      </c>
      <c r="Q1329" s="251">
        <f t="shared" si="530"/>
        <v>6.25</v>
      </c>
      <c r="R1329" s="173">
        <f t="shared" si="531"/>
        <v>6.3831250000000006</v>
      </c>
      <c r="S1329" s="250">
        <v>0.05</v>
      </c>
      <c r="T1329" s="171">
        <f t="shared" si="532"/>
        <v>0.05</v>
      </c>
      <c r="U1329" s="256">
        <v>125</v>
      </c>
      <c r="V1329" s="170">
        <f t="shared" si="535"/>
        <v>127.66250000000001</v>
      </c>
      <c r="W1329" s="258">
        <v>0.2</v>
      </c>
      <c r="X1329" s="257">
        <f t="shared" si="540"/>
        <v>150</v>
      </c>
      <c r="Y1329" s="170">
        <f t="shared" si="543"/>
        <v>153.19499999999999</v>
      </c>
      <c r="Z1329" s="170">
        <f t="shared" si="524"/>
        <v>155</v>
      </c>
      <c r="AA1329" s="407">
        <f t="shared" si="539"/>
        <v>0</v>
      </c>
      <c r="AB1329" s="194"/>
    </row>
    <row r="1330" spans="1:28" s="278" customFormat="1" x14ac:dyDescent="0.25">
      <c r="A1330" s="200">
        <v>821045</v>
      </c>
      <c r="B1330" s="313" t="s">
        <v>19914</v>
      </c>
      <c r="C1330" s="248"/>
      <c r="D1330" s="247" t="s">
        <v>11</v>
      </c>
      <c r="E1330" s="249">
        <f t="shared" si="541"/>
        <v>58.333331999999999</v>
      </c>
      <c r="F1330" s="170">
        <f t="shared" si="541"/>
        <v>59.558331971999998</v>
      </c>
      <c r="G1330" s="250">
        <v>0.4</v>
      </c>
      <c r="H1330" s="171">
        <f t="shared" si="526"/>
        <v>0.4</v>
      </c>
      <c r="I1330" s="249">
        <f t="shared" si="542"/>
        <v>51.041665499999993</v>
      </c>
      <c r="J1330" s="170">
        <f t="shared" si="542"/>
        <v>52.113540475499995</v>
      </c>
      <c r="K1330" s="250">
        <v>0.35</v>
      </c>
      <c r="L1330" s="172">
        <f t="shared" si="537"/>
        <v>0.35</v>
      </c>
      <c r="M1330" s="249">
        <f t="shared" si="538"/>
        <v>29.166665999999999</v>
      </c>
      <c r="N1330" s="170">
        <f t="shared" si="528"/>
        <v>29.779165985999999</v>
      </c>
      <c r="O1330" s="250">
        <v>0.2</v>
      </c>
      <c r="P1330" s="172">
        <f t="shared" si="529"/>
        <v>0.2</v>
      </c>
      <c r="Q1330" s="251">
        <f t="shared" si="530"/>
        <v>7.2916664999999998</v>
      </c>
      <c r="R1330" s="173">
        <f t="shared" si="531"/>
        <v>7.4447914964999997</v>
      </c>
      <c r="S1330" s="250">
        <v>0.05</v>
      </c>
      <c r="T1330" s="171">
        <f t="shared" si="532"/>
        <v>0.05</v>
      </c>
      <c r="U1330" s="256">
        <v>145.83332999999999</v>
      </c>
      <c r="V1330" s="170">
        <f t="shared" si="535"/>
        <v>148.89582992999999</v>
      </c>
      <c r="W1330" s="258">
        <v>0.2</v>
      </c>
      <c r="X1330" s="257">
        <f t="shared" si="540"/>
        <v>174.99999599999998</v>
      </c>
      <c r="Y1330" s="170">
        <f t="shared" si="543"/>
        <v>178.67499591599997</v>
      </c>
      <c r="Z1330" s="170">
        <f t="shared" si="524"/>
        <v>180</v>
      </c>
      <c r="AA1330" s="407">
        <f t="shared" si="539"/>
        <v>0</v>
      </c>
      <c r="AB1330" s="194"/>
    </row>
    <row r="1331" spans="1:28" s="278" customFormat="1" x14ac:dyDescent="0.25">
      <c r="A1331" s="200">
        <v>821045</v>
      </c>
      <c r="B1331" s="313" t="s">
        <v>19915</v>
      </c>
      <c r="C1331" s="248"/>
      <c r="D1331" s="247" t="s">
        <v>11</v>
      </c>
      <c r="E1331" s="249">
        <f t="shared" si="541"/>
        <v>46.666680000000007</v>
      </c>
      <c r="F1331" s="170">
        <f t="shared" si="541"/>
        <v>47.646680280000005</v>
      </c>
      <c r="G1331" s="250">
        <v>0.4</v>
      </c>
      <c r="H1331" s="171">
        <f t="shared" si="526"/>
        <v>0.4</v>
      </c>
      <c r="I1331" s="249">
        <f t="shared" si="542"/>
        <v>40.833345000000001</v>
      </c>
      <c r="J1331" s="170">
        <f t="shared" si="542"/>
        <v>41.690845244999998</v>
      </c>
      <c r="K1331" s="250">
        <v>0.35</v>
      </c>
      <c r="L1331" s="172">
        <f t="shared" si="537"/>
        <v>0.35</v>
      </c>
      <c r="M1331" s="249">
        <f t="shared" si="538"/>
        <v>23.333340000000003</v>
      </c>
      <c r="N1331" s="170">
        <f t="shared" si="528"/>
        <v>23.823340140000003</v>
      </c>
      <c r="O1331" s="250">
        <v>0.2</v>
      </c>
      <c r="P1331" s="172">
        <f t="shared" si="529"/>
        <v>0.2</v>
      </c>
      <c r="Q1331" s="251">
        <f t="shared" si="530"/>
        <v>5.8333350000000008</v>
      </c>
      <c r="R1331" s="173">
        <f t="shared" si="531"/>
        <v>5.9558350350000007</v>
      </c>
      <c r="S1331" s="250">
        <v>0.05</v>
      </c>
      <c r="T1331" s="171">
        <f t="shared" si="532"/>
        <v>0.05</v>
      </c>
      <c r="U1331" s="256">
        <v>116.66670000000001</v>
      </c>
      <c r="V1331" s="170">
        <f t="shared" si="535"/>
        <v>119.11670070000001</v>
      </c>
      <c r="W1331" s="258">
        <v>0.2</v>
      </c>
      <c r="X1331" s="257">
        <f t="shared" si="540"/>
        <v>140.00004000000001</v>
      </c>
      <c r="Y1331" s="170">
        <f t="shared" si="543"/>
        <v>142.94004083999999</v>
      </c>
      <c r="Z1331" s="170">
        <f t="shared" si="524"/>
        <v>145</v>
      </c>
      <c r="AA1331" s="407">
        <f t="shared" si="539"/>
        <v>0</v>
      </c>
      <c r="AB1331" s="194"/>
    </row>
    <row r="1332" spans="1:28" s="278" customFormat="1" x14ac:dyDescent="0.25">
      <c r="A1332" s="200">
        <v>821050</v>
      </c>
      <c r="B1332" s="313" t="s">
        <v>19916</v>
      </c>
      <c r="C1332" s="248"/>
      <c r="D1332" s="247" t="s">
        <v>11</v>
      </c>
      <c r="E1332" s="249">
        <f t="shared" si="541"/>
        <v>218.75002499999999</v>
      </c>
      <c r="F1332" s="170">
        <f t="shared" si="541"/>
        <v>223.86877558499998</v>
      </c>
      <c r="G1332" s="250">
        <v>0.75</v>
      </c>
      <c r="H1332" s="171">
        <f t="shared" si="526"/>
        <v>0.75</v>
      </c>
      <c r="I1332" s="249">
        <f t="shared" si="542"/>
        <v>14.583335</v>
      </c>
      <c r="J1332" s="170">
        <f t="shared" si="542"/>
        <v>14.924585039</v>
      </c>
      <c r="K1332" s="250">
        <v>0.05</v>
      </c>
      <c r="L1332" s="172">
        <f t="shared" si="537"/>
        <v>0.05</v>
      </c>
      <c r="M1332" s="249">
        <f t="shared" si="538"/>
        <v>58.33334</v>
      </c>
      <c r="N1332" s="170">
        <f t="shared" si="528"/>
        <v>59.698340156</v>
      </c>
      <c r="O1332" s="250">
        <v>0.2</v>
      </c>
      <c r="P1332" s="172">
        <f t="shared" si="529"/>
        <v>0.2</v>
      </c>
      <c r="Q1332" s="251">
        <f t="shared" si="530"/>
        <v>0</v>
      </c>
      <c r="R1332" s="173">
        <f t="shared" si="531"/>
        <v>0</v>
      </c>
      <c r="S1332" s="251"/>
      <c r="T1332" s="171">
        <f t="shared" si="532"/>
        <v>0</v>
      </c>
      <c r="U1332" s="256">
        <v>291.66669999999999</v>
      </c>
      <c r="V1332" s="170">
        <f t="shared" si="535"/>
        <v>298.49170077999997</v>
      </c>
      <c r="W1332" s="258">
        <v>0.2</v>
      </c>
      <c r="X1332" s="257">
        <f t="shared" si="540"/>
        <v>350.00004000000001</v>
      </c>
      <c r="Y1332" s="170">
        <f t="shared" si="543"/>
        <v>358.19004093599995</v>
      </c>
      <c r="Z1332" s="170">
        <f t="shared" si="524"/>
        <v>360</v>
      </c>
      <c r="AA1332" s="407">
        <f t="shared" si="539"/>
        <v>0</v>
      </c>
      <c r="AB1332" s="194"/>
    </row>
    <row r="1333" spans="1:28" s="278" customFormat="1" x14ac:dyDescent="0.25">
      <c r="A1333" s="200">
        <v>821050</v>
      </c>
      <c r="B1333" s="313" t="s">
        <v>19917</v>
      </c>
      <c r="C1333" s="248"/>
      <c r="D1333" s="247" t="s">
        <v>11</v>
      </c>
      <c r="E1333" s="249">
        <f t="shared" si="541"/>
        <v>125.00002499999999</v>
      </c>
      <c r="F1333" s="170">
        <f t="shared" si="541"/>
        <v>127.92502558499999</v>
      </c>
      <c r="G1333" s="250">
        <v>0.75</v>
      </c>
      <c r="H1333" s="171">
        <f t="shared" si="526"/>
        <v>0.75</v>
      </c>
      <c r="I1333" s="249">
        <f t="shared" si="542"/>
        <v>8.3333349999999999</v>
      </c>
      <c r="J1333" s="170">
        <f t="shared" si="542"/>
        <v>8.5283350389999999</v>
      </c>
      <c r="K1333" s="250">
        <v>0.05</v>
      </c>
      <c r="L1333" s="172">
        <f t="shared" si="537"/>
        <v>0.05</v>
      </c>
      <c r="M1333" s="249">
        <f t="shared" si="538"/>
        <v>33.33334</v>
      </c>
      <c r="N1333" s="170">
        <f t="shared" si="528"/>
        <v>34.113340156</v>
      </c>
      <c r="O1333" s="250">
        <v>0.2</v>
      </c>
      <c r="P1333" s="172">
        <f t="shared" si="529"/>
        <v>0.2</v>
      </c>
      <c r="Q1333" s="251">
        <f t="shared" si="530"/>
        <v>0</v>
      </c>
      <c r="R1333" s="173">
        <f t="shared" si="531"/>
        <v>0</v>
      </c>
      <c r="S1333" s="251"/>
      <c r="T1333" s="171">
        <f t="shared" si="532"/>
        <v>0</v>
      </c>
      <c r="U1333" s="256">
        <v>166.66669999999999</v>
      </c>
      <c r="V1333" s="170">
        <f t="shared" si="535"/>
        <v>170.56670077999999</v>
      </c>
      <c r="W1333" s="258">
        <v>0.2</v>
      </c>
      <c r="X1333" s="257">
        <f t="shared" si="540"/>
        <v>200.00003999999998</v>
      </c>
      <c r="Y1333" s="170">
        <f t="shared" si="543"/>
        <v>204.68004093599998</v>
      </c>
      <c r="Z1333" s="170">
        <f t="shared" ref="Z1333:Z1402" si="544">IF(Y1333=0, 0, IF(Y1333&lt;10, _xlfn.CEILING.MATH(Y1333,1), IF(Y1333&lt;100, _xlfn.CEILING.MATH(Y1333,1),IF(Y1333&lt;1000, _xlfn.CEILING.MATH(Y1333,5), IF(Y1333&lt;10000, _xlfn.CEILING.MATH(Y1333, 25), IF(Y1333&lt;100000, _xlfn.CEILING.MATH(Y1333,250), IF(Y1333&lt;1000000, _xlfn.CEILING.MATH(Y1333,500), 0)))))))</f>
        <v>205</v>
      </c>
      <c r="AA1333" s="407">
        <f t="shared" si="539"/>
        <v>0</v>
      </c>
      <c r="AB1333" s="194"/>
    </row>
    <row r="1334" spans="1:28" s="278" customFormat="1" x14ac:dyDescent="0.25">
      <c r="A1334" s="200">
        <v>821055</v>
      </c>
      <c r="B1334" s="313" t="s">
        <v>19918</v>
      </c>
      <c r="C1334" s="248"/>
      <c r="D1334" s="247" t="s">
        <v>11</v>
      </c>
      <c r="E1334" s="249">
        <f t="shared" si="541"/>
        <v>187.5</v>
      </c>
      <c r="F1334" s="170">
        <f t="shared" si="541"/>
        <v>191.88750000000002</v>
      </c>
      <c r="G1334" s="250">
        <v>0.75</v>
      </c>
      <c r="H1334" s="171">
        <f t="shared" si="526"/>
        <v>0.75</v>
      </c>
      <c r="I1334" s="249">
        <f t="shared" si="542"/>
        <v>12.5</v>
      </c>
      <c r="J1334" s="170">
        <f t="shared" si="542"/>
        <v>12.792500000000002</v>
      </c>
      <c r="K1334" s="250">
        <v>0.05</v>
      </c>
      <c r="L1334" s="172">
        <f t="shared" si="537"/>
        <v>0.05</v>
      </c>
      <c r="M1334" s="249">
        <f t="shared" si="538"/>
        <v>50</v>
      </c>
      <c r="N1334" s="170">
        <f t="shared" si="528"/>
        <v>51.170000000000009</v>
      </c>
      <c r="O1334" s="250">
        <v>0.2</v>
      </c>
      <c r="P1334" s="172">
        <f t="shared" si="529"/>
        <v>0.2</v>
      </c>
      <c r="Q1334" s="251">
        <f t="shared" si="530"/>
        <v>0</v>
      </c>
      <c r="R1334" s="173">
        <f t="shared" si="531"/>
        <v>0</v>
      </c>
      <c r="S1334" s="251"/>
      <c r="T1334" s="171">
        <f t="shared" si="532"/>
        <v>0</v>
      </c>
      <c r="U1334" s="256">
        <v>250</v>
      </c>
      <c r="V1334" s="170">
        <f t="shared" si="535"/>
        <v>255.85000000000002</v>
      </c>
      <c r="W1334" s="258">
        <v>0.2</v>
      </c>
      <c r="X1334" s="257">
        <f t="shared" si="540"/>
        <v>300</v>
      </c>
      <c r="Y1334" s="170">
        <f t="shared" si="543"/>
        <v>307.02000000000004</v>
      </c>
      <c r="Z1334" s="170">
        <f t="shared" si="544"/>
        <v>310</v>
      </c>
      <c r="AA1334" s="407">
        <f t="shared" si="539"/>
        <v>0</v>
      </c>
      <c r="AB1334" s="194"/>
    </row>
    <row r="1335" spans="1:28" s="278" customFormat="1" x14ac:dyDescent="0.25">
      <c r="A1335" s="200">
        <v>821055</v>
      </c>
      <c r="B1335" s="313" t="s">
        <v>19919</v>
      </c>
      <c r="C1335" s="248"/>
      <c r="D1335" s="247" t="s">
        <v>11</v>
      </c>
      <c r="E1335" s="249">
        <f t="shared" si="541"/>
        <v>125.0025</v>
      </c>
      <c r="F1335" s="170">
        <f t="shared" si="541"/>
        <v>127.9275585</v>
      </c>
      <c r="G1335" s="250">
        <v>0.75</v>
      </c>
      <c r="H1335" s="171">
        <f t="shared" ref="H1335:H1402" si="545">G1335</f>
        <v>0.75</v>
      </c>
      <c r="I1335" s="249">
        <f t="shared" si="542"/>
        <v>8.333499999999999</v>
      </c>
      <c r="J1335" s="170">
        <f t="shared" si="542"/>
        <v>8.5285039000000005</v>
      </c>
      <c r="K1335" s="250">
        <v>0.05</v>
      </c>
      <c r="L1335" s="172">
        <f t="shared" si="537"/>
        <v>0.05</v>
      </c>
      <c r="M1335" s="249">
        <f t="shared" si="538"/>
        <v>33.333999999999996</v>
      </c>
      <c r="N1335" s="170">
        <f t="shared" ref="N1335:N1402" si="546">P1335*V1335</f>
        <v>34.114015600000002</v>
      </c>
      <c r="O1335" s="250">
        <v>0.2</v>
      </c>
      <c r="P1335" s="172">
        <f t="shared" ref="P1335:P1402" si="547">O1335</f>
        <v>0.2</v>
      </c>
      <c r="Q1335" s="251">
        <f t="shared" ref="Q1335:Q1402" si="548">U1335*S1335</f>
        <v>0</v>
      </c>
      <c r="R1335" s="173">
        <f t="shared" ref="R1335:R1402" si="549">T1335*V1335</f>
        <v>0</v>
      </c>
      <c r="S1335" s="251"/>
      <c r="T1335" s="171">
        <f t="shared" ref="T1335:T1402" si="550">S1335</f>
        <v>0</v>
      </c>
      <c r="U1335" s="256">
        <v>166.67</v>
      </c>
      <c r="V1335" s="170">
        <f t="shared" si="535"/>
        <v>170.570078</v>
      </c>
      <c r="W1335" s="258">
        <v>0.2</v>
      </c>
      <c r="X1335" s="257">
        <f t="shared" si="540"/>
        <v>200.00399999999999</v>
      </c>
      <c r="Y1335" s="170">
        <f t="shared" si="543"/>
        <v>204.68409359999998</v>
      </c>
      <c r="Z1335" s="170">
        <f t="shared" si="544"/>
        <v>205</v>
      </c>
      <c r="AA1335" s="407">
        <f t="shared" si="539"/>
        <v>0</v>
      </c>
      <c r="AB1335" s="194"/>
    </row>
    <row r="1336" spans="1:28" s="278" customFormat="1" x14ac:dyDescent="0.25">
      <c r="A1336" s="200">
        <v>821060</v>
      </c>
      <c r="B1336" s="313" t="s">
        <v>19920</v>
      </c>
      <c r="C1336" s="248"/>
      <c r="D1336" s="247" t="s">
        <v>11</v>
      </c>
      <c r="E1336" s="249">
        <f t="shared" si="541"/>
        <v>218.75002499999999</v>
      </c>
      <c r="F1336" s="170">
        <f t="shared" si="541"/>
        <v>223.86877558499998</v>
      </c>
      <c r="G1336" s="250">
        <v>0.75</v>
      </c>
      <c r="H1336" s="171">
        <f t="shared" si="545"/>
        <v>0.75</v>
      </c>
      <c r="I1336" s="249">
        <f t="shared" si="542"/>
        <v>14.583335</v>
      </c>
      <c r="J1336" s="170">
        <f t="shared" si="542"/>
        <v>14.924585039</v>
      </c>
      <c r="K1336" s="250">
        <v>0.05</v>
      </c>
      <c r="L1336" s="172">
        <f t="shared" si="537"/>
        <v>0.05</v>
      </c>
      <c r="M1336" s="249">
        <f t="shared" si="538"/>
        <v>58.33334</v>
      </c>
      <c r="N1336" s="170">
        <f t="shared" si="546"/>
        <v>59.698340156</v>
      </c>
      <c r="O1336" s="250">
        <v>0.2</v>
      </c>
      <c r="P1336" s="172">
        <f t="shared" si="547"/>
        <v>0.2</v>
      </c>
      <c r="Q1336" s="251">
        <f t="shared" si="548"/>
        <v>0</v>
      </c>
      <c r="R1336" s="173">
        <f t="shared" si="549"/>
        <v>0</v>
      </c>
      <c r="S1336" s="251"/>
      <c r="T1336" s="171">
        <f t="shared" si="550"/>
        <v>0</v>
      </c>
      <c r="U1336" s="256">
        <v>291.66669999999999</v>
      </c>
      <c r="V1336" s="170">
        <f t="shared" si="535"/>
        <v>298.49170077999997</v>
      </c>
      <c r="W1336" s="258">
        <v>0.2</v>
      </c>
      <c r="X1336" s="257">
        <f t="shared" si="540"/>
        <v>350.00004000000001</v>
      </c>
      <c r="Y1336" s="170">
        <f t="shared" si="543"/>
        <v>358.19004093599995</v>
      </c>
      <c r="Z1336" s="170">
        <f t="shared" si="544"/>
        <v>360</v>
      </c>
      <c r="AA1336" s="407">
        <f t="shared" si="539"/>
        <v>0</v>
      </c>
      <c r="AB1336" s="194"/>
    </row>
    <row r="1337" spans="1:28" s="278" customFormat="1" x14ac:dyDescent="0.25">
      <c r="A1337" s="200">
        <v>821060</v>
      </c>
      <c r="B1337" s="313" t="s">
        <v>19921</v>
      </c>
      <c r="C1337" s="248"/>
      <c r="D1337" s="247" t="s">
        <v>11</v>
      </c>
      <c r="E1337" s="249">
        <f t="shared" si="541"/>
        <v>156.24975000000001</v>
      </c>
      <c r="F1337" s="170">
        <f t="shared" si="541"/>
        <v>159.90599415</v>
      </c>
      <c r="G1337" s="250">
        <v>0.75</v>
      </c>
      <c r="H1337" s="171">
        <f t="shared" si="545"/>
        <v>0.75</v>
      </c>
      <c r="I1337" s="249">
        <f t="shared" si="542"/>
        <v>10.416650000000001</v>
      </c>
      <c r="J1337" s="170">
        <f t="shared" si="542"/>
        <v>10.660399610000001</v>
      </c>
      <c r="K1337" s="250">
        <v>0.05</v>
      </c>
      <c r="L1337" s="172">
        <f t="shared" si="537"/>
        <v>0.05</v>
      </c>
      <c r="M1337" s="249">
        <f t="shared" si="538"/>
        <v>41.666600000000003</v>
      </c>
      <c r="N1337" s="170">
        <f t="shared" si="546"/>
        <v>42.641598440000003</v>
      </c>
      <c r="O1337" s="250">
        <v>0.2</v>
      </c>
      <c r="P1337" s="172">
        <f t="shared" si="547"/>
        <v>0.2</v>
      </c>
      <c r="Q1337" s="251">
        <f t="shared" si="548"/>
        <v>0</v>
      </c>
      <c r="R1337" s="173">
        <f t="shared" si="549"/>
        <v>0</v>
      </c>
      <c r="S1337" s="251"/>
      <c r="T1337" s="171">
        <f t="shared" si="550"/>
        <v>0</v>
      </c>
      <c r="U1337" s="256">
        <v>208.333</v>
      </c>
      <c r="V1337" s="170">
        <f t="shared" si="535"/>
        <v>213.20799220000001</v>
      </c>
      <c r="W1337" s="258">
        <v>0.2</v>
      </c>
      <c r="X1337" s="257">
        <f t="shared" si="540"/>
        <v>249.99959999999999</v>
      </c>
      <c r="Y1337" s="170">
        <f t="shared" si="543"/>
        <v>255.84959064</v>
      </c>
      <c r="Z1337" s="170">
        <f t="shared" si="544"/>
        <v>260</v>
      </c>
      <c r="AA1337" s="407">
        <f t="shared" si="539"/>
        <v>0</v>
      </c>
      <c r="AB1337" s="194"/>
    </row>
    <row r="1338" spans="1:28" s="278" customFormat="1" x14ac:dyDescent="0.25">
      <c r="A1338" s="200">
        <v>821060</v>
      </c>
      <c r="B1338" s="313" t="s">
        <v>19922</v>
      </c>
      <c r="C1338" s="248"/>
      <c r="D1338" s="247" t="s">
        <v>11</v>
      </c>
      <c r="E1338" s="249">
        <f t="shared" si="541"/>
        <v>156.24975000000001</v>
      </c>
      <c r="F1338" s="170">
        <f t="shared" si="541"/>
        <v>159.90599415</v>
      </c>
      <c r="G1338" s="250">
        <v>0.75</v>
      </c>
      <c r="H1338" s="171">
        <f t="shared" si="545"/>
        <v>0.75</v>
      </c>
      <c r="I1338" s="249">
        <f t="shared" si="542"/>
        <v>10.416650000000001</v>
      </c>
      <c r="J1338" s="170">
        <f t="shared" si="542"/>
        <v>10.660399610000001</v>
      </c>
      <c r="K1338" s="250">
        <v>0.05</v>
      </c>
      <c r="L1338" s="172">
        <f t="shared" si="537"/>
        <v>0.05</v>
      </c>
      <c r="M1338" s="249">
        <f t="shared" si="538"/>
        <v>41.666600000000003</v>
      </c>
      <c r="N1338" s="170">
        <f t="shared" si="546"/>
        <v>42.641598440000003</v>
      </c>
      <c r="O1338" s="250">
        <v>0.2</v>
      </c>
      <c r="P1338" s="172">
        <f t="shared" si="547"/>
        <v>0.2</v>
      </c>
      <c r="Q1338" s="251">
        <f t="shared" si="548"/>
        <v>0</v>
      </c>
      <c r="R1338" s="173">
        <f t="shared" si="549"/>
        <v>0</v>
      </c>
      <c r="S1338" s="251"/>
      <c r="T1338" s="171">
        <f t="shared" si="550"/>
        <v>0</v>
      </c>
      <c r="U1338" s="256">
        <v>208.333</v>
      </c>
      <c r="V1338" s="170">
        <f t="shared" si="535"/>
        <v>213.20799220000001</v>
      </c>
      <c r="W1338" s="258">
        <v>0.2</v>
      </c>
      <c r="X1338" s="257">
        <v>200</v>
      </c>
      <c r="Y1338" s="170">
        <f t="shared" si="543"/>
        <v>255.84959064</v>
      </c>
      <c r="Z1338" s="170">
        <f t="shared" si="544"/>
        <v>260</v>
      </c>
      <c r="AA1338" s="407">
        <f t="shared" si="539"/>
        <v>0</v>
      </c>
      <c r="AB1338" s="194"/>
    </row>
    <row r="1339" spans="1:28" s="278" customFormat="1" x14ac:dyDescent="0.25">
      <c r="A1339" s="200">
        <v>821101</v>
      </c>
      <c r="B1339" s="313" t="s">
        <v>16115</v>
      </c>
      <c r="C1339" s="248"/>
      <c r="D1339" s="247" t="s">
        <v>11</v>
      </c>
      <c r="E1339" s="249">
        <f t="shared" si="541"/>
        <v>0</v>
      </c>
      <c r="F1339" s="170">
        <f t="shared" si="541"/>
        <v>25</v>
      </c>
      <c r="G1339" s="250">
        <v>0.25</v>
      </c>
      <c r="H1339" s="171">
        <f t="shared" si="545"/>
        <v>0.25</v>
      </c>
      <c r="I1339" s="249">
        <f t="shared" si="542"/>
        <v>0</v>
      </c>
      <c r="J1339" s="170">
        <f t="shared" si="542"/>
        <v>65</v>
      </c>
      <c r="K1339" s="250">
        <v>0.65</v>
      </c>
      <c r="L1339" s="172">
        <f t="shared" si="537"/>
        <v>0.65</v>
      </c>
      <c r="M1339" s="249">
        <f t="shared" si="538"/>
        <v>0</v>
      </c>
      <c r="N1339" s="170">
        <f t="shared" si="546"/>
        <v>10</v>
      </c>
      <c r="O1339" s="250">
        <v>0.1</v>
      </c>
      <c r="P1339" s="172">
        <f t="shared" si="547"/>
        <v>0.1</v>
      </c>
      <c r="Q1339" s="251">
        <f t="shared" si="548"/>
        <v>0</v>
      </c>
      <c r="R1339" s="173">
        <f t="shared" si="549"/>
        <v>0</v>
      </c>
      <c r="S1339" s="251"/>
      <c r="T1339" s="171">
        <f t="shared" si="550"/>
        <v>0</v>
      </c>
      <c r="U1339" s="256"/>
      <c r="V1339" s="170">
        <v>100</v>
      </c>
      <c r="W1339" s="258">
        <v>0.2</v>
      </c>
      <c r="X1339" s="257">
        <f>U1339+U1339*W1339</f>
        <v>0</v>
      </c>
      <c r="Y1339" s="170">
        <f>IF(V1339*(W1339+1)=0,X1339,V1339*(W1339+1))</f>
        <v>120</v>
      </c>
      <c r="Z1339" s="170">
        <f>IF(Y1339=0, 0, IF(Y1339&lt;10, _xlfn.CEILING.MATH(Y1339,1), IF(Y1339&lt;100, _xlfn.CEILING.MATH(Y1339,1),IF(Y1339&lt;1000, _xlfn.CEILING.MATH(Y1339,5), IF(Y1339&lt;10000, _xlfn.CEILING.MATH(Y1339, 25), IF(Y1339&lt;100000, _xlfn.CEILING.MATH(Y1339,250), IF(Y1339&lt;1000000, _xlfn.CEILING.MATH(Y1339,500), 0)))))))</f>
        <v>120</v>
      </c>
      <c r="AA1339" s="407">
        <f t="shared" si="539"/>
        <v>0</v>
      </c>
      <c r="AB1339" s="194"/>
    </row>
    <row r="1340" spans="1:28" s="278" customFormat="1" x14ac:dyDescent="0.25">
      <c r="A1340" s="200">
        <v>821102</v>
      </c>
      <c r="B1340" s="313" t="s">
        <v>18897</v>
      </c>
      <c r="C1340" s="248"/>
      <c r="D1340" s="247" t="s">
        <v>11</v>
      </c>
      <c r="E1340" s="249">
        <f t="shared" si="541"/>
        <v>0</v>
      </c>
      <c r="F1340" s="170">
        <f t="shared" si="541"/>
        <v>31.25</v>
      </c>
      <c r="G1340" s="250">
        <v>0.25</v>
      </c>
      <c r="H1340" s="171">
        <f t="shared" si="545"/>
        <v>0.25</v>
      </c>
      <c r="I1340" s="249">
        <f t="shared" si="542"/>
        <v>0</v>
      </c>
      <c r="J1340" s="170">
        <f t="shared" si="542"/>
        <v>81.25</v>
      </c>
      <c r="K1340" s="250">
        <v>0.65</v>
      </c>
      <c r="L1340" s="172">
        <f t="shared" si="537"/>
        <v>0.65</v>
      </c>
      <c r="M1340" s="249">
        <f t="shared" si="538"/>
        <v>0</v>
      </c>
      <c r="N1340" s="170">
        <f t="shared" si="546"/>
        <v>12.5</v>
      </c>
      <c r="O1340" s="250">
        <v>0.1</v>
      </c>
      <c r="P1340" s="172">
        <f t="shared" si="547"/>
        <v>0.1</v>
      </c>
      <c r="Q1340" s="251">
        <f t="shared" si="548"/>
        <v>0</v>
      </c>
      <c r="R1340" s="173">
        <f t="shared" si="549"/>
        <v>0</v>
      </c>
      <c r="S1340" s="251"/>
      <c r="T1340" s="171">
        <f t="shared" si="550"/>
        <v>0</v>
      </c>
      <c r="U1340" s="256"/>
      <c r="V1340" s="170">
        <v>125</v>
      </c>
      <c r="W1340" s="258">
        <v>0.2</v>
      </c>
      <c r="X1340" s="257">
        <f>U1340+U1340*W1340</f>
        <v>0</v>
      </c>
      <c r="Y1340" s="170">
        <f>IF(V1340*(W1340+1)=0,X1340,V1340*(W1340+1))</f>
        <v>150</v>
      </c>
      <c r="Z1340" s="170">
        <f>IF(Y1340=0, 0, IF(Y1340&lt;10, _xlfn.CEILING.MATH(Y1340,1), IF(Y1340&lt;100, _xlfn.CEILING.MATH(Y1340,1),IF(Y1340&lt;1000, _xlfn.CEILING.MATH(Y1340,1), IF(Y1340&lt;10000, _xlfn.CEILING.MATH(Y1340, 25), IF(Y1340&lt;100000, _xlfn.CEILING.MATH(Y1340,250), IF(Y1340&lt;1000000, _xlfn.CEILING.MATH(Y1340,500), 0)))))))</f>
        <v>150</v>
      </c>
      <c r="AA1340" s="407">
        <f t="shared" si="539"/>
        <v>0</v>
      </c>
      <c r="AB1340" s="194"/>
    </row>
    <row r="1341" spans="1:28" s="278" customFormat="1" x14ac:dyDescent="0.25">
      <c r="A1341" s="195" t="s">
        <v>14825</v>
      </c>
      <c r="B1341" s="317" t="s">
        <v>14826</v>
      </c>
      <c r="C1341" s="241"/>
      <c r="D1341" s="242"/>
      <c r="E1341" s="243"/>
      <c r="F1341" s="244"/>
      <c r="G1341" s="245"/>
      <c r="H1341" s="246"/>
      <c r="I1341" s="243"/>
      <c r="J1341" s="244"/>
      <c r="K1341" s="245"/>
      <c r="L1341" s="246"/>
      <c r="M1341" s="243"/>
      <c r="N1341" s="244"/>
      <c r="O1341" s="245"/>
      <c r="P1341" s="246"/>
      <c r="Q1341" s="243"/>
      <c r="R1341" s="244"/>
      <c r="S1341" s="245"/>
      <c r="T1341" s="246"/>
      <c r="U1341" s="246"/>
      <c r="V1341" s="246"/>
      <c r="W1341" s="246"/>
      <c r="X1341" s="246"/>
      <c r="Y1341" s="244"/>
      <c r="Z1341" s="244"/>
      <c r="AA1341" s="406"/>
      <c r="AB1341" s="194"/>
    </row>
    <row r="1342" spans="1:28" s="278" customFormat="1" x14ac:dyDescent="0.25">
      <c r="A1342" s="200">
        <v>822004</v>
      </c>
      <c r="B1342" s="313" t="s">
        <v>19923</v>
      </c>
      <c r="C1342" s="248"/>
      <c r="D1342" s="247" t="s">
        <v>2</v>
      </c>
      <c r="E1342" s="249">
        <f t="shared" si="541"/>
        <v>0.63636000000000004</v>
      </c>
      <c r="F1342" s="170">
        <f t="shared" si="541"/>
        <v>0.90909090909090906</v>
      </c>
      <c r="G1342" s="250">
        <v>0.1</v>
      </c>
      <c r="H1342" s="171">
        <f t="shared" si="545"/>
        <v>0.1</v>
      </c>
      <c r="I1342" s="249">
        <f t="shared" si="542"/>
        <v>0</v>
      </c>
      <c r="J1342" s="170">
        <f t="shared" si="542"/>
        <v>0</v>
      </c>
      <c r="K1342" s="250"/>
      <c r="L1342" s="172">
        <f t="shared" si="537"/>
        <v>0</v>
      </c>
      <c r="M1342" s="249">
        <f t="shared" si="538"/>
        <v>0</v>
      </c>
      <c r="N1342" s="170">
        <f t="shared" si="546"/>
        <v>0</v>
      </c>
      <c r="O1342" s="250"/>
      <c r="P1342" s="172">
        <f t="shared" si="547"/>
        <v>0</v>
      </c>
      <c r="Q1342" s="251">
        <f t="shared" si="548"/>
        <v>5.7272400000000001</v>
      </c>
      <c r="R1342" s="173">
        <f t="shared" si="549"/>
        <v>8.1818181818181817</v>
      </c>
      <c r="S1342" s="251">
        <v>0.9</v>
      </c>
      <c r="T1342" s="171">
        <f t="shared" si="550"/>
        <v>0.9</v>
      </c>
      <c r="U1342" s="256">
        <v>6.3635999999999999</v>
      </c>
      <c r="V1342" s="170">
        <f>10/1.1</f>
        <v>9.0909090909090899</v>
      </c>
      <c r="W1342" s="258">
        <v>0.1</v>
      </c>
      <c r="X1342" s="257">
        <f t="shared" ref="X1342:X1358" si="551">U1342+U1342*W1342</f>
        <v>6.9999599999999997</v>
      </c>
      <c r="Y1342" s="170">
        <f t="shared" si="543"/>
        <v>10</v>
      </c>
      <c r="Z1342" s="170">
        <f t="shared" si="544"/>
        <v>10</v>
      </c>
      <c r="AA1342" s="407">
        <f t="shared" si="539"/>
        <v>0</v>
      </c>
      <c r="AB1342" s="194"/>
    </row>
    <row r="1343" spans="1:28" s="278" customFormat="1" x14ac:dyDescent="0.25">
      <c r="A1343" s="200">
        <v>822004</v>
      </c>
      <c r="B1343" s="313" t="s">
        <v>19924</v>
      </c>
      <c r="C1343" s="248"/>
      <c r="D1343" s="247" t="s">
        <v>2</v>
      </c>
      <c r="E1343" s="249">
        <f t="shared" si="541"/>
        <v>0.27273000000000003</v>
      </c>
      <c r="F1343" s="170">
        <f t="shared" si="541"/>
        <v>0.45454545454545453</v>
      </c>
      <c r="G1343" s="250">
        <v>0.1</v>
      </c>
      <c r="H1343" s="171">
        <f t="shared" si="545"/>
        <v>0.1</v>
      </c>
      <c r="I1343" s="249">
        <f t="shared" si="542"/>
        <v>0</v>
      </c>
      <c r="J1343" s="170">
        <f t="shared" si="542"/>
        <v>0</v>
      </c>
      <c r="K1343" s="250"/>
      <c r="L1343" s="172">
        <f t="shared" si="537"/>
        <v>0</v>
      </c>
      <c r="M1343" s="249">
        <f t="shared" si="538"/>
        <v>0</v>
      </c>
      <c r="N1343" s="170">
        <f t="shared" si="546"/>
        <v>0</v>
      </c>
      <c r="O1343" s="250"/>
      <c r="P1343" s="172">
        <f t="shared" si="547"/>
        <v>0</v>
      </c>
      <c r="Q1343" s="251">
        <f t="shared" si="548"/>
        <v>2.4545699999999999</v>
      </c>
      <c r="R1343" s="173">
        <f t="shared" si="549"/>
        <v>4.0909090909090908</v>
      </c>
      <c r="S1343" s="251">
        <v>0.9</v>
      </c>
      <c r="T1343" s="171">
        <f t="shared" si="550"/>
        <v>0.9</v>
      </c>
      <c r="U1343" s="256">
        <v>2.7273000000000001</v>
      </c>
      <c r="V1343" s="170">
        <f>5/1.1</f>
        <v>4.545454545454545</v>
      </c>
      <c r="W1343" s="258">
        <v>0.1</v>
      </c>
      <c r="X1343" s="257">
        <f t="shared" si="551"/>
        <v>3.0000300000000002</v>
      </c>
      <c r="Y1343" s="170">
        <f t="shared" si="543"/>
        <v>5</v>
      </c>
      <c r="Z1343" s="170">
        <f t="shared" si="544"/>
        <v>5</v>
      </c>
      <c r="AA1343" s="407">
        <f t="shared" si="539"/>
        <v>0</v>
      </c>
      <c r="AB1343" s="194"/>
    </row>
    <row r="1344" spans="1:28" s="278" customFormat="1" x14ac:dyDescent="0.25">
      <c r="A1344" s="200">
        <v>822006</v>
      </c>
      <c r="B1344" s="313" t="s">
        <v>19925</v>
      </c>
      <c r="C1344" s="248"/>
      <c r="D1344" s="247" t="s">
        <v>2</v>
      </c>
      <c r="E1344" s="249">
        <f t="shared" si="541"/>
        <v>0.72727000000000008</v>
      </c>
      <c r="F1344" s="170">
        <f t="shared" si="541"/>
        <v>1</v>
      </c>
      <c r="G1344" s="250">
        <v>0.1</v>
      </c>
      <c r="H1344" s="171">
        <f t="shared" si="545"/>
        <v>0.1</v>
      </c>
      <c r="I1344" s="249">
        <f t="shared" si="542"/>
        <v>0</v>
      </c>
      <c r="J1344" s="170">
        <f t="shared" si="542"/>
        <v>0</v>
      </c>
      <c r="K1344" s="250"/>
      <c r="L1344" s="172">
        <f t="shared" si="537"/>
        <v>0</v>
      </c>
      <c r="M1344" s="249">
        <f t="shared" si="538"/>
        <v>0</v>
      </c>
      <c r="N1344" s="170">
        <f t="shared" si="546"/>
        <v>0</v>
      </c>
      <c r="O1344" s="250"/>
      <c r="P1344" s="172">
        <f t="shared" si="547"/>
        <v>0</v>
      </c>
      <c r="Q1344" s="251">
        <f t="shared" si="548"/>
        <v>6.5454300000000005</v>
      </c>
      <c r="R1344" s="173">
        <f t="shared" si="549"/>
        <v>9</v>
      </c>
      <c r="S1344" s="251">
        <v>0.9</v>
      </c>
      <c r="T1344" s="171">
        <f t="shared" si="550"/>
        <v>0.9</v>
      </c>
      <c r="U1344" s="256">
        <v>7.2727000000000004</v>
      </c>
      <c r="V1344" s="170">
        <f>11/1.1</f>
        <v>10</v>
      </c>
      <c r="W1344" s="258">
        <v>0.1</v>
      </c>
      <c r="X1344" s="257">
        <f t="shared" si="551"/>
        <v>7.9999700000000002</v>
      </c>
      <c r="Y1344" s="170">
        <f t="shared" si="543"/>
        <v>11</v>
      </c>
      <c r="Z1344" s="170">
        <f t="shared" si="544"/>
        <v>11</v>
      </c>
      <c r="AA1344" s="407">
        <f t="shared" si="539"/>
        <v>0</v>
      </c>
      <c r="AB1344" s="194"/>
    </row>
    <row r="1345" spans="1:28" s="278" customFormat="1" x14ac:dyDescent="0.25">
      <c r="A1345" s="200">
        <v>822006</v>
      </c>
      <c r="B1345" s="313" t="s">
        <v>19926</v>
      </c>
      <c r="C1345" s="248"/>
      <c r="D1345" s="247" t="s">
        <v>2</v>
      </c>
      <c r="E1345" s="249">
        <f t="shared" si="541"/>
        <v>0.31800000000000006</v>
      </c>
      <c r="F1345" s="170">
        <f t="shared" si="541"/>
        <v>0.54545454545454541</v>
      </c>
      <c r="G1345" s="250">
        <v>0.1</v>
      </c>
      <c r="H1345" s="171">
        <f t="shared" si="545"/>
        <v>0.1</v>
      </c>
      <c r="I1345" s="249">
        <f t="shared" si="542"/>
        <v>0</v>
      </c>
      <c r="J1345" s="170">
        <f t="shared" si="542"/>
        <v>0</v>
      </c>
      <c r="K1345" s="250"/>
      <c r="L1345" s="172">
        <f t="shared" si="537"/>
        <v>0</v>
      </c>
      <c r="M1345" s="249">
        <f t="shared" si="538"/>
        <v>0</v>
      </c>
      <c r="N1345" s="170">
        <f t="shared" si="546"/>
        <v>0</v>
      </c>
      <c r="O1345" s="250"/>
      <c r="P1345" s="172">
        <f t="shared" si="547"/>
        <v>0</v>
      </c>
      <c r="Q1345" s="251">
        <f t="shared" si="548"/>
        <v>2.8620000000000001</v>
      </c>
      <c r="R1345" s="173">
        <f t="shared" si="549"/>
        <v>4.9090909090909092</v>
      </c>
      <c r="S1345" s="251">
        <v>0.9</v>
      </c>
      <c r="T1345" s="171">
        <f t="shared" si="550"/>
        <v>0.9</v>
      </c>
      <c r="U1345" s="256">
        <v>3.18</v>
      </c>
      <c r="V1345" s="170">
        <f>6/1.1</f>
        <v>5.4545454545454541</v>
      </c>
      <c r="W1345" s="258">
        <v>0.1</v>
      </c>
      <c r="X1345" s="257">
        <f t="shared" si="551"/>
        <v>3.4980000000000002</v>
      </c>
      <c r="Y1345" s="170">
        <f t="shared" si="543"/>
        <v>6</v>
      </c>
      <c r="Z1345" s="170">
        <f t="shared" si="544"/>
        <v>6</v>
      </c>
      <c r="AA1345" s="407">
        <f t="shared" si="539"/>
        <v>0</v>
      </c>
      <c r="AB1345" s="194"/>
    </row>
    <row r="1346" spans="1:28" s="278" customFormat="1" x14ac:dyDescent="0.25">
      <c r="A1346" s="200">
        <v>822008</v>
      </c>
      <c r="B1346" s="313" t="s">
        <v>19927</v>
      </c>
      <c r="C1346" s="248"/>
      <c r="D1346" s="247" t="s">
        <v>2</v>
      </c>
      <c r="E1346" s="249">
        <f t="shared" si="541"/>
        <v>0.81818000000000013</v>
      </c>
      <c r="F1346" s="170">
        <f t="shared" si="541"/>
        <v>1.0909090909090908</v>
      </c>
      <c r="G1346" s="250">
        <v>0.1</v>
      </c>
      <c r="H1346" s="171">
        <f t="shared" si="545"/>
        <v>0.1</v>
      </c>
      <c r="I1346" s="249">
        <f t="shared" si="542"/>
        <v>0</v>
      </c>
      <c r="J1346" s="170">
        <f t="shared" si="542"/>
        <v>0</v>
      </c>
      <c r="K1346" s="250"/>
      <c r="L1346" s="172">
        <f t="shared" si="537"/>
        <v>0</v>
      </c>
      <c r="M1346" s="249">
        <f t="shared" si="538"/>
        <v>0</v>
      </c>
      <c r="N1346" s="170">
        <f t="shared" si="546"/>
        <v>0</v>
      </c>
      <c r="O1346" s="250"/>
      <c r="P1346" s="172">
        <f t="shared" si="547"/>
        <v>0</v>
      </c>
      <c r="Q1346" s="251">
        <f t="shared" si="548"/>
        <v>7.3636200000000009</v>
      </c>
      <c r="R1346" s="173">
        <f t="shared" si="549"/>
        <v>9.8181818181818183</v>
      </c>
      <c r="S1346" s="251">
        <v>0.9</v>
      </c>
      <c r="T1346" s="171">
        <f t="shared" si="550"/>
        <v>0.9</v>
      </c>
      <c r="U1346" s="256">
        <v>8.1818000000000008</v>
      </c>
      <c r="V1346" s="170">
        <f>12/1.1</f>
        <v>10.909090909090908</v>
      </c>
      <c r="W1346" s="258">
        <v>0.1</v>
      </c>
      <c r="X1346" s="257">
        <f t="shared" si="551"/>
        <v>8.9999800000000008</v>
      </c>
      <c r="Y1346" s="170">
        <f t="shared" si="543"/>
        <v>12</v>
      </c>
      <c r="Z1346" s="170">
        <f t="shared" si="544"/>
        <v>12</v>
      </c>
      <c r="AA1346" s="407">
        <f t="shared" si="539"/>
        <v>0</v>
      </c>
      <c r="AB1346" s="194"/>
    </row>
    <row r="1347" spans="1:28" s="278" customFormat="1" x14ac:dyDescent="0.25">
      <c r="A1347" s="200">
        <v>822008</v>
      </c>
      <c r="B1347" s="313" t="s">
        <v>19928</v>
      </c>
      <c r="C1347" s="248"/>
      <c r="D1347" s="247" t="s">
        <v>2</v>
      </c>
      <c r="E1347" s="249">
        <f t="shared" si="541"/>
        <v>0.36364000000000002</v>
      </c>
      <c r="F1347" s="170">
        <f t="shared" si="541"/>
        <v>0.63636363636363635</v>
      </c>
      <c r="G1347" s="250">
        <v>0.1</v>
      </c>
      <c r="H1347" s="171">
        <f t="shared" si="545"/>
        <v>0.1</v>
      </c>
      <c r="I1347" s="249">
        <f t="shared" si="542"/>
        <v>0</v>
      </c>
      <c r="J1347" s="170">
        <f t="shared" si="542"/>
        <v>0</v>
      </c>
      <c r="K1347" s="250"/>
      <c r="L1347" s="172">
        <f t="shared" si="537"/>
        <v>0</v>
      </c>
      <c r="M1347" s="249">
        <f t="shared" si="538"/>
        <v>0</v>
      </c>
      <c r="N1347" s="170">
        <f t="shared" si="546"/>
        <v>0</v>
      </c>
      <c r="O1347" s="250"/>
      <c r="P1347" s="172">
        <f t="shared" si="547"/>
        <v>0</v>
      </c>
      <c r="Q1347" s="251">
        <f t="shared" si="548"/>
        <v>3.2727600000000003</v>
      </c>
      <c r="R1347" s="173">
        <f t="shared" si="549"/>
        <v>5.7272727272727275</v>
      </c>
      <c r="S1347" s="251">
        <v>0.9</v>
      </c>
      <c r="T1347" s="171">
        <f t="shared" si="550"/>
        <v>0.9</v>
      </c>
      <c r="U1347" s="256">
        <v>3.6364000000000001</v>
      </c>
      <c r="V1347" s="170">
        <f>7/1.1</f>
        <v>6.3636363636363633</v>
      </c>
      <c r="W1347" s="258">
        <v>0.1</v>
      </c>
      <c r="X1347" s="257">
        <f t="shared" si="551"/>
        <v>4.0000400000000003</v>
      </c>
      <c r="Y1347" s="170">
        <f t="shared" si="543"/>
        <v>7</v>
      </c>
      <c r="Z1347" s="170">
        <f t="shared" si="544"/>
        <v>7</v>
      </c>
      <c r="AA1347" s="407">
        <f t="shared" si="539"/>
        <v>0</v>
      </c>
      <c r="AB1347" s="194"/>
    </row>
    <row r="1348" spans="1:28" s="278" customFormat="1" x14ac:dyDescent="0.25">
      <c r="A1348" s="200">
        <v>822010</v>
      </c>
      <c r="B1348" s="313" t="s">
        <v>19929</v>
      </c>
      <c r="C1348" s="248"/>
      <c r="D1348" s="247" t="s">
        <v>11</v>
      </c>
      <c r="E1348" s="249">
        <f t="shared" si="541"/>
        <v>22.727270000000001</v>
      </c>
      <c r="F1348" s="170">
        <f t="shared" si="541"/>
        <v>23.015906329000003</v>
      </c>
      <c r="G1348" s="250">
        <v>0.1</v>
      </c>
      <c r="H1348" s="171">
        <f t="shared" si="545"/>
        <v>0.1</v>
      </c>
      <c r="I1348" s="249">
        <f t="shared" si="542"/>
        <v>0</v>
      </c>
      <c r="J1348" s="170">
        <f t="shared" si="542"/>
        <v>0</v>
      </c>
      <c r="K1348" s="251"/>
      <c r="L1348" s="172">
        <f t="shared" si="537"/>
        <v>0</v>
      </c>
      <c r="M1348" s="249">
        <f t="shared" si="538"/>
        <v>0</v>
      </c>
      <c r="N1348" s="170">
        <f t="shared" si="546"/>
        <v>0</v>
      </c>
      <c r="O1348" s="251"/>
      <c r="P1348" s="172">
        <f t="shared" si="547"/>
        <v>0</v>
      </c>
      <c r="Q1348" s="251">
        <f t="shared" si="548"/>
        <v>204.54542999999998</v>
      </c>
      <c r="R1348" s="173">
        <f t="shared" si="549"/>
        <v>207.14315696100002</v>
      </c>
      <c r="S1348" s="250">
        <v>0.9</v>
      </c>
      <c r="T1348" s="171">
        <f t="shared" si="550"/>
        <v>0.9</v>
      </c>
      <c r="U1348" s="256">
        <v>227.27269999999999</v>
      </c>
      <c r="V1348" s="170">
        <f t="shared" ref="V1348:V1411" si="552">SUM(E1348*1.0235,I1348*1.0175,M1348*1.0245,Q1348*1.0115)</f>
        <v>230.15906329000001</v>
      </c>
      <c r="W1348" s="258">
        <v>0.1</v>
      </c>
      <c r="X1348" s="257">
        <f t="shared" si="551"/>
        <v>249.99996999999999</v>
      </c>
      <c r="Y1348" s="170">
        <f t="shared" si="543"/>
        <v>253.17496961900002</v>
      </c>
      <c r="Z1348" s="170">
        <f t="shared" si="544"/>
        <v>255</v>
      </c>
      <c r="AA1348" s="407">
        <f t="shared" si="539"/>
        <v>0</v>
      </c>
      <c r="AB1348" s="194"/>
    </row>
    <row r="1349" spans="1:28" s="278" customFormat="1" x14ac:dyDescent="0.25">
      <c r="A1349" s="200">
        <v>822010</v>
      </c>
      <c r="B1349" s="313" t="s">
        <v>19930</v>
      </c>
      <c r="C1349" s="248"/>
      <c r="D1349" s="247" t="s">
        <v>11</v>
      </c>
      <c r="E1349" s="249">
        <f t="shared" si="541"/>
        <v>13.63636</v>
      </c>
      <c r="F1349" s="170">
        <f t="shared" si="541"/>
        <v>13.809541772000001</v>
      </c>
      <c r="G1349" s="250">
        <v>0.1</v>
      </c>
      <c r="H1349" s="171">
        <f t="shared" si="545"/>
        <v>0.1</v>
      </c>
      <c r="I1349" s="249">
        <f t="shared" si="542"/>
        <v>0</v>
      </c>
      <c r="J1349" s="170">
        <f t="shared" si="542"/>
        <v>0</v>
      </c>
      <c r="K1349" s="250"/>
      <c r="L1349" s="172">
        <f t="shared" si="537"/>
        <v>0</v>
      </c>
      <c r="M1349" s="249">
        <f t="shared" si="538"/>
        <v>0</v>
      </c>
      <c r="N1349" s="170">
        <f t="shared" si="546"/>
        <v>0</v>
      </c>
      <c r="O1349" s="250"/>
      <c r="P1349" s="172">
        <f t="shared" si="547"/>
        <v>0</v>
      </c>
      <c r="Q1349" s="251">
        <f t="shared" si="548"/>
        <v>122.72723999999999</v>
      </c>
      <c r="R1349" s="173">
        <f t="shared" si="549"/>
        <v>124.285875948</v>
      </c>
      <c r="S1349" s="251">
        <v>0.9</v>
      </c>
      <c r="T1349" s="171">
        <f t="shared" si="550"/>
        <v>0.9</v>
      </c>
      <c r="U1349" s="256">
        <v>136.36359999999999</v>
      </c>
      <c r="V1349" s="170">
        <f t="shared" si="552"/>
        <v>138.09541772</v>
      </c>
      <c r="W1349" s="258">
        <v>0.1</v>
      </c>
      <c r="X1349" s="257">
        <f t="shared" si="551"/>
        <v>149.99995999999999</v>
      </c>
      <c r="Y1349" s="170">
        <f t="shared" si="543"/>
        <v>151.90495949200002</v>
      </c>
      <c r="Z1349" s="170">
        <f t="shared" si="544"/>
        <v>155</v>
      </c>
      <c r="AA1349" s="407">
        <f t="shared" si="539"/>
        <v>0</v>
      </c>
      <c r="AB1349" s="194"/>
    </row>
    <row r="1350" spans="1:28" s="278" customFormat="1" x14ac:dyDescent="0.25">
      <c r="A1350" s="200">
        <v>822018</v>
      </c>
      <c r="B1350" s="313" t="s">
        <v>19931</v>
      </c>
      <c r="C1350" s="248"/>
      <c r="D1350" s="247" t="s">
        <v>2</v>
      </c>
      <c r="E1350" s="249">
        <f t="shared" si="541"/>
        <v>1.8181799999999999</v>
      </c>
      <c r="F1350" s="170">
        <f t="shared" si="541"/>
        <v>2.7272727272727271</v>
      </c>
      <c r="G1350" s="250">
        <v>0.1</v>
      </c>
      <c r="H1350" s="171">
        <f t="shared" si="545"/>
        <v>0.1</v>
      </c>
      <c r="I1350" s="249">
        <f t="shared" si="542"/>
        <v>0</v>
      </c>
      <c r="J1350" s="170">
        <f t="shared" si="542"/>
        <v>0</v>
      </c>
      <c r="K1350" s="250"/>
      <c r="L1350" s="172">
        <f t="shared" si="537"/>
        <v>0</v>
      </c>
      <c r="M1350" s="249">
        <f t="shared" si="538"/>
        <v>0</v>
      </c>
      <c r="N1350" s="170">
        <f t="shared" si="546"/>
        <v>0</v>
      </c>
      <c r="O1350" s="250"/>
      <c r="P1350" s="172">
        <f t="shared" si="547"/>
        <v>0</v>
      </c>
      <c r="Q1350" s="251">
        <f t="shared" si="548"/>
        <v>16.363620000000001</v>
      </c>
      <c r="R1350" s="173">
        <f t="shared" si="549"/>
        <v>24.545454545454543</v>
      </c>
      <c r="S1350" s="251">
        <v>0.9</v>
      </c>
      <c r="T1350" s="171">
        <f t="shared" si="550"/>
        <v>0.9</v>
      </c>
      <c r="U1350" s="256">
        <v>18.181799999999999</v>
      </c>
      <c r="V1350" s="170">
        <f>30/1.1</f>
        <v>27.27272727272727</v>
      </c>
      <c r="W1350" s="258">
        <v>0.1</v>
      </c>
      <c r="X1350" s="257">
        <f t="shared" si="551"/>
        <v>19.999980000000001</v>
      </c>
      <c r="Y1350" s="170">
        <f t="shared" si="543"/>
        <v>30</v>
      </c>
      <c r="Z1350" s="170">
        <f t="shared" si="544"/>
        <v>30</v>
      </c>
      <c r="AA1350" s="407">
        <f t="shared" si="539"/>
        <v>0</v>
      </c>
      <c r="AB1350" s="194"/>
    </row>
    <row r="1351" spans="1:28" s="278" customFormat="1" x14ac:dyDescent="0.25">
      <c r="A1351" s="200">
        <v>822018</v>
      </c>
      <c r="B1351" s="313" t="s">
        <v>19932</v>
      </c>
      <c r="C1351" s="248"/>
      <c r="D1351" s="247" t="s">
        <v>2</v>
      </c>
      <c r="E1351" s="249">
        <f t="shared" si="541"/>
        <v>0.5454500000000001</v>
      </c>
      <c r="F1351" s="170">
        <f t="shared" si="541"/>
        <v>0.55237721500000014</v>
      </c>
      <c r="G1351" s="250">
        <v>0.1</v>
      </c>
      <c r="H1351" s="171">
        <f t="shared" si="545"/>
        <v>0.1</v>
      </c>
      <c r="I1351" s="249">
        <f t="shared" si="542"/>
        <v>0</v>
      </c>
      <c r="J1351" s="170">
        <f t="shared" si="542"/>
        <v>0</v>
      </c>
      <c r="K1351" s="250"/>
      <c r="L1351" s="172">
        <f t="shared" si="537"/>
        <v>0</v>
      </c>
      <c r="M1351" s="249">
        <f t="shared" si="538"/>
        <v>0</v>
      </c>
      <c r="N1351" s="170">
        <f t="shared" si="546"/>
        <v>0</v>
      </c>
      <c r="O1351" s="250"/>
      <c r="P1351" s="172">
        <f t="shared" si="547"/>
        <v>0</v>
      </c>
      <c r="Q1351" s="251">
        <f t="shared" si="548"/>
        <v>4.9090500000000006</v>
      </c>
      <c r="R1351" s="173">
        <f t="shared" si="549"/>
        <v>4.9713949350000011</v>
      </c>
      <c r="S1351" s="251">
        <v>0.9</v>
      </c>
      <c r="T1351" s="171">
        <f t="shared" si="550"/>
        <v>0.9</v>
      </c>
      <c r="U1351" s="256">
        <v>5.4545000000000003</v>
      </c>
      <c r="V1351" s="170">
        <f t="shared" si="552"/>
        <v>5.523772150000001</v>
      </c>
      <c r="W1351" s="258">
        <v>0.1</v>
      </c>
      <c r="X1351" s="257">
        <f t="shared" si="551"/>
        <v>5.9999500000000001</v>
      </c>
      <c r="Y1351" s="170">
        <f t="shared" si="543"/>
        <v>6.0761493650000018</v>
      </c>
      <c r="Z1351" s="170">
        <f t="shared" si="544"/>
        <v>7</v>
      </c>
      <c r="AA1351" s="407">
        <f t="shared" si="539"/>
        <v>0</v>
      </c>
      <c r="AB1351" s="194"/>
    </row>
    <row r="1352" spans="1:28" s="278" customFormat="1" x14ac:dyDescent="0.25">
      <c r="A1352" s="200">
        <v>822020</v>
      </c>
      <c r="B1352" s="313" t="s">
        <v>19933</v>
      </c>
      <c r="C1352" s="248"/>
      <c r="D1352" s="247" t="s">
        <v>11</v>
      </c>
      <c r="E1352" s="249">
        <f t="shared" si="541"/>
        <v>34.090899999999998</v>
      </c>
      <c r="F1352" s="170">
        <f t="shared" si="541"/>
        <v>36.363636363636367</v>
      </c>
      <c r="G1352" s="250">
        <v>0.1</v>
      </c>
      <c r="H1352" s="171">
        <f t="shared" si="545"/>
        <v>0.1</v>
      </c>
      <c r="I1352" s="249">
        <f t="shared" si="542"/>
        <v>0</v>
      </c>
      <c r="J1352" s="170">
        <f t="shared" si="542"/>
        <v>0</v>
      </c>
      <c r="K1352" s="250"/>
      <c r="L1352" s="172">
        <f t="shared" si="537"/>
        <v>0</v>
      </c>
      <c r="M1352" s="249">
        <f t="shared" si="538"/>
        <v>0</v>
      </c>
      <c r="N1352" s="170">
        <f t="shared" si="546"/>
        <v>0</v>
      </c>
      <c r="O1352" s="250"/>
      <c r="P1352" s="172">
        <f t="shared" si="547"/>
        <v>0</v>
      </c>
      <c r="Q1352" s="251">
        <f t="shared" si="548"/>
        <v>306.81810000000002</v>
      </c>
      <c r="R1352" s="173">
        <f t="shared" si="549"/>
        <v>327.27272727272725</v>
      </c>
      <c r="S1352" s="251">
        <v>0.9</v>
      </c>
      <c r="T1352" s="171">
        <f t="shared" si="550"/>
        <v>0.9</v>
      </c>
      <c r="U1352" s="256">
        <v>340.90899999999999</v>
      </c>
      <c r="V1352" s="170">
        <f>400/1.1</f>
        <v>363.63636363636363</v>
      </c>
      <c r="W1352" s="258">
        <v>0.1</v>
      </c>
      <c r="X1352" s="257">
        <f t="shared" si="551"/>
        <v>374.99989999999997</v>
      </c>
      <c r="Y1352" s="170">
        <f t="shared" si="543"/>
        <v>400</v>
      </c>
      <c r="Z1352" s="170">
        <f t="shared" si="544"/>
        <v>400</v>
      </c>
      <c r="AA1352" s="407">
        <f t="shared" si="539"/>
        <v>0</v>
      </c>
      <c r="AB1352" s="194"/>
    </row>
    <row r="1353" spans="1:28" s="278" customFormat="1" x14ac:dyDescent="0.25">
      <c r="A1353" s="200">
        <v>822020</v>
      </c>
      <c r="B1353" s="313" t="s">
        <v>19934</v>
      </c>
      <c r="C1353" s="248"/>
      <c r="D1353" s="247" t="s">
        <v>11</v>
      </c>
      <c r="E1353" s="249">
        <f t="shared" si="541"/>
        <v>18.181819999999998</v>
      </c>
      <c r="F1353" s="170">
        <f t="shared" si="541"/>
        <v>18.412729114000001</v>
      </c>
      <c r="G1353" s="250">
        <v>0.1</v>
      </c>
      <c r="H1353" s="171">
        <f t="shared" si="545"/>
        <v>0.1</v>
      </c>
      <c r="I1353" s="249">
        <f t="shared" si="542"/>
        <v>0</v>
      </c>
      <c r="J1353" s="170">
        <f t="shared" si="542"/>
        <v>0</v>
      </c>
      <c r="K1353" s="250"/>
      <c r="L1353" s="172">
        <f t="shared" si="537"/>
        <v>0</v>
      </c>
      <c r="M1353" s="249">
        <f t="shared" si="538"/>
        <v>0</v>
      </c>
      <c r="N1353" s="170">
        <f t="shared" si="546"/>
        <v>0</v>
      </c>
      <c r="O1353" s="250"/>
      <c r="P1353" s="172">
        <f t="shared" si="547"/>
        <v>0</v>
      </c>
      <c r="Q1353" s="251">
        <f t="shared" si="548"/>
        <v>163.63638</v>
      </c>
      <c r="R1353" s="173">
        <f t="shared" si="549"/>
        <v>165.71456202600001</v>
      </c>
      <c r="S1353" s="251">
        <v>0.9</v>
      </c>
      <c r="T1353" s="171">
        <f t="shared" si="550"/>
        <v>0.9</v>
      </c>
      <c r="U1353" s="256">
        <v>181.81819999999999</v>
      </c>
      <c r="V1353" s="170">
        <f t="shared" si="552"/>
        <v>184.12729114000001</v>
      </c>
      <c r="W1353" s="258">
        <v>0.1</v>
      </c>
      <c r="X1353" s="257">
        <f t="shared" si="551"/>
        <v>200.00001999999998</v>
      </c>
      <c r="Y1353" s="170">
        <f t="shared" si="543"/>
        <v>202.54002025400004</v>
      </c>
      <c r="Z1353" s="170">
        <f t="shared" si="544"/>
        <v>205</v>
      </c>
      <c r="AA1353" s="407">
        <f t="shared" si="539"/>
        <v>0</v>
      </c>
      <c r="AB1353" s="194"/>
    </row>
    <row r="1354" spans="1:28" s="278" customFormat="1" x14ac:dyDescent="0.25">
      <c r="A1354" s="200">
        <v>822025</v>
      </c>
      <c r="B1354" s="255" t="s">
        <v>19935</v>
      </c>
      <c r="C1354" s="248"/>
      <c r="D1354" s="247" t="s">
        <v>2</v>
      </c>
      <c r="E1354" s="249">
        <f t="shared" si="541"/>
        <v>0.1</v>
      </c>
      <c r="F1354" s="170">
        <f t="shared" si="541"/>
        <v>0.10127000000000003</v>
      </c>
      <c r="G1354" s="250">
        <v>0.1</v>
      </c>
      <c r="H1354" s="171">
        <f t="shared" si="545"/>
        <v>0.1</v>
      </c>
      <c r="I1354" s="249">
        <f t="shared" si="542"/>
        <v>0</v>
      </c>
      <c r="J1354" s="170">
        <f t="shared" si="542"/>
        <v>0</v>
      </c>
      <c r="K1354" s="250"/>
      <c r="L1354" s="172">
        <f t="shared" si="537"/>
        <v>0</v>
      </c>
      <c r="M1354" s="249">
        <f t="shared" si="538"/>
        <v>0</v>
      </c>
      <c r="N1354" s="170">
        <f t="shared" si="546"/>
        <v>0</v>
      </c>
      <c r="O1354" s="250"/>
      <c r="P1354" s="172">
        <f t="shared" si="547"/>
        <v>0</v>
      </c>
      <c r="Q1354" s="251">
        <f t="shared" si="548"/>
        <v>0.9</v>
      </c>
      <c r="R1354" s="173">
        <f t="shared" si="549"/>
        <v>0.91143000000000018</v>
      </c>
      <c r="S1354" s="251">
        <v>0.9</v>
      </c>
      <c r="T1354" s="171">
        <f t="shared" si="550"/>
        <v>0.9</v>
      </c>
      <c r="U1354" s="256">
        <v>1</v>
      </c>
      <c r="V1354" s="170">
        <f t="shared" si="552"/>
        <v>1.0127000000000002</v>
      </c>
      <c r="W1354" s="258">
        <v>0.1</v>
      </c>
      <c r="X1354" s="257">
        <f t="shared" si="551"/>
        <v>1.1000000000000001</v>
      </c>
      <c r="Y1354" s="170">
        <f t="shared" si="543"/>
        <v>1.1139700000000003</v>
      </c>
      <c r="Z1354" s="170">
        <f t="shared" si="544"/>
        <v>2</v>
      </c>
      <c r="AA1354" s="407">
        <f t="shared" si="539"/>
        <v>0</v>
      </c>
      <c r="AB1354" s="194"/>
    </row>
    <row r="1355" spans="1:28" s="278" customFormat="1" x14ac:dyDescent="0.25">
      <c r="A1355" s="200">
        <v>822025</v>
      </c>
      <c r="B1355" s="255" t="s">
        <v>19936</v>
      </c>
      <c r="C1355" s="248"/>
      <c r="D1355" s="247" t="s">
        <v>2</v>
      </c>
      <c r="E1355" s="249">
        <f t="shared" si="541"/>
        <v>7.7270000000000005E-2</v>
      </c>
      <c r="F1355" s="170">
        <f t="shared" si="541"/>
        <v>7.8251329000000022E-2</v>
      </c>
      <c r="G1355" s="250">
        <v>0.1</v>
      </c>
      <c r="H1355" s="171">
        <f t="shared" si="545"/>
        <v>0.1</v>
      </c>
      <c r="I1355" s="249">
        <f t="shared" si="542"/>
        <v>0</v>
      </c>
      <c r="J1355" s="170">
        <f t="shared" si="542"/>
        <v>0</v>
      </c>
      <c r="K1355" s="250"/>
      <c r="L1355" s="172">
        <f t="shared" si="537"/>
        <v>0</v>
      </c>
      <c r="M1355" s="249">
        <f t="shared" si="538"/>
        <v>0</v>
      </c>
      <c r="N1355" s="170">
        <f t="shared" si="546"/>
        <v>0</v>
      </c>
      <c r="O1355" s="250"/>
      <c r="P1355" s="172">
        <f t="shared" si="547"/>
        <v>0</v>
      </c>
      <c r="Q1355" s="251">
        <f t="shared" si="548"/>
        <v>0.6954300000000001</v>
      </c>
      <c r="R1355" s="173">
        <f t="shared" si="549"/>
        <v>0.70426196100000016</v>
      </c>
      <c r="S1355" s="251">
        <v>0.9</v>
      </c>
      <c r="T1355" s="171">
        <f t="shared" si="550"/>
        <v>0.9</v>
      </c>
      <c r="U1355" s="256">
        <v>0.77270000000000005</v>
      </c>
      <c r="V1355" s="170">
        <f t="shared" si="552"/>
        <v>0.78251329000000014</v>
      </c>
      <c r="W1355" s="258">
        <v>0.1</v>
      </c>
      <c r="X1355" s="257">
        <f t="shared" si="551"/>
        <v>0.84997000000000011</v>
      </c>
      <c r="Y1355" s="170">
        <f>IF(V1355*(W1355+1)=0,X1355,V1355*(W1355+1))-0.02</f>
        <v>0.84076461900000021</v>
      </c>
      <c r="Z1355" s="170">
        <f>IF(Y1355=0, 0, IF(Y1355&lt;10, _xlfn.CEILING.MATH(Y1355,0.05), IF(Y1355&lt;100, _xlfn.CEILING.MATH(Y1355,1),IF(Y1355&lt;1000, _xlfn.CEILING.MATH(Y1355,5), IF(Y1355&lt;10000, _xlfn.CEILING.MATH(Y1355, 25), IF(Y1355&lt;100000, _xlfn.CEILING.MATH(Y1355,250), IF(Y1355&lt;1000000, _xlfn.CEILING.MATH(Y1355,500), 0)))))))</f>
        <v>0.85000000000000009</v>
      </c>
      <c r="AA1355" s="407">
        <f t="shared" si="539"/>
        <v>0</v>
      </c>
      <c r="AB1355" s="194"/>
    </row>
    <row r="1356" spans="1:28" s="278" customFormat="1" ht="21" x14ac:dyDescent="0.25">
      <c r="A1356" s="200">
        <v>822025</v>
      </c>
      <c r="B1356" s="255" t="s">
        <v>19937</v>
      </c>
      <c r="C1356" s="248"/>
      <c r="D1356" s="247" t="s">
        <v>2</v>
      </c>
      <c r="E1356" s="249">
        <f t="shared" si="541"/>
        <v>4.5450000000000004E-2</v>
      </c>
      <c r="F1356" s="170">
        <f t="shared" si="541"/>
        <v>4.602721500000001E-2</v>
      </c>
      <c r="G1356" s="250">
        <v>0.1</v>
      </c>
      <c r="H1356" s="171">
        <f t="shared" si="545"/>
        <v>0.1</v>
      </c>
      <c r="I1356" s="249">
        <f t="shared" si="542"/>
        <v>0</v>
      </c>
      <c r="J1356" s="170">
        <f t="shared" si="542"/>
        <v>0</v>
      </c>
      <c r="K1356" s="251"/>
      <c r="L1356" s="172">
        <f t="shared" si="537"/>
        <v>0</v>
      </c>
      <c r="M1356" s="249">
        <f t="shared" si="538"/>
        <v>0</v>
      </c>
      <c r="N1356" s="170">
        <f t="shared" si="546"/>
        <v>0</v>
      </c>
      <c r="O1356" s="251"/>
      <c r="P1356" s="172">
        <f t="shared" si="547"/>
        <v>0</v>
      </c>
      <c r="Q1356" s="251">
        <f t="shared" si="548"/>
        <v>0.40905000000000002</v>
      </c>
      <c r="R1356" s="173">
        <f t="shared" si="549"/>
        <v>0.41424493500000004</v>
      </c>
      <c r="S1356" s="250">
        <v>0.9</v>
      </c>
      <c r="T1356" s="171">
        <f t="shared" si="550"/>
        <v>0.9</v>
      </c>
      <c r="U1356" s="256">
        <v>0.45450000000000002</v>
      </c>
      <c r="V1356" s="170">
        <f t="shared" si="552"/>
        <v>0.46027215000000005</v>
      </c>
      <c r="W1356" s="258">
        <v>0.1</v>
      </c>
      <c r="X1356" s="257">
        <f t="shared" si="551"/>
        <v>0.49995000000000001</v>
      </c>
      <c r="Y1356" s="170">
        <f>IF(V1356*(W1356+1)=0,X1356,V1356*(W1356+1))-0.01</f>
        <v>0.49629936500000005</v>
      </c>
      <c r="Z1356" s="170">
        <f>IF(Y1356=0, 0, IF(Y1356&lt;10, _xlfn.CEILING.MATH(Y1356,0.05), IF(Y1356&lt;100, _xlfn.CEILING.MATH(Y1356,1),IF(Y1356&lt;1000, _xlfn.CEILING.MATH(Y1356,5), IF(Y1356&lt;10000, _xlfn.CEILING.MATH(Y1356, 25), IF(Y1356&lt;100000, _xlfn.CEILING.MATH(Y1356,250), IF(Y1356&lt;1000000, _xlfn.CEILING.MATH(Y1356,500), 0)))))))</f>
        <v>0.5</v>
      </c>
      <c r="AA1356" s="407">
        <f t="shared" si="539"/>
        <v>0</v>
      </c>
      <c r="AB1356" s="194"/>
    </row>
    <row r="1357" spans="1:28" s="278" customFormat="1" x14ac:dyDescent="0.25">
      <c r="A1357" s="200">
        <v>822028</v>
      </c>
      <c r="B1357" s="313" t="s">
        <v>19938</v>
      </c>
      <c r="C1357" s="248"/>
      <c r="D1357" s="247" t="s">
        <v>11</v>
      </c>
      <c r="E1357" s="249">
        <f t="shared" si="541"/>
        <v>4.5450000000000008</v>
      </c>
      <c r="F1357" s="170">
        <f t="shared" si="541"/>
        <v>4.6027215000000004</v>
      </c>
      <c r="G1357" s="250">
        <v>0.1</v>
      </c>
      <c r="H1357" s="171">
        <f t="shared" si="545"/>
        <v>0.1</v>
      </c>
      <c r="I1357" s="249">
        <f t="shared" si="542"/>
        <v>0</v>
      </c>
      <c r="J1357" s="170">
        <f t="shared" si="542"/>
        <v>0</v>
      </c>
      <c r="K1357" s="251"/>
      <c r="L1357" s="172">
        <f t="shared" si="537"/>
        <v>0</v>
      </c>
      <c r="M1357" s="249">
        <f t="shared" si="538"/>
        <v>0</v>
      </c>
      <c r="N1357" s="170">
        <f t="shared" si="546"/>
        <v>0</v>
      </c>
      <c r="O1357" s="251"/>
      <c r="P1357" s="172">
        <f t="shared" si="547"/>
        <v>0</v>
      </c>
      <c r="Q1357" s="251">
        <f t="shared" si="548"/>
        <v>40.905000000000001</v>
      </c>
      <c r="R1357" s="173">
        <f t="shared" si="549"/>
        <v>41.424493500000004</v>
      </c>
      <c r="S1357" s="250">
        <v>0.9</v>
      </c>
      <c r="T1357" s="171">
        <f t="shared" si="550"/>
        <v>0.9</v>
      </c>
      <c r="U1357" s="256">
        <v>45.45</v>
      </c>
      <c r="V1357" s="170">
        <f t="shared" si="552"/>
        <v>46.027215000000005</v>
      </c>
      <c r="W1357" s="258">
        <v>0.1</v>
      </c>
      <c r="X1357" s="257">
        <f t="shared" si="551"/>
        <v>49.995000000000005</v>
      </c>
      <c r="Y1357" s="170">
        <f t="shared" si="543"/>
        <v>50.629936500000007</v>
      </c>
      <c r="Z1357" s="170">
        <f t="shared" si="544"/>
        <v>51</v>
      </c>
      <c r="AA1357" s="407">
        <f t="shared" si="539"/>
        <v>0</v>
      </c>
      <c r="AB1357" s="194"/>
    </row>
    <row r="1358" spans="1:28" s="278" customFormat="1" x14ac:dyDescent="0.25">
      <c r="A1358" s="200">
        <v>822028</v>
      </c>
      <c r="B1358" s="313" t="s">
        <v>19939</v>
      </c>
      <c r="C1358" s="248"/>
      <c r="D1358" s="247" t="s">
        <v>11</v>
      </c>
      <c r="E1358" s="249">
        <f t="shared" si="541"/>
        <v>2.7272700000000003</v>
      </c>
      <c r="F1358" s="170">
        <f t="shared" si="541"/>
        <v>2.7619063290000003</v>
      </c>
      <c r="G1358" s="250">
        <v>0.1</v>
      </c>
      <c r="H1358" s="171">
        <f t="shared" si="545"/>
        <v>0.1</v>
      </c>
      <c r="I1358" s="249">
        <f t="shared" si="542"/>
        <v>0</v>
      </c>
      <c r="J1358" s="170">
        <f t="shared" si="542"/>
        <v>0</v>
      </c>
      <c r="K1358" s="251"/>
      <c r="L1358" s="172">
        <f t="shared" si="537"/>
        <v>0</v>
      </c>
      <c r="M1358" s="249">
        <f t="shared" si="538"/>
        <v>0</v>
      </c>
      <c r="N1358" s="170">
        <f t="shared" si="546"/>
        <v>0</v>
      </c>
      <c r="O1358" s="251"/>
      <c r="P1358" s="172">
        <f t="shared" si="547"/>
        <v>0</v>
      </c>
      <c r="Q1358" s="251">
        <f t="shared" si="548"/>
        <v>24.54543</v>
      </c>
      <c r="R1358" s="173">
        <f t="shared" si="549"/>
        <v>24.857156961000001</v>
      </c>
      <c r="S1358" s="250">
        <v>0.9</v>
      </c>
      <c r="T1358" s="171">
        <f t="shared" si="550"/>
        <v>0.9</v>
      </c>
      <c r="U1358" s="256">
        <v>27.2727</v>
      </c>
      <c r="V1358" s="170">
        <f t="shared" si="552"/>
        <v>27.61906329</v>
      </c>
      <c r="W1358" s="258">
        <v>0.1</v>
      </c>
      <c r="X1358" s="257">
        <f t="shared" si="551"/>
        <v>29.999970000000001</v>
      </c>
      <c r="Y1358" s="170">
        <f t="shared" si="543"/>
        <v>30.380969619000002</v>
      </c>
      <c r="Z1358" s="170">
        <f t="shared" si="544"/>
        <v>31</v>
      </c>
      <c r="AA1358" s="407">
        <f t="shared" si="539"/>
        <v>0</v>
      </c>
      <c r="AB1358" s="194"/>
    </row>
    <row r="1359" spans="1:28" s="278" customFormat="1" x14ac:dyDescent="0.25">
      <c r="A1359" s="200">
        <v>822038</v>
      </c>
      <c r="B1359" s="313" t="s">
        <v>16116</v>
      </c>
      <c r="C1359" s="248"/>
      <c r="D1359" s="247" t="s">
        <v>2</v>
      </c>
      <c r="E1359" s="249">
        <f t="shared" si="541"/>
        <v>0</v>
      </c>
      <c r="F1359" s="170">
        <f t="shared" si="541"/>
        <v>2</v>
      </c>
      <c r="G1359" s="250">
        <v>0.1</v>
      </c>
      <c r="H1359" s="171">
        <f>G1359</f>
        <v>0.1</v>
      </c>
      <c r="I1359" s="249">
        <f t="shared" si="542"/>
        <v>0</v>
      </c>
      <c r="J1359" s="170">
        <f t="shared" si="542"/>
        <v>0</v>
      </c>
      <c r="K1359" s="250"/>
      <c r="L1359" s="172">
        <f>K1359</f>
        <v>0</v>
      </c>
      <c r="M1359" s="249">
        <f>U1359*O1359</f>
        <v>0</v>
      </c>
      <c r="N1359" s="170">
        <f>P1359*V1359</f>
        <v>0</v>
      </c>
      <c r="O1359" s="250"/>
      <c r="P1359" s="172">
        <f>O1359</f>
        <v>0</v>
      </c>
      <c r="Q1359" s="251">
        <f>U1359*S1359</f>
        <v>0</v>
      </c>
      <c r="R1359" s="173">
        <f>T1359*V1359</f>
        <v>18</v>
      </c>
      <c r="S1359" s="251">
        <v>0.9</v>
      </c>
      <c r="T1359" s="171">
        <f>S1359</f>
        <v>0.9</v>
      </c>
      <c r="U1359" s="256"/>
      <c r="V1359" s="170">
        <v>20</v>
      </c>
      <c r="W1359" s="258">
        <v>0.1</v>
      </c>
      <c r="X1359" s="257">
        <f>U1359+U1359*W1359</f>
        <v>0</v>
      </c>
      <c r="Y1359" s="170">
        <f>IF(V1359*(W1359+1)=0,X1359,V1359*(W1359+1))</f>
        <v>22</v>
      </c>
      <c r="Z1359" s="170">
        <f>IF(Y1359=0, 0, IF(Y1359&lt;10, _xlfn.CEILING.MATH(Y1359,1), IF(Y1359&lt;100, _xlfn.CEILING.MATH(Y1359,1),IF(Y1359&lt;1000, _xlfn.CEILING.MATH(Y1359,5), IF(Y1359&lt;10000, _xlfn.CEILING.MATH(Y1359, 25), IF(Y1359&lt;100000, _xlfn.CEILING.MATH(Y1359,250), IF(Y1359&lt;1000000, _xlfn.CEILING.MATH(Y1359,500), 0)))))))</f>
        <v>22</v>
      </c>
      <c r="AA1359" s="407">
        <f>C1359*Z1359</f>
        <v>0</v>
      </c>
      <c r="AB1359" s="194"/>
    </row>
    <row r="1360" spans="1:28" s="278" customFormat="1" x14ac:dyDescent="0.25">
      <c r="A1360" s="200">
        <v>822038</v>
      </c>
      <c r="B1360" s="313" t="s">
        <v>16117</v>
      </c>
      <c r="C1360" s="248"/>
      <c r="D1360" s="247" t="s">
        <v>2</v>
      </c>
      <c r="E1360" s="249">
        <f t="shared" si="541"/>
        <v>0</v>
      </c>
      <c r="F1360" s="170">
        <f t="shared" si="541"/>
        <v>1.5</v>
      </c>
      <c r="G1360" s="250">
        <v>0.1</v>
      </c>
      <c r="H1360" s="171">
        <f>G1360</f>
        <v>0.1</v>
      </c>
      <c r="I1360" s="249">
        <f t="shared" si="542"/>
        <v>0</v>
      </c>
      <c r="J1360" s="170">
        <f t="shared" si="542"/>
        <v>0</v>
      </c>
      <c r="K1360" s="250"/>
      <c r="L1360" s="172">
        <f>K1360</f>
        <v>0</v>
      </c>
      <c r="M1360" s="249">
        <f>U1360*O1360</f>
        <v>0</v>
      </c>
      <c r="N1360" s="170">
        <f>P1360*V1360</f>
        <v>0</v>
      </c>
      <c r="O1360" s="250"/>
      <c r="P1360" s="172">
        <f>O1360</f>
        <v>0</v>
      </c>
      <c r="Q1360" s="251">
        <f>U1360*S1360</f>
        <v>0</v>
      </c>
      <c r="R1360" s="173">
        <f>T1360*V1360</f>
        <v>13.5</v>
      </c>
      <c r="S1360" s="251">
        <v>0.9</v>
      </c>
      <c r="T1360" s="171">
        <f>S1360</f>
        <v>0.9</v>
      </c>
      <c r="U1360" s="256"/>
      <c r="V1360" s="170">
        <v>15</v>
      </c>
      <c r="W1360" s="258">
        <v>0.1</v>
      </c>
      <c r="X1360" s="257">
        <f>U1360+U1360*W1360</f>
        <v>0</v>
      </c>
      <c r="Y1360" s="170">
        <f>IF(V1360*(W1360+1)=0,X1360,V1360*(W1360+1))</f>
        <v>16.5</v>
      </c>
      <c r="Z1360" s="170">
        <f>IF(Y1360=0, 0, IF(Y1360&lt;10, _xlfn.CEILING.MATH(Y1360,1), IF(Y1360&lt;100, _xlfn.CEILING.MATH(Y1360,1),IF(Y1360&lt;1000, _xlfn.CEILING.MATH(Y1360,5), IF(Y1360&lt;10000, _xlfn.CEILING.MATH(Y1360, 25), IF(Y1360&lt;100000, _xlfn.CEILING.MATH(Y1360,250), IF(Y1360&lt;1000000, _xlfn.CEILING.MATH(Y1360,500), 0)))))))</f>
        <v>17</v>
      </c>
      <c r="AA1360" s="407">
        <f>C1360*Z1360</f>
        <v>0</v>
      </c>
      <c r="AB1360" s="194"/>
    </row>
    <row r="1361" spans="1:28" s="278" customFormat="1" x14ac:dyDescent="0.25">
      <c r="A1361" s="200">
        <v>822040</v>
      </c>
      <c r="B1361" s="313" t="s">
        <v>16118</v>
      </c>
      <c r="C1361" s="248"/>
      <c r="D1361" s="247" t="s">
        <v>11</v>
      </c>
      <c r="E1361" s="249">
        <f t="shared" si="541"/>
        <v>0</v>
      </c>
      <c r="F1361" s="170">
        <f t="shared" si="541"/>
        <v>62.5</v>
      </c>
      <c r="G1361" s="250">
        <v>0.1</v>
      </c>
      <c r="H1361" s="171">
        <f>G1361</f>
        <v>0.1</v>
      </c>
      <c r="I1361" s="249">
        <f t="shared" si="542"/>
        <v>0</v>
      </c>
      <c r="J1361" s="170">
        <f t="shared" si="542"/>
        <v>0</v>
      </c>
      <c r="K1361" s="250"/>
      <c r="L1361" s="172">
        <f>K1361</f>
        <v>0</v>
      </c>
      <c r="M1361" s="249">
        <f>U1361*O1361</f>
        <v>0</v>
      </c>
      <c r="N1361" s="170">
        <f>P1361*V1361</f>
        <v>0</v>
      </c>
      <c r="O1361" s="250"/>
      <c r="P1361" s="172">
        <f>O1361</f>
        <v>0</v>
      </c>
      <c r="Q1361" s="251">
        <f>U1361*S1361</f>
        <v>0</v>
      </c>
      <c r="R1361" s="173">
        <f>T1361*V1361</f>
        <v>562.5</v>
      </c>
      <c r="S1361" s="251">
        <v>0.9</v>
      </c>
      <c r="T1361" s="171">
        <f>S1361</f>
        <v>0.9</v>
      </c>
      <c r="U1361" s="256"/>
      <c r="V1361" s="170">
        <v>625</v>
      </c>
      <c r="W1361" s="258">
        <v>0.1</v>
      </c>
      <c r="X1361" s="257">
        <f>U1361+U1361*W1361</f>
        <v>0</v>
      </c>
      <c r="Y1361" s="170">
        <f>IF(V1361*(W1361+1)=0,X1361,V1361*(W1361+1))</f>
        <v>687.5</v>
      </c>
      <c r="Z1361" s="170">
        <f>IF(Y1361=0, 0, IF(Y1361&lt;10, _xlfn.CEILING.MATH(Y1361,1), IF(Y1361&lt;100, _xlfn.CEILING.MATH(Y1361,1),IF(Y1361&lt;1000, _xlfn.CEILING.MATH(Y1361,5), IF(Y1361&lt;10000, _xlfn.CEILING.MATH(Y1361, 25), IF(Y1361&lt;100000, _xlfn.CEILING.MATH(Y1361,250), IF(Y1361&lt;1000000, _xlfn.CEILING.MATH(Y1361,500), 0)))))))</f>
        <v>690</v>
      </c>
      <c r="AA1361" s="407">
        <f>C1361*Z1361</f>
        <v>0</v>
      </c>
      <c r="AB1361" s="194"/>
    </row>
    <row r="1362" spans="1:28" s="278" customFormat="1" x14ac:dyDescent="0.25">
      <c r="A1362" s="200">
        <v>822040</v>
      </c>
      <c r="B1362" s="313" t="s">
        <v>16119</v>
      </c>
      <c r="C1362" s="248"/>
      <c r="D1362" s="247" t="s">
        <v>11</v>
      </c>
      <c r="E1362" s="249">
        <f t="shared" si="541"/>
        <v>0</v>
      </c>
      <c r="F1362" s="170">
        <f t="shared" si="541"/>
        <v>47.5</v>
      </c>
      <c r="G1362" s="250">
        <v>0.1</v>
      </c>
      <c r="H1362" s="171">
        <f>G1362</f>
        <v>0.1</v>
      </c>
      <c r="I1362" s="249">
        <f t="shared" si="542"/>
        <v>0</v>
      </c>
      <c r="J1362" s="170">
        <f t="shared" si="542"/>
        <v>0</v>
      </c>
      <c r="K1362" s="250"/>
      <c r="L1362" s="172">
        <f>K1362</f>
        <v>0</v>
      </c>
      <c r="M1362" s="249">
        <f>U1362*O1362</f>
        <v>0</v>
      </c>
      <c r="N1362" s="170">
        <f>P1362*V1362</f>
        <v>0</v>
      </c>
      <c r="O1362" s="250"/>
      <c r="P1362" s="172">
        <f>O1362</f>
        <v>0</v>
      </c>
      <c r="Q1362" s="251">
        <f>U1362*S1362</f>
        <v>0</v>
      </c>
      <c r="R1362" s="173">
        <f>T1362*V1362</f>
        <v>427.5</v>
      </c>
      <c r="S1362" s="251">
        <v>0.9</v>
      </c>
      <c r="T1362" s="171">
        <f>S1362</f>
        <v>0.9</v>
      </c>
      <c r="U1362" s="256"/>
      <c r="V1362" s="170">
        <v>475</v>
      </c>
      <c r="W1362" s="258">
        <v>0.1</v>
      </c>
      <c r="X1362" s="257">
        <f>U1362+U1362*W1362</f>
        <v>0</v>
      </c>
      <c r="Y1362" s="170">
        <f>IF(V1362*(W1362+1)=0,X1362,V1362*(W1362+1))</f>
        <v>522.5</v>
      </c>
      <c r="Z1362" s="170">
        <f>IF(Y1362=0, 0, IF(Y1362&lt;10, _xlfn.CEILING.MATH(Y1362,1), IF(Y1362&lt;100, _xlfn.CEILING.MATH(Y1362,1),IF(Y1362&lt;1000, _xlfn.CEILING.MATH(Y1362,5), IF(Y1362&lt;10000, _xlfn.CEILING.MATH(Y1362, 25), IF(Y1362&lt;100000, _xlfn.CEILING.MATH(Y1362,250), IF(Y1362&lt;1000000, _xlfn.CEILING.MATH(Y1362,500), 0)))))))</f>
        <v>525</v>
      </c>
      <c r="AA1362" s="407">
        <f>C1362*Z1362</f>
        <v>0</v>
      </c>
      <c r="AB1362" s="194"/>
    </row>
    <row r="1363" spans="1:28" s="278" customFormat="1" x14ac:dyDescent="0.25">
      <c r="A1363" s="195" t="s">
        <v>14827</v>
      </c>
      <c r="B1363" s="317" t="s">
        <v>14828</v>
      </c>
      <c r="C1363" s="241"/>
      <c r="D1363" s="242"/>
      <c r="E1363" s="243"/>
      <c r="F1363" s="244"/>
      <c r="G1363" s="245"/>
      <c r="H1363" s="246"/>
      <c r="I1363" s="243"/>
      <c r="J1363" s="244"/>
      <c r="K1363" s="245"/>
      <c r="L1363" s="246"/>
      <c r="M1363" s="243"/>
      <c r="N1363" s="244"/>
      <c r="O1363" s="245"/>
      <c r="P1363" s="246"/>
      <c r="Q1363" s="243"/>
      <c r="R1363" s="244"/>
      <c r="S1363" s="245"/>
      <c r="T1363" s="246"/>
      <c r="U1363" s="246"/>
      <c r="V1363" s="246"/>
      <c r="W1363" s="246"/>
      <c r="X1363" s="246"/>
      <c r="Y1363" s="244"/>
      <c r="Z1363" s="244"/>
      <c r="AA1363" s="406"/>
      <c r="AB1363" s="194"/>
    </row>
    <row r="1364" spans="1:28" s="278" customFormat="1" x14ac:dyDescent="0.25">
      <c r="A1364" s="200">
        <v>827010</v>
      </c>
      <c r="B1364" s="313" t="s">
        <v>19940</v>
      </c>
      <c r="C1364" s="248"/>
      <c r="D1364" s="247" t="s">
        <v>11</v>
      </c>
      <c r="E1364" s="249">
        <f t="shared" si="541"/>
        <v>300</v>
      </c>
      <c r="F1364" s="170">
        <f t="shared" si="541"/>
        <v>306.54000000000002</v>
      </c>
      <c r="G1364" s="250">
        <v>0.6</v>
      </c>
      <c r="H1364" s="171">
        <f t="shared" si="545"/>
        <v>0.6</v>
      </c>
      <c r="I1364" s="249">
        <f t="shared" si="542"/>
        <v>150</v>
      </c>
      <c r="J1364" s="170">
        <f t="shared" si="542"/>
        <v>153.27000000000001</v>
      </c>
      <c r="K1364" s="250">
        <v>0.3</v>
      </c>
      <c r="L1364" s="172">
        <f t="shared" ref="L1364:L1427" si="553">K1364</f>
        <v>0.3</v>
      </c>
      <c r="M1364" s="249">
        <f t="shared" ref="M1364:M1427" si="554">U1364*O1364</f>
        <v>50</v>
      </c>
      <c r="N1364" s="170">
        <f t="shared" si="546"/>
        <v>51.09</v>
      </c>
      <c r="O1364" s="250">
        <v>0.1</v>
      </c>
      <c r="P1364" s="172">
        <f t="shared" si="547"/>
        <v>0.1</v>
      </c>
      <c r="Q1364" s="251">
        <f t="shared" si="548"/>
        <v>0</v>
      </c>
      <c r="R1364" s="173">
        <f t="shared" si="549"/>
        <v>0</v>
      </c>
      <c r="S1364" s="251"/>
      <c r="T1364" s="171">
        <f t="shared" si="550"/>
        <v>0</v>
      </c>
      <c r="U1364" s="256">
        <v>500</v>
      </c>
      <c r="V1364" s="170">
        <f t="shared" si="552"/>
        <v>510.90000000000003</v>
      </c>
      <c r="W1364" s="258">
        <v>0.2</v>
      </c>
      <c r="X1364" s="257">
        <f t="shared" ref="X1364:X1370" si="555">U1364+U1364*W1364</f>
        <v>600</v>
      </c>
      <c r="Y1364" s="170">
        <f t="shared" si="543"/>
        <v>613.08000000000004</v>
      </c>
      <c r="Z1364" s="170">
        <f t="shared" si="544"/>
        <v>615</v>
      </c>
      <c r="AA1364" s="407">
        <f t="shared" si="539"/>
        <v>0</v>
      </c>
      <c r="AB1364" s="194"/>
    </row>
    <row r="1365" spans="1:28" s="278" customFormat="1" x14ac:dyDescent="0.25">
      <c r="A1365" s="200">
        <v>827010</v>
      </c>
      <c r="B1365" s="313" t="s">
        <v>19941</v>
      </c>
      <c r="C1365" s="248"/>
      <c r="D1365" s="247" t="s">
        <v>11</v>
      </c>
      <c r="E1365" s="249">
        <f t="shared" si="541"/>
        <v>400.00002000000001</v>
      </c>
      <c r="F1365" s="170">
        <f t="shared" si="541"/>
        <v>408.72002043599997</v>
      </c>
      <c r="G1365" s="250">
        <v>0.6</v>
      </c>
      <c r="H1365" s="171">
        <f t="shared" si="545"/>
        <v>0.6</v>
      </c>
      <c r="I1365" s="249">
        <f t="shared" si="542"/>
        <v>200.00001</v>
      </c>
      <c r="J1365" s="170">
        <f t="shared" si="542"/>
        <v>204.36001021799999</v>
      </c>
      <c r="K1365" s="250">
        <v>0.3</v>
      </c>
      <c r="L1365" s="172">
        <f t="shared" si="553"/>
        <v>0.3</v>
      </c>
      <c r="M1365" s="249">
        <f t="shared" si="554"/>
        <v>66.666669999999996</v>
      </c>
      <c r="N1365" s="170">
        <f t="shared" si="546"/>
        <v>68.120003406000009</v>
      </c>
      <c r="O1365" s="250">
        <v>0.1</v>
      </c>
      <c r="P1365" s="172">
        <f t="shared" si="547"/>
        <v>0.1</v>
      </c>
      <c r="Q1365" s="251">
        <f t="shared" si="548"/>
        <v>0</v>
      </c>
      <c r="R1365" s="173">
        <f t="shared" si="549"/>
        <v>0</v>
      </c>
      <c r="S1365" s="251"/>
      <c r="T1365" s="171">
        <f t="shared" si="550"/>
        <v>0</v>
      </c>
      <c r="U1365" s="256">
        <v>666.66669999999999</v>
      </c>
      <c r="V1365" s="170">
        <f t="shared" si="552"/>
        <v>681.20003406000001</v>
      </c>
      <c r="W1365" s="258">
        <v>0.2</v>
      </c>
      <c r="X1365" s="257">
        <f t="shared" si="555"/>
        <v>800.00004000000001</v>
      </c>
      <c r="Y1365" s="170">
        <f t="shared" si="543"/>
        <v>817.44004087199994</v>
      </c>
      <c r="Z1365" s="170">
        <f t="shared" si="544"/>
        <v>820</v>
      </c>
      <c r="AA1365" s="407">
        <f t="shared" si="539"/>
        <v>0</v>
      </c>
      <c r="AB1365" s="194"/>
    </row>
    <row r="1366" spans="1:28" s="278" customFormat="1" ht="21" x14ac:dyDescent="0.25">
      <c r="A1366" s="200">
        <v>827020</v>
      </c>
      <c r="B1366" s="261" t="s">
        <v>19942</v>
      </c>
      <c r="C1366" s="248"/>
      <c r="D1366" s="247" t="s">
        <v>11</v>
      </c>
      <c r="E1366" s="249">
        <f t="shared" si="541"/>
        <v>520.83335</v>
      </c>
      <c r="F1366" s="170">
        <f t="shared" si="541"/>
        <v>531.87501702000009</v>
      </c>
      <c r="G1366" s="250">
        <v>0.5</v>
      </c>
      <c r="H1366" s="171">
        <f t="shared" si="545"/>
        <v>0.5</v>
      </c>
      <c r="I1366" s="249">
        <f t="shared" si="542"/>
        <v>416.66668000000004</v>
      </c>
      <c r="J1366" s="170">
        <f t="shared" si="542"/>
        <v>425.5000136160001</v>
      </c>
      <c r="K1366" s="250">
        <v>0.4</v>
      </c>
      <c r="L1366" s="172">
        <f t="shared" si="553"/>
        <v>0.4</v>
      </c>
      <c r="M1366" s="249">
        <f t="shared" si="554"/>
        <v>104.16667000000001</v>
      </c>
      <c r="N1366" s="170">
        <f t="shared" si="546"/>
        <v>106.37500340400003</v>
      </c>
      <c r="O1366" s="250">
        <v>0.1</v>
      </c>
      <c r="P1366" s="172">
        <f t="shared" si="547"/>
        <v>0.1</v>
      </c>
      <c r="Q1366" s="251">
        <f t="shared" si="548"/>
        <v>0</v>
      </c>
      <c r="R1366" s="173">
        <f t="shared" si="549"/>
        <v>0</v>
      </c>
      <c r="S1366" s="251"/>
      <c r="T1366" s="171">
        <f t="shared" si="550"/>
        <v>0</v>
      </c>
      <c r="U1366" s="256">
        <v>1041.6667</v>
      </c>
      <c r="V1366" s="170">
        <f t="shared" si="552"/>
        <v>1063.7500340400002</v>
      </c>
      <c r="W1366" s="258">
        <v>0.2</v>
      </c>
      <c r="X1366" s="257">
        <f t="shared" si="555"/>
        <v>1250.0000399999999</v>
      </c>
      <c r="Y1366" s="170">
        <f t="shared" si="543"/>
        <v>1276.5000408480003</v>
      </c>
      <c r="Z1366" s="170">
        <f t="shared" si="544"/>
        <v>1300</v>
      </c>
      <c r="AA1366" s="407">
        <f t="shared" si="539"/>
        <v>0</v>
      </c>
      <c r="AB1366" s="194"/>
    </row>
    <row r="1367" spans="1:28" s="278" customFormat="1" ht="21" x14ac:dyDescent="0.25">
      <c r="A1367" s="200">
        <v>827020</v>
      </c>
      <c r="B1367" s="255" t="s">
        <v>19943</v>
      </c>
      <c r="C1367" s="248"/>
      <c r="D1367" s="247" t="s">
        <v>11</v>
      </c>
      <c r="E1367" s="249">
        <f t="shared" si="541"/>
        <v>562.5</v>
      </c>
      <c r="F1367" s="170">
        <f t="shared" si="541"/>
        <v>574.42499999999995</v>
      </c>
      <c r="G1367" s="250">
        <v>0.5</v>
      </c>
      <c r="H1367" s="171">
        <f t="shared" si="545"/>
        <v>0.5</v>
      </c>
      <c r="I1367" s="249">
        <f t="shared" si="542"/>
        <v>450</v>
      </c>
      <c r="J1367" s="170">
        <f t="shared" si="542"/>
        <v>459.53999999999996</v>
      </c>
      <c r="K1367" s="250">
        <v>0.4</v>
      </c>
      <c r="L1367" s="172">
        <f t="shared" si="553"/>
        <v>0.4</v>
      </c>
      <c r="M1367" s="249">
        <f t="shared" si="554"/>
        <v>112.5</v>
      </c>
      <c r="N1367" s="170">
        <f t="shared" si="546"/>
        <v>114.88499999999999</v>
      </c>
      <c r="O1367" s="250">
        <v>0.1</v>
      </c>
      <c r="P1367" s="172">
        <f t="shared" si="547"/>
        <v>0.1</v>
      </c>
      <c r="Q1367" s="251">
        <f t="shared" si="548"/>
        <v>0</v>
      </c>
      <c r="R1367" s="173">
        <f t="shared" si="549"/>
        <v>0</v>
      </c>
      <c r="S1367" s="251"/>
      <c r="T1367" s="171">
        <f t="shared" si="550"/>
        <v>0</v>
      </c>
      <c r="U1367" s="256">
        <v>1125</v>
      </c>
      <c r="V1367" s="170">
        <f t="shared" si="552"/>
        <v>1148.8499999999999</v>
      </c>
      <c r="W1367" s="258">
        <v>0.2</v>
      </c>
      <c r="X1367" s="257">
        <f t="shared" si="555"/>
        <v>1350</v>
      </c>
      <c r="Y1367" s="170">
        <f t="shared" si="543"/>
        <v>1378.62</v>
      </c>
      <c r="Z1367" s="170">
        <f t="shared" si="544"/>
        <v>1400</v>
      </c>
      <c r="AA1367" s="407">
        <f t="shared" si="539"/>
        <v>0</v>
      </c>
      <c r="AB1367" s="194"/>
    </row>
    <row r="1368" spans="1:28" s="278" customFormat="1" x14ac:dyDescent="0.25">
      <c r="A1368" s="200">
        <v>827040</v>
      </c>
      <c r="B1368" s="313" t="s">
        <v>14829</v>
      </c>
      <c r="C1368" s="248"/>
      <c r="D1368" s="247" t="s">
        <v>11</v>
      </c>
      <c r="E1368" s="249">
        <f t="shared" si="541"/>
        <v>200</v>
      </c>
      <c r="F1368" s="170">
        <f t="shared" si="541"/>
        <v>204.74</v>
      </c>
      <c r="G1368" s="250">
        <v>0.8</v>
      </c>
      <c r="H1368" s="171">
        <f t="shared" si="545"/>
        <v>0.8</v>
      </c>
      <c r="I1368" s="249">
        <f t="shared" si="542"/>
        <v>0</v>
      </c>
      <c r="J1368" s="170">
        <f t="shared" si="542"/>
        <v>0</v>
      </c>
      <c r="K1368" s="250"/>
      <c r="L1368" s="172">
        <f t="shared" si="553"/>
        <v>0</v>
      </c>
      <c r="M1368" s="249">
        <f t="shared" si="554"/>
        <v>50</v>
      </c>
      <c r="N1368" s="170">
        <f t="shared" si="546"/>
        <v>51.185000000000002</v>
      </c>
      <c r="O1368" s="250">
        <v>0.2</v>
      </c>
      <c r="P1368" s="172">
        <f t="shared" si="547"/>
        <v>0.2</v>
      </c>
      <c r="Q1368" s="251">
        <f t="shared" si="548"/>
        <v>0</v>
      </c>
      <c r="R1368" s="173">
        <f t="shared" si="549"/>
        <v>0</v>
      </c>
      <c r="S1368" s="250"/>
      <c r="T1368" s="171">
        <f t="shared" si="550"/>
        <v>0</v>
      </c>
      <c r="U1368" s="256">
        <v>250</v>
      </c>
      <c r="V1368" s="170">
        <f t="shared" si="552"/>
        <v>255.92500000000001</v>
      </c>
      <c r="W1368" s="258">
        <v>0.2</v>
      </c>
      <c r="X1368" s="257">
        <f t="shared" si="555"/>
        <v>300</v>
      </c>
      <c r="Y1368" s="170">
        <f t="shared" si="543"/>
        <v>307.11</v>
      </c>
      <c r="Z1368" s="170">
        <f t="shared" si="544"/>
        <v>310</v>
      </c>
      <c r="AA1368" s="407">
        <f t="shared" si="539"/>
        <v>0</v>
      </c>
      <c r="AB1368" s="194"/>
    </row>
    <row r="1369" spans="1:28" s="278" customFormat="1" ht="14.4" thickBot="1" x14ac:dyDescent="0.3">
      <c r="A1369" s="263">
        <v>827050</v>
      </c>
      <c r="B1369" s="321" t="s">
        <v>14830</v>
      </c>
      <c r="C1369" s="265"/>
      <c r="D1369" s="264" t="s">
        <v>11</v>
      </c>
      <c r="E1369" s="266">
        <f t="shared" si="541"/>
        <v>100.00001999999999</v>
      </c>
      <c r="F1369" s="174">
        <f t="shared" si="541"/>
        <v>102.18002043599999</v>
      </c>
      <c r="G1369" s="267">
        <v>0.6</v>
      </c>
      <c r="H1369" s="268">
        <f t="shared" si="545"/>
        <v>0.6</v>
      </c>
      <c r="I1369" s="266">
        <f t="shared" si="542"/>
        <v>50.000009999999996</v>
      </c>
      <c r="J1369" s="174">
        <f t="shared" si="542"/>
        <v>51.090010217999996</v>
      </c>
      <c r="K1369" s="267">
        <v>0.3</v>
      </c>
      <c r="L1369" s="269">
        <f t="shared" si="553"/>
        <v>0.3</v>
      </c>
      <c r="M1369" s="266">
        <f t="shared" si="554"/>
        <v>16.66667</v>
      </c>
      <c r="N1369" s="174">
        <f t="shared" si="546"/>
        <v>17.030003406000002</v>
      </c>
      <c r="O1369" s="267">
        <v>0.1</v>
      </c>
      <c r="P1369" s="269">
        <f t="shared" si="547"/>
        <v>0.1</v>
      </c>
      <c r="Q1369" s="270">
        <f t="shared" si="548"/>
        <v>0</v>
      </c>
      <c r="R1369" s="271">
        <f t="shared" si="549"/>
        <v>0</v>
      </c>
      <c r="S1369" s="267"/>
      <c r="T1369" s="268">
        <f t="shared" si="550"/>
        <v>0</v>
      </c>
      <c r="U1369" s="409">
        <v>166.66669999999999</v>
      </c>
      <c r="V1369" s="174">
        <f t="shared" si="552"/>
        <v>170.30003406</v>
      </c>
      <c r="W1369" s="322">
        <v>0.2</v>
      </c>
      <c r="X1369" s="274">
        <f t="shared" si="555"/>
        <v>200.00003999999998</v>
      </c>
      <c r="Y1369" s="174">
        <f t="shared" si="543"/>
        <v>204.36004087199998</v>
      </c>
      <c r="Z1369" s="174">
        <f t="shared" si="544"/>
        <v>205</v>
      </c>
      <c r="AA1369" s="410">
        <f t="shared" si="539"/>
        <v>0</v>
      </c>
      <c r="AB1369" s="194"/>
    </row>
    <row r="1370" spans="1:28" s="278" customFormat="1" x14ac:dyDescent="0.25">
      <c r="A1370" s="426">
        <v>827060</v>
      </c>
      <c r="B1370" s="427" t="s">
        <v>14831</v>
      </c>
      <c r="C1370" s="428"/>
      <c r="D1370" s="429" t="s">
        <v>11</v>
      </c>
      <c r="E1370" s="423">
        <f t="shared" si="541"/>
        <v>125.00002499999999</v>
      </c>
      <c r="F1370" s="430">
        <f t="shared" si="541"/>
        <v>127.96877559375001</v>
      </c>
      <c r="G1370" s="431">
        <v>0.75</v>
      </c>
      <c r="H1370" s="432">
        <f t="shared" si="545"/>
        <v>0.75</v>
      </c>
      <c r="I1370" s="423">
        <f t="shared" si="542"/>
        <v>0</v>
      </c>
      <c r="J1370" s="430">
        <f t="shared" si="542"/>
        <v>0</v>
      </c>
      <c r="K1370" s="425"/>
      <c r="L1370" s="433">
        <f t="shared" si="553"/>
        <v>0</v>
      </c>
      <c r="M1370" s="423">
        <f t="shared" si="554"/>
        <v>41.666674999999998</v>
      </c>
      <c r="N1370" s="430">
        <f t="shared" si="546"/>
        <v>42.656258531250003</v>
      </c>
      <c r="O1370" s="431">
        <v>0.25</v>
      </c>
      <c r="P1370" s="433">
        <f t="shared" si="547"/>
        <v>0.25</v>
      </c>
      <c r="Q1370" s="425">
        <f t="shared" si="548"/>
        <v>0</v>
      </c>
      <c r="R1370" s="434">
        <f t="shared" si="549"/>
        <v>0</v>
      </c>
      <c r="S1370" s="425"/>
      <c r="T1370" s="432">
        <f t="shared" si="550"/>
        <v>0</v>
      </c>
      <c r="U1370" s="435">
        <v>166.66669999999999</v>
      </c>
      <c r="V1370" s="430">
        <f t="shared" si="552"/>
        <v>170.62503412500001</v>
      </c>
      <c r="W1370" s="424">
        <v>0.2</v>
      </c>
      <c r="X1370" s="436">
        <f t="shared" si="555"/>
        <v>200.00003999999998</v>
      </c>
      <c r="Y1370" s="430">
        <f t="shared" si="543"/>
        <v>204.75004095</v>
      </c>
      <c r="Z1370" s="430">
        <f t="shared" si="544"/>
        <v>205</v>
      </c>
      <c r="AA1370" s="437">
        <f t="shared" si="539"/>
        <v>0</v>
      </c>
      <c r="AB1370" s="194"/>
    </row>
    <row r="1371" spans="1:28" s="278" customFormat="1" x14ac:dyDescent="0.25">
      <c r="A1371" s="195" t="s">
        <v>14832</v>
      </c>
      <c r="B1371" s="317" t="s">
        <v>14833</v>
      </c>
      <c r="C1371" s="241"/>
      <c r="D1371" s="242"/>
      <c r="E1371" s="243"/>
      <c r="F1371" s="244"/>
      <c r="G1371" s="245"/>
      <c r="H1371" s="246"/>
      <c r="I1371" s="243"/>
      <c r="J1371" s="244"/>
      <c r="K1371" s="245"/>
      <c r="L1371" s="246"/>
      <c r="M1371" s="243"/>
      <c r="N1371" s="244"/>
      <c r="O1371" s="245"/>
      <c r="P1371" s="246"/>
      <c r="Q1371" s="243"/>
      <c r="R1371" s="244"/>
      <c r="S1371" s="245"/>
      <c r="T1371" s="246"/>
      <c r="U1371" s="246"/>
      <c r="V1371" s="246"/>
      <c r="W1371" s="246"/>
      <c r="X1371" s="246"/>
      <c r="Y1371" s="244"/>
      <c r="Z1371" s="244"/>
      <c r="AA1371" s="406"/>
      <c r="AB1371" s="194"/>
    </row>
    <row r="1372" spans="1:28" s="278" customFormat="1" ht="21" x14ac:dyDescent="0.25">
      <c r="A1372" s="200">
        <v>830025</v>
      </c>
      <c r="B1372" s="255" t="s">
        <v>19944</v>
      </c>
      <c r="C1372" s="248"/>
      <c r="D1372" s="247" t="s">
        <v>11</v>
      </c>
      <c r="E1372" s="249">
        <f t="shared" si="541"/>
        <v>63.636360000000003</v>
      </c>
      <c r="F1372" s="170">
        <f t="shared" si="541"/>
        <v>64.444541772000008</v>
      </c>
      <c r="G1372" s="250">
        <v>0.1</v>
      </c>
      <c r="H1372" s="171">
        <f t="shared" si="545"/>
        <v>0.1</v>
      </c>
      <c r="I1372" s="249">
        <f t="shared" si="542"/>
        <v>0</v>
      </c>
      <c r="J1372" s="170">
        <f t="shared" si="542"/>
        <v>0</v>
      </c>
      <c r="K1372" s="251"/>
      <c r="L1372" s="172">
        <f t="shared" si="553"/>
        <v>0</v>
      </c>
      <c r="M1372" s="249">
        <f t="shared" si="554"/>
        <v>0</v>
      </c>
      <c r="N1372" s="170">
        <f t="shared" si="546"/>
        <v>0</v>
      </c>
      <c r="O1372" s="251"/>
      <c r="P1372" s="172">
        <f t="shared" si="547"/>
        <v>0</v>
      </c>
      <c r="Q1372" s="251">
        <f t="shared" si="548"/>
        <v>572.72724000000005</v>
      </c>
      <c r="R1372" s="173">
        <f t="shared" si="549"/>
        <v>580.00087594800004</v>
      </c>
      <c r="S1372" s="250">
        <v>0.9</v>
      </c>
      <c r="T1372" s="171">
        <f t="shared" si="550"/>
        <v>0.9</v>
      </c>
      <c r="U1372" s="256">
        <v>636.36360000000002</v>
      </c>
      <c r="V1372" s="170">
        <f t="shared" si="552"/>
        <v>644.44541772000002</v>
      </c>
      <c r="W1372" s="258">
        <v>0.1</v>
      </c>
      <c r="X1372" s="257">
        <f>U1372+U1372*W1372</f>
        <v>699.99995999999999</v>
      </c>
      <c r="Y1372" s="170">
        <f t="shared" si="543"/>
        <v>708.88995949200012</v>
      </c>
      <c r="Z1372" s="170">
        <f t="shared" si="544"/>
        <v>710</v>
      </c>
      <c r="AA1372" s="407">
        <f t="shared" si="539"/>
        <v>0</v>
      </c>
      <c r="AB1372" s="194"/>
    </row>
    <row r="1373" spans="1:28" s="278" customFormat="1" x14ac:dyDescent="0.25">
      <c r="A1373" s="200">
        <v>830025</v>
      </c>
      <c r="B1373" s="255" t="s">
        <v>19945</v>
      </c>
      <c r="C1373" s="248"/>
      <c r="D1373" s="247" t="s">
        <v>11</v>
      </c>
      <c r="E1373" s="249">
        <f t="shared" si="541"/>
        <v>45.454550000000005</v>
      </c>
      <c r="F1373" s="170">
        <f t="shared" si="541"/>
        <v>46.03182278500001</v>
      </c>
      <c r="G1373" s="250">
        <v>0.1</v>
      </c>
      <c r="H1373" s="171">
        <f t="shared" si="545"/>
        <v>0.1</v>
      </c>
      <c r="I1373" s="249">
        <f t="shared" si="542"/>
        <v>0</v>
      </c>
      <c r="J1373" s="170">
        <f t="shared" si="542"/>
        <v>0</v>
      </c>
      <c r="K1373" s="251"/>
      <c r="L1373" s="172">
        <f t="shared" si="553"/>
        <v>0</v>
      </c>
      <c r="M1373" s="249">
        <f t="shared" si="554"/>
        <v>0</v>
      </c>
      <c r="N1373" s="170">
        <f t="shared" si="546"/>
        <v>0</v>
      </c>
      <c r="O1373" s="251"/>
      <c r="P1373" s="172">
        <f t="shared" si="547"/>
        <v>0</v>
      </c>
      <c r="Q1373" s="251">
        <f t="shared" si="548"/>
        <v>409.09095000000002</v>
      </c>
      <c r="R1373" s="173">
        <f t="shared" si="549"/>
        <v>414.28640506500011</v>
      </c>
      <c r="S1373" s="250">
        <v>0.9</v>
      </c>
      <c r="T1373" s="171">
        <f t="shared" si="550"/>
        <v>0.9</v>
      </c>
      <c r="U1373" s="256">
        <v>454.5455</v>
      </c>
      <c r="V1373" s="170">
        <f t="shared" si="552"/>
        <v>460.31822785000008</v>
      </c>
      <c r="W1373" s="258">
        <v>0.1</v>
      </c>
      <c r="X1373" s="257">
        <f>U1373+U1373*W1373</f>
        <v>500.00004999999999</v>
      </c>
      <c r="Y1373" s="170">
        <f t="shared" si="543"/>
        <v>506.35005063500012</v>
      </c>
      <c r="Z1373" s="170">
        <f t="shared" si="544"/>
        <v>510</v>
      </c>
      <c r="AA1373" s="407">
        <f t="shared" si="539"/>
        <v>0</v>
      </c>
      <c r="AB1373" s="194"/>
    </row>
    <row r="1374" spans="1:28" s="278" customFormat="1" x14ac:dyDescent="0.25">
      <c r="A1374" s="200">
        <v>830040</v>
      </c>
      <c r="B1374" s="255" t="s">
        <v>19946</v>
      </c>
      <c r="C1374" s="248"/>
      <c r="D1374" s="247" t="s">
        <v>11</v>
      </c>
      <c r="E1374" s="249">
        <f t="shared" si="541"/>
        <v>227.27273000000002</v>
      </c>
      <c r="F1374" s="170">
        <f t="shared" si="541"/>
        <v>230.15909367100005</v>
      </c>
      <c r="G1374" s="250">
        <v>0.1</v>
      </c>
      <c r="H1374" s="171">
        <f t="shared" si="545"/>
        <v>0.1</v>
      </c>
      <c r="I1374" s="249">
        <f t="shared" si="542"/>
        <v>0</v>
      </c>
      <c r="J1374" s="170">
        <f t="shared" si="542"/>
        <v>0</v>
      </c>
      <c r="K1374" s="250"/>
      <c r="L1374" s="172">
        <f t="shared" si="553"/>
        <v>0</v>
      </c>
      <c r="M1374" s="249">
        <f t="shared" si="554"/>
        <v>0</v>
      </c>
      <c r="N1374" s="170">
        <f t="shared" si="546"/>
        <v>0</v>
      </c>
      <c r="O1374" s="250"/>
      <c r="P1374" s="172">
        <f t="shared" si="547"/>
        <v>0</v>
      </c>
      <c r="Q1374" s="251">
        <f t="shared" si="548"/>
        <v>2045.4545700000001</v>
      </c>
      <c r="R1374" s="173">
        <f t="shared" si="549"/>
        <v>2071.4318430390003</v>
      </c>
      <c r="S1374" s="251">
        <v>0.9</v>
      </c>
      <c r="T1374" s="171">
        <f t="shared" si="550"/>
        <v>0.9</v>
      </c>
      <c r="U1374" s="256">
        <v>2272.7273</v>
      </c>
      <c r="V1374" s="170">
        <f t="shared" si="552"/>
        <v>2301.5909367100003</v>
      </c>
      <c r="W1374" s="258">
        <v>0.1</v>
      </c>
      <c r="X1374" s="257">
        <f>U1374+U1374*W1374</f>
        <v>2500.0000300000002</v>
      </c>
      <c r="Y1374" s="170">
        <f t="shared" si="543"/>
        <v>2531.7500303810007</v>
      </c>
      <c r="Z1374" s="170">
        <f t="shared" si="544"/>
        <v>2550</v>
      </c>
      <c r="AA1374" s="407">
        <f t="shared" ref="AA1374:AA1434" si="556">C1374*Z1374</f>
        <v>0</v>
      </c>
      <c r="AB1374" s="194"/>
    </row>
    <row r="1375" spans="1:28" s="278" customFormat="1" ht="21" x14ac:dyDescent="0.25">
      <c r="A1375" s="200">
        <v>830040</v>
      </c>
      <c r="B1375" s="255" t="s">
        <v>19947</v>
      </c>
      <c r="C1375" s="248"/>
      <c r="D1375" s="247" t="s">
        <v>11</v>
      </c>
      <c r="E1375" s="249">
        <f t="shared" si="541"/>
        <v>190.90908999999999</v>
      </c>
      <c r="F1375" s="170">
        <f t="shared" si="541"/>
        <v>193.33363544300002</v>
      </c>
      <c r="G1375" s="250">
        <v>0.1</v>
      </c>
      <c r="H1375" s="171">
        <f t="shared" si="545"/>
        <v>0.1</v>
      </c>
      <c r="I1375" s="249">
        <f t="shared" si="542"/>
        <v>0</v>
      </c>
      <c r="J1375" s="170">
        <f t="shared" si="542"/>
        <v>0</v>
      </c>
      <c r="K1375" s="250"/>
      <c r="L1375" s="172">
        <f t="shared" si="553"/>
        <v>0</v>
      </c>
      <c r="M1375" s="249">
        <f t="shared" si="554"/>
        <v>0</v>
      </c>
      <c r="N1375" s="170">
        <f t="shared" si="546"/>
        <v>0</v>
      </c>
      <c r="O1375" s="250"/>
      <c r="P1375" s="172">
        <f t="shared" si="547"/>
        <v>0</v>
      </c>
      <c r="Q1375" s="251">
        <f t="shared" si="548"/>
        <v>1718.18181</v>
      </c>
      <c r="R1375" s="173">
        <f t="shared" si="549"/>
        <v>1740.002718987</v>
      </c>
      <c r="S1375" s="251">
        <v>0.9</v>
      </c>
      <c r="T1375" s="171">
        <f t="shared" si="550"/>
        <v>0.9</v>
      </c>
      <c r="U1375" s="256">
        <v>1909.0908999999999</v>
      </c>
      <c r="V1375" s="170">
        <f t="shared" si="552"/>
        <v>1933.33635443</v>
      </c>
      <c r="W1375" s="258">
        <v>0.1</v>
      </c>
      <c r="X1375" s="257">
        <f>U1375+U1375*W1375</f>
        <v>2099.9999899999998</v>
      </c>
      <c r="Y1375" s="170">
        <f t="shared" si="543"/>
        <v>2126.6699898730003</v>
      </c>
      <c r="Z1375" s="170">
        <f t="shared" si="544"/>
        <v>2150</v>
      </c>
      <c r="AA1375" s="407">
        <f t="shared" si="556"/>
        <v>0</v>
      </c>
      <c r="AB1375" s="194"/>
    </row>
    <row r="1376" spans="1:28" s="278" customFormat="1" ht="21" x14ac:dyDescent="0.25">
      <c r="A1376" s="200">
        <v>830040</v>
      </c>
      <c r="B1376" s="255" t="s">
        <v>19948</v>
      </c>
      <c r="C1376" s="248"/>
      <c r="D1376" s="247" t="s">
        <v>11</v>
      </c>
      <c r="E1376" s="249">
        <f t="shared" si="541"/>
        <v>136.36364</v>
      </c>
      <c r="F1376" s="170">
        <f t="shared" si="541"/>
        <v>138.09545822800004</v>
      </c>
      <c r="G1376" s="250">
        <v>0.1</v>
      </c>
      <c r="H1376" s="171">
        <f t="shared" si="545"/>
        <v>0.1</v>
      </c>
      <c r="I1376" s="249">
        <f t="shared" si="542"/>
        <v>0</v>
      </c>
      <c r="J1376" s="170">
        <f t="shared" si="542"/>
        <v>0</v>
      </c>
      <c r="K1376" s="250"/>
      <c r="L1376" s="172">
        <f t="shared" si="553"/>
        <v>0</v>
      </c>
      <c r="M1376" s="249">
        <f t="shared" si="554"/>
        <v>0</v>
      </c>
      <c r="N1376" s="170">
        <f t="shared" si="546"/>
        <v>0</v>
      </c>
      <c r="O1376" s="250"/>
      <c r="P1376" s="172">
        <f t="shared" si="547"/>
        <v>0</v>
      </c>
      <c r="Q1376" s="251">
        <f t="shared" si="548"/>
        <v>1227.2727600000001</v>
      </c>
      <c r="R1376" s="173">
        <f t="shared" si="549"/>
        <v>1242.8591240520002</v>
      </c>
      <c r="S1376" s="251">
        <v>0.9</v>
      </c>
      <c r="T1376" s="171">
        <f t="shared" si="550"/>
        <v>0.9</v>
      </c>
      <c r="U1376" s="256">
        <v>1363.6364000000001</v>
      </c>
      <c r="V1376" s="170">
        <f t="shared" si="552"/>
        <v>1380.9545822800003</v>
      </c>
      <c r="W1376" s="258">
        <v>0.1</v>
      </c>
      <c r="X1376" s="257">
        <f>U1376+U1376*W1376</f>
        <v>1500.0000400000001</v>
      </c>
      <c r="Y1376" s="170">
        <f t="shared" si="543"/>
        <v>1519.0500405080004</v>
      </c>
      <c r="Z1376" s="170">
        <f t="shared" si="544"/>
        <v>1525</v>
      </c>
      <c r="AA1376" s="407">
        <f t="shared" si="556"/>
        <v>0</v>
      </c>
      <c r="AB1376" s="194"/>
    </row>
    <row r="1377" spans="1:28" s="278" customFormat="1" ht="21" x14ac:dyDescent="0.25">
      <c r="A1377" s="200">
        <v>830040</v>
      </c>
      <c r="B1377" s="255" t="s">
        <v>19949</v>
      </c>
      <c r="C1377" s="248"/>
      <c r="D1377" s="247" t="s">
        <v>11</v>
      </c>
      <c r="E1377" s="249">
        <f t="shared" si="541"/>
        <v>136.36364</v>
      </c>
      <c r="F1377" s="170">
        <f t="shared" si="541"/>
        <v>122.726</v>
      </c>
      <c r="G1377" s="250">
        <v>0.1</v>
      </c>
      <c r="H1377" s="171">
        <f t="shared" si="545"/>
        <v>0.1</v>
      </c>
      <c r="I1377" s="249">
        <f t="shared" si="542"/>
        <v>0</v>
      </c>
      <c r="J1377" s="170">
        <f t="shared" si="542"/>
        <v>0</v>
      </c>
      <c r="K1377" s="250"/>
      <c r="L1377" s="172">
        <f t="shared" si="553"/>
        <v>0</v>
      </c>
      <c r="M1377" s="249">
        <f t="shared" si="554"/>
        <v>0</v>
      </c>
      <c r="N1377" s="170">
        <f t="shared" si="546"/>
        <v>0</v>
      </c>
      <c r="O1377" s="250"/>
      <c r="P1377" s="172">
        <f t="shared" si="547"/>
        <v>0</v>
      </c>
      <c r="Q1377" s="251">
        <f t="shared" si="548"/>
        <v>1227.2727600000001</v>
      </c>
      <c r="R1377" s="173">
        <f t="shared" si="549"/>
        <v>1104.5340000000001</v>
      </c>
      <c r="S1377" s="251">
        <v>0.9</v>
      </c>
      <c r="T1377" s="171">
        <f t="shared" si="550"/>
        <v>0.9</v>
      </c>
      <c r="U1377" s="256">
        <v>1363.6364000000001</v>
      </c>
      <c r="V1377" s="170">
        <v>1227.26</v>
      </c>
      <c r="W1377" s="258">
        <v>0.1</v>
      </c>
      <c r="X1377" s="257">
        <v>550</v>
      </c>
      <c r="Y1377" s="170">
        <f t="shared" si="543"/>
        <v>1349.9860000000001</v>
      </c>
      <c r="Z1377" s="170">
        <f t="shared" si="544"/>
        <v>1350</v>
      </c>
      <c r="AA1377" s="407">
        <f t="shared" si="556"/>
        <v>0</v>
      </c>
      <c r="AB1377" s="194"/>
    </row>
    <row r="1378" spans="1:28" s="278" customFormat="1" x14ac:dyDescent="0.25">
      <c r="A1378" s="200">
        <v>830050</v>
      </c>
      <c r="B1378" s="313" t="s">
        <v>14834</v>
      </c>
      <c r="C1378" s="248"/>
      <c r="D1378" s="247" t="s">
        <v>11</v>
      </c>
      <c r="E1378" s="249">
        <f t="shared" si="541"/>
        <v>272.72727000000003</v>
      </c>
      <c r="F1378" s="170">
        <f t="shared" si="541"/>
        <v>276.19090632900009</v>
      </c>
      <c r="G1378" s="250">
        <v>0.1</v>
      </c>
      <c r="H1378" s="171">
        <f t="shared" si="545"/>
        <v>0.1</v>
      </c>
      <c r="I1378" s="249">
        <f t="shared" si="542"/>
        <v>0</v>
      </c>
      <c r="J1378" s="170">
        <f t="shared" si="542"/>
        <v>0</v>
      </c>
      <c r="K1378" s="251"/>
      <c r="L1378" s="172">
        <f t="shared" si="553"/>
        <v>0</v>
      </c>
      <c r="M1378" s="249">
        <f t="shared" si="554"/>
        <v>0</v>
      </c>
      <c r="N1378" s="170">
        <f t="shared" si="546"/>
        <v>0</v>
      </c>
      <c r="O1378" s="251"/>
      <c r="P1378" s="172">
        <f t="shared" si="547"/>
        <v>0</v>
      </c>
      <c r="Q1378" s="251">
        <f t="shared" si="548"/>
        <v>2454.5454300000001</v>
      </c>
      <c r="R1378" s="173">
        <f t="shared" si="549"/>
        <v>2485.7181569610007</v>
      </c>
      <c r="S1378" s="250">
        <v>0.9</v>
      </c>
      <c r="T1378" s="171">
        <f t="shared" si="550"/>
        <v>0.9</v>
      </c>
      <c r="U1378" s="256">
        <v>2727.2727</v>
      </c>
      <c r="V1378" s="170">
        <f t="shared" si="552"/>
        <v>2761.9090632900006</v>
      </c>
      <c r="W1378" s="258">
        <v>0.1</v>
      </c>
      <c r="X1378" s="257">
        <f t="shared" ref="X1378:X1388" si="557">U1378+U1378*W1378</f>
        <v>2999.9999699999998</v>
      </c>
      <c r="Y1378" s="170">
        <f t="shared" si="543"/>
        <v>3038.0999696190011</v>
      </c>
      <c r="Z1378" s="170">
        <f t="shared" si="544"/>
        <v>3050</v>
      </c>
      <c r="AA1378" s="407">
        <f t="shared" si="556"/>
        <v>0</v>
      </c>
      <c r="AB1378" s="194"/>
    </row>
    <row r="1379" spans="1:28" s="278" customFormat="1" x14ac:dyDescent="0.25">
      <c r="A1379" s="200">
        <v>830050</v>
      </c>
      <c r="B1379" s="313" t="s">
        <v>14835</v>
      </c>
      <c r="C1379" s="248"/>
      <c r="D1379" s="247" t="s">
        <v>11</v>
      </c>
      <c r="E1379" s="249">
        <f t="shared" si="541"/>
        <v>250</v>
      </c>
      <c r="F1379" s="170">
        <f t="shared" si="541"/>
        <v>253.17500000000001</v>
      </c>
      <c r="G1379" s="250">
        <v>0.1</v>
      </c>
      <c r="H1379" s="171">
        <f t="shared" si="545"/>
        <v>0.1</v>
      </c>
      <c r="I1379" s="249">
        <f t="shared" si="542"/>
        <v>0</v>
      </c>
      <c r="J1379" s="170">
        <f t="shared" si="542"/>
        <v>0</v>
      </c>
      <c r="K1379" s="251"/>
      <c r="L1379" s="172">
        <f t="shared" si="553"/>
        <v>0</v>
      </c>
      <c r="M1379" s="249">
        <f t="shared" si="554"/>
        <v>0</v>
      </c>
      <c r="N1379" s="170">
        <f t="shared" si="546"/>
        <v>0</v>
      </c>
      <c r="O1379" s="251"/>
      <c r="P1379" s="172">
        <f t="shared" si="547"/>
        <v>0</v>
      </c>
      <c r="Q1379" s="251">
        <f t="shared" si="548"/>
        <v>2250</v>
      </c>
      <c r="R1379" s="173">
        <f t="shared" si="549"/>
        <v>2278.5750000000003</v>
      </c>
      <c r="S1379" s="250">
        <v>0.9</v>
      </c>
      <c r="T1379" s="171">
        <f t="shared" si="550"/>
        <v>0.9</v>
      </c>
      <c r="U1379" s="256">
        <v>2500</v>
      </c>
      <c r="V1379" s="170">
        <f t="shared" si="552"/>
        <v>2531.75</v>
      </c>
      <c r="W1379" s="258">
        <v>0.1</v>
      </c>
      <c r="X1379" s="257">
        <f t="shared" si="557"/>
        <v>2750</v>
      </c>
      <c r="Y1379" s="170">
        <f t="shared" si="543"/>
        <v>2784.9250000000002</v>
      </c>
      <c r="Z1379" s="170">
        <f t="shared" si="544"/>
        <v>2800</v>
      </c>
      <c r="AA1379" s="407">
        <f t="shared" si="556"/>
        <v>0</v>
      </c>
      <c r="AB1379" s="194"/>
    </row>
    <row r="1380" spans="1:28" s="278" customFormat="1" x14ac:dyDescent="0.25">
      <c r="A1380" s="200">
        <v>830050</v>
      </c>
      <c r="B1380" s="313" t="s">
        <v>14836</v>
      </c>
      <c r="C1380" s="248"/>
      <c r="D1380" s="247" t="s">
        <v>11</v>
      </c>
      <c r="E1380" s="249">
        <f t="shared" si="541"/>
        <v>181.81818000000001</v>
      </c>
      <c r="F1380" s="170">
        <f t="shared" si="541"/>
        <v>184.12727088600002</v>
      </c>
      <c r="G1380" s="250">
        <v>0.1</v>
      </c>
      <c r="H1380" s="171">
        <f t="shared" si="545"/>
        <v>0.1</v>
      </c>
      <c r="I1380" s="249">
        <f t="shared" si="542"/>
        <v>0</v>
      </c>
      <c r="J1380" s="170">
        <f t="shared" si="542"/>
        <v>0</v>
      </c>
      <c r="K1380" s="251"/>
      <c r="L1380" s="172">
        <f t="shared" si="553"/>
        <v>0</v>
      </c>
      <c r="M1380" s="249">
        <f t="shared" si="554"/>
        <v>0</v>
      </c>
      <c r="N1380" s="170">
        <f t="shared" si="546"/>
        <v>0</v>
      </c>
      <c r="O1380" s="251"/>
      <c r="P1380" s="172">
        <f t="shared" si="547"/>
        <v>0</v>
      </c>
      <c r="Q1380" s="251">
        <f t="shared" si="548"/>
        <v>1636.3636200000001</v>
      </c>
      <c r="R1380" s="173">
        <f t="shared" si="549"/>
        <v>1657.1454379740003</v>
      </c>
      <c r="S1380" s="250">
        <v>0.9</v>
      </c>
      <c r="T1380" s="171">
        <f t="shared" si="550"/>
        <v>0.9</v>
      </c>
      <c r="U1380" s="256">
        <v>1818.1818000000001</v>
      </c>
      <c r="V1380" s="170">
        <f t="shared" si="552"/>
        <v>1841.2727088600002</v>
      </c>
      <c r="W1380" s="258">
        <v>0.1</v>
      </c>
      <c r="X1380" s="257">
        <f t="shared" si="557"/>
        <v>1999.9999800000001</v>
      </c>
      <c r="Y1380" s="170">
        <f t="shared" si="543"/>
        <v>2025.3999797460003</v>
      </c>
      <c r="Z1380" s="170">
        <f t="shared" si="544"/>
        <v>2050</v>
      </c>
      <c r="AA1380" s="407">
        <f t="shared" si="556"/>
        <v>0</v>
      </c>
      <c r="AB1380" s="194"/>
    </row>
    <row r="1381" spans="1:28" s="278" customFormat="1" x14ac:dyDescent="0.25">
      <c r="A1381" s="200">
        <v>830540</v>
      </c>
      <c r="B1381" s="313" t="s">
        <v>19950</v>
      </c>
      <c r="C1381" s="248"/>
      <c r="D1381" s="247" t="s">
        <v>11</v>
      </c>
      <c r="E1381" s="249">
        <f t="shared" si="541"/>
        <v>59.090910000000001</v>
      </c>
      <c r="F1381" s="170">
        <f t="shared" si="541"/>
        <v>59.841364557000013</v>
      </c>
      <c r="G1381" s="250">
        <v>0.1</v>
      </c>
      <c r="H1381" s="171">
        <f t="shared" si="545"/>
        <v>0.1</v>
      </c>
      <c r="I1381" s="249">
        <f t="shared" si="542"/>
        <v>0</v>
      </c>
      <c r="J1381" s="170">
        <f t="shared" si="542"/>
        <v>0</v>
      </c>
      <c r="K1381" s="251"/>
      <c r="L1381" s="172">
        <f t="shared" si="553"/>
        <v>0</v>
      </c>
      <c r="M1381" s="249">
        <f t="shared" si="554"/>
        <v>0</v>
      </c>
      <c r="N1381" s="170">
        <f t="shared" si="546"/>
        <v>0</v>
      </c>
      <c r="O1381" s="251"/>
      <c r="P1381" s="172">
        <f t="shared" si="547"/>
        <v>0</v>
      </c>
      <c r="Q1381" s="251">
        <f t="shared" si="548"/>
        <v>531.81818999999996</v>
      </c>
      <c r="R1381" s="173">
        <f t="shared" si="549"/>
        <v>538.57228101300007</v>
      </c>
      <c r="S1381" s="250">
        <v>0.9</v>
      </c>
      <c r="T1381" s="171">
        <f t="shared" si="550"/>
        <v>0.9</v>
      </c>
      <c r="U1381" s="256">
        <v>590.90909999999997</v>
      </c>
      <c r="V1381" s="170">
        <f t="shared" si="552"/>
        <v>598.41364557000009</v>
      </c>
      <c r="W1381" s="258">
        <v>0.1</v>
      </c>
      <c r="X1381" s="257">
        <f t="shared" si="557"/>
        <v>650.00000999999997</v>
      </c>
      <c r="Y1381" s="170">
        <f t="shared" si="543"/>
        <v>658.25501012700011</v>
      </c>
      <c r="Z1381" s="170">
        <f t="shared" si="544"/>
        <v>660</v>
      </c>
      <c r="AA1381" s="407">
        <f t="shared" si="556"/>
        <v>0</v>
      </c>
      <c r="AB1381" s="194"/>
    </row>
    <row r="1382" spans="1:28" s="278" customFormat="1" x14ac:dyDescent="0.25">
      <c r="A1382" s="200">
        <v>830540</v>
      </c>
      <c r="B1382" s="313" t="s">
        <v>19951</v>
      </c>
      <c r="C1382" s="248"/>
      <c r="D1382" s="247" t="s">
        <v>11</v>
      </c>
      <c r="E1382" s="249">
        <f t="shared" si="541"/>
        <v>36.363639999999997</v>
      </c>
      <c r="F1382" s="170">
        <f t="shared" si="541"/>
        <v>36.825458228000002</v>
      </c>
      <c r="G1382" s="250">
        <v>0.1</v>
      </c>
      <c r="H1382" s="171">
        <f t="shared" si="545"/>
        <v>0.1</v>
      </c>
      <c r="I1382" s="249">
        <f t="shared" si="542"/>
        <v>0</v>
      </c>
      <c r="J1382" s="170">
        <f t="shared" si="542"/>
        <v>0</v>
      </c>
      <c r="K1382" s="250"/>
      <c r="L1382" s="172">
        <f t="shared" si="553"/>
        <v>0</v>
      </c>
      <c r="M1382" s="249">
        <f t="shared" si="554"/>
        <v>0</v>
      </c>
      <c r="N1382" s="170">
        <f t="shared" si="546"/>
        <v>0</v>
      </c>
      <c r="O1382" s="250"/>
      <c r="P1382" s="172">
        <f t="shared" si="547"/>
        <v>0</v>
      </c>
      <c r="Q1382" s="251">
        <f t="shared" si="548"/>
        <v>327.27276000000001</v>
      </c>
      <c r="R1382" s="173">
        <f t="shared" si="549"/>
        <v>331.42912405200002</v>
      </c>
      <c r="S1382" s="250">
        <v>0.9</v>
      </c>
      <c r="T1382" s="171">
        <f t="shared" si="550"/>
        <v>0.9</v>
      </c>
      <c r="U1382" s="256">
        <v>363.63639999999998</v>
      </c>
      <c r="V1382" s="170">
        <f t="shared" si="552"/>
        <v>368.25458228000002</v>
      </c>
      <c r="W1382" s="258">
        <v>0.1</v>
      </c>
      <c r="X1382" s="257">
        <f t="shared" si="557"/>
        <v>400.00003999999996</v>
      </c>
      <c r="Y1382" s="170">
        <f t="shared" si="543"/>
        <v>405.08004050800008</v>
      </c>
      <c r="Z1382" s="170">
        <f t="shared" si="544"/>
        <v>410</v>
      </c>
      <c r="AA1382" s="407">
        <f t="shared" si="556"/>
        <v>0</v>
      </c>
      <c r="AB1382" s="194"/>
    </row>
    <row r="1383" spans="1:28" s="278" customFormat="1" x14ac:dyDescent="0.25">
      <c r="A1383" s="200">
        <v>830550</v>
      </c>
      <c r="B1383" s="313" t="s">
        <v>19952</v>
      </c>
      <c r="C1383" s="248"/>
      <c r="D1383" s="247" t="s">
        <v>11</v>
      </c>
      <c r="E1383" s="249">
        <f t="shared" si="541"/>
        <v>54.54545000000001</v>
      </c>
      <c r="F1383" s="170">
        <f t="shared" si="541"/>
        <v>55.238177215000007</v>
      </c>
      <c r="G1383" s="250">
        <v>0.1</v>
      </c>
      <c r="H1383" s="171">
        <f t="shared" si="545"/>
        <v>0.1</v>
      </c>
      <c r="I1383" s="249">
        <f t="shared" si="542"/>
        <v>0</v>
      </c>
      <c r="J1383" s="170">
        <f t="shared" si="542"/>
        <v>0</v>
      </c>
      <c r="K1383" s="251"/>
      <c r="L1383" s="172">
        <f t="shared" si="553"/>
        <v>0</v>
      </c>
      <c r="M1383" s="249">
        <f t="shared" si="554"/>
        <v>0</v>
      </c>
      <c r="N1383" s="170">
        <f t="shared" si="546"/>
        <v>0</v>
      </c>
      <c r="O1383" s="251"/>
      <c r="P1383" s="172">
        <f t="shared" si="547"/>
        <v>0</v>
      </c>
      <c r="Q1383" s="251">
        <f t="shared" si="548"/>
        <v>490.90905000000004</v>
      </c>
      <c r="R1383" s="173">
        <f t="shared" si="549"/>
        <v>497.14359493500007</v>
      </c>
      <c r="S1383" s="250">
        <v>0.9</v>
      </c>
      <c r="T1383" s="171">
        <f t="shared" si="550"/>
        <v>0.9</v>
      </c>
      <c r="U1383" s="256">
        <v>545.45450000000005</v>
      </c>
      <c r="V1383" s="170">
        <f t="shared" si="552"/>
        <v>552.38177215000007</v>
      </c>
      <c r="W1383" s="258">
        <v>0.1</v>
      </c>
      <c r="X1383" s="257">
        <f t="shared" si="557"/>
        <v>599.99995000000001</v>
      </c>
      <c r="Y1383" s="170">
        <f t="shared" si="543"/>
        <v>607.61994936500014</v>
      </c>
      <c r="Z1383" s="170">
        <f t="shared" si="544"/>
        <v>610</v>
      </c>
      <c r="AA1383" s="407">
        <f t="shared" si="556"/>
        <v>0</v>
      </c>
      <c r="AB1383" s="194"/>
    </row>
    <row r="1384" spans="1:28" s="278" customFormat="1" x14ac:dyDescent="0.25">
      <c r="A1384" s="200">
        <v>830550</v>
      </c>
      <c r="B1384" s="313" t="s">
        <v>19953</v>
      </c>
      <c r="C1384" s="248"/>
      <c r="D1384" s="247" t="s">
        <v>11</v>
      </c>
      <c r="E1384" s="249">
        <f t="shared" si="541"/>
        <v>40.909089999999999</v>
      </c>
      <c r="F1384" s="170">
        <f t="shared" si="541"/>
        <v>41.428635442999997</v>
      </c>
      <c r="G1384" s="250">
        <v>0.1</v>
      </c>
      <c r="H1384" s="171">
        <f t="shared" si="545"/>
        <v>0.1</v>
      </c>
      <c r="I1384" s="249">
        <f t="shared" si="542"/>
        <v>0</v>
      </c>
      <c r="J1384" s="170">
        <f t="shared" si="542"/>
        <v>0</v>
      </c>
      <c r="K1384" s="251"/>
      <c r="L1384" s="172">
        <f t="shared" si="553"/>
        <v>0</v>
      </c>
      <c r="M1384" s="249">
        <f t="shared" si="554"/>
        <v>0</v>
      </c>
      <c r="N1384" s="170">
        <f t="shared" si="546"/>
        <v>0</v>
      </c>
      <c r="O1384" s="251"/>
      <c r="P1384" s="172">
        <f t="shared" si="547"/>
        <v>0</v>
      </c>
      <c r="Q1384" s="251">
        <f t="shared" si="548"/>
        <v>368.18180999999998</v>
      </c>
      <c r="R1384" s="173">
        <f t="shared" si="549"/>
        <v>372.857718987</v>
      </c>
      <c r="S1384" s="250">
        <v>0.9</v>
      </c>
      <c r="T1384" s="171">
        <f t="shared" si="550"/>
        <v>0.9</v>
      </c>
      <c r="U1384" s="256">
        <v>409.09089999999998</v>
      </c>
      <c r="V1384" s="170">
        <f t="shared" si="552"/>
        <v>414.28635442999996</v>
      </c>
      <c r="W1384" s="258">
        <v>0.1</v>
      </c>
      <c r="X1384" s="257">
        <f t="shared" si="557"/>
        <v>449.99998999999997</v>
      </c>
      <c r="Y1384" s="170">
        <f t="shared" si="543"/>
        <v>455.71498987299998</v>
      </c>
      <c r="Z1384" s="170">
        <f t="shared" si="544"/>
        <v>460</v>
      </c>
      <c r="AA1384" s="407">
        <f t="shared" si="556"/>
        <v>0</v>
      </c>
      <c r="AB1384" s="194"/>
    </row>
    <row r="1385" spans="1:28" s="278" customFormat="1" x14ac:dyDescent="0.25">
      <c r="A1385" s="200">
        <v>830550</v>
      </c>
      <c r="B1385" s="313" t="s">
        <v>19954</v>
      </c>
      <c r="C1385" s="248"/>
      <c r="D1385" s="247" t="s">
        <v>11</v>
      </c>
      <c r="E1385" s="249">
        <f t="shared" si="541"/>
        <v>25</v>
      </c>
      <c r="F1385" s="170">
        <f t="shared" si="541"/>
        <v>25.317500000000003</v>
      </c>
      <c r="G1385" s="250">
        <v>0.1</v>
      </c>
      <c r="H1385" s="171">
        <f t="shared" si="545"/>
        <v>0.1</v>
      </c>
      <c r="I1385" s="249">
        <f t="shared" si="542"/>
        <v>0</v>
      </c>
      <c r="J1385" s="170">
        <f t="shared" si="542"/>
        <v>0</v>
      </c>
      <c r="K1385" s="251"/>
      <c r="L1385" s="172">
        <f t="shared" si="553"/>
        <v>0</v>
      </c>
      <c r="M1385" s="249">
        <f t="shared" si="554"/>
        <v>0</v>
      </c>
      <c r="N1385" s="170">
        <f t="shared" si="546"/>
        <v>0</v>
      </c>
      <c r="O1385" s="251"/>
      <c r="P1385" s="172">
        <f t="shared" si="547"/>
        <v>0</v>
      </c>
      <c r="Q1385" s="251">
        <f t="shared" si="548"/>
        <v>225</v>
      </c>
      <c r="R1385" s="173">
        <f t="shared" si="549"/>
        <v>227.85750000000002</v>
      </c>
      <c r="S1385" s="250">
        <v>0.9</v>
      </c>
      <c r="T1385" s="171">
        <f t="shared" si="550"/>
        <v>0.9</v>
      </c>
      <c r="U1385" s="256">
        <v>250</v>
      </c>
      <c r="V1385" s="170">
        <f t="shared" si="552"/>
        <v>253.17500000000001</v>
      </c>
      <c r="W1385" s="258">
        <v>0.1</v>
      </c>
      <c r="X1385" s="257">
        <f t="shared" si="557"/>
        <v>275</v>
      </c>
      <c r="Y1385" s="170">
        <f t="shared" si="543"/>
        <v>278.49250000000001</v>
      </c>
      <c r="Z1385" s="170">
        <f t="shared" si="544"/>
        <v>280</v>
      </c>
      <c r="AA1385" s="407">
        <f t="shared" si="556"/>
        <v>0</v>
      </c>
      <c r="AB1385" s="194"/>
    </row>
    <row r="1386" spans="1:28" s="278" customFormat="1" x14ac:dyDescent="0.25">
      <c r="A1386" s="200">
        <v>830560</v>
      </c>
      <c r="B1386" s="313" t="s">
        <v>19955</v>
      </c>
      <c r="C1386" s="248"/>
      <c r="D1386" s="247" t="s">
        <v>11</v>
      </c>
      <c r="E1386" s="249">
        <f t="shared" ref="E1386:F1447" si="558">U1386*G1386</f>
        <v>190.90908999999999</v>
      </c>
      <c r="F1386" s="170">
        <f t="shared" si="558"/>
        <v>193.33363544300002</v>
      </c>
      <c r="G1386" s="250">
        <v>0.1</v>
      </c>
      <c r="H1386" s="171">
        <f t="shared" si="545"/>
        <v>0.1</v>
      </c>
      <c r="I1386" s="249">
        <f t="shared" ref="I1386:J1447" si="559">U1386*K1386</f>
        <v>0</v>
      </c>
      <c r="J1386" s="170">
        <f t="shared" si="559"/>
        <v>0</v>
      </c>
      <c r="K1386" s="251"/>
      <c r="L1386" s="172">
        <f t="shared" si="553"/>
        <v>0</v>
      </c>
      <c r="M1386" s="249">
        <f t="shared" si="554"/>
        <v>0</v>
      </c>
      <c r="N1386" s="170">
        <f t="shared" si="546"/>
        <v>0</v>
      </c>
      <c r="O1386" s="251"/>
      <c r="P1386" s="172">
        <f t="shared" si="547"/>
        <v>0</v>
      </c>
      <c r="Q1386" s="251">
        <f t="shared" si="548"/>
        <v>1718.18181</v>
      </c>
      <c r="R1386" s="173">
        <f t="shared" si="549"/>
        <v>1740.002718987</v>
      </c>
      <c r="S1386" s="250">
        <v>0.9</v>
      </c>
      <c r="T1386" s="171">
        <f t="shared" si="550"/>
        <v>0.9</v>
      </c>
      <c r="U1386" s="256">
        <v>1909.0908999999999</v>
      </c>
      <c r="V1386" s="170">
        <f t="shared" si="552"/>
        <v>1933.33635443</v>
      </c>
      <c r="W1386" s="258">
        <v>0.1</v>
      </c>
      <c r="X1386" s="257">
        <f t="shared" si="557"/>
        <v>2099.9999899999998</v>
      </c>
      <c r="Y1386" s="170">
        <f t="shared" si="543"/>
        <v>2126.6699898730003</v>
      </c>
      <c r="Z1386" s="170">
        <f t="shared" si="544"/>
        <v>2150</v>
      </c>
      <c r="AA1386" s="407">
        <f t="shared" si="556"/>
        <v>0</v>
      </c>
      <c r="AB1386" s="194"/>
    </row>
    <row r="1387" spans="1:28" s="278" customFormat="1" x14ac:dyDescent="0.25">
      <c r="A1387" s="200">
        <v>830560</v>
      </c>
      <c r="B1387" s="313" t="s">
        <v>19956</v>
      </c>
      <c r="C1387" s="248"/>
      <c r="D1387" s="247" t="s">
        <v>11</v>
      </c>
      <c r="E1387" s="249">
        <f t="shared" si="558"/>
        <v>172.72727</v>
      </c>
      <c r="F1387" s="170">
        <f t="shared" si="558"/>
        <v>174.92090632900002</v>
      </c>
      <c r="G1387" s="250">
        <v>0.1</v>
      </c>
      <c r="H1387" s="171">
        <f t="shared" si="545"/>
        <v>0.1</v>
      </c>
      <c r="I1387" s="249">
        <f t="shared" si="559"/>
        <v>0</v>
      </c>
      <c r="J1387" s="170">
        <f t="shared" si="559"/>
        <v>0</v>
      </c>
      <c r="K1387" s="251"/>
      <c r="L1387" s="172">
        <f t="shared" si="553"/>
        <v>0</v>
      </c>
      <c r="M1387" s="249">
        <f t="shared" si="554"/>
        <v>0</v>
      </c>
      <c r="N1387" s="170">
        <f t="shared" si="546"/>
        <v>0</v>
      </c>
      <c r="O1387" s="251"/>
      <c r="P1387" s="172">
        <f t="shared" si="547"/>
        <v>0</v>
      </c>
      <c r="Q1387" s="251">
        <f t="shared" si="548"/>
        <v>1554.5454300000001</v>
      </c>
      <c r="R1387" s="173">
        <f t="shared" si="549"/>
        <v>1574.2881569610001</v>
      </c>
      <c r="S1387" s="250">
        <v>0.9</v>
      </c>
      <c r="T1387" s="171">
        <f t="shared" si="550"/>
        <v>0.9</v>
      </c>
      <c r="U1387" s="256">
        <v>1727.2727</v>
      </c>
      <c r="V1387" s="170">
        <f t="shared" si="552"/>
        <v>1749.2090632900001</v>
      </c>
      <c r="W1387" s="258">
        <v>0.1</v>
      </c>
      <c r="X1387" s="257">
        <f t="shared" si="557"/>
        <v>1899.9999700000001</v>
      </c>
      <c r="Y1387" s="170">
        <f t="shared" si="543"/>
        <v>1924.1299696190003</v>
      </c>
      <c r="Z1387" s="170">
        <f t="shared" si="544"/>
        <v>1925</v>
      </c>
      <c r="AA1387" s="407">
        <f t="shared" si="556"/>
        <v>0</v>
      </c>
      <c r="AB1387" s="194"/>
    </row>
    <row r="1388" spans="1:28" s="278" customFormat="1" x14ac:dyDescent="0.25">
      <c r="A1388" s="200">
        <v>830560</v>
      </c>
      <c r="B1388" s="313" t="s">
        <v>19957</v>
      </c>
      <c r="C1388" s="248"/>
      <c r="D1388" s="247" t="s">
        <v>11</v>
      </c>
      <c r="E1388" s="249">
        <f t="shared" si="558"/>
        <v>145.45455000000001</v>
      </c>
      <c r="F1388" s="170">
        <f t="shared" si="558"/>
        <v>147.30182278500001</v>
      </c>
      <c r="G1388" s="250">
        <v>0.1</v>
      </c>
      <c r="H1388" s="171">
        <f t="shared" si="545"/>
        <v>0.1</v>
      </c>
      <c r="I1388" s="249">
        <f t="shared" si="559"/>
        <v>0</v>
      </c>
      <c r="J1388" s="170">
        <f t="shared" si="559"/>
        <v>0</v>
      </c>
      <c r="K1388" s="251"/>
      <c r="L1388" s="172">
        <f t="shared" si="553"/>
        <v>0</v>
      </c>
      <c r="M1388" s="249">
        <f t="shared" si="554"/>
        <v>0</v>
      </c>
      <c r="N1388" s="170">
        <f t="shared" si="546"/>
        <v>0</v>
      </c>
      <c r="O1388" s="251"/>
      <c r="P1388" s="172">
        <f t="shared" si="547"/>
        <v>0</v>
      </c>
      <c r="Q1388" s="251">
        <f t="shared" si="548"/>
        <v>1309.09095</v>
      </c>
      <c r="R1388" s="173">
        <f t="shared" si="549"/>
        <v>1325.7164050650001</v>
      </c>
      <c r="S1388" s="250">
        <v>0.9</v>
      </c>
      <c r="T1388" s="171">
        <f t="shared" si="550"/>
        <v>0.9</v>
      </c>
      <c r="U1388" s="256">
        <v>1454.5454999999999</v>
      </c>
      <c r="V1388" s="170">
        <f t="shared" si="552"/>
        <v>1473.0182278500001</v>
      </c>
      <c r="W1388" s="258">
        <v>0.1</v>
      </c>
      <c r="X1388" s="257">
        <f t="shared" si="557"/>
        <v>1600.0000499999999</v>
      </c>
      <c r="Y1388" s="170">
        <f t="shared" si="543"/>
        <v>1620.3200506350004</v>
      </c>
      <c r="Z1388" s="170">
        <f t="shared" si="544"/>
        <v>1625</v>
      </c>
      <c r="AA1388" s="407">
        <f t="shared" si="556"/>
        <v>0</v>
      </c>
      <c r="AB1388" s="194"/>
    </row>
    <row r="1389" spans="1:28" s="278" customFormat="1" x14ac:dyDescent="0.25">
      <c r="A1389" s="200">
        <v>830600</v>
      </c>
      <c r="B1389" s="387" t="s">
        <v>19958</v>
      </c>
      <c r="C1389" s="248"/>
      <c r="D1389" s="247" t="s">
        <v>4</v>
      </c>
      <c r="E1389" s="249">
        <f t="shared" si="558"/>
        <v>1.2727300000000001</v>
      </c>
      <c r="F1389" s="170">
        <f t="shared" si="558"/>
        <v>1.2888936710000003</v>
      </c>
      <c r="G1389" s="250">
        <v>0.1</v>
      </c>
      <c r="H1389" s="171">
        <f t="shared" si="545"/>
        <v>0.1</v>
      </c>
      <c r="I1389" s="249">
        <f t="shared" si="559"/>
        <v>0</v>
      </c>
      <c r="J1389" s="170">
        <f t="shared" si="559"/>
        <v>0</v>
      </c>
      <c r="K1389" s="251"/>
      <c r="L1389" s="172">
        <f t="shared" si="553"/>
        <v>0</v>
      </c>
      <c r="M1389" s="249">
        <f t="shared" si="554"/>
        <v>0</v>
      </c>
      <c r="N1389" s="170">
        <f t="shared" si="546"/>
        <v>0</v>
      </c>
      <c r="O1389" s="251"/>
      <c r="P1389" s="172">
        <f t="shared" si="547"/>
        <v>0</v>
      </c>
      <c r="Q1389" s="251">
        <f t="shared" si="548"/>
        <v>11.45457</v>
      </c>
      <c r="R1389" s="173">
        <f t="shared" si="549"/>
        <v>11.600043039000001</v>
      </c>
      <c r="S1389" s="250">
        <v>0.9</v>
      </c>
      <c r="T1389" s="171">
        <f t="shared" si="550"/>
        <v>0.9</v>
      </c>
      <c r="U1389" s="256">
        <v>12.7273</v>
      </c>
      <c r="V1389" s="170">
        <f t="shared" si="552"/>
        <v>12.888936710000001</v>
      </c>
      <c r="W1389" s="258">
        <v>0.1</v>
      </c>
      <c r="X1389" s="257">
        <v>0</v>
      </c>
      <c r="Y1389" s="170">
        <v>0</v>
      </c>
      <c r="Z1389" s="170">
        <f t="shared" si="544"/>
        <v>0</v>
      </c>
      <c r="AA1389" s="407">
        <f t="shared" si="556"/>
        <v>0</v>
      </c>
      <c r="AB1389" s="194"/>
    </row>
    <row r="1390" spans="1:28" s="278" customFormat="1" x14ac:dyDescent="0.25">
      <c r="A1390" s="200">
        <v>830600</v>
      </c>
      <c r="B1390" s="387" t="s">
        <v>19959</v>
      </c>
      <c r="C1390" s="248"/>
      <c r="D1390" s="247" t="s">
        <v>4</v>
      </c>
      <c r="E1390" s="249">
        <f t="shared" si="558"/>
        <v>1.2045500000000002</v>
      </c>
      <c r="F1390" s="170">
        <f t="shared" si="558"/>
        <v>1.2198477850000002</v>
      </c>
      <c r="G1390" s="250">
        <v>0.1</v>
      </c>
      <c r="H1390" s="171">
        <f t="shared" si="545"/>
        <v>0.1</v>
      </c>
      <c r="I1390" s="249">
        <f t="shared" si="559"/>
        <v>0</v>
      </c>
      <c r="J1390" s="170">
        <f t="shared" si="559"/>
        <v>0</v>
      </c>
      <c r="K1390" s="251"/>
      <c r="L1390" s="172">
        <f t="shared" si="553"/>
        <v>0</v>
      </c>
      <c r="M1390" s="249">
        <f t="shared" si="554"/>
        <v>0</v>
      </c>
      <c r="N1390" s="170">
        <f t="shared" si="546"/>
        <v>0</v>
      </c>
      <c r="O1390" s="251"/>
      <c r="P1390" s="172">
        <f t="shared" si="547"/>
        <v>0</v>
      </c>
      <c r="Q1390" s="251">
        <f t="shared" si="548"/>
        <v>10.840950000000001</v>
      </c>
      <c r="R1390" s="173">
        <f t="shared" si="549"/>
        <v>10.978630065000001</v>
      </c>
      <c r="S1390" s="250">
        <v>0.9</v>
      </c>
      <c r="T1390" s="171">
        <f t="shared" si="550"/>
        <v>0.9</v>
      </c>
      <c r="U1390" s="256">
        <v>12.045500000000001</v>
      </c>
      <c r="V1390" s="170">
        <f t="shared" si="552"/>
        <v>12.198477850000002</v>
      </c>
      <c r="W1390" s="258">
        <v>0.1</v>
      </c>
      <c r="X1390" s="257">
        <v>0</v>
      </c>
      <c r="Y1390" s="170">
        <v>0</v>
      </c>
      <c r="Z1390" s="170">
        <f t="shared" si="544"/>
        <v>0</v>
      </c>
      <c r="AA1390" s="407">
        <f t="shared" si="556"/>
        <v>0</v>
      </c>
      <c r="AB1390" s="194"/>
    </row>
    <row r="1391" spans="1:28" s="278" customFormat="1" x14ac:dyDescent="0.25">
      <c r="A1391" s="200">
        <v>830600</v>
      </c>
      <c r="B1391" s="387" t="s">
        <v>19960</v>
      </c>
      <c r="C1391" s="248"/>
      <c r="D1391" s="247" t="s">
        <v>4</v>
      </c>
      <c r="E1391" s="249">
        <f t="shared" si="558"/>
        <v>1.0681800000000001</v>
      </c>
      <c r="F1391" s="170">
        <f t="shared" si="558"/>
        <v>1.0817458860000002</v>
      </c>
      <c r="G1391" s="250">
        <v>0.1</v>
      </c>
      <c r="H1391" s="171">
        <f t="shared" si="545"/>
        <v>0.1</v>
      </c>
      <c r="I1391" s="249">
        <f t="shared" si="559"/>
        <v>0</v>
      </c>
      <c r="J1391" s="170">
        <f t="shared" si="559"/>
        <v>0</v>
      </c>
      <c r="K1391" s="251"/>
      <c r="L1391" s="172">
        <f t="shared" si="553"/>
        <v>0</v>
      </c>
      <c r="M1391" s="249">
        <f t="shared" si="554"/>
        <v>0</v>
      </c>
      <c r="N1391" s="170">
        <f t="shared" si="546"/>
        <v>0</v>
      </c>
      <c r="O1391" s="251"/>
      <c r="P1391" s="172">
        <f t="shared" si="547"/>
        <v>0</v>
      </c>
      <c r="Q1391" s="251">
        <f t="shared" si="548"/>
        <v>9.6136200000000009</v>
      </c>
      <c r="R1391" s="173">
        <f t="shared" si="549"/>
        <v>9.7357129740000019</v>
      </c>
      <c r="S1391" s="250">
        <v>0.9</v>
      </c>
      <c r="T1391" s="171">
        <f t="shared" si="550"/>
        <v>0.9</v>
      </c>
      <c r="U1391" s="256">
        <v>10.681800000000001</v>
      </c>
      <c r="V1391" s="170">
        <f t="shared" si="552"/>
        <v>10.817458860000002</v>
      </c>
      <c r="W1391" s="258">
        <v>0.1</v>
      </c>
      <c r="X1391" s="257">
        <v>0</v>
      </c>
      <c r="Y1391" s="170">
        <v>0</v>
      </c>
      <c r="Z1391" s="170">
        <f t="shared" si="544"/>
        <v>0</v>
      </c>
      <c r="AA1391" s="407">
        <f t="shared" si="556"/>
        <v>0</v>
      </c>
      <c r="AB1391" s="194"/>
    </row>
    <row r="1392" spans="1:28" s="278" customFormat="1" x14ac:dyDescent="0.25">
      <c r="A1392" s="200">
        <v>830610</v>
      </c>
      <c r="B1392" s="313" t="s">
        <v>19961</v>
      </c>
      <c r="C1392" s="248"/>
      <c r="D1392" s="247" t="s">
        <v>11</v>
      </c>
      <c r="E1392" s="249">
        <f t="shared" si="558"/>
        <v>45.454550000000005</v>
      </c>
      <c r="F1392" s="170">
        <f t="shared" si="558"/>
        <v>46.03182278500001</v>
      </c>
      <c r="G1392" s="250">
        <v>0.1</v>
      </c>
      <c r="H1392" s="171">
        <f t="shared" si="545"/>
        <v>0.1</v>
      </c>
      <c r="I1392" s="249">
        <f t="shared" si="559"/>
        <v>0</v>
      </c>
      <c r="J1392" s="170">
        <f t="shared" si="559"/>
        <v>0</v>
      </c>
      <c r="K1392" s="251"/>
      <c r="L1392" s="172">
        <f t="shared" si="553"/>
        <v>0</v>
      </c>
      <c r="M1392" s="249">
        <f t="shared" si="554"/>
        <v>0</v>
      </c>
      <c r="N1392" s="170">
        <f t="shared" si="546"/>
        <v>0</v>
      </c>
      <c r="O1392" s="251"/>
      <c r="P1392" s="172">
        <f t="shared" si="547"/>
        <v>0</v>
      </c>
      <c r="Q1392" s="251">
        <f t="shared" si="548"/>
        <v>409.09095000000002</v>
      </c>
      <c r="R1392" s="173">
        <f t="shared" si="549"/>
        <v>414.28640506500011</v>
      </c>
      <c r="S1392" s="250">
        <v>0.9</v>
      </c>
      <c r="T1392" s="171">
        <f t="shared" si="550"/>
        <v>0.9</v>
      </c>
      <c r="U1392" s="256">
        <v>454.5455</v>
      </c>
      <c r="V1392" s="170">
        <f t="shared" si="552"/>
        <v>460.31822785000008</v>
      </c>
      <c r="W1392" s="258">
        <v>0.1</v>
      </c>
      <c r="X1392" s="257">
        <f>U1392+U1392*W1392</f>
        <v>500.00004999999999</v>
      </c>
      <c r="Y1392" s="170">
        <f t="shared" ref="Y1392:Y1455" si="560">IF(V1392*(W1392+1)=0,X1392,V1392*(W1392+1))</f>
        <v>506.35005063500012</v>
      </c>
      <c r="Z1392" s="170">
        <f t="shared" si="544"/>
        <v>510</v>
      </c>
      <c r="AA1392" s="407">
        <f t="shared" si="556"/>
        <v>0</v>
      </c>
      <c r="AB1392" s="194"/>
    </row>
    <row r="1393" spans="1:28" s="278" customFormat="1" x14ac:dyDescent="0.25">
      <c r="A1393" s="200">
        <v>830610</v>
      </c>
      <c r="B1393" s="313" t="s">
        <v>19962</v>
      </c>
      <c r="C1393" s="248"/>
      <c r="D1393" s="247" t="s">
        <v>11</v>
      </c>
      <c r="E1393" s="249">
        <f t="shared" si="558"/>
        <v>18.181819999999998</v>
      </c>
      <c r="F1393" s="170">
        <f t="shared" si="558"/>
        <v>18.412729114000001</v>
      </c>
      <c r="G1393" s="250">
        <v>0.1</v>
      </c>
      <c r="H1393" s="171">
        <f t="shared" si="545"/>
        <v>0.1</v>
      </c>
      <c r="I1393" s="249">
        <f t="shared" si="559"/>
        <v>0</v>
      </c>
      <c r="J1393" s="170">
        <f t="shared" si="559"/>
        <v>0</v>
      </c>
      <c r="K1393" s="251"/>
      <c r="L1393" s="172">
        <f t="shared" si="553"/>
        <v>0</v>
      </c>
      <c r="M1393" s="249">
        <f t="shared" si="554"/>
        <v>0</v>
      </c>
      <c r="N1393" s="170">
        <f t="shared" si="546"/>
        <v>0</v>
      </c>
      <c r="O1393" s="251"/>
      <c r="P1393" s="172">
        <f t="shared" si="547"/>
        <v>0</v>
      </c>
      <c r="Q1393" s="251">
        <f t="shared" si="548"/>
        <v>163.63638</v>
      </c>
      <c r="R1393" s="173">
        <f t="shared" si="549"/>
        <v>165.71456202600001</v>
      </c>
      <c r="S1393" s="250">
        <v>0.9</v>
      </c>
      <c r="T1393" s="171">
        <f t="shared" si="550"/>
        <v>0.9</v>
      </c>
      <c r="U1393" s="256">
        <v>181.81819999999999</v>
      </c>
      <c r="V1393" s="170">
        <f t="shared" si="552"/>
        <v>184.12729114000001</v>
      </c>
      <c r="W1393" s="258">
        <v>0.1</v>
      </c>
      <c r="X1393" s="257">
        <f>U1393+U1393*W1393</f>
        <v>200.00001999999998</v>
      </c>
      <c r="Y1393" s="170">
        <f t="shared" si="560"/>
        <v>202.54002025400004</v>
      </c>
      <c r="Z1393" s="170">
        <f t="shared" si="544"/>
        <v>205</v>
      </c>
      <c r="AA1393" s="407">
        <f t="shared" si="556"/>
        <v>0</v>
      </c>
      <c r="AB1393" s="194"/>
    </row>
    <row r="1394" spans="1:28" s="278" customFormat="1" x14ac:dyDescent="0.25">
      <c r="A1394" s="200">
        <v>830615</v>
      </c>
      <c r="B1394" s="313" t="s">
        <v>19963</v>
      </c>
      <c r="C1394" s="248"/>
      <c r="D1394" s="247" t="s">
        <v>11</v>
      </c>
      <c r="E1394" s="249">
        <f t="shared" si="558"/>
        <v>68.181820000000002</v>
      </c>
      <c r="F1394" s="170">
        <f t="shared" si="558"/>
        <v>69.04772911400002</v>
      </c>
      <c r="G1394" s="250">
        <v>0.1</v>
      </c>
      <c r="H1394" s="171">
        <f t="shared" si="545"/>
        <v>0.1</v>
      </c>
      <c r="I1394" s="249">
        <f t="shared" si="559"/>
        <v>0</v>
      </c>
      <c r="J1394" s="170">
        <f t="shared" si="559"/>
        <v>0</v>
      </c>
      <c r="K1394" s="251"/>
      <c r="L1394" s="172">
        <f t="shared" si="553"/>
        <v>0</v>
      </c>
      <c r="M1394" s="249">
        <f t="shared" si="554"/>
        <v>0</v>
      </c>
      <c r="N1394" s="170">
        <f t="shared" si="546"/>
        <v>0</v>
      </c>
      <c r="O1394" s="251"/>
      <c r="P1394" s="172">
        <f t="shared" si="547"/>
        <v>0</v>
      </c>
      <c r="Q1394" s="251">
        <f t="shared" si="548"/>
        <v>613.63638000000003</v>
      </c>
      <c r="R1394" s="173">
        <f t="shared" si="549"/>
        <v>621.4295620260001</v>
      </c>
      <c r="S1394" s="250">
        <v>0.9</v>
      </c>
      <c r="T1394" s="171">
        <f t="shared" si="550"/>
        <v>0.9</v>
      </c>
      <c r="U1394" s="256">
        <v>681.81820000000005</v>
      </c>
      <c r="V1394" s="170">
        <f t="shared" si="552"/>
        <v>690.47729114000015</v>
      </c>
      <c r="W1394" s="258">
        <v>0.1</v>
      </c>
      <c r="X1394" s="257">
        <f>U1394+U1394*W1394</f>
        <v>750.00002000000006</v>
      </c>
      <c r="Y1394" s="170">
        <f t="shared" si="560"/>
        <v>759.5250202540002</v>
      </c>
      <c r="Z1394" s="170">
        <f t="shared" si="544"/>
        <v>760</v>
      </c>
      <c r="AA1394" s="407">
        <f t="shared" si="556"/>
        <v>0</v>
      </c>
      <c r="AB1394" s="194"/>
    </row>
    <row r="1395" spans="1:28" s="278" customFormat="1" x14ac:dyDescent="0.25">
      <c r="A1395" s="200">
        <v>830615</v>
      </c>
      <c r="B1395" s="313" t="s">
        <v>19964</v>
      </c>
      <c r="C1395" s="248"/>
      <c r="D1395" s="247" t="s">
        <v>11</v>
      </c>
      <c r="E1395" s="249">
        <f t="shared" si="558"/>
        <v>40.909090909090907</v>
      </c>
      <c r="F1395" s="170">
        <f t="shared" si="558"/>
        <v>41.428636363636372</v>
      </c>
      <c r="G1395" s="250">
        <v>0.1</v>
      </c>
      <c r="H1395" s="171">
        <f t="shared" si="545"/>
        <v>0.1</v>
      </c>
      <c r="I1395" s="249">
        <f t="shared" si="559"/>
        <v>0</v>
      </c>
      <c r="J1395" s="170">
        <f t="shared" si="559"/>
        <v>0</v>
      </c>
      <c r="K1395" s="251"/>
      <c r="L1395" s="172">
        <f t="shared" si="553"/>
        <v>0</v>
      </c>
      <c r="M1395" s="249">
        <f t="shared" si="554"/>
        <v>0</v>
      </c>
      <c r="N1395" s="170">
        <f t="shared" si="546"/>
        <v>0</v>
      </c>
      <c r="O1395" s="251"/>
      <c r="P1395" s="172">
        <f t="shared" si="547"/>
        <v>0</v>
      </c>
      <c r="Q1395" s="251">
        <f t="shared" si="548"/>
        <v>368.18181818181819</v>
      </c>
      <c r="R1395" s="173">
        <f t="shared" si="549"/>
        <v>372.85772727272729</v>
      </c>
      <c r="S1395" s="250">
        <v>0.9</v>
      </c>
      <c r="T1395" s="171">
        <f t="shared" si="550"/>
        <v>0.9</v>
      </c>
      <c r="U1395" s="256">
        <f>450/1.1</f>
        <v>409.09090909090907</v>
      </c>
      <c r="V1395" s="170">
        <f t="shared" si="552"/>
        <v>414.28636363636366</v>
      </c>
      <c r="W1395" s="258">
        <v>0.1</v>
      </c>
      <c r="X1395" s="257">
        <v>450</v>
      </c>
      <c r="Y1395" s="170">
        <f t="shared" si="560"/>
        <v>455.71500000000009</v>
      </c>
      <c r="Z1395" s="170">
        <f t="shared" si="544"/>
        <v>460</v>
      </c>
      <c r="AA1395" s="407">
        <f t="shared" si="556"/>
        <v>0</v>
      </c>
      <c r="AB1395" s="194"/>
    </row>
    <row r="1396" spans="1:28" s="278" customFormat="1" x14ac:dyDescent="0.25">
      <c r="A1396" s="200">
        <v>830615</v>
      </c>
      <c r="B1396" s="313" t="s">
        <v>19965</v>
      </c>
      <c r="C1396" s="248"/>
      <c r="D1396" s="247" t="s">
        <v>11</v>
      </c>
      <c r="E1396" s="249">
        <f t="shared" si="558"/>
        <v>18.181818181818183</v>
      </c>
      <c r="F1396" s="170">
        <f t="shared" si="558"/>
        <v>18.412727272727277</v>
      </c>
      <c r="G1396" s="250">
        <v>0.1</v>
      </c>
      <c r="H1396" s="171">
        <f t="shared" si="545"/>
        <v>0.1</v>
      </c>
      <c r="I1396" s="249">
        <f t="shared" si="559"/>
        <v>0</v>
      </c>
      <c r="J1396" s="170">
        <f t="shared" si="559"/>
        <v>0</v>
      </c>
      <c r="K1396" s="251"/>
      <c r="L1396" s="172">
        <f t="shared" si="553"/>
        <v>0</v>
      </c>
      <c r="M1396" s="249">
        <f t="shared" si="554"/>
        <v>0</v>
      </c>
      <c r="N1396" s="170">
        <f t="shared" si="546"/>
        <v>0</v>
      </c>
      <c r="O1396" s="251"/>
      <c r="P1396" s="172">
        <f t="shared" si="547"/>
        <v>0</v>
      </c>
      <c r="Q1396" s="251">
        <f t="shared" si="548"/>
        <v>163.63636363636363</v>
      </c>
      <c r="R1396" s="173">
        <f t="shared" si="549"/>
        <v>165.71454545454549</v>
      </c>
      <c r="S1396" s="250">
        <v>0.9</v>
      </c>
      <c r="T1396" s="171">
        <f t="shared" si="550"/>
        <v>0.9</v>
      </c>
      <c r="U1396" s="256">
        <f>200/1.1</f>
        <v>181.81818181818181</v>
      </c>
      <c r="V1396" s="170">
        <f t="shared" si="552"/>
        <v>184.12727272727275</v>
      </c>
      <c r="W1396" s="258">
        <v>0.1</v>
      </c>
      <c r="X1396" s="257">
        <v>200</v>
      </c>
      <c r="Y1396" s="170">
        <f t="shared" si="560"/>
        <v>202.54000000000005</v>
      </c>
      <c r="Z1396" s="170">
        <f t="shared" si="544"/>
        <v>205</v>
      </c>
      <c r="AA1396" s="407">
        <f t="shared" si="556"/>
        <v>0</v>
      </c>
      <c r="AB1396" s="194"/>
    </row>
    <row r="1397" spans="1:28" s="278" customFormat="1" x14ac:dyDescent="0.25">
      <c r="A1397" s="200">
        <v>830620</v>
      </c>
      <c r="B1397" s="313" t="s">
        <v>19966</v>
      </c>
      <c r="C1397" s="248"/>
      <c r="D1397" s="247" t="s">
        <v>11</v>
      </c>
      <c r="E1397" s="249">
        <f t="shared" si="558"/>
        <v>31.818180000000002</v>
      </c>
      <c r="F1397" s="170">
        <f t="shared" si="558"/>
        <v>32.222270886000004</v>
      </c>
      <c r="G1397" s="250">
        <v>0.1</v>
      </c>
      <c r="H1397" s="171">
        <f t="shared" si="545"/>
        <v>0.1</v>
      </c>
      <c r="I1397" s="249">
        <f t="shared" si="559"/>
        <v>0</v>
      </c>
      <c r="J1397" s="170">
        <f t="shared" si="559"/>
        <v>0</v>
      </c>
      <c r="K1397" s="251"/>
      <c r="L1397" s="172">
        <f t="shared" si="553"/>
        <v>0</v>
      </c>
      <c r="M1397" s="249">
        <f t="shared" si="554"/>
        <v>0</v>
      </c>
      <c r="N1397" s="170">
        <f t="shared" si="546"/>
        <v>0</v>
      </c>
      <c r="O1397" s="251"/>
      <c r="P1397" s="172">
        <f t="shared" si="547"/>
        <v>0</v>
      </c>
      <c r="Q1397" s="251">
        <f t="shared" si="548"/>
        <v>286.36362000000003</v>
      </c>
      <c r="R1397" s="173">
        <f t="shared" si="549"/>
        <v>290.00043797400002</v>
      </c>
      <c r="S1397" s="250">
        <v>0.9</v>
      </c>
      <c r="T1397" s="171">
        <f t="shared" si="550"/>
        <v>0.9</v>
      </c>
      <c r="U1397" s="256">
        <v>318.18180000000001</v>
      </c>
      <c r="V1397" s="170">
        <f t="shared" si="552"/>
        <v>322.22270886000001</v>
      </c>
      <c r="W1397" s="258">
        <v>0.1</v>
      </c>
      <c r="X1397" s="257">
        <f>U1397+U1397*W1397</f>
        <v>349.99997999999999</v>
      </c>
      <c r="Y1397" s="170">
        <f t="shared" si="560"/>
        <v>354.44497974600006</v>
      </c>
      <c r="Z1397" s="170">
        <f t="shared" si="544"/>
        <v>355</v>
      </c>
      <c r="AA1397" s="407">
        <f t="shared" si="556"/>
        <v>0</v>
      </c>
      <c r="AB1397" s="194"/>
    </row>
    <row r="1398" spans="1:28" s="278" customFormat="1" x14ac:dyDescent="0.25">
      <c r="A1398" s="200">
        <v>830620</v>
      </c>
      <c r="B1398" s="313" t="s">
        <v>19967</v>
      </c>
      <c r="C1398" s="248"/>
      <c r="D1398" s="247" t="s">
        <v>11</v>
      </c>
      <c r="E1398" s="249">
        <f t="shared" si="558"/>
        <v>22.727270000000001</v>
      </c>
      <c r="F1398" s="170">
        <f t="shared" si="558"/>
        <v>23.015906329000003</v>
      </c>
      <c r="G1398" s="250">
        <v>0.1</v>
      </c>
      <c r="H1398" s="171">
        <f t="shared" si="545"/>
        <v>0.1</v>
      </c>
      <c r="I1398" s="249">
        <f t="shared" si="559"/>
        <v>0</v>
      </c>
      <c r="J1398" s="170">
        <f t="shared" si="559"/>
        <v>0</v>
      </c>
      <c r="K1398" s="251"/>
      <c r="L1398" s="172">
        <f t="shared" si="553"/>
        <v>0</v>
      </c>
      <c r="M1398" s="249">
        <f t="shared" si="554"/>
        <v>0</v>
      </c>
      <c r="N1398" s="170">
        <f t="shared" si="546"/>
        <v>0</v>
      </c>
      <c r="O1398" s="251"/>
      <c r="P1398" s="172">
        <f t="shared" si="547"/>
        <v>0</v>
      </c>
      <c r="Q1398" s="251">
        <f t="shared" si="548"/>
        <v>204.54542999999998</v>
      </c>
      <c r="R1398" s="173">
        <f t="shared" si="549"/>
        <v>207.14315696100002</v>
      </c>
      <c r="S1398" s="250">
        <v>0.9</v>
      </c>
      <c r="T1398" s="171">
        <f t="shared" si="550"/>
        <v>0.9</v>
      </c>
      <c r="U1398" s="256">
        <v>227.27269999999999</v>
      </c>
      <c r="V1398" s="170">
        <f t="shared" si="552"/>
        <v>230.15906329000001</v>
      </c>
      <c r="W1398" s="258">
        <v>0.1</v>
      </c>
      <c r="X1398" s="257">
        <f>U1398+U1398*W1398</f>
        <v>249.99996999999999</v>
      </c>
      <c r="Y1398" s="170">
        <f t="shared" si="560"/>
        <v>253.17496961900002</v>
      </c>
      <c r="Z1398" s="170">
        <f t="shared" si="544"/>
        <v>255</v>
      </c>
      <c r="AA1398" s="407">
        <f t="shared" si="556"/>
        <v>0</v>
      </c>
      <c r="AB1398" s="194"/>
    </row>
    <row r="1399" spans="1:28" s="278" customFormat="1" x14ac:dyDescent="0.25">
      <c r="A1399" s="200">
        <v>830630</v>
      </c>
      <c r="B1399" s="313" t="s">
        <v>19968</v>
      </c>
      <c r="C1399" s="248"/>
      <c r="D1399" s="247" t="s">
        <v>11</v>
      </c>
      <c r="E1399" s="249">
        <f t="shared" si="558"/>
        <v>27.272730000000003</v>
      </c>
      <c r="F1399" s="170">
        <f t="shared" si="558"/>
        <v>27.619093671000009</v>
      </c>
      <c r="G1399" s="250">
        <v>0.1</v>
      </c>
      <c r="H1399" s="171">
        <f t="shared" si="545"/>
        <v>0.1</v>
      </c>
      <c r="I1399" s="249">
        <f t="shared" si="559"/>
        <v>0</v>
      </c>
      <c r="J1399" s="170">
        <f t="shared" si="559"/>
        <v>0</v>
      </c>
      <c r="K1399" s="251"/>
      <c r="L1399" s="172">
        <f t="shared" si="553"/>
        <v>0</v>
      </c>
      <c r="M1399" s="249">
        <f t="shared" si="554"/>
        <v>0</v>
      </c>
      <c r="N1399" s="170">
        <f t="shared" si="546"/>
        <v>0</v>
      </c>
      <c r="O1399" s="251"/>
      <c r="P1399" s="172">
        <f t="shared" si="547"/>
        <v>0</v>
      </c>
      <c r="Q1399" s="251">
        <f t="shared" si="548"/>
        <v>245.45457000000002</v>
      </c>
      <c r="R1399" s="173">
        <f t="shared" si="549"/>
        <v>248.57184303900007</v>
      </c>
      <c r="S1399" s="250">
        <v>0.9</v>
      </c>
      <c r="T1399" s="171">
        <f t="shared" si="550"/>
        <v>0.9</v>
      </c>
      <c r="U1399" s="256">
        <v>272.72730000000001</v>
      </c>
      <c r="V1399" s="170">
        <f t="shared" si="552"/>
        <v>276.19093671000007</v>
      </c>
      <c r="W1399" s="258">
        <v>0.1</v>
      </c>
      <c r="X1399" s="257">
        <f>U1399+U1399*W1399</f>
        <v>300.00003000000004</v>
      </c>
      <c r="Y1399" s="170">
        <f t="shared" si="560"/>
        <v>303.8100303810001</v>
      </c>
      <c r="Z1399" s="170">
        <f t="shared" si="544"/>
        <v>305</v>
      </c>
      <c r="AA1399" s="407">
        <f t="shared" si="556"/>
        <v>0</v>
      </c>
      <c r="AB1399" s="194"/>
    </row>
    <row r="1400" spans="1:28" s="278" customFormat="1" x14ac:dyDescent="0.25">
      <c r="A1400" s="200">
        <v>830630</v>
      </c>
      <c r="B1400" s="313" t="s">
        <v>19969</v>
      </c>
      <c r="C1400" s="248"/>
      <c r="D1400" s="247" t="s">
        <v>11</v>
      </c>
      <c r="E1400" s="249">
        <f t="shared" si="558"/>
        <v>22.727270000000001</v>
      </c>
      <c r="F1400" s="170">
        <f t="shared" si="558"/>
        <v>23.015906329000003</v>
      </c>
      <c r="G1400" s="250">
        <v>0.1</v>
      </c>
      <c r="H1400" s="171">
        <f t="shared" si="545"/>
        <v>0.1</v>
      </c>
      <c r="I1400" s="249">
        <f t="shared" si="559"/>
        <v>0</v>
      </c>
      <c r="J1400" s="170">
        <f t="shared" si="559"/>
        <v>0</v>
      </c>
      <c r="K1400" s="251"/>
      <c r="L1400" s="172">
        <f t="shared" si="553"/>
        <v>0</v>
      </c>
      <c r="M1400" s="249">
        <f t="shared" si="554"/>
        <v>0</v>
      </c>
      <c r="N1400" s="170">
        <f t="shared" si="546"/>
        <v>0</v>
      </c>
      <c r="O1400" s="251"/>
      <c r="P1400" s="172">
        <f t="shared" si="547"/>
        <v>0</v>
      </c>
      <c r="Q1400" s="251">
        <f t="shared" si="548"/>
        <v>204.54542999999998</v>
      </c>
      <c r="R1400" s="173">
        <f t="shared" si="549"/>
        <v>207.14315696100002</v>
      </c>
      <c r="S1400" s="250">
        <v>0.9</v>
      </c>
      <c r="T1400" s="171">
        <f t="shared" si="550"/>
        <v>0.9</v>
      </c>
      <c r="U1400" s="256">
        <v>227.27269999999999</v>
      </c>
      <c r="V1400" s="170">
        <f t="shared" si="552"/>
        <v>230.15906329000001</v>
      </c>
      <c r="W1400" s="258">
        <v>0.1</v>
      </c>
      <c r="X1400" s="257">
        <f>U1400+U1400*W1400</f>
        <v>249.99996999999999</v>
      </c>
      <c r="Y1400" s="170">
        <f t="shared" si="560"/>
        <v>253.17496961900002</v>
      </c>
      <c r="Z1400" s="170">
        <f t="shared" si="544"/>
        <v>255</v>
      </c>
      <c r="AA1400" s="407">
        <f t="shared" si="556"/>
        <v>0</v>
      </c>
      <c r="AB1400" s="194"/>
    </row>
    <row r="1401" spans="1:28" s="278" customFormat="1" x14ac:dyDescent="0.25">
      <c r="A1401" s="195" t="s">
        <v>14837</v>
      </c>
      <c r="B1401" s="317" t="s">
        <v>14838</v>
      </c>
      <c r="C1401" s="241"/>
      <c r="D1401" s="242"/>
      <c r="E1401" s="243"/>
      <c r="F1401" s="244"/>
      <c r="G1401" s="245"/>
      <c r="H1401" s="246"/>
      <c r="I1401" s="243"/>
      <c r="J1401" s="244"/>
      <c r="K1401" s="245"/>
      <c r="L1401" s="246"/>
      <c r="M1401" s="243"/>
      <c r="N1401" s="244"/>
      <c r="O1401" s="245"/>
      <c r="P1401" s="246"/>
      <c r="Q1401" s="243"/>
      <c r="R1401" s="244"/>
      <c r="S1401" s="245"/>
      <c r="T1401" s="246"/>
      <c r="U1401" s="246"/>
      <c r="V1401" s="246"/>
      <c r="W1401" s="246"/>
      <c r="X1401" s="246"/>
      <c r="Y1401" s="244"/>
      <c r="Z1401" s="244"/>
      <c r="AA1401" s="406"/>
      <c r="AB1401" s="194"/>
    </row>
    <row r="1402" spans="1:28" s="278" customFormat="1" x14ac:dyDescent="0.25">
      <c r="A1402" s="200">
        <v>831306</v>
      </c>
      <c r="B1402" s="313" t="s">
        <v>19970</v>
      </c>
      <c r="C1402" s="248"/>
      <c r="D1402" s="247" t="s">
        <v>11</v>
      </c>
      <c r="E1402" s="249">
        <f t="shared" si="558"/>
        <v>163.63636</v>
      </c>
      <c r="F1402" s="170">
        <f t="shared" si="558"/>
        <v>165.71454177199999</v>
      </c>
      <c r="G1402" s="250">
        <v>0.1</v>
      </c>
      <c r="H1402" s="171">
        <f t="shared" si="545"/>
        <v>0.1</v>
      </c>
      <c r="I1402" s="249">
        <f t="shared" si="559"/>
        <v>0</v>
      </c>
      <c r="J1402" s="170">
        <f t="shared" si="559"/>
        <v>0</v>
      </c>
      <c r="K1402" s="251"/>
      <c r="L1402" s="172">
        <f t="shared" si="553"/>
        <v>0</v>
      </c>
      <c r="M1402" s="249">
        <f t="shared" si="554"/>
        <v>0</v>
      </c>
      <c r="N1402" s="170">
        <f t="shared" si="546"/>
        <v>0</v>
      </c>
      <c r="O1402" s="251"/>
      <c r="P1402" s="172">
        <f t="shared" si="547"/>
        <v>0</v>
      </c>
      <c r="Q1402" s="251">
        <f t="shared" si="548"/>
        <v>1472.7272399999999</v>
      </c>
      <c r="R1402" s="173">
        <f t="shared" si="549"/>
        <v>1491.430875948</v>
      </c>
      <c r="S1402" s="250">
        <v>0.9</v>
      </c>
      <c r="T1402" s="171">
        <f t="shared" si="550"/>
        <v>0.9</v>
      </c>
      <c r="U1402" s="256">
        <v>1636.3635999999999</v>
      </c>
      <c r="V1402" s="170">
        <f t="shared" si="552"/>
        <v>1657.1454177199998</v>
      </c>
      <c r="W1402" s="258">
        <v>0.1</v>
      </c>
      <c r="X1402" s="257">
        <f>U1402+U1402*W1402</f>
        <v>1799.9999599999999</v>
      </c>
      <c r="Y1402" s="170">
        <f t="shared" si="560"/>
        <v>1822.8599594919999</v>
      </c>
      <c r="Z1402" s="170">
        <f t="shared" si="544"/>
        <v>1825</v>
      </c>
      <c r="AA1402" s="407">
        <f t="shared" si="556"/>
        <v>0</v>
      </c>
      <c r="AB1402" s="194"/>
    </row>
    <row r="1403" spans="1:28" s="278" customFormat="1" x14ac:dyDescent="0.25">
      <c r="A1403" s="200">
        <v>831306</v>
      </c>
      <c r="B1403" s="313" t="s">
        <v>19971</v>
      </c>
      <c r="C1403" s="248"/>
      <c r="D1403" s="247" t="s">
        <v>11</v>
      </c>
      <c r="E1403" s="249">
        <f t="shared" si="558"/>
        <v>150</v>
      </c>
      <c r="F1403" s="170">
        <f t="shared" si="558"/>
        <v>151.90500000000003</v>
      </c>
      <c r="G1403" s="250">
        <v>0.1</v>
      </c>
      <c r="H1403" s="171">
        <f t="shared" ref="H1403:H1466" si="561">G1403</f>
        <v>0.1</v>
      </c>
      <c r="I1403" s="249">
        <f t="shared" si="559"/>
        <v>0</v>
      </c>
      <c r="J1403" s="170">
        <f t="shared" si="559"/>
        <v>0</v>
      </c>
      <c r="K1403" s="251"/>
      <c r="L1403" s="172">
        <f t="shared" si="553"/>
        <v>0</v>
      </c>
      <c r="M1403" s="249">
        <f t="shared" si="554"/>
        <v>0</v>
      </c>
      <c r="N1403" s="170">
        <f t="shared" ref="N1403:N1466" si="562">P1403*V1403</f>
        <v>0</v>
      </c>
      <c r="O1403" s="251"/>
      <c r="P1403" s="172">
        <f t="shared" ref="P1403:P1466" si="563">O1403</f>
        <v>0</v>
      </c>
      <c r="Q1403" s="251">
        <f t="shared" ref="Q1403:Q1466" si="564">U1403*S1403</f>
        <v>1350</v>
      </c>
      <c r="R1403" s="173">
        <f t="shared" ref="R1403:R1466" si="565">T1403*V1403</f>
        <v>1367.1450000000002</v>
      </c>
      <c r="S1403" s="250">
        <v>0.9</v>
      </c>
      <c r="T1403" s="171">
        <f t="shared" ref="T1403:T1466" si="566">S1403</f>
        <v>0.9</v>
      </c>
      <c r="U1403" s="256">
        <v>1500</v>
      </c>
      <c r="V1403" s="170">
        <f t="shared" si="552"/>
        <v>1519.0500000000002</v>
      </c>
      <c r="W1403" s="258">
        <v>0.1</v>
      </c>
      <c r="X1403" s="257">
        <f>U1403+U1403*W1403</f>
        <v>1650</v>
      </c>
      <c r="Y1403" s="170">
        <f t="shared" si="560"/>
        <v>1670.9550000000004</v>
      </c>
      <c r="Z1403" s="170">
        <f t="shared" ref="Z1403:Z1434" si="567">IF(Y1403=0, 0, IF(Y1403&lt;10, _xlfn.CEILING.MATH(Y1403,1), IF(Y1403&lt;100, _xlfn.CEILING.MATH(Y1403,1),IF(Y1403&lt;1000, _xlfn.CEILING.MATH(Y1403,5), IF(Y1403&lt;10000, _xlfn.CEILING.MATH(Y1403, 25), IF(Y1403&lt;100000, _xlfn.CEILING.MATH(Y1403,250), IF(Y1403&lt;1000000, _xlfn.CEILING.MATH(Y1403,500), 0)))))))</f>
        <v>1675</v>
      </c>
      <c r="AA1403" s="407">
        <f t="shared" si="556"/>
        <v>0</v>
      </c>
      <c r="AB1403" s="194"/>
    </row>
    <row r="1404" spans="1:28" s="278" customFormat="1" x14ac:dyDescent="0.25">
      <c r="A1404" s="200">
        <v>831306</v>
      </c>
      <c r="B1404" s="313" t="s">
        <v>19972</v>
      </c>
      <c r="C1404" s="248"/>
      <c r="D1404" s="247" t="s">
        <v>11</v>
      </c>
      <c r="E1404" s="249">
        <f t="shared" si="558"/>
        <v>81.818179999999998</v>
      </c>
      <c r="F1404" s="170">
        <f t="shared" si="558"/>
        <v>82.857270885999995</v>
      </c>
      <c r="G1404" s="250">
        <v>0.1</v>
      </c>
      <c r="H1404" s="171">
        <f t="shared" si="561"/>
        <v>0.1</v>
      </c>
      <c r="I1404" s="249">
        <f t="shared" si="559"/>
        <v>0</v>
      </c>
      <c r="J1404" s="170">
        <f t="shared" si="559"/>
        <v>0</v>
      </c>
      <c r="K1404" s="251"/>
      <c r="L1404" s="172">
        <f t="shared" si="553"/>
        <v>0</v>
      </c>
      <c r="M1404" s="249">
        <f t="shared" si="554"/>
        <v>0</v>
      </c>
      <c r="N1404" s="170">
        <f t="shared" si="562"/>
        <v>0</v>
      </c>
      <c r="O1404" s="251"/>
      <c r="P1404" s="172">
        <f t="shared" si="563"/>
        <v>0</v>
      </c>
      <c r="Q1404" s="251">
        <f t="shared" si="564"/>
        <v>736.36361999999997</v>
      </c>
      <c r="R1404" s="173">
        <f t="shared" si="565"/>
        <v>745.715437974</v>
      </c>
      <c r="S1404" s="250">
        <v>0.9</v>
      </c>
      <c r="T1404" s="171">
        <f t="shared" si="566"/>
        <v>0.9</v>
      </c>
      <c r="U1404" s="256">
        <v>818.18179999999995</v>
      </c>
      <c r="V1404" s="170">
        <f t="shared" si="552"/>
        <v>828.57270885999992</v>
      </c>
      <c r="W1404" s="258">
        <v>0.1</v>
      </c>
      <c r="X1404" s="257">
        <f>U1404+U1404*W1404</f>
        <v>899.99997999999994</v>
      </c>
      <c r="Y1404" s="170">
        <f t="shared" si="560"/>
        <v>911.42997974599996</v>
      </c>
      <c r="Z1404" s="170">
        <f t="shared" si="567"/>
        <v>915</v>
      </c>
      <c r="AA1404" s="407">
        <f t="shared" si="556"/>
        <v>0</v>
      </c>
      <c r="AB1404" s="194"/>
    </row>
    <row r="1405" spans="1:28" s="278" customFormat="1" x14ac:dyDescent="0.25">
      <c r="A1405" s="195" t="s">
        <v>14839</v>
      </c>
      <c r="B1405" s="317" t="s">
        <v>14840</v>
      </c>
      <c r="C1405" s="241"/>
      <c r="D1405" s="242"/>
      <c r="E1405" s="243"/>
      <c r="F1405" s="244"/>
      <c r="G1405" s="245"/>
      <c r="H1405" s="246"/>
      <c r="I1405" s="243"/>
      <c r="J1405" s="244"/>
      <c r="K1405" s="245"/>
      <c r="L1405" s="246"/>
      <c r="M1405" s="243"/>
      <c r="N1405" s="244"/>
      <c r="O1405" s="245"/>
      <c r="P1405" s="246"/>
      <c r="Q1405" s="243"/>
      <c r="R1405" s="244"/>
      <c r="S1405" s="245"/>
      <c r="T1405" s="246"/>
      <c r="U1405" s="246"/>
      <c r="V1405" s="246"/>
      <c r="W1405" s="246"/>
      <c r="X1405" s="246"/>
      <c r="Y1405" s="244"/>
      <c r="Z1405" s="244"/>
      <c r="AA1405" s="406"/>
      <c r="AB1405" s="194"/>
    </row>
    <row r="1406" spans="1:28" s="278" customFormat="1" x14ac:dyDescent="0.25">
      <c r="A1406" s="200">
        <v>832285</v>
      </c>
      <c r="B1406" s="331" t="s">
        <v>19973</v>
      </c>
      <c r="C1406" s="248"/>
      <c r="D1406" s="247" t="s">
        <v>11</v>
      </c>
      <c r="E1406" s="249">
        <f t="shared" si="558"/>
        <v>290.90909000000005</v>
      </c>
      <c r="F1406" s="170">
        <f t="shared" si="558"/>
        <v>294.60363544300009</v>
      </c>
      <c r="G1406" s="250">
        <v>0.1</v>
      </c>
      <c r="H1406" s="171">
        <f t="shared" si="561"/>
        <v>0.1</v>
      </c>
      <c r="I1406" s="249">
        <f t="shared" si="559"/>
        <v>0</v>
      </c>
      <c r="J1406" s="170">
        <f t="shared" si="559"/>
        <v>0</v>
      </c>
      <c r="K1406" s="251"/>
      <c r="L1406" s="172">
        <f t="shared" si="553"/>
        <v>0</v>
      </c>
      <c r="M1406" s="249">
        <f t="shared" si="554"/>
        <v>0</v>
      </c>
      <c r="N1406" s="170">
        <f t="shared" si="562"/>
        <v>0</v>
      </c>
      <c r="O1406" s="251"/>
      <c r="P1406" s="172">
        <f t="shared" si="563"/>
        <v>0</v>
      </c>
      <c r="Q1406" s="251">
        <f t="shared" si="564"/>
        <v>2618.18181</v>
      </c>
      <c r="R1406" s="173">
        <f t="shared" si="565"/>
        <v>2651.432718987001</v>
      </c>
      <c r="S1406" s="250">
        <v>0.9</v>
      </c>
      <c r="T1406" s="171">
        <f t="shared" si="566"/>
        <v>0.9</v>
      </c>
      <c r="U1406" s="256">
        <v>2909.0909000000001</v>
      </c>
      <c r="V1406" s="170">
        <f t="shared" si="552"/>
        <v>2946.0363544300008</v>
      </c>
      <c r="W1406" s="258">
        <v>0.1</v>
      </c>
      <c r="X1406" s="257">
        <f t="shared" ref="X1406:X1421" si="568">U1406+U1406*W1406</f>
        <v>3199.9999900000003</v>
      </c>
      <c r="Y1406" s="170">
        <f t="shared" si="560"/>
        <v>3240.639989873001</v>
      </c>
      <c r="Z1406" s="170">
        <f t="shared" si="567"/>
        <v>3250</v>
      </c>
      <c r="AA1406" s="407">
        <f t="shared" si="556"/>
        <v>0</v>
      </c>
      <c r="AB1406" s="194"/>
    </row>
    <row r="1407" spans="1:28" s="278" customFormat="1" x14ac:dyDescent="0.25">
      <c r="A1407" s="200">
        <v>832285</v>
      </c>
      <c r="B1407" s="331" t="s">
        <v>19974</v>
      </c>
      <c r="C1407" s="248"/>
      <c r="D1407" s="247" t="s">
        <v>11</v>
      </c>
      <c r="E1407" s="249">
        <f t="shared" si="558"/>
        <v>250</v>
      </c>
      <c r="F1407" s="170">
        <f t="shared" si="558"/>
        <v>253.17500000000001</v>
      </c>
      <c r="G1407" s="250">
        <v>0.1</v>
      </c>
      <c r="H1407" s="171">
        <f t="shared" si="561"/>
        <v>0.1</v>
      </c>
      <c r="I1407" s="249">
        <f t="shared" si="559"/>
        <v>0</v>
      </c>
      <c r="J1407" s="170">
        <f t="shared" si="559"/>
        <v>0</v>
      </c>
      <c r="K1407" s="251"/>
      <c r="L1407" s="172">
        <f t="shared" si="553"/>
        <v>0</v>
      </c>
      <c r="M1407" s="249">
        <f t="shared" si="554"/>
        <v>0</v>
      </c>
      <c r="N1407" s="170">
        <f t="shared" si="562"/>
        <v>0</v>
      </c>
      <c r="O1407" s="251"/>
      <c r="P1407" s="172">
        <f t="shared" si="563"/>
        <v>0</v>
      </c>
      <c r="Q1407" s="251">
        <f t="shared" si="564"/>
        <v>2250</v>
      </c>
      <c r="R1407" s="173">
        <f t="shared" si="565"/>
        <v>2278.5750000000003</v>
      </c>
      <c r="S1407" s="250">
        <v>0.9</v>
      </c>
      <c r="T1407" s="171">
        <f t="shared" si="566"/>
        <v>0.9</v>
      </c>
      <c r="U1407" s="256">
        <v>2500</v>
      </c>
      <c r="V1407" s="170">
        <f t="shared" si="552"/>
        <v>2531.75</v>
      </c>
      <c r="W1407" s="258">
        <v>0.1</v>
      </c>
      <c r="X1407" s="257">
        <f t="shared" si="568"/>
        <v>2750</v>
      </c>
      <c r="Y1407" s="170">
        <f t="shared" si="560"/>
        <v>2784.9250000000002</v>
      </c>
      <c r="Z1407" s="170">
        <f t="shared" si="567"/>
        <v>2800</v>
      </c>
      <c r="AA1407" s="407">
        <f t="shared" si="556"/>
        <v>0</v>
      </c>
      <c r="AB1407" s="194"/>
    </row>
    <row r="1408" spans="1:28" s="278" customFormat="1" x14ac:dyDescent="0.25">
      <c r="A1408" s="200">
        <v>832285</v>
      </c>
      <c r="B1408" s="331" t="s">
        <v>19975</v>
      </c>
      <c r="C1408" s="248"/>
      <c r="D1408" s="247" t="s">
        <v>11</v>
      </c>
      <c r="E1408" s="249">
        <f t="shared" si="558"/>
        <v>181.81818000000001</v>
      </c>
      <c r="F1408" s="170">
        <f t="shared" si="558"/>
        <v>184.12727088600002</v>
      </c>
      <c r="G1408" s="250">
        <v>0.1</v>
      </c>
      <c r="H1408" s="171">
        <f t="shared" si="561"/>
        <v>0.1</v>
      </c>
      <c r="I1408" s="249">
        <f t="shared" si="559"/>
        <v>0</v>
      </c>
      <c r="J1408" s="170">
        <f t="shared" si="559"/>
        <v>0</v>
      </c>
      <c r="K1408" s="251"/>
      <c r="L1408" s="172">
        <f t="shared" si="553"/>
        <v>0</v>
      </c>
      <c r="M1408" s="249">
        <f t="shared" si="554"/>
        <v>0</v>
      </c>
      <c r="N1408" s="170">
        <f t="shared" si="562"/>
        <v>0</v>
      </c>
      <c r="O1408" s="251"/>
      <c r="P1408" s="172">
        <f t="shared" si="563"/>
        <v>0</v>
      </c>
      <c r="Q1408" s="251">
        <f t="shared" si="564"/>
        <v>1636.3636200000001</v>
      </c>
      <c r="R1408" s="173">
        <f t="shared" si="565"/>
        <v>1657.1454379740003</v>
      </c>
      <c r="S1408" s="250">
        <v>0.9</v>
      </c>
      <c r="T1408" s="171">
        <f t="shared" si="566"/>
        <v>0.9</v>
      </c>
      <c r="U1408" s="256">
        <v>1818.1818000000001</v>
      </c>
      <c r="V1408" s="170">
        <f t="shared" si="552"/>
        <v>1841.2727088600002</v>
      </c>
      <c r="W1408" s="258">
        <v>0.1</v>
      </c>
      <c r="X1408" s="257">
        <f t="shared" si="568"/>
        <v>1999.9999800000001</v>
      </c>
      <c r="Y1408" s="170">
        <f t="shared" si="560"/>
        <v>2025.3999797460003</v>
      </c>
      <c r="Z1408" s="170">
        <f t="shared" si="567"/>
        <v>2050</v>
      </c>
      <c r="AA1408" s="407">
        <f t="shared" si="556"/>
        <v>0</v>
      </c>
      <c r="AB1408" s="194"/>
    </row>
    <row r="1409" spans="1:28" s="278" customFormat="1" x14ac:dyDescent="0.25">
      <c r="A1409" s="200">
        <v>832290</v>
      </c>
      <c r="B1409" s="313" t="s">
        <v>19976</v>
      </c>
      <c r="C1409" s="248"/>
      <c r="D1409" s="247" t="s">
        <v>11</v>
      </c>
      <c r="E1409" s="249">
        <f t="shared" si="558"/>
        <v>363.63636000000002</v>
      </c>
      <c r="F1409" s="170">
        <f t="shared" si="558"/>
        <v>368.25454177200004</v>
      </c>
      <c r="G1409" s="250">
        <v>0.1</v>
      </c>
      <c r="H1409" s="171">
        <f t="shared" si="561"/>
        <v>0.1</v>
      </c>
      <c r="I1409" s="249">
        <f t="shared" si="559"/>
        <v>0</v>
      </c>
      <c r="J1409" s="170">
        <f t="shared" si="559"/>
        <v>0</v>
      </c>
      <c r="K1409" s="251"/>
      <c r="L1409" s="172">
        <f t="shared" si="553"/>
        <v>0</v>
      </c>
      <c r="M1409" s="249">
        <f t="shared" si="554"/>
        <v>0</v>
      </c>
      <c r="N1409" s="170">
        <f t="shared" si="562"/>
        <v>0</v>
      </c>
      <c r="O1409" s="251"/>
      <c r="P1409" s="172">
        <f t="shared" si="563"/>
        <v>0</v>
      </c>
      <c r="Q1409" s="251">
        <f t="shared" si="564"/>
        <v>3272.7272400000002</v>
      </c>
      <c r="R1409" s="173">
        <f t="shared" si="565"/>
        <v>3314.2908759480006</v>
      </c>
      <c r="S1409" s="250">
        <v>0.9</v>
      </c>
      <c r="T1409" s="171">
        <f t="shared" si="566"/>
        <v>0.9</v>
      </c>
      <c r="U1409" s="256">
        <v>3636.3636000000001</v>
      </c>
      <c r="V1409" s="170">
        <f t="shared" si="552"/>
        <v>3682.5454177200004</v>
      </c>
      <c r="W1409" s="258">
        <v>0.1</v>
      </c>
      <c r="X1409" s="257">
        <f t="shared" si="568"/>
        <v>3999.9999600000001</v>
      </c>
      <c r="Y1409" s="170">
        <f t="shared" si="560"/>
        <v>4050.7999594920007</v>
      </c>
      <c r="Z1409" s="170">
        <f t="shared" si="567"/>
        <v>4075</v>
      </c>
      <c r="AA1409" s="407">
        <f t="shared" si="556"/>
        <v>0</v>
      </c>
      <c r="AB1409" s="194"/>
    </row>
    <row r="1410" spans="1:28" s="278" customFormat="1" x14ac:dyDescent="0.25">
      <c r="A1410" s="200">
        <v>832290</v>
      </c>
      <c r="B1410" s="313" t="s">
        <v>19977</v>
      </c>
      <c r="C1410" s="248"/>
      <c r="D1410" s="247" t="s">
        <v>11</v>
      </c>
      <c r="E1410" s="249">
        <f t="shared" si="558"/>
        <v>345.45455000000004</v>
      </c>
      <c r="F1410" s="170">
        <f t="shared" si="558"/>
        <v>349.84182278500003</v>
      </c>
      <c r="G1410" s="250">
        <v>0.1</v>
      </c>
      <c r="H1410" s="171">
        <f t="shared" si="561"/>
        <v>0.1</v>
      </c>
      <c r="I1410" s="249">
        <f t="shared" si="559"/>
        <v>0</v>
      </c>
      <c r="J1410" s="170">
        <f t="shared" si="559"/>
        <v>0</v>
      </c>
      <c r="K1410" s="251"/>
      <c r="L1410" s="172">
        <f t="shared" si="553"/>
        <v>0</v>
      </c>
      <c r="M1410" s="249">
        <f t="shared" si="554"/>
        <v>0</v>
      </c>
      <c r="N1410" s="170">
        <f t="shared" si="562"/>
        <v>0</v>
      </c>
      <c r="O1410" s="251"/>
      <c r="P1410" s="172">
        <f t="shared" si="563"/>
        <v>0</v>
      </c>
      <c r="Q1410" s="251">
        <f t="shared" si="564"/>
        <v>3109.0909500000002</v>
      </c>
      <c r="R1410" s="173">
        <f t="shared" si="565"/>
        <v>3148.5764050650005</v>
      </c>
      <c r="S1410" s="250">
        <v>0.9</v>
      </c>
      <c r="T1410" s="171">
        <f t="shared" si="566"/>
        <v>0.9</v>
      </c>
      <c r="U1410" s="256">
        <v>3454.5455000000002</v>
      </c>
      <c r="V1410" s="170">
        <f t="shared" si="552"/>
        <v>3498.4182278500002</v>
      </c>
      <c r="W1410" s="258">
        <v>0.1</v>
      </c>
      <c r="X1410" s="257">
        <f t="shared" si="568"/>
        <v>3800.0000500000001</v>
      </c>
      <c r="Y1410" s="170">
        <f t="shared" si="560"/>
        <v>3848.2600506350004</v>
      </c>
      <c r="Z1410" s="170">
        <f t="shared" si="567"/>
        <v>3850</v>
      </c>
      <c r="AA1410" s="407">
        <f t="shared" si="556"/>
        <v>0</v>
      </c>
      <c r="AB1410" s="194"/>
    </row>
    <row r="1411" spans="1:28" s="278" customFormat="1" x14ac:dyDescent="0.25">
      <c r="A1411" s="200">
        <v>832290</v>
      </c>
      <c r="B1411" s="313" t="s">
        <v>19978</v>
      </c>
      <c r="C1411" s="248"/>
      <c r="D1411" s="247" t="s">
        <v>11</v>
      </c>
      <c r="E1411" s="249">
        <f t="shared" si="558"/>
        <v>318.18182000000002</v>
      </c>
      <c r="F1411" s="170">
        <f t="shared" si="558"/>
        <v>322.22272911400006</v>
      </c>
      <c r="G1411" s="250">
        <v>0.1</v>
      </c>
      <c r="H1411" s="171">
        <f t="shared" si="561"/>
        <v>0.1</v>
      </c>
      <c r="I1411" s="249">
        <f t="shared" si="559"/>
        <v>0</v>
      </c>
      <c r="J1411" s="170">
        <f t="shared" si="559"/>
        <v>0</v>
      </c>
      <c r="K1411" s="251"/>
      <c r="L1411" s="172">
        <f t="shared" si="553"/>
        <v>0</v>
      </c>
      <c r="M1411" s="249">
        <f t="shared" si="554"/>
        <v>0</v>
      </c>
      <c r="N1411" s="170">
        <f t="shared" si="562"/>
        <v>0</v>
      </c>
      <c r="O1411" s="251"/>
      <c r="P1411" s="172">
        <f t="shared" si="563"/>
        <v>0</v>
      </c>
      <c r="Q1411" s="251">
        <f t="shared" si="564"/>
        <v>2863.6363800000004</v>
      </c>
      <c r="R1411" s="173">
        <f t="shared" si="565"/>
        <v>2900.0045620260007</v>
      </c>
      <c r="S1411" s="250">
        <v>0.9</v>
      </c>
      <c r="T1411" s="171">
        <f t="shared" si="566"/>
        <v>0.9</v>
      </c>
      <c r="U1411" s="256">
        <v>3181.8182000000002</v>
      </c>
      <c r="V1411" s="170">
        <f t="shared" si="552"/>
        <v>3222.2272911400005</v>
      </c>
      <c r="W1411" s="258">
        <v>0.1</v>
      </c>
      <c r="X1411" s="257">
        <f t="shared" si="568"/>
        <v>3500.0000200000004</v>
      </c>
      <c r="Y1411" s="170">
        <f t="shared" si="560"/>
        <v>3544.4500202540007</v>
      </c>
      <c r="Z1411" s="170">
        <f t="shared" si="567"/>
        <v>3550</v>
      </c>
      <c r="AA1411" s="407">
        <f t="shared" si="556"/>
        <v>0</v>
      </c>
      <c r="AB1411" s="194"/>
    </row>
    <row r="1412" spans="1:28" s="278" customFormat="1" x14ac:dyDescent="0.25">
      <c r="A1412" s="200">
        <v>832335</v>
      </c>
      <c r="B1412" s="313" t="s">
        <v>19979</v>
      </c>
      <c r="C1412" s="248"/>
      <c r="D1412" s="247" t="s">
        <v>11</v>
      </c>
      <c r="E1412" s="249">
        <f t="shared" si="558"/>
        <v>127.27273000000001</v>
      </c>
      <c r="F1412" s="170">
        <f t="shared" si="558"/>
        <v>128.88909367100004</v>
      </c>
      <c r="G1412" s="250">
        <v>0.1</v>
      </c>
      <c r="H1412" s="171">
        <f t="shared" si="561"/>
        <v>0.1</v>
      </c>
      <c r="I1412" s="249">
        <f t="shared" si="559"/>
        <v>0</v>
      </c>
      <c r="J1412" s="170">
        <f t="shared" si="559"/>
        <v>0</v>
      </c>
      <c r="K1412" s="251"/>
      <c r="L1412" s="172">
        <f t="shared" si="553"/>
        <v>0</v>
      </c>
      <c r="M1412" s="249">
        <f t="shared" si="554"/>
        <v>0</v>
      </c>
      <c r="N1412" s="170">
        <f t="shared" si="562"/>
        <v>0</v>
      </c>
      <c r="O1412" s="251"/>
      <c r="P1412" s="172">
        <f t="shared" si="563"/>
        <v>0</v>
      </c>
      <c r="Q1412" s="251">
        <f t="shared" si="564"/>
        <v>1145.4545700000001</v>
      </c>
      <c r="R1412" s="173">
        <f t="shared" si="565"/>
        <v>1160.0018430390003</v>
      </c>
      <c r="S1412" s="250">
        <v>0.9</v>
      </c>
      <c r="T1412" s="171">
        <f t="shared" si="566"/>
        <v>0.9</v>
      </c>
      <c r="U1412" s="256">
        <v>1272.7273</v>
      </c>
      <c r="V1412" s="170">
        <f t="shared" ref="V1412:V1434" si="569">SUM(E1412*1.0235,I1412*1.0175,M1412*1.0245,Q1412*1.0115)</f>
        <v>1288.8909367100002</v>
      </c>
      <c r="W1412" s="258">
        <v>0.1</v>
      </c>
      <c r="X1412" s="257">
        <f t="shared" si="568"/>
        <v>1400.0000299999999</v>
      </c>
      <c r="Y1412" s="170">
        <f t="shared" si="560"/>
        <v>1417.7800303810004</v>
      </c>
      <c r="Z1412" s="170">
        <f t="shared" si="567"/>
        <v>1425</v>
      </c>
      <c r="AA1412" s="407">
        <f t="shared" si="556"/>
        <v>0</v>
      </c>
      <c r="AB1412" s="194"/>
    </row>
    <row r="1413" spans="1:28" s="278" customFormat="1" ht="14.4" thickBot="1" x14ac:dyDescent="0.3">
      <c r="A1413" s="263">
        <v>832335</v>
      </c>
      <c r="B1413" s="321" t="s">
        <v>19980</v>
      </c>
      <c r="C1413" s="265"/>
      <c r="D1413" s="264" t="s">
        <v>11</v>
      </c>
      <c r="E1413" s="266">
        <f t="shared" si="558"/>
        <v>109.09091000000001</v>
      </c>
      <c r="F1413" s="174">
        <f t="shared" si="558"/>
        <v>110.47636455700001</v>
      </c>
      <c r="G1413" s="267">
        <v>0.1</v>
      </c>
      <c r="H1413" s="268">
        <f t="shared" si="561"/>
        <v>0.1</v>
      </c>
      <c r="I1413" s="266">
        <f t="shared" si="559"/>
        <v>0</v>
      </c>
      <c r="J1413" s="174">
        <f t="shared" si="559"/>
        <v>0</v>
      </c>
      <c r="K1413" s="267"/>
      <c r="L1413" s="269">
        <f t="shared" si="553"/>
        <v>0</v>
      </c>
      <c r="M1413" s="266">
        <f t="shared" si="554"/>
        <v>0</v>
      </c>
      <c r="N1413" s="174">
        <f t="shared" si="562"/>
        <v>0</v>
      </c>
      <c r="O1413" s="267"/>
      <c r="P1413" s="269">
        <f t="shared" si="563"/>
        <v>0</v>
      </c>
      <c r="Q1413" s="270">
        <f t="shared" si="564"/>
        <v>981.81819000000007</v>
      </c>
      <c r="R1413" s="271">
        <f t="shared" si="565"/>
        <v>994.2872810130001</v>
      </c>
      <c r="S1413" s="267">
        <v>0.9</v>
      </c>
      <c r="T1413" s="268">
        <f t="shared" si="566"/>
        <v>0.9</v>
      </c>
      <c r="U1413" s="409">
        <v>1090.9091000000001</v>
      </c>
      <c r="V1413" s="174">
        <f t="shared" si="569"/>
        <v>1104.7636455700001</v>
      </c>
      <c r="W1413" s="322">
        <v>0.1</v>
      </c>
      <c r="X1413" s="274">
        <f t="shared" si="568"/>
        <v>1200.0000100000002</v>
      </c>
      <c r="Y1413" s="174">
        <f t="shared" si="560"/>
        <v>1215.2400101270002</v>
      </c>
      <c r="Z1413" s="174">
        <f t="shared" si="567"/>
        <v>1225</v>
      </c>
      <c r="AA1413" s="410">
        <f t="shared" si="556"/>
        <v>0</v>
      </c>
      <c r="AB1413" s="194"/>
    </row>
    <row r="1414" spans="1:28" s="278" customFormat="1" x14ac:dyDescent="0.25">
      <c r="A1414" s="426">
        <v>832336</v>
      </c>
      <c r="B1414" s="427" t="s">
        <v>14841</v>
      </c>
      <c r="C1414" s="428"/>
      <c r="D1414" s="429" t="s">
        <v>11</v>
      </c>
      <c r="E1414" s="423">
        <f t="shared" si="558"/>
        <v>136.36364</v>
      </c>
      <c r="F1414" s="430">
        <f t="shared" si="558"/>
        <v>138.09545822800004</v>
      </c>
      <c r="G1414" s="431">
        <v>0.1</v>
      </c>
      <c r="H1414" s="432">
        <f t="shared" si="561"/>
        <v>0.1</v>
      </c>
      <c r="I1414" s="423">
        <f t="shared" si="559"/>
        <v>0</v>
      </c>
      <c r="J1414" s="430">
        <f t="shared" si="559"/>
        <v>0</v>
      </c>
      <c r="K1414" s="431"/>
      <c r="L1414" s="433">
        <f t="shared" si="553"/>
        <v>0</v>
      </c>
      <c r="M1414" s="423">
        <f t="shared" si="554"/>
        <v>0</v>
      </c>
      <c r="N1414" s="430">
        <f t="shared" si="562"/>
        <v>0</v>
      </c>
      <c r="O1414" s="431"/>
      <c r="P1414" s="433">
        <f t="shared" si="563"/>
        <v>0</v>
      </c>
      <c r="Q1414" s="425">
        <f t="shared" si="564"/>
        <v>1227.2727600000001</v>
      </c>
      <c r="R1414" s="434">
        <f t="shared" si="565"/>
        <v>1242.8591240520002</v>
      </c>
      <c r="S1414" s="431">
        <v>0.9</v>
      </c>
      <c r="T1414" s="432">
        <f t="shared" si="566"/>
        <v>0.9</v>
      </c>
      <c r="U1414" s="435">
        <v>1363.6364000000001</v>
      </c>
      <c r="V1414" s="430">
        <f t="shared" si="569"/>
        <v>1380.9545822800003</v>
      </c>
      <c r="W1414" s="424">
        <v>0.1</v>
      </c>
      <c r="X1414" s="436">
        <f t="shared" si="568"/>
        <v>1500.0000400000001</v>
      </c>
      <c r="Y1414" s="430">
        <f t="shared" si="560"/>
        <v>1519.0500405080004</v>
      </c>
      <c r="Z1414" s="430">
        <f t="shared" si="567"/>
        <v>1525</v>
      </c>
      <c r="AA1414" s="437">
        <f t="shared" si="556"/>
        <v>0</v>
      </c>
      <c r="AB1414" s="194"/>
    </row>
    <row r="1415" spans="1:28" s="278" customFormat="1" x14ac:dyDescent="0.25">
      <c r="A1415" s="200">
        <v>832336</v>
      </c>
      <c r="B1415" s="313" t="s">
        <v>19981</v>
      </c>
      <c r="C1415" s="248"/>
      <c r="D1415" s="247" t="s">
        <v>11</v>
      </c>
      <c r="E1415" s="249">
        <f t="shared" si="558"/>
        <v>263.63636000000002</v>
      </c>
      <c r="F1415" s="170">
        <f t="shared" si="558"/>
        <v>266.984541772</v>
      </c>
      <c r="G1415" s="250">
        <v>0.1</v>
      </c>
      <c r="H1415" s="171">
        <f t="shared" si="561"/>
        <v>0.1</v>
      </c>
      <c r="I1415" s="249">
        <f t="shared" si="559"/>
        <v>0</v>
      </c>
      <c r="J1415" s="170">
        <f t="shared" si="559"/>
        <v>0</v>
      </c>
      <c r="K1415" s="251"/>
      <c r="L1415" s="172">
        <f t="shared" si="553"/>
        <v>0</v>
      </c>
      <c r="M1415" s="249">
        <f t="shared" si="554"/>
        <v>0</v>
      </c>
      <c r="N1415" s="170">
        <f t="shared" si="562"/>
        <v>0</v>
      </c>
      <c r="O1415" s="251"/>
      <c r="P1415" s="172">
        <f t="shared" si="563"/>
        <v>0</v>
      </c>
      <c r="Q1415" s="251">
        <f t="shared" si="564"/>
        <v>2372.7272400000002</v>
      </c>
      <c r="R1415" s="173">
        <f t="shared" si="565"/>
        <v>2402.8608759480003</v>
      </c>
      <c r="S1415" s="250">
        <v>0.9</v>
      </c>
      <c r="T1415" s="171">
        <f t="shared" si="566"/>
        <v>0.9</v>
      </c>
      <c r="U1415" s="256">
        <v>2636.3636000000001</v>
      </c>
      <c r="V1415" s="170">
        <f t="shared" si="569"/>
        <v>2669.8454177200001</v>
      </c>
      <c r="W1415" s="258">
        <v>0.1</v>
      </c>
      <c r="X1415" s="257">
        <f t="shared" si="568"/>
        <v>2899.9999600000001</v>
      </c>
      <c r="Y1415" s="170">
        <f t="shared" si="560"/>
        <v>2936.8299594920004</v>
      </c>
      <c r="Z1415" s="170">
        <f t="shared" si="567"/>
        <v>2950</v>
      </c>
      <c r="AA1415" s="407">
        <f t="shared" si="556"/>
        <v>0</v>
      </c>
      <c r="AB1415" s="194"/>
    </row>
    <row r="1416" spans="1:28" s="278" customFormat="1" x14ac:dyDescent="0.25">
      <c r="A1416" s="200">
        <v>832350</v>
      </c>
      <c r="B1416" s="313" t="s">
        <v>19982</v>
      </c>
      <c r="C1416" s="248"/>
      <c r="D1416" s="247" t="s">
        <v>11</v>
      </c>
      <c r="E1416" s="249">
        <f t="shared" si="558"/>
        <v>86.363640000000004</v>
      </c>
      <c r="F1416" s="170">
        <f t="shared" si="558"/>
        <v>87.460458228000007</v>
      </c>
      <c r="G1416" s="250">
        <v>0.1</v>
      </c>
      <c r="H1416" s="171">
        <f t="shared" si="561"/>
        <v>0.1</v>
      </c>
      <c r="I1416" s="249">
        <f t="shared" si="559"/>
        <v>0</v>
      </c>
      <c r="J1416" s="170">
        <f t="shared" si="559"/>
        <v>0</v>
      </c>
      <c r="K1416" s="251"/>
      <c r="L1416" s="172">
        <f t="shared" si="553"/>
        <v>0</v>
      </c>
      <c r="M1416" s="249">
        <f t="shared" si="554"/>
        <v>0</v>
      </c>
      <c r="N1416" s="170">
        <f t="shared" si="562"/>
        <v>0</v>
      </c>
      <c r="O1416" s="251"/>
      <c r="P1416" s="172">
        <f t="shared" si="563"/>
        <v>0</v>
      </c>
      <c r="Q1416" s="251">
        <f t="shared" si="564"/>
        <v>777.27275999999995</v>
      </c>
      <c r="R1416" s="173">
        <f t="shared" si="565"/>
        <v>787.14412405200005</v>
      </c>
      <c r="S1416" s="250">
        <v>0.9</v>
      </c>
      <c r="T1416" s="171">
        <f t="shared" si="566"/>
        <v>0.9</v>
      </c>
      <c r="U1416" s="256">
        <v>863.63639999999998</v>
      </c>
      <c r="V1416" s="170">
        <f t="shared" si="569"/>
        <v>874.60458228000005</v>
      </c>
      <c r="W1416" s="258">
        <v>0.1</v>
      </c>
      <c r="X1416" s="257">
        <f t="shared" si="568"/>
        <v>950.00004000000001</v>
      </c>
      <c r="Y1416" s="170">
        <f t="shared" si="560"/>
        <v>962.06504050800015</v>
      </c>
      <c r="Z1416" s="170">
        <f t="shared" si="567"/>
        <v>965</v>
      </c>
      <c r="AA1416" s="407">
        <f t="shared" si="556"/>
        <v>0</v>
      </c>
      <c r="AB1416" s="194"/>
    </row>
    <row r="1417" spans="1:28" s="278" customFormat="1" x14ac:dyDescent="0.25">
      <c r="A1417" s="200">
        <v>832350</v>
      </c>
      <c r="B1417" s="313" t="s">
        <v>19983</v>
      </c>
      <c r="C1417" s="248"/>
      <c r="D1417" s="247" t="s">
        <v>11</v>
      </c>
      <c r="E1417" s="249">
        <f t="shared" si="558"/>
        <v>72.727270000000004</v>
      </c>
      <c r="F1417" s="170">
        <f t="shared" si="558"/>
        <v>73.650906328999994</v>
      </c>
      <c r="G1417" s="250">
        <v>0.1</v>
      </c>
      <c r="H1417" s="171">
        <f t="shared" si="561"/>
        <v>0.1</v>
      </c>
      <c r="I1417" s="249">
        <f t="shared" si="559"/>
        <v>0</v>
      </c>
      <c r="J1417" s="170">
        <f t="shared" si="559"/>
        <v>0</v>
      </c>
      <c r="K1417" s="251"/>
      <c r="L1417" s="172">
        <f t="shared" si="553"/>
        <v>0</v>
      </c>
      <c r="M1417" s="249">
        <f t="shared" si="554"/>
        <v>0</v>
      </c>
      <c r="N1417" s="170">
        <f t="shared" si="562"/>
        <v>0</v>
      </c>
      <c r="O1417" s="251"/>
      <c r="P1417" s="172">
        <f t="shared" si="563"/>
        <v>0</v>
      </c>
      <c r="Q1417" s="251">
        <f t="shared" si="564"/>
        <v>654.54543000000001</v>
      </c>
      <c r="R1417" s="173">
        <f t="shared" si="565"/>
        <v>662.85815696099996</v>
      </c>
      <c r="S1417" s="250">
        <v>0.9</v>
      </c>
      <c r="T1417" s="171">
        <f t="shared" si="566"/>
        <v>0.9</v>
      </c>
      <c r="U1417" s="256">
        <v>727.27269999999999</v>
      </c>
      <c r="V1417" s="170">
        <f t="shared" si="569"/>
        <v>736.50906328999997</v>
      </c>
      <c r="W1417" s="258">
        <v>0.1</v>
      </c>
      <c r="X1417" s="257">
        <f t="shared" si="568"/>
        <v>799.99996999999996</v>
      </c>
      <c r="Y1417" s="170">
        <f t="shared" si="560"/>
        <v>810.15996961899998</v>
      </c>
      <c r="Z1417" s="170">
        <f t="shared" si="567"/>
        <v>815</v>
      </c>
      <c r="AA1417" s="407">
        <f t="shared" si="556"/>
        <v>0</v>
      </c>
      <c r="AB1417" s="194"/>
    </row>
    <row r="1418" spans="1:28" s="278" customFormat="1" x14ac:dyDescent="0.25">
      <c r="A1418" s="200">
        <v>832545</v>
      </c>
      <c r="B1418" s="313" t="s">
        <v>19984</v>
      </c>
      <c r="C1418" s="248"/>
      <c r="D1418" s="247" t="s">
        <v>11</v>
      </c>
      <c r="E1418" s="249">
        <f t="shared" si="558"/>
        <v>218.18182000000002</v>
      </c>
      <c r="F1418" s="170">
        <f t="shared" si="558"/>
        <v>220.95272911400002</v>
      </c>
      <c r="G1418" s="250">
        <v>0.1</v>
      </c>
      <c r="H1418" s="171">
        <f t="shared" si="561"/>
        <v>0.1</v>
      </c>
      <c r="I1418" s="249">
        <f t="shared" si="559"/>
        <v>0</v>
      </c>
      <c r="J1418" s="170">
        <f t="shared" si="559"/>
        <v>0</v>
      </c>
      <c r="K1418" s="251"/>
      <c r="L1418" s="172">
        <f t="shared" si="553"/>
        <v>0</v>
      </c>
      <c r="M1418" s="249">
        <f t="shared" si="554"/>
        <v>0</v>
      </c>
      <c r="N1418" s="170">
        <f t="shared" si="562"/>
        <v>0</v>
      </c>
      <c r="O1418" s="251"/>
      <c r="P1418" s="172">
        <f t="shared" si="563"/>
        <v>0</v>
      </c>
      <c r="Q1418" s="251">
        <f t="shared" si="564"/>
        <v>1963.6363800000001</v>
      </c>
      <c r="R1418" s="173">
        <f t="shared" si="565"/>
        <v>1988.5745620260002</v>
      </c>
      <c r="S1418" s="250">
        <v>0.9</v>
      </c>
      <c r="T1418" s="171">
        <f t="shared" si="566"/>
        <v>0.9</v>
      </c>
      <c r="U1418" s="256">
        <v>2181.8182000000002</v>
      </c>
      <c r="V1418" s="170">
        <f t="shared" si="569"/>
        <v>2209.5272911400002</v>
      </c>
      <c r="W1418" s="258">
        <v>0.1</v>
      </c>
      <c r="X1418" s="257">
        <f t="shared" si="568"/>
        <v>2400.0000200000004</v>
      </c>
      <c r="Y1418" s="170">
        <f t="shared" si="560"/>
        <v>2430.4800202540005</v>
      </c>
      <c r="Z1418" s="170">
        <f t="shared" si="567"/>
        <v>2450</v>
      </c>
      <c r="AA1418" s="407">
        <f t="shared" si="556"/>
        <v>0</v>
      </c>
      <c r="AB1418" s="194"/>
    </row>
    <row r="1419" spans="1:28" s="278" customFormat="1" x14ac:dyDescent="0.25">
      <c r="A1419" s="200">
        <v>832545</v>
      </c>
      <c r="B1419" s="313" t="s">
        <v>19985</v>
      </c>
      <c r="C1419" s="248"/>
      <c r="D1419" s="247" t="s">
        <v>11</v>
      </c>
      <c r="E1419" s="249">
        <f t="shared" si="558"/>
        <v>181.81818000000001</v>
      </c>
      <c r="F1419" s="170">
        <f t="shared" si="558"/>
        <v>184.12727088600002</v>
      </c>
      <c r="G1419" s="250">
        <v>0.1</v>
      </c>
      <c r="H1419" s="171">
        <f t="shared" si="561"/>
        <v>0.1</v>
      </c>
      <c r="I1419" s="249">
        <f t="shared" si="559"/>
        <v>0</v>
      </c>
      <c r="J1419" s="170">
        <f t="shared" si="559"/>
        <v>0</v>
      </c>
      <c r="K1419" s="251"/>
      <c r="L1419" s="172">
        <f t="shared" si="553"/>
        <v>0</v>
      </c>
      <c r="M1419" s="249">
        <f t="shared" si="554"/>
        <v>0</v>
      </c>
      <c r="N1419" s="170">
        <f t="shared" si="562"/>
        <v>0</v>
      </c>
      <c r="O1419" s="251"/>
      <c r="P1419" s="172">
        <f t="shared" si="563"/>
        <v>0</v>
      </c>
      <c r="Q1419" s="251">
        <f t="shared" si="564"/>
        <v>1636.3636200000001</v>
      </c>
      <c r="R1419" s="173">
        <f t="shared" si="565"/>
        <v>1657.1454379740003</v>
      </c>
      <c r="S1419" s="250">
        <v>0.9</v>
      </c>
      <c r="T1419" s="171">
        <f t="shared" si="566"/>
        <v>0.9</v>
      </c>
      <c r="U1419" s="256">
        <v>1818.1818000000001</v>
      </c>
      <c r="V1419" s="170">
        <f t="shared" si="569"/>
        <v>1841.2727088600002</v>
      </c>
      <c r="W1419" s="258">
        <v>0.1</v>
      </c>
      <c r="X1419" s="257">
        <f t="shared" si="568"/>
        <v>1999.9999800000001</v>
      </c>
      <c r="Y1419" s="170">
        <f t="shared" si="560"/>
        <v>2025.3999797460003</v>
      </c>
      <c r="Z1419" s="170">
        <f t="shared" si="567"/>
        <v>2050</v>
      </c>
      <c r="AA1419" s="407">
        <f t="shared" si="556"/>
        <v>0</v>
      </c>
      <c r="AB1419" s="194"/>
    </row>
    <row r="1420" spans="1:28" s="278" customFormat="1" x14ac:dyDescent="0.25">
      <c r="A1420" s="200">
        <v>832550</v>
      </c>
      <c r="B1420" s="313" t="s">
        <v>19986</v>
      </c>
      <c r="C1420" s="248"/>
      <c r="D1420" s="247" t="s">
        <v>11</v>
      </c>
      <c r="E1420" s="249">
        <f t="shared" si="558"/>
        <v>363.63636000000002</v>
      </c>
      <c r="F1420" s="170">
        <f t="shared" si="558"/>
        <v>368.25454177200004</v>
      </c>
      <c r="G1420" s="250">
        <v>0.1</v>
      </c>
      <c r="H1420" s="171">
        <f t="shared" si="561"/>
        <v>0.1</v>
      </c>
      <c r="I1420" s="249">
        <f t="shared" si="559"/>
        <v>0</v>
      </c>
      <c r="J1420" s="170">
        <f t="shared" si="559"/>
        <v>0</v>
      </c>
      <c r="K1420" s="251"/>
      <c r="L1420" s="172">
        <f t="shared" si="553"/>
        <v>0</v>
      </c>
      <c r="M1420" s="249">
        <f t="shared" si="554"/>
        <v>0</v>
      </c>
      <c r="N1420" s="170">
        <f t="shared" si="562"/>
        <v>0</v>
      </c>
      <c r="O1420" s="251"/>
      <c r="P1420" s="172">
        <f t="shared" si="563"/>
        <v>0</v>
      </c>
      <c r="Q1420" s="251">
        <f t="shared" si="564"/>
        <v>3272.7272400000002</v>
      </c>
      <c r="R1420" s="173">
        <f t="shared" si="565"/>
        <v>3314.2908759480006</v>
      </c>
      <c r="S1420" s="250">
        <v>0.9</v>
      </c>
      <c r="T1420" s="171">
        <f t="shared" si="566"/>
        <v>0.9</v>
      </c>
      <c r="U1420" s="256">
        <v>3636.3636000000001</v>
      </c>
      <c r="V1420" s="170">
        <f t="shared" si="569"/>
        <v>3682.5454177200004</v>
      </c>
      <c r="W1420" s="258">
        <v>0.1</v>
      </c>
      <c r="X1420" s="257">
        <f t="shared" si="568"/>
        <v>3999.9999600000001</v>
      </c>
      <c r="Y1420" s="170">
        <f t="shared" si="560"/>
        <v>4050.7999594920007</v>
      </c>
      <c r="Z1420" s="170">
        <f t="shared" si="567"/>
        <v>4075</v>
      </c>
      <c r="AA1420" s="407">
        <f t="shared" si="556"/>
        <v>0</v>
      </c>
      <c r="AB1420" s="194"/>
    </row>
    <row r="1421" spans="1:28" s="278" customFormat="1" x14ac:dyDescent="0.25">
      <c r="A1421" s="200">
        <v>832550</v>
      </c>
      <c r="B1421" s="313" t="s">
        <v>19987</v>
      </c>
      <c r="C1421" s="248"/>
      <c r="D1421" s="247" t="s">
        <v>11</v>
      </c>
      <c r="E1421" s="249">
        <f t="shared" si="558"/>
        <v>272.72727000000003</v>
      </c>
      <c r="F1421" s="170">
        <f t="shared" si="558"/>
        <v>276.19090632900009</v>
      </c>
      <c r="G1421" s="250">
        <v>0.1</v>
      </c>
      <c r="H1421" s="171">
        <f t="shared" si="561"/>
        <v>0.1</v>
      </c>
      <c r="I1421" s="249">
        <f t="shared" si="559"/>
        <v>0</v>
      </c>
      <c r="J1421" s="170">
        <f t="shared" si="559"/>
        <v>0</v>
      </c>
      <c r="K1421" s="251"/>
      <c r="L1421" s="172">
        <f t="shared" si="553"/>
        <v>0</v>
      </c>
      <c r="M1421" s="249">
        <f t="shared" si="554"/>
        <v>0</v>
      </c>
      <c r="N1421" s="170">
        <f t="shared" si="562"/>
        <v>0</v>
      </c>
      <c r="O1421" s="251"/>
      <c r="P1421" s="172">
        <f t="shared" si="563"/>
        <v>0</v>
      </c>
      <c r="Q1421" s="251">
        <f t="shared" si="564"/>
        <v>2454.5454300000001</v>
      </c>
      <c r="R1421" s="173">
        <f t="shared" si="565"/>
        <v>2485.7181569610007</v>
      </c>
      <c r="S1421" s="250">
        <v>0.9</v>
      </c>
      <c r="T1421" s="171">
        <f t="shared" si="566"/>
        <v>0.9</v>
      </c>
      <c r="U1421" s="256">
        <v>2727.2727</v>
      </c>
      <c r="V1421" s="170">
        <f t="shared" si="569"/>
        <v>2761.9090632900006</v>
      </c>
      <c r="W1421" s="258">
        <v>0.1</v>
      </c>
      <c r="X1421" s="257">
        <f t="shared" si="568"/>
        <v>2999.9999699999998</v>
      </c>
      <c r="Y1421" s="170">
        <f t="shared" si="560"/>
        <v>3038.0999696190011</v>
      </c>
      <c r="Z1421" s="170">
        <f t="shared" si="567"/>
        <v>3050</v>
      </c>
      <c r="AA1421" s="407">
        <f t="shared" si="556"/>
        <v>0</v>
      </c>
      <c r="AB1421" s="194"/>
    </row>
    <row r="1422" spans="1:28" s="278" customFormat="1" x14ac:dyDescent="0.25">
      <c r="A1422" s="200">
        <v>832550</v>
      </c>
      <c r="B1422" s="313" t="s">
        <v>19988</v>
      </c>
      <c r="C1422" s="248"/>
      <c r="D1422" s="247" t="s">
        <v>11</v>
      </c>
      <c r="E1422" s="249">
        <f t="shared" si="558"/>
        <v>90.909090909090907</v>
      </c>
      <c r="F1422" s="170">
        <f t="shared" si="558"/>
        <v>92.063636363636363</v>
      </c>
      <c r="G1422" s="250">
        <v>0.1</v>
      </c>
      <c r="H1422" s="171">
        <f t="shared" si="561"/>
        <v>0.1</v>
      </c>
      <c r="I1422" s="249">
        <f t="shared" si="559"/>
        <v>0</v>
      </c>
      <c r="J1422" s="170">
        <f t="shared" si="559"/>
        <v>0</v>
      </c>
      <c r="K1422" s="251"/>
      <c r="L1422" s="172">
        <f t="shared" si="553"/>
        <v>0</v>
      </c>
      <c r="M1422" s="249">
        <f t="shared" si="554"/>
        <v>0</v>
      </c>
      <c r="N1422" s="170">
        <f t="shared" si="562"/>
        <v>0</v>
      </c>
      <c r="O1422" s="251"/>
      <c r="P1422" s="172">
        <f t="shared" si="563"/>
        <v>0</v>
      </c>
      <c r="Q1422" s="251">
        <f t="shared" si="564"/>
        <v>818.18181818181813</v>
      </c>
      <c r="R1422" s="173">
        <f t="shared" si="565"/>
        <v>828.57272727272732</v>
      </c>
      <c r="S1422" s="250">
        <v>0.9</v>
      </c>
      <c r="T1422" s="171">
        <f t="shared" si="566"/>
        <v>0.9</v>
      </c>
      <c r="U1422" s="256">
        <f>1000/1.1</f>
        <v>909.09090909090901</v>
      </c>
      <c r="V1422" s="170">
        <f t="shared" si="569"/>
        <v>920.63636363636363</v>
      </c>
      <c r="W1422" s="258">
        <v>0.1</v>
      </c>
      <c r="X1422" s="257">
        <v>1000</v>
      </c>
      <c r="Y1422" s="170">
        <f t="shared" si="560"/>
        <v>1012.7</v>
      </c>
      <c r="Z1422" s="170">
        <f t="shared" si="567"/>
        <v>1025</v>
      </c>
      <c r="AA1422" s="407">
        <f t="shared" si="556"/>
        <v>0</v>
      </c>
      <c r="AB1422" s="194"/>
    </row>
    <row r="1423" spans="1:28" s="278" customFormat="1" x14ac:dyDescent="0.25">
      <c r="A1423" s="200">
        <v>832806</v>
      </c>
      <c r="B1423" s="313" t="s">
        <v>14842</v>
      </c>
      <c r="C1423" s="248"/>
      <c r="D1423" s="247" t="s">
        <v>11</v>
      </c>
      <c r="E1423" s="249">
        <f t="shared" si="558"/>
        <v>72.727270000000004</v>
      </c>
      <c r="F1423" s="170">
        <f t="shared" si="558"/>
        <v>73.650906328999994</v>
      </c>
      <c r="G1423" s="250">
        <v>0.1</v>
      </c>
      <c r="H1423" s="171">
        <f t="shared" si="561"/>
        <v>0.1</v>
      </c>
      <c r="I1423" s="249">
        <f t="shared" si="559"/>
        <v>0</v>
      </c>
      <c r="J1423" s="170">
        <f t="shared" si="559"/>
        <v>0</v>
      </c>
      <c r="K1423" s="251"/>
      <c r="L1423" s="172">
        <f t="shared" si="553"/>
        <v>0</v>
      </c>
      <c r="M1423" s="249">
        <f t="shared" si="554"/>
        <v>0</v>
      </c>
      <c r="N1423" s="170">
        <f t="shared" si="562"/>
        <v>0</v>
      </c>
      <c r="O1423" s="251"/>
      <c r="P1423" s="172">
        <f t="shared" si="563"/>
        <v>0</v>
      </c>
      <c r="Q1423" s="251">
        <f t="shared" si="564"/>
        <v>654.54543000000001</v>
      </c>
      <c r="R1423" s="173">
        <f t="shared" si="565"/>
        <v>662.85815696099996</v>
      </c>
      <c r="S1423" s="250">
        <v>0.9</v>
      </c>
      <c r="T1423" s="171">
        <f t="shared" si="566"/>
        <v>0.9</v>
      </c>
      <c r="U1423" s="256">
        <v>727.27269999999999</v>
      </c>
      <c r="V1423" s="170">
        <f t="shared" si="569"/>
        <v>736.50906328999997</v>
      </c>
      <c r="W1423" s="258">
        <v>0.1</v>
      </c>
      <c r="X1423" s="257">
        <f t="shared" ref="X1423:X1434" si="570">U1423+U1423*W1423</f>
        <v>799.99996999999996</v>
      </c>
      <c r="Y1423" s="170">
        <f t="shared" si="560"/>
        <v>810.15996961899998</v>
      </c>
      <c r="Z1423" s="170">
        <f t="shared" si="567"/>
        <v>815</v>
      </c>
      <c r="AA1423" s="407">
        <f t="shared" si="556"/>
        <v>0</v>
      </c>
      <c r="AB1423" s="194"/>
    </row>
    <row r="1424" spans="1:28" s="278" customFormat="1" x14ac:dyDescent="0.25">
      <c r="A1424" s="200">
        <v>832806</v>
      </c>
      <c r="B1424" s="313" t="s">
        <v>14843</v>
      </c>
      <c r="C1424" s="248"/>
      <c r="D1424" s="247" t="s">
        <v>11</v>
      </c>
      <c r="E1424" s="249">
        <f t="shared" si="558"/>
        <v>68.181820000000002</v>
      </c>
      <c r="F1424" s="170">
        <f t="shared" si="558"/>
        <v>69.04772911400002</v>
      </c>
      <c r="G1424" s="250">
        <v>0.1</v>
      </c>
      <c r="H1424" s="171">
        <f t="shared" si="561"/>
        <v>0.1</v>
      </c>
      <c r="I1424" s="249">
        <f t="shared" si="559"/>
        <v>0</v>
      </c>
      <c r="J1424" s="170">
        <f t="shared" si="559"/>
        <v>0</v>
      </c>
      <c r="K1424" s="251"/>
      <c r="L1424" s="172">
        <f t="shared" si="553"/>
        <v>0</v>
      </c>
      <c r="M1424" s="249">
        <f t="shared" si="554"/>
        <v>0</v>
      </c>
      <c r="N1424" s="170">
        <f t="shared" si="562"/>
        <v>0</v>
      </c>
      <c r="O1424" s="251"/>
      <c r="P1424" s="172">
        <f t="shared" si="563"/>
        <v>0</v>
      </c>
      <c r="Q1424" s="251">
        <f t="shared" si="564"/>
        <v>613.63638000000003</v>
      </c>
      <c r="R1424" s="173">
        <f t="shared" si="565"/>
        <v>621.4295620260001</v>
      </c>
      <c r="S1424" s="250">
        <v>0.9</v>
      </c>
      <c r="T1424" s="171">
        <f t="shared" si="566"/>
        <v>0.9</v>
      </c>
      <c r="U1424" s="256">
        <v>681.81820000000005</v>
      </c>
      <c r="V1424" s="170">
        <f t="shared" si="569"/>
        <v>690.47729114000015</v>
      </c>
      <c r="W1424" s="258">
        <v>0.1</v>
      </c>
      <c r="X1424" s="257">
        <f t="shared" si="570"/>
        <v>750.00002000000006</v>
      </c>
      <c r="Y1424" s="170">
        <f t="shared" si="560"/>
        <v>759.5250202540002</v>
      </c>
      <c r="Z1424" s="170">
        <f t="shared" si="567"/>
        <v>760</v>
      </c>
      <c r="AA1424" s="407">
        <f t="shared" si="556"/>
        <v>0</v>
      </c>
      <c r="AB1424" s="194"/>
    </row>
    <row r="1425" spans="1:30" x14ac:dyDescent="0.25">
      <c r="A1425" s="200">
        <v>832807</v>
      </c>
      <c r="B1425" s="313" t="s">
        <v>14844</v>
      </c>
      <c r="C1425" s="248"/>
      <c r="D1425" s="247" t="s">
        <v>11</v>
      </c>
      <c r="E1425" s="249">
        <f t="shared" si="558"/>
        <v>77.27273000000001</v>
      </c>
      <c r="F1425" s="170">
        <f t="shared" si="558"/>
        <v>78.254093671000021</v>
      </c>
      <c r="G1425" s="250">
        <v>0.1</v>
      </c>
      <c r="H1425" s="171">
        <f t="shared" si="561"/>
        <v>0.1</v>
      </c>
      <c r="I1425" s="249">
        <f t="shared" si="559"/>
        <v>0</v>
      </c>
      <c r="J1425" s="170">
        <f t="shared" si="559"/>
        <v>0</v>
      </c>
      <c r="K1425" s="251"/>
      <c r="L1425" s="172">
        <f t="shared" si="553"/>
        <v>0</v>
      </c>
      <c r="M1425" s="249">
        <f t="shared" si="554"/>
        <v>0</v>
      </c>
      <c r="N1425" s="170">
        <f t="shared" si="562"/>
        <v>0</v>
      </c>
      <c r="O1425" s="251"/>
      <c r="P1425" s="172">
        <f t="shared" si="563"/>
        <v>0</v>
      </c>
      <c r="Q1425" s="251">
        <f t="shared" si="564"/>
        <v>695.45456999999999</v>
      </c>
      <c r="R1425" s="173">
        <f t="shared" si="565"/>
        <v>704.28684303900013</v>
      </c>
      <c r="S1425" s="250">
        <v>0.9</v>
      </c>
      <c r="T1425" s="171">
        <f t="shared" si="566"/>
        <v>0.9</v>
      </c>
      <c r="U1425" s="256">
        <v>772.72730000000001</v>
      </c>
      <c r="V1425" s="170">
        <f t="shared" si="569"/>
        <v>782.5409367100001</v>
      </c>
      <c r="W1425" s="258">
        <v>0.1</v>
      </c>
      <c r="X1425" s="257">
        <f t="shared" si="570"/>
        <v>850.00003000000004</v>
      </c>
      <c r="Y1425" s="170">
        <f t="shared" si="560"/>
        <v>860.79503038100017</v>
      </c>
      <c r="Z1425" s="170">
        <f t="shared" si="567"/>
        <v>865</v>
      </c>
      <c r="AA1425" s="407">
        <f t="shared" si="556"/>
        <v>0</v>
      </c>
      <c r="AB1425" s="194"/>
      <c r="AC1425" s="278"/>
    </row>
    <row r="1426" spans="1:30" x14ac:dyDescent="0.25">
      <c r="A1426" s="200">
        <v>832807</v>
      </c>
      <c r="B1426" s="313" t="s">
        <v>14845</v>
      </c>
      <c r="C1426" s="248"/>
      <c r="D1426" s="247" t="s">
        <v>11</v>
      </c>
      <c r="E1426" s="249">
        <f t="shared" si="558"/>
        <v>72.727270000000004</v>
      </c>
      <c r="F1426" s="170">
        <f t="shared" si="558"/>
        <v>73.650906328999994</v>
      </c>
      <c r="G1426" s="250">
        <v>0.1</v>
      </c>
      <c r="H1426" s="171">
        <f t="shared" si="561"/>
        <v>0.1</v>
      </c>
      <c r="I1426" s="249">
        <f t="shared" si="559"/>
        <v>0</v>
      </c>
      <c r="J1426" s="170">
        <f t="shared" si="559"/>
        <v>0</v>
      </c>
      <c r="K1426" s="251"/>
      <c r="L1426" s="172">
        <f t="shared" si="553"/>
        <v>0</v>
      </c>
      <c r="M1426" s="249">
        <f t="shared" si="554"/>
        <v>0</v>
      </c>
      <c r="N1426" s="170">
        <f t="shared" si="562"/>
        <v>0</v>
      </c>
      <c r="O1426" s="251"/>
      <c r="P1426" s="172">
        <f t="shared" si="563"/>
        <v>0</v>
      </c>
      <c r="Q1426" s="251">
        <f t="shared" si="564"/>
        <v>654.54543000000001</v>
      </c>
      <c r="R1426" s="173">
        <f t="shared" si="565"/>
        <v>662.85815696099996</v>
      </c>
      <c r="S1426" s="250">
        <v>0.9</v>
      </c>
      <c r="T1426" s="171">
        <f t="shared" si="566"/>
        <v>0.9</v>
      </c>
      <c r="U1426" s="256">
        <v>727.27269999999999</v>
      </c>
      <c r="V1426" s="170">
        <f t="shared" si="569"/>
        <v>736.50906328999997</v>
      </c>
      <c r="W1426" s="258">
        <v>0.1</v>
      </c>
      <c r="X1426" s="257">
        <f t="shared" si="570"/>
        <v>799.99996999999996</v>
      </c>
      <c r="Y1426" s="170">
        <f t="shared" si="560"/>
        <v>810.15996961899998</v>
      </c>
      <c r="Z1426" s="170">
        <f t="shared" si="567"/>
        <v>815</v>
      </c>
      <c r="AA1426" s="407">
        <f t="shared" si="556"/>
        <v>0</v>
      </c>
      <c r="AB1426" s="194"/>
      <c r="AC1426" s="278"/>
    </row>
    <row r="1427" spans="1:30" x14ac:dyDescent="0.25">
      <c r="A1427" s="200">
        <v>832808</v>
      </c>
      <c r="B1427" s="313" t="s">
        <v>14846</v>
      </c>
      <c r="C1427" s="248"/>
      <c r="D1427" s="247" t="s">
        <v>11</v>
      </c>
      <c r="E1427" s="249">
        <f t="shared" si="558"/>
        <v>84.090910000000008</v>
      </c>
      <c r="F1427" s="170">
        <f t="shared" si="558"/>
        <v>85.158864557000015</v>
      </c>
      <c r="G1427" s="250">
        <v>0.1</v>
      </c>
      <c r="H1427" s="171">
        <f t="shared" si="561"/>
        <v>0.1</v>
      </c>
      <c r="I1427" s="249">
        <f t="shared" si="559"/>
        <v>0</v>
      </c>
      <c r="J1427" s="170">
        <f t="shared" si="559"/>
        <v>0</v>
      </c>
      <c r="K1427" s="251"/>
      <c r="L1427" s="172">
        <f t="shared" si="553"/>
        <v>0</v>
      </c>
      <c r="M1427" s="249">
        <f t="shared" si="554"/>
        <v>0</v>
      </c>
      <c r="N1427" s="170">
        <f t="shared" si="562"/>
        <v>0</v>
      </c>
      <c r="O1427" s="251"/>
      <c r="P1427" s="172">
        <f t="shared" si="563"/>
        <v>0</v>
      </c>
      <c r="Q1427" s="251">
        <f t="shared" si="564"/>
        <v>756.81818999999996</v>
      </c>
      <c r="R1427" s="173">
        <f t="shared" si="565"/>
        <v>766.42978101300002</v>
      </c>
      <c r="S1427" s="250">
        <v>0.9</v>
      </c>
      <c r="T1427" s="171">
        <f t="shared" si="566"/>
        <v>0.9</v>
      </c>
      <c r="U1427" s="256">
        <v>840.90909999999997</v>
      </c>
      <c r="V1427" s="170">
        <f t="shared" si="569"/>
        <v>851.58864557000004</v>
      </c>
      <c r="W1427" s="258">
        <v>0.1</v>
      </c>
      <c r="X1427" s="257">
        <f t="shared" si="570"/>
        <v>925.00000999999997</v>
      </c>
      <c r="Y1427" s="170">
        <f t="shared" si="560"/>
        <v>936.74751012700017</v>
      </c>
      <c r="Z1427" s="170">
        <f t="shared" si="567"/>
        <v>940</v>
      </c>
      <c r="AA1427" s="407">
        <f t="shared" si="556"/>
        <v>0</v>
      </c>
      <c r="AB1427" s="194"/>
      <c r="AC1427" s="278"/>
    </row>
    <row r="1428" spans="1:30" x14ac:dyDescent="0.25">
      <c r="A1428" s="200">
        <v>832808</v>
      </c>
      <c r="B1428" s="313" t="s">
        <v>14847</v>
      </c>
      <c r="C1428" s="248"/>
      <c r="D1428" s="247" t="s">
        <v>11</v>
      </c>
      <c r="E1428" s="249">
        <f t="shared" si="558"/>
        <v>77.27300000000001</v>
      </c>
      <c r="F1428" s="170">
        <f t="shared" si="558"/>
        <v>78.25436710000001</v>
      </c>
      <c r="G1428" s="250">
        <v>0.1</v>
      </c>
      <c r="H1428" s="171">
        <f t="shared" si="561"/>
        <v>0.1</v>
      </c>
      <c r="I1428" s="249">
        <f t="shared" si="559"/>
        <v>0</v>
      </c>
      <c r="J1428" s="170">
        <f t="shared" si="559"/>
        <v>0</v>
      </c>
      <c r="K1428" s="251"/>
      <c r="L1428" s="172">
        <f t="shared" ref="L1428:L1491" si="571">K1428</f>
        <v>0</v>
      </c>
      <c r="M1428" s="249">
        <f t="shared" ref="M1428:M1491" si="572">U1428*O1428</f>
        <v>0</v>
      </c>
      <c r="N1428" s="170">
        <f t="shared" si="562"/>
        <v>0</v>
      </c>
      <c r="O1428" s="251"/>
      <c r="P1428" s="172">
        <f t="shared" si="563"/>
        <v>0</v>
      </c>
      <c r="Q1428" s="251">
        <f t="shared" si="564"/>
        <v>695.45699999999999</v>
      </c>
      <c r="R1428" s="173">
        <f t="shared" si="565"/>
        <v>704.28930390000005</v>
      </c>
      <c r="S1428" s="250">
        <v>0.9</v>
      </c>
      <c r="T1428" s="171">
        <f t="shared" si="566"/>
        <v>0.9</v>
      </c>
      <c r="U1428" s="256">
        <v>772.73</v>
      </c>
      <c r="V1428" s="170">
        <f t="shared" si="569"/>
        <v>782.54367100000002</v>
      </c>
      <c r="W1428" s="258">
        <v>0.1</v>
      </c>
      <c r="X1428" s="257">
        <f t="shared" si="570"/>
        <v>850.00300000000004</v>
      </c>
      <c r="Y1428" s="170">
        <f t="shared" si="560"/>
        <v>860.7980381000001</v>
      </c>
      <c r="Z1428" s="170">
        <f t="shared" si="567"/>
        <v>865</v>
      </c>
      <c r="AA1428" s="407">
        <f t="shared" si="556"/>
        <v>0</v>
      </c>
      <c r="AB1428" s="194"/>
      <c r="AC1428" s="278"/>
    </row>
    <row r="1429" spans="1:30" x14ac:dyDescent="0.25">
      <c r="A1429" s="200">
        <v>832809</v>
      </c>
      <c r="B1429" s="313" t="s">
        <v>14848</v>
      </c>
      <c r="C1429" s="248"/>
      <c r="D1429" s="247" t="s">
        <v>11</v>
      </c>
      <c r="E1429" s="249">
        <f t="shared" si="558"/>
        <v>88.63636000000001</v>
      </c>
      <c r="F1429" s="170">
        <f t="shared" si="558"/>
        <v>89.762041772000032</v>
      </c>
      <c r="G1429" s="250">
        <v>0.1</v>
      </c>
      <c r="H1429" s="171">
        <f t="shared" si="561"/>
        <v>0.1</v>
      </c>
      <c r="I1429" s="249">
        <f t="shared" si="559"/>
        <v>0</v>
      </c>
      <c r="J1429" s="170">
        <f t="shared" si="559"/>
        <v>0</v>
      </c>
      <c r="K1429" s="251"/>
      <c r="L1429" s="172">
        <f t="shared" si="571"/>
        <v>0</v>
      </c>
      <c r="M1429" s="249">
        <f t="shared" si="572"/>
        <v>0</v>
      </c>
      <c r="N1429" s="170">
        <f t="shared" si="562"/>
        <v>0</v>
      </c>
      <c r="O1429" s="251"/>
      <c r="P1429" s="172">
        <f t="shared" si="563"/>
        <v>0</v>
      </c>
      <c r="Q1429" s="251">
        <f t="shared" si="564"/>
        <v>797.72724000000005</v>
      </c>
      <c r="R1429" s="173">
        <f t="shared" si="565"/>
        <v>807.85837594800023</v>
      </c>
      <c r="S1429" s="250">
        <v>0.9</v>
      </c>
      <c r="T1429" s="171">
        <f t="shared" si="566"/>
        <v>0.9</v>
      </c>
      <c r="U1429" s="256">
        <v>886.36360000000002</v>
      </c>
      <c r="V1429" s="170">
        <f t="shared" si="569"/>
        <v>897.62041772000021</v>
      </c>
      <c r="W1429" s="258">
        <v>0.1</v>
      </c>
      <c r="X1429" s="257">
        <f t="shared" si="570"/>
        <v>974.99995999999999</v>
      </c>
      <c r="Y1429" s="170">
        <f t="shared" si="560"/>
        <v>987.38245949200029</v>
      </c>
      <c r="Z1429" s="170">
        <f t="shared" si="567"/>
        <v>990</v>
      </c>
      <c r="AA1429" s="407">
        <f t="shared" si="556"/>
        <v>0</v>
      </c>
      <c r="AB1429" s="194"/>
      <c r="AC1429" s="278"/>
    </row>
    <row r="1430" spans="1:30" s="280" customFormat="1" x14ac:dyDescent="0.25">
      <c r="A1430" s="200">
        <v>832809</v>
      </c>
      <c r="B1430" s="313" t="s">
        <v>14849</v>
      </c>
      <c r="C1430" s="248"/>
      <c r="D1430" s="247" t="s">
        <v>11</v>
      </c>
      <c r="E1430" s="249">
        <f t="shared" si="558"/>
        <v>86.363640000000004</v>
      </c>
      <c r="F1430" s="170">
        <f t="shared" si="558"/>
        <v>87.460458228000007</v>
      </c>
      <c r="G1430" s="250">
        <v>0.1</v>
      </c>
      <c r="H1430" s="171">
        <f t="shared" si="561"/>
        <v>0.1</v>
      </c>
      <c r="I1430" s="249">
        <f t="shared" si="559"/>
        <v>0</v>
      </c>
      <c r="J1430" s="170">
        <f t="shared" si="559"/>
        <v>0</v>
      </c>
      <c r="K1430" s="251"/>
      <c r="L1430" s="172">
        <f t="shared" si="571"/>
        <v>0</v>
      </c>
      <c r="M1430" s="249">
        <f t="shared" si="572"/>
        <v>0</v>
      </c>
      <c r="N1430" s="170">
        <f t="shared" si="562"/>
        <v>0</v>
      </c>
      <c r="O1430" s="251"/>
      <c r="P1430" s="172">
        <f t="shared" si="563"/>
        <v>0</v>
      </c>
      <c r="Q1430" s="251">
        <f t="shared" si="564"/>
        <v>777.27275999999995</v>
      </c>
      <c r="R1430" s="173">
        <f t="shared" si="565"/>
        <v>787.14412405200005</v>
      </c>
      <c r="S1430" s="250">
        <v>0.9</v>
      </c>
      <c r="T1430" s="171">
        <f t="shared" si="566"/>
        <v>0.9</v>
      </c>
      <c r="U1430" s="256">
        <v>863.63639999999998</v>
      </c>
      <c r="V1430" s="170">
        <f t="shared" si="569"/>
        <v>874.60458228000005</v>
      </c>
      <c r="W1430" s="258">
        <v>0.1</v>
      </c>
      <c r="X1430" s="257">
        <f t="shared" si="570"/>
        <v>950.00004000000001</v>
      </c>
      <c r="Y1430" s="170">
        <f t="shared" si="560"/>
        <v>962.06504050800015</v>
      </c>
      <c r="Z1430" s="170">
        <f t="shared" si="567"/>
        <v>965</v>
      </c>
      <c r="AA1430" s="407">
        <f t="shared" si="556"/>
        <v>0</v>
      </c>
      <c r="AB1430" s="194"/>
      <c r="AC1430" s="278"/>
      <c r="AD1430" s="278"/>
    </row>
    <row r="1431" spans="1:30" x14ac:dyDescent="0.25">
      <c r="A1431" s="200">
        <v>832810</v>
      </c>
      <c r="B1431" s="313" t="s">
        <v>14850</v>
      </c>
      <c r="C1431" s="248"/>
      <c r="D1431" s="247" t="s">
        <v>11</v>
      </c>
      <c r="E1431" s="249">
        <f t="shared" si="558"/>
        <v>90.909090000000006</v>
      </c>
      <c r="F1431" s="170">
        <f t="shared" si="558"/>
        <v>92.06363544300001</v>
      </c>
      <c r="G1431" s="250">
        <v>0.1</v>
      </c>
      <c r="H1431" s="171">
        <f t="shared" si="561"/>
        <v>0.1</v>
      </c>
      <c r="I1431" s="249">
        <f t="shared" si="559"/>
        <v>0</v>
      </c>
      <c r="J1431" s="170">
        <f t="shared" si="559"/>
        <v>0</v>
      </c>
      <c r="K1431" s="251"/>
      <c r="L1431" s="172">
        <f t="shared" si="571"/>
        <v>0</v>
      </c>
      <c r="M1431" s="249">
        <f t="shared" si="572"/>
        <v>0</v>
      </c>
      <c r="N1431" s="170">
        <f t="shared" si="562"/>
        <v>0</v>
      </c>
      <c r="O1431" s="251"/>
      <c r="P1431" s="172">
        <f t="shared" si="563"/>
        <v>0</v>
      </c>
      <c r="Q1431" s="251">
        <f t="shared" si="564"/>
        <v>818.18181000000004</v>
      </c>
      <c r="R1431" s="173">
        <f t="shared" si="565"/>
        <v>828.57271898700014</v>
      </c>
      <c r="S1431" s="250">
        <v>0.9</v>
      </c>
      <c r="T1431" s="171">
        <f t="shared" si="566"/>
        <v>0.9</v>
      </c>
      <c r="U1431" s="256">
        <v>909.09090000000003</v>
      </c>
      <c r="V1431" s="170">
        <f t="shared" si="569"/>
        <v>920.6363544300001</v>
      </c>
      <c r="W1431" s="258">
        <v>0.1</v>
      </c>
      <c r="X1431" s="257">
        <f t="shared" si="570"/>
        <v>999.99999000000003</v>
      </c>
      <c r="Y1431" s="170">
        <f t="shared" si="560"/>
        <v>1012.6999898730002</v>
      </c>
      <c r="Z1431" s="170">
        <f t="shared" si="567"/>
        <v>1025</v>
      </c>
      <c r="AA1431" s="407">
        <f t="shared" si="556"/>
        <v>0</v>
      </c>
      <c r="AB1431" s="194"/>
      <c r="AC1431" s="278"/>
    </row>
    <row r="1432" spans="1:30" x14ac:dyDescent="0.25">
      <c r="A1432" s="200">
        <v>832810</v>
      </c>
      <c r="B1432" s="313" t="s">
        <v>14851</v>
      </c>
      <c r="C1432" s="248"/>
      <c r="D1432" s="247" t="s">
        <v>11</v>
      </c>
      <c r="E1432" s="249">
        <f t="shared" si="558"/>
        <v>86.364000000000004</v>
      </c>
      <c r="F1432" s="170">
        <f t="shared" si="558"/>
        <v>87.460822800000017</v>
      </c>
      <c r="G1432" s="250">
        <v>0.1</v>
      </c>
      <c r="H1432" s="171">
        <f t="shared" si="561"/>
        <v>0.1</v>
      </c>
      <c r="I1432" s="249">
        <f t="shared" si="559"/>
        <v>0</v>
      </c>
      <c r="J1432" s="170">
        <f t="shared" si="559"/>
        <v>0</v>
      </c>
      <c r="K1432" s="251"/>
      <c r="L1432" s="172">
        <f t="shared" si="571"/>
        <v>0</v>
      </c>
      <c r="M1432" s="249">
        <f t="shared" si="572"/>
        <v>0</v>
      </c>
      <c r="N1432" s="170">
        <f t="shared" si="562"/>
        <v>0</v>
      </c>
      <c r="O1432" s="251"/>
      <c r="P1432" s="172">
        <f t="shared" si="563"/>
        <v>0</v>
      </c>
      <c r="Q1432" s="251">
        <f t="shared" si="564"/>
        <v>777.27599999999995</v>
      </c>
      <c r="R1432" s="173">
        <f t="shared" si="565"/>
        <v>787.14740520000009</v>
      </c>
      <c r="S1432" s="250">
        <v>0.9</v>
      </c>
      <c r="T1432" s="171">
        <f t="shared" si="566"/>
        <v>0.9</v>
      </c>
      <c r="U1432" s="256">
        <v>863.64</v>
      </c>
      <c r="V1432" s="170">
        <f t="shared" si="569"/>
        <v>874.60822800000005</v>
      </c>
      <c r="W1432" s="258">
        <v>0.1</v>
      </c>
      <c r="X1432" s="257">
        <f t="shared" si="570"/>
        <v>950.00400000000002</v>
      </c>
      <c r="Y1432" s="170">
        <f t="shared" si="560"/>
        <v>962.06905080000013</v>
      </c>
      <c r="Z1432" s="170">
        <f t="shared" si="567"/>
        <v>965</v>
      </c>
      <c r="AA1432" s="407">
        <f t="shared" si="556"/>
        <v>0</v>
      </c>
      <c r="AB1432" s="194"/>
      <c r="AC1432" s="278"/>
    </row>
    <row r="1433" spans="1:30" x14ac:dyDescent="0.25">
      <c r="A1433" s="200">
        <v>832811</v>
      </c>
      <c r="B1433" s="313" t="s">
        <v>14852</v>
      </c>
      <c r="C1433" s="248"/>
      <c r="D1433" s="247" t="s">
        <v>11</v>
      </c>
      <c r="E1433" s="249">
        <f t="shared" si="558"/>
        <v>109.09091000000001</v>
      </c>
      <c r="F1433" s="170">
        <f t="shared" si="558"/>
        <v>110.47636455700001</v>
      </c>
      <c r="G1433" s="250">
        <v>0.1</v>
      </c>
      <c r="H1433" s="171">
        <f t="shared" si="561"/>
        <v>0.1</v>
      </c>
      <c r="I1433" s="249">
        <f t="shared" si="559"/>
        <v>0</v>
      </c>
      <c r="J1433" s="170">
        <f t="shared" si="559"/>
        <v>0</v>
      </c>
      <c r="K1433" s="251"/>
      <c r="L1433" s="172">
        <f t="shared" si="571"/>
        <v>0</v>
      </c>
      <c r="M1433" s="249">
        <f t="shared" si="572"/>
        <v>0</v>
      </c>
      <c r="N1433" s="170">
        <f t="shared" si="562"/>
        <v>0</v>
      </c>
      <c r="O1433" s="251"/>
      <c r="P1433" s="172">
        <f t="shared" si="563"/>
        <v>0</v>
      </c>
      <c r="Q1433" s="251">
        <f t="shared" si="564"/>
        <v>981.81819000000007</v>
      </c>
      <c r="R1433" s="173">
        <f t="shared" si="565"/>
        <v>994.2872810130001</v>
      </c>
      <c r="S1433" s="250">
        <v>0.9</v>
      </c>
      <c r="T1433" s="171">
        <f t="shared" si="566"/>
        <v>0.9</v>
      </c>
      <c r="U1433" s="256">
        <v>1090.9091000000001</v>
      </c>
      <c r="V1433" s="170">
        <f t="shared" si="569"/>
        <v>1104.7636455700001</v>
      </c>
      <c r="W1433" s="258">
        <v>0.1</v>
      </c>
      <c r="X1433" s="257">
        <f t="shared" si="570"/>
        <v>1200.0000100000002</v>
      </c>
      <c r="Y1433" s="170">
        <f t="shared" si="560"/>
        <v>1215.2400101270002</v>
      </c>
      <c r="Z1433" s="170">
        <f t="shared" si="567"/>
        <v>1225</v>
      </c>
      <c r="AA1433" s="407">
        <f t="shared" si="556"/>
        <v>0</v>
      </c>
      <c r="AB1433" s="194"/>
      <c r="AC1433" s="278"/>
    </row>
    <row r="1434" spans="1:30" x14ac:dyDescent="0.25">
      <c r="A1434" s="200">
        <v>832811</v>
      </c>
      <c r="B1434" s="313" t="s">
        <v>14853</v>
      </c>
      <c r="C1434" s="248"/>
      <c r="D1434" s="247" t="s">
        <v>11</v>
      </c>
      <c r="E1434" s="249">
        <f t="shared" si="558"/>
        <v>90.909000000000006</v>
      </c>
      <c r="F1434" s="170">
        <f t="shared" si="558"/>
        <v>92.063544300000018</v>
      </c>
      <c r="G1434" s="250">
        <v>0.1</v>
      </c>
      <c r="H1434" s="171">
        <f t="shared" si="561"/>
        <v>0.1</v>
      </c>
      <c r="I1434" s="249">
        <f t="shared" si="559"/>
        <v>0</v>
      </c>
      <c r="J1434" s="170">
        <f t="shared" si="559"/>
        <v>0</v>
      </c>
      <c r="K1434" s="251"/>
      <c r="L1434" s="172">
        <f t="shared" si="571"/>
        <v>0</v>
      </c>
      <c r="M1434" s="249">
        <f t="shared" si="572"/>
        <v>0</v>
      </c>
      <c r="N1434" s="170">
        <f t="shared" si="562"/>
        <v>0</v>
      </c>
      <c r="O1434" s="251"/>
      <c r="P1434" s="172">
        <f t="shared" si="563"/>
        <v>0</v>
      </c>
      <c r="Q1434" s="251">
        <f t="shared" si="564"/>
        <v>818.18100000000004</v>
      </c>
      <c r="R1434" s="173">
        <f t="shared" si="565"/>
        <v>828.57189870000013</v>
      </c>
      <c r="S1434" s="250">
        <v>0.9</v>
      </c>
      <c r="T1434" s="171">
        <f t="shared" si="566"/>
        <v>0.9</v>
      </c>
      <c r="U1434" s="256">
        <v>909.09</v>
      </c>
      <c r="V1434" s="170">
        <f t="shared" si="569"/>
        <v>920.63544300000012</v>
      </c>
      <c r="W1434" s="258">
        <v>0.1</v>
      </c>
      <c r="X1434" s="257">
        <f t="shared" si="570"/>
        <v>999.99900000000002</v>
      </c>
      <c r="Y1434" s="170">
        <f t="shared" si="560"/>
        <v>1012.6989873000002</v>
      </c>
      <c r="Z1434" s="170">
        <f t="shared" si="567"/>
        <v>1025</v>
      </c>
      <c r="AA1434" s="407">
        <f t="shared" si="556"/>
        <v>0</v>
      </c>
      <c r="AB1434" s="194"/>
      <c r="AC1434" s="278"/>
    </row>
    <row r="1435" spans="1:30" x14ac:dyDescent="0.25">
      <c r="A1435" s="195" t="s">
        <v>14854</v>
      </c>
      <c r="B1435" s="317" t="s">
        <v>14855</v>
      </c>
      <c r="C1435" s="241"/>
      <c r="D1435" s="242"/>
      <c r="E1435" s="243"/>
      <c r="F1435" s="244"/>
      <c r="G1435" s="245"/>
      <c r="H1435" s="246"/>
      <c r="I1435" s="243"/>
      <c r="J1435" s="244"/>
      <c r="K1435" s="245"/>
      <c r="L1435" s="246"/>
      <c r="M1435" s="243"/>
      <c r="N1435" s="244"/>
      <c r="O1435" s="245"/>
      <c r="P1435" s="246"/>
      <c r="Q1435" s="243"/>
      <c r="R1435" s="244"/>
      <c r="S1435" s="245"/>
      <c r="T1435" s="246"/>
      <c r="U1435" s="246"/>
      <c r="V1435" s="246"/>
      <c r="W1435" s="246"/>
      <c r="X1435" s="246"/>
      <c r="Y1435" s="244"/>
      <c r="Z1435" s="244"/>
      <c r="AA1435" s="406"/>
      <c r="AB1435" s="194"/>
      <c r="AC1435" s="278"/>
    </row>
    <row r="1436" spans="1:30" x14ac:dyDescent="0.25">
      <c r="A1436" s="200">
        <v>833010</v>
      </c>
      <c r="B1436" s="313" t="s">
        <v>19989</v>
      </c>
      <c r="C1436" s="248"/>
      <c r="D1436" s="247" t="s">
        <v>2</v>
      </c>
      <c r="E1436" s="249">
        <f t="shared" si="558"/>
        <v>0</v>
      </c>
      <c r="F1436" s="170">
        <f t="shared" si="558"/>
        <v>0</v>
      </c>
      <c r="G1436" s="250"/>
      <c r="H1436" s="171">
        <f t="shared" si="561"/>
        <v>0</v>
      </c>
      <c r="I1436" s="249">
        <f t="shared" si="559"/>
        <v>0</v>
      </c>
      <c r="J1436" s="170">
        <f t="shared" si="559"/>
        <v>0</v>
      </c>
      <c r="K1436" s="250"/>
      <c r="L1436" s="172">
        <f t="shared" si="571"/>
        <v>0</v>
      </c>
      <c r="M1436" s="249">
        <f t="shared" si="572"/>
        <v>0</v>
      </c>
      <c r="N1436" s="170">
        <f t="shared" si="562"/>
        <v>0</v>
      </c>
      <c r="O1436" s="250"/>
      <c r="P1436" s="172">
        <f t="shared" si="563"/>
        <v>0</v>
      </c>
      <c r="Q1436" s="251">
        <f t="shared" si="564"/>
        <v>0</v>
      </c>
      <c r="R1436" s="173">
        <f t="shared" si="565"/>
        <v>0</v>
      </c>
      <c r="S1436" s="251"/>
      <c r="T1436" s="171">
        <f t="shared" si="566"/>
        <v>0</v>
      </c>
      <c r="U1436" s="256">
        <f>5.5/1.1</f>
        <v>5</v>
      </c>
      <c r="V1436" s="170">
        <f>U1436*1.01925</f>
        <v>5.0962499999999995</v>
      </c>
      <c r="W1436" s="258">
        <v>0.1</v>
      </c>
      <c r="X1436" s="257">
        <v>5.5</v>
      </c>
      <c r="Y1436" s="170">
        <f t="shared" si="560"/>
        <v>5.6058750000000002</v>
      </c>
      <c r="Z1436" s="170">
        <f>IF(Y1436=0, 0, IF(Y1436&lt;10, _xlfn.CEILING.MATH(Y1436,0.25), IF(Y1436&lt;100, _xlfn.CEILING.MATH(Y1436,0.25),IF(Y1436&lt;1000, _xlfn.CEILING.MATH(Y1436,5), IF(Y1436&lt;10000, _xlfn.CEILING.MATH(Y1436, 25), IF(Y1436&lt;100000, _xlfn.CEILING.MATH(Y1436,250), IF(Y1436&lt;1000000, _xlfn.CEILING.MATH(Y1436,500), 0)))))))</f>
        <v>5.75</v>
      </c>
      <c r="AA1436" s="407">
        <f t="shared" ref="AA1436:AA1497" si="573">C1436*Z1436</f>
        <v>0</v>
      </c>
      <c r="AB1436" s="194"/>
      <c r="AC1436" s="278"/>
    </row>
    <row r="1437" spans="1:30" x14ac:dyDescent="0.25">
      <c r="A1437" s="200">
        <v>833010</v>
      </c>
      <c r="B1437" s="313" t="s">
        <v>19990</v>
      </c>
      <c r="C1437" s="248"/>
      <c r="D1437" s="247" t="s">
        <v>2</v>
      </c>
      <c r="E1437" s="249">
        <f t="shared" si="558"/>
        <v>0</v>
      </c>
      <c r="F1437" s="170">
        <f t="shared" si="558"/>
        <v>0</v>
      </c>
      <c r="G1437" s="250"/>
      <c r="H1437" s="171">
        <f t="shared" si="561"/>
        <v>0</v>
      </c>
      <c r="I1437" s="249">
        <f t="shared" si="559"/>
        <v>0</v>
      </c>
      <c r="J1437" s="170">
        <f t="shared" si="559"/>
        <v>0</v>
      </c>
      <c r="K1437" s="250"/>
      <c r="L1437" s="172">
        <f t="shared" si="571"/>
        <v>0</v>
      </c>
      <c r="M1437" s="249">
        <f t="shared" si="572"/>
        <v>0</v>
      </c>
      <c r="N1437" s="170">
        <f t="shared" si="562"/>
        <v>0</v>
      </c>
      <c r="O1437" s="250"/>
      <c r="P1437" s="172">
        <f t="shared" si="563"/>
        <v>0</v>
      </c>
      <c r="Q1437" s="251">
        <f t="shared" si="564"/>
        <v>0</v>
      </c>
      <c r="R1437" s="173">
        <f t="shared" si="565"/>
        <v>0</v>
      </c>
      <c r="S1437" s="251"/>
      <c r="T1437" s="171">
        <f t="shared" si="566"/>
        <v>0</v>
      </c>
      <c r="U1437" s="256">
        <f>3/1.1</f>
        <v>2.7272727272727271</v>
      </c>
      <c r="V1437" s="170">
        <f t="shared" ref="V1437:V1500" si="574">U1437*1.01925</f>
        <v>2.7797727272727268</v>
      </c>
      <c r="W1437" s="258">
        <v>0.1</v>
      </c>
      <c r="X1437" s="257">
        <v>3</v>
      </c>
      <c r="Y1437" s="170">
        <f t="shared" si="560"/>
        <v>3.05775</v>
      </c>
      <c r="Z1437" s="170">
        <f t="shared" ref="Z1437:Z1465" si="575">IF(Y1437=0, 0, IF(Y1437&lt;10, _xlfn.CEILING.MATH(Y1437,0.25), IF(Y1437&lt;100, _xlfn.CEILING.MATH(Y1437,0.25),IF(Y1437&lt;1000, _xlfn.CEILING.MATH(Y1437,5), IF(Y1437&lt;10000, _xlfn.CEILING.MATH(Y1437, 25), IF(Y1437&lt;100000, _xlfn.CEILING.MATH(Y1437,250), IF(Y1437&lt;1000000, _xlfn.CEILING.MATH(Y1437,500), 0)))))))</f>
        <v>3.25</v>
      </c>
      <c r="AA1437" s="407">
        <f t="shared" si="573"/>
        <v>0</v>
      </c>
      <c r="AB1437" s="194"/>
      <c r="AC1437" s="278"/>
    </row>
    <row r="1438" spans="1:30" x14ac:dyDescent="0.25">
      <c r="A1438" s="200">
        <v>833015</v>
      </c>
      <c r="B1438" s="313" t="s">
        <v>19991</v>
      </c>
      <c r="C1438" s="248"/>
      <c r="D1438" s="247" t="s">
        <v>2</v>
      </c>
      <c r="E1438" s="249">
        <f t="shared" si="558"/>
        <v>0</v>
      </c>
      <c r="F1438" s="170">
        <f t="shared" si="558"/>
        <v>0</v>
      </c>
      <c r="G1438" s="250"/>
      <c r="H1438" s="171">
        <f t="shared" si="561"/>
        <v>0</v>
      </c>
      <c r="I1438" s="249">
        <f t="shared" si="559"/>
        <v>0</v>
      </c>
      <c r="J1438" s="170">
        <f t="shared" si="559"/>
        <v>0</v>
      </c>
      <c r="K1438" s="250"/>
      <c r="L1438" s="172">
        <f t="shared" si="571"/>
        <v>0</v>
      </c>
      <c r="M1438" s="249">
        <f t="shared" si="572"/>
        <v>0</v>
      </c>
      <c r="N1438" s="170">
        <f t="shared" si="562"/>
        <v>0</v>
      </c>
      <c r="O1438" s="250"/>
      <c r="P1438" s="172">
        <f t="shared" si="563"/>
        <v>0</v>
      </c>
      <c r="Q1438" s="251">
        <f t="shared" si="564"/>
        <v>0</v>
      </c>
      <c r="R1438" s="173">
        <f t="shared" si="565"/>
        <v>0</v>
      </c>
      <c r="S1438" s="251"/>
      <c r="T1438" s="171">
        <f t="shared" si="566"/>
        <v>0</v>
      </c>
      <c r="U1438" s="256">
        <f>8/1.1</f>
        <v>7.2727272727272725</v>
      </c>
      <c r="V1438" s="170">
        <f t="shared" si="574"/>
        <v>7.4127272727272722</v>
      </c>
      <c r="W1438" s="258">
        <v>0.1</v>
      </c>
      <c r="X1438" s="257">
        <v>8</v>
      </c>
      <c r="Y1438" s="170">
        <f t="shared" si="560"/>
        <v>8.1539999999999999</v>
      </c>
      <c r="Z1438" s="170">
        <f t="shared" si="575"/>
        <v>8.25</v>
      </c>
      <c r="AA1438" s="407">
        <f t="shared" si="573"/>
        <v>0</v>
      </c>
      <c r="AB1438" s="194"/>
      <c r="AC1438" s="278"/>
    </row>
    <row r="1439" spans="1:30" x14ac:dyDescent="0.25">
      <c r="A1439" s="200">
        <v>833015</v>
      </c>
      <c r="B1439" s="313" t="s">
        <v>19992</v>
      </c>
      <c r="C1439" s="248"/>
      <c r="D1439" s="247" t="s">
        <v>2</v>
      </c>
      <c r="E1439" s="249">
        <f t="shared" si="558"/>
        <v>0</v>
      </c>
      <c r="F1439" s="170">
        <f t="shared" si="558"/>
        <v>0</v>
      </c>
      <c r="G1439" s="250"/>
      <c r="H1439" s="171">
        <f t="shared" si="561"/>
        <v>0</v>
      </c>
      <c r="I1439" s="249">
        <f t="shared" si="559"/>
        <v>0</v>
      </c>
      <c r="J1439" s="170">
        <f t="shared" si="559"/>
        <v>0</v>
      </c>
      <c r="K1439" s="250"/>
      <c r="L1439" s="172">
        <f t="shared" si="571"/>
        <v>0</v>
      </c>
      <c r="M1439" s="249">
        <f t="shared" si="572"/>
        <v>0</v>
      </c>
      <c r="N1439" s="170">
        <f t="shared" si="562"/>
        <v>0</v>
      </c>
      <c r="O1439" s="250"/>
      <c r="P1439" s="172">
        <f t="shared" si="563"/>
        <v>0</v>
      </c>
      <c r="Q1439" s="251">
        <f t="shared" si="564"/>
        <v>0</v>
      </c>
      <c r="R1439" s="173">
        <f t="shared" si="565"/>
        <v>0</v>
      </c>
      <c r="S1439" s="251"/>
      <c r="T1439" s="171">
        <f t="shared" si="566"/>
        <v>0</v>
      </c>
      <c r="U1439" s="256">
        <f>6.5/1.1</f>
        <v>5.9090909090909083</v>
      </c>
      <c r="V1439" s="170">
        <f t="shared" si="574"/>
        <v>6.0228409090909079</v>
      </c>
      <c r="W1439" s="258">
        <v>0.1</v>
      </c>
      <c r="X1439" s="257">
        <v>6.5</v>
      </c>
      <c r="Y1439" s="170">
        <f t="shared" si="560"/>
        <v>6.6251249999999988</v>
      </c>
      <c r="Z1439" s="170">
        <f t="shared" si="575"/>
        <v>6.75</v>
      </c>
      <c r="AA1439" s="407">
        <f t="shared" si="573"/>
        <v>0</v>
      </c>
      <c r="AB1439" s="194"/>
      <c r="AC1439" s="278"/>
    </row>
    <row r="1440" spans="1:30" x14ac:dyDescent="0.25">
      <c r="A1440" s="200">
        <v>833020</v>
      </c>
      <c r="B1440" s="313" t="s">
        <v>19993</v>
      </c>
      <c r="C1440" s="248"/>
      <c r="D1440" s="247" t="s">
        <v>2</v>
      </c>
      <c r="E1440" s="249">
        <f t="shared" si="558"/>
        <v>0</v>
      </c>
      <c r="F1440" s="170">
        <f t="shared" si="558"/>
        <v>0</v>
      </c>
      <c r="G1440" s="250"/>
      <c r="H1440" s="171">
        <f t="shared" si="561"/>
        <v>0</v>
      </c>
      <c r="I1440" s="249">
        <f t="shared" si="559"/>
        <v>0</v>
      </c>
      <c r="J1440" s="170">
        <f t="shared" si="559"/>
        <v>0</v>
      </c>
      <c r="K1440" s="250"/>
      <c r="L1440" s="172">
        <f t="shared" si="571"/>
        <v>0</v>
      </c>
      <c r="M1440" s="249">
        <f t="shared" si="572"/>
        <v>0</v>
      </c>
      <c r="N1440" s="170">
        <f t="shared" si="562"/>
        <v>0</v>
      </c>
      <c r="O1440" s="250"/>
      <c r="P1440" s="172">
        <f t="shared" si="563"/>
        <v>0</v>
      </c>
      <c r="Q1440" s="251">
        <f t="shared" si="564"/>
        <v>0</v>
      </c>
      <c r="R1440" s="173">
        <f t="shared" si="565"/>
        <v>0</v>
      </c>
      <c r="S1440" s="251"/>
      <c r="T1440" s="171">
        <f t="shared" si="566"/>
        <v>0</v>
      </c>
      <c r="U1440" s="256">
        <f>10/1.1</f>
        <v>9.0909090909090899</v>
      </c>
      <c r="V1440" s="170">
        <f t="shared" si="574"/>
        <v>9.2659090909090907</v>
      </c>
      <c r="W1440" s="258">
        <v>0.1</v>
      </c>
      <c r="X1440" s="257">
        <v>10</v>
      </c>
      <c r="Y1440" s="170">
        <f t="shared" si="560"/>
        <v>10.192500000000001</v>
      </c>
      <c r="Z1440" s="170">
        <f t="shared" si="575"/>
        <v>10.25</v>
      </c>
      <c r="AA1440" s="407">
        <f t="shared" si="573"/>
        <v>0</v>
      </c>
      <c r="AB1440" s="194"/>
      <c r="AC1440" s="278"/>
    </row>
    <row r="1441" spans="1:28" s="278" customFormat="1" x14ac:dyDescent="0.25">
      <c r="A1441" s="200">
        <v>833020</v>
      </c>
      <c r="B1441" s="313" t="s">
        <v>19994</v>
      </c>
      <c r="C1441" s="248"/>
      <c r="D1441" s="247" t="s">
        <v>2</v>
      </c>
      <c r="E1441" s="249">
        <f t="shared" si="558"/>
        <v>0</v>
      </c>
      <c r="F1441" s="170">
        <f t="shared" si="558"/>
        <v>0</v>
      </c>
      <c r="G1441" s="250"/>
      <c r="H1441" s="171">
        <f t="shared" si="561"/>
        <v>0</v>
      </c>
      <c r="I1441" s="249">
        <f t="shared" si="559"/>
        <v>0</v>
      </c>
      <c r="J1441" s="170">
        <f t="shared" si="559"/>
        <v>0</v>
      </c>
      <c r="K1441" s="250"/>
      <c r="L1441" s="172">
        <f t="shared" si="571"/>
        <v>0</v>
      </c>
      <c r="M1441" s="249">
        <f t="shared" si="572"/>
        <v>0</v>
      </c>
      <c r="N1441" s="170">
        <f t="shared" si="562"/>
        <v>0</v>
      </c>
      <c r="O1441" s="250"/>
      <c r="P1441" s="172">
        <f t="shared" si="563"/>
        <v>0</v>
      </c>
      <c r="Q1441" s="251">
        <f t="shared" si="564"/>
        <v>0</v>
      </c>
      <c r="R1441" s="173">
        <f t="shared" si="565"/>
        <v>0</v>
      </c>
      <c r="S1441" s="251"/>
      <c r="T1441" s="171">
        <f t="shared" si="566"/>
        <v>0</v>
      </c>
      <c r="U1441" s="256">
        <f>8/1.1</f>
        <v>7.2727272727272725</v>
      </c>
      <c r="V1441" s="170">
        <f t="shared" si="574"/>
        <v>7.4127272727272722</v>
      </c>
      <c r="W1441" s="258">
        <v>0.1</v>
      </c>
      <c r="X1441" s="257">
        <v>8</v>
      </c>
      <c r="Y1441" s="170">
        <f t="shared" si="560"/>
        <v>8.1539999999999999</v>
      </c>
      <c r="Z1441" s="170">
        <f t="shared" si="575"/>
        <v>8.25</v>
      </c>
      <c r="AA1441" s="407">
        <f t="shared" si="573"/>
        <v>0</v>
      </c>
      <c r="AB1441" s="194"/>
    </row>
    <row r="1442" spans="1:28" s="278" customFormat="1" x14ac:dyDescent="0.25">
      <c r="A1442" s="200">
        <v>833025</v>
      </c>
      <c r="B1442" s="313" t="s">
        <v>19995</v>
      </c>
      <c r="C1442" s="248"/>
      <c r="D1442" s="247" t="s">
        <v>2</v>
      </c>
      <c r="E1442" s="249">
        <f t="shared" si="558"/>
        <v>0</v>
      </c>
      <c r="F1442" s="170">
        <f t="shared" si="558"/>
        <v>0</v>
      </c>
      <c r="G1442" s="250"/>
      <c r="H1442" s="171">
        <f t="shared" si="561"/>
        <v>0</v>
      </c>
      <c r="I1442" s="249">
        <f t="shared" si="559"/>
        <v>0</v>
      </c>
      <c r="J1442" s="170">
        <f t="shared" si="559"/>
        <v>0</v>
      </c>
      <c r="K1442" s="250"/>
      <c r="L1442" s="172">
        <f t="shared" si="571"/>
        <v>0</v>
      </c>
      <c r="M1442" s="249">
        <f t="shared" si="572"/>
        <v>0</v>
      </c>
      <c r="N1442" s="170">
        <f t="shared" si="562"/>
        <v>0</v>
      </c>
      <c r="O1442" s="250"/>
      <c r="P1442" s="172">
        <f t="shared" si="563"/>
        <v>0</v>
      </c>
      <c r="Q1442" s="251">
        <f t="shared" si="564"/>
        <v>0</v>
      </c>
      <c r="R1442" s="173">
        <f t="shared" si="565"/>
        <v>0</v>
      </c>
      <c r="S1442" s="251"/>
      <c r="T1442" s="171">
        <f t="shared" si="566"/>
        <v>0</v>
      </c>
      <c r="U1442" s="256">
        <f>9/1.1</f>
        <v>8.1818181818181817</v>
      </c>
      <c r="V1442" s="170">
        <f t="shared" si="574"/>
        <v>8.3393181818181823</v>
      </c>
      <c r="W1442" s="258">
        <v>0.1</v>
      </c>
      <c r="X1442" s="257">
        <v>9</v>
      </c>
      <c r="Y1442" s="170">
        <f t="shared" si="560"/>
        <v>9.1732500000000012</v>
      </c>
      <c r="Z1442" s="170">
        <f t="shared" si="575"/>
        <v>9.25</v>
      </c>
      <c r="AA1442" s="407">
        <f t="shared" si="573"/>
        <v>0</v>
      </c>
      <c r="AB1442" s="194"/>
    </row>
    <row r="1443" spans="1:28" s="278" customFormat="1" x14ac:dyDescent="0.25">
      <c r="A1443" s="200">
        <v>833025</v>
      </c>
      <c r="B1443" s="313" t="s">
        <v>19996</v>
      </c>
      <c r="C1443" s="248"/>
      <c r="D1443" s="247" t="s">
        <v>2</v>
      </c>
      <c r="E1443" s="249">
        <f t="shared" si="558"/>
        <v>0</v>
      </c>
      <c r="F1443" s="170">
        <f t="shared" si="558"/>
        <v>0</v>
      </c>
      <c r="G1443" s="250"/>
      <c r="H1443" s="171">
        <f t="shared" si="561"/>
        <v>0</v>
      </c>
      <c r="I1443" s="249">
        <f t="shared" si="559"/>
        <v>0</v>
      </c>
      <c r="J1443" s="170">
        <f t="shared" si="559"/>
        <v>0</v>
      </c>
      <c r="K1443" s="250"/>
      <c r="L1443" s="172">
        <f t="shared" si="571"/>
        <v>0</v>
      </c>
      <c r="M1443" s="249">
        <f t="shared" si="572"/>
        <v>0</v>
      </c>
      <c r="N1443" s="170">
        <f t="shared" si="562"/>
        <v>0</v>
      </c>
      <c r="O1443" s="250"/>
      <c r="P1443" s="172">
        <f t="shared" si="563"/>
        <v>0</v>
      </c>
      <c r="Q1443" s="251">
        <f t="shared" si="564"/>
        <v>0</v>
      </c>
      <c r="R1443" s="173">
        <f t="shared" si="565"/>
        <v>0</v>
      </c>
      <c r="S1443" s="251"/>
      <c r="T1443" s="171">
        <f t="shared" si="566"/>
        <v>0</v>
      </c>
      <c r="U1443" s="256">
        <f>8/1.1</f>
        <v>7.2727272727272725</v>
      </c>
      <c r="V1443" s="170">
        <f t="shared" si="574"/>
        <v>7.4127272727272722</v>
      </c>
      <c r="W1443" s="258">
        <v>0.1</v>
      </c>
      <c r="X1443" s="257">
        <v>8</v>
      </c>
      <c r="Y1443" s="170">
        <f t="shared" si="560"/>
        <v>8.1539999999999999</v>
      </c>
      <c r="Z1443" s="170">
        <f t="shared" si="575"/>
        <v>8.25</v>
      </c>
      <c r="AA1443" s="407">
        <f t="shared" si="573"/>
        <v>0</v>
      </c>
      <c r="AB1443" s="194"/>
    </row>
    <row r="1444" spans="1:28" s="278" customFormat="1" x14ac:dyDescent="0.25">
      <c r="A1444" s="200">
        <v>833030</v>
      </c>
      <c r="B1444" s="313" t="s">
        <v>19997</v>
      </c>
      <c r="C1444" s="248"/>
      <c r="D1444" s="247" t="s">
        <v>2</v>
      </c>
      <c r="E1444" s="249">
        <f t="shared" si="558"/>
        <v>0</v>
      </c>
      <c r="F1444" s="170">
        <f t="shared" si="558"/>
        <v>0</v>
      </c>
      <c r="G1444" s="250"/>
      <c r="H1444" s="171">
        <f t="shared" si="561"/>
        <v>0</v>
      </c>
      <c r="I1444" s="249">
        <f t="shared" si="559"/>
        <v>0</v>
      </c>
      <c r="J1444" s="170">
        <f t="shared" si="559"/>
        <v>0</v>
      </c>
      <c r="K1444" s="250"/>
      <c r="L1444" s="172">
        <f t="shared" si="571"/>
        <v>0</v>
      </c>
      <c r="M1444" s="249">
        <f t="shared" si="572"/>
        <v>0</v>
      </c>
      <c r="N1444" s="170">
        <f t="shared" si="562"/>
        <v>0</v>
      </c>
      <c r="O1444" s="250"/>
      <c r="P1444" s="172">
        <f t="shared" si="563"/>
        <v>0</v>
      </c>
      <c r="Q1444" s="251">
        <f t="shared" si="564"/>
        <v>0</v>
      </c>
      <c r="R1444" s="173">
        <f t="shared" si="565"/>
        <v>0</v>
      </c>
      <c r="S1444" s="251"/>
      <c r="T1444" s="171">
        <f t="shared" si="566"/>
        <v>0</v>
      </c>
      <c r="U1444" s="256">
        <f>10/1.1</f>
        <v>9.0909090909090899</v>
      </c>
      <c r="V1444" s="170">
        <f t="shared" si="574"/>
        <v>9.2659090909090907</v>
      </c>
      <c r="W1444" s="258">
        <v>0.1</v>
      </c>
      <c r="X1444" s="257">
        <v>10</v>
      </c>
      <c r="Y1444" s="170">
        <f t="shared" si="560"/>
        <v>10.192500000000001</v>
      </c>
      <c r="Z1444" s="170">
        <f t="shared" si="575"/>
        <v>10.25</v>
      </c>
      <c r="AA1444" s="407">
        <f t="shared" si="573"/>
        <v>0</v>
      </c>
      <c r="AB1444" s="194"/>
    </row>
    <row r="1445" spans="1:28" s="278" customFormat="1" x14ac:dyDescent="0.25">
      <c r="A1445" s="200">
        <v>833030</v>
      </c>
      <c r="B1445" s="313" t="s">
        <v>19998</v>
      </c>
      <c r="C1445" s="248"/>
      <c r="D1445" s="247" t="s">
        <v>2</v>
      </c>
      <c r="E1445" s="249">
        <f t="shared" si="558"/>
        <v>0</v>
      </c>
      <c r="F1445" s="170">
        <f t="shared" si="558"/>
        <v>0</v>
      </c>
      <c r="G1445" s="250"/>
      <c r="H1445" s="171">
        <f t="shared" si="561"/>
        <v>0</v>
      </c>
      <c r="I1445" s="249">
        <f t="shared" si="559"/>
        <v>0</v>
      </c>
      <c r="J1445" s="170">
        <f t="shared" si="559"/>
        <v>0</v>
      </c>
      <c r="K1445" s="250"/>
      <c r="L1445" s="172">
        <f t="shared" si="571"/>
        <v>0</v>
      </c>
      <c r="M1445" s="249">
        <f t="shared" si="572"/>
        <v>0</v>
      </c>
      <c r="N1445" s="170">
        <f t="shared" si="562"/>
        <v>0</v>
      </c>
      <c r="O1445" s="250"/>
      <c r="P1445" s="172">
        <f t="shared" si="563"/>
        <v>0</v>
      </c>
      <c r="Q1445" s="251">
        <f t="shared" si="564"/>
        <v>0</v>
      </c>
      <c r="R1445" s="173">
        <f t="shared" si="565"/>
        <v>0</v>
      </c>
      <c r="S1445" s="251"/>
      <c r="T1445" s="171">
        <f t="shared" si="566"/>
        <v>0</v>
      </c>
      <c r="U1445" s="256">
        <f>9/1.1</f>
        <v>8.1818181818181817</v>
      </c>
      <c r="V1445" s="170">
        <f t="shared" si="574"/>
        <v>8.3393181818181823</v>
      </c>
      <c r="W1445" s="258">
        <v>0.1</v>
      </c>
      <c r="X1445" s="257">
        <v>9</v>
      </c>
      <c r="Y1445" s="170">
        <f t="shared" si="560"/>
        <v>9.1732500000000012</v>
      </c>
      <c r="Z1445" s="170">
        <f t="shared" si="575"/>
        <v>9.25</v>
      </c>
      <c r="AA1445" s="407">
        <f t="shared" si="573"/>
        <v>0</v>
      </c>
      <c r="AB1445" s="194"/>
    </row>
    <row r="1446" spans="1:28" s="278" customFormat="1" x14ac:dyDescent="0.25">
      <c r="A1446" s="200">
        <v>833035</v>
      </c>
      <c r="B1446" s="313" t="s">
        <v>19999</v>
      </c>
      <c r="C1446" s="248"/>
      <c r="D1446" s="247" t="s">
        <v>2</v>
      </c>
      <c r="E1446" s="249">
        <f t="shared" si="558"/>
        <v>0</v>
      </c>
      <c r="F1446" s="170">
        <f t="shared" si="558"/>
        <v>0</v>
      </c>
      <c r="G1446" s="250"/>
      <c r="H1446" s="171">
        <f t="shared" si="561"/>
        <v>0</v>
      </c>
      <c r="I1446" s="249">
        <f t="shared" si="559"/>
        <v>0</v>
      </c>
      <c r="J1446" s="170">
        <f t="shared" si="559"/>
        <v>0</v>
      </c>
      <c r="K1446" s="250"/>
      <c r="L1446" s="172">
        <f t="shared" si="571"/>
        <v>0</v>
      </c>
      <c r="M1446" s="249">
        <f t="shared" si="572"/>
        <v>0</v>
      </c>
      <c r="N1446" s="170">
        <f t="shared" si="562"/>
        <v>0</v>
      </c>
      <c r="O1446" s="250"/>
      <c r="P1446" s="172">
        <f t="shared" si="563"/>
        <v>0</v>
      </c>
      <c r="Q1446" s="251">
        <f t="shared" si="564"/>
        <v>0</v>
      </c>
      <c r="R1446" s="173">
        <f t="shared" si="565"/>
        <v>0</v>
      </c>
      <c r="S1446" s="251"/>
      <c r="T1446" s="171">
        <f t="shared" si="566"/>
        <v>0</v>
      </c>
      <c r="U1446" s="256">
        <f>11/1.1</f>
        <v>10</v>
      </c>
      <c r="V1446" s="170">
        <f t="shared" si="574"/>
        <v>10.192499999999999</v>
      </c>
      <c r="W1446" s="258">
        <v>0.1</v>
      </c>
      <c r="X1446" s="257">
        <v>11</v>
      </c>
      <c r="Y1446" s="170">
        <f t="shared" si="560"/>
        <v>11.21175</v>
      </c>
      <c r="Z1446" s="170">
        <f t="shared" si="575"/>
        <v>11.25</v>
      </c>
      <c r="AA1446" s="407">
        <f t="shared" si="573"/>
        <v>0</v>
      </c>
      <c r="AB1446" s="194"/>
    </row>
    <row r="1447" spans="1:28" s="278" customFormat="1" x14ac:dyDescent="0.25">
      <c r="A1447" s="200">
        <v>833035</v>
      </c>
      <c r="B1447" s="313" t="s">
        <v>20000</v>
      </c>
      <c r="C1447" s="248"/>
      <c r="D1447" s="247" t="s">
        <v>2</v>
      </c>
      <c r="E1447" s="249">
        <f t="shared" si="558"/>
        <v>0</v>
      </c>
      <c r="F1447" s="170">
        <f t="shared" si="558"/>
        <v>0</v>
      </c>
      <c r="G1447" s="250"/>
      <c r="H1447" s="171">
        <f t="shared" si="561"/>
        <v>0</v>
      </c>
      <c r="I1447" s="249">
        <f t="shared" si="559"/>
        <v>0</v>
      </c>
      <c r="J1447" s="170">
        <f t="shared" si="559"/>
        <v>0</v>
      </c>
      <c r="K1447" s="250"/>
      <c r="L1447" s="172">
        <f t="shared" si="571"/>
        <v>0</v>
      </c>
      <c r="M1447" s="249">
        <f t="shared" si="572"/>
        <v>0</v>
      </c>
      <c r="N1447" s="170">
        <f t="shared" si="562"/>
        <v>0</v>
      </c>
      <c r="O1447" s="250"/>
      <c r="P1447" s="172">
        <f t="shared" si="563"/>
        <v>0</v>
      </c>
      <c r="Q1447" s="251">
        <f t="shared" si="564"/>
        <v>0</v>
      </c>
      <c r="R1447" s="173">
        <f t="shared" si="565"/>
        <v>0</v>
      </c>
      <c r="S1447" s="251"/>
      <c r="T1447" s="171">
        <f t="shared" si="566"/>
        <v>0</v>
      </c>
      <c r="U1447" s="256">
        <f>10/1.1</f>
        <v>9.0909090909090899</v>
      </c>
      <c r="V1447" s="170">
        <f t="shared" si="574"/>
        <v>9.2659090909090907</v>
      </c>
      <c r="W1447" s="258">
        <v>0.1</v>
      </c>
      <c r="X1447" s="257">
        <v>10</v>
      </c>
      <c r="Y1447" s="170">
        <f t="shared" si="560"/>
        <v>10.192500000000001</v>
      </c>
      <c r="Z1447" s="170">
        <f t="shared" si="575"/>
        <v>10.25</v>
      </c>
      <c r="AA1447" s="407">
        <f t="shared" si="573"/>
        <v>0</v>
      </c>
      <c r="AB1447" s="194"/>
    </row>
    <row r="1448" spans="1:28" s="278" customFormat="1" x14ac:dyDescent="0.25">
      <c r="A1448" s="200">
        <v>833040</v>
      </c>
      <c r="B1448" s="313" t="s">
        <v>20001</v>
      </c>
      <c r="C1448" s="248"/>
      <c r="D1448" s="247" t="s">
        <v>2</v>
      </c>
      <c r="E1448" s="249">
        <f t="shared" ref="E1448:F1502" si="576">U1448*G1448</f>
        <v>0</v>
      </c>
      <c r="F1448" s="170">
        <f t="shared" si="576"/>
        <v>0</v>
      </c>
      <c r="G1448" s="250"/>
      <c r="H1448" s="171">
        <f t="shared" si="561"/>
        <v>0</v>
      </c>
      <c r="I1448" s="249">
        <f t="shared" ref="I1448:J1502" si="577">U1448*K1448</f>
        <v>0</v>
      </c>
      <c r="J1448" s="170">
        <f t="shared" si="577"/>
        <v>0</v>
      </c>
      <c r="K1448" s="250"/>
      <c r="L1448" s="172">
        <f t="shared" si="571"/>
        <v>0</v>
      </c>
      <c r="M1448" s="249">
        <f t="shared" si="572"/>
        <v>0</v>
      </c>
      <c r="N1448" s="170">
        <f t="shared" si="562"/>
        <v>0</v>
      </c>
      <c r="O1448" s="250"/>
      <c r="P1448" s="172">
        <f t="shared" si="563"/>
        <v>0</v>
      </c>
      <c r="Q1448" s="251">
        <f t="shared" si="564"/>
        <v>0</v>
      </c>
      <c r="R1448" s="173">
        <f t="shared" si="565"/>
        <v>0</v>
      </c>
      <c r="S1448" s="251"/>
      <c r="T1448" s="171">
        <f t="shared" si="566"/>
        <v>0</v>
      </c>
      <c r="U1448" s="256">
        <f>25/1.1</f>
        <v>22.727272727272727</v>
      </c>
      <c r="V1448" s="170">
        <f>26.25/1.1</f>
        <v>23.863636363636363</v>
      </c>
      <c r="W1448" s="258">
        <v>0.1</v>
      </c>
      <c r="X1448" s="257">
        <v>25</v>
      </c>
      <c r="Y1448" s="170">
        <f t="shared" si="560"/>
        <v>26.25</v>
      </c>
      <c r="Z1448" s="170">
        <f t="shared" si="575"/>
        <v>26.25</v>
      </c>
      <c r="AA1448" s="407">
        <f t="shared" si="573"/>
        <v>0</v>
      </c>
      <c r="AB1448" s="194"/>
    </row>
    <row r="1449" spans="1:28" s="278" customFormat="1" x14ac:dyDescent="0.25">
      <c r="A1449" s="200">
        <v>833040</v>
      </c>
      <c r="B1449" s="313" t="s">
        <v>20002</v>
      </c>
      <c r="C1449" s="248"/>
      <c r="D1449" s="247" t="s">
        <v>2</v>
      </c>
      <c r="E1449" s="249">
        <f t="shared" si="576"/>
        <v>0</v>
      </c>
      <c r="F1449" s="170">
        <f t="shared" si="576"/>
        <v>0</v>
      </c>
      <c r="G1449" s="250"/>
      <c r="H1449" s="171">
        <f t="shared" si="561"/>
        <v>0</v>
      </c>
      <c r="I1449" s="249">
        <f t="shared" si="577"/>
        <v>0</v>
      </c>
      <c r="J1449" s="170">
        <f t="shared" si="577"/>
        <v>0</v>
      </c>
      <c r="K1449" s="250"/>
      <c r="L1449" s="172">
        <f t="shared" si="571"/>
        <v>0</v>
      </c>
      <c r="M1449" s="249">
        <f t="shared" si="572"/>
        <v>0</v>
      </c>
      <c r="N1449" s="170">
        <f t="shared" si="562"/>
        <v>0</v>
      </c>
      <c r="O1449" s="250"/>
      <c r="P1449" s="172">
        <f t="shared" si="563"/>
        <v>0</v>
      </c>
      <c r="Q1449" s="251">
        <f t="shared" si="564"/>
        <v>0</v>
      </c>
      <c r="R1449" s="173">
        <f t="shared" si="565"/>
        <v>0</v>
      </c>
      <c r="S1449" s="251"/>
      <c r="T1449" s="171">
        <f t="shared" si="566"/>
        <v>0</v>
      </c>
      <c r="U1449" s="256">
        <f>19/1.1</f>
        <v>17.27272727272727</v>
      </c>
      <c r="V1449" s="170">
        <f t="shared" si="574"/>
        <v>17.605227272727269</v>
      </c>
      <c r="W1449" s="258">
        <v>0.1</v>
      </c>
      <c r="X1449" s="257">
        <v>19</v>
      </c>
      <c r="Y1449" s="170">
        <f t="shared" si="560"/>
        <v>19.365749999999998</v>
      </c>
      <c r="Z1449" s="170">
        <f t="shared" si="575"/>
        <v>19.5</v>
      </c>
      <c r="AA1449" s="407">
        <f t="shared" si="573"/>
        <v>0</v>
      </c>
      <c r="AB1449" s="194"/>
    </row>
    <row r="1450" spans="1:28" s="278" customFormat="1" x14ac:dyDescent="0.25">
      <c r="A1450" s="200">
        <v>833052</v>
      </c>
      <c r="B1450" s="313" t="s">
        <v>20003</v>
      </c>
      <c r="C1450" s="248"/>
      <c r="D1450" s="247" t="s">
        <v>2</v>
      </c>
      <c r="E1450" s="249">
        <f t="shared" si="576"/>
        <v>0</v>
      </c>
      <c r="F1450" s="170">
        <f t="shared" si="576"/>
        <v>0</v>
      </c>
      <c r="G1450" s="250"/>
      <c r="H1450" s="171">
        <f t="shared" si="561"/>
        <v>0</v>
      </c>
      <c r="I1450" s="249">
        <f t="shared" si="577"/>
        <v>0</v>
      </c>
      <c r="J1450" s="170">
        <f t="shared" si="577"/>
        <v>0</v>
      </c>
      <c r="K1450" s="250"/>
      <c r="L1450" s="172">
        <f t="shared" si="571"/>
        <v>0</v>
      </c>
      <c r="M1450" s="249">
        <f t="shared" si="572"/>
        <v>0</v>
      </c>
      <c r="N1450" s="170">
        <f t="shared" si="562"/>
        <v>0</v>
      </c>
      <c r="O1450" s="250"/>
      <c r="P1450" s="172">
        <f t="shared" si="563"/>
        <v>0</v>
      </c>
      <c r="Q1450" s="251">
        <f t="shared" si="564"/>
        <v>0</v>
      </c>
      <c r="R1450" s="173">
        <f t="shared" si="565"/>
        <v>0</v>
      </c>
      <c r="S1450" s="251"/>
      <c r="T1450" s="171">
        <f t="shared" si="566"/>
        <v>0</v>
      </c>
      <c r="U1450" s="256">
        <f>10/1.1</f>
        <v>9.0909090909090899</v>
      </c>
      <c r="V1450" s="170">
        <f t="shared" si="574"/>
        <v>9.2659090909090907</v>
      </c>
      <c r="W1450" s="258">
        <v>0.1</v>
      </c>
      <c r="X1450" s="257">
        <v>10</v>
      </c>
      <c r="Y1450" s="170">
        <f t="shared" si="560"/>
        <v>10.192500000000001</v>
      </c>
      <c r="Z1450" s="170">
        <f t="shared" si="575"/>
        <v>10.25</v>
      </c>
      <c r="AA1450" s="407">
        <f t="shared" si="573"/>
        <v>0</v>
      </c>
      <c r="AB1450" s="194"/>
    </row>
    <row r="1451" spans="1:28" s="278" customFormat="1" x14ac:dyDescent="0.25">
      <c r="A1451" s="200">
        <v>833052</v>
      </c>
      <c r="B1451" s="313" t="s">
        <v>20004</v>
      </c>
      <c r="C1451" s="248"/>
      <c r="D1451" s="247" t="s">
        <v>2</v>
      </c>
      <c r="E1451" s="249">
        <f t="shared" si="576"/>
        <v>0</v>
      </c>
      <c r="F1451" s="170">
        <f t="shared" si="576"/>
        <v>0</v>
      </c>
      <c r="G1451" s="250"/>
      <c r="H1451" s="171">
        <f t="shared" si="561"/>
        <v>0</v>
      </c>
      <c r="I1451" s="249">
        <f t="shared" si="577"/>
        <v>0</v>
      </c>
      <c r="J1451" s="170">
        <f t="shared" si="577"/>
        <v>0</v>
      </c>
      <c r="K1451" s="250"/>
      <c r="L1451" s="172">
        <f t="shared" si="571"/>
        <v>0</v>
      </c>
      <c r="M1451" s="249">
        <f t="shared" si="572"/>
        <v>0</v>
      </c>
      <c r="N1451" s="170">
        <f t="shared" si="562"/>
        <v>0</v>
      </c>
      <c r="O1451" s="250"/>
      <c r="P1451" s="172">
        <f t="shared" si="563"/>
        <v>0</v>
      </c>
      <c r="Q1451" s="251">
        <f t="shared" si="564"/>
        <v>0</v>
      </c>
      <c r="R1451" s="173">
        <f t="shared" si="565"/>
        <v>0</v>
      </c>
      <c r="S1451" s="251"/>
      <c r="T1451" s="171">
        <f t="shared" si="566"/>
        <v>0</v>
      </c>
      <c r="U1451" s="256">
        <f>9/1.1</f>
        <v>8.1818181818181817</v>
      </c>
      <c r="V1451" s="170">
        <f t="shared" si="574"/>
        <v>8.3393181818181823</v>
      </c>
      <c r="W1451" s="258">
        <v>0.1</v>
      </c>
      <c r="X1451" s="257">
        <v>9</v>
      </c>
      <c r="Y1451" s="170">
        <f t="shared" si="560"/>
        <v>9.1732500000000012</v>
      </c>
      <c r="Z1451" s="170">
        <f t="shared" si="575"/>
        <v>9.25</v>
      </c>
      <c r="AA1451" s="407">
        <f t="shared" si="573"/>
        <v>0</v>
      </c>
      <c r="AB1451" s="194"/>
    </row>
    <row r="1452" spans="1:28" s="278" customFormat="1" x14ac:dyDescent="0.25">
      <c r="A1452" s="200">
        <v>833057</v>
      </c>
      <c r="B1452" s="313" t="s">
        <v>20005</v>
      </c>
      <c r="C1452" s="248"/>
      <c r="D1452" s="247" t="s">
        <v>2</v>
      </c>
      <c r="E1452" s="249">
        <f t="shared" si="576"/>
        <v>0</v>
      </c>
      <c r="F1452" s="170">
        <f t="shared" si="576"/>
        <v>0</v>
      </c>
      <c r="G1452" s="250"/>
      <c r="H1452" s="171">
        <f t="shared" si="561"/>
        <v>0</v>
      </c>
      <c r="I1452" s="249">
        <f t="shared" si="577"/>
        <v>0</v>
      </c>
      <c r="J1452" s="170">
        <f t="shared" si="577"/>
        <v>0</v>
      </c>
      <c r="K1452" s="250"/>
      <c r="L1452" s="172">
        <f t="shared" si="571"/>
        <v>0</v>
      </c>
      <c r="M1452" s="249">
        <f t="shared" si="572"/>
        <v>0</v>
      </c>
      <c r="N1452" s="170">
        <f t="shared" si="562"/>
        <v>0</v>
      </c>
      <c r="O1452" s="250"/>
      <c r="P1452" s="172">
        <f t="shared" si="563"/>
        <v>0</v>
      </c>
      <c r="Q1452" s="251">
        <f t="shared" si="564"/>
        <v>0</v>
      </c>
      <c r="R1452" s="173">
        <f t="shared" si="565"/>
        <v>0</v>
      </c>
      <c r="S1452" s="251"/>
      <c r="T1452" s="171">
        <f t="shared" si="566"/>
        <v>0</v>
      </c>
      <c r="U1452" s="256">
        <f>13/1.1</f>
        <v>11.818181818181817</v>
      </c>
      <c r="V1452" s="170">
        <f t="shared" si="574"/>
        <v>12.045681818181816</v>
      </c>
      <c r="W1452" s="258">
        <v>0.1</v>
      </c>
      <c r="X1452" s="257">
        <v>13</v>
      </c>
      <c r="Y1452" s="170">
        <f t="shared" si="560"/>
        <v>13.250249999999998</v>
      </c>
      <c r="Z1452" s="170">
        <f t="shared" si="575"/>
        <v>13.5</v>
      </c>
      <c r="AA1452" s="407">
        <f t="shared" si="573"/>
        <v>0</v>
      </c>
      <c r="AB1452" s="194"/>
    </row>
    <row r="1453" spans="1:28" s="278" customFormat="1" x14ac:dyDescent="0.25">
      <c r="A1453" s="200">
        <v>833057</v>
      </c>
      <c r="B1453" s="313" t="s">
        <v>20006</v>
      </c>
      <c r="C1453" s="248"/>
      <c r="D1453" s="247" t="s">
        <v>2</v>
      </c>
      <c r="E1453" s="249">
        <f t="shared" si="576"/>
        <v>0</v>
      </c>
      <c r="F1453" s="170">
        <f t="shared" si="576"/>
        <v>0</v>
      </c>
      <c r="G1453" s="250"/>
      <c r="H1453" s="171">
        <f t="shared" si="561"/>
        <v>0</v>
      </c>
      <c r="I1453" s="249">
        <f t="shared" si="577"/>
        <v>0</v>
      </c>
      <c r="J1453" s="170">
        <f t="shared" si="577"/>
        <v>0</v>
      </c>
      <c r="K1453" s="250"/>
      <c r="L1453" s="172">
        <f t="shared" si="571"/>
        <v>0</v>
      </c>
      <c r="M1453" s="249">
        <f t="shared" si="572"/>
        <v>0</v>
      </c>
      <c r="N1453" s="170">
        <f t="shared" si="562"/>
        <v>0</v>
      </c>
      <c r="O1453" s="250"/>
      <c r="P1453" s="172">
        <f t="shared" si="563"/>
        <v>0</v>
      </c>
      <c r="Q1453" s="251">
        <f t="shared" si="564"/>
        <v>0</v>
      </c>
      <c r="R1453" s="173">
        <f t="shared" si="565"/>
        <v>0</v>
      </c>
      <c r="S1453" s="251"/>
      <c r="T1453" s="171">
        <f t="shared" si="566"/>
        <v>0</v>
      </c>
      <c r="U1453" s="256">
        <f>12/1.1</f>
        <v>10.909090909090908</v>
      </c>
      <c r="V1453" s="170">
        <f t="shared" si="574"/>
        <v>11.119090909090907</v>
      </c>
      <c r="W1453" s="258">
        <v>0.1</v>
      </c>
      <c r="X1453" s="257">
        <v>12</v>
      </c>
      <c r="Y1453" s="170">
        <f t="shared" si="560"/>
        <v>12.231</v>
      </c>
      <c r="Z1453" s="170">
        <f t="shared" si="575"/>
        <v>12.25</v>
      </c>
      <c r="AA1453" s="407">
        <f t="shared" si="573"/>
        <v>0</v>
      </c>
      <c r="AB1453" s="194"/>
    </row>
    <row r="1454" spans="1:28" s="278" customFormat="1" x14ac:dyDescent="0.25">
      <c r="A1454" s="200">
        <v>833060</v>
      </c>
      <c r="B1454" s="313" t="s">
        <v>20007</v>
      </c>
      <c r="C1454" s="248"/>
      <c r="D1454" s="247" t="s">
        <v>2</v>
      </c>
      <c r="E1454" s="249">
        <f t="shared" si="576"/>
        <v>0</v>
      </c>
      <c r="F1454" s="170">
        <f t="shared" si="576"/>
        <v>0</v>
      </c>
      <c r="G1454" s="250"/>
      <c r="H1454" s="171">
        <f t="shared" si="561"/>
        <v>0</v>
      </c>
      <c r="I1454" s="249">
        <f t="shared" si="577"/>
        <v>0</v>
      </c>
      <c r="J1454" s="170">
        <f t="shared" si="577"/>
        <v>0</v>
      </c>
      <c r="K1454" s="250"/>
      <c r="L1454" s="172">
        <f t="shared" si="571"/>
        <v>0</v>
      </c>
      <c r="M1454" s="249">
        <f t="shared" si="572"/>
        <v>0</v>
      </c>
      <c r="N1454" s="170">
        <f t="shared" si="562"/>
        <v>0</v>
      </c>
      <c r="O1454" s="250"/>
      <c r="P1454" s="172">
        <f t="shared" si="563"/>
        <v>0</v>
      </c>
      <c r="Q1454" s="251">
        <f t="shared" si="564"/>
        <v>0</v>
      </c>
      <c r="R1454" s="173">
        <f t="shared" si="565"/>
        <v>0</v>
      </c>
      <c r="S1454" s="251"/>
      <c r="T1454" s="171">
        <f t="shared" si="566"/>
        <v>0</v>
      </c>
      <c r="U1454" s="256">
        <f>18/1.1</f>
        <v>16.363636363636363</v>
      </c>
      <c r="V1454" s="170">
        <f t="shared" si="574"/>
        <v>16.678636363636365</v>
      </c>
      <c r="W1454" s="258">
        <v>0.1</v>
      </c>
      <c r="X1454" s="257">
        <v>18</v>
      </c>
      <c r="Y1454" s="170">
        <f t="shared" si="560"/>
        <v>18.346500000000002</v>
      </c>
      <c r="Z1454" s="170">
        <f t="shared" si="575"/>
        <v>18.5</v>
      </c>
      <c r="AA1454" s="407">
        <f t="shared" si="573"/>
        <v>0</v>
      </c>
      <c r="AB1454" s="194"/>
    </row>
    <row r="1455" spans="1:28" s="278" customFormat="1" x14ac:dyDescent="0.25">
      <c r="A1455" s="200">
        <v>833060</v>
      </c>
      <c r="B1455" s="313" t="s">
        <v>20008</v>
      </c>
      <c r="C1455" s="248"/>
      <c r="D1455" s="247" t="s">
        <v>2</v>
      </c>
      <c r="E1455" s="249">
        <f t="shared" si="576"/>
        <v>0</v>
      </c>
      <c r="F1455" s="170">
        <f t="shared" si="576"/>
        <v>0</v>
      </c>
      <c r="G1455" s="250"/>
      <c r="H1455" s="171">
        <f t="shared" si="561"/>
        <v>0</v>
      </c>
      <c r="I1455" s="249">
        <f t="shared" si="577"/>
        <v>0</v>
      </c>
      <c r="J1455" s="170">
        <f t="shared" si="577"/>
        <v>0</v>
      </c>
      <c r="K1455" s="250"/>
      <c r="L1455" s="172">
        <f t="shared" si="571"/>
        <v>0</v>
      </c>
      <c r="M1455" s="249">
        <f t="shared" si="572"/>
        <v>0</v>
      </c>
      <c r="N1455" s="170">
        <f t="shared" si="562"/>
        <v>0</v>
      </c>
      <c r="O1455" s="250"/>
      <c r="P1455" s="172">
        <f t="shared" si="563"/>
        <v>0</v>
      </c>
      <c r="Q1455" s="251">
        <f t="shared" si="564"/>
        <v>0</v>
      </c>
      <c r="R1455" s="173">
        <f t="shared" si="565"/>
        <v>0</v>
      </c>
      <c r="S1455" s="251"/>
      <c r="T1455" s="171">
        <f t="shared" si="566"/>
        <v>0</v>
      </c>
      <c r="U1455" s="256">
        <f>16/1.1</f>
        <v>14.545454545454545</v>
      </c>
      <c r="V1455" s="170">
        <f t="shared" si="574"/>
        <v>14.825454545454544</v>
      </c>
      <c r="W1455" s="258">
        <v>0.1</v>
      </c>
      <c r="X1455" s="257">
        <v>16</v>
      </c>
      <c r="Y1455" s="170">
        <f t="shared" si="560"/>
        <v>16.308</v>
      </c>
      <c r="Z1455" s="170">
        <f t="shared" si="575"/>
        <v>16.5</v>
      </c>
      <c r="AA1455" s="407">
        <f t="shared" si="573"/>
        <v>0</v>
      </c>
      <c r="AB1455" s="194"/>
    </row>
    <row r="1456" spans="1:28" s="278" customFormat="1" x14ac:dyDescent="0.25">
      <c r="A1456" s="200">
        <v>833062</v>
      </c>
      <c r="B1456" s="313" t="s">
        <v>20009</v>
      </c>
      <c r="C1456" s="248"/>
      <c r="D1456" s="247" t="s">
        <v>2</v>
      </c>
      <c r="E1456" s="249">
        <f t="shared" si="576"/>
        <v>0</v>
      </c>
      <c r="F1456" s="170">
        <f t="shared" si="576"/>
        <v>0</v>
      </c>
      <c r="G1456" s="250"/>
      <c r="H1456" s="171">
        <f t="shared" si="561"/>
        <v>0</v>
      </c>
      <c r="I1456" s="249">
        <f t="shared" si="577"/>
        <v>0</v>
      </c>
      <c r="J1456" s="170">
        <f t="shared" si="577"/>
        <v>0</v>
      </c>
      <c r="K1456" s="250"/>
      <c r="L1456" s="172">
        <f t="shared" si="571"/>
        <v>0</v>
      </c>
      <c r="M1456" s="249">
        <f t="shared" si="572"/>
        <v>0</v>
      </c>
      <c r="N1456" s="170">
        <f t="shared" si="562"/>
        <v>0</v>
      </c>
      <c r="O1456" s="250"/>
      <c r="P1456" s="172">
        <f t="shared" si="563"/>
        <v>0</v>
      </c>
      <c r="Q1456" s="251">
        <f t="shared" si="564"/>
        <v>0</v>
      </c>
      <c r="R1456" s="173">
        <f t="shared" si="565"/>
        <v>0</v>
      </c>
      <c r="S1456" s="251"/>
      <c r="T1456" s="171">
        <f t="shared" si="566"/>
        <v>0</v>
      </c>
      <c r="U1456" s="256">
        <f>19/1.1</f>
        <v>17.27272727272727</v>
      </c>
      <c r="V1456" s="170">
        <f t="shared" si="574"/>
        <v>17.605227272727269</v>
      </c>
      <c r="W1456" s="258">
        <v>0.1</v>
      </c>
      <c r="X1456" s="257">
        <v>19</v>
      </c>
      <c r="Y1456" s="170">
        <f t="shared" ref="Y1456:Y1502" si="578">IF(V1456*(W1456+1)=0,X1456,V1456*(W1456+1))</f>
        <v>19.365749999999998</v>
      </c>
      <c r="Z1456" s="170">
        <f t="shared" si="575"/>
        <v>19.5</v>
      </c>
      <c r="AA1456" s="407">
        <f t="shared" si="573"/>
        <v>0</v>
      </c>
      <c r="AB1456" s="194"/>
    </row>
    <row r="1457" spans="1:28" s="278" customFormat="1" x14ac:dyDescent="0.25">
      <c r="A1457" s="200">
        <v>833062</v>
      </c>
      <c r="B1457" s="313" t="s">
        <v>20010</v>
      </c>
      <c r="C1457" s="248"/>
      <c r="D1457" s="247" t="s">
        <v>2</v>
      </c>
      <c r="E1457" s="249">
        <f t="shared" si="576"/>
        <v>0</v>
      </c>
      <c r="F1457" s="170">
        <f t="shared" si="576"/>
        <v>0</v>
      </c>
      <c r="G1457" s="250"/>
      <c r="H1457" s="171">
        <f t="shared" si="561"/>
        <v>0</v>
      </c>
      <c r="I1457" s="249">
        <f t="shared" si="577"/>
        <v>0</v>
      </c>
      <c r="J1457" s="170">
        <f t="shared" si="577"/>
        <v>0</v>
      </c>
      <c r="K1457" s="250"/>
      <c r="L1457" s="172">
        <f t="shared" si="571"/>
        <v>0</v>
      </c>
      <c r="M1457" s="249">
        <f t="shared" si="572"/>
        <v>0</v>
      </c>
      <c r="N1457" s="170">
        <f t="shared" si="562"/>
        <v>0</v>
      </c>
      <c r="O1457" s="250"/>
      <c r="P1457" s="172">
        <f t="shared" si="563"/>
        <v>0</v>
      </c>
      <c r="Q1457" s="251">
        <f t="shared" si="564"/>
        <v>0</v>
      </c>
      <c r="R1457" s="173">
        <f t="shared" si="565"/>
        <v>0</v>
      </c>
      <c r="S1457" s="251"/>
      <c r="T1457" s="171">
        <f t="shared" si="566"/>
        <v>0</v>
      </c>
      <c r="U1457" s="256">
        <f>17/1.1</f>
        <v>15.454545454545453</v>
      </c>
      <c r="V1457" s="170">
        <f t="shared" si="574"/>
        <v>15.752045454545453</v>
      </c>
      <c r="W1457" s="258">
        <v>0.1</v>
      </c>
      <c r="X1457" s="257">
        <v>17</v>
      </c>
      <c r="Y1457" s="170">
        <f t="shared" si="578"/>
        <v>17.327249999999999</v>
      </c>
      <c r="Z1457" s="170">
        <f t="shared" si="575"/>
        <v>17.5</v>
      </c>
      <c r="AA1457" s="407">
        <f t="shared" si="573"/>
        <v>0</v>
      </c>
      <c r="AB1457" s="194"/>
    </row>
    <row r="1458" spans="1:28" s="278" customFormat="1" x14ac:dyDescent="0.25">
      <c r="A1458" s="200">
        <v>833065</v>
      </c>
      <c r="B1458" s="313" t="s">
        <v>20011</v>
      </c>
      <c r="C1458" s="248"/>
      <c r="D1458" s="247" t="s">
        <v>2</v>
      </c>
      <c r="E1458" s="249">
        <f t="shared" si="576"/>
        <v>0</v>
      </c>
      <c r="F1458" s="170">
        <f t="shared" si="576"/>
        <v>0</v>
      </c>
      <c r="G1458" s="250"/>
      <c r="H1458" s="171">
        <f t="shared" si="561"/>
        <v>0</v>
      </c>
      <c r="I1458" s="249">
        <f t="shared" si="577"/>
        <v>0</v>
      </c>
      <c r="J1458" s="170">
        <f t="shared" si="577"/>
        <v>0</v>
      </c>
      <c r="K1458" s="250"/>
      <c r="L1458" s="172">
        <f t="shared" si="571"/>
        <v>0</v>
      </c>
      <c r="M1458" s="249">
        <f t="shared" si="572"/>
        <v>0</v>
      </c>
      <c r="N1458" s="170">
        <f t="shared" si="562"/>
        <v>0</v>
      </c>
      <c r="O1458" s="250"/>
      <c r="P1458" s="172">
        <f t="shared" si="563"/>
        <v>0</v>
      </c>
      <c r="Q1458" s="251">
        <f t="shared" si="564"/>
        <v>0</v>
      </c>
      <c r="R1458" s="173">
        <f t="shared" si="565"/>
        <v>0</v>
      </c>
      <c r="S1458" s="251"/>
      <c r="T1458" s="171">
        <f t="shared" si="566"/>
        <v>0</v>
      </c>
      <c r="U1458" s="256">
        <f>20/1.1</f>
        <v>18.18181818181818</v>
      </c>
      <c r="V1458" s="170">
        <f t="shared" si="574"/>
        <v>18.531818181818181</v>
      </c>
      <c r="W1458" s="258">
        <v>0.1</v>
      </c>
      <c r="X1458" s="257">
        <v>20</v>
      </c>
      <c r="Y1458" s="170">
        <f t="shared" si="578"/>
        <v>20.385000000000002</v>
      </c>
      <c r="Z1458" s="170">
        <f t="shared" si="575"/>
        <v>20.5</v>
      </c>
      <c r="AA1458" s="407">
        <f t="shared" si="573"/>
        <v>0</v>
      </c>
      <c r="AB1458" s="194"/>
    </row>
    <row r="1459" spans="1:28" s="278" customFormat="1" x14ac:dyDescent="0.25">
      <c r="A1459" s="200">
        <v>833065</v>
      </c>
      <c r="B1459" s="313" t="s">
        <v>20012</v>
      </c>
      <c r="C1459" s="248"/>
      <c r="D1459" s="247" t="s">
        <v>2</v>
      </c>
      <c r="E1459" s="249">
        <f t="shared" si="576"/>
        <v>0</v>
      </c>
      <c r="F1459" s="170">
        <f t="shared" si="576"/>
        <v>0</v>
      </c>
      <c r="G1459" s="250"/>
      <c r="H1459" s="171">
        <f t="shared" si="561"/>
        <v>0</v>
      </c>
      <c r="I1459" s="249">
        <f t="shared" si="577"/>
        <v>0</v>
      </c>
      <c r="J1459" s="170">
        <f t="shared" si="577"/>
        <v>0</v>
      </c>
      <c r="K1459" s="250"/>
      <c r="L1459" s="172">
        <f t="shared" si="571"/>
        <v>0</v>
      </c>
      <c r="M1459" s="249">
        <f t="shared" si="572"/>
        <v>0</v>
      </c>
      <c r="N1459" s="170">
        <f t="shared" si="562"/>
        <v>0</v>
      </c>
      <c r="O1459" s="250"/>
      <c r="P1459" s="172">
        <f t="shared" si="563"/>
        <v>0</v>
      </c>
      <c r="Q1459" s="251">
        <f t="shared" si="564"/>
        <v>0</v>
      </c>
      <c r="R1459" s="173">
        <f t="shared" si="565"/>
        <v>0</v>
      </c>
      <c r="S1459" s="251"/>
      <c r="T1459" s="171">
        <f t="shared" si="566"/>
        <v>0</v>
      </c>
      <c r="U1459" s="256">
        <f>18/1.1</f>
        <v>16.363636363636363</v>
      </c>
      <c r="V1459" s="170">
        <f t="shared" si="574"/>
        <v>16.678636363636365</v>
      </c>
      <c r="W1459" s="258">
        <v>0.1</v>
      </c>
      <c r="X1459" s="257">
        <v>18</v>
      </c>
      <c r="Y1459" s="170">
        <f t="shared" si="578"/>
        <v>18.346500000000002</v>
      </c>
      <c r="Z1459" s="170">
        <f t="shared" si="575"/>
        <v>18.5</v>
      </c>
      <c r="AA1459" s="407">
        <f t="shared" si="573"/>
        <v>0</v>
      </c>
      <c r="AB1459" s="194"/>
    </row>
    <row r="1460" spans="1:28" s="278" customFormat="1" ht="14.4" thickBot="1" x14ac:dyDescent="0.3">
      <c r="A1460" s="263">
        <v>833070</v>
      </c>
      <c r="B1460" s="321" t="s">
        <v>20013</v>
      </c>
      <c r="C1460" s="265"/>
      <c r="D1460" s="264" t="s">
        <v>2</v>
      </c>
      <c r="E1460" s="266">
        <f t="shared" si="576"/>
        <v>0</v>
      </c>
      <c r="F1460" s="174">
        <f t="shared" si="576"/>
        <v>0</v>
      </c>
      <c r="G1460" s="267"/>
      <c r="H1460" s="268">
        <f t="shared" si="561"/>
        <v>0</v>
      </c>
      <c r="I1460" s="266">
        <f t="shared" si="577"/>
        <v>0</v>
      </c>
      <c r="J1460" s="174">
        <f t="shared" si="577"/>
        <v>0</v>
      </c>
      <c r="K1460" s="267"/>
      <c r="L1460" s="269">
        <f t="shared" si="571"/>
        <v>0</v>
      </c>
      <c r="M1460" s="266">
        <f t="shared" si="572"/>
        <v>0</v>
      </c>
      <c r="N1460" s="174">
        <f t="shared" si="562"/>
        <v>0</v>
      </c>
      <c r="O1460" s="267"/>
      <c r="P1460" s="269">
        <f t="shared" si="563"/>
        <v>0</v>
      </c>
      <c r="Q1460" s="270">
        <f t="shared" si="564"/>
        <v>0</v>
      </c>
      <c r="R1460" s="271">
        <f t="shared" si="565"/>
        <v>0</v>
      </c>
      <c r="S1460" s="270"/>
      <c r="T1460" s="268">
        <f t="shared" si="566"/>
        <v>0</v>
      </c>
      <c r="U1460" s="409">
        <f>25/1.1</f>
        <v>22.727272727272727</v>
      </c>
      <c r="V1460" s="174">
        <f t="shared" si="574"/>
        <v>23.164772727272727</v>
      </c>
      <c r="W1460" s="322">
        <v>0.1</v>
      </c>
      <c r="X1460" s="274">
        <v>25</v>
      </c>
      <c r="Y1460" s="174">
        <f t="shared" si="578"/>
        <v>25.481250000000003</v>
      </c>
      <c r="Z1460" s="174">
        <f t="shared" si="575"/>
        <v>25.5</v>
      </c>
      <c r="AA1460" s="410">
        <f t="shared" si="573"/>
        <v>0</v>
      </c>
      <c r="AB1460" s="194"/>
    </row>
    <row r="1461" spans="1:28" s="278" customFormat="1" x14ac:dyDescent="0.25">
      <c r="A1461" s="200">
        <v>833070</v>
      </c>
      <c r="B1461" s="313" t="s">
        <v>20014</v>
      </c>
      <c r="C1461" s="248"/>
      <c r="D1461" s="247" t="s">
        <v>2</v>
      </c>
      <c r="E1461" s="249">
        <f t="shared" si="576"/>
        <v>0</v>
      </c>
      <c r="F1461" s="170">
        <f t="shared" si="576"/>
        <v>0</v>
      </c>
      <c r="G1461" s="250"/>
      <c r="H1461" s="171">
        <f t="shared" si="561"/>
        <v>0</v>
      </c>
      <c r="I1461" s="249">
        <f t="shared" si="577"/>
        <v>0</v>
      </c>
      <c r="J1461" s="170">
        <f t="shared" si="577"/>
        <v>0</v>
      </c>
      <c r="K1461" s="250"/>
      <c r="L1461" s="172">
        <f t="shared" si="571"/>
        <v>0</v>
      </c>
      <c r="M1461" s="249">
        <f t="shared" si="572"/>
        <v>0</v>
      </c>
      <c r="N1461" s="170">
        <f t="shared" si="562"/>
        <v>0</v>
      </c>
      <c r="O1461" s="250"/>
      <c r="P1461" s="172">
        <f t="shared" si="563"/>
        <v>0</v>
      </c>
      <c r="Q1461" s="251">
        <f t="shared" si="564"/>
        <v>0</v>
      </c>
      <c r="R1461" s="173">
        <f t="shared" si="565"/>
        <v>0</v>
      </c>
      <c r="S1461" s="251"/>
      <c r="T1461" s="171">
        <f t="shared" si="566"/>
        <v>0</v>
      </c>
      <c r="U1461" s="256">
        <f>20/1.1</f>
        <v>18.18181818181818</v>
      </c>
      <c r="V1461" s="170">
        <f t="shared" si="574"/>
        <v>18.531818181818181</v>
      </c>
      <c r="W1461" s="258">
        <v>0.1</v>
      </c>
      <c r="X1461" s="257">
        <v>20</v>
      </c>
      <c r="Y1461" s="170">
        <f t="shared" si="578"/>
        <v>20.385000000000002</v>
      </c>
      <c r="Z1461" s="170">
        <f t="shared" si="575"/>
        <v>20.5</v>
      </c>
      <c r="AA1461" s="407">
        <f t="shared" si="573"/>
        <v>0</v>
      </c>
      <c r="AB1461" s="194"/>
    </row>
    <row r="1462" spans="1:28" s="278" customFormat="1" x14ac:dyDescent="0.25">
      <c r="A1462" s="200">
        <v>833075</v>
      </c>
      <c r="B1462" s="313" t="s">
        <v>20015</v>
      </c>
      <c r="C1462" s="248"/>
      <c r="D1462" s="247" t="s">
        <v>2</v>
      </c>
      <c r="E1462" s="249">
        <f t="shared" si="576"/>
        <v>0</v>
      </c>
      <c r="F1462" s="170">
        <f t="shared" si="576"/>
        <v>0</v>
      </c>
      <c r="G1462" s="250"/>
      <c r="H1462" s="171">
        <f t="shared" si="561"/>
        <v>0</v>
      </c>
      <c r="I1462" s="249">
        <f t="shared" si="577"/>
        <v>0</v>
      </c>
      <c r="J1462" s="170">
        <f t="shared" si="577"/>
        <v>0</v>
      </c>
      <c r="K1462" s="250"/>
      <c r="L1462" s="172">
        <f t="shared" si="571"/>
        <v>0</v>
      </c>
      <c r="M1462" s="249">
        <f t="shared" si="572"/>
        <v>0</v>
      </c>
      <c r="N1462" s="170">
        <f t="shared" si="562"/>
        <v>0</v>
      </c>
      <c r="O1462" s="250"/>
      <c r="P1462" s="172">
        <f t="shared" si="563"/>
        <v>0</v>
      </c>
      <c r="Q1462" s="251">
        <f t="shared" si="564"/>
        <v>0</v>
      </c>
      <c r="R1462" s="173">
        <f t="shared" si="565"/>
        <v>0</v>
      </c>
      <c r="S1462" s="250"/>
      <c r="T1462" s="171">
        <f t="shared" si="566"/>
        <v>0</v>
      </c>
      <c r="U1462" s="256">
        <f>28/1.1</f>
        <v>25.454545454545453</v>
      </c>
      <c r="V1462" s="170">
        <f t="shared" si="574"/>
        <v>25.944545454545452</v>
      </c>
      <c r="W1462" s="258">
        <v>0.1</v>
      </c>
      <c r="X1462" s="257">
        <v>28</v>
      </c>
      <c r="Y1462" s="170">
        <f t="shared" si="578"/>
        <v>28.538999999999998</v>
      </c>
      <c r="Z1462" s="170">
        <f t="shared" si="575"/>
        <v>28.75</v>
      </c>
      <c r="AA1462" s="407">
        <f t="shared" si="573"/>
        <v>0</v>
      </c>
      <c r="AB1462" s="194"/>
    </row>
    <row r="1463" spans="1:28" s="278" customFormat="1" x14ac:dyDescent="0.25">
      <c r="A1463" s="200">
        <v>833075</v>
      </c>
      <c r="B1463" s="313" t="s">
        <v>20016</v>
      </c>
      <c r="C1463" s="248"/>
      <c r="D1463" s="247" t="s">
        <v>2</v>
      </c>
      <c r="E1463" s="249">
        <f t="shared" si="576"/>
        <v>0</v>
      </c>
      <c r="F1463" s="170">
        <f t="shared" si="576"/>
        <v>0</v>
      </c>
      <c r="G1463" s="250"/>
      <c r="H1463" s="171">
        <f t="shared" si="561"/>
        <v>0</v>
      </c>
      <c r="I1463" s="249">
        <f t="shared" si="577"/>
        <v>0</v>
      </c>
      <c r="J1463" s="170">
        <f t="shared" si="577"/>
        <v>0</v>
      </c>
      <c r="K1463" s="250"/>
      <c r="L1463" s="172">
        <f t="shared" si="571"/>
        <v>0</v>
      </c>
      <c r="M1463" s="249">
        <f t="shared" si="572"/>
        <v>0</v>
      </c>
      <c r="N1463" s="170">
        <f t="shared" si="562"/>
        <v>0</v>
      </c>
      <c r="O1463" s="250"/>
      <c r="P1463" s="172">
        <f t="shared" si="563"/>
        <v>0</v>
      </c>
      <c r="Q1463" s="251">
        <f t="shared" si="564"/>
        <v>0</v>
      </c>
      <c r="R1463" s="173">
        <f t="shared" si="565"/>
        <v>0</v>
      </c>
      <c r="S1463" s="250"/>
      <c r="T1463" s="171">
        <f t="shared" si="566"/>
        <v>0</v>
      </c>
      <c r="U1463" s="256">
        <f>25/1.1</f>
        <v>22.727272727272727</v>
      </c>
      <c r="V1463" s="170">
        <f t="shared" si="574"/>
        <v>23.164772727272727</v>
      </c>
      <c r="W1463" s="258">
        <v>0.1</v>
      </c>
      <c r="X1463" s="257">
        <v>25</v>
      </c>
      <c r="Y1463" s="170">
        <f t="shared" si="578"/>
        <v>25.481250000000003</v>
      </c>
      <c r="Z1463" s="170">
        <f t="shared" si="575"/>
        <v>25.5</v>
      </c>
      <c r="AA1463" s="407">
        <f t="shared" si="573"/>
        <v>0</v>
      </c>
      <c r="AB1463" s="194"/>
    </row>
    <row r="1464" spans="1:28" s="278" customFormat="1" x14ac:dyDescent="0.25">
      <c r="A1464" s="200">
        <v>833080</v>
      </c>
      <c r="B1464" s="313" t="s">
        <v>20017</v>
      </c>
      <c r="C1464" s="248"/>
      <c r="D1464" s="247" t="s">
        <v>2</v>
      </c>
      <c r="E1464" s="249">
        <f t="shared" si="576"/>
        <v>0</v>
      </c>
      <c r="F1464" s="170">
        <f t="shared" si="576"/>
        <v>0</v>
      </c>
      <c r="G1464" s="250"/>
      <c r="H1464" s="171">
        <f t="shared" si="561"/>
        <v>0</v>
      </c>
      <c r="I1464" s="249">
        <f t="shared" si="577"/>
        <v>0</v>
      </c>
      <c r="J1464" s="170">
        <f t="shared" si="577"/>
        <v>0</v>
      </c>
      <c r="K1464" s="250"/>
      <c r="L1464" s="172">
        <f t="shared" si="571"/>
        <v>0</v>
      </c>
      <c r="M1464" s="249">
        <f t="shared" si="572"/>
        <v>0</v>
      </c>
      <c r="N1464" s="170">
        <f t="shared" si="562"/>
        <v>0</v>
      </c>
      <c r="O1464" s="250"/>
      <c r="P1464" s="172">
        <f t="shared" si="563"/>
        <v>0</v>
      </c>
      <c r="Q1464" s="251">
        <f t="shared" si="564"/>
        <v>0</v>
      </c>
      <c r="R1464" s="173">
        <f t="shared" si="565"/>
        <v>0</v>
      </c>
      <c r="S1464" s="251"/>
      <c r="T1464" s="171">
        <f t="shared" si="566"/>
        <v>0</v>
      </c>
      <c r="U1464" s="256">
        <f>35/1.1</f>
        <v>31.818181818181817</v>
      </c>
      <c r="V1464" s="170">
        <f t="shared" si="574"/>
        <v>32.430681818181817</v>
      </c>
      <c r="W1464" s="258">
        <v>0.1</v>
      </c>
      <c r="X1464" s="257">
        <v>35</v>
      </c>
      <c r="Y1464" s="170">
        <f t="shared" si="578"/>
        <v>35.673750000000005</v>
      </c>
      <c r="Z1464" s="170">
        <f t="shared" si="575"/>
        <v>35.75</v>
      </c>
      <c r="AA1464" s="407">
        <f t="shared" si="573"/>
        <v>0</v>
      </c>
      <c r="AB1464" s="194"/>
    </row>
    <row r="1465" spans="1:28" s="278" customFormat="1" x14ac:dyDescent="0.25">
      <c r="A1465" s="200">
        <v>833080</v>
      </c>
      <c r="B1465" s="313" t="s">
        <v>20018</v>
      </c>
      <c r="C1465" s="248"/>
      <c r="D1465" s="247" t="s">
        <v>2</v>
      </c>
      <c r="E1465" s="249">
        <f t="shared" si="576"/>
        <v>0</v>
      </c>
      <c r="F1465" s="170">
        <f t="shared" si="576"/>
        <v>0</v>
      </c>
      <c r="G1465" s="250"/>
      <c r="H1465" s="171">
        <f t="shared" si="561"/>
        <v>0</v>
      </c>
      <c r="I1465" s="249">
        <f t="shared" si="577"/>
        <v>0</v>
      </c>
      <c r="J1465" s="170">
        <f t="shared" si="577"/>
        <v>0</v>
      </c>
      <c r="K1465" s="250"/>
      <c r="L1465" s="172">
        <f t="shared" si="571"/>
        <v>0</v>
      </c>
      <c r="M1465" s="249">
        <f t="shared" si="572"/>
        <v>0</v>
      </c>
      <c r="N1465" s="170">
        <f t="shared" si="562"/>
        <v>0</v>
      </c>
      <c r="O1465" s="250"/>
      <c r="P1465" s="172">
        <f t="shared" si="563"/>
        <v>0</v>
      </c>
      <c r="Q1465" s="251">
        <f t="shared" si="564"/>
        <v>0</v>
      </c>
      <c r="R1465" s="173">
        <f t="shared" si="565"/>
        <v>0</v>
      </c>
      <c r="S1465" s="251"/>
      <c r="T1465" s="171">
        <f t="shared" si="566"/>
        <v>0</v>
      </c>
      <c r="U1465" s="256">
        <f>30/1.1</f>
        <v>27.27272727272727</v>
      </c>
      <c r="V1465" s="170">
        <f t="shared" si="574"/>
        <v>27.797727272727268</v>
      </c>
      <c r="W1465" s="258">
        <v>0.1</v>
      </c>
      <c r="X1465" s="257">
        <v>30</v>
      </c>
      <c r="Y1465" s="170">
        <f t="shared" si="578"/>
        <v>30.577499999999997</v>
      </c>
      <c r="Z1465" s="170">
        <f t="shared" si="575"/>
        <v>30.75</v>
      </c>
      <c r="AA1465" s="407">
        <f t="shared" si="573"/>
        <v>0</v>
      </c>
      <c r="AB1465" s="194"/>
    </row>
    <row r="1466" spans="1:28" s="278" customFormat="1" ht="21" x14ac:dyDescent="0.25">
      <c r="A1466" s="200">
        <v>833107</v>
      </c>
      <c r="B1466" s="255" t="s">
        <v>20019</v>
      </c>
      <c r="C1466" s="248"/>
      <c r="D1466" s="247" t="s">
        <v>2</v>
      </c>
      <c r="E1466" s="249">
        <f t="shared" si="576"/>
        <v>0</v>
      </c>
      <c r="F1466" s="170">
        <f t="shared" si="576"/>
        <v>0</v>
      </c>
      <c r="G1466" s="250"/>
      <c r="H1466" s="171">
        <f t="shared" si="561"/>
        <v>0</v>
      </c>
      <c r="I1466" s="249">
        <f t="shared" si="577"/>
        <v>0</v>
      </c>
      <c r="J1466" s="170">
        <f t="shared" si="577"/>
        <v>0</v>
      </c>
      <c r="K1466" s="250"/>
      <c r="L1466" s="172">
        <f t="shared" si="571"/>
        <v>0</v>
      </c>
      <c r="M1466" s="249">
        <f t="shared" si="572"/>
        <v>0</v>
      </c>
      <c r="N1466" s="170">
        <f t="shared" si="562"/>
        <v>0</v>
      </c>
      <c r="O1466" s="250"/>
      <c r="P1466" s="172">
        <f t="shared" si="563"/>
        <v>0</v>
      </c>
      <c r="Q1466" s="251">
        <f t="shared" si="564"/>
        <v>0</v>
      </c>
      <c r="R1466" s="173">
        <f t="shared" si="565"/>
        <v>0</v>
      </c>
      <c r="S1466" s="251"/>
      <c r="T1466" s="171">
        <f t="shared" si="566"/>
        <v>0</v>
      </c>
      <c r="U1466" s="256">
        <f>26/1.1</f>
        <v>23.636363636363633</v>
      </c>
      <c r="V1466" s="170">
        <f t="shared" si="574"/>
        <v>24.091363636363631</v>
      </c>
      <c r="W1466" s="258">
        <v>0.1</v>
      </c>
      <c r="X1466" s="257">
        <v>26</v>
      </c>
      <c r="Y1466" s="170">
        <f t="shared" si="578"/>
        <v>26.500499999999995</v>
      </c>
      <c r="Z1466" s="170">
        <f t="shared" ref="Z1466:Z1502" si="579">IF(Y1466=0, 0, IF(Y1466&lt;10, _xlfn.CEILING.MATH(Y1466,1), IF(Y1466&lt;100, _xlfn.CEILING.MATH(Y1466,1),IF(Y1466&lt;1000, _xlfn.CEILING.MATH(Y1466,5), IF(Y1466&lt;10000, _xlfn.CEILING.MATH(Y1466, 25), IF(Y1466&lt;100000, _xlfn.CEILING.MATH(Y1466,250), IF(Y1466&lt;1000000, _xlfn.CEILING.MATH(Y1466,500), 0)))))))</f>
        <v>27</v>
      </c>
      <c r="AA1466" s="407">
        <f t="shared" si="573"/>
        <v>0</v>
      </c>
      <c r="AB1466" s="194"/>
    </row>
    <row r="1467" spans="1:28" s="278" customFormat="1" ht="21" x14ac:dyDescent="0.25">
      <c r="A1467" s="200">
        <v>833107</v>
      </c>
      <c r="B1467" s="255" t="s">
        <v>20020</v>
      </c>
      <c r="C1467" s="248"/>
      <c r="D1467" s="247" t="s">
        <v>2</v>
      </c>
      <c r="E1467" s="249">
        <f t="shared" si="576"/>
        <v>0</v>
      </c>
      <c r="F1467" s="170">
        <f t="shared" si="576"/>
        <v>0</v>
      </c>
      <c r="G1467" s="250"/>
      <c r="H1467" s="171">
        <f t="shared" ref="H1467:H1502" si="580">G1467</f>
        <v>0</v>
      </c>
      <c r="I1467" s="249">
        <f t="shared" si="577"/>
        <v>0</v>
      </c>
      <c r="J1467" s="170">
        <f t="shared" si="577"/>
        <v>0</v>
      </c>
      <c r="K1467" s="250"/>
      <c r="L1467" s="172">
        <f t="shared" si="571"/>
        <v>0</v>
      </c>
      <c r="M1467" s="249">
        <f t="shared" si="572"/>
        <v>0</v>
      </c>
      <c r="N1467" s="170">
        <f t="shared" ref="N1467:N1502" si="581">P1467*V1467</f>
        <v>0</v>
      </c>
      <c r="O1467" s="250"/>
      <c r="P1467" s="172">
        <f t="shared" ref="P1467:P1502" si="582">O1467</f>
        <v>0</v>
      </c>
      <c r="Q1467" s="251">
        <f t="shared" ref="Q1467:Q1502" si="583">U1467*S1467</f>
        <v>0</v>
      </c>
      <c r="R1467" s="173">
        <f t="shared" ref="R1467:R1502" si="584">T1467*V1467</f>
        <v>0</v>
      </c>
      <c r="S1467" s="251"/>
      <c r="T1467" s="171">
        <f t="shared" ref="T1467:T1502" si="585">S1467</f>
        <v>0</v>
      </c>
      <c r="U1467" s="256">
        <f>25/1.1</f>
        <v>22.727272727272727</v>
      </c>
      <c r="V1467" s="170">
        <f t="shared" si="574"/>
        <v>23.164772727272727</v>
      </c>
      <c r="W1467" s="258">
        <v>0.1</v>
      </c>
      <c r="X1467" s="257">
        <v>25</v>
      </c>
      <c r="Y1467" s="170">
        <f t="shared" si="578"/>
        <v>25.481250000000003</v>
      </c>
      <c r="Z1467" s="170">
        <f t="shared" si="579"/>
        <v>26</v>
      </c>
      <c r="AA1467" s="407">
        <f t="shared" si="573"/>
        <v>0</v>
      </c>
      <c r="AB1467" s="194"/>
    </row>
    <row r="1468" spans="1:28" s="278" customFormat="1" ht="21" x14ac:dyDescent="0.25">
      <c r="A1468" s="200">
        <v>833110</v>
      </c>
      <c r="B1468" s="255" t="s">
        <v>20021</v>
      </c>
      <c r="C1468" s="248"/>
      <c r="D1468" s="247" t="s">
        <v>2</v>
      </c>
      <c r="E1468" s="249">
        <f t="shared" si="576"/>
        <v>0</v>
      </c>
      <c r="F1468" s="170">
        <f t="shared" si="576"/>
        <v>0</v>
      </c>
      <c r="G1468" s="250"/>
      <c r="H1468" s="171">
        <f t="shared" si="580"/>
        <v>0</v>
      </c>
      <c r="I1468" s="249">
        <f t="shared" si="577"/>
        <v>0</v>
      </c>
      <c r="J1468" s="170">
        <f t="shared" si="577"/>
        <v>0</v>
      </c>
      <c r="K1468" s="250"/>
      <c r="L1468" s="172">
        <f t="shared" si="571"/>
        <v>0</v>
      </c>
      <c r="M1468" s="249">
        <f t="shared" si="572"/>
        <v>0</v>
      </c>
      <c r="N1468" s="170">
        <f t="shared" si="581"/>
        <v>0</v>
      </c>
      <c r="O1468" s="250"/>
      <c r="P1468" s="172">
        <f t="shared" si="582"/>
        <v>0</v>
      </c>
      <c r="Q1468" s="251">
        <f t="shared" si="583"/>
        <v>0</v>
      </c>
      <c r="R1468" s="173">
        <f t="shared" si="584"/>
        <v>0</v>
      </c>
      <c r="S1468" s="251"/>
      <c r="T1468" s="171">
        <f t="shared" si="585"/>
        <v>0</v>
      </c>
      <c r="U1468" s="256">
        <f>32/1.1</f>
        <v>29.09090909090909</v>
      </c>
      <c r="V1468" s="170">
        <f t="shared" si="574"/>
        <v>29.650909090909089</v>
      </c>
      <c r="W1468" s="258">
        <v>0.1</v>
      </c>
      <c r="X1468" s="257">
        <v>32</v>
      </c>
      <c r="Y1468" s="170">
        <f t="shared" si="578"/>
        <v>32.616</v>
      </c>
      <c r="Z1468" s="170">
        <f t="shared" si="579"/>
        <v>33</v>
      </c>
      <c r="AA1468" s="407">
        <f t="shared" si="573"/>
        <v>0</v>
      </c>
      <c r="AB1468" s="194"/>
    </row>
    <row r="1469" spans="1:28" s="278" customFormat="1" ht="21" x14ac:dyDescent="0.25">
      <c r="A1469" s="200">
        <v>833110</v>
      </c>
      <c r="B1469" s="255" t="s">
        <v>20022</v>
      </c>
      <c r="C1469" s="248"/>
      <c r="D1469" s="247" t="s">
        <v>2</v>
      </c>
      <c r="E1469" s="249">
        <f t="shared" si="576"/>
        <v>0</v>
      </c>
      <c r="F1469" s="170">
        <f t="shared" si="576"/>
        <v>0</v>
      </c>
      <c r="G1469" s="250"/>
      <c r="H1469" s="171">
        <f t="shared" si="580"/>
        <v>0</v>
      </c>
      <c r="I1469" s="249">
        <f t="shared" si="577"/>
        <v>0</v>
      </c>
      <c r="J1469" s="170">
        <f t="shared" si="577"/>
        <v>0</v>
      </c>
      <c r="K1469" s="250"/>
      <c r="L1469" s="172">
        <f t="shared" si="571"/>
        <v>0</v>
      </c>
      <c r="M1469" s="249">
        <f t="shared" si="572"/>
        <v>0</v>
      </c>
      <c r="N1469" s="170">
        <f t="shared" si="581"/>
        <v>0</v>
      </c>
      <c r="O1469" s="250"/>
      <c r="P1469" s="172">
        <f t="shared" si="582"/>
        <v>0</v>
      </c>
      <c r="Q1469" s="251">
        <f t="shared" si="583"/>
        <v>0</v>
      </c>
      <c r="R1469" s="173">
        <f t="shared" si="584"/>
        <v>0</v>
      </c>
      <c r="S1469" s="251"/>
      <c r="T1469" s="171">
        <f t="shared" si="585"/>
        <v>0</v>
      </c>
      <c r="U1469" s="256">
        <f>30/1.1</f>
        <v>27.27272727272727</v>
      </c>
      <c r="V1469" s="170">
        <f t="shared" si="574"/>
        <v>27.797727272727268</v>
      </c>
      <c r="W1469" s="258">
        <v>0.1</v>
      </c>
      <c r="X1469" s="257">
        <v>30</v>
      </c>
      <c r="Y1469" s="170">
        <f t="shared" si="578"/>
        <v>30.577499999999997</v>
      </c>
      <c r="Z1469" s="170">
        <f t="shared" si="579"/>
        <v>31</v>
      </c>
      <c r="AA1469" s="407">
        <f t="shared" si="573"/>
        <v>0</v>
      </c>
      <c r="AB1469" s="194"/>
    </row>
    <row r="1470" spans="1:28" s="278" customFormat="1" ht="21" x14ac:dyDescent="0.25">
      <c r="A1470" s="200">
        <v>833112</v>
      </c>
      <c r="B1470" s="255" t="s">
        <v>20023</v>
      </c>
      <c r="C1470" s="248"/>
      <c r="D1470" s="247" t="s">
        <v>2</v>
      </c>
      <c r="E1470" s="249">
        <f t="shared" si="576"/>
        <v>0</v>
      </c>
      <c r="F1470" s="170">
        <f t="shared" si="576"/>
        <v>0</v>
      </c>
      <c r="G1470" s="250"/>
      <c r="H1470" s="171">
        <f t="shared" si="580"/>
        <v>0</v>
      </c>
      <c r="I1470" s="249">
        <f t="shared" si="577"/>
        <v>0</v>
      </c>
      <c r="J1470" s="170">
        <f t="shared" si="577"/>
        <v>0</v>
      </c>
      <c r="K1470" s="250"/>
      <c r="L1470" s="172">
        <f t="shared" si="571"/>
        <v>0</v>
      </c>
      <c r="M1470" s="249">
        <f t="shared" si="572"/>
        <v>0</v>
      </c>
      <c r="N1470" s="170">
        <f t="shared" si="581"/>
        <v>0</v>
      </c>
      <c r="O1470" s="250"/>
      <c r="P1470" s="172">
        <f t="shared" si="582"/>
        <v>0</v>
      </c>
      <c r="Q1470" s="251">
        <f t="shared" si="583"/>
        <v>0</v>
      </c>
      <c r="R1470" s="173">
        <f t="shared" si="584"/>
        <v>0</v>
      </c>
      <c r="S1470" s="251"/>
      <c r="T1470" s="171">
        <f t="shared" si="585"/>
        <v>0</v>
      </c>
      <c r="U1470" s="256">
        <f>35/1.1</f>
        <v>31.818181818181817</v>
      </c>
      <c r="V1470" s="170">
        <f t="shared" si="574"/>
        <v>32.430681818181817</v>
      </c>
      <c r="W1470" s="258">
        <v>0.1</v>
      </c>
      <c r="X1470" s="257">
        <v>35</v>
      </c>
      <c r="Y1470" s="170">
        <f t="shared" si="578"/>
        <v>35.673750000000005</v>
      </c>
      <c r="Z1470" s="170">
        <f t="shared" si="579"/>
        <v>36</v>
      </c>
      <c r="AA1470" s="407">
        <f t="shared" si="573"/>
        <v>0</v>
      </c>
      <c r="AB1470" s="194"/>
    </row>
    <row r="1471" spans="1:28" s="278" customFormat="1" ht="21" x14ac:dyDescent="0.25">
      <c r="A1471" s="200">
        <v>833112</v>
      </c>
      <c r="B1471" s="255" t="s">
        <v>20024</v>
      </c>
      <c r="C1471" s="248"/>
      <c r="D1471" s="247" t="s">
        <v>2</v>
      </c>
      <c r="E1471" s="249">
        <f t="shared" si="576"/>
        <v>0</v>
      </c>
      <c r="F1471" s="170">
        <f t="shared" si="576"/>
        <v>0</v>
      </c>
      <c r="G1471" s="250"/>
      <c r="H1471" s="171">
        <f t="shared" si="580"/>
        <v>0</v>
      </c>
      <c r="I1471" s="249">
        <f t="shared" si="577"/>
        <v>0</v>
      </c>
      <c r="J1471" s="170">
        <f t="shared" si="577"/>
        <v>0</v>
      </c>
      <c r="K1471" s="250"/>
      <c r="L1471" s="172">
        <f t="shared" si="571"/>
        <v>0</v>
      </c>
      <c r="M1471" s="249">
        <f t="shared" si="572"/>
        <v>0</v>
      </c>
      <c r="N1471" s="170">
        <f t="shared" si="581"/>
        <v>0</v>
      </c>
      <c r="O1471" s="250"/>
      <c r="P1471" s="172">
        <f t="shared" si="582"/>
        <v>0</v>
      </c>
      <c r="Q1471" s="251">
        <f t="shared" si="583"/>
        <v>0</v>
      </c>
      <c r="R1471" s="173">
        <f t="shared" si="584"/>
        <v>0</v>
      </c>
      <c r="S1471" s="251"/>
      <c r="T1471" s="171">
        <f t="shared" si="585"/>
        <v>0</v>
      </c>
      <c r="U1471" s="256">
        <f>32/1.1</f>
        <v>29.09090909090909</v>
      </c>
      <c r="V1471" s="170">
        <f t="shared" si="574"/>
        <v>29.650909090909089</v>
      </c>
      <c r="W1471" s="258">
        <v>0.1</v>
      </c>
      <c r="X1471" s="257">
        <v>32</v>
      </c>
      <c r="Y1471" s="170">
        <f t="shared" si="578"/>
        <v>32.616</v>
      </c>
      <c r="Z1471" s="170">
        <f t="shared" si="579"/>
        <v>33</v>
      </c>
      <c r="AA1471" s="407">
        <f t="shared" si="573"/>
        <v>0</v>
      </c>
      <c r="AB1471" s="194"/>
    </row>
    <row r="1472" spans="1:28" s="278" customFormat="1" ht="21" x14ac:dyDescent="0.25">
      <c r="A1472" s="200">
        <v>833115</v>
      </c>
      <c r="B1472" s="255" t="s">
        <v>20025</v>
      </c>
      <c r="C1472" s="248"/>
      <c r="D1472" s="247" t="s">
        <v>2</v>
      </c>
      <c r="E1472" s="249">
        <f t="shared" si="576"/>
        <v>0</v>
      </c>
      <c r="F1472" s="170">
        <f t="shared" si="576"/>
        <v>0</v>
      </c>
      <c r="G1472" s="250"/>
      <c r="H1472" s="171">
        <f t="shared" si="580"/>
        <v>0</v>
      </c>
      <c r="I1472" s="249">
        <f t="shared" si="577"/>
        <v>0</v>
      </c>
      <c r="J1472" s="170">
        <f t="shared" si="577"/>
        <v>0</v>
      </c>
      <c r="K1472" s="250"/>
      <c r="L1472" s="172">
        <f t="shared" si="571"/>
        <v>0</v>
      </c>
      <c r="M1472" s="249">
        <f t="shared" si="572"/>
        <v>0</v>
      </c>
      <c r="N1472" s="170">
        <f t="shared" si="581"/>
        <v>0</v>
      </c>
      <c r="O1472" s="250"/>
      <c r="P1472" s="172">
        <f t="shared" si="582"/>
        <v>0</v>
      </c>
      <c r="Q1472" s="251">
        <f t="shared" si="583"/>
        <v>0</v>
      </c>
      <c r="R1472" s="173">
        <f t="shared" si="584"/>
        <v>0</v>
      </c>
      <c r="S1472" s="251"/>
      <c r="T1472" s="171">
        <f t="shared" si="585"/>
        <v>0</v>
      </c>
      <c r="U1472" s="256">
        <f>36/1.1</f>
        <v>32.727272727272727</v>
      </c>
      <c r="V1472" s="170">
        <f t="shared" si="574"/>
        <v>33.357272727272729</v>
      </c>
      <c r="W1472" s="258">
        <v>0.1</v>
      </c>
      <c r="X1472" s="257">
        <v>36</v>
      </c>
      <c r="Y1472" s="170">
        <f t="shared" si="578"/>
        <v>36.693000000000005</v>
      </c>
      <c r="Z1472" s="170">
        <f t="shared" si="579"/>
        <v>37</v>
      </c>
      <c r="AA1472" s="407">
        <f t="shared" si="573"/>
        <v>0</v>
      </c>
      <c r="AB1472" s="194"/>
    </row>
    <row r="1473" spans="1:28" s="278" customFormat="1" ht="21" x14ac:dyDescent="0.25">
      <c r="A1473" s="200">
        <v>833115</v>
      </c>
      <c r="B1473" s="255" t="s">
        <v>20026</v>
      </c>
      <c r="C1473" s="248"/>
      <c r="D1473" s="247" t="s">
        <v>2</v>
      </c>
      <c r="E1473" s="249">
        <f t="shared" si="576"/>
        <v>0</v>
      </c>
      <c r="F1473" s="170">
        <f t="shared" si="576"/>
        <v>0</v>
      </c>
      <c r="G1473" s="250"/>
      <c r="H1473" s="171">
        <f t="shared" si="580"/>
        <v>0</v>
      </c>
      <c r="I1473" s="249">
        <f t="shared" si="577"/>
        <v>0</v>
      </c>
      <c r="J1473" s="170">
        <f t="shared" si="577"/>
        <v>0</v>
      </c>
      <c r="K1473" s="250"/>
      <c r="L1473" s="172">
        <f t="shared" si="571"/>
        <v>0</v>
      </c>
      <c r="M1473" s="249">
        <f t="shared" si="572"/>
        <v>0</v>
      </c>
      <c r="N1473" s="170">
        <f t="shared" si="581"/>
        <v>0</v>
      </c>
      <c r="O1473" s="250"/>
      <c r="P1473" s="172">
        <f t="shared" si="582"/>
        <v>0</v>
      </c>
      <c r="Q1473" s="251">
        <f t="shared" si="583"/>
        <v>0</v>
      </c>
      <c r="R1473" s="173">
        <f t="shared" si="584"/>
        <v>0</v>
      </c>
      <c r="S1473" s="251"/>
      <c r="T1473" s="171">
        <f t="shared" si="585"/>
        <v>0</v>
      </c>
      <c r="U1473" s="256">
        <f>32/1.1</f>
        <v>29.09090909090909</v>
      </c>
      <c r="V1473" s="170">
        <f t="shared" si="574"/>
        <v>29.650909090909089</v>
      </c>
      <c r="W1473" s="258">
        <v>0.1</v>
      </c>
      <c r="X1473" s="257">
        <v>32</v>
      </c>
      <c r="Y1473" s="170">
        <f t="shared" si="578"/>
        <v>32.616</v>
      </c>
      <c r="Z1473" s="170">
        <f t="shared" si="579"/>
        <v>33</v>
      </c>
      <c r="AA1473" s="407">
        <f t="shared" si="573"/>
        <v>0</v>
      </c>
      <c r="AB1473" s="194"/>
    </row>
    <row r="1474" spans="1:28" s="278" customFormat="1" ht="21" x14ac:dyDescent="0.25">
      <c r="A1474" s="200">
        <v>833120</v>
      </c>
      <c r="B1474" s="255" t="s">
        <v>20027</v>
      </c>
      <c r="C1474" s="248"/>
      <c r="D1474" s="247" t="s">
        <v>2</v>
      </c>
      <c r="E1474" s="249">
        <f t="shared" si="576"/>
        <v>0</v>
      </c>
      <c r="F1474" s="170">
        <f t="shared" si="576"/>
        <v>0</v>
      </c>
      <c r="G1474" s="250"/>
      <c r="H1474" s="171">
        <f t="shared" si="580"/>
        <v>0</v>
      </c>
      <c r="I1474" s="249">
        <f t="shared" si="577"/>
        <v>0</v>
      </c>
      <c r="J1474" s="170">
        <f t="shared" si="577"/>
        <v>0</v>
      </c>
      <c r="K1474" s="250"/>
      <c r="L1474" s="172">
        <f t="shared" si="571"/>
        <v>0</v>
      </c>
      <c r="M1474" s="249">
        <f t="shared" si="572"/>
        <v>0</v>
      </c>
      <c r="N1474" s="170">
        <f t="shared" si="581"/>
        <v>0</v>
      </c>
      <c r="O1474" s="250"/>
      <c r="P1474" s="172">
        <f t="shared" si="582"/>
        <v>0</v>
      </c>
      <c r="Q1474" s="251">
        <f t="shared" si="583"/>
        <v>0</v>
      </c>
      <c r="R1474" s="173">
        <f t="shared" si="584"/>
        <v>0</v>
      </c>
      <c r="S1474" s="251"/>
      <c r="T1474" s="171">
        <f t="shared" si="585"/>
        <v>0</v>
      </c>
      <c r="U1474" s="256">
        <f>42/1.1</f>
        <v>38.18181818181818</v>
      </c>
      <c r="V1474" s="170">
        <f t="shared" si="574"/>
        <v>38.916818181818179</v>
      </c>
      <c r="W1474" s="258">
        <v>0.1</v>
      </c>
      <c r="X1474" s="257">
        <v>42</v>
      </c>
      <c r="Y1474" s="170">
        <f t="shared" si="578"/>
        <v>42.808500000000002</v>
      </c>
      <c r="Z1474" s="170">
        <f t="shared" si="579"/>
        <v>43</v>
      </c>
      <c r="AA1474" s="407">
        <f t="shared" si="573"/>
        <v>0</v>
      </c>
      <c r="AB1474" s="194"/>
    </row>
    <row r="1475" spans="1:28" s="278" customFormat="1" ht="21" x14ac:dyDescent="0.25">
      <c r="A1475" s="200">
        <v>833120</v>
      </c>
      <c r="B1475" s="255" t="s">
        <v>20028</v>
      </c>
      <c r="C1475" s="248"/>
      <c r="D1475" s="247" t="s">
        <v>2</v>
      </c>
      <c r="E1475" s="249">
        <f t="shared" si="576"/>
        <v>0</v>
      </c>
      <c r="F1475" s="170">
        <f t="shared" si="576"/>
        <v>0</v>
      </c>
      <c r="G1475" s="250"/>
      <c r="H1475" s="171">
        <f t="shared" si="580"/>
        <v>0</v>
      </c>
      <c r="I1475" s="249">
        <f t="shared" si="577"/>
        <v>0</v>
      </c>
      <c r="J1475" s="170">
        <f t="shared" si="577"/>
        <v>0</v>
      </c>
      <c r="K1475" s="250"/>
      <c r="L1475" s="172">
        <f t="shared" si="571"/>
        <v>0</v>
      </c>
      <c r="M1475" s="249">
        <f t="shared" si="572"/>
        <v>0</v>
      </c>
      <c r="N1475" s="170">
        <f t="shared" si="581"/>
        <v>0</v>
      </c>
      <c r="O1475" s="250"/>
      <c r="P1475" s="172">
        <f t="shared" si="582"/>
        <v>0</v>
      </c>
      <c r="Q1475" s="251">
        <f t="shared" si="583"/>
        <v>0</v>
      </c>
      <c r="R1475" s="173">
        <f t="shared" si="584"/>
        <v>0</v>
      </c>
      <c r="S1475" s="251"/>
      <c r="T1475" s="171">
        <f t="shared" si="585"/>
        <v>0</v>
      </c>
      <c r="U1475" s="256">
        <f>40/1.1</f>
        <v>36.36363636363636</v>
      </c>
      <c r="V1475" s="170">
        <f t="shared" si="574"/>
        <v>37.063636363636363</v>
      </c>
      <c r="W1475" s="258">
        <v>0.1</v>
      </c>
      <c r="X1475" s="257">
        <v>40</v>
      </c>
      <c r="Y1475" s="170">
        <f t="shared" si="578"/>
        <v>40.770000000000003</v>
      </c>
      <c r="Z1475" s="170">
        <f t="shared" si="579"/>
        <v>41</v>
      </c>
      <c r="AA1475" s="407">
        <f t="shared" si="573"/>
        <v>0</v>
      </c>
      <c r="AB1475" s="194"/>
    </row>
    <row r="1476" spans="1:28" s="278" customFormat="1" x14ac:dyDescent="0.25">
      <c r="A1476" s="200">
        <v>833201</v>
      </c>
      <c r="B1476" s="313" t="s">
        <v>16120</v>
      </c>
      <c r="C1476" s="248"/>
      <c r="D1476" s="247" t="s">
        <v>3</v>
      </c>
      <c r="E1476" s="249">
        <f>U1476*G1476</f>
        <v>0</v>
      </c>
      <c r="F1476" s="170">
        <f>V1476*H1476</f>
        <v>0</v>
      </c>
      <c r="G1476" s="250"/>
      <c r="H1476" s="171">
        <f>G1476</f>
        <v>0</v>
      </c>
      <c r="I1476" s="249">
        <f>U1476*K1476</f>
        <v>0</v>
      </c>
      <c r="J1476" s="170">
        <f>V1476*L1476</f>
        <v>0</v>
      </c>
      <c r="K1476" s="250"/>
      <c r="L1476" s="172">
        <f>K1476</f>
        <v>0</v>
      </c>
      <c r="M1476" s="249">
        <f>U1476*O1476</f>
        <v>0</v>
      </c>
      <c r="N1476" s="170">
        <f>P1476*V1476</f>
        <v>0</v>
      </c>
      <c r="O1476" s="250"/>
      <c r="P1476" s="172">
        <f>O1476</f>
        <v>0</v>
      </c>
      <c r="Q1476" s="251">
        <f>U1476*S1476</f>
        <v>0</v>
      </c>
      <c r="R1476" s="173">
        <f>T1476*V1476</f>
        <v>0</v>
      </c>
      <c r="S1476" s="251"/>
      <c r="T1476" s="171">
        <f>S1476</f>
        <v>0</v>
      </c>
      <c r="U1476" s="256"/>
      <c r="V1476" s="170">
        <f>50/1.25</f>
        <v>40</v>
      </c>
      <c r="W1476" s="258">
        <v>0.25</v>
      </c>
      <c r="X1476" s="257"/>
      <c r="Y1476" s="170">
        <f>IF(V1476*(W1476+1)=0,X1476,V1476*(W1476+1))</f>
        <v>50</v>
      </c>
      <c r="Z1476" s="170">
        <f>IF(Y1476=0, 0, IF(Y1476&lt;10, _xlfn.CEILING.MATH(Y1476,1), IF(Y1476&lt;100, _xlfn.CEILING.MATH(Y1476,1),IF(Y1476&lt;1000, _xlfn.CEILING.MATH(Y1476,5), IF(Y1476&lt;10000, _xlfn.CEILING.MATH(Y1476, 25), IF(Y1476&lt;100000, _xlfn.CEILING.MATH(Y1476,250), IF(Y1476&lt;1000000, _xlfn.CEILING.MATH(Y1476,500), 0)))))))</f>
        <v>50</v>
      </c>
      <c r="AA1476" s="407">
        <f>C1476*Z1476</f>
        <v>0</v>
      </c>
      <c r="AB1476" s="194"/>
    </row>
    <row r="1477" spans="1:28" s="278" customFormat="1" x14ac:dyDescent="0.25">
      <c r="A1477" s="200">
        <v>833210</v>
      </c>
      <c r="B1477" s="313" t="s">
        <v>20029</v>
      </c>
      <c r="C1477" s="248"/>
      <c r="D1477" s="247" t="s">
        <v>11</v>
      </c>
      <c r="E1477" s="249">
        <f t="shared" si="576"/>
        <v>0</v>
      </c>
      <c r="F1477" s="170">
        <f t="shared" si="576"/>
        <v>0</v>
      </c>
      <c r="G1477" s="250"/>
      <c r="H1477" s="171">
        <f t="shared" si="580"/>
        <v>0</v>
      </c>
      <c r="I1477" s="249">
        <f t="shared" si="577"/>
        <v>0</v>
      </c>
      <c r="J1477" s="170">
        <f t="shared" si="577"/>
        <v>0</v>
      </c>
      <c r="K1477" s="250"/>
      <c r="L1477" s="172">
        <f t="shared" si="571"/>
        <v>0</v>
      </c>
      <c r="M1477" s="249">
        <f t="shared" si="572"/>
        <v>0</v>
      </c>
      <c r="N1477" s="170">
        <f t="shared" si="581"/>
        <v>0</v>
      </c>
      <c r="O1477" s="250"/>
      <c r="P1477" s="172">
        <f t="shared" si="582"/>
        <v>0</v>
      </c>
      <c r="Q1477" s="251">
        <f t="shared" si="583"/>
        <v>0</v>
      </c>
      <c r="R1477" s="173">
        <f t="shared" si="584"/>
        <v>0</v>
      </c>
      <c r="S1477" s="251"/>
      <c r="T1477" s="171">
        <f t="shared" si="585"/>
        <v>0</v>
      </c>
      <c r="U1477" s="256">
        <f>600/1.1</f>
        <v>545.45454545454538</v>
      </c>
      <c r="V1477" s="170">
        <f t="shared" si="574"/>
        <v>555.95454545454538</v>
      </c>
      <c r="W1477" s="258">
        <v>0.1</v>
      </c>
      <c r="X1477" s="257">
        <v>600</v>
      </c>
      <c r="Y1477" s="170">
        <f t="shared" si="578"/>
        <v>611.54999999999995</v>
      </c>
      <c r="Z1477" s="170">
        <f t="shared" si="579"/>
        <v>615</v>
      </c>
      <c r="AA1477" s="407">
        <f t="shared" si="573"/>
        <v>0</v>
      </c>
      <c r="AB1477" s="194"/>
    </row>
    <row r="1478" spans="1:28" s="278" customFormat="1" x14ac:dyDescent="0.25">
      <c r="A1478" s="200">
        <v>833210</v>
      </c>
      <c r="B1478" s="313" t="s">
        <v>20030</v>
      </c>
      <c r="C1478" s="248"/>
      <c r="D1478" s="247" t="s">
        <v>11</v>
      </c>
      <c r="E1478" s="249">
        <f t="shared" si="576"/>
        <v>0</v>
      </c>
      <c r="F1478" s="170">
        <f t="shared" si="576"/>
        <v>0</v>
      </c>
      <c r="G1478" s="250"/>
      <c r="H1478" s="171">
        <f t="shared" si="580"/>
        <v>0</v>
      </c>
      <c r="I1478" s="249">
        <f t="shared" si="577"/>
        <v>0</v>
      </c>
      <c r="J1478" s="170">
        <f t="shared" si="577"/>
        <v>0</v>
      </c>
      <c r="K1478" s="250"/>
      <c r="L1478" s="172">
        <f t="shared" si="571"/>
        <v>0</v>
      </c>
      <c r="M1478" s="249">
        <f t="shared" si="572"/>
        <v>0</v>
      </c>
      <c r="N1478" s="170">
        <f t="shared" si="581"/>
        <v>0</v>
      </c>
      <c r="O1478" s="250"/>
      <c r="P1478" s="172">
        <f t="shared" si="582"/>
        <v>0</v>
      </c>
      <c r="Q1478" s="251">
        <f t="shared" si="583"/>
        <v>0</v>
      </c>
      <c r="R1478" s="173">
        <f t="shared" si="584"/>
        <v>0</v>
      </c>
      <c r="S1478" s="251"/>
      <c r="T1478" s="171">
        <f t="shared" si="585"/>
        <v>0</v>
      </c>
      <c r="U1478" s="256">
        <f>500/1.1</f>
        <v>454.5454545454545</v>
      </c>
      <c r="V1478" s="170">
        <f t="shared" si="574"/>
        <v>463.2954545454545</v>
      </c>
      <c r="W1478" s="258">
        <v>0.1</v>
      </c>
      <c r="X1478" s="257">
        <v>500</v>
      </c>
      <c r="Y1478" s="170">
        <f t="shared" si="578"/>
        <v>509.625</v>
      </c>
      <c r="Z1478" s="170">
        <f t="shared" si="579"/>
        <v>510</v>
      </c>
      <c r="AA1478" s="407">
        <f t="shared" si="573"/>
        <v>0</v>
      </c>
      <c r="AB1478" s="194"/>
    </row>
    <row r="1479" spans="1:28" s="278" customFormat="1" x14ac:dyDescent="0.25">
      <c r="A1479" s="200">
        <v>833215</v>
      </c>
      <c r="B1479" s="313" t="s">
        <v>20031</v>
      </c>
      <c r="C1479" s="248"/>
      <c r="D1479" s="247" t="s">
        <v>11</v>
      </c>
      <c r="E1479" s="249">
        <f t="shared" si="576"/>
        <v>0</v>
      </c>
      <c r="F1479" s="170">
        <f t="shared" si="576"/>
        <v>0</v>
      </c>
      <c r="G1479" s="250"/>
      <c r="H1479" s="171">
        <f t="shared" si="580"/>
        <v>0</v>
      </c>
      <c r="I1479" s="249">
        <f t="shared" si="577"/>
        <v>0</v>
      </c>
      <c r="J1479" s="170">
        <f t="shared" si="577"/>
        <v>0</v>
      </c>
      <c r="K1479" s="250"/>
      <c r="L1479" s="172">
        <f t="shared" si="571"/>
        <v>0</v>
      </c>
      <c r="M1479" s="249">
        <f t="shared" si="572"/>
        <v>0</v>
      </c>
      <c r="N1479" s="170">
        <f t="shared" si="581"/>
        <v>0</v>
      </c>
      <c r="O1479" s="250"/>
      <c r="P1479" s="172">
        <f t="shared" si="582"/>
        <v>0</v>
      </c>
      <c r="Q1479" s="251">
        <f t="shared" si="583"/>
        <v>0</v>
      </c>
      <c r="R1479" s="173">
        <f t="shared" si="584"/>
        <v>0</v>
      </c>
      <c r="S1479" s="251"/>
      <c r="T1479" s="171">
        <f t="shared" si="585"/>
        <v>0</v>
      </c>
      <c r="U1479" s="256">
        <f>700/1.1</f>
        <v>636.36363636363626</v>
      </c>
      <c r="V1479" s="170">
        <f t="shared" si="574"/>
        <v>648.61363636363626</v>
      </c>
      <c r="W1479" s="258">
        <v>0.1</v>
      </c>
      <c r="X1479" s="257">
        <v>700</v>
      </c>
      <c r="Y1479" s="170">
        <f t="shared" si="578"/>
        <v>713.47499999999991</v>
      </c>
      <c r="Z1479" s="170">
        <f t="shared" si="579"/>
        <v>715</v>
      </c>
      <c r="AA1479" s="407">
        <f t="shared" si="573"/>
        <v>0</v>
      </c>
      <c r="AB1479" s="194"/>
    </row>
    <row r="1480" spans="1:28" s="278" customFormat="1" x14ac:dyDescent="0.25">
      <c r="A1480" s="200">
        <v>833215</v>
      </c>
      <c r="B1480" s="313" t="s">
        <v>20032</v>
      </c>
      <c r="C1480" s="248"/>
      <c r="D1480" s="247" t="s">
        <v>11</v>
      </c>
      <c r="E1480" s="249">
        <f t="shared" si="576"/>
        <v>0</v>
      </c>
      <c r="F1480" s="170">
        <f t="shared" si="576"/>
        <v>0</v>
      </c>
      <c r="G1480" s="250"/>
      <c r="H1480" s="171">
        <f t="shared" si="580"/>
        <v>0</v>
      </c>
      <c r="I1480" s="249">
        <f t="shared" si="577"/>
        <v>0</v>
      </c>
      <c r="J1480" s="170">
        <f t="shared" si="577"/>
        <v>0</v>
      </c>
      <c r="K1480" s="250"/>
      <c r="L1480" s="172">
        <f t="shared" si="571"/>
        <v>0</v>
      </c>
      <c r="M1480" s="249">
        <f t="shared" si="572"/>
        <v>0</v>
      </c>
      <c r="N1480" s="170">
        <f t="shared" si="581"/>
        <v>0</v>
      </c>
      <c r="O1480" s="250"/>
      <c r="P1480" s="172">
        <f t="shared" si="582"/>
        <v>0</v>
      </c>
      <c r="Q1480" s="251">
        <f t="shared" si="583"/>
        <v>0</v>
      </c>
      <c r="R1480" s="173">
        <f t="shared" si="584"/>
        <v>0</v>
      </c>
      <c r="S1480" s="251"/>
      <c r="T1480" s="171">
        <f t="shared" si="585"/>
        <v>0</v>
      </c>
      <c r="U1480" s="256">
        <f>600/1.1</f>
        <v>545.45454545454538</v>
      </c>
      <c r="V1480" s="170">
        <f t="shared" si="574"/>
        <v>555.95454545454538</v>
      </c>
      <c r="W1480" s="258">
        <v>0.1</v>
      </c>
      <c r="X1480" s="257">
        <v>600</v>
      </c>
      <c r="Y1480" s="170">
        <f t="shared" si="578"/>
        <v>611.54999999999995</v>
      </c>
      <c r="Z1480" s="170">
        <f t="shared" si="579"/>
        <v>615</v>
      </c>
      <c r="AA1480" s="407">
        <f t="shared" si="573"/>
        <v>0</v>
      </c>
      <c r="AB1480" s="194"/>
    </row>
    <row r="1481" spans="1:28" s="278" customFormat="1" x14ac:dyDescent="0.25">
      <c r="A1481" s="200">
        <v>833220</v>
      </c>
      <c r="B1481" s="313" t="s">
        <v>20033</v>
      </c>
      <c r="C1481" s="248"/>
      <c r="D1481" s="247" t="s">
        <v>11</v>
      </c>
      <c r="E1481" s="249">
        <f t="shared" si="576"/>
        <v>0</v>
      </c>
      <c r="F1481" s="170">
        <f t="shared" si="576"/>
        <v>0</v>
      </c>
      <c r="G1481" s="250"/>
      <c r="H1481" s="171">
        <f t="shared" si="580"/>
        <v>0</v>
      </c>
      <c r="I1481" s="249">
        <f t="shared" si="577"/>
        <v>0</v>
      </c>
      <c r="J1481" s="170">
        <f t="shared" si="577"/>
        <v>0</v>
      </c>
      <c r="K1481" s="250"/>
      <c r="L1481" s="172">
        <f t="shared" si="571"/>
        <v>0</v>
      </c>
      <c r="M1481" s="249">
        <f t="shared" si="572"/>
        <v>0</v>
      </c>
      <c r="N1481" s="170">
        <f t="shared" si="581"/>
        <v>0</v>
      </c>
      <c r="O1481" s="250"/>
      <c r="P1481" s="172">
        <f t="shared" si="582"/>
        <v>0</v>
      </c>
      <c r="Q1481" s="251">
        <f t="shared" si="583"/>
        <v>0</v>
      </c>
      <c r="R1481" s="173">
        <f t="shared" si="584"/>
        <v>0</v>
      </c>
      <c r="S1481" s="251"/>
      <c r="T1481" s="171">
        <f t="shared" si="585"/>
        <v>0</v>
      </c>
      <c r="U1481" s="256">
        <f>1000/1.1</f>
        <v>909.09090909090901</v>
      </c>
      <c r="V1481" s="170">
        <f t="shared" si="574"/>
        <v>926.59090909090901</v>
      </c>
      <c r="W1481" s="258">
        <v>0.1</v>
      </c>
      <c r="X1481" s="257">
        <v>1000</v>
      </c>
      <c r="Y1481" s="170">
        <f t="shared" si="578"/>
        <v>1019.25</v>
      </c>
      <c r="Z1481" s="170">
        <f t="shared" si="579"/>
        <v>1025</v>
      </c>
      <c r="AA1481" s="407">
        <f t="shared" si="573"/>
        <v>0</v>
      </c>
      <c r="AB1481" s="194"/>
    </row>
    <row r="1482" spans="1:28" s="278" customFormat="1" x14ac:dyDescent="0.25">
      <c r="A1482" s="200">
        <v>833220</v>
      </c>
      <c r="B1482" s="313" t="s">
        <v>20034</v>
      </c>
      <c r="C1482" s="248"/>
      <c r="D1482" s="247" t="s">
        <v>11</v>
      </c>
      <c r="E1482" s="249">
        <f t="shared" si="576"/>
        <v>0</v>
      </c>
      <c r="F1482" s="170">
        <f t="shared" si="576"/>
        <v>0</v>
      </c>
      <c r="G1482" s="250"/>
      <c r="H1482" s="171">
        <f t="shared" si="580"/>
        <v>0</v>
      </c>
      <c r="I1482" s="249">
        <f t="shared" si="577"/>
        <v>0</v>
      </c>
      <c r="J1482" s="170">
        <f t="shared" si="577"/>
        <v>0</v>
      </c>
      <c r="K1482" s="250"/>
      <c r="L1482" s="172">
        <f t="shared" si="571"/>
        <v>0</v>
      </c>
      <c r="M1482" s="249">
        <f t="shared" si="572"/>
        <v>0</v>
      </c>
      <c r="N1482" s="170">
        <f t="shared" si="581"/>
        <v>0</v>
      </c>
      <c r="O1482" s="250"/>
      <c r="P1482" s="172">
        <f t="shared" si="582"/>
        <v>0</v>
      </c>
      <c r="Q1482" s="251">
        <f t="shared" si="583"/>
        <v>0</v>
      </c>
      <c r="R1482" s="173">
        <f t="shared" si="584"/>
        <v>0</v>
      </c>
      <c r="S1482" s="251"/>
      <c r="T1482" s="171">
        <f t="shared" si="585"/>
        <v>0</v>
      </c>
      <c r="U1482" s="256">
        <f>850/1.1</f>
        <v>772.72727272727263</v>
      </c>
      <c r="V1482" s="170">
        <f t="shared" si="574"/>
        <v>787.60227272727263</v>
      </c>
      <c r="W1482" s="258">
        <v>0.1</v>
      </c>
      <c r="X1482" s="257">
        <v>850</v>
      </c>
      <c r="Y1482" s="170">
        <f t="shared" si="578"/>
        <v>866.36249999999995</v>
      </c>
      <c r="Z1482" s="170">
        <f t="shared" si="579"/>
        <v>870</v>
      </c>
      <c r="AA1482" s="407">
        <f t="shared" si="573"/>
        <v>0</v>
      </c>
      <c r="AB1482" s="194"/>
    </row>
    <row r="1483" spans="1:28" s="278" customFormat="1" x14ac:dyDescent="0.25">
      <c r="A1483" s="200">
        <v>833225</v>
      </c>
      <c r="B1483" s="313" t="s">
        <v>20035</v>
      </c>
      <c r="C1483" s="248"/>
      <c r="D1483" s="247" t="s">
        <v>11</v>
      </c>
      <c r="E1483" s="249">
        <f t="shared" si="576"/>
        <v>0</v>
      </c>
      <c r="F1483" s="170">
        <f t="shared" si="576"/>
        <v>0</v>
      </c>
      <c r="G1483" s="250"/>
      <c r="H1483" s="171">
        <f t="shared" si="580"/>
        <v>0</v>
      </c>
      <c r="I1483" s="249">
        <f t="shared" si="577"/>
        <v>0</v>
      </c>
      <c r="J1483" s="170">
        <f t="shared" si="577"/>
        <v>0</v>
      </c>
      <c r="K1483" s="250"/>
      <c r="L1483" s="172">
        <f t="shared" si="571"/>
        <v>0</v>
      </c>
      <c r="M1483" s="249">
        <f t="shared" si="572"/>
        <v>0</v>
      </c>
      <c r="N1483" s="170">
        <f t="shared" si="581"/>
        <v>0</v>
      </c>
      <c r="O1483" s="250"/>
      <c r="P1483" s="172">
        <f t="shared" si="582"/>
        <v>0</v>
      </c>
      <c r="Q1483" s="251">
        <f t="shared" si="583"/>
        <v>0</v>
      </c>
      <c r="R1483" s="173">
        <f t="shared" si="584"/>
        <v>0</v>
      </c>
      <c r="S1483" s="251"/>
      <c r="T1483" s="171">
        <f t="shared" si="585"/>
        <v>0</v>
      </c>
      <c r="U1483" s="256">
        <f>1100/1.1</f>
        <v>999.99999999999989</v>
      </c>
      <c r="V1483" s="170">
        <f t="shared" si="574"/>
        <v>1019.2499999999999</v>
      </c>
      <c r="W1483" s="258">
        <v>0.1</v>
      </c>
      <c r="X1483" s="257">
        <v>1100</v>
      </c>
      <c r="Y1483" s="170">
        <f t="shared" si="578"/>
        <v>1121.175</v>
      </c>
      <c r="Z1483" s="170">
        <f t="shared" si="579"/>
        <v>1125</v>
      </c>
      <c r="AA1483" s="407">
        <f t="shared" si="573"/>
        <v>0</v>
      </c>
      <c r="AB1483" s="194"/>
    </row>
    <row r="1484" spans="1:28" s="278" customFormat="1" x14ac:dyDescent="0.25">
      <c r="A1484" s="200">
        <v>833225</v>
      </c>
      <c r="B1484" s="313" t="s">
        <v>20036</v>
      </c>
      <c r="C1484" s="248"/>
      <c r="D1484" s="247" t="s">
        <v>11</v>
      </c>
      <c r="E1484" s="249">
        <f t="shared" si="576"/>
        <v>0</v>
      </c>
      <c r="F1484" s="170">
        <f t="shared" si="576"/>
        <v>0</v>
      </c>
      <c r="G1484" s="250"/>
      <c r="H1484" s="171">
        <f t="shared" si="580"/>
        <v>0</v>
      </c>
      <c r="I1484" s="249">
        <f t="shared" si="577"/>
        <v>0</v>
      </c>
      <c r="J1484" s="170">
        <f t="shared" si="577"/>
        <v>0</v>
      </c>
      <c r="K1484" s="250"/>
      <c r="L1484" s="172">
        <f t="shared" si="571"/>
        <v>0</v>
      </c>
      <c r="M1484" s="249">
        <f t="shared" si="572"/>
        <v>0</v>
      </c>
      <c r="N1484" s="170">
        <f t="shared" si="581"/>
        <v>0</v>
      </c>
      <c r="O1484" s="250"/>
      <c r="P1484" s="172">
        <f t="shared" si="582"/>
        <v>0</v>
      </c>
      <c r="Q1484" s="251">
        <f t="shared" si="583"/>
        <v>0</v>
      </c>
      <c r="R1484" s="173">
        <f t="shared" si="584"/>
        <v>0</v>
      </c>
      <c r="S1484" s="251"/>
      <c r="T1484" s="171">
        <f t="shared" si="585"/>
        <v>0</v>
      </c>
      <c r="U1484" s="256">
        <f>950/1.1</f>
        <v>863.63636363636351</v>
      </c>
      <c r="V1484" s="170">
        <f t="shared" si="574"/>
        <v>880.26136363636351</v>
      </c>
      <c r="W1484" s="258">
        <v>0.1</v>
      </c>
      <c r="X1484" s="257">
        <v>950</v>
      </c>
      <c r="Y1484" s="170">
        <f t="shared" si="578"/>
        <v>968.28749999999991</v>
      </c>
      <c r="Z1484" s="170">
        <f t="shared" si="579"/>
        <v>970</v>
      </c>
      <c r="AA1484" s="407">
        <f t="shared" si="573"/>
        <v>0</v>
      </c>
      <c r="AB1484" s="194"/>
    </row>
    <row r="1485" spans="1:28" s="278" customFormat="1" x14ac:dyDescent="0.25">
      <c r="A1485" s="200">
        <v>833230</v>
      </c>
      <c r="B1485" s="313" t="s">
        <v>20037</v>
      </c>
      <c r="C1485" s="248"/>
      <c r="D1485" s="247" t="s">
        <v>11</v>
      </c>
      <c r="E1485" s="249">
        <f t="shared" si="576"/>
        <v>0</v>
      </c>
      <c r="F1485" s="170">
        <f t="shared" si="576"/>
        <v>0</v>
      </c>
      <c r="G1485" s="250"/>
      <c r="H1485" s="171">
        <f t="shared" si="580"/>
        <v>0</v>
      </c>
      <c r="I1485" s="249">
        <f t="shared" si="577"/>
        <v>0</v>
      </c>
      <c r="J1485" s="170">
        <f t="shared" si="577"/>
        <v>0</v>
      </c>
      <c r="K1485" s="250"/>
      <c r="L1485" s="172">
        <f t="shared" si="571"/>
        <v>0</v>
      </c>
      <c r="M1485" s="249">
        <f t="shared" si="572"/>
        <v>0</v>
      </c>
      <c r="N1485" s="170">
        <f t="shared" si="581"/>
        <v>0</v>
      </c>
      <c r="O1485" s="250"/>
      <c r="P1485" s="172">
        <f t="shared" si="582"/>
        <v>0</v>
      </c>
      <c r="Q1485" s="251">
        <f t="shared" si="583"/>
        <v>0</v>
      </c>
      <c r="R1485" s="173">
        <f t="shared" si="584"/>
        <v>0</v>
      </c>
      <c r="S1485" s="251"/>
      <c r="T1485" s="171">
        <f t="shared" si="585"/>
        <v>0</v>
      </c>
      <c r="U1485" s="256">
        <f>1400/1.1</f>
        <v>1272.7272727272725</v>
      </c>
      <c r="V1485" s="170">
        <f t="shared" si="574"/>
        <v>1297.2272727272725</v>
      </c>
      <c r="W1485" s="258">
        <v>0.1</v>
      </c>
      <c r="X1485" s="257">
        <v>1400</v>
      </c>
      <c r="Y1485" s="170">
        <f t="shared" si="578"/>
        <v>1426.9499999999998</v>
      </c>
      <c r="Z1485" s="170">
        <f t="shared" si="579"/>
        <v>1450</v>
      </c>
      <c r="AA1485" s="407">
        <f t="shared" si="573"/>
        <v>0</v>
      </c>
      <c r="AB1485" s="194"/>
    </row>
    <row r="1486" spans="1:28" s="278" customFormat="1" x14ac:dyDescent="0.25">
      <c r="A1486" s="200">
        <v>833230</v>
      </c>
      <c r="B1486" s="313" t="s">
        <v>20038</v>
      </c>
      <c r="C1486" s="248"/>
      <c r="D1486" s="247" t="s">
        <v>11</v>
      </c>
      <c r="E1486" s="249">
        <f t="shared" si="576"/>
        <v>0</v>
      </c>
      <c r="F1486" s="170">
        <f t="shared" si="576"/>
        <v>0</v>
      </c>
      <c r="G1486" s="250"/>
      <c r="H1486" s="171">
        <f t="shared" si="580"/>
        <v>0</v>
      </c>
      <c r="I1486" s="249">
        <f t="shared" si="577"/>
        <v>0</v>
      </c>
      <c r="J1486" s="170">
        <f t="shared" si="577"/>
        <v>0</v>
      </c>
      <c r="K1486" s="250"/>
      <c r="L1486" s="172">
        <f t="shared" si="571"/>
        <v>0</v>
      </c>
      <c r="M1486" s="249">
        <f t="shared" si="572"/>
        <v>0</v>
      </c>
      <c r="N1486" s="170">
        <f t="shared" si="581"/>
        <v>0</v>
      </c>
      <c r="O1486" s="250"/>
      <c r="P1486" s="172">
        <f t="shared" si="582"/>
        <v>0</v>
      </c>
      <c r="Q1486" s="251">
        <f t="shared" si="583"/>
        <v>0</v>
      </c>
      <c r="R1486" s="173">
        <f t="shared" si="584"/>
        <v>0</v>
      </c>
      <c r="S1486" s="251"/>
      <c r="T1486" s="171">
        <f t="shared" si="585"/>
        <v>0</v>
      </c>
      <c r="U1486" s="256">
        <f>1000/1.1</f>
        <v>909.09090909090901</v>
      </c>
      <c r="V1486" s="170">
        <f t="shared" si="574"/>
        <v>926.59090909090901</v>
      </c>
      <c r="W1486" s="258">
        <v>0.1</v>
      </c>
      <c r="X1486" s="257">
        <v>1000</v>
      </c>
      <c r="Y1486" s="170">
        <f t="shared" si="578"/>
        <v>1019.25</v>
      </c>
      <c r="Z1486" s="170">
        <f t="shared" si="579"/>
        <v>1025</v>
      </c>
      <c r="AA1486" s="407">
        <f t="shared" si="573"/>
        <v>0</v>
      </c>
      <c r="AB1486" s="194"/>
    </row>
    <row r="1487" spans="1:28" s="278" customFormat="1" x14ac:dyDescent="0.25">
      <c r="A1487" s="200">
        <v>833235</v>
      </c>
      <c r="B1487" s="313" t="s">
        <v>20039</v>
      </c>
      <c r="C1487" s="248"/>
      <c r="D1487" s="247" t="s">
        <v>11</v>
      </c>
      <c r="E1487" s="249">
        <f t="shared" si="576"/>
        <v>0</v>
      </c>
      <c r="F1487" s="170">
        <f t="shared" si="576"/>
        <v>0</v>
      </c>
      <c r="G1487" s="250"/>
      <c r="H1487" s="171">
        <f t="shared" si="580"/>
        <v>0</v>
      </c>
      <c r="I1487" s="249">
        <f t="shared" si="577"/>
        <v>0</v>
      </c>
      <c r="J1487" s="170">
        <f t="shared" si="577"/>
        <v>0</v>
      </c>
      <c r="K1487" s="250"/>
      <c r="L1487" s="172">
        <f t="shared" si="571"/>
        <v>0</v>
      </c>
      <c r="M1487" s="249">
        <f t="shared" si="572"/>
        <v>0</v>
      </c>
      <c r="N1487" s="170">
        <f t="shared" si="581"/>
        <v>0</v>
      </c>
      <c r="O1487" s="250"/>
      <c r="P1487" s="172">
        <f t="shared" si="582"/>
        <v>0</v>
      </c>
      <c r="Q1487" s="251">
        <f t="shared" si="583"/>
        <v>0</v>
      </c>
      <c r="R1487" s="173">
        <f t="shared" si="584"/>
        <v>0</v>
      </c>
      <c r="S1487" s="251"/>
      <c r="T1487" s="171">
        <f t="shared" si="585"/>
        <v>0</v>
      </c>
      <c r="U1487" s="256">
        <f>1700/1.1</f>
        <v>1545.4545454545453</v>
      </c>
      <c r="V1487" s="170">
        <f t="shared" si="574"/>
        <v>1575.2045454545453</v>
      </c>
      <c r="W1487" s="258">
        <v>0.1</v>
      </c>
      <c r="X1487" s="257">
        <v>1700</v>
      </c>
      <c r="Y1487" s="170">
        <f t="shared" si="578"/>
        <v>1732.7249999999999</v>
      </c>
      <c r="Z1487" s="170">
        <f t="shared" si="579"/>
        <v>1750</v>
      </c>
      <c r="AA1487" s="407">
        <f t="shared" si="573"/>
        <v>0</v>
      </c>
      <c r="AB1487" s="194"/>
    </row>
    <row r="1488" spans="1:28" s="278" customFormat="1" x14ac:dyDescent="0.25">
      <c r="A1488" s="200">
        <v>833235</v>
      </c>
      <c r="B1488" s="313" t="s">
        <v>20040</v>
      </c>
      <c r="C1488" s="248"/>
      <c r="D1488" s="247" t="s">
        <v>11</v>
      </c>
      <c r="E1488" s="249">
        <f t="shared" si="576"/>
        <v>0</v>
      </c>
      <c r="F1488" s="170">
        <f t="shared" si="576"/>
        <v>0</v>
      </c>
      <c r="G1488" s="250"/>
      <c r="H1488" s="171">
        <f t="shared" si="580"/>
        <v>0</v>
      </c>
      <c r="I1488" s="249">
        <f t="shared" si="577"/>
        <v>0</v>
      </c>
      <c r="J1488" s="170">
        <f t="shared" si="577"/>
        <v>0</v>
      </c>
      <c r="K1488" s="250"/>
      <c r="L1488" s="172">
        <f t="shared" si="571"/>
        <v>0</v>
      </c>
      <c r="M1488" s="249">
        <f t="shared" si="572"/>
        <v>0</v>
      </c>
      <c r="N1488" s="170">
        <f t="shared" si="581"/>
        <v>0</v>
      </c>
      <c r="O1488" s="250"/>
      <c r="P1488" s="172">
        <f t="shared" si="582"/>
        <v>0</v>
      </c>
      <c r="Q1488" s="251">
        <f t="shared" si="583"/>
        <v>0</v>
      </c>
      <c r="R1488" s="173">
        <f t="shared" si="584"/>
        <v>0</v>
      </c>
      <c r="S1488" s="251"/>
      <c r="T1488" s="171">
        <f t="shared" si="585"/>
        <v>0</v>
      </c>
      <c r="U1488" s="256">
        <f>1600/1.1</f>
        <v>1454.5454545454545</v>
      </c>
      <c r="V1488" s="170">
        <f t="shared" si="574"/>
        <v>1482.5454545454545</v>
      </c>
      <c r="W1488" s="258">
        <v>0.1</v>
      </c>
      <c r="X1488" s="257">
        <v>1600</v>
      </c>
      <c r="Y1488" s="170">
        <f t="shared" si="578"/>
        <v>1630.8000000000002</v>
      </c>
      <c r="Z1488" s="170">
        <f t="shared" si="579"/>
        <v>1650</v>
      </c>
      <c r="AA1488" s="407">
        <f t="shared" si="573"/>
        <v>0</v>
      </c>
      <c r="AB1488" s="194"/>
    </row>
    <row r="1489" spans="1:29" x14ac:dyDescent="0.25">
      <c r="A1489" s="200">
        <v>833301</v>
      </c>
      <c r="B1489" s="313" t="s">
        <v>20041</v>
      </c>
      <c r="C1489" s="248"/>
      <c r="D1489" s="247" t="s">
        <v>11</v>
      </c>
      <c r="E1489" s="249">
        <f t="shared" si="576"/>
        <v>0</v>
      </c>
      <c r="F1489" s="170">
        <f t="shared" si="576"/>
        <v>0</v>
      </c>
      <c r="G1489" s="250"/>
      <c r="H1489" s="171">
        <f t="shared" si="580"/>
        <v>0</v>
      </c>
      <c r="I1489" s="249">
        <f t="shared" si="577"/>
        <v>0</v>
      </c>
      <c r="J1489" s="170">
        <f t="shared" si="577"/>
        <v>0</v>
      </c>
      <c r="K1489" s="250"/>
      <c r="L1489" s="172">
        <f t="shared" si="571"/>
        <v>0</v>
      </c>
      <c r="M1489" s="249">
        <f t="shared" si="572"/>
        <v>0</v>
      </c>
      <c r="N1489" s="170">
        <f t="shared" si="581"/>
        <v>0</v>
      </c>
      <c r="O1489" s="250"/>
      <c r="P1489" s="172">
        <f t="shared" si="582"/>
        <v>0</v>
      </c>
      <c r="Q1489" s="251">
        <f t="shared" si="583"/>
        <v>0</v>
      </c>
      <c r="R1489" s="173">
        <f t="shared" si="584"/>
        <v>0</v>
      </c>
      <c r="S1489" s="251"/>
      <c r="T1489" s="171">
        <f t="shared" si="585"/>
        <v>0</v>
      </c>
      <c r="U1489" s="256">
        <f>1000/1.1</f>
        <v>909.09090909090901</v>
      </c>
      <c r="V1489" s="170">
        <f t="shared" si="574"/>
        <v>926.59090909090901</v>
      </c>
      <c r="W1489" s="258">
        <v>0.1</v>
      </c>
      <c r="X1489" s="257">
        <v>1000</v>
      </c>
      <c r="Y1489" s="170">
        <f t="shared" si="578"/>
        <v>1019.25</v>
      </c>
      <c r="Z1489" s="170">
        <f t="shared" si="579"/>
        <v>1025</v>
      </c>
      <c r="AA1489" s="407">
        <f t="shared" si="573"/>
        <v>0</v>
      </c>
      <c r="AB1489" s="194"/>
      <c r="AC1489" s="278"/>
    </row>
    <row r="1490" spans="1:29" x14ac:dyDescent="0.25">
      <c r="A1490" s="200">
        <v>833301</v>
      </c>
      <c r="B1490" s="313" t="s">
        <v>20042</v>
      </c>
      <c r="C1490" s="248"/>
      <c r="D1490" s="247" t="s">
        <v>11</v>
      </c>
      <c r="E1490" s="249">
        <f t="shared" si="576"/>
        <v>0</v>
      </c>
      <c r="F1490" s="170">
        <f t="shared" si="576"/>
        <v>0</v>
      </c>
      <c r="G1490" s="250"/>
      <c r="H1490" s="171">
        <f t="shared" si="580"/>
        <v>0</v>
      </c>
      <c r="I1490" s="249">
        <f t="shared" si="577"/>
        <v>0</v>
      </c>
      <c r="J1490" s="170">
        <f t="shared" si="577"/>
        <v>0</v>
      </c>
      <c r="K1490" s="250"/>
      <c r="L1490" s="172">
        <f t="shared" si="571"/>
        <v>0</v>
      </c>
      <c r="M1490" s="249">
        <f t="shared" si="572"/>
        <v>0</v>
      </c>
      <c r="N1490" s="170">
        <f t="shared" si="581"/>
        <v>0</v>
      </c>
      <c r="O1490" s="250"/>
      <c r="P1490" s="172">
        <f t="shared" si="582"/>
        <v>0</v>
      </c>
      <c r="Q1490" s="251">
        <f t="shared" si="583"/>
        <v>0</v>
      </c>
      <c r="R1490" s="173">
        <f t="shared" si="584"/>
        <v>0</v>
      </c>
      <c r="S1490" s="251"/>
      <c r="T1490" s="171">
        <f t="shared" si="585"/>
        <v>0</v>
      </c>
      <c r="U1490" s="256">
        <f>700/1.1</f>
        <v>636.36363636363626</v>
      </c>
      <c r="V1490" s="170">
        <f t="shared" si="574"/>
        <v>648.61363636363626</v>
      </c>
      <c r="W1490" s="258">
        <v>0.1</v>
      </c>
      <c r="X1490" s="257">
        <v>700</v>
      </c>
      <c r="Y1490" s="170">
        <f t="shared" si="578"/>
        <v>713.47499999999991</v>
      </c>
      <c r="Z1490" s="170">
        <f t="shared" si="579"/>
        <v>715</v>
      </c>
      <c r="AA1490" s="407">
        <f t="shared" si="573"/>
        <v>0</v>
      </c>
      <c r="AB1490" s="194"/>
      <c r="AC1490" s="278"/>
    </row>
    <row r="1491" spans="1:29" x14ac:dyDescent="0.25">
      <c r="A1491" s="200">
        <v>833302</v>
      </c>
      <c r="B1491" s="313" t="s">
        <v>20043</v>
      </c>
      <c r="C1491" s="248"/>
      <c r="D1491" s="247" t="s">
        <v>11</v>
      </c>
      <c r="E1491" s="249">
        <f t="shared" si="576"/>
        <v>0</v>
      </c>
      <c r="F1491" s="170">
        <f t="shared" si="576"/>
        <v>0</v>
      </c>
      <c r="G1491" s="250"/>
      <c r="H1491" s="171">
        <f t="shared" si="580"/>
        <v>0</v>
      </c>
      <c r="I1491" s="249">
        <f t="shared" si="577"/>
        <v>0</v>
      </c>
      <c r="J1491" s="170">
        <f t="shared" si="577"/>
        <v>0</v>
      </c>
      <c r="K1491" s="250"/>
      <c r="L1491" s="172">
        <f t="shared" si="571"/>
        <v>0</v>
      </c>
      <c r="M1491" s="249">
        <f t="shared" si="572"/>
        <v>0</v>
      </c>
      <c r="N1491" s="170">
        <f t="shared" si="581"/>
        <v>0</v>
      </c>
      <c r="O1491" s="250"/>
      <c r="P1491" s="172">
        <f t="shared" si="582"/>
        <v>0</v>
      </c>
      <c r="Q1491" s="251">
        <f t="shared" si="583"/>
        <v>0</v>
      </c>
      <c r="R1491" s="173">
        <f t="shared" si="584"/>
        <v>0</v>
      </c>
      <c r="S1491" s="251"/>
      <c r="T1491" s="171">
        <f t="shared" si="585"/>
        <v>0</v>
      </c>
      <c r="U1491" s="256">
        <f>900/1.1</f>
        <v>818.18181818181813</v>
      </c>
      <c r="V1491" s="170">
        <f t="shared" si="574"/>
        <v>833.93181818181813</v>
      </c>
      <c r="W1491" s="258">
        <v>0.1</v>
      </c>
      <c r="X1491" s="257">
        <v>900</v>
      </c>
      <c r="Y1491" s="170">
        <f t="shared" si="578"/>
        <v>917.32500000000005</v>
      </c>
      <c r="Z1491" s="170">
        <f t="shared" si="579"/>
        <v>920</v>
      </c>
      <c r="AA1491" s="407">
        <f t="shared" si="573"/>
        <v>0</v>
      </c>
      <c r="AB1491" s="194"/>
      <c r="AC1491" s="278"/>
    </row>
    <row r="1492" spans="1:29" x14ac:dyDescent="0.25">
      <c r="A1492" s="200">
        <v>833302</v>
      </c>
      <c r="B1492" s="313" t="s">
        <v>20044</v>
      </c>
      <c r="C1492" s="248"/>
      <c r="D1492" s="247" t="s">
        <v>11</v>
      </c>
      <c r="E1492" s="249">
        <f t="shared" si="576"/>
        <v>0</v>
      </c>
      <c r="F1492" s="170">
        <f t="shared" si="576"/>
        <v>0</v>
      </c>
      <c r="G1492" s="250"/>
      <c r="H1492" s="171">
        <f t="shared" si="580"/>
        <v>0</v>
      </c>
      <c r="I1492" s="249">
        <f t="shared" si="577"/>
        <v>0</v>
      </c>
      <c r="J1492" s="170">
        <f t="shared" si="577"/>
        <v>0</v>
      </c>
      <c r="K1492" s="250"/>
      <c r="L1492" s="172">
        <f t="shared" ref="L1492:L1502" si="586">K1492</f>
        <v>0</v>
      </c>
      <c r="M1492" s="249">
        <f t="shared" ref="M1492:M1502" si="587">U1492*O1492</f>
        <v>0</v>
      </c>
      <c r="N1492" s="170">
        <f t="shared" si="581"/>
        <v>0</v>
      </c>
      <c r="O1492" s="250"/>
      <c r="P1492" s="172">
        <f t="shared" si="582"/>
        <v>0</v>
      </c>
      <c r="Q1492" s="251">
        <f t="shared" si="583"/>
        <v>0</v>
      </c>
      <c r="R1492" s="173">
        <f t="shared" si="584"/>
        <v>0</v>
      </c>
      <c r="S1492" s="251"/>
      <c r="T1492" s="171">
        <f t="shared" si="585"/>
        <v>0</v>
      </c>
      <c r="U1492" s="256">
        <f>700/1.1</f>
        <v>636.36363636363626</v>
      </c>
      <c r="V1492" s="170">
        <f t="shared" si="574"/>
        <v>648.61363636363626</v>
      </c>
      <c r="W1492" s="258">
        <v>0.1</v>
      </c>
      <c r="X1492" s="257">
        <v>700</v>
      </c>
      <c r="Y1492" s="170">
        <f t="shared" si="578"/>
        <v>713.47499999999991</v>
      </c>
      <c r="Z1492" s="170">
        <f t="shared" si="579"/>
        <v>715</v>
      </c>
      <c r="AA1492" s="407">
        <f t="shared" si="573"/>
        <v>0</v>
      </c>
      <c r="AB1492" s="194"/>
      <c r="AC1492" s="278"/>
    </row>
    <row r="1493" spans="1:29" x14ac:dyDescent="0.25">
      <c r="A1493" s="200">
        <v>833303</v>
      </c>
      <c r="B1493" s="313" t="s">
        <v>20045</v>
      </c>
      <c r="C1493" s="248"/>
      <c r="D1493" s="247" t="s">
        <v>11</v>
      </c>
      <c r="E1493" s="249">
        <f t="shared" si="576"/>
        <v>0</v>
      </c>
      <c r="F1493" s="170">
        <f t="shared" si="576"/>
        <v>0</v>
      </c>
      <c r="G1493" s="250"/>
      <c r="H1493" s="171">
        <f t="shared" si="580"/>
        <v>0</v>
      </c>
      <c r="I1493" s="249">
        <f t="shared" si="577"/>
        <v>0</v>
      </c>
      <c r="J1493" s="170">
        <f t="shared" si="577"/>
        <v>0</v>
      </c>
      <c r="K1493" s="250"/>
      <c r="L1493" s="172">
        <f t="shared" si="586"/>
        <v>0</v>
      </c>
      <c r="M1493" s="249">
        <f t="shared" si="587"/>
        <v>0</v>
      </c>
      <c r="N1493" s="170">
        <f t="shared" si="581"/>
        <v>0</v>
      </c>
      <c r="O1493" s="250"/>
      <c r="P1493" s="172">
        <f t="shared" si="582"/>
        <v>0</v>
      </c>
      <c r="Q1493" s="251">
        <f t="shared" si="583"/>
        <v>0</v>
      </c>
      <c r="R1493" s="173">
        <f t="shared" si="584"/>
        <v>0</v>
      </c>
      <c r="S1493" s="251"/>
      <c r="T1493" s="171">
        <f t="shared" si="585"/>
        <v>0</v>
      </c>
      <c r="U1493" s="256">
        <f>1800/1.1</f>
        <v>1636.3636363636363</v>
      </c>
      <c r="V1493" s="170">
        <f t="shared" si="574"/>
        <v>1667.8636363636363</v>
      </c>
      <c r="W1493" s="258">
        <v>0.1</v>
      </c>
      <c r="X1493" s="257">
        <v>1800</v>
      </c>
      <c r="Y1493" s="170">
        <f t="shared" si="578"/>
        <v>1834.65</v>
      </c>
      <c r="Z1493" s="170">
        <f t="shared" si="579"/>
        <v>1850</v>
      </c>
      <c r="AA1493" s="407">
        <f t="shared" si="573"/>
        <v>0</v>
      </c>
      <c r="AB1493" s="194"/>
      <c r="AC1493" s="278"/>
    </row>
    <row r="1494" spans="1:29" x14ac:dyDescent="0.25">
      <c r="A1494" s="200">
        <v>833303</v>
      </c>
      <c r="B1494" s="313" t="s">
        <v>20046</v>
      </c>
      <c r="C1494" s="248"/>
      <c r="D1494" s="247" t="s">
        <v>11</v>
      </c>
      <c r="E1494" s="249">
        <f t="shared" si="576"/>
        <v>0</v>
      </c>
      <c r="F1494" s="170">
        <f t="shared" si="576"/>
        <v>0</v>
      </c>
      <c r="G1494" s="250"/>
      <c r="H1494" s="171">
        <f t="shared" si="580"/>
        <v>0</v>
      </c>
      <c r="I1494" s="249">
        <f t="shared" si="577"/>
        <v>0</v>
      </c>
      <c r="J1494" s="170">
        <f t="shared" si="577"/>
        <v>0</v>
      </c>
      <c r="K1494" s="250"/>
      <c r="L1494" s="172">
        <f t="shared" si="586"/>
        <v>0</v>
      </c>
      <c r="M1494" s="249">
        <f t="shared" si="587"/>
        <v>0</v>
      </c>
      <c r="N1494" s="170">
        <f t="shared" si="581"/>
        <v>0</v>
      </c>
      <c r="O1494" s="250"/>
      <c r="P1494" s="172">
        <f t="shared" si="582"/>
        <v>0</v>
      </c>
      <c r="Q1494" s="251">
        <f t="shared" si="583"/>
        <v>0</v>
      </c>
      <c r="R1494" s="173">
        <f t="shared" si="584"/>
        <v>0</v>
      </c>
      <c r="S1494" s="251"/>
      <c r="T1494" s="171">
        <f t="shared" si="585"/>
        <v>0</v>
      </c>
      <c r="U1494" s="256">
        <f>1400/1.1</f>
        <v>1272.7272727272725</v>
      </c>
      <c r="V1494" s="170">
        <f t="shared" si="574"/>
        <v>1297.2272727272725</v>
      </c>
      <c r="W1494" s="258">
        <v>0.1</v>
      </c>
      <c r="X1494" s="257">
        <v>1400</v>
      </c>
      <c r="Y1494" s="170">
        <f t="shared" si="578"/>
        <v>1426.9499999999998</v>
      </c>
      <c r="Z1494" s="170">
        <f t="shared" si="579"/>
        <v>1450</v>
      </c>
      <c r="AA1494" s="407">
        <f t="shared" si="573"/>
        <v>0</v>
      </c>
      <c r="AB1494" s="194"/>
      <c r="AC1494" s="278"/>
    </row>
    <row r="1495" spans="1:29" x14ac:dyDescent="0.25">
      <c r="A1495" s="200">
        <v>833304</v>
      </c>
      <c r="B1495" s="313" t="s">
        <v>20047</v>
      </c>
      <c r="C1495" s="248"/>
      <c r="D1495" s="247" t="s">
        <v>11</v>
      </c>
      <c r="E1495" s="249">
        <f t="shared" si="576"/>
        <v>0</v>
      </c>
      <c r="F1495" s="170">
        <f t="shared" si="576"/>
        <v>0</v>
      </c>
      <c r="G1495" s="250"/>
      <c r="H1495" s="171">
        <f t="shared" si="580"/>
        <v>0</v>
      </c>
      <c r="I1495" s="249">
        <f t="shared" si="577"/>
        <v>0</v>
      </c>
      <c r="J1495" s="170">
        <f t="shared" si="577"/>
        <v>0</v>
      </c>
      <c r="K1495" s="250"/>
      <c r="L1495" s="172">
        <f t="shared" si="586"/>
        <v>0</v>
      </c>
      <c r="M1495" s="249">
        <f t="shared" si="587"/>
        <v>0</v>
      </c>
      <c r="N1495" s="170">
        <f t="shared" si="581"/>
        <v>0</v>
      </c>
      <c r="O1495" s="250"/>
      <c r="P1495" s="172">
        <f t="shared" si="582"/>
        <v>0</v>
      </c>
      <c r="Q1495" s="251">
        <f t="shared" si="583"/>
        <v>0</v>
      </c>
      <c r="R1495" s="173">
        <f t="shared" si="584"/>
        <v>0</v>
      </c>
      <c r="S1495" s="251"/>
      <c r="T1495" s="171">
        <f t="shared" si="585"/>
        <v>0</v>
      </c>
      <c r="U1495" s="256">
        <f>1700/1.1</f>
        <v>1545.4545454545453</v>
      </c>
      <c r="V1495" s="170">
        <f t="shared" si="574"/>
        <v>1575.2045454545453</v>
      </c>
      <c r="W1495" s="258">
        <v>0.1</v>
      </c>
      <c r="X1495" s="257">
        <v>1700</v>
      </c>
      <c r="Y1495" s="170">
        <f t="shared" si="578"/>
        <v>1732.7249999999999</v>
      </c>
      <c r="Z1495" s="170">
        <f t="shared" si="579"/>
        <v>1750</v>
      </c>
      <c r="AA1495" s="407">
        <f t="shared" si="573"/>
        <v>0</v>
      </c>
      <c r="AB1495" s="194"/>
      <c r="AC1495" s="278"/>
    </row>
    <row r="1496" spans="1:29" x14ac:dyDescent="0.25">
      <c r="A1496" s="200">
        <v>833304</v>
      </c>
      <c r="B1496" s="313" t="s">
        <v>20048</v>
      </c>
      <c r="C1496" s="248"/>
      <c r="D1496" s="247" t="s">
        <v>11</v>
      </c>
      <c r="E1496" s="249">
        <f t="shared" si="576"/>
        <v>0</v>
      </c>
      <c r="F1496" s="170">
        <f t="shared" si="576"/>
        <v>0</v>
      </c>
      <c r="G1496" s="250"/>
      <c r="H1496" s="171">
        <f t="shared" si="580"/>
        <v>0</v>
      </c>
      <c r="I1496" s="249">
        <f t="shared" si="577"/>
        <v>0</v>
      </c>
      <c r="J1496" s="170">
        <f t="shared" si="577"/>
        <v>0</v>
      </c>
      <c r="K1496" s="250"/>
      <c r="L1496" s="172">
        <f t="shared" si="586"/>
        <v>0</v>
      </c>
      <c r="M1496" s="249">
        <f t="shared" si="587"/>
        <v>0</v>
      </c>
      <c r="N1496" s="170">
        <f t="shared" si="581"/>
        <v>0</v>
      </c>
      <c r="O1496" s="250"/>
      <c r="P1496" s="172">
        <f t="shared" si="582"/>
        <v>0</v>
      </c>
      <c r="Q1496" s="251">
        <f t="shared" si="583"/>
        <v>0</v>
      </c>
      <c r="R1496" s="173">
        <f t="shared" si="584"/>
        <v>0</v>
      </c>
      <c r="S1496" s="251"/>
      <c r="T1496" s="171">
        <f t="shared" si="585"/>
        <v>0</v>
      </c>
      <c r="U1496" s="256">
        <f>1500/1.1</f>
        <v>1363.6363636363635</v>
      </c>
      <c r="V1496" s="170">
        <f t="shared" si="574"/>
        <v>1389.8863636363635</v>
      </c>
      <c r="W1496" s="258">
        <v>0.1</v>
      </c>
      <c r="X1496" s="257">
        <v>1500</v>
      </c>
      <c r="Y1496" s="170">
        <f t="shared" si="578"/>
        <v>1528.875</v>
      </c>
      <c r="Z1496" s="170">
        <f t="shared" si="579"/>
        <v>1550</v>
      </c>
      <c r="AA1496" s="407">
        <f t="shared" si="573"/>
        <v>0</v>
      </c>
      <c r="AB1496" s="194"/>
      <c r="AC1496" s="278"/>
    </row>
    <row r="1497" spans="1:29" x14ac:dyDescent="0.25">
      <c r="A1497" s="200">
        <v>833305</v>
      </c>
      <c r="B1497" s="313" t="s">
        <v>20049</v>
      </c>
      <c r="C1497" s="248"/>
      <c r="D1497" s="247" t="s">
        <v>11</v>
      </c>
      <c r="E1497" s="249">
        <f t="shared" si="576"/>
        <v>0</v>
      </c>
      <c r="F1497" s="170">
        <f t="shared" si="576"/>
        <v>0</v>
      </c>
      <c r="G1497" s="250"/>
      <c r="H1497" s="171">
        <f t="shared" si="580"/>
        <v>0</v>
      </c>
      <c r="I1497" s="249">
        <f t="shared" si="577"/>
        <v>0</v>
      </c>
      <c r="J1497" s="170">
        <f t="shared" si="577"/>
        <v>0</v>
      </c>
      <c r="K1497" s="250"/>
      <c r="L1497" s="172">
        <f t="shared" si="586"/>
        <v>0</v>
      </c>
      <c r="M1497" s="249">
        <f t="shared" si="587"/>
        <v>0</v>
      </c>
      <c r="N1497" s="170">
        <f t="shared" si="581"/>
        <v>0</v>
      </c>
      <c r="O1497" s="250"/>
      <c r="P1497" s="172">
        <f t="shared" si="582"/>
        <v>0</v>
      </c>
      <c r="Q1497" s="251">
        <f t="shared" si="583"/>
        <v>0</v>
      </c>
      <c r="R1497" s="173">
        <f t="shared" si="584"/>
        <v>0</v>
      </c>
      <c r="S1497" s="251"/>
      <c r="T1497" s="171">
        <f t="shared" si="585"/>
        <v>0</v>
      </c>
      <c r="U1497" s="256">
        <f>3000/1.1</f>
        <v>2727.272727272727</v>
      </c>
      <c r="V1497" s="170">
        <f t="shared" si="574"/>
        <v>2779.772727272727</v>
      </c>
      <c r="W1497" s="258">
        <v>0.1</v>
      </c>
      <c r="X1497" s="257">
        <v>3000</v>
      </c>
      <c r="Y1497" s="170">
        <f t="shared" si="578"/>
        <v>3057.75</v>
      </c>
      <c r="Z1497" s="170">
        <f t="shared" si="579"/>
        <v>3075</v>
      </c>
      <c r="AA1497" s="407">
        <f t="shared" si="573"/>
        <v>0</v>
      </c>
      <c r="AB1497" s="194"/>
      <c r="AC1497" s="278"/>
    </row>
    <row r="1498" spans="1:29" x14ac:dyDescent="0.25">
      <c r="A1498" s="200">
        <v>833305</v>
      </c>
      <c r="B1498" s="313" t="s">
        <v>20050</v>
      </c>
      <c r="C1498" s="248"/>
      <c r="D1498" s="247" t="s">
        <v>11</v>
      </c>
      <c r="E1498" s="249">
        <f t="shared" si="576"/>
        <v>0</v>
      </c>
      <c r="F1498" s="170">
        <f t="shared" si="576"/>
        <v>0</v>
      </c>
      <c r="G1498" s="250"/>
      <c r="H1498" s="171">
        <f t="shared" si="580"/>
        <v>0</v>
      </c>
      <c r="I1498" s="249">
        <f t="shared" si="577"/>
        <v>0</v>
      </c>
      <c r="J1498" s="170">
        <f t="shared" si="577"/>
        <v>0</v>
      </c>
      <c r="K1498" s="250"/>
      <c r="L1498" s="172">
        <f t="shared" si="586"/>
        <v>0</v>
      </c>
      <c r="M1498" s="249">
        <f t="shared" si="587"/>
        <v>0</v>
      </c>
      <c r="N1498" s="170">
        <f t="shared" si="581"/>
        <v>0</v>
      </c>
      <c r="O1498" s="250"/>
      <c r="P1498" s="172">
        <f t="shared" si="582"/>
        <v>0</v>
      </c>
      <c r="Q1498" s="251">
        <f t="shared" si="583"/>
        <v>0</v>
      </c>
      <c r="R1498" s="173">
        <f t="shared" si="584"/>
        <v>0</v>
      </c>
      <c r="S1498" s="251"/>
      <c r="T1498" s="171">
        <f t="shared" si="585"/>
        <v>0</v>
      </c>
      <c r="U1498" s="256">
        <f>2800/1.1</f>
        <v>2545.454545454545</v>
      </c>
      <c r="V1498" s="170">
        <f t="shared" si="574"/>
        <v>2594.454545454545</v>
      </c>
      <c r="W1498" s="258">
        <v>0.1</v>
      </c>
      <c r="X1498" s="257">
        <v>2800</v>
      </c>
      <c r="Y1498" s="170">
        <f t="shared" si="578"/>
        <v>2853.8999999999996</v>
      </c>
      <c r="Z1498" s="170">
        <f t="shared" si="579"/>
        <v>2875</v>
      </c>
      <c r="AA1498" s="407">
        <f>C1498*Z1498</f>
        <v>0</v>
      </c>
      <c r="AB1498" s="194"/>
      <c r="AC1498" s="278"/>
    </row>
    <row r="1499" spans="1:29" x14ac:dyDescent="0.25">
      <c r="A1499" s="200">
        <v>833306</v>
      </c>
      <c r="B1499" s="313" t="s">
        <v>20051</v>
      </c>
      <c r="C1499" s="248"/>
      <c r="D1499" s="247" t="s">
        <v>11</v>
      </c>
      <c r="E1499" s="249">
        <f t="shared" si="576"/>
        <v>0</v>
      </c>
      <c r="F1499" s="170">
        <f t="shared" si="576"/>
        <v>0</v>
      </c>
      <c r="G1499" s="250"/>
      <c r="H1499" s="171">
        <f t="shared" si="580"/>
        <v>0</v>
      </c>
      <c r="I1499" s="249">
        <f t="shared" si="577"/>
        <v>0</v>
      </c>
      <c r="J1499" s="170">
        <f t="shared" si="577"/>
        <v>0</v>
      </c>
      <c r="K1499" s="250"/>
      <c r="L1499" s="172">
        <f t="shared" si="586"/>
        <v>0</v>
      </c>
      <c r="M1499" s="249">
        <f t="shared" si="587"/>
        <v>0</v>
      </c>
      <c r="N1499" s="170">
        <f t="shared" si="581"/>
        <v>0</v>
      </c>
      <c r="O1499" s="250"/>
      <c r="P1499" s="172">
        <f t="shared" si="582"/>
        <v>0</v>
      </c>
      <c r="Q1499" s="251">
        <f t="shared" si="583"/>
        <v>0</v>
      </c>
      <c r="R1499" s="173">
        <f t="shared" si="584"/>
        <v>0</v>
      </c>
      <c r="S1499" s="251"/>
      <c r="T1499" s="171">
        <f t="shared" si="585"/>
        <v>0</v>
      </c>
      <c r="U1499" s="256">
        <f>4000/1.1</f>
        <v>3636.363636363636</v>
      </c>
      <c r="V1499" s="170">
        <f t="shared" si="574"/>
        <v>3706.363636363636</v>
      </c>
      <c r="W1499" s="258">
        <v>0.1</v>
      </c>
      <c r="X1499" s="257">
        <v>4000</v>
      </c>
      <c r="Y1499" s="170">
        <f t="shared" si="578"/>
        <v>4077</v>
      </c>
      <c r="Z1499" s="170">
        <f t="shared" si="579"/>
        <v>4100</v>
      </c>
      <c r="AA1499" s="407">
        <f>C1499*Z1499</f>
        <v>0</v>
      </c>
      <c r="AB1499" s="194"/>
      <c r="AC1499" s="278"/>
    </row>
    <row r="1500" spans="1:29" x14ac:dyDescent="0.25">
      <c r="A1500" s="200">
        <v>833306</v>
      </c>
      <c r="B1500" s="313" t="s">
        <v>16121</v>
      </c>
      <c r="C1500" s="248"/>
      <c r="D1500" s="247" t="s">
        <v>11</v>
      </c>
      <c r="E1500" s="249">
        <f t="shared" si="576"/>
        <v>0</v>
      </c>
      <c r="F1500" s="170">
        <f t="shared" si="576"/>
        <v>0</v>
      </c>
      <c r="G1500" s="250"/>
      <c r="H1500" s="171">
        <f t="shared" si="580"/>
        <v>0</v>
      </c>
      <c r="I1500" s="249">
        <f t="shared" si="577"/>
        <v>0</v>
      </c>
      <c r="J1500" s="170">
        <f t="shared" si="577"/>
        <v>0</v>
      </c>
      <c r="K1500" s="250"/>
      <c r="L1500" s="172">
        <f t="shared" si="586"/>
        <v>0</v>
      </c>
      <c r="M1500" s="249">
        <f t="shared" si="587"/>
        <v>0</v>
      </c>
      <c r="N1500" s="170">
        <f t="shared" si="581"/>
        <v>0</v>
      </c>
      <c r="O1500" s="250"/>
      <c r="P1500" s="172">
        <f t="shared" si="582"/>
        <v>0</v>
      </c>
      <c r="Q1500" s="251">
        <f t="shared" si="583"/>
        <v>0</v>
      </c>
      <c r="R1500" s="173">
        <f t="shared" si="584"/>
        <v>0</v>
      </c>
      <c r="S1500" s="251"/>
      <c r="T1500" s="171">
        <f t="shared" si="585"/>
        <v>0</v>
      </c>
      <c r="U1500" s="256">
        <f>2600/1.1</f>
        <v>2363.6363636363635</v>
      </c>
      <c r="V1500" s="170">
        <f t="shared" si="574"/>
        <v>2409.1363636363635</v>
      </c>
      <c r="W1500" s="258">
        <v>0.1</v>
      </c>
      <c r="X1500" s="257">
        <v>2600</v>
      </c>
      <c r="Y1500" s="170">
        <f t="shared" si="578"/>
        <v>2650.05</v>
      </c>
      <c r="Z1500" s="170">
        <f t="shared" si="579"/>
        <v>2675</v>
      </c>
      <c r="AA1500" s="407">
        <f>C1500*Z1500</f>
        <v>0</v>
      </c>
      <c r="AB1500" s="194"/>
      <c r="AC1500" s="278"/>
    </row>
    <row r="1501" spans="1:29" x14ac:dyDescent="0.25">
      <c r="A1501" s="200">
        <v>833400</v>
      </c>
      <c r="B1501" s="313" t="s">
        <v>20052</v>
      </c>
      <c r="C1501" s="248"/>
      <c r="D1501" s="247" t="s">
        <v>11</v>
      </c>
      <c r="E1501" s="249">
        <f t="shared" si="576"/>
        <v>0</v>
      </c>
      <c r="F1501" s="170">
        <f t="shared" si="576"/>
        <v>0</v>
      </c>
      <c r="G1501" s="250"/>
      <c r="H1501" s="171">
        <f t="shared" si="580"/>
        <v>0</v>
      </c>
      <c r="I1501" s="249">
        <f t="shared" si="577"/>
        <v>0</v>
      </c>
      <c r="J1501" s="170">
        <f t="shared" si="577"/>
        <v>0</v>
      </c>
      <c r="K1501" s="250"/>
      <c r="L1501" s="172">
        <f t="shared" si="586"/>
        <v>0</v>
      </c>
      <c r="M1501" s="249">
        <f t="shared" si="587"/>
        <v>0</v>
      </c>
      <c r="N1501" s="170">
        <f t="shared" si="581"/>
        <v>0</v>
      </c>
      <c r="O1501" s="250"/>
      <c r="P1501" s="172">
        <f t="shared" si="582"/>
        <v>0</v>
      </c>
      <c r="Q1501" s="251">
        <f t="shared" si="583"/>
        <v>0</v>
      </c>
      <c r="R1501" s="173">
        <f t="shared" si="584"/>
        <v>0</v>
      </c>
      <c r="S1501" s="250"/>
      <c r="T1501" s="171">
        <f t="shared" si="585"/>
        <v>0</v>
      </c>
      <c r="U1501" s="253">
        <f>500/1.2</f>
        <v>416.66666666666669</v>
      </c>
      <c r="V1501" s="170">
        <f>U1501*1.01925</f>
        <v>424.6875</v>
      </c>
      <c r="W1501" s="262">
        <v>0.2</v>
      </c>
      <c r="X1501" s="257">
        <v>500</v>
      </c>
      <c r="Y1501" s="170">
        <f t="shared" si="578"/>
        <v>509.625</v>
      </c>
      <c r="Z1501" s="170">
        <f t="shared" si="579"/>
        <v>510</v>
      </c>
      <c r="AA1501" s="407">
        <f>C1501*Z1501</f>
        <v>0</v>
      </c>
      <c r="AB1501" s="194"/>
      <c r="AC1501" s="278"/>
    </row>
    <row r="1502" spans="1:29" ht="14.4" thickBot="1" x14ac:dyDescent="0.3">
      <c r="A1502" s="263">
        <v>833400</v>
      </c>
      <c r="B1502" s="321" t="s">
        <v>20053</v>
      </c>
      <c r="C1502" s="265"/>
      <c r="D1502" s="264" t="s">
        <v>11</v>
      </c>
      <c r="E1502" s="266">
        <f t="shared" si="576"/>
        <v>0</v>
      </c>
      <c r="F1502" s="174">
        <f t="shared" si="576"/>
        <v>0</v>
      </c>
      <c r="G1502" s="267"/>
      <c r="H1502" s="268">
        <f t="shared" si="580"/>
        <v>0</v>
      </c>
      <c r="I1502" s="266">
        <f t="shared" si="577"/>
        <v>0</v>
      </c>
      <c r="J1502" s="174">
        <f t="shared" si="577"/>
        <v>0</v>
      </c>
      <c r="K1502" s="267"/>
      <c r="L1502" s="269">
        <f t="shared" si="586"/>
        <v>0</v>
      </c>
      <c r="M1502" s="266">
        <f t="shared" si="587"/>
        <v>0</v>
      </c>
      <c r="N1502" s="174">
        <f t="shared" si="581"/>
        <v>0</v>
      </c>
      <c r="O1502" s="267"/>
      <c r="P1502" s="269">
        <f t="shared" si="582"/>
        <v>0</v>
      </c>
      <c r="Q1502" s="270">
        <f t="shared" si="583"/>
        <v>0</v>
      </c>
      <c r="R1502" s="271">
        <f t="shared" si="584"/>
        <v>0</v>
      </c>
      <c r="S1502" s="267"/>
      <c r="T1502" s="268">
        <f t="shared" si="585"/>
        <v>0</v>
      </c>
      <c r="U1502" s="272">
        <f>450/1.2</f>
        <v>375</v>
      </c>
      <c r="V1502" s="174">
        <f>U1502*1.01925</f>
        <v>382.21875</v>
      </c>
      <c r="W1502" s="273">
        <v>0.2</v>
      </c>
      <c r="X1502" s="274">
        <v>450</v>
      </c>
      <c r="Y1502" s="174">
        <f t="shared" si="578"/>
        <v>458.66249999999997</v>
      </c>
      <c r="Z1502" s="174">
        <f t="shared" si="579"/>
        <v>460</v>
      </c>
      <c r="AA1502" s="410">
        <f>C1502*Z1502</f>
        <v>0</v>
      </c>
      <c r="AB1502" s="194"/>
      <c r="AC1502" s="278"/>
    </row>
  </sheetData>
  <mergeCells count="1">
    <mergeCell ref="A1:AA1"/>
  </mergeCells>
  <printOptions horizontalCentered="1"/>
  <pageMargins left="0.25" right="0.25" top="0.75" bottom="0.75" header="0.3" footer="0.3"/>
  <pageSetup fitToHeight="0" orientation="portrait" r:id="rId1"/>
  <headerFooter>
    <oddHeader>&amp;L&amp;G&amp;C&amp;"-,Bold"&amp;18Cost Estimating Guide 2017&amp;R&amp;"-,Bold"&amp;14APWA 2017
&amp;10Page &amp;P of &amp;N</oddHeader>
  </headerFooter>
  <rowBreaks count="1" manualBreakCount="1">
    <brk id="407"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78"/>
  <sheetViews>
    <sheetView zoomScaleNormal="100" zoomScaleSheetLayoutView="100" workbookViewId="0">
      <selection activeCell="C8" sqref="C8"/>
    </sheetView>
  </sheetViews>
  <sheetFormatPr defaultColWidth="9.109375" defaultRowHeight="13.8" x14ac:dyDescent="0.25"/>
  <cols>
    <col min="1" max="1" width="10.6640625" style="229" customWidth="1"/>
    <col min="2" max="2" width="49.109375" style="403" customWidth="1"/>
    <col min="3" max="3" width="8.33203125" style="230" customWidth="1"/>
    <col min="4" max="4" width="6" style="185" customWidth="1"/>
    <col min="5" max="5" width="9" style="231" hidden="1" customWidth="1"/>
    <col min="6" max="6" width="7.77734375" style="205" hidden="1" customWidth="1"/>
    <col min="7" max="7" width="6.109375" style="205" hidden="1" customWidth="1"/>
    <col min="8" max="8" width="9.33203125" style="231" hidden="1" customWidth="1"/>
    <col min="9" max="10" width="6.6640625" style="205" hidden="1" customWidth="1"/>
    <col min="11" max="11" width="12.21875" style="231" hidden="1" customWidth="1"/>
    <col min="12" max="13" width="6.109375" style="205" hidden="1" customWidth="1"/>
    <col min="14" max="14" width="8.44140625" style="231" hidden="1" customWidth="1"/>
    <col min="15" max="15" width="6.6640625" style="205" hidden="1" customWidth="1"/>
    <col min="16" max="16" width="9.5546875" style="205" hidden="1" customWidth="1"/>
    <col min="17" max="18" width="9.44140625" style="231" hidden="1" customWidth="1"/>
    <col min="19" max="19" width="7.6640625" style="185" hidden="1" customWidth="1"/>
    <col min="20" max="20" width="10.77734375" style="176" hidden="1" customWidth="1"/>
    <col min="21" max="21" width="15.5546875" style="184" hidden="1" customWidth="1"/>
    <col min="22" max="22" width="11.33203125" style="184" customWidth="1"/>
    <col min="23" max="23" width="13.5546875" style="185" customWidth="1"/>
    <col min="24" max="24" width="9.109375" style="185" customWidth="1"/>
    <col min="25" max="25" width="21" style="185" hidden="1" customWidth="1"/>
    <col min="26" max="26" width="9.109375" style="185" customWidth="1"/>
    <col min="27" max="27" width="9.109375" style="185"/>
    <col min="28" max="28" width="9.109375" style="281"/>
    <col min="29" max="16384" width="9.109375" style="282"/>
  </cols>
  <sheetData>
    <row r="1" spans="1:25" ht="21.6" thickBot="1" x14ac:dyDescent="0.45">
      <c r="A1" s="441" t="s">
        <v>18887</v>
      </c>
      <c r="B1" s="442"/>
      <c r="C1" s="442"/>
      <c r="D1" s="442"/>
      <c r="E1" s="442"/>
      <c r="F1" s="442"/>
      <c r="G1" s="442"/>
      <c r="H1" s="442"/>
      <c r="I1" s="442"/>
      <c r="J1" s="442"/>
      <c r="K1" s="442"/>
      <c r="L1" s="442"/>
      <c r="M1" s="442"/>
      <c r="N1" s="442"/>
      <c r="O1" s="442"/>
      <c r="P1" s="442"/>
      <c r="Q1" s="442"/>
      <c r="R1" s="442"/>
      <c r="S1" s="442"/>
      <c r="T1" s="442"/>
      <c r="U1" s="442"/>
      <c r="V1" s="442"/>
      <c r="W1" s="443"/>
    </row>
    <row r="2" spans="1:25" ht="55.8" thickBot="1" x14ac:dyDescent="0.3">
      <c r="A2" s="186" t="s">
        <v>14469</v>
      </c>
      <c r="B2" s="303" t="s">
        <v>14470</v>
      </c>
      <c r="C2" s="188" t="s">
        <v>14471</v>
      </c>
      <c r="D2" s="187" t="s">
        <v>20</v>
      </c>
      <c r="E2" s="189" t="s">
        <v>16032</v>
      </c>
      <c r="F2" s="190" t="s">
        <v>16033</v>
      </c>
      <c r="G2" s="191" t="s">
        <v>16034</v>
      </c>
      <c r="H2" s="189" t="s">
        <v>16036</v>
      </c>
      <c r="I2" s="190" t="s">
        <v>16033</v>
      </c>
      <c r="J2" s="191" t="s">
        <v>16034</v>
      </c>
      <c r="K2" s="189" t="s">
        <v>16038</v>
      </c>
      <c r="L2" s="190" t="s">
        <v>16033</v>
      </c>
      <c r="M2" s="191" t="s">
        <v>16034</v>
      </c>
      <c r="N2" s="189" t="s">
        <v>16040</v>
      </c>
      <c r="O2" s="190" t="s">
        <v>16033</v>
      </c>
      <c r="P2" s="191" t="s">
        <v>16034</v>
      </c>
      <c r="Q2" s="189" t="s">
        <v>16041</v>
      </c>
      <c r="R2" s="189" t="s">
        <v>16042</v>
      </c>
      <c r="S2" s="187" t="s">
        <v>14472</v>
      </c>
      <c r="T2" s="192" t="s">
        <v>18898</v>
      </c>
      <c r="U2" s="193" t="s">
        <v>18899</v>
      </c>
      <c r="V2" s="193" t="s">
        <v>16045</v>
      </c>
      <c r="W2" s="304" t="s">
        <v>14473</v>
      </c>
      <c r="Y2" s="194" t="s">
        <v>18890</v>
      </c>
    </row>
    <row r="3" spans="1:25" x14ac:dyDescent="0.25">
      <c r="A3" s="195" t="s">
        <v>18900</v>
      </c>
      <c r="B3" s="305" t="s">
        <v>51</v>
      </c>
      <c r="C3" s="196"/>
      <c r="D3" s="197"/>
      <c r="E3" s="197"/>
      <c r="F3" s="197"/>
      <c r="G3" s="197"/>
      <c r="H3" s="197"/>
      <c r="I3" s="197"/>
      <c r="J3" s="197"/>
      <c r="K3" s="197"/>
      <c r="L3" s="197"/>
      <c r="M3" s="197"/>
      <c r="N3" s="197"/>
      <c r="O3" s="197"/>
      <c r="P3" s="197"/>
      <c r="Q3" s="197"/>
      <c r="R3" s="197"/>
      <c r="S3" s="197"/>
      <c r="T3" s="197"/>
      <c r="U3" s="198"/>
      <c r="V3" s="198"/>
      <c r="W3" s="306"/>
    </row>
    <row r="4" spans="1:25" x14ac:dyDescent="0.25">
      <c r="A4" s="199" t="s">
        <v>18901</v>
      </c>
      <c r="B4" s="307" t="s">
        <v>14475</v>
      </c>
      <c r="C4" s="308"/>
      <c r="D4" s="309"/>
      <c r="E4" s="310"/>
      <c r="F4" s="311"/>
      <c r="G4" s="311"/>
      <c r="H4" s="310"/>
      <c r="I4" s="311"/>
      <c r="J4" s="311"/>
      <c r="K4" s="310"/>
      <c r="L4" s="311"/>
      <c r="M4" s="311"/>
      <c r="N4" s="310"/>
      <c r="O4" s="311"/>
      <c r="P4" s="311"/>
      <c r="Q4" s="310"/>
      <c r="R4" s="310"/>
      <c r="S4" s="309"/>
      <c r="T4" s="309"/>
      <c r="U4" s="309"/>
      <c r="V4" s="309"/>
      <c r="W4" s="312"/>
    </row>
    <row r="5" spans="1:25" x14ac:dyDescent="0.25">
      <c r="A5" s="200">
        <v>107005</v>
      </c>
      <c r="B5" s="313" t="s">
        <v>14858</v>
      </c>
      <c r="C5" s="248"/>
      <c r="D5" s="247" t="s">
        <v>14859</v>
      </c>
      <c r="E5" s="249">
        <f>R5*G5</f>
        <v>183.80624639999996</v>
      </c>
      <c r="F5" s="258">
        <v>0.12</v>
      </c>
      <c r="G5" s="258">
        <f>F5</f>
        <v>0.12</v>
      </c>
      <c r="H5" s="249">
        <f>R5*J5</f>
        <v>1301.9609119999998</v>
      </c>
      <c r="I5" s="258">
        <v>0.85</v>
      </c>
      <c r="J5" s="258">
        <f>I5</f>
        <v>0.85</v>
      </c>
      <c r="K5" s="249">
        <f>R5*M5</f>
        <v>45.951561599999991</v>
      </c>
      <c r="L5" s="258">
        <v>0.03</v>
      </c>
      <c r="M5" s="258">
        <f>L5</f>
        <v>0.03</v>
      </c>
      <c r="N5" s="251">
        <f>P5*R5</f>
        <v>0</v>
      </c>
      <c r="O5" s="314"/>
      <c r="P5" s="258">
        <f>O5</f>
        <v>0</v>
      </c>
      <c r="Q5" s="249">
        <v>1504</v>
      </c>
      <c r="R5" s="249">
        <f>SUM(F5*Q5*1.0235,I5*Q5*1.0175,L5*Q5*1.0245,O5*Q5*1.0115)</f>
        <v>1531.7187199999998</v>
      </c>
      <c r="S5" s="250">
        <v>0.12</v>
      </c>
      <c r="T5" s="290">
        <f>Q5+Q5*S5</f>
        <v>1684.48</v>
      </c>
      <c r="U5" s="315">
        <f>(R5*S5)+R5</f>
        <v>1715.5249663999998</v>
      </c>
      <c r="V5" s="315">
        <f>IF(U5=0, 0, IF(U5&lt;10, _xlfn.CEILING.MATH(U5,1), IF(U5&lt;100, _xlfn.CEILING.MATH(U5,1),IF(U5&lt;1000, _xlfn.CEILING.MATH(U5,5), IF(U5&lt;10000, _xlfn.CEILING.MATH(U5, 25), IF(U5&lt;100000, _xlfn.CEILING.MATH(U5,250), IF(U5&lt;1000000, _xlfn.CEILING.MATH(U5,500), 0)))))))</f>
        <v>1725</v>
      </c>
      <c r="W5" s="316">
        <f>C5*V5</f>
        <v>0</v>
      </c>
    </row>
    <row r="6" spans="1:25" x14ac:dyDescent="0.25">
      <c r="A6" s="200">
        <v>109005</v>
      </c>
      <c r="B6" s="313" t="s">
        <v>20054</v>
      </c>
      <c r="C6" s="248"/>
      <c r="D6" s="247" t="s">
        <v>4</v>
      </c>
      <c r="E6" s="249">
        <f t="shared" ref="E6:E95" si="0">R6*G6</f>
        <v>42881.321363636358</v>
      </c>
      <c r="F6" s="258">
        <v>0.71</v>
      </c>
      <c r="G6" s="258">
        <f t="shared" ref="G6:G95" si="1">F6</f>
        <v>0.71</v>
      </c>
      <c r="H6" s="249">
        <f t="shared" ref="H6:H95" si="2">R6*J6</f>
        <v>1207.9245454545453</v>
      </c>
      <c r="I6" s="258">
        <v>0.02</v>
      </c>
      <c r="J6" s="258">
        <f t="shared" ref="J6:J95" si="3">I6</f>
        <v>0.02</v>
      </c>
      <c r="K6" s="249">
        <f t="shared" ref="K6:K95" si="4">R6*M6</f>
        <v>9059.4340909090897</v>
      </c>
      <c r="L6" s="258">
        <v>0.15</v>
      </c>
      <c r="M6" s="258">
        <f t="shared" ref="M6:M95" si="5">L6</f>
        <v>0.15</v>
      </c>
      <c r="N6" s="251">
        <f t="shared" ref="N6:N95" si="6">P6*R6</f>
        <v>7247.5472727272718</v>
      </c>
      <c r="O6" s="258">
        <v>0.12</v>
      </c>
      <c r="P6" s="258">
        <f t="shared" ref="P6:P95" si="7">O6</f>
        <v>0.12</v>
      </c>
      <c r="Q6" s="249">
        <v>59090.909090909088</v>
      </c>
      <c r="R6" s="249">
        <f t="shared" ref="R6:R95" si="8">SUM(F6*Q6*1.0235,I6*Q6*1.0175,L6*Q6*1.0245,O6*Q6*1.0115)</f>
        <v>60396.227272727265</v>
      </c>
      <c r="S6" s="250">
        <v>0.1</v>
      </c>
      <c r="T6" s="290">
        <v>65000</v>
      </c>
      <c r="U6" s="315">
        <f t="shared" ref="U6:U97" si="9">(R6*S6)+R6</f>
        <v>66435.849999999991</v>
      </c>
      <c r="V6" s="315">
        <f t="shared" ref="V6:V97" si="10">IF(U6=0, 0, IF(U6&lt;10, _xlfn.CEILING.MATH(U6,1), IF(U6&lt;100, _xlfn.CEILING.MATH(U6,1),IF(U6&lt;1000, _xlfn.CEILING.MATH(U6,5), IF(U6&lt;10000, _xlfn.CEILING.MATH(U6, 25), IF(U6&lt;100000, _xlfn.CEILING.MATH(U6,250), IF(U6&lt;1000000, _xlfn.CEILING.MATH(U6,500), 0)))))))</f>
        <v>66500</v>
      </c>
      <c r="W6" s="316">
        <f t="shared" ref="W6:W13" si="11">C6*V6</f>
        <v>0</v>
      </c>
    </row>
    <row r="7" spans="1:25" x14ac:dyDescent="0.25">
      <c r="A7" s="200">
        <v>109006</v>
      </c>
      <c r="B7" s="313" t="s">
        <v>20055</v>
      </c>
      <c r="C7" s="248"/>
      <c r="D7" s="247" t="s">
        <v>4</v>
      </c>
      <c r="E7" s="249">
        <f t="shared" si="0"/>
        <v>85762.642727272716</v>
      </c>
      <c r="F7" s="258">
        <v>0.71</v>
      </c>
      <c r="G7" s="258">
        <f t="shared" si="1"/>
        <v>0.71</v>
      </c>
      <c r="H7" s="249">
        <f t="shared" si="2"/>
        <v>2415.8490909090906</v>
      </c>
      <c r="I7" s="258">
        <v>0.02</v>
      </c>
      <c r="J7" s="258">
        <f t="shared" si="3"/>
        <v>0.02</v>
      </c>
      <c r="K7" s="249">
        <f t="shared" si="4"/>
        <v>18118.868181818179</v>
      </c>
      <c r="L7" s="258">
        <v>0.15</v>
      </c>
      <c r="M7" s="258">
        <f t="shared" si="5"/>
        <v>0.15</v>
      </c>
      <c r="N7" s="251">
        <f t="shared" si="6"/>
        <v>14495.094545454544</v>
      </c>
      <c r="O7" s="258">
        <v>0.12</v>
      </c>
      <c r="P7" s="258">
        <f t="shared" si="7"/>
        <v>0.12</v>
      </c>
      <c r="Q7" s="249">
        <v>118181.81818181818</v>
      </c>
      <c r="R7" s="249">
        <f t="shared" si="8"/>
        <v>120792.45454545453</v>
      </c>
      <c r="S7" s="250">
        <v>0.1</v>
      </c>
      <c r="T7" s="290">
        <v>130000</v>
      </c>
      <c r="U7" s="315">
        <f t="shared" si="9"/>
        <v>132871.69999999998</v>
      </c>
      <c r="V7" s="315">
        <f t="shared" si="10"/>
        <v>133000</v>
      </c>
      <c r="W7" s="316">
        <f t="shared" si="11"/>
        <v>0</v>
      </c>
    </row>
    <row r="8" spans="1:25" ht="21" x14ac:dyDescent="0.25">
      <c r="A8" s="200">
        <v>109007</v>
      </c>
      <c r="B8" s="255" t="s">
        <v>20056</v>
      </c>
      <c r="C8" s="248"/>
      <c r="D8" s="247" t="s">
        <v>4</v>
      </c>
      <c r="E8" s="249">
        <f t="shared" si="0"/>
        <v>138539.65363636363</v>
      </c>
      <c r="F8" s="258">
        <v>0.71</v>
      </c>
      <c r="G8" s="258">
        <f t="shared" si="1"/>
        <v>0.71</v>
      </c>
      <c r="H8" s="249">
        <f t="shared" si="2"/>
        <v>3902.5254545454541</v>
      </c>
      <c r="I8" s="258">
        <v>0.02</v>
      </c>
      <c r="J8" s="258">
        <f t="shared" si="3"/>
        <v>0.02</v>
      </c>
      <c r="K8" s="249">
        <f t="shared" si="4"/>
        <v>29268.940909090907</v>
      </c>
      <c r="L8" s="258">
        <v>0.15</v>
      </c>
      <c r="M8" s="258">
        <f t="shared" si="5"/>
        <v>0.15</v>
      </c>
      <c r="N8" s="251">
        <f t="shared" si="6"/>
        <v>23415.152727272725</v>
      </c>
      <c r="O8" s="258">
        <v>0.12</v>
      </c>
      <c r="P8" s="258">
        <f t="shared" si="7"/>
        <v>0.12</v>
      </c>
      <c r="Q8" s="249">
        <v>190909.09090909088</v>
      </c>
      <c r="R8" s="249">
        <f t="shared" si="8"/>
        <v>195126.27272727271</v>
      </c>
      <c r="S8" s="250">
        <v>0.1</v>
      </c>
      <c r="T8" s="290">
        <v>210000</v>
      </c>
      <c r="U8" s="315">
        <f t="shared" si="9"/>
        <v>214638.89999999997</v>
      </c>
      <c r="V8" s="315">
        <f t="shared" si="10"/>
        <v>215000</v>
      </c>
      <c r="W8" s="316">
        <f t="shared" si="11"/>
        <v>0</v>
      </c>
    </row>
    <row r="9" spans="1:25" ht="21" x14ac:dyDescent="0.25">
      <c r="A9" s="200">
        <v>109008</v>
      </c>
      <c r="B9" s="255" t="s">
        <v>20057</v>
      </c>
      <c r="C9" s="248"/>
      <c r="D9" s="247" t="s">
        <v>4</v>
      </c>
      <c r="E9" s="249">
        <f t="shared" si="0"/>
        <v>184719.53818181815</v>
      </c>
      <c r="F9" s="258">
        <v>0.71</v>
      </c>
      <c r="G9" s="258">
        <f t="shared" si="1"/>
        <v>0.71</v>
      </c>
      <c r="H9" s="249">
        <f t="shared" si="2"/>
        <v>5203.3672727272724</v>
      </c>
      <c r="I9" s="258">
        <v>0.02</v>
      </c>
      <c r="J9" s="258">
        <f t="shared" si="3"/>
        <v>0.02</v>
      </c>
      <c r="K9" s="249">
        <f t="shared" si="4"/>
        <v>39025.25454545454</v>
      </c>
      <c r="L9" s="258">
        <v>0.15</v>
      </c>
      <c r="M9" s="258">
        <f t="shared" si="5"/>
        <v>0.15</v>
      </c>
      <c r="N9" s="251">
        <f t="shared" si="6"/>
        <v>31220.203636363633</v>
      </c>
      <c r="O9" s="258">
        <v>0.12</v>
      </c>
      <c r="P9" s="258">
        <f t="shared" si="7"/>
        <v>0.12</v>
      </c>
      <c r="Q9" s="249">
        <v>254545.45454545453</v>
      </c>
      <c r="R9" s="249">
        <f t="shared" si="8"/>
        <v>260168.36363636362</v>
      </c>
      <c r="S9" s="250">
        <v>0.1</v>
      </c>
      <c r="T9" s="290">
        <v>280000</v>
      </c>
      <c r="U9" s="315">
        <f t="shared" si="9"/>
        <v>286185.19999999995</v>
      </c>
      <c r="V9" s="315">
        <f t="shared" si="10"/>
        <v>286500</v>
      </c>
      <c r="W9" s="316">
        <f t="shared" si="11"/>
        <v>0</v>
      </c>
    </row>
    <row r="10" spans="1:25" ht="21" x14ac:dyDescent="0.25">
      <c r="A10" s="200">
        <v>109009</v>
      </c>
      <c r="B10" s="255" t="s">
        <v>20058</v>
      </c>
      <c r="C10" s="248"/>
      <c r="D10" s="247" t="s">
        <v>4</v>
      </c>
      <c r="E10" s="249">
        <f t="shared" si="0"/>
        <v>206160.19886363632</v>
      </c>
      <c r="F10" s="258">
        <v>0.71</v>
      </c>
      <c r="G10" s="258">
        <f t="shared" si="1"/>
        <v>0.71</v>
      </c>
      <c r="H10" s="249">
        <f t="shared" si="2"/>
        <v>5807.329545454545</v>
      </c>
      <c r="I10" s="258">
        <v>0.02</v>
      </c>
      <c r="J10" s="258">
        <f t="shared" si="3"/>
        <v>0.02</v>
      </c>
      <c r="K10" s="249">
        <f t="shared" si="4"/>
        <v>43554.971590909081</v>
      </c>
      <c r="L10" s="258">
        <v>0.15</v>
      </c>
      <c r="M10" s="258">
        <f t="shared" si="5"/>
        <v>0.15</v>
      </c>
      <c r="N10" s="251">
        <f t="shared" si="6"/>
        <v>34843.977272727265</v>
      </c>
      <c r="O10" s="258">
        <v>0.12</v>
      </c>
      <c r="P10" s="258">
        <f t="shared" si="7"/>
        <v>0.12</v>
      </c>
      <c r="Q10" s="249">
        <v>284090.90909090906</v>
      </c>
      <c r="R10" s="249">
        <f t="shared" si="8"/>
        <v>290366.47727272724</v>
      </c>
      <c r="S10" s="250">
        <v>0.1</v>
      </c>
      <c r="T10" s="290">
        <v>312500</v>
      </c>
      <c r="U10" s="315">
        <f t="shared" si="9"/>
        <v>319403.12499999994</v>
      </c>
      <c r="V10" s="315">
        <f t="shared" si="10"/>
        <v>319500</v>
      </c>
      <c r="W10" s="316">
        <f t="shared" si="11"/>
        <v>0</v>
      </c>
    </row>
    <row r="11" spans="1:25" ht="21" x14ac:dyDescent="0.25">
      <c r="A11" s="200">
        <v>109010</v>
      </c>
      <c r="B11" s="255" t="s">
        <v>20059</v>
      </c>
      <c r="C11" s="248"/>
      <c r="D11" s="247" t="s">
        <v>4</v>
      </c>
      <c r="E11" s="249">
        <f t="shared" si="0"/>
        <v>362841.94999999995</v>
      </c>
      <c r="F11" s="258">
        <v>0.71</v>
      </c>
      <c r="G11" s="258">
        <f t="shared" si="1"/>
        <v>0.71</v>
      </c>
      <c r="H11" s="249">
        <f t="shared" si="2"/>
        <v>10220.9</v>
      </c>
      <c r="I11" s="258">
        <v>0.02</v>
      </c>
      <c r="J11" s="258">
        <f t="shared" si="3"/>
        <v>0.02</v>
      </c>
      <c r="K11" s="249">
        <f t="shared" si="4"/>
        <v>76656.749999999985</v>
      </c>
      <c r="L11" s="258">
        <v>0.15</v>
      </c>
      <c r="M11" s="258">
        <f t="shared" si="5"/>
        <v>0.15</v>
      </c>
      <c r="N11" s="251">
        <f t="shared" si="6"/>
        <v>61325.399999999994</v>
      </c>
      <c r="O11" s="258">
        <v>0.12</v>
      </c>
      <c r="P11" s="258">
        <f t="shared" si="7"/>
        <v>0.12</v>
      </c>
      <c r="Q11" s="249">
        <v>499999.99999999994</v>
      </c>
      <c r="R11" s="249">
        <f t="shared" si="8"/>
        <v>511044.99999999994</v>
      </c>
      <c r="S11" s="250">
        <v>0.1</v>
      </c>
      <c r="T11" s="290">
        <v>550000</v>
      </c>
      <c r="U11" s="315">
        <f t="shared" si="9"/>
        <v>562149.5</v>
      </c>
      <c r="V11" s="315">
        <f t="shared" si="10"/>
        <v>562500</v>
      </c>
      <c r="W11" s="316">
        <f t="shared" si="11"/>
        <v>0</v>
      </c>
    </row>
    <row r="12" spans="1:25" x14ac:dyDescent="0.25">
      <c r="A12" s="200">
        <v>110005</v>
      </c>
      <c r="B12" s="313" t="s">
        <v>14860</v>
      </c>
      <c r="C12" s="248"/>
      <c r="D12" s="247" t="s">
        <v>14861</v>
      </c>
      <c r="E12" s="249">
        <f t="shared" si="0"/>
        <v>596.22187499999995</v>
      </c>
      <c r="F12" s="258">
        <v>0.75</v>
      </c>
      <c r="G12" s="258">
        <f t="shared" si="1"/>
        <v>0.75</v>
      </c>
      <c r="H12" s="249">
        <f t="shared" si="2"/>
        <v>39.748125000000002</v>
      </c>
      <c r="I12" s="258">
        <v>0.05</v>
      </c>
      <c r="J12" s="258">
        <f t="shared" si="3"/>
        <v>0.05</v>
      </c>
      <c r="K12" s="249">
        <f t="shared" si="4"/>
        <v>158.99250000000001</v>
      </c>
      <c r="L12" s="258">
        <v>0.2</v>
      </c>
      <c r="M12" s="258">
        <f t="shared" si="5"/>
        <v>0.2</v>
      </c>
      <c r="N12" s="251">
        <f t="shared" si="6"/>
        <v>0</v>
      </c>
      <c r="O12" s="314"/>
      <c r="P12" s="258">
        <f t="shared" si="7"/>
        <v>0</v>
      </c>
      <c r="Q12" s="249">
        <v>776.78571428571422</v>
      </c>
      <c r="R12" s="249">
        <f t="shared" si="8"/>
        <v>794.96249999999998</v>
      </c>
      <c r="S12" s="250">
        <v>0.12</v>
      </c>
      <c r="T12" s="290">
        <v>870</v>
      </c>
      <c r="U12" s="315">
        <f t="shared" si="9"/>
        <v>890.35799999999995</v>
      </c>
      <c r="V12" s="315">
        <f t="shared" si="10"/>
        <v>895</v>
      </c>
      <c r="W12" s="316">
        <f t="shared" si="11"/>
        <v>0</v>
      </c>
    </row>
    <row r="13" spans="1:25" x14ac:dyDescent="0.25">
      <c r="A13" s="200">
        <v>110020</v>
      </c>
      <c r="B13" s="313" t="s">
        <v>14862</v>
      </c>
      <c r="C13" s="248"/>
      <c r="D13" s="247" t="s">
        <v>5</v>
      </c>
      <c r="E13" s="249">
        <f t="shared" si="0"/>
        <v>0</v>
      </c>
      <c r="F13" s="314"/>
      <c r="G13" s="258">
        <f t="shared" si="1"/>
        <v>0</v>
      </c>
      <c r="H13" s="249">
        <f t="shared" si="2"/>
        <v>0</v>
      </c>
      <c r="I13" s="314"/>
      <c r="J13" s="258">
        <f t="shared" si="3"/>
        <v>0</v>
      </c>
      <c r="K13" s="249">
        <f t="shared" si="4"/>
        <v>9.6228309482800025</v>
      </c>
      <c r="L13" s="258">
        <v>0.11</v>
      </c>
      <c r="M13" s="258">
        <f t="shared" si="5"/>
        <v>0.11</v>
      </c>
      <c r="N13" s="251">
        <f t="shared" si="6"/>
        <v>77.857450399720022</v>
      </c>
      <c r="O13" s="258">
        <v>0.89</v>
      </c>
      <c r="P13" s="258">
        <f t="shared" si="7"/>
        <v>0.89</v>
      </c>
      <c r="Q13" s="249">
        <v>86.363600000000005</v>
      </c>
      <c r="R13" s="249">
        <f t="shared" si="8"/>
        <v>87.48028134800002</v>
      </c>
      <c r="S13" s="250">
        <v>0.1</v>
      </c>
      <c r="T13" s="169">
        <f>Q13+Q13*S13</f>
        <v>94.999960000000002</v>
      </c>
      <c r="U13" s="315">
        <f t="shared" si="9"/>
        <v>96.228309482800029</v>
      </c>
      <c r="V13" s="315">
        <f t="shared" si="10"/>
        <v>97</v>
      </c>
      <c r="W13" s="316">
        <f t="shared" si="11"/>
        <v>0</v>
      </c>
    </row>
    <row r="14" spans="1:25" x14ac:dyDescent="0.25">
      <c r="A14" s="200">
        <v>110030</v>
      </c>
      <c r="B14" s="313" t="s">
        <v>18902</v>
      </c>
      <c r="C14" s="248"/>
      <c r="D14" s="247" t="s">
        <v>5</v>
      </c>
      <c r="E14" s="249">
        <f>R14*G14</f>
        <v>0</v>
      </c>
      <c r="F14" s="314"/>
      <c r="G14" s="258">
        <f>F14</f>
        <v>0</v>
      </c>
      <c r="H14" s="249">
        <f>R14*J14</f>
        <v>0</v>
      </c>
      <c r="I14" s="314"/>
      <c r="J14" s="258">
        <f>I14</f>
        <v>0</v>
      </c>
      <c r="K14" s="249">
        <f>R14*M14</f>
        <v>32.700000000000003</v>
      </c>
      <c r="L14" s="258">
        <v>0.32700000000000001</v>
      </c>
      <c r="M14" s="258">
        <f>L14</f>
        <v>0.32700000000000001</v>
      </c>
      <c r="N14" s="251">
        <f>P14*R14</f>
        <v>67.300000000000011</v>
      </c>
      <c r="O14" s="258">
        <v>0.67300000000000004</v>
      </c>
      <c r="P14" s="258">
        <f>O14</f>
        <v>0.67300000000000004</v>
      </c>
      <c r="Q14" s="249"/>
      <c r="R14" s="249">
        <v>100</v>
      </c>
      <c r="S14" s="250">
        <v>0.1</v>
      </c>
      <c r="T14" s="169">
        <f>Q14+Q14*S14</f>
        <v>0</v>
      </c>
      <c r="U14" s="315">
        <f>(R14*S14)+R14</f>
        <v>110</v>
      </c>
      <c r="V14" s="315">
        <f>IF(U14=0, 0, IF(U14&lt;10, _xlfn.CEILING.MATH(U14,1), IF(U14&lt;100, _xlfn.CEILING.MATH(U14,1),IF(U14&lt;1000, _xlfn.CEILING.MATH(U14,5), IF(U14&lt;10000, _xlfn.CEILING.MATH(U14, 25), IF(U14&lt;100000, _xlfn.CEILING.MATH(U14,250), IF(U14&lt;1000000, _xlfn.CEILING.MATH(U14,500), 0)))))))</f>
        <v>110</v>
      </c>
      <c r="W14" s="316">
        <f>C14*V14</f>
        <v>0</v>
      </c>
    </row>
    <row r="15" spans="1:25" x14ac:dyDescent="0.25">
      <c r="A15" s="195" t="s">
        <v>18903</v>
      </c>
      <c r="B15" s="317" t="s">
        <v>639</v>
      </c>
      <c r="C15" s="318"/>
      <c r="D15" s="319"/>
      <c r="E15" s="319"/>
      <c r="F15" s="319"/>
      <c r="G15" s="319"/>
      <c r="H15" s="319"/>
      <c r="I15" s="319"/>
      <c r="J15" s="319"/>
      <c r="K15" s="319"/>
      <c r="L15" s="319"/>
      <c r="M15" s="319"/>
      <c r="N15" s="319"/>
      <c r="O15" s="319"/>
      <c r="P15" s="319"/>
      <c r="Q15" s="319"/>
      <c r="R15" s="319"/>
      <c r="S15" s="319"/>
      <c r="T15" s="319"/>
      <c r="U15" s="320"/>
      <c r="V15" s="320"/>
      <c r="W15" s="306"/>
    </row>
    <row r="16" spans="1:25" x14ac:dyDescent="0.25">
      <c r="A16" s="199" t="s">
        <v>14863</v>
      </c>
      <c r="B16" s="307" t="s">
        <v>14864</v>
      </c>
      <c r="C16" s="308"/>
      <c r="D16" s="309"/>
      <c r="E16" s="310"/>
      <c r="F16" s="311"/>
      <c r="G16" s="311"/>
      <c r="H16" s="310"/>
      <c r="I16" s="311"/>
      <c r="J16" s="311"/>
      <c r="K16" s="310"/>
      <c r="L16" s="311"/>
      <c r="M16" s="311"/>
      <c r="N16" s="310"/>
      <c r="O16" s="311"/>
      <c r="P16" s="311"/>
      <c r="Q16" s="310"/>
      <c r="R16" s="310"/>
      <c r="S16" s="309"/>
      <c r="T16" s="309"/>
      <c r="U16" s="309"/>
      <c r="V16" s="309"/>
      <c r="W16" s="312"/>
    </row>
    <row r="17" spans="1:23" x14ac:dyDescent="0.25">
      <c r="A17" s="200">
        <v>200100</v>
      </c>
      <c r="B17" s="313" t="s">
        <v>20060</v>
      </c>
      <c r="C17" s="248"/>
      <c r="D17" s="247" t="s">
        <v>14865</v>
      </c>
      <c r="E17" s="249">
        <f t="shared" si="0"/>
        <v>934.54565217391314</v>
      </c>
      <c r="F17" s="258">
        <v>0.6</v>
      </c>
      <c r="G17" s="258">
        <f t="shared" si="1"/>
        <v>0.6</v>
      </c>
      <c r="H17" s="249">
        <f t="shared" si="2"/>
        <v>77.878804347826105</v>
      </c>
      <c r="I17" s="258">
        <v>0.05</v>
      </c>
      <c r="J17" s="258">
        <f t="shared" si="3"/>
        <v>0.05</v>
      </c>
      <c r="K17" s="249">
        <f t="shared" si="4"/>
        <v>545.15163043478265</v>
      </c>
      <c r="L17" s="258">
        <v>0.35</v>
      </c>
      <c r="M17" s="258">
        <f t="shared" si="5"/>
        <v>0.35</v>
      </c>
      <c r="N17" s="251">
        <f t="shared" si="6"/>
        <v>0</v>
      </c>
      <c r="O17" s="314"/>
      <c r="P17" s="258">
        <f t="shared" si="7"/>
        <v>0</v>
      </c>
      <c r="Q17" s="249">
        <v>1521.7391304347827</v>
      </c>
      <c r="R17" s="249">
        <f t="shared" si="8"/>
        <v>1557.576086956522</v>
      </c>
      <c r="S17" s="250">
        <v>0.15</v>
      </c>
      <c r="T17" s="169">
        <v>1750</v>
      </c>
      <c r="U17" s="315">
        <f t="shared" si="9"/>
        <v>1791.2125000000003</v>
      </c>
      <c r="V17" s="315">
        <f t="shared" si="10"/>
        <v>1800</v>
      </c>
      <c r="W17" s="316">
        <f t="shared" ref="W17:W97" si="12">C17*V17</f>
        <v>0</v>
      </c>
    </row>
    <row r="18" spans="1:23" x14ac:dyDescent="0.25">
      <c r="A18" s="200">
        <v>200101</v>
      </c>
      <c r="B18" s="313" t="s">
        <v>20061</v>
      </c>
      <c r="C18" s="248"/>
      <c r="D18" s="247" t="s">
        <v>14865</v>
      </c>
      <c r="E18" s="249">
        <f t="shared" si="0"/>
        <v>1281.6626086956524</v>
      </c>
      <c r="F18" s="258">
        <v>0.6</v>
      </c>
      <c r="G18" s="258">
        <f t="shared" si="1"/>
        <v>0.6</v>
      </c>
      <c r="H18" s="249">
        <f t="shared" si="2"/>
        <v>106.80521739130437</v>
      </c>
      <c r="I18" s="258">
        <v>0.05</v>
      </c>
      <c r="J18" s="258">
        <f t="shared" si="3"/>
        <v>0.05</v>
      </c>
      <c r="K18" s="249">
        <f t="shared" si="4"/>
        <v>747.63652173913044</v>
      </c>
      <c r="L18" s="258">
        <v>0.35</v>
      </c>
      <c r="M18" s="258">
        <f t="shared" si="5"/>
        <v>0.35</v>
      </c>
      <c r="N18" s="251">
        <f t="shared" si="6"/>
        <v>0</v>
      </c>
      <c r="O18" s="314"/>
      <c r="P18" s="258">
        <f t="shared" si="7"/>
        <v>0</v>
      </c>
      <c r="Q18" s="249">
        <v>2086.9565217391305</v>
      </c>
      <c r="R18" s="249">
        <f t="shared" si="8"/>
        <v>2136.1043478260872</v>
      </c>
      <c r="S18" s="250">
        <v>0.15</v>
      </c>
      <c r="T18" s="169">
        <v>2400</v>
      </c>
      <c r="U18" s="315">
        <f t="shared" si="9"/>
        <v>2456.5200000000004</v>
      </c>
      <c r="V18" s="315">
        <f t="shared" si="10"/>
        <v>2475</v>
      </c>
      <c r="W18" s="316">
        <f t="shared" si="12"/>
        <v>0</v>
      </c>
    </row>
    <row r="19" spans="1:23" x14ac:dyDescent="0.25">
      <c r="A19" s="200">
        <v>200102</v>
      </c>
      <c r="B19" s="313" t="s">
        <v>20062</v>
      </c>
      <c r="C19" s="248"/>
      <c r="D19" s="247" t="s">
        <v>14865</v>
      </c>
      <c r="E19" s="249">
        <f t="shared" si="0"/>
        <v>1735.5847826086958</v>
      </c>
      <c r="F19" s="258">
        <v>0.6</v>
      </c>
      <c r="G19" s="258">
        <f t="shared" si="1"/>
        <v>0.6</v>
      </c>
      <c r="H19" s="249">
        <f t="shared" si="2"/>
        <v>144.63206521739133</v>
      </c>
      <c r="I19" s="258">
        <v>0.05</v>
      </c>
      <c r="J19" s="258">
        <f t="shared" si="3"/>
        <v>0.05</v>
      </c>
      <c r="K19" s="249">
        <f t="shared" si="4"/>
        <v>1012.4244565217392</v>
      </c>
      <c r="L19" s="258">
        <v>0.35</v>
      </c>
      <c r="M19" s="258">
        <f t="shared" si="5"/>
        <v>0.35</v>
      </c>
      <c r="N19" s="251">
        <f t="shared" si="6"/>
        <v>0</v>
      </c>
      <c r="O19" s="314"/>
      <c r="P19" s="258">
        <f t="shared" si="7"/>
        <v>0</v>
      </c>
      <c r="Q19" s="249">
        <v>2826.0869565217395</v>
      </c>
      <c r="R19" s="249">
        <f t="shared" si="8"/>
        <v>2892.6413043478265</v>
      </c>
      <c r="S19" s="250">
        <v>0.15</v>
      </c>
      <c r="T19" s="169">
        <v>3250</v>
      </c>
      <c r="U19" s="315">
        <f t="shared" si="9"/>
        <v>3326.5375000000004</v>
      </c>
      <c r="V19" s="315">
        <f t="shared" si="10"/>
        <v>3350</v>
      </c>
      <c r="W19" s="316">
        <f t="shared" si="12"/>
        <v>0</v>
      </c>
    </row>
    <row r="20" spans="1:23" x14ac:dyDescent="0.25">
      <c r="A20" s="199" t="s">
        <v>14480</v>
      </c>
      <c r="B20" s="307" t="s">
        <v>14481</v>
      </c>
      <c r="C20" s="308"/>
      <c r="D20" s="309"/>
      <c r="E20" s="310"/>
      <c r="F20" s="311"/>
      <c r="G20" s="311"/>
      <c r="H20" s="310"/>
      <c r="I20" s="311"/>
      <c r="J20" s="311"/>
      <c r="K20" s="310"/>
      <c r="L20" s="311"/>
      <c r="M20" s="311"/>
      <c r="N20" s="310"/>
      <c r="O20" s="311"/>
      <c r="P20" s="311"/>
      <c r="Q20" s="310"/>
      <c r="R20" s="310"/>
      <c r="S20" s="309"/>
      <c r="T20" s="309"/>
      <c r="U20" s="309"/>
      <c r="V20" s="309"/>
      <c r="W20" s="312"/>
    </row>
    <row r="21" spans="1:23" x14ac:dyDescent="0.25">
      <c r="A21" s="200">
        <v>201035</v>
      </c>
      <c r="B21" s="313" t="s">
        <v>18904</v>
      </c>
      <c r="C21" s="248"/>
      <c r="D21" s="247" t="s">
        <v>4</v>
      </c>
      <c r="E21" s="249">
        <f t="shared" ref="E21:E29" si="13">R21*G21</f>
        <v>3582.25</v>
      </c>
      <c r="F21" s="258">
        <v>0.35</v>
      </c>
      <c r="G21" s="258">
        <f t="shared" ref="G21:G29" si="14">F21</f>
        <v>0.35</v>
      </c>
      <c r="H21" s="249">
        <f t="shared" ref="H21:H29" si="15">R21*J21</f>
        <v>0</v>
      </c>
      <c r="I21" s="258"/>
      <c r="J21" s="258">
        <f t="shared" ref="J21:J29" si="16">I21</f>
        <v>0</v>
      </c>
      <c r="K21" s="249">
        <f t="shared" ref="K21:K29" si="17">R21*M21</f>
        <v>6141</v>
      </c>
      <c r="L21" s="258">
        <v>0.6</v>
      </c>
      <c r="M21" s="258">
        <f t="shared" ref="M21:M29" si="18">L21</f>
        <v>0.6</v>
      </c>
      <c r="N21" s="251">
        <f t="shared" ref="N21:N29" si="19">P21*R21</f>
        <v>511.75</v>
      </c>
      <c r="O21" s="314">
        <v>0.05</v>
      </c>
      <c r="P21" s="258">
        <f t="shared" ref="P21:P29" si="20">O21</f>
        <v>0.05</v>
      </c>
      <c r="Q21" s="249">
        <v>10000</v>
      </c>
      <c r="R21" s="249">
        <f>SUM(F21*Q21*1.0235,I21*Q21*1.0175,L21*Q21*1.0245,O21*Q21*1.0115)</f>
        <v>10235</v>
      </c>
      <c r="S21" s="250">
        <v>0.1</v>
      </c>
      <c r="T21" s="169">
        <f>Q21+Q21*S21</f>
        <v>11000</v>
      </c>
      <c r="U21" s="315">
        <f t="shared" ref="U21:U29" si="21">(R21*S21)+R21</f>
        <v>11258.5</v>
      </c>
      <c r="V21" s="315">
        <f t="shared" ref="V21:V29" si="22">IF(U21=0, 0, IF(U21&lt;10, _xlfn.CEILING.MATH(U21,1), IF(U21&lt;100, _xlfn.CEILING.MATH(U21,1),IF(U21&lt;1000, _xlfn.CEILING.MATH(U21,5), IF(U21&lt;10000, _xlfn.CEILING.MATH(U21, 25), IF(U21&lt;100000, _xlfn.CEILING.MATH(U21,250), IF(U21&lt;1000000, _xlfn.CEILING.MATH(U21,500), 0)))))))</f>
        <v>11500</v>
      </c>
      <c r="W21" s="316">
        <f>C21*V21</f>
        <v>0</v>
      </c>
    </row>
    <row r="22" spans="1:23" x14ac:dyDescent="0.25">
      <c r="A22" s="200">
        <v>201035</v>
      </c>
      <c r="B22" s="313" t="s">
        <v>18905</v>
      </c>
      <c r="C22" s="248"/>
      <c r="D22" s="247" t="s">
        <v>4</v>
      </c>
      <c r="E22" s="249">
        <f t="shared" si="13"/>
        <v>2768.0045749999999</v>
      </c>
      <c r="F22" s="258">
        <v>0.35</v>
      </c>
      <c r="G22" s="258">
        <f t="shared" si="14"/>
        <v>0.35</v>
      </c>
      <c r="H22" s="249">
        <f t="shared" si="15"/>
        <v>0</v>
      </c>
      <c r="I22" s="258"/>
      <c r="J22" s="258">
        <f t="shared" si="16"/>
        <v>0</v>
      </c>
      <c r="K22" s="249">
        <f t="shared" si="17"/>
        <v>4745.1507000000001</v>
      </c>
      <c r="L22" s="258">
        <v>0.6</v>
      </c>
      <c r="M22" s="258">
        <f t="shared" si="18"/>
        <v>0.6</v>
      </c>
      <c r="N22" s="251">
        <f t="shared" si="19"/>
        <v>395.42922500000003</v>
      </c>
      <c r="O22" s="314">
        <v>0.05</v>
      </c>
      <c r="P22" s="258">
        <f t="shared" si="20"/>
        <v>0.05</v>
      </c>
      <c r="Q22" s="249">
        <v>7727</v>
      </c>
      <c r="R22" s="249">
        <f>SUM(F22*Q22*1.0235,I22*Q22*1.0175,L22*Q22*1.0245,O22*Q22*1.0115)</f>
        <v>7908.5844999999999</v>
      </c>
      <c r="S22" s="250">
        <v>0.1</v>
      </c>
      <c r="T22" s="169">
        <f>Q22+Q22*S22</f>
        <v>8499.7000000000007</v>
      </c>
      <c r="U22" s="315">
        <f t="shared" si="21"/>
        <v>8699.4429500000006</v>
      </c>
      <c r="V22" s="315">
        <f t="shared" si="22"/>
        <v>8700</v>
      </c>
      <c r="W22" s="316">
        <f>C22*V22</f>
        <v>0</v>
      </c>
    </row>
    <row r="23" spans="1:23" x14ac:dyDescent="0.25">
      <c r="A23" s="200">
        <v>201100</v>
      </c>
      <c r="B23" s="313" t="s">
        <v>16123</v>
      </c>
      <c r="C23" s="248"/>
      <c r="D23" s="247" t="s">
        <v>2</v>
      </c>
      <c r="E23" s="249">
        <f t="shared" si="13"/>
        <v>6.48</v>
      </c>
      <c r="F23" s="258">
        <v>0.8</v>
      </c>
      <c r="G23" s="258">
        <f t="shared" si="14"/>
        <v>0.8</v>
      </c>
      <c r="H23" s="249">
        <f t="shared" si="15"/>
        <v>0.81</v>
      </c>
      <c r="I23" s="258">
        <v>0.1</v>
      </c>
      <c r="J23" s="258">
        <f t="shared" si="16"/>
        <v>0.1</v>
      </c>
      <c r="K23" s="249">
        <f t="shared" si="17"/>
        <v>0.81</v>
      </c>
      <c r="L23" s="258">
        <v>0.1</v>
      </c>
      <c r="M23" s="258">
        <f t="shared" si="18"/>
        <v>0.1</v>
      </c>
      <c r="N23" s="251">
        <f t="shared" si="19"/>
        <v>0</v>
      </c>
      <c r="O23" s="314"/>
      <c r="P23" s="258">
        <f t="shared" si="20"/>
        <v>0</v>
      </c>
      <c r="Q23" s="249"/>
      <c r="R23" s="249">
        <v>8.1</v>
      </c>
      <c r="S23" s="250">
        <v>0.15</v>
      </c>
      <c r="T23" s="169">
        <f t="shared" ref="T23:T28" si="23">Q23+Q23*S23</f>
        <v>0</v>
      </c>
      <c r="U23" s="315">
        <f t="shared" si="21"/>
        <v>9.3149999999999995</v>
      </c>
      <c r="V23" s="315">
        <f t="shared" si="22"/>
        <v>10</v>
      </c>
      <c r="W23" s="316">
        <f t="shared" ref="W23:W44" si="24">C23*V23</f>
        <v>0</v>
      </c>
    </row>
    <row r="24" spans="1:23" x14ac:dyDescent="0.25">
      <c r="A24" s="200">
        <v>201110</v>
      </c>
      <c r="B24" s="313" t="s">
        <v>16124</v>
      </c>
      <c r="C24" s="248"/>
      <c r="D24" s="247" t="s">
        <v>2</v>
      </c>
      <c r="E24" s="249">
        <f t="shared" si="13"/>
        <v>7.4400000000000013</v>
      </c>
      <c r="F24" s="258">
        <v>0.8</v>
      </c>
      <c r="G24" s="258">
        <f t="shared" si="14"/>
        <v>0.8</v>
      </c>
      <c r="H24" s="249">
        <f t="shared" si="15"/>
        <v>0.93000000000000016</v>
      </c>
      <c r="I24" s="258">
        <v>0.1</v>
      </c>
      <c r="J24" s="258">
        <f t="shared" si="16"/>
        <v>0.1</v>
      </c>
      <c r="K24" s="249">
        <f t="shared" si="17"/>
        <v>0.93000000000000016</v>
      </c>
      <c r="L24" s="258">
        <v>0.1</v>
      </c>
      <c r="M24" s="258">
        <f t="shared" si="18"/>
        <v>0.1</v>
      </c>
      <c r="N24" s="251">
        <f t="shared" si="19"/>
        <v>0</v>
      </c>
      <c r="O24" s="314"/>
      <c r="P24" s="258">
        <f t="shared" si="20"/>
        <v>0</v>
      </c>
      <c r="Q24" s="249"/>
      <c r="R24" s="249">
        <v>9.3000000000000007</v>
      </c>
      <c r="S24" s="250">
        <v>0.15</v>
      </c>
      <c r="T24" s="169">
        <f t="shared" si="23"/>
        <v>0</v>
      </c>
      <c r="U24" s="315">
        <f t="shared" si="21"/>
        <v>10.695</v>
      </c>
      <c r="V24" s="315">
        <f t="shared" si="22"/>
        <v>11</v>
      </c>
      <c r="W24" s="316">
        <f t="shared" si="24"/>
        <v>0</v>
      </c>
    </row>
    <row r="25" spans="1:23" x14ac:dyDescent="0.25">
      <c r="A25" s="200">
        <v>201112</v>
      </c>
      <c r="B25" s="313" t="s">
        <v>16125</v>
      </c>
      <c r="C25" s="248"/>
      <c r="D25" s="247" t="s">
        <v>2</v>
      </c>
      <c r="E25" s="249">
        <f t="shared" si="13"/>
        <v>10.88</v>
      </c>
      <c r="F25" s="258">
        <v>0.8</v>
      </c>
      <c r="G25" s="258">
        <f t="shared" si="14"/>
        <v>0.8</v>
      </c>
      <c r="H25" s="249">
        <f t="shared" si="15"/>
        <v>1.36</v>
      </c>
      <c r="I25" s="258">
        <v>0.1</v>
      </c>
      <c r="J25" s="258">
        <f t="shared" si="16"/>
        <v>0.1</v>
      </c>
      <c r="K25" s="249">
        <f t="shared" si="17"/>
        <v>1.36</v>
      </c>
      <c r="L25" s="258">
        <v>0.1</v>
      </c>
      <c r="M25" s="258">
        <f t="shared" si="18"/>
        <v>0.1</v>
      </c>
      <c r="N25" s="251">
        <f t="shared" si="19"/>
        <v>0</v>
      </c>
      <c r="O25" s="314"/>
      <c r="P25" s="258">
        <f t="shared" si="20"/>
        <v>0</v>
      </c>
      <c r="Q25" s="249"/>
      <c r="R25" s="249">
        <v>13.6</v>
      </c>
      <c r="S25" s="250">
        <v>0.15</v>
      </c>
      <c r="T25" s="169">
        <f t="shared" si="23"/>
        <v>0</v>
      </c>
      <c r="U25" s="315">
        <f t="shared" si="21"/>
        <v>15.64</v>
      </c>
      <c r="V25" s="315">
        <f t="shared" si="22"/>
        <v>16</v>
      </c>
      <c r="W25" s="316">
        <f t="shared" si="24"/>
        <v>0</v>
      </c>
    </row>
    <row r="26" spans="1:23" x14ac:dyDescent="0.25">
      <c r="A26" s="200">
        <v>201113</v>
      </c>
      <c r="B26" s="313" t="s">
        <v>16126</v>
      </c>
      <c r="C26" s="248"/>
      <c r="D26" s="247" t="s">
        <v>2</v>
      </c>
      <c r="E26" s="249">
        <f t="shared" si="13"/>
        <v>11.850000000000001</v>
      </c>
      <c r="F26" s="258">
        <v>0.75</v>
      </c>
      <c r="G26" s="258">
        <f t="shared" si="14"/>
        <v>0.75</v>
      </c>
      <c r="H26" s="249">
        <f t="shared" si="15"/>
        <v>1.58</v>
      </c>
      <c r="I26" s="258">
        <v>0.1</v>
      </c>
      <c r="J26" s="258">
        <f t="shared" si="16"/>
        <v>0.1</v>
      </c>
      <c r="K26" s="249">
        <f t="shared" si="17"/>
        <v>2.37</v>
      </c>
      <c r="L26" s="258">
        <v>0.15</v>
      </c>
      <c r="M26" s="258">
        <f t="shared" si="18"/>
        <v>0.15</v>
      </c>
      <c r="N26" s="251">
        <f t="shared" si="19"/>
        <v>0</v>
      </c>
      <c r="O26" s="314"/>
      <c r="P26" s="258">
        <f t="shared" si="20"/>
        <v>0</v>
      </c>
      <c r="Q26" s="249"/>
      <c r="R26" s="249">
        <v>15.8</v>
      </c>
      <c r="S26" s="250">
        <v>0.15</v>
      </c>
      <c r="T26" s="169">
        <f t="shared" si="23"/>
        <v>0</v>
      </c>
      <c r="U26" s="315">
        <f t="shared" si="21"/>
        <v>18.170000000000002</v>
      </c>
      <c r="V26" s="315">
        <f t="shared" si="22"/>
        <v>19</v>
      </c>
      <c r="W26" s="316">
        <f t="shared" si="24"/>
        <v>0</v>
      </c>
    </row>
    <row r="27" spans="1:23" x14ac:dyDescent="0.25">
      <c r="A27" s="200">
        <v>201114</v>
      </c>
      <c r="B27" s="313" t="s">
        <v>16127</v>
      </c>
      <c r="C27" s="248"/>
      <c r="D27" s="247" t="s">
        <v>2</v>
      </c>
      <c r="E27" s="249">
        <f t="shared" si="13"/>
        <v>13.5</v>
      </c>
      <c r="F27" s="258">
        <v>0.75</v>
      </c>
      <c r="G27" s="258">
        <f t="shared" si="14"/>
        <v>0.75</v>
      </c>
      <c r="H27" s="249">
        <f t="shared" si="15"/>
        <v>1.8</v>
      </c>
      <c r="I27" s="258">
        <v>0.1</v>
      </c>
      <c r="J27" s="258">
        <f t="shared" si="16"/>
        <v>0.1</v>
      </c>
      <c r="K27" s="249">
        <f t="shared" si="17"/>
        <v>2.6999999999999997</v>
      </c>
      <c r="L27" s="258">
        <v>0.15</v>
      </c>
      <c r="M27" s="258">
        <f t="shared" si="18"/>
        <v>0.15</v>
      </c>
      <c r="N27" s="251">
        <f t="shared" si="19"/>
        <v>0</v>
      </c>
      <c r="O27" s="314"/>
      <c r="P27" s="258">
        <f t="shared" si="20"/>
        <v>0</v>
      </c>
      <c r="Q27" s="249"/>
      <c r="R27" s="249">
        <v>18</v>
      </c>
      <c r="S27" s="250">
        <v>0.15</v>
      </c>
      <c r="T27" s="169">
        <f t="shared" si="23"/>
        <v>0</v>
      </c>
      <c r="U27" s="315">
        <f t="shared" si="21"/>
        <v>20.7</v>
      </c>
      <c r="V27" s="315">
        <f t="shared" si="22"/>
        <v>21</v>
      </c>
      <c r="W27" s="316">
        <f t="shared" si="24"/>
        <v>0</v>
      </c>
    </row>
    <row r="28" spans="1:23" x14ac:dyDescent="0.25">
      <c r="A28" s="200">
        <v>201116</v>
      </c>
      <c r="B28" s="313" t="s">
        <v>16128</v>
      </c>
      <c r="C28" s="248"/>
      <c r="D28" s="247" t="s">
        <v>2</v>
      </c>
      <c r="E28" s="249">
        <f t="shared" si="13"/>
        <v>14.209999999999999</v>
      </c>
      <c r="F28" s="258">
        <v>0.7</v>
      </c>
      <c r="G28" s="258">
        <f t="shared" si="14"/>
        <v>0.7</v>
      </c>
      <c r="H28" s="249">
        <f t="shared" si="15"/>
        <v>2.0300000000000002</v>
      </c>
      <c r="I28" s="258">
        <v>0.1</v>
      </c>
      <c r="J28" s="258">
        <f t="shared" si="16"/>
        <v>0.1</v>
      </c>
      <c r="K28" s="249">
        <f t="shared" si="17"/>
        <v>4.0600000000000005</v>
      </c>
      <c r="L28" s="258">
        <v>0.2</v>
      </c>
      <c r="M28" s="258">
        <f t="shared" si="18"/>
        <v>0.2</v>
      </c>
      <c r="N28" s="251">
        <f t="shared" si="19"/>
        <v>0</v>
      </c>
      <c r="O28" s="314"/>
      <c r="P28" s="258">
        <f t="shared" si="20"/>
        <v>0</v>
      </c>
      <c r="Q28" s="249"/>
      <c r="R28" s="249">
        <v>20.3</v>
      </c>
      <c r="S28" s="250">
        <v>0.15</v>
      </c>
      <c r="T28" s="169">
        <f t="shared" si="23"/>
        <v>0</v>
      </c>
      <c r="U28" s="315">
        <f t="shared" si="21"/>
        <v>23.344999999999999</v>
      </c>
      <c r="V28" s="315">
        <f t="shared" si="22"/>
        <v>24</v>
      </c>
      <c r="W28" s="316">
        <f t="shared" si="24"/>
        <v>0</v>
      </c>
    </row>
    <row r="29" spans="1:23" x14ac:dyDescent="0.25">
      <c r="A29" s="200">
        <v>201118</v>
      </c>
      <c r="B29" s="313" t="s">
        <v>16129</v>
      </c>
      <c r="C29" s="248"/>
      <c r="D29" s="247" t="s">
        <v>2</v>
      </c>
      <c r="E29" s="249">
        <f t="shared" si="13"/>
        <v>15.889999999999999</v>
      </c>
      <c r="F29" s="258">
        <v>0.7</v>
      </c>
      <c r="G29" s="258">
        <f t="shared" si="14"/>
        <v>0.7</v>
      </c>
      <c r="H29" s="249">
        <f t="shared" si="15"/>
        <v>2.27</v>
      </c>
      <c r="I29" s="258">
        <v>0.1</v>
      </c>
      <c r="J29" s="258">
        <f t="shared" si="16"/>
        <v>0.1</v>
      </c>
      <c r="K29" s="249">
        <f t="shared" si="17"/>
        <v>4.54</v>
      </c>
      <c r="L29" s="258">
        <v>0.2</v>
      </c>
      <c r="M29" s="258">
        <f t="shared" si="18"/>
        <v>0.2</v>
      </c>
      <c r="N29" s="251">
        <f t="shared" si="19"/>
        <v>0</v>
      </c>
      <c r="O29" s="314"/>
      <c r="P29" s="258">
        <f t="shared" si="20"/>
        <v>0</v>
      </c>
      <c r="Q29" s="249"/>
      <c r="R29" s="249">
        <v>22.7</v>
      </c>
      <c r="S29" s="250">
        <v>0.15</v>
      </c>
      <c r="T29" s="169">
        <f>Q29+Q29*S29</f>
        <v>0</v>
      </c>
      <c r="U29" s="315">
        <f t="shared" si="21"/>
        <v>26.105</v>
      </c>
      <c r="V29" s="315">
        <f t="shared" si="22"/>
        <v>27</v>
      </c>
      <c r="W29" s="316">
        <f t="shared" si="24"/>
        <v>0</v>
      </c>
    </row>
    <row r="30" spans="1:23" x14ac:dyDescent="0.25">
      <c r="A30" s="199" t="s">
        <v>14482</v>
      </c>
      <c r="B30" s="307" t="s">
        <v>14483</v>
      </c>
      <c r="C30" s="308"/>
      <c r="D30" s="309"/>
      <c r="E30" s="310"/>
      <c r="F30" s="311"/>
      <c r="G30" s="311"/>
      <c r="H30" s="310"/>
      <c r="I30" s="311"/>
      <c r="J30" s="311"/>
      <c r="K30" s="310"/>
      <c r="L30" s="311"/>
      <c r="M30" s="311"/>
      <c r="N30" s="310"/>
      <c r="O30" s="311"/>
      <c r="P30" s="311"/>
      <c r="Q30" s="310"/>
      <c r="R30" s="310"/>
      <c r="S30" s="309"/>
      <c r="T30" s="309"/>
      <c r="U30" s="309"/>
      <c r="V30" s="309"/>
      <c r="W30" s="312"/>
    </row>
    <row r="31" spans="1:23" x14ac:dyDescent="0.25">
      <c r="A31" s="200">
        <v>202034</v>
      </c>
      <c r="B31" s="313" t="s">
        <v>16131</v>
      </c>
      <c r="C31" s="248"/>
      <c r="D31" s="247" t="s">
        <v>2</v>
      </c>
      <c r="E31" s="249">
        <f t="shared" ref="E31:E44" si="25">R31*G31</f>
        <v>22.914999999999999</v>
      </c>
      <c r="F31" s="258">
        <v>0.5</v>
      </c>
      <c r="G31" s="258">
        <f t="shared" ref="G31:G44" si="26">F31</f>
        <v>0.5</v>
      </c>
      <c r="H31" s="249">
        <f t="shared" ref="H31:H44" si="27">R31*J31</f>
        <v>0</v>
      </c>
      <c r="I31" s="258"/>
      <c r="J31" s="258">
        <f t="shared" ref="J31:J44" si="28">I31</f>
        <v>0</v>
      </c>
      <c r="K31" s="249">
        <f t="shared" ref="K31:K44" si="29">R31*M31</f>
        <v>20.6235</v>
      </c>
      <c r="L31" s="258">
        <v>0.45</v>
      </c>
      <c r="M31" s="258">
        <f t="shared" ref="M31:M44" si="30">L31</f>
        <v>0.45</v>
      </c>
      <c r="N31" s="251">
        <f t="shared" ref="N31:N44" si="31">P31*R31</f>
        <v>2.2915000000000001</v>
      </c>
      <c r="O31" s="314">
        <v>0.05</v>
      </c>
      <c r="P31" s="258">
        <f t="shared" ref="P31:P44" si="32">O31</f>
        <v>0.05</v>
      </c>
      <c r="Q31" s="249"/>
      <c r="R31" s="249">
        <v>45.83</v>
      </c>
      <c r="S31" s="250">
        <v>0.2</v>
      </c>
      <c r="T31" s="169">
        <f t="shared" ref="T31:T44" si="33">Q31+Q31*S31</f>
        <v>0</v>
      </c>
      <c r="U31" s="315">
        <f t="shared" ref="U31:U44" si="34">(R31*S31)+R31</f>
        <v>54.995999999999995</v>
      </c>
      <c r="V31" s="315">
        <f t="shared" ref="V31:V44" si="35">IF(U31=0, 0, IF(U31&lt;10, _xlfn.CEILING.MATH(U31,1), IF(U31&lt;100, _xlfn.CEILING.MATH(U31,1),IF(U31&lt;1000, _xlfn.CEILING.MATH(U31,5), IF(U31&lt;10000, _xlfn.CEILING.MATH(U31, 25), IF(U31&lt;100000, _xlfn.CEILING.MATH(U31,250), IF(U31&lt;1000000, _xlfn.CEILING.MATH(U31,500), 0)))))))</f>
        <v>55</v>
      </c>
      <c r="W31" s="316">
        <f t="shared" si="24"/>
        <v>0</v>
      </c>
    </row>
    <row r="32" spans="1:23" x14ac:dyDescent="0.25">
      <c r="A32" s="200">
        <v>202034</v>
      </c>
      <c r="B32" s="313" t="s">
        <v>16132</v>
      </c>
      <c r="C32" s="248"/>
      <c r="D32" s="247" t="s">
        <v>2</v>
      </c>
      <c r="E32" s="249">
        <f t="shared" si="25"/>
        <v>37.5</v>
      </c>
      <c r="F32" s="258">
        <v>0.5</v>
      </c>
      <c r="G32" s="258">
        <f t="shared" si="26"/>
        <v>0.5</v>
      </c>
      <c r="H32" s="249">
        <f t="shared" si="27"/>
        <v>0</v>
      </c>
      <c r="I32" s="258"/>
      <c r="J32" s="258">
        <f t="shared" si="28"/>
        <v>0</v>
      </c>
      <c r="K32" s="249">
        <f t="shared" si="29"/>
        <v>33.75</v>
      </c>
      <c r="L32" s="258">
        <v>0.45</v>
      </c>
      <c r="M32" s="258">
        <f t="shared" si="30"/>
        <v>0.45</v>
      </c>
      <c r="N32" s="251">
        <f t="shared" si="31"/>
        <v>3.75</v>
      </c>
      <c r="O32" s="314">
        <v>0.05</v>
      </c>
      <c r="P32" s="258">
        <f t="shared" si="32"/>
        <v>0.05</v>
      </c>
      <c r="Q32" s="249"/>
      <c r="R32" s="249">
        <v>75</v>
      </c>
      <c r="S32" s="250">
        <v>0.2</v>
      </c>
      <c r="T32" s="169">
        <f t="shared" si="33"/>
        <v>0</v>
      </c>
      <c r="U32" s="315">
        <f t="shared" si="34"/>
        <v>90</v>
      </c>
      <c r="V32" s="315">
        <f t="shared" si="35"/>
        <v>90</v>
      </c>
      <c r="W32" s="316">
        <f t="shared" si="24"/>
        <v>0</v>
      </c>
    </row>
    <row r="33" spans="1:23" x14ac:dyDescent="0.25">
      <c r="A33" s="200">
        <v>202035</v>
      </c>
      <c r="B33" s="313" t="s">
        <v>18906</v>
      </c>
      <c r="C33" s="248"/>
      <c r="D33" s="247" t="s">
        <v>7</v>
      </c>
      <c r="E33" s="249">
        <f t="shared" si="25"/>
        <v>8.8711483250000018</v>
      </c>
      <c r="F33" s="258">
        <v>0.65</v>
      </c>
      <c r="G33" s="258">
        <f t="shared" si="26"/>
        <v>0.65</v>
      </c>
      <c r="H33" s="249">
        <f t="shared" si="27"/>
        <v>0</v>
      </c>
      <c r="I33" s="258"/>
      <c r="J33" s="258">
        <f t="shared" si="28"/>
        <v>0</v>
      </c>
      <c r="K33" s="249">
        <f t="shared" si="29"/>
        <v>4.7767721750000005</v>
      </c>
      <c r="L33" s="258">
        <v>0.35</v>
      </c>
      <c r="M33" s="258">
        <f t="shared" si="30"/>
        <v>0.35</v>
      </c>
      <c r="N33" s="251">
        <f t="shared" si="31"/>
        <v>0</v>
      </c>
      <c r="O33" s="314"/>
      <c r="P33" s="258">
        <f t="shared" si="32"/>
        <v>0</v>
      </c>
      <c r="Q33" s="249">
        <v>13.33</v>
      </c>
      <c r="R33" s="249">
        <f>SUM(F33*Q33*1.0235,I33*Q33*1.0175,L33*Q33*1.0245,O33*Q33*1.0115)</f>
        <v>13.647920500000001</v>
      </c>
      <c r="S33" s="250">
        <v>0.35</v>
      </c>
      <c r="T33" s="169">
        <f t="shared" si="33"/>
        <v>17.9955</v>
      </c>
      <c r="U33" s="315">
        <f t="shared" si="34"/>
        <v>18.424692675000003</v>
      </c>
      <c r="V33" s="315">
        <f t="shared" si="35"/>
        <v>19</v>
      </c>
      <c r="W33" s="316">
        <f t="shared" si="24"/>
        <v>0</v>
      </c>
    </row>
    <row r="34" spans="1:23" x14ac:dyDescent="0.25">
      <c r="A34" s="200">
        <v>202035</v>
      </c>
      <c r="B34" s="313" t="s">
        <v>18907</v>
      </c>
      <c r="C34" s="248"/>
      <c r="D34" s="247" t="s">
        <v>7</v>
      </c>
      <c r="E34" s="249">
        <f t="shared" si="25"/>
        <v>10.234940625</v>
      </c>
      <c r="F34" s="258">
        <v>0.75</v>
      </c>
      <c r="G34" s="258">
        <f t="shared" si="26"/>
        <v>0.75</v>
      </c>
      <c r="H34" s="249">
        <f t="shared" si="27"/>
        <v>0</v>
      </c>
      <c r="I34" s="258"/>
      <c r="J34" s="258">
        <f t="shared" si="28"/>
        <v>0</v>
      </c>
      <c r="K34" s="249">
        <f t="shared" si="29"/>
        <v>3.4116468750000002</v>
      </c>
      <c r="L34" s="258">
        <v>0.25</v>
      </c>
      <c r="M34" s="258">
        <f t="shared" si="30"/>
        <v>0.25</v>
      </c>
      <c r="N34" s="251">
        <f t="shared" si="31"/>
        <v>0</v>
      </c>
      <c r="O34" s="314"/>
      <c r="P34" s="258">
        <f t="shared" si="32"/>
        <v>0</v>
      </c>
      <c r="Q34" s="249">
        <v>13.33</v>
      </c>
      <c r="R34" s="249">
        <f>SUM(F34*Q34*1.0235,I34*Q34*1.0175,L34*Q34*1.0245,O34*Q34*1.0115)</f>
        <v>13.646587500000001</v>
      </c>
      <c r="S34" s="250">
        <v>0.35</v>
      </c>
      <c r="T34" s="169">
        <f t="shared" si="33"/>
        <v>17.9955</v>
      </c>
      <c r="U34" s="315">
        <f t="shared" si="34"/>
        <v>18.422893125000002</v>
      </c>
      <c r="V34" s="315">
        <f t="shared" si="35"/>
        <v>19</v>
      </c>
      <c r="W34" s="316">
        <f t="shared" si="24"/>
        <v>0</v>
      </c>
    </row>
    <row r="35" spans="1:23" x14ac:dyDescent="0.25">
      <c r="A35" s="200">
        <v>202045</v>
      </c>
      <c r="B35" s="313" t="s">
        <v>18974</v>
      </c>
      <c r="C35" s="248"/>
      <c r="D35" s="247" t="s">
        <v>7</v>
      </c>
      <c r="E35" s="249">
        <f t="shared" si="25"/>
        <v>6.3</v>
      </c>
      <c r="F35" s="258">
        <v>0.6</v>
      </c>
      <c r="G35" s="258">
        <f t="shared" si="26"/>
        <v>0.6</v>
      </c>
      <c r="H35" s="249">
        <f t="shared" si="27"/>
        <v>0</v>
      </c>
      <c r="I35" s="258"/>
      <c r="J35" s="258">
        <f t="shared" si="28"/>
        <v>0</v>
      </c>
      <c r="K35" s="249">
        <f t="shared" si="29"/>
        <v>3.15</v>
      </c>
      <c r="L35" s="258">
        <v>0.3</v>
      </c>
      <c r="M35" s="258">
        <f t="shared" si="30"/>
        <v>0.3</v>
      </c>
      <c r="N35" s="251">
        <f t="shared" si="31"/>
        <v>1.05</v>
      </c>
      <c r="O35" s="314">
        <v>0.1</v>
      </c>
      <c r="P35" s="258">
        <f t="shared" si="32"/>
        <v>0.1</v>
      </c>
      <c r="Q35" s="249"/>
      <c r="R35" s="249">
        <v>10.5</v>
      </c>
      <c r="S35" s="250">
        <v>0.2</v>
      </c>
      <c r="T35" s="169">
        <f t="shared" si="33"/>
        <v>0</v>
      </c>
      <c r="U35" s="315">
        <f t="shared" si="34"/>
        <v>12.6</v>
      </c>
      <c r="V35" s="315">
        <f t="shared" si="35"/>
        <v>13</v>
      </c>
      <c r="W35" s="316">
        <f t="shared" si="24"/>
        <v>0</v>
      </c>
    </row>
    <row r="36" spans="1:23" x14ac:dyDescent="0.25">
      <c r="A36" s="200">
        <v>202045</v>
      </c>
      <c r="B36" s="313" t="s">
        <v>18975</v>
      </c>
      <c r="C36" s="248"/>
      <c r="D36" s="247" t="s">
        <v>7</v>
      </c>
      <c r="E36" s="249">
        <f t="shared" si="25"/>
        <v>6</v>
      </c>
      <c r="F36" s="258">
        <v>0.6</v>
      </c>
      <c r="G36" s="258">
        <f t="shared" si="26"/>
        <v>0.6</v>
      </c>
      <c r="H36" s="249">
        <f t="shared" si="27"/>
        <v>0</v>
      </c>
      <c r="I36" s="258"/>
      <c r="J36" s="258">
        <f t="shared" si="28"/>
        <v>0</v>
      </c>
      <c r="K36" s="249">
        <f t="shared" si="29"/>
        <v>3</v>
      </c>
      <c r="L36" s="258">
        <v>0.3</v>
      </c>
      <c r="M36" s="258">
        <f t="shared" si="30"/>
        <v>0.3</v>
      </c>
      <c r="N36" s="251">
        <f t="shared" si="31"/>
        <v>1</v>
      </c>
      <c r="O36" s="314">
        <v>0.1</v>
      </c>
      <c r="P36" s="258">
        <f t="shared" si="32"/>
        <v>0.1</v>
      </c>
      <c r="Q36" s="249"/>
      <c r="R36" s="249">
        <v>10</v>
      </c>
      <c r="S36" s="250">
        <v>0.2</v>
      </c>
      <c r="T36" s="169">
        <f t="shared" si="33"/>
        <v>0</v>
      </c>
      <c r="U36" s="315">
        <f t="shared" si="34"/>
        <v>12</v>
      </c>
      <c r="V36" s="315">
        <f t="shared" si="35"/>
        <v>12</v>
      </c>
      <c r="W36" s="316">
        <f t="shared" si="24"/>
        <v>0</v>
      </c>
    </row>
    <row r="37" spans="1:23" x14ac:dyDescent="0.25">
      <c r="A37" s="200">
        <v>202045</v>
      </c>
      <c r="B37" s="313" t="s">
        <v>18976</v>
      </c>
      <c r="C37" s="248"/>
      <c r="D37" s="247" t="s">
        <v>7</v>
      </c>
      <c r="E37" s="249">
        <f t="shared" si="25"/>
        <v>5.7</v>
      </c>
      <c r="F37" s="258">
        <v>0.6</v>
      </c>
      <c r="G37" s="258">
        <f t="shared" si="26"/>
        <v>0.6</v>
      </c>
      <c r="H37" s="249">
        <f t="shared" si="27"/>
        <v>0</v>
      </c>
      <c r="I37" s="258"/>
      <c r="J37" s="258">
        <f t="shared" si="28"/>
        <v>0</v>
      </c>
      <c r="K37" s="249">
        <f t="shared" si="29"/>
        <v>2.85</v>
      </c>
      <c r="L37" s="258">
        <v>0.3</v>
      </c>
      <c r="M37" s="258">
        <f t="shared" si="30"/>
        <v>0.3</v>
      </c>
      <c r="N37" s="251">
        <f t="shared" si="31"/>
        <v>0.95000000000000007</v>
      </c>
      <c r="O37" s="314">
        <v>0.1</v>
      </c>
      <c r="P37" s="258">
        <f t="shared" si="32"/>
        <v>0.1</v>
      </c>
      <c r="Q37" s="249"/>
      <c r="R37" s="249">
        <v>9.5</v>
      </c>
      <c r="S37" s="250">
        <v>0.2</v>
      </c>
      <c r="T37" s="169">
        <f t="shared" si="33"/>
        <v>0</v>
      </c>
      <c r="U37" s="315">
        <f t="shared" si="34"/>
        <v>11.4</v>
      </c>
      <c r="V37" s="315">
        <f t="shared" si="35"/>
        <v>12</v>
      </c>
      <c r="W37" s="316">
        <f t="shared" si="24"/>
        <v>0</v>
      </c>
    </row>
    <row r="38" spans="1:23" x14ac:dyDescent="0.25">
      <c r="A38" s="200">
        <v>202470</v>
      </c>
      <c r="B38" s="313" t="s">
        <v>16133</v>
      </c>
      <c r="C38" s="248"/>
      <c r="D38" s="247" t="s">
        <v>11</v>
      </c>
      <c r="E38" s="249">
        <f t="shared" si="25"/>
        <v>0</v>
      </c>
      <c r="F38" s="258"/>
      <c r="G38" s="258">
        <f t="shared" si="26"/>
        <v>0</v>
      </c>
      <c r="H38" s="249">
        <f t="shared" si="27"/>
        <v>0</v>
      </c>
      <c r="I38" s="258"/>
      <c r="J38" s="258">
        <f t="shared" si="28"/>
        <v>0</v>
      </c>
      <c r="K38" s="249">
        <f t="shared" si="29"/>
        <v>0</v>
      </c>
      <c r="L38" s="258"/>
      <c r="M38" s="258">
        <f t="shared" si="30"/>
        <v>0</v>
      </c>
      <c r="N38" s="251">
        <f t="shared" si="31"/>
        <v>0</v>
      </c>
      <c r="O38" s="314"/>
      <c r="P38" s="258">
        <f t="shared" si="32"/>
        <v>0</v>
      </c>
      <c r="Q38" s="249"/>
      <c r="R38" s="249">
        <v>300</v>
      </c>
      <c r="S38" s="250">
        <v>0.2</v>
      </c>
      <c r="T38" s="169">
        <f t="shared" si="33"/>
        <v>0</v>
      </c>
      <c r="U38" s="315">
        <f t="shared" si="34"/>
        <v>360</v>
      </c>
      <c r="V38" s="315">
        <f t="shared" si="35"/>
        <v>360</v>
      </c>
      <c r="W38" s="316">
        <f t="shared" si="24"/>
        <v>0</v>
      </c>
    </row>
    <row r="39" spans="1:23" x14ac:dyDescent="0.25">
      <c r="A39" s="200">
        <v>202470</v>
      </c>
      <c r="B39" s="313" t="s">
        <v>16134</v>
      </c>
      <c r="C39" s="248"/>
      <c r="D39" s="247" t="s">
        <v>11</v>
      </c>
      <c r="E39" s="249">
        <f t="shared" si="25"/>
        <v>0</v>
      </c>
      <c r="F39" s="258"/>
      <c r="G39" s="258">
        <f t="shared" si="26"/>
        <v>0</v>
      </c>
      <c r="H39" s="249">
        <f t="shared" si="27"/>
        <v>0</v>
      </c>
      <c r="I39" s="258"/>
      <c r="J39" s="258">
        <f t="shared" si="28"/>
        <v>0</v>
      </c>
      <c r="K39" s="249">
        <f t="shared" si="29"/>
        <v>0</v>
      </c>
      <c r="L39" s="258"/>
      <c r="M39" s="258">
        <f t="shared" si="30"/>
        <v>0</v>
      </c>
      <c r="N39" s="251">
        <f t="shared" si="31"/>
        <v>0</v>
      </c>
      <c r="O39" s="314"/>
      <c r="P39" s="258">
        <f t="shared" si="32"/>
        <v>0</v>
      </c>
      <c r="Q39" s="249"/>
      <c r="R39" s="249">
        <v>200</v>
      </c>
      <c r="S39" s="250">
        <v>0.2</v>
      </c>
      <c r="T39" s="169">
        <f t="shared" si="33"/>
        <v>0</v>
      </c>
      <c r="U39" s="315">
        <f t="shared" si="34"/>
        <v>240</v>
      </c>
      <c r="V39" s="315">
        <f t="shared" si="35"/>
        <v>240</v>
      </c>
      <c r="W39" s="316">
        <f t="shared" si="24"/>
        <v>0</v>
      </c>
    </row>
    <row r="40" spans="1:23" x14ac:dyDescent="0.25">
      <c r="A40" s="200">
        <v>202662</v>
      </c>
      <c r="B40" s="313" t="s">
        <v>16135</v>
      </c>
      <c r="C40" s="248"/>
      <c r="D40" s="247" t="s">
        <v>11</v>
      </c>
      <c r="E40" s="249">
        <f t="shared" si="25"/>
        <v>0</v>
      </c>
      <c r="F40" s="258"/>
      <c r="G40" s="258">
        <f t="shared" si="26"/>
        <v>0</v>
      </c>
      <c r="H40" s="249">
        <f t="shared" si="27"/>
        <v>0</v>
      </c>
      <c r="I40" s="258"/>
      <c r="J40" s="258">
        <f t="shared" si="28"/>
        <v>0</v>
      </c>
      <c r="K40" s="249">
        <f t="shared" si="29"/>
        <v>0</v>
      </c>
      <c r="L40" s="258"/>
      <c r="M40" s="258">
        <f t="shared" si="30"/>
        <v>0</v>
      </c>
      <c r="N40" s="251">
        <f t="shared" si="31"/>
        <v>0</v>
      </c>
      <c r="O40" s="314"/>
      <c r="P40" s="258">
        <f t="shared" si="32"/>
        <v>0</v>
      </c>
      <c r="Q40" s="249"/>
      <c r="R40" s="249">
        <v>500</v>
      </c>
      <c r="S40" s="250">
        <v>0.35</v>
      </c>
      <c r="T40" s="169">
        <f t="shared" si="33"/>
        <v>0</v>
      </c>
      <c r="U40" s="315">
        <f t="shared" si="34"/>
        <v>675</v>
      </c>
      <c r="V40" s="315">
        <f t="shared" si="35"/>
        <v>675</v>
      </c>
      <c r="W40" s="316">
        <f t="shared" si="24"/>
        <v>0</v>
      </c>
    </row>
    <row r="41" spans="1:23" x14ac:dyDescent="0.25">
      <c r="A41" s="200">
        <v>202662</v>
      </c>
      <c r="B41" s="313" t="s">
        <v>16136</v>
      </c>
      <c r="C41" s="248"/>
      <c r="D41" s="247" t="s">
        <v>11</v>
      </c>
      <c r="E41" s="249">
        <f t="shared" si="25"/>
        <v>0</v>
      </c>
      <c r="F41" s="258"/>
      <c r="G41" s="258">
        <f t="shared" si="26"/>
        <v>0</v>
      </c>
      <c r="H41" s="249">
        <f t="shared" si="27"/>
        <v>0</v>
      </c>
      <c r="I41" s="258"/>
      <c r="J41" s="258">
        <f t="shared" si="28"/>
        <v>0</v>
      </c>
      <c r="K41" s="249">
        <f t="shared" si="29"/>
        <v>0</v>
      </c>
      <c r="L41" s="258"/>
      <c r="M41" s="258">
        <f t="shared" si="30"/>
        <v>0</v>
      </c>
      <c r="N41" s="251">
        <f t="shared" si="31"/>
        <v>0</v>
      </c>
      <c r="O41" s="314"/>
      <c r="P41" s="258">
        <f t="shared" si="32"/>
        <v>0</v>
      </c>
      <c r="Q41" s="249"/>
      <c r="R41" s="249">
        <v>400</v>
      </c>
      <c r="S41" s="250">
        <v>0.35</v>
      </c>
      <c r="T41" s="169">
        <f t="shared" si="33"/>
        <v>0</v>
      </c>
      <c r="U41" s="315">
        <f t="shared" si="34"/>
        <v>540</v>
      </c>
      <c r="V41" s="315">
        <f t="shared" si="35"/>
        <v>540</v>
      </c>
      <c r="W41" s="316">
        <f t="shared" si="24"/>
        <v>0</v>
      </c>
    </row>
    <row r="42" spans="1:23" x14ac:dyDescent="0.25">
      <c r="A42" s="200">
        <v>202767</v>
      </c>
      <c r="B42" s="313" t="s">
        <v>20063</v>
      </c>
      <c r="C42" s="248"/>
      <c r="D42" s="247" t="s">
        <v>2</v>
      </c>
      <c r="E42" s="249">
        <f t="shared" si="25"/>
        <v>6.6420000000000003</v>
      </c>
      <c r="F42" s="258">
        <v>0.64800000000000002</v>
      </c>
      <c r="G42" s="258">
        <f t="shared" si="26"/>
        <v>0.64800000000000002</v>
      </c>
      <c r="H42" s="249">
        <f t="shared" si="27"/>
        <v>0</v>
      </c>
      <c r="I42" s="258"/>
      <c r="J42" s="258">
        <f t="shared" si="28"/>
        <v>0</v>
      </c>
      <c r="K42" s="249">
        <f t="shared" si="29"/>
        <v>3.6079999999999997</v>
      </c>
      <c r="L42" s="258">
        <v>0.35199999999999998</v>
      </c>
      <c r="M42" s="258">
        <f t="shared" si="30"/>
        <v>0.35199999999999998</v>
      </c>
      <c r="N42" s="251">
        <f t="shared" si="31"/>
        <v>0</v>
      </c>
      <c r="O42" s="314"/>
      <c r="P42" s="258">
        <f t="shared" si="32"/>
        <v>0</v>
      </c>
      <c r="Q42" s="249"/>
      <c r="R42" s="249">
        <v>10.25</v>
      </c>
      <c r="S42" s="250">
        <v>0.2</v>
      </c>
      <c r="T42" s="169">
        <f t="shared" si="33"/>
        <v>0</v>
      </c>
      <c r="U42" s="315">
        <f t="shared" si="34"/>
        <v>12.3</v>
      </c>
      <c r="V42" s="315">
        <f t="shared" si="35"/>
        <v>13</v>
      </c>
      <c r="W42" s="316">
        <f t="shared" si="24"/>
        <v>0</v>
      </c>
    </row>
    <row r="43" spans="1:23" x14ac:dyDescent="0.25">
      <c r="A43" s="200">
        <v>202767</v>
      </c>
      <c r="B43" s="313" t="s">
        <v>18908</v>
      </c>
      <c r="C43" s="248"/>
      <c r="D43" s="247" t="s">
        <v>2</v>
      </c>
      <c r="E43" s="249">
        <f t="shared" si="25"/>
        <v>4.4792399999999999</v>
      </c>
      <c r="F43" s="258">
        <v>0.65200000000000002</v>
      </c>
      <c r="G43" s="258">
        <f t="shared" si="26"/>
        <v>0.65200000000000002</v>
      </c>
      <c r="H43" s="249">
        <f t="shared" si="27"/>
        <v>0</v>
      </c>
      <c r="I43" s="258"/>
      <c r="J43" s="258">
        <f t="shared" si="28"/>
        <v>0</v>
      </c>
      <c r="K43" s="249">
        <f t="shared" si="29"/>
        <v>2.3907599999999998</v>
      </c>
      <c r="L43" s="258">
        <v>0.34799999999999998</v>
      </c>
      <c r="M43" s="258">
        <f t="shared" si="30"/>
        <v>0.34799999999999998</v>
      </c>
      <c r="N43" s="251">
        <f t="shared" si="31"/>
        <v>0</v>
      </c>
      <c r="O43" s="314"/>
      <c r="P43" s="258">
        <f t="shared" si="32"/>
        <v>0</v>
      </c>
      <c r="Q43" s="249"/>
      <c r="R43" s="249">
        <v>6.87</v>
      </c>
      <c r="S43" s="250">
        <v>0.2</v>
      </c>
      <c r="T43" s="169">
        <f t="shared" si="33"/>
        <v>0</v>
      </c>
      <c r="U43" s="315">
        <f t="shared" si="34"/>
        <v>8.2439999999999998</v>
      </c>
      <c r="V43" s="315">
        <f t="shared" si="35"/>
        <v>9</v>
      </c>
      <c r="W43" s="316">
        <f t="shared" si="24"/>
        <v>0</v>
      </c>
    </row>
    <row r="44" spans="1:23" x14ac:dyDescent="0.25">
      <c r="A44" s="200">
        <v>202900</v>
      </c>
      <c r="B44" s="313" t="s">
        <v>16130</v>
      </c>
      <c r="C44" s="248"/>
      <c r="D44" s="247" t="s">
        <v>15276</v>
      </c>
      <c r="E44" s="249">
        <f t="shared" si="25"/>
        <v>46.872</v>
      </c>
      <c r="F44" s="258">
        <v>0.45</v>
      </c>
      <c r="G44" s="258">
        <f t="shared" si="26"/>
        <v>0.45</v>
      </c>
      <c r="H44" s="249">
        <f t="shared" si="27"/>
        <v>41.664000000000001</v>
      </c>
      <c r="I44" s="258">
        <v>0.4</v>
      </c>
      <c r="J44" s="258">
        <f t="shared" si="28"/>
        <v>0.4</v>
      </c>
      <c r="K44" s="249">
        <f t="shared" si="29"/>
        <v>10.416</v>
      </c>
      <c r="L44" s="258">
        <v>0.1</v>
      </c>
      <c r="M44" s="258">
        <f t="shared" si="30"/>
        <v>0.1</v>
      </c>
      <c r="N44" s="251">
        <f t="shared" si="31"/>
        <v>5.2080000000000002</v>
      </c>
      <c r="O44" s="314">
        <v>0.05</v>
      </c>
      <c r="P44" s="258">
        <f t="shared" si="32"/>
        <v>0.05</v>
      </c>
      <c r="Q44" s="249"/>
      <c r="R44" s="249">
        <v>104.16</v>
      </c>
      <c r="S44" s="250">
        <v>0.2</v>
      </c>
      <c r="T44" s="169">
        <f t="shared" si="33"/>
        <v>0</v>
      </c>
      <c r="U44" s="315">
        <f t="shared" si="34"/>
        <v>124.99199999999999</v>
      </c>
      <c r="V44" s="315">
        <f t="shared" si="35"/>
        <v>125</v>
      </c>
      <c r="W44" s="316">
        <f t="shared" si="24"/>
        <v>0</v>
      </c>
    </row>
    <row r="45" spans="1:23" x14ac:dyDescent="0.25">
      <c r="A45" s="199" t="s">
        <v>14553</v>
      </c>
      <c r="B45" s="307" t="s">
        <v>14554</v>
      </c>
      <c r="C45" s="308"/>
      <c r="D45" s="309"/>
      <c r="E45" s="310"/>
      <c r="F45" s="311"/>
      <c r="G45" s="311"/>
      <c r="H45" s="310"/>
      <c r="I45" s="311"/>
      <c r="J45" s="311"/>
      <c r="K45" s="310"/>
      <c r="L45" s="311"/>
      <c r="M45" s="311"/>
      <c r="N45" s="310"/>
      <c r="O45" s="311"/>
      <c r="P45" s="311"/>
      <c r="Q45" s="310"/>
      <c r="R45" s="310"/>
      <c r="S45" s="309"/>
      <c r="T45" s="309"/>
      <c r="U45" s="309"/>
      <c r="V45" s="309"/>
      <c r="W45" s="312"/>
    </row>
    <row r="46" spans="1:23" x14ac:dyDescent="0.25">
      <c r="A46" s="200">
        <v>205030</v>
      </c>
      <c r="B46" s="313" t="s">
        <v>20064</v>
      </c>
      <c r="C46" s="248"/>
      <c r="D46" s="247" t="s">
        <v>1</v>
      </c>
      <c r="E46" s="249">
        <f t="shared" si="0"/>
        <v>0.70348437500000016</v>
      </c>
      <c r="F46" s="258">
        <v>0.55000000000000004</v>
      </c>
      <c r="G46" s="258">
        <f t="shared" si="1"/>
        <v>0.55000000000000004</v>
      </c>
      <c r="H46" s="249">
        <f t="shared" si="2"/>
        <v>0.12790625000000003</v>
      </c>
      <c r="I46" s="258">
        <v>0.1</v>
      </c>
      <c r="J46" s="258">
        <f t="shared" si="3"/>
        <v>0.1</v>
      </c>
      <c r="K46" s="249">
        <f t="shared" si="4"/>
        <v>0.44767187500000005</v>
      </c>
      <c r="L46" s="258">
        <v>0.35</v>
      </c>
      <c r="M46" s="258">
        <f t="shared" si="5"/>
        <v>0.35</v>
      </c>
      <c r="N46" s="251">
        <f t="shared" si="6"/>
        <v>0</v>
      </c>
      <c r="O46" s="314"/>
      <c r="P46" s="258">
        <f t="shared" si="7"/>
        <v>0</v>
      </c>
      <c r="Q46" s="249">
        <v>1.25</v>
      </c>
      <c r="R46" s="249">
        <f t="shared" si="8"/>
        <v>1.2790625000000002</v>
      </c>
      <c r="S46" s="258">
        <v>0.2</v>
      </c>
      <c r="T46" s="169">
        <f>Q46+Q46*S46</f>
        <v>1.5</v>
      </c>
      <c r="U46" s="315">
        <f t="shared" si="9"/>
        <v>1.5348750000000002</v>
      </c>
      <c r="V46" s="315">
        <f t="shared" si="10"/>
        <v>2</v>
      </c>
      <c r="W46" s="316">
        <f t="shared" si="12"/>
        <v>0</v>
      </c>
    </row>
    <row r="47" spans="1:23" ht="14.4" thickBot="1" x14ac:dyDescent="0.3">
      <c r="A47" s="263">
        <v>205030</v>
      </c>
      <c r="B47" s="321" t="s">
        <v>20065</v>
      </c>
      <c r="C47" s="265"/>
      <c r="D47" s="264" t="s">
        <v>1</v>
      </c>
      <c r="E47" s="266">
        <f t="shared" si="0"/>
        <v>0.62469412500000021</v>
      </c>
      <c r="F47" s="322">
        <v>0.55000000000000004</v>
      </c>
      <c r="G47" s="322">
        <f t="shared" si="1"/>
        <v>0.55000000000000004</v>
      </c>
      <c r="H47" s="266">
        <f t="shared" si="2"/>
        <v>0.11358075000000004</v>
      </c>
      <c r="I47" s="322">
        <v>0.1</v>
      </c>
      <c r="J47" s="322">
        <f t="shared" si="3"/>
        <v>0.1</v>
      </c>
      <c r="K47" s="266">
        <f t="shared" si="4"/>
        <v>0.39753262500000008</v>
      </c>
      <c r="L47" s="322">
        <v>0.35</v>
      </c>
      <c r="M47" s="322">
        <f t="shared" si="5"/>
        <v>0.35</v>
      </c>
      <c r="N47" s="270">
        <f t="shared" si="6"/>
        <v>0</v>
      </c>
      <c r="O47" s="323"/>
      <c r="P47" s="322">
        <f t="shared" si="7"/>
        <v>0</v>
      </c>
      <c r="Q47" s="266">
        <v>1.1100000000000001</v>
      </c>
      <c r="R47" s="266">
        <f t="shared" si="8"/>
        <v>1.1358075000000003</v>
      </c>
      <c r="S47" s="322">
        <v>0.2</v>
      </c>
      <c r="T47" s="291">
        <f>Q47+Q47*S47</f>
        <v>1.3320000000000001</v>
      </c>
      <c r="U47" s="324">
        <f t="shared" si="9"/>
        <v>1.3629690000000003</v>
      </c>
      <c r="V47" s="324">
        <f t="shared" si="10"/>
        <v>2</v>
      </c>
      <c r="W47" s="325">
        <f t="shared" si="12"/>
        <v>0</v>
      </c>
    </row>
    <row r="48" spans="1:23" x14ac:dyDescent="0.25">
      <c r="A48" s="200">
        <v>205040</v>
      </c>
      <c r="B48" s="313" t="s">
        <v>20066</v>
      </c>
      <c r="C48" s="248"/>
      <c r="D48" s="247" t="s">
        <v>1</v>
      </c>
      <c r="E48" s="249">
        <f t="shared" si="0"/>
        <v>0.60760260000000021</v>
      </c>
      <c r="F48" s="258">
        <v>0.55000000000000004</v>
      </c>
      <c r="G48" s="258">
        <f t="shared" si="1"/>
        <v>0.55000000000000004</v>
      </c>
      <c r="H48" s="249">
        <f t="shared" si="2"/>
        <v>0.16570980000000005</v>
      </c>
      <c r="I48" s="258">
        <v>0.15</v>
      </c>
      <c r="J48" s="258">
        <f t="shared" si="3"/>
        <v>0.15</v>
      </c>
      <c r="K48" s="249">
        <f t="shared" si="4"/>
        <v>0.33141960000000009</v>
      </c>
      <c r="L48" s="258">
        <v>0.3</v>
      </c>
      <c r="M48" s="258">
        <f t="shared" si="5"/>
        <v>0.3</v>
      </c>
      <c r="N48" s="251">
        <f t="shared" si="6"/>
        <v>0</v>
      </c>
      <c r="O48" s="314"/>
      <c r="P48" s="258">
        <f t="shared" si="7"/>
        <v>0</v>
      </c>
      <c r="Q48" s="249">
        <v>1.08</v>
      </c>
      <c r="R48" s="249">
        <f t="shared" si="8"/>
        <v>1.1047320000000003</v>
      </c>
      <c r="S48" s="258">
        <v>0.2</v>
      </c>
      <c r="T48" s="169">
        <f>Q48+Q48*S48</f>
        <v>1.296</v>
      </c>
      <c r="U48" s="315">
        <f t="shared" si="9"/>
        <v>1.3256784000000004</v>
      </c>
      <c r="V48" s="315">
        <f t="shared" si="10"/>
        <v>2</v>
      </c>
      <c r="W48" s="316">
        <f t="shared" si="12"/>
        <v>0</v>
      </c>
    </row>
    <row r="49" spans="1:23" x14ac:dyDescent="0.25">
      <c r="A49" s="200">
        <v>205050</v>
      </c>
      <c r="B49" s="313" t="s">
        <v>20067</v>
      </c>
      <c r="C49" s="248"/>
      <c r="D49" s="247" t="s">
        <v>4</v>
      </c>
      <c r="E49" s="249">
        <f t="shared" si="0"/>
        <v>0.70324375000000017</v>
      </c>
      <c r="F49" s="258">
        <v>0.55000000000000004</v>
      </c>
      <c r="G49" s="258">
        <f t="shared" si="1"/>
        <v>0.55000000000000004</v>
      </c>
      <c r="H49" s="249">
        <f t="shared" si="2"/>
        <v>0.19179375000000001</v>
      </c>
      <c r="I49" s="258">
        <v>0.15</v>
      </c>
      <c r="J49" s="258">
        <f t="shared" si="3"/>
        <v>0.15</v>
      </c>
      <c r="K49" s="249">
        <f t="shared" si="4"/>
        <v>0.38358750000000003</v>
      </c>
      <c r="L49" s="258">
        <v>0.3</v>
      </c>
      <c r="M49" s="258">
        <f t="shared" si="5"/>
        <v>0.3</v>
      </c>
      <c r="N49" s="251">
        <f t="shared" si="6"/>
        <v>0</v>
      </c>
      <c r="O49" s="314"/>
      <c r="P49" s="258">
        <f t="shared" si="7"/>
        <v>0</v>
      </c>
      <c r="Q49" s="249">
        <v>1.25</v>
      </c>
      <c r="R49" s="249">
        <f t="shared" si="8"/>
        <v>1.2786250000000001</v>
      </c>
      <c r="S49" s="258">
        <v>0.2</v>
      </c>
      <c r="T49" s="169">
        <f>Q49+Q49*S49</f>
        <v>1.5</v>
      </c>
      <c r="U49" s="315">
        <f t="shared" si="9"/>
        <v>1.5343500000000001</v>
      </c>
      <c r="V49" s="315">
        <f t="shared" si="10"/>
        <v>2</v>
      </c>
      <c r="W49" s="316">
        <f t="shared" si="12"/>
        <v>0</v>
      </c>
    </row>
    <row r="50" spans="1:23" x14ac:dyDescent="0.25">
      <c r="A50" s="199" t="s">
        <v>14866</v>
      </c>
      <c r="B50" s="307" t="s">
        <v>14867</v>
      </c>
      <c r="C50" s="308"/>
      <c r="D50" s="309"/>
      <c r="E50" s="310"/>
      <c r="F50" s="311"/>
      <c r="G50" s="311"/>
      <c r="H50" s="310"/>
      <c r="I50" s="311"/>
      <c r="J50" s="311"/>
      <c r="K50" s="310"/>
      <c r="L50" s="311"/>
      <c r="M50" s="311"/>
      <c r="N50" s="310"/>
      <c r="O50" s="311"/>
      <c r="P50" s="311"/>
      <c r="Q50" s="310"/>
      <c r="R50" s="310"/>
      <c r="S50" s="309"/>
      <c r="T50" s="309"/>
      <c r="U50" s="309"/>
      <c r="V50" s="309"/>
      <c r="W50" s="312"/>
    </row>
    <row r="51" spans="1:23" x14ac:dyDescent="0.25">
      <c r="A51" s="200">
        <v>230100</v>
      </c>
      <c r="B51" s="313" t="s">
        <v>20068</v>
      </c>
      <c r="C51" s="248"/>
      <c r="D51" s="247" t="s">
        <v>2</v>
      </c>
      <c r="E51" s="249">
        <f t="shared" si="0"/>
        <v>5.7239565217391322</v>
      </c>
      <c r="F51" s="258">
        <v>0.1</v>
      </c>
      <c r="G51" s="258">
        <f t="shared" si="1"/>
        <v>0.1</v>
      </c>
      <c r="H51" s="249">
        <f t="shared" si="2"/>
        <v>0</v>
      </c>
      <c r="I51" s="314"/>
      <c r="J51" s="258">
        <f t="shared" si="3"/>
        <v>0</v>
      </c>
      <c r="K51" s="249">
        <f t="shared" si="4"/>
        <v>0</v>
      </c>
      <c r="L51" s="314"/>
      <c r="M51" s="258">
        <f t="shared" si="5"/>
        <v>0</v>
      </c>
      <c r="N51" s="251">
        <f t="shared" si="6"/>
        <v>51.515608695652183</v>
      </c>
      <c r="O51" s="314">
        <v>0.9</v>
      </c>
      <c r="P51" s="258">
        <f t="shared" si="7"/>
        <v>0.9</v>
      </c>
      <c r="Q51" s="249">
        <v>56.521739130434788</v>
      </c>
      <c r="R51" s="249">
        <f t="shared" si="8"/>
        <v>57.239565217391316</v>
      </c>
      <c r="S51" s="250">
        <v>0.15</v>
      </c>
      <c r="T51" s="169">
        <v>65</v>
      </c>
      <c r="U51" s="315">
        <f t="shared" si="9"/>
        <v>65.825500000000019</v>
      </c>
      <c r="V51" s="315">
        <f t="shared" si="10"/>
        <v>66</v>
      </c>
      <c r="W51" s="316">
        <f t="shared" si="12"/>
        <v>0</v>
      </c>
    </row>
    <row r="52" spans="1:23" x14ac:dyDescent="0.25">
      <c r="A52" s="200">
        <v>230101</v>
      </c>
      <c r="B52" s="313" t="s">
        <v>20069</v>
      </c>
      <c r="C52" s="248"/>
      <c r="D52" s="247" t="s">
        <v>2</v>
      </c>
      <c r="E52" s="249">
        <f t="shared" si="0"/>
        <v>7.4851739130434796</v>
      </c>
      <c r="F52" s="258">
        <v>0.1</v>
      </c>
      <c r="G52" s="258">
        <f t="shared" si="1"/>
        <v>0.1</v>
      </c>
      <c r="H52" s="249">
        <f t="shared" si="2"/>
        <v>0</v>
      </c>
      <c r="I52" s="314"/>
      <c r="J52" s="258">
        <f t="shared" si="3"/>
        <v>0</v>
      </c>
      <c r="K52" s="249">
        <f t="shared" si="4"/>
        <v>0</v>
      </c>
      <c r="L52" s="314"/>
      <c r="M52" s="258">
        <f t="shared" si="5"/>
        <v>0</v>
      </c>
      <c r="N52" s="251">
        <f t="shared" si="6"/>
        <v>67.366565217391312</v>
      </c>
      <c r="O52" s="314">
        <v>0.9</v>
      </c>
      <c r="P52" s="258">
        <f t="shared" si="7"/>
        <v>0.9</v>
      </c>
      <c r="Q52" s="249">
        <v>73.913043478260875</v>
      </c>
      <c r="R52" s="249">
        <f t="shared" si="8"/>
        <v>74.851739130434794</v>
      </c>
      <c r="S52" s="250">
        <v>0.15</v>
      </c>
      <c r="T52" s="169">
        <v>85</v>
      </c>
      <c r="U52" s="315">
        <f t="shared" si="9"/>
        <v>86.07950000000001</v>
      </c>
      <c r="V52" s="315">
        <f t="shared" si="10"/>
        <v>87</v>
      </c>
      <c r="W52" s="316">
        <f t="shared" si="12"/>
        <v>0</v>
      </c>
    </row>
    <row r="53" spans="1:23" x14ac:dyDescent="0.25">
      <c r="A53" s="200">
        <v>230102</v>
      </c>
      <c r="B53" s="313" t="s">
        <v>20070</v>
      </c>
      <c r="C53" s="248"/>
      <c r="D53" s="247" t="s">
        <v>2</v>
      </c>
      <c r="E53" s="249">
        <f t="shared" si="0"/>
        <v>9.6866956521739169</v>
      </c>
      <c r="F53" s="258">
        <v>0.1</v>
      </c>
      <c r="G53" s="258">
        <f t="shared" si="1"/>
        <v>0.1</v>
      </c>
      <c r="H53" s="249">
        <f t="shared" si="2"/>
        <v>0</v>
      </c>
      <c r="I53" s="314"/>
      <c r="J53" s="258">
        <f t="shared" si="3"/>
        <v>0</v>
      </c>
      <c r="K53" s="249">
        <f t="shared" si="4"/>
        <v>0</v>
      </c>
      <c r="L53" s="314"/>
      <c r="M53" s="258">
        <f t="shared" si="5"/>
        <v>0</v>
      </c>
      <c r="N53" s="251">
        <f t="shared" si="6"/>
        <v>87.180260869565245</v>
      </c>
      <c r="O53" s="314">
        <v>0.9</v>
      </c>
      <c r="P53" s="258">
        <f t="shared" si="7"/>
        <v>0.9</v>
      </c>
      <c r="Q53" s="249">
        <v>95.652173913043484</v>
      </c>
      <c r="R53" s="249">
        <f t="shared" si="8"/>
        <v>96.866956521739155</v>
      </c>
      <c r="S53" s="250">
        <v>0.15</v>
      </c>
      <c r="T53" s="169">
        <v>110</v>
      </c>
      <c r="U53" s="315">
        <f t="shared" si="9"/>
        <v>111.39700000000002</v>
      </c>
      <c r="V53" s="315">
        <f t="shared" si="10"/>
        <v>115</v>
      </c>
      <c r="W53" s="316">
        <f t="shared" si="12"/>
        <v>0</v>
      </c>
    </row>
    <row r="54" spans="1:23" x14ac:dyDescent="0.25">
      <c r="A54" s="200">
        <v>230202</v>
      </c>
      <c r="B54" s="313" t="s">
        <v>20071</v>
      </c>
      <c r="C54" s="248"/>
      <c r="D54" s="247" t="s">
        <v>2</v>
      </c>
      <c r="E54" s="249">
        <f t="shared" si="0"/>
        <v>2.2015217391304351</v>
      </c>
      <c r="F54" s="258">
        <v>0.1</v>
      </c>
      <c r="G54" s="258">
        <f t="shared" si="1"/>
        <v>0.1</v>
      </c>
      <c r="H54" s="249">
        <f t="shared" si="2"/>
        <v>0</v>
      </c>
      <c r="I54" s="314"/>
      <c r="J54" s="258">
        <f t="shared" si="3"/>
        <v>0</v>
      </c>
      <c r="K54" s="249">
        <f t="shared" si="4"/>
        <v>0</v>
      </c>
      <c r="L54" s="314"/>
      <c r="M54" s="258">
        <f t="shared" si="5"/>
        <v>0</v>
      </c>
      <c r="N54" s="251">
        <f t="shared" si="6"/>
        <v>19.813695652173916</v>
      </c>
      <c r="O54" s="314">
        <v>0.9</v>
      </c>
      <c r="P54" s="258">
        <f t="shared" si="7"/>
        <v>0.9</v>
      </c>
      <c r="Q54" s="249">
        <v>21.739130434782609</v>
      </c>
      <c r="R54" s="249">
        <f t="shared" si="8"/>
        <v>22.015217391304351</v>
      </c>
      <c r="S54" s="250">
        <v>0.15</v>
      </c>
      <c r="T54" s="169">
        <v>25</v>
      </c>
      <c r="U54" s="315">
        <f t="shared" si="9"/>
        <v>25.317500000000003</v>
      </c>
      <c r="V54" s="315">
        <f t="shared" si="10"/>
        <v>26</v>
      </c>
      <c r="W54" s="316">
        <f t="shared" si="12"/>
        <v>0</v>
      </c>
    </row>
    <row r="55" spans="1:23" x14ac:dyDescent="0.25">
      <c r="A55" s="200">
        <v>230203</v>
      </c>
      <c r="B55" s="313" t="s">
        <v>20072</v>
      </c>
      <c r="C55" s="248"/>
      <c r="D55" s="247" t="s">
        <v>2</v>
      </c>
      <c r="E55" s="249">
        <f t="shared" si="0"/>
        <v>3.6985565217391314</v>
      </c>
      <c r="F55" s="258">
        <v>0.1</v>
      </c>
      <c r="G55" s="258">
        <f t="shared" si="1"/>
        <v>0.1</v>
      </c>
      <c r="H55" s="249">
        <f t="shared" si="2"/>
        <v>0</v>
      </c>
      <c r="I55" s="314"/>
      <c r="J55" s="258">
        <f t="shared" si="3"/>
        <v>0</v>
      </c>
      <c r="K55" s="249">
        <f t="shared" si="4"/>
        <v>0</v>
      </c>
      <c r="L55" s="314"/>
      <c r="M55" s="258">
        <f t="shared" si="5"/>
        <v>0</v>
      </c>
      <c r="N55" s="251">
        <f t="shared" si="6"/>
        <v>33.287008695652183</v>
      </c>
      <c r="O55" s="314">
        <v>0.9</v>
      </c>
      <c r="P55" s="258">
        <f t="shared" si="7"/>
        <v>0.9</v>
      </c>
      <c r="Q55" s="249">
        <v>36.521739130434788</v>
      </c>
      <c r="R55" s="249">
        <f t="shared" si="8"/>
        <v>36.985565217391311</v>
      </c>
      <c r="S55" s="250">
        <v>0.15</v>
      </c>
      <c r="T55" s="169">
        <v>42</v>
      </c>
      <c r="U55" s="315">
        <f t="shared" si="9"/>
        <v>42.533400000000007</v>
      </c>
      <c r="V55" s="315">
        <f t="shared" si="10"/>
        <v>43</v>
      </c>
      <c r="W55" s="316">
        <f t="shared" si="12"/>
        <v>0</v>
      </c>
    </row>
    <row r="56" spans="1:23" x14ac:dyDescent="0.25">
      <c r="A56" s="200">
        <v>230204</v>
      </c>
      <c r="B56" s="313" t="s">
        <v>20073</v>
      </c>
      <c r="C56" s="248"/>
      <c r="D56" s="247" t="s">
        <v>2</v>
      </c>
      <c r="E56" s="249">
        <f t="shared" si="0"/>
        <v>4.4030434782608703</v>
      </c>
      <c r="F56" s="258">
        <v>0.1</v>
      </c>
      <c r="G56" s="258">
        <f t="shared" si="1"/>
        <v>0.1</v>
      </c>
      <c r="H56" s="249">
        <f t="shared" si="2"/>
        <v>0</v>
      </c>
      <c r="I56" s="314"/>
      <c r="J56" s="258">
        <f t="shared" si="3"/>
        <v>0</v>
      </c>
      <c r="K56" s="249">
        <f t="shared" si="4"/>
        <v>0</v>
      </c>
      <c r="L56" s="314"/>
      <c r="M56" s="258">
        <f t="shared" si="5"/>
        <v>0</v>
      </c>
      <c r="N56" s="251">
        <f t="shared" si="6"/>
        <v>39.627391304347832</v>
      </c>
      <c r="O56" s="314">
        <v>0.9</v>
      </c>
      <c r="P56" s="258">
        <f t="shared" si="7"/>
        <v>0.9</v>
      </c>
      <c r="Q56" s="249">
        <v>43.478260869565219</v>
      </c>
      <c r="R56" s="249">
        <f t="shared" si="8"/>
        <v>44.030434782608701</v>
      </c>
      <c r="S56" s="250">
        <v>0.15</v>
      </c>
      <c r="T56" s="169">
        <v>50</v>
      </c>
      <c r="U56" s="315">
        <f t="shared" si="9"/>
        <v>50.635000000000005</v>
      </c>
      <c r="V56" s="315">
        <f t="shared" si="10"/>
        <v>51</v>
      </c>
      <c r="W56" s="316">
        <f t="shared" si="12"/>
        <v>0</v>
      </c>
    </row>
    <row r="57" spans="1:23" x14ac:dyDescent="0.25">
      <c r="A57" s="200">
        <v>230205</v>
      </c>
      <c r="B57" s="313" t="s">
        <v>20074</v>
      </c>
      <c r="C57" s="248"/>
      <c r="D57" s="247" t="s">
        <v>2</v>
      </c>
      <c r="E57" s="249">
        <f t="shared" si="0"/>
        <v>5.2836521739130449</v>
      </c>
      <c r="F57" s="258">
        <v>0.1</v>
      </c>
      <c r="G57" s="258">
        <f t="shared" si="1"/>
        <v>0.1</v>
      </c>
      <c r="H57" s="249">
        <f t="shared" si="2"/>
        <v>0</v>
      </c>
      <c r="I57" s="314"/>
      <c r="J57" s="258">
        <f t="shared" si="3"/>
        <v>0</v>
      </c>
      <c r="K57" s="249">
        <f t="shared" si="4"/>
        <v>0</v>
      </c>
      <c r="L57" s="314"/>
      <c r="M57" s="258">
        <f t="shared" si="5"/>
        <v>0</v>
      </c>
      <c r="N57" s="251">
        <f t="shared" si="6"/>
        <v>47.552869565217406</v>
      </c>
      <c r="O57" s="314">
        <v>0.9</v>
      </c>
      <c r="P57" s="258">
        <f t="shared" si="7"/>
        <v>0.9</v>
      </c>
      <c r="Q57" s="249">
        <v>52.173913043478265</v>
      </c>
      <c r="R57" s="249">
        <f t="shared" si="8"/>
        <v>52.836521739130447</v>
      </c>
      <c r="S57" s="250">
        <v>0.15</v>
      </c>
      <c r="T57" s="169">
        <v>60</v>
      </c>
      <c r="U57" s="315">
        <f t="shared" si="9"/>
        <v>60.762000000000015</v>
      </c>
      <c r="V57" s="315">
        <f t="shared" si="10"/>
        <v>61</v>
      </c>
      <c r="W57" s="316">
        <f t="shared" si="12"/>
        <v>0</v>
      </c>
    </row>
    <row r="58" spans="1:23" x14ac:dyDescent="0.25">
      <c r="A58" s="200">
        <v>230206</v>
      </c>
      <c r="B58" s="313" t="s">
        <v>20075</v>
      </c>
      <c r="C58" s="248"/>
      <c r="D58" s="247" t="s">
        <v>2</v>
      </c>
      <c r="E58" s="249">
        <f t="shared" si="0"/>
        <v>6.1642608695652186</v>
      </c>
      <c r="F58" s="258">
        <v>0.1</v>
      </c>
      <c r="G58" s="258">
        <f t="shared" si="1"/>
        <v>0.1</v>
      </c>
      <c r="H58" s="249">
        <f t="shared" si="2"/>
        <v>0</v>
      </c>
      <c r="I58" s="314"/>
      <c r="J58" s="258">
        <f t="shared" si="3"/>
        <v>0</v>
      </c>
      <c r="K58" s="249">
        <f t="shared" si="4"/>
        <v>0</v>
      </c>
      <c r="L58" s="314"/>
      <c r="M58" s="258">
        <f t="shared" si="5"/>
        <v>0</v>
      </c>
      <c r="N58" s="251">
        <f t="shared" si="6"/>
        <v>55.478347826086967</v>
      </c>
      <c r="O58" s="314">
        <v>0.9</v>
      </c>
      <c r="P58" s="258">
        <f t="shared" si="7"/>
        <v>0.9</v>
      </c>
      <c r="Q58" s="249">
        <v>60.869565217391312</v>
      </c>
      <c r="R58" s="249">
        <f t="shared" si="8"/>
        <v>61.642608695652186</v>
      </c>
      <c r="S58" s="250">
        <v>0.15</v>
      </c>
      <c r="T58" s="169">
        <v>70</v>
      </c>
      <c r="U58" s="315">
        <f t="shared" si="9"/>
        <v>70.88900000000001</v>
      </c>
      <c r="V58" s="315">
        <f t="shared" si="10"/>
        <v>71</v>
      </c>
      <c r="W58" s="316">
        <f t="shared" si="12"/>
        <v>0</v>
      </c>
    </row>
    <row r="59" spans="1:23" x14ac:dyDescent="0.25">
      <c r="A59" s="200">
        <v>230208</v>
      </c>
      <c r="B59" s="313" t="s">
        <v>20076</v>
      </c>
      <c r="C59" s="248"/>
      <c r="D59" s="247" t="s">
        <v>2</v>
      </c>
      <c r="E59" s="249">
        <f t="shared" si="0"/>
        <v>7.4851739130434796</v>
      </c>
      <c r="F59" s="258">
        <v>0.1</v>
      </c>
      <c r="G59" s="258">
        <f t="shared" si="1"/>
        <v>0.1</v>
      </c>
      <c r="H59" s="249">
        <f t="shared" si="2"/>
        <v>0</v>
      </c>
      <c r="I59" s="314"/>
      <c r="J59" s="258">
        <f t="shared" si="3"/>
        <v>0</v>
      </c>
      <c r="K59" s="249">
        <f t="shared" si="4"/>
        <v>0</v>
      </c>
      <c r="L59" s="314"/>
      <c r="M59" s="258">
        <f t="shared" si="5"/>
        <v>0</v>
      </c>
      <c r="N59" s="251">
        <f t="shared" si="6"/>
        <v>67.366565217391312</v>
      </c>
      <c r="O59" s="314">
        <v>0.9</v>
      </c>
      <c r="P59" s="258">
        <f t="shared" si="7"/>
        <v>0.9</v>
      </c>
      <c r="Q59" s="249">
        <v>73.913043478260875</v>
      </c>
      <c r="R59" s="249">
        <f t="shared" si="8"/>
        <v>74.851739130434794</v>
      </c>
      <c r="S59" s="250">
        <v>0.15</v>
      </c>
      <c r="T59" s="169">
        <v>85</v>
      </c>
      <c r="U59" s="315">
        <f t="shared" si="9"/>
        <v>86.07950000000001</v>
      </c>
      <c r="V59" s="315">
        <f t="shared" si="10"/>
        <v>87</v>
      </c>
      <c r="W59" s="316">
        <f t="shared" si="12"/>
        <v>0</v>
      </c>
    </row>
    <row r="60" spans="1:23" x14ac:dyDescent="0.25">
      <c r="A60" s="200">
        <v>230210</v>
      </c>
      <c r="B60" s="313" t="s">
        <v>20077</v>
      </c>
      <c r="C60" s="248"/>
      <c r="D60" s="247" t="s">
        <v>2</v>
      </c>
      <c r="E60" s="249">
        <f t="shared" si="0"/>
        <v>8.1016000000000012</v>
      </c>
      <c r="F60" s="258">
        <v>0.1</v>
      </c>
      <c r="G60" s="258">
        <f t="shared" si="1"/>
        <v>0.1</v>
      </c>
      <c r="H60" s="249">
        <f t="shared" si="2"/>
        <v>0</v>
      </c>
      <c r="I60" s="314"/>
      <c r="J60" s="258">
        <f t="shared" si="3"/>
        <v>0</v>
      </c>
      <c r="K60" s="249">
        <f t="shared" si="4"/>
        <v>0</v>
      </c>
      <c r="L60" s="314"/>
      <c r="M60" s="258">
        <f t="shared" si="5"/>
        <v>0</v>
      </c>
      <c r="N60" s="251">
        <f t="shared" si="6"/>
        <v>72.914400000000001</v>
      </c>
      <c r="O60" s="314">
        <v>0.9</v>
      </c>
      <c r="P60" s="258">
        <f t="shared" si="7"/>
        <v>0.9</v>
      </c>
      <c r="Q60" s="249">
        <v>80</v>
      </c>
      <c r="R60" s="249">
        <f t="shared" si="8"/>
        <v>81.016000000000005</v>
      </c>
      <c r="S60" s="250">
        <v>0.15</v>
      </c>
      <c r="T60" s="169">
        <v>92</v>
      </c>
      <c r="U60" s="315">
        <f t="shared" si="9"/>
        <v>93.168400000000005</v>
      </c>
      <c r="V60" s="315">
        <f t="shared" si="10"/>
        <v>94</v>
      </c>
      <c r="W60" s="316">
        <f t="shared" si="12"/>
        <v>0</v>
      </c>
    </row>
    <row r="61" spans="1:23" x14ac:dyDescent="0.25">
      <c r="A61" s="200">
        <v>230212</v>
      </c>
      <c r="B61" s="313" t="s">
        <v>20078</v>
      </c>
      <c r="C61" s="248"/>
      <c r="D61" s="247" t="s">
        <v>2</v>
      </c>
      <c r="E61" s="249">
        <f t="shared" si="0"/>
        <v>8.8060869565217406</v>
      </c>
      <c r="F61" s="258">
        <v>0.1</v>
      </c>
      <c r="G61" s="258">
        <f t="shared" si="1"/>
        <v>0.1</v>
      </c>
      <c r="H61" s="249">
        <f t="shared" si="2"/>
        <v>0</v>
      </c>
      <c r="I61" s="314"/>
      <c r="J61" s="258">
        <f t="shared" si="3"/>
        <v>0</v>
      </c>
      <c r="K61" s="249">
        <f t="shared" si="4"/>
        <v>0</v>
      </c>
      <c r="L61" s="314"/>
      <c r="M61" s="258">
        <f t="shared" si="5"/>
        <v>0</v>
      </c>
      <c r="N61" s="251">
        <f t="shared" si="6"/>
        <v>79.254782608695663</v>
      </c>
      <c r="O61" s="314">
        <v>0.9</v>
      </c>
      <c r="P61" s="258">
        <f t="shared" si="7"/>
        <v>0.9</v>
      </c>
      <c r="Q61" s="249">
        <v>86.956521739130437</v>
      </c>
      <c r="R61" s="249">
        <f t="shared" si="8"/>
        <v>88.060869565217402</v>
      </c>
      <c r="S61" s="250">
        <v>0.15</v>
      </c>
      <c r="T61" s="169">
        <v>100</v>
      </c>
      <c r="U61" s="315">
        <f t="shared" si="9"/>
        <v>101.27000000000001</v>
      </c>
      <c r="V61" s="315">
        <f t="shared" si="10"/>
        <v>105</v>
      </c>
      <c r="W61" s="316">
        <f t="shared" si="12"/>
        <v>0</v>
      </c>
    </row>
    <row r="62" spans="1:23" x14ac:dyDescent="0.25">
      <c r="A62" s="200">
        <v>230218</v>
      </c>
      <c r="B62" s="313" t="s">
        <v>20079</v>
      </c>
      <c r="C62" s="248"/>
      <c r="D62" s="247" t="s">
        <v>2</v>
      </c>
      <c r="E62" s="249">
        <f t="shared" si="0"/>
        <v>10.127000000000002</v>
      </c>
      <c r="F62" s="258">
        <v>0.1</v>
      </c>
      <c r="G62" s="258">
        <f t="shared" si="1"/>
        <v>0.1</v>
      </c>
      <c r="H62" s="249">
        <f t="shared" si="2"/>
        <v>0</v>
      </c>
      <c r="I62" s="314"/>
      <c r="J62" s="258">
        <f t="shared" si="3"/>
        <v>0</v>
      </c>
      <c r="K62" s="249">
        <f t="shared" si="4"/>
        <v>0</v>
      </c>
      <c r="L62" s="314"/>
      <c r="M62" s="258">
        <f t="shared" si="5"/>
        <v>0</v>
      </c>
      <c r="N62" s="251">
        <f t="shared" si="6"/>
        <v>91.143000000000029</v>
      </c>
      <c r="O62" s="314">
        <v>0.9</v>
      </c>
      <c r="P62" s="258">
        <f t="shared" si="7"/>
        <v>0.9</v>
      </c>
      <c r="Q62" s="249">
        <v>100.00000000000001</v>
      </c>
      <c r="R62" s="249">
        <f t="shared" si="8"/>
        <v>101.27000000000002</v>
      </c>
      <c r="S62" s="250">
        <v>0.15</v>
      </c>
      <c r="T62" s="169">
        <v>115</v>
      </c>
      <c r="U62" s="315">
        <f t="shared" si="9"/>
        <v>116.46050000000002</v>
      </c>
      <c r="V62" s="315">
        <f t="shared" si="10"/>
        <v>120</v>
      </c>
      <c r="W62" s="316">
        <f t="shared" si="12"/>
        <v>0</v>
      </c>
    </row>
    <row r="63" spans="1:23" x14ac:dyDescent="0.25">
      <c r="A63" s="200">
        <v>230224</v>
      </c>
      <c r="B63" s="313" t="s">
        <v>20080</v>
      </c>
      <c r="C63" s="248"/>
      <c r="D63" s="247" t="s">
        <v>2</v>
      </c>
      <c r="E63" s="249">
        <f t="shared" si="0"/>
        <v>13.209130434782612</v>
      </c>
      <c r="F63" s="258">
        <v>0.1</v>
      </c>
      <c r="G63" s="258">
        <f t="shared" si="1"/>
        <v>0.1</v>
      </c>
      <c r="H63" s="249">
        <f t="shared" si="2"/>
        <v>0</v>
      </c>
      <c r="I63" s="314"/>
      <c r="J63" s="258">
        <f t="shared" si="3"/>
        <v>0</v>
      </c>
      <c r="K63" s="249">
        <f t="shared" si="4"/>
        <v>0</v>
      </c>
      <c r="L63" s="314"/>
      <c r="M63" s="258">
        <f t="shared" si="5"/>
        <v>0</v>
      </c>
      <c r="N63" s="251">
        <f t="shared" si="6"/>
        <v>118.8821739130435</v>
      </c>
      <c r="O63" s="314">
        <v>0.9</v>
      </c>
      <c r="P63" s="258">
        <f t="shared" si="7"/>
        <v>0.9</v>
      </c>
      <c r="Q63" s="249">
        <v>130.43478260869566</v>
      </c>
      <c r="R63" s="249">
        <f t="shared" si="8"/>
        <v>132.09130434782611</v>
      </c>
      <c r="S63" s="250">
        <v>0.15</v>
      </c>
      <c r="T63" s="169">
        <v>150</v>
      </c>
      <c r="U63" s="315">
        <f t="shared" si="9"/>
        <v>151.90500000000003</v>
      </c>
      <c r="V63" s="315">
        <f t="shared" si="10"/>
        <v>155</v>
      </c>
      <c r="W63" s="316">
        <f t="shared" si="12"/>
        <v>0</v>
      </c>
    </row>
    <row r="64" spans="1:23" x14ac:dyDescent="0.25">
      <c r="A64" s="200">
        <v>230230</v>
      </c>
      <c r="B64" s="313" t="s">
        <v>20081</v>
      </c>
      <c r="C64" s="248"/>
      <c r="D64" s="247" t="s">
        <v>2</v>
      </c>
      <c r="E64" s="249">
        <f t="shared" si="0"/>
        <v>14.530043478260872</v>
      </c>
      <c r="F64" s="258">
        <v>0.1</v>
      </c>
      <c r="G64" s="258">
        <f t="shared" si="1"/>
        <v>0.1</v>
      </c>
      <c r="H64" s="249">
        <f t="shared" si="2"/>
        <v>0</v>
      </c>
      <c r="I64" s="314"/>
      <c r="J64" s="258">
        <f t="shared" si="3"/>
        <v>0</v>
      </c>
      <c r="K64" s="249">
        <f t="shared" si="4"/>
        <v>0</v>
      </c>
      <c r="L64" s="314"/>
      <c r="M64" s="258">
        <f t="shared" si="5"/>
        <v>0</v>
      </c>
      <c r="N64" s="251">
        <f t="shared" si="6"/>
        <v>130.77039130434784</v>
      </c>
      <c r="O64" s="314">
        <v>0.9</v>
      </c>
      <c r="P64" s="258">
        <f t="shared" si="7"/>
        <v>0.9</v>
      </c>
      <c r="Q64" s="249">
        <v>143.47826086956522</v>
      </c>
      <c r="R64" s="249">
        <f t="shared" si="8"/>
        <v>145.3004347826087</v>
      </c>
      <c r="S64" s="250">
        <v>0.15</v>
      </c>
      <c r="T64" s="169">
        <v>165</v>
      </c>
      <c r="U64" s="315">
        <f t="shared" si="9"/>
        <v>167.09550000000002</v>
      </c>
      <c r="V64" s="315">
        <f t="shared" si="10"/>
        <v>170</v>
      </c>
      <c r="W64" s="316">
        <f t="shared" si="12"/>
        <v>0</v>
      </c>
    </row>
    <row r="65" spans="1:23" x14ac:dyDescent="0.25">
      <c r="A65" s="200">
        <v>230230</v>
      </c>
      <c r="B65" s="313" t="s">
        <v>20082</v>
      </c>
      <c r="C65" s="248"/>
      <c r="D65" s="247" t="s">
        <v>2</v>
      </c>
      <c r="E65" s="249">
        <f t="shared" si="0"/>
        <v>15.850956521739134</v>
      </c>
      <c r="F65" s="258">
        <v>0.1</v>
      </c>
      <c r="G65" s="258">
        <f t="shared" si="1"/>
        <v>0.1</v>
      </c>
      <c r="H65" s="249">
        <f t="shared" si="2"/>
        <v>0</v>
      </c>
      <c r="I65" s="314"/>
      <c r="J65" s="258">
        <f t="shared" si="3"/>
        <v>0</v>
      </c>
      <c r="K65" s="249">
        <f t="shared" si="4"/>
        <v>0</v>
      </c>
      <c r="L65" s="314"/>
      <c r="M65" s="258">
        <f t="shared" si="5"/>
        <v>0</v>
      </c>
      <c r="N65" s="251">
        <f t="shared" si="6"/>
        <v>142.65860869565219</v>
      </c>
      <c r="O65" s="314">
        <v>0.9</v>
      </c>
      <c r="P65" s="258">
        <f t="shared" si="7"/>
        <v>0.9</v>
      </c>
      <c r="Q65" s="249">
        <v>156.52173913043478</v>
      </c>
      <c r="R65" s="249">
        <f t="shared" si="8"/>
        <v>158.50956521739133</v>
      </c>
      <c r="S65" s="250">
        <v>0.15</v>
      </c>
      <c r="T65" s="169">
        <v>180</v>
      </c>
      <c r="U65" s="315">
        <f t="shared" si="9"/>
        <v>182.28600000000003</v>
      </c>
      <c r="V65" s="315">
        <f t="shared" si="10"/>
        <v>185</v>
      </c>
      <c r="W65" s="316">
        <f t="shared" si="12"/>
        <v>0</v>
      </c>
    </row>
    <row r="66" spans="1:23" x14ac:dyDescent="0.25">
      <c r="A66" s="199" t="s">
        <v>16137</v>
      </c>
      <c r="B66" s="307" t="s">
        <v>51</v>
      </c>
      <c r="C66" s="308"/>
      <c r="D66" s="309"/>
      <c r="E66" s="310"/>
      <c r="F66" s="311"/>
      <c r="G66" s="311"/>
      <c r="H66" s="310"/>
      <c r="I66" s="311"/>
      <c r="J66" s="311"/>
      <c r="K66" s="310"/>
      <c r="L66" s="311"/>
      <c r="M66" s="311"/>
      <c r="N66" s="310"/>
      <c r="O66" s="311"/>
      <c r="P66" s="311"/>
      <c r="Q66" s="310"/>
      <c r="R66" s="310"/>
      <c r="S66" s="309"/>
      <c r="T66" s="309"/>
      <c r="U66" s="309"/>
      <c r="V66" s="309"/>
      <c r="W66" s="312"/>
    </row>
    <row r="67" spans="1:23" x14ac:dyDescent="0.25">
      <c r="A67" s="200">
        <v>240537</v>
      </c>
      <c r="B67" s="313" t="s">
        <v>20083</v>
      </c>
      <c r="C67" s="248"/>
      <c r="D67" s="247" t="s">
        <v>11</v>
      </c>
      <c r="E67" s="249">
        <f t="shared" si="0"/>
        <v>272.72727272727275</v>
      </c>
      <c r="F67" s="258">
        <v>0.75</v>
      </c>
      <c r="G67" s="258">
        <f t="shared" si="1"/>
        <v>0.75</v>
      </c>
      <c r="H67" s="249">
        <f t="shared" si="2"/>
        <v>54.54545454545454</v>
      </c>
      <c r="I67" s="314">
        <v>0.15</v>
      </c>
      <c r="J67" s="258">
        <f t="shared" si="3"/>
        <v>0.15</v>
      </c>
      <c r="K67" s="249">
        <f t="shared" si="4"/>
        <v>36.363636363636367</v>
      </c>
      <c r="L67" s="314">
        <v>0.1</v>
      </c>
      <c r="M67" s="258">
        <f t="shared" si="5"/>
        <v>0.1</v>
      </c>
      <c r="N67" s="251">
        <f t="shared" si="6"/>
        <v>0</v>
      </c>
      <c r="O67" s="314"/>
      <c r="P67" s="258">
        <f t="shared" si="7"/>
        <v>0</v>
      </c>
      <c r="Q67" s="249"/>
      <c r="R67" s="249">
        <f>400/1.1</f>
        <v>363.63636363636363</v>
      </c>
      <c r="S67" s="250">
        <v>0.1</v>
      </c>
      <c r="T67" s="169">
        <f t="shared" ref="T67:T101" si="36">Q67+Q67*S67</f>
        <v>0</v>
      </c>
      <c r="U67" s="315">
        <f>(R67*S67)+R67</f>
        <v>400</v>
      </c>
      <c r="V67" s="315">
        <f>IF(U67=0, 0, IF(U67&lt;10, _xlfn.CEILING.MATH(U67,1), IF(U67&lt;100, _xlfn.CEILING.MATH(U67,1),IF(U67&lt;1000, _xlfn.CEILING.MATH(U67,5), IF(U67&lt;10000, _xlfn.CEILING.MATH(U67, 25), IF(U67&lt;100000, _xlfn.CEILING.MATH(U67,250), IF(U67&lt;1000000, _xlfn.CEILING.MATH(U67,500), 0)))))))</f>
        <v>400</v>
      </c>
      <c r="W67" s="316">
        <f>C67*V67</f>
        <v>0</v>
      </c>
    </row>
    <row r="68" spans="1:23" x14ac:dyDescent="0.25">
      <c r="A68" s="199" t="s">
        <v>14544</v>
      </c>
      <c r="B68" s="307" t="s">
        <v>14545</v>
      </c>
      <c r="C68" s="308"/>
      <c r="D68" s="309"/>
      <c r="E68" s="310"/>
      <c r="F68" s="311"/>
      <c r="G68" s="311"/>
      <c r="H68" s="310"/>
      <c r="I68" s="311"/>
      <c r="J68" s="311"/>
      <c r="K68" s="310"/>
      <c r="L68" s="311"/>
      <c r="M68" s="311"/>
      <c r="N68" s="310"/>
      <c r="O68" s="311"/>
      <c r="P68" s="311"/>
      <c r="Q68" s="310"/>
      <c r="R68" s="310"/>
      <c r="S68" s="309"/>
      <c r="T68" s="309"/>
      <c r="U68" s="309"/>
      <c r="V68" s="309"/>
      <c r="W68" s="312"/>
    </row>
    <row r="69" spans="1:23" x14ac:dyDescent="0.25">
      <c r="A69" s="177">
        <v>203010</v>
      </c>
      <c r="B69" s="292" t="s">
        <v>14868</v>
      </c>
      <c r="C69" s="293"/>
      <c r="D69" s="165" t="s">
        <v>11</v>
      </c>
      <c r="E69" s="249">
        <f t="shared" si="0"/>
        <v>701.43500000000006</v>
      </c>
      <c r="F69" s="258">
        <v>0.7</v>
      </c>
      <c r="G69" s="258">
        <f t="shared" si="1"/>
        <v>0.7</v>
      </c>
      <c r="H69" s="249">
        <f t="shared" si="2"/>
        <v>0</v>
      </c>
      <c r="I69" s="314"/>
      <c r="J69" s="258">
        <f t="shared" si="3"/>
        <v>0</v>
      </c>
      <c r="K69" s="249">
        <f t="shared" si="4"/>
        <v>200.41000000000005</v>
      </c>
      <c r="L69" s="258">
        <v>0.2</v>
      </c>
      <c r="M69" s="258">
        <f t="shared" si="5"/>
        <v>0.2</v>
      </c>
      <c r="N69" s="251">
        <f t="shared" si="6"/>
        <v>100.20500000000003</v>
      </c>
      <c r="O69" s="314">
        <v>0.1</v>
      </c>
      <c r="P69" s="258">
        <f t="shared" si="7"/>
        <v>0.1</v>
      </c>
      <c r="Q69" s="249">
        <v>980</v>
      </c>
      <c r="R69" s="249">
        <f t="shared" si="8"/>
        <v>1002.0500000000002</v>
      </c>
      <c r="S69" s="167">
        <v>0.25</v>
      </c>
      <c r="T69" s="169">
        <f t="shared" si="36"/>
        <v>1225</v>
      </c>
      <c r="U69" s="315">
        <f t="shared" si="9"/>
        <v>1252.5625000000002</v>
      </c>
      <c r="V69" s="315">
        <f t="shared" si="10"/>
        <v>1275</v>
      </c>
      <c r="W69" s="316">
        <f t="shared" si="12"/>
        <v>0</v>
      </c>
    </row>
    <row r="70" spans="1:23" x14ac:dyDescent="0.25">
      <c r="A70" s="178">
        <v>203011</v>
      </c>
      <c r="B70" s="292" t="s">
        <v>20084</v>
      </c>
      <c r="C70" s="293"/>
      <c r="D70" s="165" t="s">
        <v>14869</v>
      </c>
      <c r="E70" s="249">
        <f t="shared" si="0"/>
        <v>138.64413582500001</v>
      </c>
      <c r="F70" s="258">
        <v>0.65</v>
      </c>
      <c r="G70" s="258">
        <f t="shared" si="1"/>
        <v>0.65</v>
      </c>
      <c r="H70" s="249">
        <f t="shared" si="2"/>
        <v>0</v>
      </c>
      <c r="I70" s="314"/>
      <c r="J70" s="258">
        <f t="shared" si="3"/>
        <v>0</v>
      </c>
      <c r="K70" s="249">
        <f t="shared" si="4"/>
        <v>74.654534674999994</v>
      </c>
      <c r="L70" s="258">
        <v>0.35</v>
      </c>
      <c r="M70" s="258">
        <f t="shared" si="5"/>
        <v>0.35</v>
      </c>
      <c r="N70" s="251">
        <f t="shared" si="6"/>
        <v>0</v>
      </c>
      <c r="O70" s="314"/>
      <c r="P70" s="258">
        <f t="shared" si="7"/>
        <v>0</v>
      </c>
      <c r="Q70" s="249">
        <v>208.33</v>
      </c>
      <c r="R70" s="249">
        <f t="shared" si="8"/>
        <v>213.29867050000001</v>
      </c>
      <c r="S70" s="167">
        <v>0.2</v>
      </c>
      <c r="T70" s="169">
        <f t="shared" si="36"/>
        <v>249.99600000000001</v>
      </c>
      <c r="U70" s="315">
        <f t="shared" si="9"/>
        <v>255.95840460000002</v>
      </c>
      <c r="V70" s="315">
        <f t="shared" si="10"/>
        <v>260</v>
      </c>
      <c r="W70" s="316">
        <f t="shared" si="12"/>
        <v>0</v>
      </c>
    </row>
    <row r="71" spans="1:23" x14ac:dyDescent="0.25">
      <c r="A71" s="177">
        <v>203012</v>
      </c>
      <c r="B71" s="292" t="s">
        <v>14870</v>
      </c>
      <c r="C71" s="293"/>
      <c r="D71" s="165" t="s">
        <v>11</v>
      </c>
      <c r="E71" s="249">
        <f t="shared" si="0"/>
        <v>1279.8729521999996</v>
      </c>
      <c r="F71" s="258">
        <v>0.6</v>
      </c>
      <c r="G71" s="258">
        <f t="shared" si="1"/>
        <v>0.6</v>
      </c>
      <c r="H71" s="249">
        <f t="shared" si="2"/>
        <v>0</v>
      </c>
      <c r="I71" s="314"/>
      <c r="J71" s="258">
        <f t="shared" si="3"/>
        <v>0</v>
      </c>
      <c r="K71" s="249">
        <f t="shared" si="4"/>
        <v>853.24863479999988</v>
      </c>
      <c r="L71" s="258">
        <v>0.4</v>
      </c>
      <c r="M71" s="258">
        <f t="shared" si="5"/>
        <v>0.4</v>
      </c>
      <c r="N71" s="251">
        <f t="shared" si="6"/>
        <v>0</v>
      </c>
      <c r="O71" s="314"/>
      <c r="P71" s="258">
        <f t="shared" si="7"/>
        <v>0</v>
      </c>
      <c r="Q71" s="249">
        <v>2083.33</v>
      </c>
      <c r="R71" s="249">
        <f t="shared" si="8"/>
        <v>2133.1215869999996</v>
      </c>
      <c r="S71" s="167">
        <v>0.2</v>
      </c>
      <c r="T71" s="169">
        <f t="shared" si="36"/>
        <v>2499.9960000000001</v>
      </c>
      <c r="U71" s="315">
        <f t="shared" si="9"/>
        <v>2559.7459043999997</v>
      </c>
      <c r="V71" s="315">
        <f t="shared" si="10"/>
        <v>2575</v>
      </c>
      <c r="W71" s="316">
        <f t="shared" si="12"/>
        <v>0</v>
      </c>
    </row>
    <row r="72" spans="1:23" x14ac:dyDescent="0.25">
      <c r="A72" s="177">
        <v>203013</v>
      </c>
      <c r="B72" s="292" t="s">
        <v>14871</v>
      </c>
      <c r="C72" s="293"/>
      <c r="D72" s="165" t="s">
        <v>11</v>
      </c>
      <c r="E72" s="249">
        <f t="shared" si="0"/>
        <v>1638.2420477999999</v>
      </c>
      <c r="F72" s="258">
        <v>0.6</v>
      </c>
      <c r="G72" s="258">
        <f t="shared" si="1"/>
        <v>0.6</v>
      </c>
      <c r="H72" s="249">
        <f t="shared" si="2"/>
        <v>0</v>
      </c>
      <c r="I72" s="314"/>
      <c r="J72" s="258">
        <f t="shared" si="3"/>
        <v>0</v>
      </c>
      <c r="K72" s="249">
        <f t="shared" si="4"/>
        <v>1092.1613652000001</v>
      </c>
      <c r="L72" s="258">
        <v>0.4</v>
      </c>
      <c r="M72" s="258">
        <f t="shared" si="5"/>
        <v>0.4</v>
      </c>
      <c r="N72" s="251">
        <f t="shared" si="6"/>
        <v>0</v>
      </c>
      <c r="O72" s="314"/>
      <c r="P72" s="258">
        <f t="shared" si="7"/>
        <v>0</v>
      </c>
      <c r="Q72" s="249">
        <v>2666.67</v>
      </c>
      <c r="R72" s="249">
        <f t="shared" si="8"/>
        <v>2730.403413</v>
      </c>
      <c r="S72" s="167">
        <v>0.2</v>
      </c>
      <c r="T72" s="169">
        <f t="shared" si="36"/>
        <v>3200.0039999999999</v>
      </c>
      <c r="U72" s="315">
        <f t="shared" si="9"/>
        <v>3276.4840955999998</v>
      </c>
      <c r="V72" s="315">
        <f t="shared" si="10"/>
        <v>3300</v>
      </c>
      <c r="W72" s="316">
        <f t="shared" si="12"/>
        <v>0</v>
      </c>
    </row>
    <row r="73" spans="1:23" x14ac:dyDescent="0.25">
      <c r="A73" s="177">
        <v>203014</v>
      </c>
      <c r="B73" s="292" t="s">
        <v>20085</v>
      </c>
      <c r="C73" s="293"/>
      <c r="D73" s="165" t="s">
        <v>11</v>
      </c>
      <c r="E73" s="249">
        <f t="shared" si="0"/>
        <v>367.91271562500003</v>
      </c>
      <c r="F73" s="258">
        <v>0.75</v>
      </c>
      <c r="G73" s="258">
        <f t="shared" si="1"/>
        <v>0.75</v>
      </c>
      <c r="H73" s="249">
        <f t="shared" si="2"/>
        <v>0</v>
      </c>
      <c r="I73" s="314"/>
      <c r="J73" s="258">
        <f t="shared" si="3"/>
        <v>0</v>
      </c>
      <c r="K73" s="249">
        <f t="shared" si="4"/>
        <v>122.63757187500002</v>
      </c>
      <c r="L73" s="258">
        <v>0.25</v>
      </c>
      <c r="M73" s="258">
        <f t="shared" si="5"/>
        <v>0.25</v>
      </c>
      <c r="N73" s="251">
        <f t="shared" si="6"/>
        <v>0</v>
      </c>
      <c r="O73" s="314"/>
      <c r="P73" s="258">
        <f t="shared" si="7"/>
        <v>0</v>
      </c>
      <c r="Q73" s="249">
        <v>479.17</v>
      </c>
      <c r="R73" s="249">
        <f t="shared" si="8"/>
        <v>490.55028750000008</v>
      </c>
      <c r="S73" s="167">
        <v>0.2</v>
      </c>
      <c r="T73" s="169">
        <f t="shared" si="36"/>
        <v>575.00400000000002</v>
      </c>
      <c r="U73" s="315">
        <f t="shared" si="9"/>
        <v>588.66034500000012</v>
      </c>
      <c r="V73" s="315">
        <f t="shared" si="10"/>
        <v>590</v>
      </c>
      <c r="W73" s="316">
        <f t="shared" si="12"/>
        <v>0</v>
      </c>
    </row>
    <row r="74" spans="1:23" x14ac:dyDescent="0.25">
      <c r="A74" s="177">
        <v>203015</v>
      </c>
      <c r="B74" s="292" t="s">
        <v>20086</v>
      </c>
      <c r="C74" s="293"/>
      <c r="D74" s="165" t="s">
        <v>11</v>
      </c>
      <c r="E74" s="249">
        <f t="shared" si="0"/>
        <v>388.19322219999987</v>
      </c>
      <c r="F74" s="258">
        <v>0.7</v>
      </c>
      <c r="G74" s="258">
        <f t="shared" si="1"/>
        <v>0.7</v>
      </c>
      <c r="H74" s="249">
        <f t="shared" si="2"/>
        <v>0</v>
      </c>
      <c r="I74" s="314"/>
      <c r="J74" s="258">
        <f t="shared" si="3"/>
        <v>0</v>
      </c>
      <c r="K74" s="249">
        <f t="shared" si="4"/>
        <v>166.36852379999996</v>
      </c>
      <c r="L74" s="258">
        <v>0.3</v>
      </c>
      <c r="M74" s="258">
        <f t="shared" si="5"/>
        <v>0.3</v>
      </c>
      <c r="N74" s="251">
        <f t="shared" si="6"/>
        <v>0</v>
      </c>
      <c r="O74" s="314"/>
      <c r="P74" s="258">
        <f t="shared" si="7"/>
        <v>0</v>
      </c>
      <c r="Q74" s="249">
        <v>541.66999999999996</v>
      </c>
      <c r="R74" s="249">
        <f t="shared" si="8"/>
        <v>554.56174599999986</v>
      </c>
      <c r="S74" s="167">
        <v>0.2</v>
      </c>
      <c r="T74" s="169">
        <f t="shared" si="36"/>
        <v>650.00399999999991</v>
      </c>
      <c r="U74" s="315">
        <f t="shared" si="9"/>
        <v>665.47409519999985</v>
      </c>
      <c r="V74" s="315">
        <f t="shared" si="10"/>
        <v>670</v>
      </c>
      <c r="W74" s="316">
        <f t="shared" si="12"/>
        <v>0</v>
      </c>
    </row>
    <row r="75" spans="1:23" x14ac:dyDescent="0.25">
      <c r="A75" s="177">
        <v>203016</v>
      </c>
      <c r="B75" s="292" t="s">
        <v>20087</v>
      </c>
      <c r="C75" s="293"/>
      <c r="D75" s="165" t="s">
        <v>2</v>
      </c>
      <c r="E75" s="249">
        <f t="shared" si="0"/>
        <v>6.3959375000000005</v>
      </c>
      <c r="F75" s="258">
        <v>0.5</v>
      </c>
      <c r="G75" s="258">
        <f t="shared" si="1"/>
        <v>0.5</v>
      </c>
      <c r="H75" s="249">
        <f t="shared" si="2"/>
        <v>0</v>
      </c>
      <c r="I75" s="314"/>
      <c r="J75" s="258">
        <f t="shared" si="3"/>
        <v>0</v>
      </c>
      <c r="K75" s="249">
        <f t="shared" si="4"/>
        <v>5.756343750000001</v>
      </c>
      <c r="L75" s="258">
        <v>0.45</v>
      </c>
      <c r="M75" s="258">
        <f t="shared" si="5"/>
        <v>0.45</v>
      </c>
      <c r="N75" s="251">
        <f t="shared" si="6"/>
        <v>0.63959375000000007</v>
      </c>
      <c r="O75" s="314">
        <v>0.05</v>
      </c>
      <c r="P75" s="258">
        <f t="shared" si="7"/>
        <v>0.05</v>
      </c>
      <c r="Q75" s="249">
        <v>12.5</v>
      </c>
      <c r="R75" s="249">
        <f t="shared" si="8"/>
        <v>12.791875000000001</v>
      </c>
      <c r="S75" s="167">
        <v>0.2</v>
      </c>
      <c r="T75" s="169">
        <f t="shared" si="36"/>
        <v>15</v>
      </c>
      <c r="U75" s="315">
        <f t="shared" si="9"/>
        <v>15.350250000000001</v>
      </c>
      <c r="V75" s="315">
        <f t="shared" si="10"/>
        <v>16</v>
      </c>
      <c r="W75" s="316">
        <f t="shared" si="12"/>
        <v>0</v>
      </c>
    </row>
    <row r="76" spans="1:23" x14ac:dyDescent="0.25">
      <c r="A76" s="177">
        <v>203017</v>
      </c>
      <c r="B76" s="292" t="s">
        <v>20088</v>
      </c>
      <c r="C76" s="293"/>
      <c r="D76" s="165" t="s">
        <v>2</v>
      </c>
      <c r="E76" s="249">
        <f t="shared" si="0"/>
        <v>12.791875000000001</v>
      </c>
      <c r="F76" s="258">
        <v>0.5</v>
      </c>
      <c r="G76" s="258">
        <f t="shared" si="1"/>
        <v>0.5</v>
      </c>
      <c r="H76" s="249">
        <f t="shared" si="2"/>
        <v>0</v>
      </c>
      <c r="I76" s="314"/>
      <c r="J76" s="258">
        <f t="shared" si="3"/>
        <v>0</v>
      </c>
      <c r="K76" s="249">
        <f t="shared" si="4"/>
        <v>11.512687500000002</v>
      </c>
      <c r="L76" s="258">
        <v>0.45</v>
      </c>
      <c r="M76" s="258">
        <f t="shared" si="5"/>
        <v>0.45</v>
      </c>
      <c r="N76" s="251">
        <f t="shared" si="6"/>
        <v>1.2791875000000001</v>
      </c>
      <c r="O76" s="314">
        <v>0.05</v>
      </c>
      <c r="P76" s="258">
        <f t="shared" si="7"/>
        <v>0.05</v>
      </c>
      <c r="Q76" s="249">
        <v>25</v>
      </c>
      <c r="R76" s="249">
        <f t="shared" si="8"/>
        <v>25.583750000000002</v>
      </c>
      <c r="S76" s="167">
        <v>0.2</v>
      </c>
      <c r="T76" s="169">
        <f t="shared" si="36"/>
        <v>30</v>
      </c>
      <c r="U76" s="315">
        <f t="shared" si="9"/>
        <v>30.700500000000002</v>
      </c>
      <c r="V76" s="315">
        <f t="shared" si="10"/>
        <v>31</v>
      </c>
      <c r="W76" s="316">
        <f t="shared" si="12"/>
        <v>0</v>
      </c>
    </row>
    <row r="77" spans="1:23" x14ac:dyDescent="0.25">
      <c r="A77" s="177">
        <v>203018</v>
      </c>
      <c r="B77" s="292" t="s">
        <v>20089</v>
      </c>
      <c r="C77" s="293"/>
      <c r="D77" s="165" t="s">
        <v>2</v>
      </c>
      <c r="E77" s="249">
        <f t="shared" si="0"/>
        <v>20.042309750000001</v>
      </c>
      <c r="F77" s="258">
        <v>0.5</v>
      </c>
      <c r="G77" s="258">
        <f t="shared" si="1"/>
        <v>0.5</v>
      </c>
      <c r="H77" s="249">
        <f t="shared" si="2"/>
        <v>0</v>
      </c>
      <c r="I77" s="314"/>
      <c r="J77" s="258">
        <f t="shared" si="3"/>
        <v>0</v>
      </c>
      <c r="K77" s="249">
        <f t="shared" si="4"/>
        <v>18.038078775000002</v>
      </c>
      <c r="L77" s="258">
        <v>0.45</v>
      </c>
      <c r="M77" s="258">
        <f t="shared" si="5"/>
        <v>0.45</v>
      </c>
      <c r="N77" s="251">
        <f t="shared" si="6"/>
        <v>2.004230975</v>
      </c>
      <c r="O77" s="314">
        <v>0.05</v>
      </c>
      <c r="P77" s="258">
        <f t="shared" si="7"/>
        <v>0.05</v>
      </c>
      <c r="Q77" s="249">
        <v>39.17</v>
      </c>
      <c r="R77" s="249">
        <f t="shared" si="8"/>
        <v>40.084619500000002</v>
      </c>
      <c r="S77" s="167">
        <v>0.2</v>
      </c>
      <c r="T77" s="169">
        <f t="shared" si="36"/>
        <v>47.004000000000005</v>
      </c>
      <c r="U77" s="315">
        <f t="shared" si="9"/>
        <v>48.101543400000004</v>
      </c>
      <c r="V77" s="315">
        <f t="shared" si="10"/>
        <v>49</v>
      </c>
      <c r="W77" s="316">
        <f t="shared" si="12"/>
        <v>0</v>
      </c>
    </row>
    <row r="78" spans="1:23" x14ac:dyDescent="0.25">
      <c r="A78" s="177">
        <v>203019</v>
      </c>
      <c r="B78" s="292" t="s">
        <v>20090</v>
      </c>
      <c r="C78" s="293"/>
      <c r="D78" s="165" t="s">
        <v>2</v>
      </c>
      <c r="E78" s="249">
        <f t="shared" si="0"/>
        <v>26.862937500000001</v>
      </c>
      <c r="F78" s="258">
        <v>0.5</v>
      </c>
      <c r="G78" s="258">
        <f t="shared" si="1"/>
        <v>0.5</v>
      </c>
      <c r="H78" s="249">
        <f t="shared" si="2"/>
        <v>0</v>
      </c>
      <c r="I78" s="314"/>
      <c r="J78" s="258">
        <f t="shared" si="3"/>
        <v>0</v>
      </c>
      <c r="K78" s="249">
        <f t="shared" si="4"/>
        <v>24.17664375</v>
      </c>
      <c r="L78" s="258">
        <v>0.45</v>
      </c>
      <c r="M78" s="258">
        <f t="shared" si="5"/>
        <v>0.45</v>
      </c>
      <c r="N78" s="251">
        <f t="shared" si="6"/>
        <v>2.6862937500000004</v>
      </c>
      <c r="O78" s="314">
        <v>0.05</v>
      </c>
      <c r="P78" s="258">
        <f t="shared" si="7"/>
        <v>0.05</v>
      </c>
      <c r="Q78" s="249">
        <v>52.5</v>
      </c>
      <c r="R78" s="249">
        <f t="shared" si="8"/>
        <v>53.725875000000002</v>
      </c>
      <c r="S78" s="167">
        <v>0.2</v>
      </c>
      <c r="T78" s="169">
        <f t="shared" si="36"/>
        <v>63</v>
      </c>
      <c r="U78" s="315">
        <f t="shared" si="9"/>
        <v>64.471050000000005</v>
      </c>
      <c r="V78" s="315">
        <f t="shared" si="10"/>
        <v>65</v>
      </c>
      <c r="W78" s="316">
        <f t="shared" si="12"/>
        <v>0</v>
      </c>
    </row>
    <row r="79" spans="1:23" x14ac:dyDescent="0.25">
      <c r="A79" s="200">
        <v>203020</v>
      </c>
      <c r="B79" s="313" t="s">
        <v>20091</v>
      </c>
      <c r="C79" s="248"/>
      <c r="D79" s="247" t="s">
        <v>2</v>
      </c>
      <c r="E79" s="249">
        <f t="shared" si="0"/>
        <v>3.8375625000000002</v>
      </c>
      <c r="F79" s="258">
        <v>0.5</v>
      </c>
      <c r="G79" s="258">
        <f t="shared" si="1"/>
        <v>0.5</v>
      </c>
      <c r="H79" s="249">
        <f t="shared" si="2"/>
        <v>0</v>
      </c>
      <c r="I79" s="314"/>
      <c r="J79" s="258">
        <f t="shared" si="3"/>
        <v>0</v>
      </c>
      <c r="K79" s="249">
        <f t="shared" si="4"/>
        <v>3.4538062500000004</v>
      </c>
      <c r="L79" s="258">
        <v>0.45</v>
      </c>
      <c r="M79" s="258">
        <f t="shared" si="5"/>
        <v>0.45</v>
      </c>
      <c r="N79" s="251">
        <f t="shared" si="6"/>
        <v>0.38375625000000002</v>
      </c>
      <c r="O79" s="258">
        <v>0.05</v>
      </c>
      <c r="P79" s="258">
        <f t="shared" si="7"/>
        <v>0.05</v>
      </c>
      <c r="Q79" s="249">
        <v>7.5</v>
      </c>
      <c r="R79" s="249">
        <f t="shared" si="8"/>
        <v>7.6751250000000004</v>
      </c>
      <c r="S79" s="258">
        <v>0.2</v>
      </c>
      <c r="T79" s="169">
        <f t="shared" si="36"/>
        <v>9</v>
      </c>
      <c r="U79" s="315">
        <f t="shared" si="9"/>
        <v>9.2101500000000005</v>
      </c>
      <c r="V79" s="315">
        <f t="shared" si="10"/>
        <v>10</v>
      </c>
      <c r="W79" s="316">
        <f t="shared" si="12"/>
        <v>0</v>
      </c>
    </row>
    <row r="80" spans="1:23" x14ac:dyDescent="0.25">
      <c r="A80" s="200">
        <v>203021</v>
      </c>
      <c r="B80" s="313" t="s">
        <v>20092</v>
      </c>
      <c r="C80" s="248"/>
      <c r="D80" s="247" t="s">
        <v>2</v>
      </c>
      <c r="E80" s="249">
        <f t="shared" si="0"/>
        <v>24.177824999999999</v>
      </c>
      <c r="F80" s="258">
        <v>0.45</v>
      </c>
      <c r="G80" s="258">
        <f t="shared" si="1"/>
        <v>0.45</v>
      </c>
      <c r="H80" s="249">
        <f t="shared" si="2"/>
        <v>0</v>
      </c>
      <c r="I80" s="314"/>
      <c r="J80" s="258">
        <f t="shared" si="3"/>
        <v>0</v>
      </c>
      <c r="K80" s="249">
        <f t="shared" si="4"/>
        <v>26.864249999999998</v>
      </c>
      <c r="L80" s="258">
        <v>0.5</v>
      </c>
      <c r="M80" s="258">
        <f t="shared" si="5"/>
        <v>0.5</v>
      </c>
      <c r="N80" s="251">
        <f t="shared" si="6"/>
        <v>2.6864249999999998</v>
      </c>
      <c r="O80" s="258">
        <v>0.05</v>
      </c>
      <c r="P80" s="258">
        <f t="shared" si="7"/>
        <v>0.05</v>
      </c>
      <c r="Q80" s="249">
        <v>52.5</v>
      </c>
      <c r="R80" s="249">
        <f t="shared" si="8"/>
        <v>53.728499999999997</v>
      </c>
      <c r="S80" s="258">
        <v>0.2</v>
      </c>
      <c r="T80" s="169">
        <f t="shared" si="36"/>
        <v>63</v>
      </c>
      <c r="U80" s="315">
        <f t="shared" si="9"/>
        <v>64.474199999999996</v>
      </c>
      <c r="V80" s="315">
        <f t="shared" si="10"/>
        <v>65</v>
      </c>
      <c r="W80" s="316">
        <f t="shared" si="12"/>
        <v>0</v>
      </c>
    </row>
    <row r="81" spans="1:23" x14ac:dyDescent="0.25">
      <c r="A81" s="200">
        <v>203022</v>
      </c>
      <c r="B81" s="313" t="s">
        <v>20093</v>
      </c>
      <c r="C81" s="248"/>
      <c r="D81" s="247" t="s">
        <v>2</v>
      </c>
      <c r="E81" s="249">
        <f t="shared" si="0"/>
        <v>24.562800000000003</v>
      </c>
      <c r="F81" s="258">
        <v>0.4</v>
      </c>
      <c r="G81" s="258">
        <f t="shared" si="1"/>
        <v>0.4</v>
      </c>
      <c r="H81" s="249">
        <f t="shared" si="2"/>
        <v>0</v>
      </c>
      <c r="I81" s="314"/>
      <c r="J81" s="258">
        <f t="shared" si="3"/>
        <v>0</v>
      </c>
      <c r="K81" s="249">
        <f t="shared" si="4"/>
        <v>33.773850000000003</v>
      </c>
      <c r="L81" s="258">
        <v>0.55000000000000004</v>
      </c>
      <c r="M81" s="258">
        <f t="shared" si="5"/>
        <v>0.55000000000000004</v>
      </c>
      <c r="N81" s="251">
        <f t="shared" si="6"/>
        <v>3.0703500000000004</v>
      </c>
      <c r="O81" s="258">
        <v>0.05</v>
      </c>
      <c r="P81" s="258">
        <f t="shared" si="7"/>
        <v>0.05</v>
      </c>
      <c r="Q81" s="249">
        <v>60</v>
      </c>
      <c r="R81" s="249">
        <f t="shared" si="8"/>
        <v>61.407000000000004</v>
      </c>
      <c r="S81" s="258">
        <v>0.2</v>
      </c>
      <c r="T81" s="169">
        <f t="shared" si="36"/>
        <v>72</v>
      </c>
      <c r="U81" s="315">
        <f t="shared" si="9"/>
        <v>73.688400000000001</v>
      </c>
      <c r="V81" s="315">
        <f t="shared" si="10"/>
        <v>74</v>
      </c>
      <c r="W81" s="316">
        <f t="shared" si="12"/>
        <v>0</v>
      </c>
    </row>
    <row r="82" spans="1:23" x14ac:dyDescent="0.25">
      <c r="A82" s="200">
        <v>203023</v>
      </c>
      <c r="B82" s="313" t="s">
        <v>20094</v>
      </c>
      <c r="C82" s="248"/>
      <c r="D82" s="247" t="s">
        <v>2</v>
      </c>
      <c r="E82" s="249">
        <f t="shared" si="0"/>
        <v>27.633150000000001</v>
      </c>
      <c r="F82" s="258">
        <v>0.4</v>
      </c>
      <c r="G82" s="258">
        <f t="shared" si="1"/>
        <v>0.4</v>
      </c>
      <c r="H82" s="249">
        <f t="shared" si="2"/>
        <v>0</v>
      </c>
      <c r="I82" s="314"/>
      <c r="J82" s="258">
        <f t="shared" si="3"/>
        <v>0</v>
      </c>
      <c r="K82" s="249">
        <f t="shared" si="4"/>
        <v>37.995581250000001</v>
      </c>
      <c r="L82" s="258">
        <v>0.55000000000000004</v>
      </c>
      <c r="M82" s="258">
        <f t="shared" si="5"/>
        <v>0.55000000000000004</v>
      </c>
      <c r="N82" s="251">
        <f t="shared" si="6"/>
        <v>3.4541437500000001</v>
      </c>
      <c r="O82" s="258">
        <v>0.05</v>
      </c>
      <c r="P82" s="258">
        <f t="shared" si="7"/>
        <v>0.05</v>
      </c>
      <c r="Q82" s="249">
        <v>67.5</v>
      </c>
      <c r="R82" s="249">
        <f t="shared" si="8"/>
        <v>69.082875000000001</v>
      </c>
      <c r="S82" s="258">
        <v>0.2</v>
      </c>
      <c r="T82" s="169">
        <f t="shared" si="36"/>
        <v>81</v>
      </c>
      <c r="U82" s="315">
        <f t="shared" si="9"/>
        <v>82.899450000000002</v>
      </c>
      <c r="V82" s="315">
        <f t="shared" si="10"/>
        <v>83</v>
      </c>
      <c r="W82" s="316">
        <f t="shared" si="12"/>
        <v>0</v>
      </c>
    </row>
    <row r="83" spans="1:23" x14ac:dyDescent="0.25">
      <c r="A83" s="200">
        <v>203024</v>
      </c>
      <c r="B83" s="313" t="s">
        <v>20095</v>
      </c>
      <c r="C83" s="248"/>
      <c r="D83" s="247" t="s">
        <v>2</v>
      </c>
      <c r="E83" s="249">
        <f t="shared" si="0"/>
        <v>35.820750000000004</v>
      </c>
      <c r="F83" s="258">
        <v>0.4</v>
      </c>
      <c r="G83" s="258">
        <f t="shared" si="1"/>
        <v>0.4</v>
      </c>
      <c r="H83" s="249">
        <f t="shared" si="2"/>
        <v>0</v>
      </c>
      <c r="I83" s="314"/>
      <c r="J83" s="258">
        <f t="shared" si="3"/>
        <v>0</v>
      </c>
      <c r="K83" s="249">
        <f t="shared" si="4"/>
        <v>49.253531250000009</v>
      </c>
      <c r="L83" s="258">
        <v>0.55000000000000004</v>
      </c>
      <c r="M83" s="258">
        <f t="shared" si="5"/>
        <v>0.55000000000000004</v>
      </c>
      <c r="N83" s="251">
        <f t="shared" si="6"/>
        <v>4.4775937500000005</v>
      </c>
      <c r="O83" s="258">
        <v>0.05</v>
      </c>
      <c r="P83" s="258">
        <f t="shared" si="7"/>
        <v>0.05</v>
      </c>
      <c r="Q83" s="249">
        <v>87.5</v>
      </c>
      <c r="R83" s="249">
        <f t="shared" si="8"/>
        <v>89.55187500000001</v>
      </c>
      <c r="S83" s="258">
        <v>0.2</v>
      </c>
      <c r="T83" s="169">
        <f t="shared" si="36"/>
        <v>105</v>
      </c>
      <c r="U83" s="315">
        <f t="shared" si="9"/>
        <v>107.46225000000001</v>
      </c>
      <c r="V83" s="315">
        <f t="shared" si="10"/>
        <v>110</v>
      </c>
      <c r="W83" s="316">
        <f t="shared" si="12"/>
        <v>0</v>
      </c>
    </row>
    <row r="84" spans="1:23" x14ac:dyDescent="0.25">
      <c r="A84" s="200">
        <v>203025</v>
      </c>
      <c r="B84" s="313" t="s">
        <v>20096</v>
      </c>
      <c r="C84" s="248"/>
      <c r="D84" s="247" t="s">
        <v>11</v>
      </c>
      <c r="E84" s="249">
        <f t="shared" si="0"/>
        <v>47.973410100000002</v>
      </c>
      <c r="F84" s="258">
        <v>0.45</v>
      </c>
      <c r="G84" s="258">
        <f t="shared" si="1"/>
        <v>0.45</v>
      </c>
      <c r="H84" s="249">
        <f t="shared" si="2"/>
        <v>0</v>
      </c>
      <c r="I84" s="314"/>
      <c r="J84" s="258">
        <f t="shared" si="3"/>
        <v>0</v>
      </c>
      <c r="K84" s="249">
        <f t="shared" si="4"/>
        <v>53.303789000000002</v>
      </c>
      <c r="L84" s="258">
        <v>0.5</v>
      </c>
      <c r="M84" s="258">
        <f t="shared" si="5"/>
        <v>0.5</v>
      </c>
      <c r="N84" s="251">
        <f t="shared" si="6"/>
        <v>5.3303789000000004</v>
      </c>
      <c r="O84" s="258">
        <v>0.05</v>
      </c>
      <c r="P84" s="258">
        <f t="shared" si="7"/>
        <v>0.05</v>
      </c>
      <c r="Q84" s="249">
        <v>104.17</v>
      </c>
      <c r="R84" s="249">
        <f t="shared" si="8"/>
        <v>106.607578</v>
      </c>
      <c r="S84" s="258">
        <v>0.2</v>
      </c>
      <c r="T84" s="169">
        <f t="shared" si="36"/>
        <v>125.004</v>
      </c>
      <c r="U84" s="315">
        <f t="shared" si="9"/>
        <v>127.9290936</v>
      </c>
      <c r="V84" s="315">
        <f t="shared" si="10"/>
        <v>130</v>
      </c>
      <c r="W84" s="316">
        <f t="shared" si="12"/>
        <v>0</v>
      </c>
    </row>
    <row r="85" spans="1:23" x14ac:dyDescent="0.25">
      <c r="A85" s="200">
        <v>203026</v>
      </c>
      <c r="B85" s="313" t="s">
        <v>20097</v>
      </c>
      <c r="C85" s="248"/>
      <c r="D85" s="247" t="s">
        <v>2</v>
      </c>
      <c r="E85" s="249">
        <f t="shared" si="0"/>
        <v>5.1610135500000016</v>
      </c>
      <c r="F85" s="258">
        <v>0.55000000000000004</v>
      </c>
      <c r="G85" s="258">
        <f t="shared" si="1"/>
        <v>0.55000000000000004</v>
      </c>
      <c r="H85" s="249">
        <f t="shared" si="2"/>
        <v>0</v>
      </c>
      <c r="I85" s="314"/>
      <c r="J85" s="258">
        <f t="shared" si="3"/>
        <v>0</v>
      </c>
      <c r="K85" s="249">
        <f t="shared" si="4"/>
        <v>3.7534644000000008</v>
      </c>
      <c r="L85" s="258">
        <v>0.4</v>
      </c>
      <c r="M85" s="258">
        <f t="shared" si="5"/>
        <v>0.4</v>
      </c>
      <c r="N85" s="251">
        <f t="shared" si="6"/>
        <v>0.4691830500000001</v>
      </c>
      <c r="O85" s="258">
        <v>0.05</v>
      </c>
      <c r="P85" s="258">
        <f t="shared" si="7"/>
        <v>0.05</v>
      </c>
      <c r="Q85" s="249">
        <v>9.17</v>
      </c>
      <c r="R85" s="249">
        <f t="shared" si="8"/>
        <v>9.3836610000000018</v>
      </c>
      <c r="S85" s="258">
        <v>0.2</v>
      </c>
      <c r="T85" s="169">
        <f t="shared" si="36"/>
        <v>11.004</v>
      </c>
      <c r="U85" s="315">
        <f t="shared" si="9"/>
        <v>11.260393200000003</v>
      </c>
      <c r="V85" s="315">
        <f t="shared" si="10"/>
        <v>12</v>
      </c>
      <c r="W85" s="316">
        <f t="shared" si="12"/>
        <v>0</v>
      </c>
    </row>
    <row r="86" spans="1:23" x14ac:dyDescent="0.25">
      <c r="A86" s="200">
        <v>203027</v>
      </c>
      <c r="B86" s="313" t="s">
        <v>20098</v>
      </c>
      <c r="C86" s="248"/>
      <c r="D86" s="247" t="s">
        <v>2</v>
      </c>
      <c r="E86" s="249">
        <f t="shared" si="0"/>
        <v>7.035187500000001</v>
      </c>
      <c r="F86" s="258">
        <v>0.55000000000000004</v>
      </c>
      <c r="G86" s="258">
        <f t="shared" si="1"/>
        <v>0.55000000000000004</v>
      </c>
      <c r="H86" s="249">
        <f t="shared" si="2"/>
        <v>0</v>
      </c>
      <c r="I86" s="314"/>
      <c r="J86" s="258">
        <f t="shared" si="3"/>
        <v>0</v>
      </c>
      <c r="K86" s="249">
        <f t="shared" si="4"/>
        <v>5.1165000000000012</v>
      </c>
      <c r="L86" s="258">
        <v>0.4</v>
      </c>
      <c r="M86" s="258">
        <f t="shared" si="5"/>
        <v>0.4</v>
      </c>
      <c r="N86" s="251">
        <f t="shared" si="6"/>
        <v>0.63956250000000014</v>
      </c>
      <c r="O86" s="258">
        <v>0.05</v>
      </c>
      <c r="P86" s="258">
        <f t="shared" si="7"/>
        <v>0.05</v>
      </c>
      <c r="Q86" s="249">
        <v>12.5</v>
      </c>
      <c r="R86" s="249">
        <f t="shared" si="8"/>
        <v>12.791250000000002</v>
      </c>
      <c r="S86" s="258">
        <v>0.2</v>
      </c>
      <c r="T86" s="169">
        <f t="shared" si="36"/>
        <v>15</v>
      </c>
      <c r="U86" s="315">
        <f t="shared" si="9"/>
        <v>15.349500000000003</v>
      </c>
      <c r="V86" s="315">
        <f t="shared" si="10"/>
        <v>16</v>
      </c>
      <c r="W86" s="316">
        <f t="shared" si="12"/>
        <v>0</v>
      </c>
    </row>
    <row r="87" spans="1:23" x14ac:dyDescent="0.25">
      <c r="A87" s="200">
        <v>203028</v>
      </c>
      <c r="B87" s="313" t="s">
        <v>20099</v>
      </c>
      <c r="C87" s="248"/>
      <c r="D87" s="247" t="s">
        <v>2</v>
      </c>
      <c r="E87" s="249">
        <f t="shared" si="0"/>
        <v>10.789163550000003</v>
      </c>
      <c r="F87" s="258">
        <v>0.55000000000000004</v>
      </c>
      <c r="G87" s="258">
        <f t="shared" si="1"/>
        <v>0.55000000000000004</v>
      </c>
      <c r="H87" s="249">
        <f t="shared" si="2"/>
        <v>0</v>
      </c>
      <c r="I87" s="314"/>
      <c r="J87" s="258">
        <f t="shared" si="3"/>
        <v>0</v>
      </c>
      <c r="K87" s="249">
        <f t="shared" si="4"/>
        <v>7.8466644000000016</v>
      </c>
      <c r="L87" s="258">
        <v>0.4</v>
      </c>
      <c r="M87" s="258">
        <f t="shared" si="5"/>
        <v>0.4</v>
      </c>
      <c r="N87" s="251">
        <f t="shared" si="6"/>
        <v>0.98083305000000021</v>
      </c>
      <c r="O87" s="258">
        <v>0.05</v>
      </c>
      <c r="P87" s="258">
        <f t="shared" si="7"/>
        <v>0.05</v>
      </c>
      <c r="Q87" s="249">
        <v>19.170000000000002</v>
      </c>
      <c r="R87" s="249">
        <f t="shared" si="8"/>
        <v>19.616661000000004</v>
      </c>
      <c r="S87" s="258">
        <v>0.2</v>
      </c>
      <c r="T87" s="169">
        <f t="shared" si="36"/>
        <v>23.004000000000001</v>
      </c>
      <c r="U87" s="315">
        <f t="shared" si="9"/>
        <v>23.539993200000005</v>
      </c>
      <c r="V87" s="315">
        <f t="shared" si="10"/>
        <v>24</v>
      </c>
      <c r="W87" s="316">
        <f t="shared" si="12"/>
        <v>0</v>
      </c>
    </row>
    <row r="88" spans="1:23" x14ac:dyDescent="0.25">
      <c r="A88" s="200">
        <v>203029</v>
      </c>
      <c r="B88" s="313" t="s">
        <v>20100</v>
      </c>
      <c r="C88" s="248"/>
      <c r="D88" s="247" t="s">
        <v>11</v>
      </c>
      <c r="E88" s="249">
        <f t="shared" si="0"/>
        <v>91.457437500000012</v>
      </c>
      <c r="F88" s="258">
        <v>0.55000000000000004</v>
      </c>
      <c r="G88" s="258">
        <f t="shared" si="1"/>
        <v>0.55000000000000004</v>
      </c>
      <c r="H88" s="249">
        <f t="shared" si="2"/>
        <v>0</v>
      </c>
      <c r="I88" s="314"/>
      <c r="J88" s="258">
        <f t="shared" si="3"/>
        <v>0</v>
      </c>
      <c r="K88" s="249">
        <f t="shared" si="4"/>
        <v>66.514499999999998</v>
      </c>
      <c r="L88" s="258">
        <v>0.4</v>
      </c>
      <c r="M88" s="258">
        <f t="shared" si="5"/>
        <v>0.4</v>
      </c>
      <c r="N88" s="251">
        <f t="shared" si="6"/>
        <v>8.3143124999999998</v>
      </c>
      <c r="O88" s="258">
        <v>0.05</v>
      </c>
      <c r="P88" s="258">
        <f t="shared" si="7"/>
        <v>0.05</v>
      </c>
      <c r="Q88" s="249">
        <v>162.5</v>
      </c>
      <c r="R88" s="249">
        <f t="shared" si="8"/>
        <v>166.28625</v>
      </c>
      <c r="S88" s="258">
        <v>0.2</v>
      </c>
      <c r="T88" s="169">
        <f t="shared" si="36"/>
        <v>195</v>
      </c>
      <c r="U88" s="315">
        <f t="shared" si="9"/>
        <v>199.54349999999999</v>
      </c>
      <c r="V88" s="315">
        <f t="shared" si="10"/>
        <v>200</v>
      </c>
      <c r="W88" s="316">
        <f t="shared" si="12"/>
        <v>0</v>
      </c>
    </row>
    <row r="89" spans="1:23" x14ac:dyDescent="0.25">
      <c r="A89" s="200">
        <v>203030</v>
      </c>
      <c r="B89" s="313" t="s">
        <v>20101</v>
      </c>
      <c r="C89" s="248"/>
      <c r="D89" s="247" t="s">
        <v>11</v>
      </c>
      <c r="E89" s="249">
        <f t="shared" si="0"/>
        <v>204.67000000000002</v>
      </c>
      <c r="F89" s="258">
        <v>0.5</v>
      </c>
      <c r="G89" s="258">
        <f t="shared" si="1"/>
        <v>0.5</v>
      </c>
      <c r="H89" s="249">
        <f t="shared" si="2"/>
        <v>0</v>
      </c>
      <c r="I89" s="314"/>
      <c r="J89" s="258">
        <f t="shared" si="3"/>
        <v>0</v>
      </c>
      <c r="K89" s="249">
        <f t="shared" si="4"/>
        <v>184.20300000000003</v>
      </c>
      <c r="L89" s="258">
        <v>0.45</v>
      </c>
      <c r="M89" s="258">
        <f t="shared" si="5"/>
        <v>0.45</v>
      </c>
      <c r="N89" s="251">
        <f t="shared" si="6"/>
        <v>20.467000000000002</v>
      </c>
      <c r="O89" s="258">
        <v>0.05</v>
      </c>
      <c r="P89" s="258">
        <f t="shared" si="7"/>
        <v>0.05</v>
      </c>
      <c r="Q89" s="249">
        <v>400</v>
      </c>
      <c r="R89" s="249">
        <f t="shared" si="8"/>
        <v>409.34000000000003</v>
      </c>
      <c r="S89" s="258">
        <v>0.2</v>
      </c>
      <c r="T89" s="169">
        <f t="shared" si="36"/>
        <v>480</v>
      </c>
      <c r="U89" s="315">
        <f t="shared" si="9"/>
        <v>491.20800000000003</v>
      </c>
      <c r="V89" s="315">
        <f t="shared" si="10"/>
        <v>495</v>
      </c>
      <c r="W89" s="316">
        <f t="shared" si="12"/>
        <v>0</v>
      </c>
    </row>
    <row r="90" spans="1:23" x14ac:dyDescent="0.25">
      <c r="A90" s="200">
        <v>203031</v>
      </c>
      <c r="B90" s="313" t="s">
        <v>20102</v>
      </c>
      <c r="C90" s="248"/>
      <c r="D90" s="247" t="s">
        <v>11</v>
      </c>
      <c r="E90" s="249">
        <f t="shared" si="0"/>
        <v>281.42124999999999</v>
      </c>
      <c r="F90" s="258">
        <v>0.5</v>
      </c>
      <c r="G90" s="258">
        <f t="shared" si="1"/>
        <v>0.5</v>
      </c>
      <c r="H90" s="249">
        <f t="shared" si="2"/>
        <v>0</v>
      </c>
      <c r="I90" s="314"/>
      <c r="J90" s="258">
        <f t="shared" si="3"/>
        <v>0</v>
      </c>
      <c r="K90" s="249">
        <f t="shared" si="4"/>
        <v>253.27912499999999</v>
      </c>
      <c r="L90" s="258">
        <v>0.45</v>
      </c>
      <c r="M90" s="258">
        <f t="shared" si="5"/>
        <v>0.45</v>
      </c>
      <c r="N90" s="251">
        <f t="shared" si="6"/>
        <v>28.142125</v>
      </c>
      <c r="O90" s="258">
        <v>0.05</v>
      </c>
      <c r="P90" s="258">
        <f t="shared" si="7"/>
        <v>0.05</v>
      </c>
      <c r="Q90" s="249">
        <v>550</v>
      </c>
      <c r="R90" s="249">
        <f t="shared" si="8"/>
        <v>562.84249999999997</v>
      </c>
      <c r="S90" s="258">
        <v>0.2</v>
      </c>
      <c r="T90" s="169">
        <f t="shared" si="36"/>
        <v>660</v>
      </c>
      <c r="U90" s="315">
        <f t="shared" si="9"/>
        <v>675.41099999999994</v>
      </c>
      <c r="V90" s="315">
        <f t="shared" si="10"/>
        <v>680</v>
      </c>
      <c r="W90" s="316">
        <f t="shared" si="12"/>
        <v>0</v>
      </c>
    </row>
    <row r="91" spans="1:23" x14ac:dyDescent="0.25">
      <c r="A91" s="200">
        <v>203032</v>
      </c>
      <c r="B91" s="313" t="s">
        <v>20103</v>
      </c>
      <c r="C91" s="248"/>
      <c r="D91" s="247" t="s">
        <v>11</v>
      </c>
      <c r="E91" s="249">
        <f t="shared" si="0"/>
        <v>511.72500000000002</v>
      </c>
      <c r="F91" s="258">
        <v>0.4</v>
      </c>
      <c r="G91" s="258">
        <f t="shared" si="1"/>
        <v>0.4</v>
      </c>
      <c r="H91" s="249">
        <f t="shared" si="2"/>
        <v>0</v>
      </c>
      <c r="I91" s="314"/>
      <c r="J91" s="258">
        <f t="shared" si="3"/>
        <v>0</v>
      </c>
      <c r="K91" s="249">
        <f t="shared" si="4"/>
        <v>703.62187500000005</v>
      </c>
      <c r="L91" s="258">
        <v>0.55000000000000004</v>
      </c>
      <c r="M91" s="258">
        <f t="shared" si="5"/>
        <v>0.55000000000000004</v>
      </c>
      <c r="N91" s="251">
        <f t="shared" si="6"/>
        <v>63.965625000000003</v>
      </c>
      <c r="O91" s="258">
        <v>0.05</v>
      </c>
      <c r="P91" s="258">
        <f t="shared" si="7"/>
        <v>0.05</v>
      </c>
      <c r="Q91" s="249">
        <v>1250</v>
      </c>
      <c r="R91" s="249">
        <f t="shared" si="8"/>
        <v>1279.3125</v>
      </c>
      <c r="S91" s="258">
        <v>0.2</v>
      </c>
      <c r="T91" s="169">
        <f t="shared" si="36"/>
        <v>1500</v>
      </c>
      <c r="U91" s="315">
        <f t="shared" si="9"/>
        <v>1535.175</v>
      </c>
      <c r="V91" s="315">
        <f t="shared" si="10"/>
        <v>1550</v>
      </c>
      <c r="W91" s="316">
        <f t="shared" si="12"/>
        <v>0</v>
      </c>
    </row>
    <row r="92" spans="1:23" x14ac:dyDescent="0.25">
      <c r="A92" s="200">
        <v>203033</v>
      </c>
      <c r="B92" s="313" t="s">
        <v>14872</v>
      </c>
      <c r="C92" s="248"/>
      <c r="D92" s="247" t="s">
        <v>2</v>
      </c>
      <c r="E92" s="249">
        <f t="shared" si="0"/>
        <v>11.256300000000003</v>
      </c>
      <c r="F92" s="258">
        <v>0.55000000000000004</v>
      </c>
      <c r="G92" s="258">
        <f t="shared" si="1"/>
        <v>0.55000000000000004</v>
      </c>
      <c r="H92" s="249">
        <f t="shared" si="2"/>
        <v>0</v>
      </c>
      <c r="I92" s="314"/>
      <c r="J92" s="258">
        <f t="shared" si="3"/>
        <v>0</v>
      </c>
      <c r="K92" s="249">
        <f t="shared" si="4"/>
        <v>8.1864000000000026</v>
      </c>
      <c r="L92" s="258">
        <v>0.4</v>
      </c>
      <c r="M92" s="258">
        <f t="shared" si="5"/>
        <v>0.4</v>
      </c>
      <c r="N92" s="251">
        <f t="shared" si="6"/>
        <v>1.0233000000000003</v>
      </c>
      <c r="O92" s="258">
        <v>0.05</v>
      </c>
      <c r="P92" s="258">
        <f t="shared" si="7"/>
        <v>0.05</v>
      </c>
      <c r="Q92" s="249">
        <v>20</v>
      </c>
      <c r="R92" s="249">
        <f t="shared" si="8"/>
        <v>20.466000000000005</v>
      </c>
      <c r="S92" s="258">
        <v>0.2</v>
      </c>
      <c r="T92" s="169">
        <f t="shared" si="36"/>
        <v>24</v>
      </c>
      <c r="U92" s="315">
        <f t="shared" si="9"/>
        <v>24.559200000000004</v>
      </c>
      <c r="V92" s="315">
        <f t="shared" si="10"/>
        <v>25</v>
      </c>
      <c r="W92" s="316">
        <f t="shared" si="12"/>
        <v>0</v>
      </c>
    </row>
    <row r="93" spans="1:23" x14ac:dyDescent="0.25">
      <c r="A93" s="200">
        <v>203034</v>
      </c>
      <c r="B93" s="313" t="s">
        <v>20104</v>
      </c>
      <c r="C93" s="248"/>
      <c r="D93" s="247" t="s">
        <v>2</v>
      </c>
      <c r="E93" s="249">
        <f t="shared" si="0"/>
        <v>11.5126875</v>
      </c>
      <c r="F93" s="258">
        <v>0.5</v>
      </c>
      <c r="G93" s="258">
        <f t="shared" si="1"/>
        <v>0.5</v>
      </c>
      <c r="H93" s="249">
        <f t="shared" si="2"/>
        <v>0</v>
      </c>
      <c r="I93" s="314"/>
      <c r="J93" s="258">
        <f t="shared" si="3"/>
        <v>0</v>
      </c>
      <c r="K93" s="249">
        <f t="shared" si="4"/>
        <v>10.36141875</v>
      </c>
      <c r="L93" s="258">
        <v>0.45</v>
      </c>
      <c r="M93" s="258">
        <f t="shared" si="5"/>
        <v>0.45</v>
      </c>
      <c r="N93" s="251">
        <f t="shared" si="6"/>
        <v>1.1512687500000001</v>
      </c>
      <c r="O93" s="258">
        <v>0.05</v>
      </c>
      <c r="P93" s="258">
        <f t="shared" si="7"/>
        <v>0.05</v>
      </c>
      <c r="Q93" s="249">
        <v>22.5</v>
      </c>
      <c r="R93" s="249">
        <f t="shared" si="8"/>
        <v>23.025375</v>
      </c>
      <c r="S93" s="258">
        <v>0.2</v>
      </c>
      <c r="T93" s="169">
        <f t="shared" si="36"/>
        <v>27</v>
      </c>
      <c r="U93" s="315">
        <f t="shared" si="9"/>
        <v>27.63045</v>
      </c>
      <c r="V93" s="315">
        <f t="shared" si="10"/>
        <v>28</v>
      </c>
      <c r="W93" s="316">
        <f t="shared" si="12"/>
        <v>0</v>
      </c>
    </row>
    <row r="94" spans="1:23" ht="14.4" thickBot="1" x14ac:dyDescent="0.3">
      <c r="A94" s="263">
        <v>203035</v>
      </c>
      <c r="B94" s="321" t="s">
        <v>20105</v>
      </c>
      <c r="C94" s="265"/>
      <c r="D94" s="264" t="s">
        <v>2</v>
      </c>
      <c r="E94" s="266">
        <f t="shared" si="0"/>
        <v>14.967225000000001</v>
      </c>
      <c r="F94" s="322">
        <v>0.45</v>
      </c>
      <c r="G94" s="322">
        <f t="shared" si="1"/>
        <v>0.45</v>
      </c>
      <c r="H94" s="266">
        <f t="shared" si="2"/>
        <v>0</v>
      </c>
      <c r="I94" s="323"/>
      <c r="J94" s="322">
        <f t="shared" si="3"/>
        <v>0</v>
      </c>
      <c r="K94" s="266">
        <f t="shared" si="4"/>
        <v>16.63025</v>
      </c>
      <c r="L94" s="322">
        <v>0.5</v>
      </c>
      <c r="M94" s="322">
        <f t="shared" si="5"/>
        <v>0.5</v>
      </c>
      <c r="N94" s="270">
        <f t="shared" si="6"/>
        <v>1.6630250000000002</v>
      </c>
      <c r="O94" s="322">
        <v>0.05</v>
      </c>
      <c r="P94" s="322">
        <f t="shared" si="7"/>
        <v>0.05</v>
      </c>
      <c r="Q94" s="266">
        <v>32.5</v>
      </c>
      <c r="R94" s="266">
        <f t="shared" si="8"/>
        <v>33.2605</v>
      </c>
      <c r="S94" s="322">
        <v>0.2</v>
      </c>
      <c r="T94" s="291">
        <f t="shared" si="36"/>
        <v>39</v>
      </c>
      <c r="U94" s="324">
        <f t="shared" si="9"/>
        <v>39.912599999999998</v>
      </c>
      <c r="V94" s="324">
        <f t="shared" si="10"/>
        <v>40</v>
      </c>
      <c r="W94" s="325">
        <f t="shared" si="12"/>
        <v>0</v>
      </c>
    </row>
    <row r="95" spans="1:23" x14ac:dyDescent="0.25">
      <c r="A95" s="200">
        <v>203036</v>
      </c>
      <c r="B95" s="313" t="s">
        <v>20106</v>
      </c>
      <c r="C95" s="248"/>
      <c r="D95" s="247" t="s">
        <v>2</v>
      </c>
      <c r="E95" s="249">
        <f t="shared" si="0"/>
        <v>17.269874999999999</v>
      </c>
      <c r="F95" s="258">
        <v>0.45</v>
      </c>
      <c r="G95" s="258">
        <f t="shared" si="1"/>
        <v>0.45</v>
      </c>
      <c r="H95" s="249">
        <f t="shared" si="2"/>
        <v>0</v>
      </c>
      <c r="I95" s="314"/>
      <c r="J95" s="258">
        <f t="shared" si="3"/>
        <v>0</v>
      </c>
      <c r="K95" s="249">
        <f t="shared" si="4"/>
        <v>19.188749999999999</v>
      </c>
      <c r="L95" s="258">
        <v>0.5</v>
      </c>
      <c r="M95" s="258">
        <f t="shared" si="5"/>
        <v>0.5</v>
      </c>
      <c r="N95" s="251">
        <f t="shared" si="6"/>
        <v>1.9188749999999999</v>
      </c>
      <c r="O95" s="258">
        <v>0.05</v>
      </c>
      <c r="P95" s="258">
        <f t="shared" si="7"/>
        <v>0.05</v>
      </c>
      <c r="Q95" s="249">
        <v>37.5</v>
      </c>
      <c r="R95" s="249">
        <f t="shared" si="8"/>
        <v>38.377499999999998</v>
      </c>
      <c r="S95" s="258">
        <v>0.2</v>
      </c>
      <c r="T95" s="169">
        <f t="shared" si="36"/>
        <v>45</v>
      </c>
      <c r="U95" s="315">
        <f t="shared" si="9"/>
        <v>46.052999999999997</v>
      </c>
      <c r="V95" s="315">
        <f t="shared" si="10"/>
        <v>47</v>
      </c>
      <c r="W95" s="316">
        <f t="shared" si="12"/>
        <v>0</v>
      </c>
    </row>
    <row r="96" spans="1:23" x14ac:dyDescent="0.25">
      <c r="A96" s="200">
        <v>203037</v>
      </c>
      <c r="B96" s="313" t="s">
        <v>14873</v>
      </c>
      <c r="C96" s="248"/>
      <c r="D96" s="247" t="s">
        <v>2</v>
      </c>
      <c r="E96" s="249">
        <f t="shared" ref="E96:E106" si="37">R96*G96</f>
        <v>2.5776927000000005</v>
      </c>
      <c r="F96" s="258">
        <v>0.55000000000000004</v>
      </c>
      <c r="G96" s="258">
        <f t="shared" ref="G96:G106" si="38">F96</f>
        <v>0.55000000000000004</v>
      </c>
      <c r="H96" s="249">
        <f t="shared" ref="H96:H106" si="39">R96*J96</f>
        <v>0</v>
      </c>
      <c r="I96" s="314"/>
      <c r="J96" s="258">
        <f t="shared" ref="J96:J106" si="40">I96</f>
        <v>0</v>
      </c>
      <c r="K96" s="249">
        <f t="shared" ref="K96:K106" si="41">R96*M96</f>
        <v>1.8746856000000003</v>
      </c>
      <c r="L96" s="258">
        <v>0.4</v>
      </c>
      <c r="M96" s="258">
        <f t="shared" ref="M96:M106" si="42">L96</f>
        <v>0.4</v>
      </c>
      <c r="N96" s="251">
        <f t="shared" ref="N96:N106" si="43">P96*R96</f>
        <v>0.23433570000000004</v>
      </c>
      <c r="O96" s="258">
        <v>0.05</v>
      </c>
      <c r="P96" s="258">
        <f t="shared" ref="P96:P106" si="44">O96</f>
        <v>0.05</v>
      </c>
      <c r="Q96" s="249">
        <v>4.58</v>
      </c>
      <c r="R96" s="249">
        <f t="shared" ref="R96:R132" si="45">SUM(F96*Q96*1.0235,I96*Q96*1.0175,L96*Q96*1.0245,O96*Q96*1.0115)</f>
        <v>4.6867140000000003</v>
      </c>
      <c r="S96" s="258">
        <v>0.2</v>
      </c>
      <c r="T96" s="169">
        <f t="shared" si="36"/>
        <v>5.4960000000000004</v>
      </c>
      <c r="U96" s="315">
        <f t="shared" si="9"/>
        <v>5.6240568</v>
      </c>
      <c r="V96" s="315">
        <f t="shared" si="10"/>
        <v>6</v>
      </c>
      <c r="W96" s="316">
        <f t="shared" si="12"/>
        <v>0</v>
      </c>
    </row>
    <row r="97" spans="1:23" x14ac:dyDescent="0.25">
      <c r="A97" s="200">
        <v>203038</v>
      </c>
      <c r="B97" s="313" t="s">
        <v>14874</v>
      </c>
      <c r="C97" s="248"/>
      <c r="D97" s="247" t="s">
        <v>2</v>
      </c>
      <c r="E97" s="249">
        <f t="shared" si="37"/>
        <v>3.7539760500000003</v>
      </c>
      <c r="F97" s="258">
        <v>0.55000000000000004</v>
      </c>
      <c r="G97" s="258">
        <f t="shared" si="38"/>
        <v>0.55000000000000004</v>
      </c>
      <c r="H97" s="249">
        <f t="shared" si="39"/>
        <v>0</v>
      </c>
      <c r="I97" s="314"/>
      <c r="J97" s="258">
        <f t="shared" si="40"/>
        <v>0</v>
      </c>
      <c r="K97" s="249">
        <f t="shared" si="41"/>
        <v>2.7301644</v>
      </c>
      <c r="L97" s="258">
        <v>0.4</v>
      </c>
      <c r="M97" s="258">
        <f t="shared" si="42"/>
        <v>0.4</v>
      </c>
      <c r="N97" s="251">
        <f t="shared" si="43"/>
        <v>0.34127055000000001</v>
      </c>
      <c r="O97" s="258">
        <v>0.05</v>
      </c>
      <c r="P97" s="258">
        <f t="shared" si="44"/>
        <v>0.05</v>
      </c>
      <c r="Q97" s="249">
        <v>6.67</v>
      </c>
      <c r="R97" s="249">
        <f t="shared" si="45"/>
        <v>6.8254109999999999</v>
      </c>
      <c r="S97" s="258">
        <v>0.2</v>
      </c>
      <c r="T97" s="169">
        <f t="shared" si="36"/>
        <v>8.0039999999999996</v>
      </c>
      <c r="U97" s="315">
        <f t="shared" si="9"/>
        <v>8.1904932000000006</v>
      </c>
      <c r="V97" s="315">
        <f t="shared" si="10"/>
        <v>9</v>
      </c>
      <c r="W97" s="316">
        <f t="shared" si="12"/>
        <v>0</v>
      </c>
    </row>
    <row r="98" spans="1:23" x14ac:dyDescent="0.25">
      <c r="A98" s="200">
        <v>203039</v>
      </c>
      <c r="B98" s="313" t="s">
        <v>14875</v>
      </c>
      <c r="C98" s="248"/>
      <c r="D98" s="247" t="s">
        <v>2</v>
      </c>
      <c r="E98" s="249">
        <f t="shared" si="37"/>
        <v>5.1167500000000006</v>
      </c>
      <c r="F98" s="258">
        <v>0.5</v>
      </c>
      <c r="G98" s="258">
        <f t="shared" si="38"/>
        <v>0.5</v>
      </c>
      <c r="H98" s="249">
        <f t="shared" si="39"/>
        <v>0</v>
      </c>
      <c r="I98" s="314"/>
      <c r="J98" s="258">
        <f t="shared" si="40"/>
        <v>0</v>
      </c>
      <c r="K98" s="249">
        <f t="shared" si="41"/>
        <v>4.6050750000000003</v>
      </c>
      <c r="L98" s="258">
        <v>0.45</v>
      </c>
      <c r="M98" s="258">
        <f t="shared" si="42"/>
        <v>0.45</v>
      </c>
      <c r="N98" s="251">
        <f t="shared" si="43"/>
        <v>0.5116750000000001</v>
      </c>
      <c r="O98" s="258">
        <v>0.05</v>
      </c>
      <c r="P98" s="258">
        <f t="shared" si="44"/>
        <v>0.05</v>
      </c>
      <c r="Q98" s="249">
        <v>10</v>
      </c>
      <c r="R98" s="249">
        <f t="shared" si="45"/>
        <v>10.233500000000001</v>
      </c>
      <c r="S98" s="258">
        <v>0.2</v>
      </c>
      <c r="T98" s="169">
        <f t="shared" si="36"/>
        <v>12</v>
      </c>
      <c r="U98" s="315">
        <f t="shared" ref="U98:U106" si="46">(R98*S98)+R98</f>
        <v>12.280200000000001</v>
      </c>
      <c r="V98" s="315">
        <f t="shared" ref="V98:V106" si="47">IF(U98=0, 0, IF(U98&lt;10, _xlfn.CEILING.MATH(U98,1), IF(U98&lt;100, _xlfn.CEILING.MATH(U98,1),IF(U98&lt;1000, _xlfn.CEILING.MATH(U98,5), IF(U98&lt;10000, _xlfn.CEILING.MATH(U98, 25), IF(U98&lt;100000, _xlfn.CEILING.MATH(U98,250), IF(U98&lt;1000000, _xlfn.CEILING.MATH(U98,500), 0)))))))</f>
        <v>13</v>
      </c>
      <c r="W98" s="316">
        <f t="shared" ref="W98:W104" si="48">C98*V98</f>
        <v>0</v>
      </c>
    </row>
    <row r="99" spans="1:23" x14ac:dyDescent="0.25">
      <c r="A99" s="200">
        <v>203040</v>
      </c>
      <c r="B99" s="313" t="s">
        <v>14876</v>
      </c>
      <c r="C99" s="248"/>
      <c r="D99" s="247" t="s">
        <v>2</v>
      </c>
      <c r="E99" s="249">
        <f t="shared" si="37"/>
        <v>7.6751250000000004</v>
      </c>
      <c r="F99" s="258">
        <v>0.5</v>
      </c>
      <c r="G99" s="258">
        <f t="shared" si="38"/>
        <v>0.5</v>
      </c>
      <c r="H99" s="249">
        <f t="shared" si="39"/>
        <v>0</v>
      </c>
      <c r="I99" s="314"/>
      <c r="J99" s="258">
        <f t="shared" si="40"/>
        <v>0</v>
      </c>
      <c r="K99" s="249">
        <f t="shared" si="41"/>
        <v>6.9076125000000008</v>
      </c>
      <c r="L99" s="258">
        <v>0.45</v>
      </c>
      <c r="M99" s="258">
        <f t="shared" si="42"/>
        <v>0.45</v>
      </c>
      <c r="N99" s="251">
        <f t="shared" si="43"/>
        <v>0.76751250000000004</v>
      </c>
      <c r="O99" s="258">
        <v>0.05</v>
      </c>
      <c r="P99" s="258">
        <f t="shared" si="44"/>
        <v>0.05</v>
      </c>
      <c r="Q99" s="249">
        <v>15</v>
      </c>
      <c r="R99" s="249">
        <f t="shared" si="45"/>
        <v>15.350250000000001</v>
      </c>
      <c r="S99" s="258">
        <v>0.2</v>
      </c>
      <c r="T99" s="169">
        <f t="shared" si="36"/>
        <v>18</v>
      </c>
      <c r="U99" s="315">
        <f t="shared" si="46"/>
        <v>18.420300000000001</v>
      </c>
      <c r="V99" s="315">
        <f t="shared" si="47"/>
        <v>19</v>
      </c>
      <c r="W99" s="316">
        <f t="shared" si="48"/>
        <v>0</v>
      </c>
    </row>
    <row r="100" spans="1:23" x14ac:dyDescent="0.25">
      <c r="A100" s="200">
        <v>203041</v>
      </c>
      <c r="B100" s="313" t="s">
        <v>14877</v>
      </c>
      <c r="C100" s="248"/>
      <c r="D100" s="247" t="s">
        <v>2</v>
      </c>
      <c r="E100" s="249">
        <f t="shared" si="37"/>
        <v>8.529622250000001</v>
      </c>
      <c r="F100" s="258">
        <v>0.5</v>
      </c>
      <c r="G100" s="258">
        <f t="shared" si="38"/>
        <v>0.5</v>
      </c>
      <c r="H100" s="249">
        <f t="shared" si="39"/>
        <v>0</v>
      </c>
      <c r="I100" s="314"/>
      <c r="J100" s="258">
        <f t="shared" si="40"/>
        <v>0</v>
      </c>
      <c r="K100" s="249">
        <f t="shared" si="41"/>
        <v>7.6766600250000012</v>
      </c>
      <c r="L100" s="258">
        <v>0.45</v>
      </c>
      <c r="M100" s="258">
        <f t="shared" si="42"/>
        <v>0.45</v>
      </c>
      <c r="N100" s="251">
        <f t="shared" si="43"/>
        <v>0.85296222500000018</v>
      </c>
      <c r="O100" s="258">
        <v>0.05</v>
      </c>
      <c r="P100" s="258">
        <f t="shared" si="44"/>
        <v>0.05</v>
      </c>
      <c r="Q100" s="249">
        <v>16.670000000000002</v>
      </c>
      <c r="R100" s="249">
        <f t="shared" si="45"/>
        <v>17.059244500000002</v>
      </c>
      <c r="S100" s="258">
        <v>0.2</v>
      </c>
      <c r="T100" s="169">
        <f t="shared" si="36"/>
        <v>20.004000000000001</v>
      </c>
      <c r="U100" s="315">
        <f t="shared" si="46"/>
        <v>20.471093400000001</v>
      </c>
      <c r="V100" s="315">
        <f t="shared" si="47"/>
        <v>21</v>
      </c>
      <c r="W100" s="316">
        <f t="shared" si="48"/>
        <v>0</v>
      </c>
    </row>
    <row r="101" spans="1:23" x14ac:dyDescent="0.25">
      <c r="A101" s="200">
        <v>203042</v>
      </c>
      <c r="B101" s="313" t="s">
        <v>14878</v>
      </c>
      <c r="C101" s="248"/>
      <c r="D101" s="247" t="s">
        <v>2</v>
      </c>
      <c r="E101" s="249">
        <f t="shared" si="37"/>
        <v>8.8283601000000012</v>
      </c>
      <c r="F101" s="258">
        <v>0.45</v>
      </c>
      <c r="G101" s="258">
        <f t="shared" si="38"/>
        <v>0.45</v>
      </c>
      <c r="H101" s="249">
        <f t="shared" si="39"/>
        <v>0</v>
      </c>
      <c r="I101" s="314"/>
      <c r="J101" s="258">
        <f t="shared" si="40"/>
        <v>0</v>
      </c>
      <c r="K101" s="249">
        <f t="shared" si="41"/>
        <v>9.8092890000000015</v>
      </c>
      <c r="L101" s="258">
        <v>0.5</v>
      </c>
      <c r="M101" s="258">
        <f t="shared" si="42"/>
        <v>0.5</v>
      </c>
      <c r="N101" s="251">
        <f t="shared" si="43"/>
        <v>0.98092890000000021</v>
      </c>
      <c r="O101" s="258">
        <v>0.05</v>
      </c>
      <c r="P101" s="258">
        <f t="shared" si="44"/>
        <v>0.05</v>
      </c>
      <c r="Q101" s="249">
        <v>19.170000000000002</v>
      </c>
      <c r="R101" s="249">
        <f t="shared" si="45"/>
        <v>19.618578000000003</v>
      </c>
      <c r="S101" s="258">
        <v>0.2</v>
      </c>
      <c r="T101" s="169">
        <f t="shared" si="36"/>
        <v>23.004000000000001</v>
      </c>
      <c r="U101" s="315">
        <f t="shared" si="46"/>
        <v>23.542293600000004</v>
      </c>
      <c r="V101" s="315">
        <f t="shared" si="47"/>
        <v>24</v>
      </c>
      <c r="W101" s="316">
        <f t="shared" si="48"/>
        <v>0</v>
      </c>
    </row>
    <row r="102" spans="1:23" x14ac:dyDescent="0.25">
      <c r="A102" s="200">
        <v>203050</v>
      </c>
      <c r="B102" s="313" t="s">
        <v>16138</v>
      </c>
      <c r="C102" s="248"/>
      <c r="D102" s="247" t="s">
        <v>2</v>
      </c>
      <c r="E102" s="249">
        <f t="shared" si="37"/>
        <v>26.2485</v>
      </c>
      <c r="F102" s="258">
        <v>0.45</v>
      </c>
      <c r="G102" s="258">
        <f t="shared" si="38"/>
        <v>0.45</v>
      </c>
      <c r="H102" s="249">
        <f t="shared" si="39"/>
        <v>0</v>
      </c>
      <c r="I102" s="314"/>
      <c r="J102" s="258">
        <f t="shared" si="40"/>
        <v>0</v>
      </c>
      <c r="K102" s="249">
        <f t="shared" si="41"/>
        <v>29.164999999999999</v>
      </c>
      <c r="L102" s="258">
        <v>0.5</v>
      </c>
      <c r="M102" s="258">
        <f t="shared" si="42"/>
        <v>0.5</v>
      </c>
      <c r="N102" s="251">
        <f t="shared" si="43"/>
        <v>2.9165000000000001</v>
      </c>
      <c r="O102" s="258">
        <v>0.05</v>
      </c>
      <c r="P102" s="258">
        <f t="shared" si="44"/>
        <v>0.05</v>
      </c>
      <c r="Q102" s="249"/>
      <c r="R102" s="249">
        <v>58.33</v>
      </c>
      <c r="S102" s="258">
        <v>0.2</v>
      </c>
      <c r="T102" s="169">
        <f>Q102+Q102*S102</f>
        <v>0</v>
      </c>
      <c r="U102" s="315">
        <f t="shared" si="46"/>
        <v>69.995999999999995</v>
      </c>
      <c r="V102" s="315">
        <f t="shared" si="47"/>
        <v>70</v>
      </c>
      <c r="W102" s="316">
        <f t="shared" si="48"/>
        <v>0</v>
      </c>
    </row>
    <row r="103" spans="1:23" x14ac:dyDescent="0.25">
      <c r="A103" s="200">
        <v>203051</v>
      </c>
      <c r="B103" s="313" t="s">
        <v>16139</v>
      </c>
      <c r="C103" s="248"/>
      <c r="D103" s="247" t="s">
        <v>2</v>
      </c>
      <c r="E103" s="249">
        <f t="shared" si="37"/>
        <v>33.75</v>
      </c>
      <c r="F103" s="258">
        <v>0.45</v>
      </c>
      <c r="G103" s="258">
        <f t="shared" si="38"/>
        <v>0.45</v>
      </c>
      <c r="H103" s="249">
        <f t="shared" si="39"/>
        <v>0</v>
      </c>
      <c r="I103" s="314"/>
      <c r="J103" s="258">
        <f t="shared" si="40"/>
        <v>0</v>
      </c>
      <c r="K103" s="249">
        <f t="shared" si="41"/>
        <v>37.5</v>
      </c>
      <c r="L103" s="258">
        <v>0.5</v>
      </c>
      <c r="M103" s="258">
        <f t="shared" si="42"/>
        <v>0.5</v>
      </c>
      <c r="N103" s="251">
        <f t="shared" si="43"/>
        <v>3.75</v>
      </c>
      <c r="O103" s="258">
        <v>0.05</v>
      </c>
      <c r="P103" s="258">
        <f t="shared" si="44"/>
        <v>0.05</v>
      </c>
      <c r="Q103" s="249"/>
      <c r="R103" s="249">
        <v>75</v>
      </c>
      <c r="S103" s="258">
        <v>0.2</v>
      </c>
      <c r="T103" s="169">
        <f>Q103+Q103*S103</f>
        <v>0</v>
      </c>
      <c r="U103" s="315">
        <f t="shared" si="46"/>
        <v>90</v>
      </c>
      <c r="V103" s="315">
        <f t="shared" si="47"/>
        <v>90</v>
      </c>
      <c r="W103" s="316">
        <f t="shared" si="48"/>
        <v>0</v>
      </c>
    </row>
    <row r="104" spans="1:23" x14ac:dyDescent="0.25">
      <c r="A104" s="200">
        <v>203052</v>
      </c>
      <c r="B104" s="313" t="s">
        <v>16140</v>
      </c>
      <c r="C104" s="248"/>
      <c r="D104" s="247" t="s">
        <v>2</v>
      </c>
      <c r="E104" s="249">
        <f t="shared" si="37"/>
        <v>45</v>
      </c>
      <c r="F104" s="258">
        <v>0.45</v>
      </c>
      <c r="G104" s="258">
        <f t="shared" si="38"/>
        <v>0.45</v>
      </c>
      <c r="H104" s="249">
        <f t="shared" si="39"/>
        <v>0</v>
      </c>
      <c r="I104" s="314"/>
      <c r="J104" s="258">
        <f t="shared" si="40"/>
        <v>0</v>
      </c>
      <c r="K104" s="249">
        <f t="shared" si="41"/>
        <v>50</v>
      </c>
      <c r="L104" s="258">
        <v>0.5</v>
      </c>
      <c r="M104" s="258">
        <f t="shared" si="42"/>
        <v>0.5</v>
      </c>
      <c r="N104" s="251">
        <f t="shared" si="43"/>
        <v>5</v>
      </c>
      <c r="O104" s="258">
        <v>0.05</v>
      </c>
      <c r="P104" s="258">
        <f t="shared" si="44"/>
        <v>0.05</v>
      </c>
      <c r="Q104" s="249"/>
      <c r="R104" s="249">
        <v>100</v>
      </c>
      <c r="S104" s="258">
        <v>0.2</v>
      </c>
      <c r="T104" s="169">
        <f>Q104+Q104*S104</f>
        <v>0</v>
      </c>
      <c r="U104" s="315">
        <f t="shared" si="46"/>
        <v>120</v>
      </c>
      <c r="V104" s="315">
        <f t="shared" si="47"/>
        <v>120</v>
      </c>
      <c r="W104" s="316">
        <f t="shared" si="48"/>
        <v>0</v>
      </c>
    </row>
    <row r="105" spans="1:23" x14ac:dyDescent="0.25">
      <c r="A105" s="200">
        <v>203110</v>
      </c>
      <c r="B105" s="313" t="s">
        <v>16141</v>
      </c>
      <c r="C105" s="248"/>
      <c r="D105" s="247" t="s">
        <v>11</v>
      </c>
      <c r="E105" s="249">
        <f t="shared" si="37"/>
        <v>6465</v>
      </c>
      <c r="F105" s="258">
        <f>6465/8290</f>
        <v>0.77985524728588662</v>
      </c>
      <c r="G105" s="258">
        <f t="shared" si="38"/>
        <v>0.77985524728588662</v>
      </c>
      <c r="H105" s="249">
        <f t="shared" si="39"/>
        <v>0</v>
      </c>
      <c r="I105" s="314"/>
      <c r="J105" s="258">
        <f t="shared" si="40"/>
        <v>0</v>
      </c>
      <c r="K105" s="249">
        <f t="shared" si="41"/>
        <v>1250</v>
      </c>
      <c r="L105" s="258">
        <f>1250/8290</f>
        <v>0.15078407720144751</v>
      </c>
      <c r="M105" s="258">
        <f t="shared" si="42"/>
        <v>0.15078407720144751</v>
      </c>
      <c r="N105" s="251">
        <f t="shared" si="43"/>
        <v>575</v>
      </c>
      <c r="O105" s="258">
        <f>575/8290</f>
        <v>6.9360675512665865E-2</v>
      </c>
      <c r="P105" s="258">
        <f t="shared" si="44"/>
        <v>6.9360675512665865E-2</v>
      </c>
      <c r="Q105" s="249"/>
      <c r="R105" s="249">
        <v>8290</v>
      </c>
      <c r="S105" s="258">
        <v>0.2</v>
      </c>
      <c r="T105" s="169">
        <f>Q105+Q105*S105</f>
        <v>0</v>
      </c>
      <c r="U105" s="315">
        <f t="shared" si="46"/>
        <v>9948</v>
      </c>
      <c r="V105" s="315">
        <f t="shared" si="47"/>
        <v>9950</v>
      </c>
      <c r="W105" s="316">
        <f>C105*V105</f>
        <v>0</v>
      </c>
    </row>
    <row r="106" spans="1:23" x14ac:dyDescent="0.25">
      <c r="A106" s="200">
        <v>203111</v>
      </c>
      <c r="B106" s="313" t="s">
        <v>16142</v>
      </c>
      <c r="C106" s="248"/>
      <c r="D106" s="247" t="s">
        <v>11</v>
      </c>
      <c r="E106" s="249">
        <f t="shared" si="37"/>
        <v>8081</v>
      </c>
      <c r="F106" s="258">
        <f>8081/8906</f>
        <v>0.90736582079496964</v>
      </c>
      <c r="G106" s="258">
        <f t="shared" si="38"/>
        <v>0.90736582079496964</v>
      </c>
      <c r="H106" s="249">
        <f t="shared" si="39"/>
        <v>0</v>
      </c>
      <c r="I106" s="314"/>
      <c r="J106" s="258">
        <f t="shared" si="40"/>
        <v>0</v>
      </c>
      <c r="K106" s="249">
        <f t="shared" si="41"/>
        <v>650</v>
      </c>
      <c r="L106" s="258">
        <f>650/8906</f>
        <v>7.2984504828205704E-2</v>
      </c>
      <c r="M106" s="258">
        <f t="shared" si="42"/>
        <v>7.2984504828205704E-2</v>
      </c>
      <c r="N106" s="251">
        <f t="shared" si="43"/>
        <v>175</v>
      </c>
      <c r="O106" s="258">
        <f>175/8906</f>
        <v>1.9649674376824612E-2</v>
      </c>
      <c r="P106" s="258">
        <f t="shared" si="44"/>
        <v>1.9649674376824612E-2</v>
      </c>
      <c r="Q106" s="249"/>
      <c r="R106" s="249">
        <v>8906</v>
      </c>
      <c r="S106" s="258">
        <v>0.2</v>
      </c>
      <c r="T106" s="169">
        <f>Q106+Q106*S106</f>
        <v>0</v>
      </c>
      <c r="U106" s="315">
        <f t="shared" si="46"/>
        <v>10687.2</v>
      </c>
      <c r="V106" s="315">
        <f t="shared" si="47"/>
        <v>10750</v>
      </c>
      <c r="W106" s="316">
        <f>C106*V106</f>
        <v>0</v>
      </c>
    </row>
    <row r="107" spans="1:23" x14ac:dyDescent="0.25">
      <c r="A107" s="199" t="s">
        <v>14555</v>
      </c>
      <c r="B107" s="307" t="s">
        <v>14556</v>
      </c>
      <c r="C107" s="308"/>
      <c r="D107" s="309"/>
      <c r="E107" s="310"/>
      <c r="F107" s="311"/>
      <c r="G107" s="311"/>
      <c r="H107" s="310"/>
      <c r="I107" s="311"/>
      <c r="J107" s="311"/>
      <c r="K107" s="310"/>
      <c r="L107" s="311"/>
      <c r="M107" s="311"/>
      <c r="N107" s="310"/>
      <c r="O107" s="311"/>
      <c r="P107" s="311"/>
      <c r="Q107" s="310"/>
      <c r="R107" s="310"/>
      <c r="S107" s="309"/>
      <c r="T107" s="309"/>
      <c r="U107" s="309"/>
      <c r="V107" s="309"/>
      <c r="W107" s="312"/>
    </row>
    <row r="108" spans="1:23" ht="21" x14ac:dyDescent="0.25">
      <c r="A108" s="200">
        <v>207020</v>
      </c>
      <c r="B108" s="255" t="s">
        <v>20107</v>
      </c>
      <c r="C108" s="248"/>
      <c r="D108" s="247" t="s">
        <v>1</v>
      </c>
      <c r="E108" s="249">
        <f t="shared" ref="E108:E124" si="49">R108*G108</f>
        <v>35.725614750000005</v>
      </c>
      <c r="F108" s="258">
        <v>0.45</v>
      </c>
      <c r="G108" s="258">
        <f t="shared" ref="G108:G124" si="50">F108</f>
        <v>0.45</v>
      </c>
      <c r="H108" s="249">
        <f t="shared" ref="H108:H124" si="51">R108*J108</f>
        <v>0</v>
      </c>
      <c r="I108" s="258"/>
      <c r="J108" s="258">
        <f t="shared" ref="J108:J124" si="52">I108</f>
        <v>0</v>
      </c>
      <c r="K108" s="249">
        <f t="shared" ref="K108:K124" si="53">R108*M108</f>
        <v>39.695127500000005</v>
      </c>
      <c r="L108" s="258">
        <v>0.5</v>
      </c>
      <c r="M108" s="258">
        <f t="shared" ref="M108:M124" si="54">L108</f>
        <v>0.5</v>
      </c>
      <c r="N108" s="251">
        <f t="shared" ref="N108:N124" si="55">P108*R108</f>
        <v>3.9695127500000007</v>
      </c>
      <c r="O108" s="258">
        <v>0.05</v>
      </c>
      <c r="P108" s="258">
        <f t="shared" ref="P108:P124" si="56">O108</f>
        <v>0.05</v>
      </c>
      <c r="Q108" s="249">
        <v>77.575000000000003</v>
      </c>
      <c r="R108" s="249">
        <f t="shared" si="45"/>
        <v>79.39025500000001</v>
      </c>
      <c r="S108" s="258">
        <v>0.25</v>
      </c>
      <c r="T108" s="169">
        <f>Q108+Q108*S108+0.03</f>
        <v>96.998750000000001</v>
      </c>
      <c r="U108" s="315">
        <f t="shared" ref="U108:U124" si="57">(R108*S108)+R108</f>
        <v>99.237818750000017</v>
      </c>
      <c r="V108" s="315">
        <f t="shared" ref="V108:V124" si="58">IF(U108=0, 0, IF(U108&lt;10, _xlfn.CEILING.MATH(U108,1), IF(U108&lt;100, _xlfn.CEILING.MATH(U108,1),IF(U108&lt;1000, _xlfn.CEILING.MATH(U108,5), IF(U108&lt;10000, _xlfn.CEILING.MATH(U108, 25), IF(U108&lt;100000, _xlfn.CEILING.MATH(U108,250), IF(U108&lt;1000000, _xlfn.CEILING.MATH(U108,500), 0)))))))</f>
        <v>100</v>
      </c>
      <c r="W108" s="316">
        <f t="shared" ref="W108:W124" si="59">C108*V108</f>
        <v>0</v>
      </c>
    </row>
    <row r="109" spans="1:23" ht="21" x14ac:dyDescent="0.25">
      <c r="A109" s="200">
        <v>207021</v>
      </c>
      <c r="B109" s="255" t="s">
        <v>20108</v>
      </c>
      <c r="C109" s="248"/>
      <c r="D109" s="247" t="s">
        <v>1</v>
      </c>
      <c r="E109" s="249">
        <f t="shared" si="49"/>
        <v>33.51029994703125</v>
      </c>
      <c r="F109" s="258">
        <v>0.45</v>
      </c>
      <c r="G109" s="258">
        <f t="shared" si="50"/>
        <v>0.45</v>
      </c>
      <c r="H109" s="249">
        <f t="shared" si="51"/>
        <v>0</v>
      </c>
      <c r="I109" s="258"/>
      <c r="J109" s="258">
        <f t="shared" si="52"/>
        <v>0</v>
      </c>
      <c r="K109" s="249">
        <f t="shared" si="53"/>
        <v>37.233666607812502</v>
      </c>
      <c r="L109" s="258">
        <v>0.5</v>
      </c>
      <c r="M109" s="258">
        <f t="shared" si="54"/>
        <v>0.5</v>
      </c>
      <c r="N109" s="251">
        <f t="shared" si="55"/>
        <v>3.7233666607812506</v>
      </c>
      <c r="O109" s="258">
        <v>0.05</v>
      </c>
      <c r="P109" s="258">
        <f t="shared" si="56"/>
        <v>0.05</v>
      </c>
      <c r="Q109" s="249">
        <v>72.764640624999998</v>
      </c>
      <c r="R109" s="249">
        <f t="shared" si="45"/>
        <v>74.467333215625004</v>
      </c>
      <c r="S109" s="258">
        <v>0.25</v>
      </c>
      <c r="T109" s="169">
        <f>Q109+Q109*S109+0.04</f>
        <v>90.995800781249997</v>
      </c>
      <c r="U109" s="315">
        <f t="shared" si="57"/>
        <v>93.084166519531252</v>
      </c>
      <c r="V109" s="315">
        <f t="shared" si="58"/>
        <v>94</v>
      </c>
      <c r="W109" s="316">
        <f t="shared" si="59"/>
        <v>0</v>
      </c>
    </row>
    <row r="110" spans="1:23" ht="21" x14ac:dyDescent="0.25">
      <c r="A110" s="200">
        <v>207022</v>
      </c>
      <c r="B110" s="255" t="s">
        <v>20109</v>
      </c>
      <c r="C110" s="248"/>
      <c r="D110" s="247" t="s">
        <v>1</v>
      </c>
      <c r="E110" s="249">
        <f t="shared" si="49"/>
        <v>30.058793099999995</v>
      </c>
      <c r="F110" s="258">
        <v>0.45</v>
      </c>
      <c r="G110" s="258">
        <f t="shared" si="50"/>
        <v>0.45</v>
      </c>
      <c r="H110" s="249">
        <f t="shared" si="51"/>
        <v>0</v>
      </c>
      <c r="I110" s="258"/>
      <c r="J110" s="258">
        <f t="shared" si="52"/>
        <v>0</v>
      </c>
      <c r="K110" s="249">
        <f t="shared" si="53"/>
        <v>33.398658999999995</v>
      </c>
      <c r="L110" s="258">
        <v>0.5</v>
      </c>
      <c r="M110" s="258">
        <f t="shared" si="54"/>
        <v>0.5</v>
      </c>
      <c r="N110" s="251">
        <f t="shared" si="55"/>
        <v>3.3398658999999995</v>
      </c>
      <c r="O110" s="258">
        <v>0.05</v>
      </c>
      <c r="P110" s="258">
        <f t="shared" si="56"/>
        <v>0.05</v>
      </c>
      <c r="Q110" s="249">
        <v>65.27</v>
      </c>
      <c r="R110" s="249">
        <f t="shared" si="45"/>
        <v>66.79731799999999</v>
      </c>
      <c r="S110" s="258">
        <v>0.25</v>
      </c>
      <c r="T110" s="169">
        <f>Q110+Q110*S110+0.41</f>
        <v>81.997499999999988</v>
      </c>
      <c r="U110" s="315">
        <f t="shared" si="57"/>
        <v>83.496647499999995</v>
      </c>
      <c r="V110" s="315">
        <f t="shared" si="58"/>
        <v>84</v>
      </c>
      <c r="W110" s="316">
        <f t="shared" si="59"/>
        <v>0</v>
      </c>
    </row>
    <row r="111" spans="1:23" ht="21" x14ac:dyDescent="0.25">
      <c r="A111" s="200">
        <v>207023</v>
      </c>
      <c r="B111" s="255" t="s">
        <v>20110</v>
      </c>
      <c r="C111" s="248"/>
      <c r="D111" s="247" t="s">
        <v>1</v>
      </c>
      <c r="E111" s="249">
        <f t="shared" si="49"/>
        <v>47.5813839375</v>
      </c>
      <c r="F111" s="258">
        <v>0.45</v>
      </c>
      <c r="G111" s="258">
        <f t="shared" si="50"/>
        <v>0.45</v>
      </c>
      <c r="H111" s="249">
        <f t="shared" si="51"/>
        <v>0</v>
      </c>
      <c r="I111" s="258"/>
      <c r="J111" s="258">
        <f t="shared" si="52"/>
        <v>0</v>
      </c>
      <c r="K111" s="249">
        <f t="shared" si="53"/>
        <v>52.868204374999998</v>
      </c>
      <c r="L111" s="258">
        <v>0.5</v>
      </c>
      <c r="M111" s="258">
        <f t="shared" si="54"/>
        <v>0.5</v>
      </c>
      <c r="N111" s="251">
        <f t="shared" si="55"/>
        <v>5.2868204375000003</v>
      </c>
      <c r="O111" s="258">
        <v>0.05</v>
      </c>
      <c r="P111" s="258">
        <f t="shared" si="56"/>
        <v>0.05</v>
      </c>
      <c r="Q111" s="249">
        <v>103.31874999999999</v>
      </c>
      <c r="R111" s="249">
        <f t="shared" si="45"/>
        <v>105.73640875</v>
      </c>
      <c r="S111" s="258">
        <v>0.25</v>
      </c>
      <c r="T111" s="169">
        <f>Q111+Q111*S111-0.15</f>
        <v>128.99843749999999</v>
      </c>
      <c r="U111" s="315">
        <f t="shared" si="57"/>
        <v>132.17051093749998</v>
      </c>
      <c r="V111" s="315">
        <f t="shared" si="58"/>
        <v>135</v>
      </c>
      <c r="W111" s="316">
        <f t="shared" si="59"/>
        <v>0</v>
      </c>
    </row>
    <row r="112" spans="1:23" ht="21" x14ac:dyDescent="0.25">
      <c r="A112" s="200">
        <v>207024</v>
      </c>
      <c r="B112" s="255" t="s">
        <v>20111</v>
      </c>
      <c r="C112" s="248"/>
      <c r="D112" s="247" t="s">
        <v>1</v>
      </c>
      <c r="E112" s="249">
        <f t="shared" si="49"/>
        <v>43.463144782968747</v>
      </c>
      <c r="F112" s="258">
        <v>0.45</v>
      </c>
      <c r="G112" s="258">
        <f t="shared" si="50"/>
        <v>0.45</v>
      </c>
      <c r="H112" s="249">
        <f t="shared" si="51"/>
        <v>0</v>
      </c>
      <c r="I112" s="258"/>
      <c r="J112" s="258">
        <f t="shared" si="52"/>
        <v>0</v>
      </c>
      <c r="K112" s="249">
        <f t="shared" si="53"/>
        <v>48.292383092187499</v>
      </c>
      <c r="L112" s="258">
        <v>0.5</v>
      </c>
      <c r="M112" s="258">
        <f t="shared" si="54"/>
        <v>0.5</v>
      </c>
      <c r="N112" s="251">
        <f t="shared" si="55"/>
        <v>4.8292383092187503</v>
      </c>
      <c r="O112" s="258">
        <v>0.05</v>
      </c>
      <c r="P112" s="258">
        <f t="shared" si="56"/>
        <v>0.05</v>
      </c>
      <c r="Q112" s="249">
        <v>94.376359374999993</v>
      </c>
      <c r="R112" s="249">
        <f t="shared" si="45"/>
        <v>96.584766184374999</v>
      </c>
      <c r="S112" s="258">
        <v>0.25</v>
      </c>
      <c r="T112" s="169">
        <f>Q112+Q112*S112+0.03</f>
        <v>118.00044921874999</v>
      </c>
      <c r="U112" s="315">
        <f t="shared" si="57"/>
        <v>120.73095773046875</v>
      </c>
      <c r="V112" s="315">
        <f t="shared" si="58"/>
        <v>125</v>
      </c>
      <c r="W112" s="316">
        <f t="shared" si="59"/>
        <v>0</v>
      </c>
    </row>
    <row r="113" spans="1:23" ht="21" x14ac:dyDescent="0.25">
      <c r="A113" s="200">
        <v>207025</v>
      </c>
      <c r="B113" s="255" t="s">
        <v>20112</v>
      </c>
      <c r="C113" s="248"/>
      <c r="D113" s="247" t="s">
        <v>1</v>
      </c>
      <c r="E113" s="249">
        <f t="shared" si="49"/>
        <v>41.101600191749995</v>
      </c>
      <c r="F113" s="258">
        <v>0.45</v>
      </c>
      <c r="G113" s="258">
        <f t="shared" si="50"/>
        <v>0.45</v>
      </c>
      <c r="H113" s="249">
        <f t="shared" si="51"/>
        <v>0</v>
      </c>
      <c r="I113" s="258"/>
      <c r="J113" s="258">
        <f t="shared" si="52"/>
        <v>0</v>
      </c>
      <c r="K113" s="249">
        <f t="shared" si="53"/>
        <v>45.668444657499997</v>
      </c>
      <c r="L113" s="258">
        <v>0.5</v>
      </c>
      <c r="M113" s="258">
        <f t="shared" si="54"/>
        <v>0.5</v>
      </c>
      <c r="N113" s="251">
        <f t="shared" si="55"/>
        <v>4.56684446575</v>
      </c>
      <c r="O113" s="258">
        <v>0.05</v>
      </c>
      <c r="P113" s="258">
        <f t="shared" si="56"/>
        <v>0.05</v>
      </c>
      <c r="Q113" s="249">
        <v>89.248474999999985</v>
      </c>
      <c r="R113" s="249">
        <f t="shared" si="45"/>
        <v>91.336889314999993</v>
      </c>
      <c r="S113" s="258">
        <v>0.25</v>
      </c>
      <c r="T113" s="169">
        <f>Q113+Q113*S113+0.44</f>
        <v>112.00059374999998</v>
      </c>
      <c r="U113" s="315">
        <f t="shared" si="57"/>
        <v>114.17111164375</v>
      </c>
      <c r="V113" s="315">
        <f t="shared" si="58"/>
        <v>115</v>
      </c>
      <c r="W113" s="316">
        <f t="shared" si="59"/>
        <v>0</v>
      </c>
    </row>
    <row r="114" spans="1:23" ht="21" x14ac:dyDescent="0.25">
      <c r="A114" s="200">
        <v>207026</v>
      </c>
      <c r="B114" s="255" t="s">
        <v>20113</v>
      </c>
      <c r="C114" s="248"/>
      <c r="D114" s="247" t="s">
        <v>1</v>
      </c>
      <c r="E114" s="249">
        <f t="shared" si="49"/>
        <v>76.63343926875001</v>
      </c>
      <c r="F114" s="258">
        <v>0.45</v>
      </c>
      <c r="G114" s="258">
        <f t="shared" si="50"/>
        <v>0.45</v>
      </c>
      <c r="H114" s="249">
        <f t="shared" si="51"/>
        <v>0</v>
      </c>
      <c r="I114" s="258"/>
      <c r="J114" s="258">
        <f t="shared" si="52"/>
        <v>0</v>
      </c>
      <c r="K114" s="249">
        <f t="shared" si="53"/>
        <v>85.148265854166681</v>
      </c>
      <c r="L114" s="258">
        <v>0.5</v>
      </c>
      <c r="M114" s="258">
        <f t="shared" si="54"/>
        <v>0.5</v>
      </c>
      <c r="N114" s="251">
        <f t="shared" si="55"/>
        <v>8.5148265854166691</v>
      </c>
      <c r="O114" s="258">
        <v>0.05</v>
      </c>
      <c r="P114" s="258">
        <f t="shared" si="56"/>
        <v>0.05</v>
      </c>
      <c r="Q114" s="249">
        <v>166.40270833333335</v>
      </c>
      <c r="R114" s="249">
        <f t="shared" si="45"/>
        <v>170.29653170833336</v>
      </c>
      <c r="S114" s="258">
        <v>0.25</v>
      </c>
      <c r="T114" s="169">
        <f>Q114+Q114*S114-0.15+0.15</f>
        <v>208.00338541666667</v>
      </c>
      <c r="U114" s="315">
        <f t="shared" si="57"/>
        <v>212.87066463541669</v>
      </c>
      <c r="V114" s="315">
        <f t="shared" si="58"/>
        <v>215</v>
      </c>
      <c r="W114" s="316">
        <f t="shared" si="59"/>
        <v>0</v>
      </c>
    </row>
    <row r="115" spans="1:23" ht="21" x14ac:dyDescent="0.25">
      <c r="A115" s="200">
        <v>207027</v>
      </c>
      <c r="B115" s="255" t="s">
        <v>20114</v>
      </c>
      <c r="C115" s="248"/>
      <c r="D115" s="247" t="s">
        <v>1</v>
      </c>
      <c r="E115" s="249">
        <f t="shared" si="49"/>
        <v>64.950704634375015</v>
      </c>
      <c r="F115" s="258">
        <v>0.45</v>
      </c>
      <c r="G115" s="258">
        <f t="shared" si="50"/>
        <v>0.45</v>
      </c>
      <c r="H115" s="249">
        <f t="shared" si="51"/>
        <v>0</v>
      </c>
      <c r="I115" s="258"/>
      <c r="J115" s="258">
        <f t="shared" si="52"/>
        <v>0</v>
      </c>
      <c r="K115" s="249">
        <f t="shared" si="53"/>
        <v>72.167449593750007</v>
      </c>
      <c r="L115" s="258">
        <v>0.5</v>
      </c>
      <c r="M115" s="258">
        <f t="shared" si="54"/>
        <v>0.5</v>
      </c>
      <c r="N115" s="251">
        <f t="shared" si="55"/>
        <v>7.216744959375001</v>
      </c>
      <c r="O115" s="258">
        <v>0.05</v>
      </c>
      <c r="P115" s="258">
        <f t="shared" si="56"/>
        <v>0.05</v>
      </c>
      <c r="Q115" s="249">
        <v>141.03468749999999</v>
      </c>
      <c r="R115" s="249">
        <f t="shared" si="45"/>
        <v>144.33489918750001</v>
      </c>
      <c r="S115" s="258">
        <v>0.25</v>
      </c>
      <c r="T115" s="169">
        <f>Q115+Q115*S115+0.71</f>
        <v>177.003359375</v>
      </c>
      <c r="U115" s="315">
        <f t="shared" si="57"/>
        <v>180.41862398437502</v>
      </c>
      <c r="V115" s="315">
        <f t="shared" si="58"/>
        <v>185</v>
      </c>
      <c r="W115" s="316">
        <f t="shared" si="59"/>
        <v>0</v>
      </c>
    </row>
    <row r="116" spans="1:23" ht="21" x14ac:dyDescent="0.25">
      <c r="A116" s="200">
        <v>207028</v>
      </c>
      <c r="B116" s="255" t="s">
        <v>20115</v>
      </c>
      <c r="C116" s="248"/>
      <c r="D116" s="247" t="s">
        <v>1</v>
      </c>
      <c r="E116" s="249">
        <f t="shared" si="49"/>
        <v>58.697196547499999</v>
      </c>
      <c r="F116" s="258">
        <v>0.45</v>
      </c>
      <c r="G116" s="258">
        <f t="shared" si="50"/>
        <v>0.45</v>
      </c>
      <c r="H116" s="249">
        <f t="shared" si="51"/>
        <v>0</v>
      </c>
      <c r="I116" s="258"/>
      <c r="J116" s="258">
        <f t="shared" si="52"/>
        <v>0</v>
      </c>
      <c r="K116" s="249">
        <f t="shared" si="53"/>
        <v>65.219107274999999</v>
      </c>
      <c r="L116" s="258">
        <v>0.5</v>
      </c>
      <c r="M116" s="258">
        <f t="shared" si="54"/>
        <v>0.5</v>
      </c>
      <c r="N116" s="251">
        <f t="shared" si="55"/>
        <v>6.5219107274999999</v>
      </c>
      <c r="O116" s="258">
        <v>0.05</v>
      </c>
      <c r="P116" s="258">
        <f t="shared" si="56"/>
        <v>0.05</v>
      </c>
      <c r="Q116" s="249">
        <v>127.45574999999999</v>
      </c>
      <c r="R116" s="249">
        <f t="shared" si="45"/>
        <v>130.43821455</v>
      </c>
      <c r="S116" s="258">
        <v>0.25</v>
      </c>
      <c r="T116" s="169">
        <f>Q116+Q116*S116+0.44+0.24</f>
        <v>159.99968749999999</v>
      </c>
      <c r="U116" s="315">
        <f t="shared" si="57"/>
        <v>163.0477681875</v>
      </c>
      <c r="V116" s="315">
        <f t="shared" si="58"/>
        <v>165</v>
      </c>
      <c r="W116" s="316">
        <f t="shared" si="59"/>
        <v>0</v>
      </c>
    </row>
    <row r="117" spans="1:23" ht="21" x14ac:dyDescent="0.25">
      <c r="A117" s="200">
        <v>207029</v>
      </c>
      <c r="B117" s="255" t="s">
        <v>20113</v>
      </c>
      <c r="C117" s="248"/>
      <c r="D117" s="247" t="s">
        <v>1</v>
      </c>
      <c r="E117" s="249">
        <f t="shared" si="49"/>
        <v>92.282632443750003</v>
      </c>
      <c r="F117" s="258">
        <v>0.45</v>
      </c>
      <c r="G117" s="258">
        <f t="shared" si="50"/>
        <v>0.45</v>
      </c>
      <c r="H117" s="249">
        <f t="shared" si="51"/>
        <v>0</v>
      </c>
      <c r="I117" s="258"/>
      <c r="J117" s="258">
        <f t="shared" si="52"/>
        <v>0</v>
      </c>
      <c r="K117" s="249">
        <f t="shared" si="53"/>
        <v>102.53625827083333</v>
      </c>
      <c r="L117" s="258">
        <v>0.5</v>
      </c>
      <c r="M117" s="258">
        <f t="shared" si="54"/>
        <v>0.5</v>
      </c>
      <c r="N117" s="251">
        <f t="shared" si="55"/>
        <v>10.253625827083333</v>
      </c>
      <c r="O117" s="258">
        <v>0.05</v>
      </c>
      <c r="P117" s="258">
        <f t="shared" si="56"/>
        <v>0.05</v>
      </c>
      <c r="Q117" s="249">
        <v>200.38354166666664</v>
      </c>
      <c r="R117" s="249">
        <f t="shared" si="45"/>
        <v>205.07251654166666</v>
      </c>
      <c r="S117" s="258">
        <v>0.25</v>
      </c>
      <c r="T117" s="169">
        <f>Q117+Q117*S117-0.15+0.15+0.52</f>
        <v>250.9994270833333</v>
      </c>
      <c r="U117" s="315">
        <f t="shared" si="57"/>
        <v>256.34064567708333</v>
      </c>
      <c r="V117" s="315">
        <f t="shared" si="58"/>
        <v>260</v>
      </c>
      <c r="W117" s="316">
        <f t="shared" si="59"/>
        <v>0</v>
      </c>
    </row>
    <row r="118" spans="1:23" ht="21" x14ac:dyDescent="0.25">
      <c r="A118" s="200">
        <v>207030</v>
      </c>
      <c r="B118" s="255" t="s">
        <v>20114</v>
      </c>
      <c r="C118" s="248"/>
      <c r="D118" s="247" t="s">
        <v>1</v>
      </c>
      <c r="E118" s="249">
        <f t="shared" si="49"/>
        <v>77.852236710937504</v>
      </c>
      <c r="F118" s="258">
        <v>0.45</v>
      </c>
      <c r="G118" s="258">
        <f t="shared" si="50"/>
        <v>0.45</v>
      </c>
      <c r="H118" s="249">
        <f t="shared" si="51"/>
        <v>0</v>
      </c>
      <c r="I118" s="258"/>
      <c r="J118" s="258">
        <f t="shared" si="52"/>
        <v>0</v>
      </c>
      <c r="K118" s="249">
        <f t="shared" si="53"/>
        <v>86.502485234375001</v>
      </c>
      <c r="L118" s="258">
        <v>0.5</v>
      </c>
      <c r="M118" s="258">
        <f t="shared" si="54"/>
        <v>0.5</v>
      </c>
      <c r="N118" s="251">
        <f t="shared" si="55"/>
        <v>8.6502485234375008</v>
      </c>
      <c r="O118" s="258">
        <v>0.05</v>
      </c>
      <c r="P118" s="258">
        <f t="shared" si="56"/>
        <v>0.05</v>
      </c>
      <c r="Q118" s="249">
        <v>169.04921874999999</v>
      </c>
      <c r="R118" s="249">
        <f t="shared" si="45"/>
        <v>173.00497046875</v>
      </c>
      <c r="S118" s="258">
        <v>0.25</v>
      </c>
      <c r="T118" s="169">
        <f>Q118+Q118*S118+0.69</f>
        <v>212.0015234375</v>
      </c>
      <c r="U118" s="315">
        <f t="shared" si="57"/>
        <v>216.2562130859375</v>
      </c>
      <c r="V118" s="315">
        <f t="shared" si="58"/>
        <v>220</v>
      </c>
      <c r="W118" s="316">
        <f t="shared" si="59"/>
        <v>0</v>
      </c>
    </row>
    <row r="119" spans="1:23" ht="21" x14ac:dyDescent="0.25">
      <c r="A119" s="200">
        <v>207032</v>
      </c>
      <c r="B119" s="255" t="s">
        <v>20115</v>
      </c>
      <c r="C119" s="248"/>
      <c r="D119" s="247" t="s">
        <v>1</v>
      </c>
      <c r="E119" s="249">
        <f t="shared" si="49"/>
        <v>99.695764664999984</v>
      </c>
      <c r="F119" s="258">
        <v>0.45</v>
      </c>
      <c r="G119" s="258">
        <f t="shared" si="50"/>
        <v>0.45</v>
      </c>
      <c r="H119" s="249">
        <f t="shared" si="51"/>
        <v>0</v>
      </c>
      <c r="I119" s="258"/>
      <c r="J119" s="258">
        <f t="shared" si="52"/>
        <v>0</v>
      </c>
      <c r="K119" s="249">
        <f t="shared" si="53"/>
        <v>110.77307184999998</v>
      </c>
      <c r="L119" s="258">
        <v>0.5</v>
      </c>
      <c r="M119" s="258">
        <f t="shared" si="54"/>
        <v>0.5</v>
      </c>
      <c r="N119" s="251">
        <f t="shared" si="55"/>
        <v>11.077307184999999</v>
      </c>
      <c r="O119" s="258">
        <v>0.05</v>
      </c>
      <c r="P119" s="258">
        <f t="shared" si="56"/>
        <v>0.05</v>
      </c>
      <c r="Q119" s="249">
        <v>216.48049999999998</v>
      </c>
      <c r="R119" s="249">
        <f t="shared" si="45"/>
        <v>221.54614369999996</v>
      </c>
      <c r="S119" s="258">
        <v>0.25</v>
      </c>
      <c r="T119" s="169">
        <f>Q119+Q119*S119+0.4</f>
        <v>271.00062499999996</v>
      </c>
      <c r="U119" s="315">
        <f t="shared" si="57"/>
        <v>276.93267962499993</v>
      </c>
      <c r="V119" s="315">
        <f t="shared" si="58"/>
        <v>280</v>
      </c>
      <c r="W119" s="316">
        <f t="shared" si="59"/>
        <v>0</v>
      </c>
    </row>
    <row r="120" spans="1:23" x14ac:dyDescent="0.25">
      <c r="A120" s="200">
        <v>207120</v>
      </c>
      <c r="B120" s="313" t="s">
        <v>16143</v>
      </c>
      <c r="C120" s="248"/>
      <c r="D120" s="247" t="s">
        <v>1</v>
      </c>
      <c r="E120" s="249">
        <f t="shared" si="49"/>
        <v>14.697168524999999</v>
      </c>
      <c r="F120" s="258">
        <v>0.45</v>
      </c>
      <c r="G120" s="258">
        <f t="shared" si="50"/>
        <v>0.45</v>
      </c>
      <c r="H120" s="249">
        <f t="shared" si="51"/>
        <v>11.431131074999998</v>
      </c>
      <c r="I120" s="258">
        <v>0.35</v>
      </c>
      <c r="J120" s="258">
        <f t="shared" si="52"/>
        <v>0.35</v>
      </c>
      <c r="K120" s="249">
        <f t="shared" si="53"/>
        <v>5.715565537499999</v>
      </c>
      <c r="L120" s="258">
        <v>0.17499999999999999</v>
      </c>
      <c r="M120" s="258">
        <f t="shared" si="54"/>
        <v>0.17499999999999999</v>
      </c>
      <c r="N120" s="251">
        <f t="shared" si="55"/>
        <v>0.81650936249999995</v>
      </c>
      <c r="O120" s="258">
        <v>2.5000000000000001E-2</v>
      </c>
      <c r="P120" s="258">
        <f t="shared" si="56"/>
        <v>2.5000000000000001E-2</v>
      </c>
      <c r="Q120" s="249">
        <v>31.98</v>
      </c>
      <c r="R120" s="249">
        <f t="shared" si="45"/>
        <v>32.660374499999996</v>
      </c>
      <c r="S120" s="258">
        <v>0.25</v>
      </c>
      <c r="T120" s="169">
        <f>Q120+Q120*S120-0.15+0.15+0.52</f>
        <v>40.495000000000005</v>
      </c>
      <c r="U120" s="315">
        <f t="shared" si="57"/>
        <v>40.825468124999993</v>
      </c>
      <c r="V120" s="315">
        <f t="shared" si="58"/>
        <v>41</v>
      </c>
      <c r="W120" s="316">
        <f t="shared" si="59"/>
        <v>0</v>
      </c>
    </row>
    <row r="121" spans="1:23" x14ac:dyDescent="0.25">
      <c r="A121" s="200">
        <v>207120</v>
      </c>
      <c r="B121" s="313" t="s">
        <v>16144</v>
      </c>
      <c r="C121" s="248"/>
      <c r="D121" s="247" t="s">
        <v>1</v>
      </c>
      <c r="E121" s="249">
        <f t="shared" si="49"/>
        <v>16.530285173000003</v>
      </c>
      <c r="F121" s="258">
        <v>0.46</v>
      </c>
      <c r="G121" s="258">
        <f t="shared" si="50"/>
        <v>0.46</v>
      </c>
      <c r="H121" s="249">
        <f t="shared" si="51"/>
        <v>11.679005828750002</v>
      </c>
      <c r="I121" s="258">
        <v>0.32500000000000001</v>
      </c>
      <c r="J121" s="258">
        <f t="shared" si="52"/>
        <v>0.32500000000000001</v>
      </c>
      <c r="K121" s="249">
        <f t="shared" si="53"/>
        <v>6.9175649908750012</v>
      </c>
      <c r="L121" s="258">
        <v>0.1925</v>
      </c>
      <c r="M121" s="258">
        <f t="shared" si="54"/>
        <v>0.1925</v>
      </c>
      <c r="N121" s="251">
        <f t="shared" si="55"/>
        <v>0.80854655737500014</v>
      </c>
      <c r="O121" s="258">
        <v>2.2499999999999999E-2</v>
      </c>
      <c r="P121" s="258">
        <f t="shared" si="56"/>
        <v>2.2499999999999999E-2</v>
      </c>
      <c r="Q121" s="249">
        <v>35.18</v>
      </c>
      <c r="R121" s="249">
        <f t="shared" si="45"/>
        <v>35.935402550000006</v>
      </c>
      <c r="S121" s="258">
        <v>0.25</v>
      </c>
      <c r="T121" s="169">
        <f>Q121+Q121*S121-0.15+0.15+0.52</f>
        <v>44.495000000000005</v>
      </c>
      <c r="U121" s="315">
        <f t="shared" si="57"/>
        <v>44.919253187500004</v>
      </c>
      <c r="V121" s="315">
        <f t="shared" si="58"/>
        <v>45</v>
      </c>
      <c r="W121" s="316">
        <f t="shared" si="59"/>
        <v>0</v>
      </c>
    </row>
    <row r="122" spans="1:23" x14ac:dyDescent="0.25">
      <c r="A122" s="200">
        <v>207120</v>
      </c>
      <c r="B122" s="313" t="s">
        <v>16145</v>
      </c>
      <c r="C122" s="248"/>
      <c r="D122" s="247" t="s">
        <v>1</v>
      </c>
      <c r="E122" s="249">
        <f t="shared" si="49"/>
        <v>18.2323284</v>
      </c>
      <c r="F122" s="258">
        <v>0.48</v>
      </c>
      <c r="G122" s="258">
        <f t="shared" si="50"/>
        <v>0.48</v>
      </c>
      <c r="H122" s="249">
        <f t="shared" si="51"/>
        <v>11.585125337499999</v>
      </c>
      <c r="I122" s="258">
        <v>0.30499999999999999</v>
      </c>
      <c r="J122" s="258">
        <f t="shared" si="52"/>
        <v>0.30499999999999999</v>
      </c>
      <c r="K122" s="249">
        <f t="shared" si="53"/>
        <v>7.4068834125</v>
      </c>
      <c r="L122" s="258">
        <v>0.19500000000000001</v>
      </c>
      <c r="M122" s="258">
        <f t="shared" si="54"/>
        <v>0.19500000000000001</v>
      </c>
      <c r="N122" s="251">
        <f t="shared" si="55"/>
        <v>0.75968035</v>
      </c>
      <c r="O122" s="258">
        <v>0.02</v>
      </c>
      <c r="P122" s="258">
        <f t="shared" si="56"/>
        <v>0.02</v>
      </c>
      <c r="Q122" s="249">
        <v>37.18</v>
      </c>
      <c r="R122" s="249">
        <f t="shared" si="45"/>
        <v>37.9840175</v>
      </c>
      <c r="S122" s="258">
        <v>0.25</v>
      </c>
      <c r="T122" s="169">
        <f>Q122+Q122*S122-0.15+0.15+0.52</f>
        <v>46.995000000000005</v>
      </c>
      <c r="U122" s="315">
        <f t="shared" si="57"/>
        <v>47.480021874999998</v>
      </c>
      <c r="V122" s="315">
        <f t="shared" si="58"/>
        <v>48</v>
      </c>
      <c r="W122" s="316">
        <f t="shared" si="59"/>
        <v>0</v>
      </c>
    </row>
    <row r="123" spans="1:23" ht="21" x14ac:dyDescent="0.25">
      <c r="A123" s="200">
        <v>207030</v>
      </c>
      <c r="B123" s="255" t="s">
        <v>20116</v>
      </c>
      <c r="C123" s="248"/>
      <c r="D123" s="247" t="s">
        <v>1</v>
      </c>
      <c r="E123" s="249">
        <f t="shared" si="49"/>
        <v>34.366925025000008</v>
      </c>
      <c r="F123" s="258">
        <v>0.45</v>
      </c>
      <c r="G123" s="258">
        <f t="shared" si="50"/>
        <v>0.45</v>
      </c>
      <c r="H123" s="249">
        <f t="shared" si="51"/>
        <v>26.729830575000001</v>
      </c>
      <c r="I123" s="258">
        <v>0.35</v>
      </c>
      <c r="J123" s="258">
        <f t="shared" si="52"/>
        <v>0.35</v>
      </c>
      <c r="K123" s="249">
        <f t="shared" si="53"/>
        <v>13.364915287500001</v>
      </c>
      <c r="L123" s="258">
        <v>0.17499999999999999</v>
      </c>
      <c r="M123" s="258">
        <f t="shared" si="54"/>
        <v>0.17499999999999999</v>
      </c>
      <c r="N123" s="251">
        <f t="shared" si="55"/>
        <v>1.9092736125000003</v>
      </c>
      <c r="O123" s="258">
        <v>2.5000000000000001E-2</v>
      </c>
      <c r="P123" s="258">
        <f t="shared" si="56"/>
        <v>2.5000000000000001E-2</v>
      </c>
      <c r="Q123" s="249">
        <v>74.78</v>
      </c>
      <c r="R123" s="249">
        <f t="shared" si="45"/>
        <v>76.370944500000007</v>
      </c>
      <c r="S123" s="258">
        <v>0.25</v>
      </c>
      <c r="T123" s="169">
        <f>Q123+Q123*S123-0.15+0.15+0.52</f>
        <v>93.99499999999999</v>
      </c>
      <c r="U123" s="315">
        <f t="shared" si="57"/>
        <v>95.463680625000009</v>
      </c>
      <c r="V123" s="315">
        <f t="shared" si="58"/>
        <v>96</v>
      </c>
      <c r="W123" s="316">
        <f t="shared" si="59"/>
        <v>0</v>
      </c>
    </row>
    <row r="124" spans="1:23" ht="21" x14ac:dyDescent="0.25">
      <c r="A124" s="200">
        <v>207032</v>
      </c>
      <c r="B124" s="255" t="s">
        <v>20117</v>
      </c>
      <c r="C124" s="248"/>
      <c r="D124" s="247" t="s">
        <v>1</v>
      </c>
      <c r="E124" s="249">
        <f t="shared" si="49"/>
        <v>38.260407927499998</v>
      </c>
      <c r="F124" s="258">
        <v>0.47</v>
      </c>
      <c r="G124" s="258">
        <f t="shared" si="50"/>
        <v>0.47</v>
      </c>
      <c r="H124" s="249">
        <f t="shared" si="51"/>
        <v>26.456665056250003</v>
      </c>
      <c r="I124" s="258">
        <v>0.32500000000000001</v>
      </c>
      <c r="J124" s="258">
        <f t="shared" si="52"/>
        <v>0.32500000000000001</v>
      </c>
      <c r="K124" s="249">
        <f t="shared" si="53"/>
        <v>15.873999033750001</v>
      </c>
      <c r="L124" s="258">
        <v>0.19500000000000001</v>
      </c>
      <c r="M124" s="258">
        <f t="shared" si="54"/>
        <v>0.19500000000000001</v>
      </c>
      <c r="N124" s="251">
        <f t="shared" si="55"/>
        <v>0.8140512325</v>
      </c>
      <c r="O124" s="258">
        <v>0.01</v>
      </c>
      <c r="P124" s="258">
        <f t="shared" si="56"/>
        <v>0.01</v>
      </c>
      <c r="Q124" s="249">
        <v>79.682000000000002</v>
      </c>
      <c r="R124" s="249">
        <f t="shared" si="45"/>
        <v>81.405123250000003</v>
      </c>
      <c r="S124" s="258">
        <v>0.25</v>
      </c>
      <c r="T124" s="169">
        <f>Q124+Q124*S124+0.4</f>
        <v>100.00250000000001</v>
      </c>
      <c r="U124" s="315">
        <f t="shared" si="57"/>
        <v>101.7564040625</v>
      </c>
      <c r="V124" s="315">
        <f t="shared" si="58"/>
        <v>105</v>
      </c>
      <c r="W124" s="316">
        <f t="shared" si="59"/>
        <v>0</v>
      </c>
    </row>
    <row r="125" spans="1:23" x14ac:dyDescent="0.25">
      <c r="A125" s="199" t="s">
        <v>14559</v>
      </c>
      <c r="B125" s="307" t="s">
        <v>8957</v>
      </c>
      <c r="C125" s="308"/>
      <c r="D125" s="309"/>
      <c r="E125" s="310"/>
      <c r="F125" s="311"/>
      <c r="G125" s="311"/>
      <c r="H125" s="310"/>
      <c r="I125" s="311"/>
      <c r="J125" s="311"/>
      <c r="K125" s="310"/>
      <c r="L125" s="311"/>
      <c r="M125" s="311"/>
      <c r="N125" s="310"/>
      <c r="O125" s="311"/>
      <c r="P125" s="311"/>
      <c r="Q125" s="310"/>
      <c r="R125" s="310"/>
      <c r="S125" s="309"/>
      <c r="T125" s="309"/>
      <c r="U125" s="309"/>
      <c r="V125" s="309"/>
      <c r="W125" s="312"/>
    </row>
    <row r="126" spans="1:23" ht="21" x14ac:dyDescent="0.25">
      <c r="A126" s="200">
        <v>208010</v>
      </c>
      <c r="B126" s="255" t="s">
        <v>20118</v>
      </c>
      <c r="C126" s="248"/>
      <c r="D126" s="247" t="s">
        <v>14861</v>
      </c>
      <c r="E126" s="249">
        <f t="shared" ref="E126:E132" si="60">R126*G126</f>
        <v>412.17435</v>
      </c>
      <c r="F126" s="258">
        <v>0.45</v>
      </c>
      <c r="G126" s="258">
        <f t="shared" ref="G126:G132" si="61">F126</f>
        <v>0.45</v>
      </c>
      <c r="H126" s="249">
        <f t="shared" ref="H126:H132" si="62">R126*J126</f>
        <v>0</v>
      </c>
      <c r="I126" s="314"/>
      <c r="J126" s="258">
        <f t="shared" ref="J126:J132" si="63">I126</f>
        <v>0</v>
      </c>
      <c r="K126" s="249">
        <f t="shared" ref="K126:K132" si="64">R126*M126</f>
        <v>457.97149999999999</v>
      </c>
      <c r="L126" s="258">
        <v>0.5</v>
      </c>
      <c r="M126" s="258">
        <f t="shared" ref="M126:M132" si="65">L126</f>
        <v>0.5</v>
      </c>
      <c r="N126" s="251">
        <f t="shared" ref="N126:N132" si="66">P126*R126</f>
        <v>45.797150000000002</v>
      </c>
      <c r="O126" s="258">
        <v>0.05</v>
      </c>
      <c r="P126" s="258">
        <f t="shared" ref="P126:P132" si="67">O126</f>
        <v>0.05</v>
      </c>
      <c r="Q126" s="249">
        <v>895</v>
      </c>
      <c r="R126" s="249">
        <f t="shared" si="45"/>
        <v>915.94299999999998</v>
      </c>
      <c r="S126" s="258">
        <v>0.25</v>
      </c>
      <c r="T126" s="169">
        <f>Q126+Q126*S126-0.75</f>
        <v>1118</v>
      </c>
      <c r="U126" s="315">
        <f t="shared" ref="U126:U132" si="68">(R126*S126)+R126</f>
        <v>1144.92875</v>
      </c>
      <c r="V126" s="315">
        <f t="shared" ref="V126:V132" si="69">IF(U126=0, 0, IF(U126&lt;10, _xlfn.CEILING.MATH(U126,1), IF(U126&lt;100, _xlfn.CEILING.MATH(U126,1),IF(U126&lt;1000, _xlfn.CEILING.MATH(U126,5), IF(U126&lt;10000, _xlfn.CEILING.MATH(U126, 25), IF(U126&lt;100000, _xlfn.CEILING.MATH(U126,250), IF(U126&lt;1000000, _xlfn.CEILING.MATH(U126,500), 0)))))))</f>
        <v>1150</v>
      </c>
      <c r="W126" s="316">
        <f t="shared" ref="W126:W132" si="70">C126*V126</f>
        <v>0</v>
      </c>
    </row>
    <row r="127" spans="1:23" ht="21" x14ac:dyDescent="0.25">
      <c r="A127" s="200">
        <v>208011</v>
      </c>
      <c r="B127" s="255" t="s">
        <v>20119</v>
      </c>
      <c r="C127" s="248"/>
      <c r="D127" s="247" t="s">
        <v>14861</v>
      </c>
      <c r="E127" s="249">
        <f t="shared" si="60"/>
        <v>534.21479999999997</v>
      </c>
      <c r="F127" s="258">
        <v>0.45</v>
      </c>
      <c r="G127" s="258">
        <f t="shared" si="61"/>
        <v>0.45</v>
      </c>
      <c r="H127" s="249">
        <f t="shared" si="62"/>
        <v>0</v>
      </c>
      <c r="I127" s="314"/>
      <c r="J127" s="258">
        <f t="shared" si="63"/>
        <v>0</v>
      </c>
      <c r="K127" s="249">
        <f t="shared" si="64"/>
        <v>593.572</v>
      </c>
      <c r="L127" s="258">
        <v>0.5</v>
      </c>
      <c r="M127" s="258">
        <f t="shared" si="65"/>
        <v>0.5</v>
      </c>
      <c r="N127" s="251">
        <f t="shared" si="66"/>
        <v>59.357200000000006</v>
      </c>
      <c r="O127" s="258">
        <v>0.05</v>
      </c>
      <c r="P127" s="258">
        <f t="shared" si="67"/>
        <v>0.05</v>
      </c>
      <c r="Q127" s="249">
        <v>1160</v>
      </c>
      <c r="R127" s="249">
        <f t="shared" si="45"/>
        <v>1187.144</v>
      </c>
      <c r="S127" s="258">
        <v>0.25</v>
      </c>
      <c r="T127" s="169">
        <f>Q127+Q127*S127</f>
        <v>1450</v>
      </c>
      <c r="U127" s="315">
        <f t="shared" si="68"/>
        <v>1483.93</v>
      </c>
      <c r="V127" s="315">
        <f t="shared" si="69"/>
        <v>1500</v>
      </c>
      <c r="W127" s="316">
        <f t="shared" si="70"/>
        <v>0</v>
      </c>
    </row>
    <row r="128" spans="1:23" ht="21" x14ac:dyDescent="0.25">
      <c r="A128" s="200">
        <v>208012</v>
      </c>
      <c r="B128" s="255" t="s">
        <v>20120</v>
      </c>
      <c r="C128" s="248"/>
      <c r="D128" s="247" t="s">
        <v>14861</v>
      </c>
      <c r="E128" s="249">
        <f t="shared" si="60"/>
        <v>665.46585000000005</v>
      </c>
      <c r="F128" s="258">
        <v>0.45</v>
      </c>
      <c r="G128" s="258">
        <f t="shared" si="61"/>
        <v>0.45</v>
      </c>
      <c r="H128" s="249">
        <f t="shared" si="62"/>
        <v>0</v>
      </c>
      <c r="I128" s="314"/>
      <c r="J128" s="258">
        <f t="shared" si="63"/>
        <v>0</v>
      </c>
      <c r="K128" s="249">
        <f t="shared" si="64"/>
        <v>739.40650000000005</v>
      </c>
      <c r="L128" s="258">
        <v>0.5</v>
      </c>
      <c r="M128" s="258">
        <f t="shared" si="65"/>
        <v>0.5</v>
      </c>
      <c r="N128" s="251">
        <f t="shared" si="66"/>
        <v>73.940650000000005</v>
      </c>
      <c r="O128" s="258">
        <v>0.05</v>
      </c>
      <c r="P128" s="258">
        <f t="shared" si="67"/>
        <v>0.05</v>
      </c>
      <c r="Q128" s="249">
        <v>1445</v>
      </c>
      <c r="R128" s="249">
        <f t="shared" si="45"/>
        <v>1478.8130000000001</v>
      </c>
      <c r="S128" s="258">
        <v>0.25</v>
      </c>
      <c r="T128" s="169">
        <f>Q128+Q128*S128-1.25</f>
        <v>1805</v>
      </c>
      <c r="U128" s="315">
        <f t="shared" si="68"/>
        <v>1848.5162500000001</v>
      </c>
      <c r="V128" s="315">
        <f t="shared" si="69"/>
        <v>1850</v>
      </c>
      <c r="W128" s="316">
        <f t="shared" si="70"/>
        <v>0</v>
      </c>
    </row>
    <row r="129" spans="1:23" ht="21" x14ac:dyDescent="0.25">
      <c r="A129" s="200">
        <v>208013</v>
      </c>
      <c r="B129" s="255" t="s">
        <v>20121</v>
      </c>
      <c r="C129" s="248"/>
      <c r="D129" s="247" t="s">
        <v>14861</v>
      </c>
      <c r="E129" s="249">
        <f t="shared" si="60"/>
        <v>746.05860000000007</v>
      </c>
      <c r="F129" s="258">
        <v>0.45</v>
      </c>
      <c r="G129" s="258">
        <f t="shared" si="61"/>
        <v>0.45</v>
      </c>
      <c r="H129" s="249">
        <f t="shared" si="62"/>
        <v>0</v>
      </c>
      <c r="I129" s="314"/>
      <c r="J129" s="258">
        <f t="shared" si="63"/>
        <v>0</v>
      </c>
      <c r="K129" s="249">
        <f t="shared" si="64"/>
        <v>828.95400000000006</v>
      </c>
      <c r="L129" s="258">
        <v>0.5</v>
      </c>
      <c r="M129" s="258">
        <f t="shared" si="65"/>
        <v>0.5</v>
      </c>
      <c r="N129" s="251">
        <f t="shared" si="66"/>
        <v>82.895400000000009</v>
      </c>
      <c r="O129" s="258">
        <v>0.05</v>
      </c>
      <c r="P129" s="258">
        <f t="shared" si="67"/>
        <v>0.05</v>
      </c>
      <c r="Q129" s="249">
        <v>1620</v>
      </c>
      <c r="R129" s="249">
        <f t="shared" si="45"/>
        <v>1657.9080000000001</v>
      </c>
      <c r="S129" s="258">
        <v>0.25</v>
      </c>
      <c r="T129" s="169">
        <f>Q129+Q129*S129</f>
        <v>2025</v>
      </c>
      <c r="U129" s="315">
        <f t="shared" si="68"/>
        <v>2072.3850000000002</v>
      </c>
      <c r="V129" s="315">
        <f t="shared" si="69"/>
        <v>2075</v>
      </c>
      <c r="W129" s="316">
        <f t="shared" si="70"/>
        <v>0</v>
      </c>
    </row>
    <row r="130" spans="1:23" x14ac:dyDescent="0.25">
      <c r="A130" s="200">
        <v>208020</v>
      </c>
      <c r="B130" s="313" t="s">
        <v>14879</v>
      </c>
      <c r="C130" s="248"/>
      <c r="D130" s="247" t="s">
        <v>1</v>
      </c>
      <c r="E130" s="249">
        <f t="shared" si="60"/>
        <v>25.329149999999998</v>
      </c>
      <c r="F130" s="258">
        <v>0.45</v>
      </c>
      <c r="G130" s="258">
        <f t="shared" si="61"/>
        <v>0.45</v>
      </c>
      <c r="H130" s="249">
        <f t="shared" si="62"/>
        <v>0</v>
      </c>
      <c r="I130" s="258"/>
      <c r="J130" s="258">
        <f t="shared" si="63"/>
        <v>0</v>
      </c>
      <c r="K130" s="249">
        <f t="shared" si="64"/>
        <v>28.1435</v>
      </c>
      <c r="L130" s="258">
        <v>0.5</v>
      </c>
      <c r="M130" s="258">
        <f t="shared" si="65"/>
        <v>0.5</v>
      </c>
      <c r="N130" s="251">
        <f t="shared" si="66"/>
        <v>2.8143500000000001</v>
      </c>
      <c r="O130" s="258">
        <v>0.05</v>
      </c>
      <c r="P130" s="258">
        <f t="shared" si="67"/>
        <v>0.05</v>
      </c>
      <c r="Q130" s="249">
        <v>55</v>
      </c>
      <c r="R130" s="249">
        <f t="shared" si="45"/>
        <v>56.286999999999999</v>
      </c>
      <c r="S130" s="258">
        <v>0.2</v>
      </c>
      <c r="T130" s="169">
        <f>Q130+Q130*S130</f>
        <v>66</v>
      </c>
      <c r="U130" s="315">
        <f t="shared" si="68"/>
        <v>67.544399999999996</v>
      </c>
      <c r="V130" s="315">
        <f t="shared" si="69"/>
        <v>68</v>
      </c>
      <c r="W130" s="316">
        <f t="shared" si="70"/>
        <v>0</v>
      </c>
    </row>
    <row r="131" spans="1:23" x14ac:dyDescent="0.25">
      <c r="A131" s="200">
        <v>208021</v>
      </c>
      <c r="B131" s="313" t="s">
        <v>14880</v>
      </c>
      <c r="C131" s="248"/>
      <c r="D131" s="247" t="s">
        <v>1</v>
      </c>
      <c r="E131" s="249">
        <f t="shared" si="60"/>
        <v>19.802790000000002</v>
      </c>
      <c r="F131" s="258">
        <v>0.45</v>
      </c>
      <c r="G131" s="258">
        <f t="shared" si="61"/>
        <v>0.45</v>
      </c>
      <c r="H131" s="249">
        <f t="shared" si="62"/>
        <v>0</v>
      </c>
      <c r="I131" s="258"/>
      <c r="J131" s="258">
        <f t="shared" si="63"/>
        <v>0</v>
      </c>
      <c r="K131" s="249">
        <f t="shared" si="64"/>
        <v>22.0031</v>
      </c>
      <c r="L131" s="258">
        <v>0.5</v>
      </c>
      <c r="M131" s="258">
        <f t="shared" si="65"/>
        <v>0.5</v>
      </c>
      <c r="N131" s="251">
        <f t="shared" si="66"/>
        <v>2.20031</v>
      </c>
      <c r="O131" s="258">
        <v>0.05</v>
      </c>
      <c r="P131" s="258">
        <f t="shared" si="67"/>
        <v>0.05</v>
      </c>
      <c r="Q131" s="249">
        <v>43</v>
      </c>
      <c r="R131" s="249">
        <f t="shared" si="45"/>
        <v>44.0062</v>
      </c>
      <c r="S131" s="258">
        <v>0.2</v>
      </c>
      <c r="T131" s="169">
        <f>Q131+Q131*S131+0.4</f>
        <v>52</v>
      </c>
      <c r="U131" s="315">
        <f t="shared" si="68"/>
        <v>52.80744</v>
      </c>
      <c r="V131" s="315">
        <f t="shared" si="69"/>
        <v>53</v>
      </c>
      <c r="W131" s="316">
        <f t="shared" si="70"/>
        <v>0</v>
      </c>
    </row>
    <row r="132" spans="1:23" ht="14.4" thickBot="1" x14ac:dyDescent="0.3">
      <c r="A132" s="263">
        <v>208022</v>
      </c>
      <c r="B132" s="321" t="s">
        <v>14881</v>
      </c>
      <c r="C132" s="265"/>
      <c r="D132" s="264" t="s">
        <v>1</v>
      </c>
      <c r="E132" s="266">
        <f t="shared" si="60"/>
        <v>13.355370000000001</v>
      </c>
      <c r="F132" s="322">
        <v>0.45</v>
      </c>
      <c r="G132" s="322">
        <f t="shared" si="61"/>
        <v>0.45</v>
      </c>
      <c r="H132" s="266">
        <f t="shared" si="62"/>
        <v>0</v>
      </c>
      <c r="I132" s="322"/>
      <c r="J132" s="322">
        <f t="shared" si="63"/>
        <v>0</v>
      </c>
      <c r="K132" s="266">
        <f t="shared" si="64"/>
        <v>14.8393</v>
      </c>
      <c r="L132" s="322">
        <v>0.5</v>
      </c>
      <c r="M132" s="322">
        <f t="shared" si="65"/>
        <v>0.5</v>
      </c>
      <c r="N132" s="270">
        <f t="shared" si="66"/>
        <v>1.48393</v>
      </c>
      <c r="O132" s="322">
        <v>0.05</v>
      </c>
      <c r="P132" s="322">
        <f t="shared" si="67"/>
        <v>0.05</v>
      </c>
      <c r="Q132" s="266">
        <v>29</v>
      </c>
      <c r="R132" s="266">
        <f t="shared" si="45"/>
        <v>29.678599999999999</v>
      </c>
      <c r="S132" s="322">
        <v>0.2</v>
      </c>
      <c r="T132" s="291">
        <f>Q132+Q132*S132+0.2</f>
        <v>35</v>
      </c>
      <c r="U132" s="324">
        <f t="shared" si="68"/>
        <v>35.614319999999999</v>
      </c>
      <c r="V132" s="324">
        <f t="shared" si="69"/>
        <v>36</v>
      </c>
      <c r="W132" s="325">
        <f t="shared" si="70"/>
        <v>0</v>
      </c>
    </row>
    <row r="133" spans="1:23" x14ac:dyDescent="0.25">
      <c r="A133" s="199" t="s">
        <v>16146</v>
      </c>
      <c r="B133" s="307" t="s">
        <v>16147</v>
      </c>
      <c r="C133" s="308"/>
      <c r="D133" s="309"/>
      <c r="E133" s="310"/>
      <c r="F133" s="311"/>
      <c r="G133" s="311"/>
      <c r="H133" s="310"/>
      <c r="I133" s="311"/>
      <c r="J133" s="311"/>
      <c r="K133" s="310"/>
      <c r="L133" s="311"/>
      <c r="M133" s="311"/>
      <c r="N133" s="310"/>
      <c r="O133" s="311"/>
      <c r="P133" s="311"/>
      <c r="Q133" s="310"/>
      <c r="R133" s="310"/>
      <c r="S133" s="309"/>
      <c r="T133" s="309"/>
      <c r="U133" s="309"/>
      <c r="V133" s="309"/>
      <c r="W133" s="312"/>
    </row>
    <row r="134" spans="1:23" x14ac:dyDescent="0.25">
      <c r="A134" s="200">
        <v>209200</v>
      </c>
      <c r="B134" s="313" t="s">
        <v>16148</v>
      </c>
      <c r="C134" s="248"/>
      <c r="D134" s="247" t="s">
        <v>11</v>
      </c>
      <c r="E134" s="249">
        <f t="shared" ref="E134:E143" si="71">R134*G134</f>
        <v>900</v>
      </c>
      <c r="F134" s="258">
        <f>900/1625</f>
        <v>0.55384615384615388</v>
      </c>
      <c r="G134" s="258">
        <f t="shared" ref="G134:G143" si="72">F134</f>
        <v>0.55384615384615388</v>
      </c>
      <c r="H134" s="249">
        <f t="shared" ref="H134:H143" si="73">R134*J134</f>
        <v>620</v>
      </c>
      <c r="I134" s="258">
        <f>620/1625</f>
        <v>0.38153846153846155</v>
      </c>
      <c r="J134" s="258">
        <f t="shared" ref="J134:J143" si="74">I134</f>
        <v>0.38153846153846155</v>
      </c>
      <c r="K134" s="249">
        <f t="shared" ref="K134:K143" si="75">R134*M134</f>
        <v>80</v>
      </c>
      <c r="L134" s="258">
        <f>80/1625</f>
        <v>4.9230769230769231E-2</v>
      </c>
      <c r="M134" s="258">
        <f t="shared" ref="M134:M143" si="76">L134</f>
        <v>4.9230769230769231E-2</v>
      </c>
      <c r="N134" s="251">
        <f t="shared" ref="N134:N143" si="77">P134*R134</f>
        <v>25</v>
      </c>
      <c r="O134" s="258">
        <f>25/1625</f>
        <v>1.5384615384615385E-2</v>
      </c>
      <c r="P134" s="258">
        <f t="shared" ref="P134:P143" si="78">O134</f>
        <v>1.5384615384615385E-2</v>
      </c>
      <c r="Q134" s="249"/>
      <c r="R134" s="249">
        <v>1625</v>
      </c>
      <c r="S134" s="258">
        <v>0.2</v>
      </c>
      <c r="T134" s="169">
        <f t="shared" ref="T134:T140" si="79">Q134+Q134*S134+0.2</f>
        <v>0.2</v>
      </c>
      <c r="U134" s="315">
        <f t="shared" ref="U134:U143" si="80">(R134*S134)+R134</f>
        <v>1950</v>
      </c>
      <c r="V134" s="315">
        <f t="shared" ref="V134:V143" si="81">IF(U134=0, 0, IF(U134&lt;10, _xlfn.CEILING.MATH(U134,1), IF(U134&lt;100, _xlfn.CEILING.MATH(U134,1),IF(U134&lt;1000, _xlfn.CEILING.MATH(U134,5), IF(U134&lt;10000, _xlfn.CEILING.MATH(U134, 25), IF(U134&lt;100000, _xlfn.CEILING.MATH(U134,250), IF(U134&lt;1000000, _xlfn.CEILING.MATH(U134,500), 0)))))))</f>
        <v>1950</v>
      </c>
      <c r="W134" s="316">
        <f t="shared" ref="W134:W143" si="82">C134*V134</f>
        <v>0</v>
      </c>
    </row>
    <row r="135" spans="1:23" x14ac:dyDescent="0.25">
      <c r="A135" s="200">
        <v>209210</v>
      </c>
      <c r="B135" s="313" t="s">
        <v>16149</v>
      </c>
      <c r="C135" s="248"/>
      <c r="D135" s="247" t="s">
        <v>11</v>
      </c>
      <c r="E135" s="249">
        <f t="shared" si="71"/>
        <v>805</v>
      </c>
      <c r="F135" s="258">
        <f>805/1479</f>
        <v>0.54428668018931714</v>
      </c>
      <c r="G135" s="258">
        <f t="shared" si="72"/>
        <v>0.54428668018931714</v>
      </c>
      <c r="H135" s="249">
        <f t="shared" si="73"/>
        <v>589</v>
      </c>
      <c r="I135" s="258">
        <f>589/1479</f>
        <v>0.39824205544286678</v>
      </c>
      <c r="J135" s="258">
        <f t="shared" si="74"/>
        <v>0.39824205544286678</v>
      </c>
      <c r="K135" s="249">
        <f t="shared" si="75"/>
        <v>65</v>
      </c>
      <c r="L135" s="258">
        <f>65/1479</f>
        <v>4.3948613928329952E-2</v>
      </c>
      <c r="M135" s="258">
        <f t="shared" si="76"/>
        <v>4.3948613928329952E-2</v>
      </c>
      <c r="N135" s="251">
        <f t="shared" si="77"/>
        <v>20</v>
      </c>
      <c r="O135" s="258">
        <f>20/1479</f>
        <v>1.3522650439486139E-2</v>
      </c>
      <c r="P135" s="258">
        <f t="shared" si="78"/>
        <v>1.3522650439486139E-2</v>
      </c>
      <c r="Q135" s="249"/>
      <c r="R135" s="249">
        <v>1479</v>
      </c>
      <c r="S135" s="258">
        <v>0.2</v>
      </c>
      <c r="T135" s="169">
        <f t="shared" si="79"/>
        <v>0.2</v>
      </c>
      <c r="U135" s="315">
        <f t="shared" si="80"/>
        <v>1774.8</v>
      </c>
      <c r="V135" s="315">
        <f t="shared" si="81"/>
        <v>1775</v>
      </c>
      <c r="W135" s="316">
        <f t="shared" si="82"/>
        <v>0</v>
      </c>
    </row>
    <row r="136" spans="1:23" x14ac:dyDescent="0.25">
      <c r="A136" s="200">
        <v>209220</v>
      </c>
      <c r="B136" s="313" t="s">
        <v>20122</v>
      </c>
      <c r="C136" s="248"/>
      <c r="D136" s="247" t="s">
        <v>11</v>
      </c>
      <c r="E136" s="249">
        <f t="shared" si="71"/>
        <v>738.82725918698952</v>
      </c>
      <c r="F136" s="258">
        <f>738.83/1347.83</f>
        <v>0.54816260210857459</v>
      </c>
      <c r="G136" s="258">
        <f t="shared" si="72"/>
        <v>0.54816260210857459</v>
      </c>
      <c r="H136" s="249">
        <f t="shared" si="73"/>
        <v>543.9979819413428</v>
      </c>
      <c r="I136" s="258">
        <f>544/1347.83</f>
        <v>0.40361173144981194</v>
      </c>
      <c r="J136" s="258">
        <f t="shared" si="74"/>
        <v>0.40361173144981194</v>
      </c>
      <c r="K136" s="249">
        <f t="shared" si="75"/>
        <v>49.999814516667534</v>
      </c>
      <c r="L136" s="258">
        <f>50/1347.83</f>
        <v>3.709666649354889E-2</v>
      </c>
      <c r="M136" s="258">
        <f t="shared" si="76"/>
        <v>3.709666649354889E-2</v>
      </c>
      <c r="N136" s="251">
        <f t="shared" si="77"/>
        <v>14.999944355000261</v>
      </c>
      <c r="O136" s="258">
        <f>15/1347.83</f>
        <v>1.1128999948064667E-2</v>
      </c>
      <c r="P136" s="258">
        <f t="shared" si="78"/>
        <v>1.1128999948064667E-2</v>
      </c>
      <c r="Q136" s="249"/>
      <c r="R136" s="249">
        <v>1347.825</v>
      </c>
      <c r="S136" s="258">
        <v>0.15</v>
      </c>
      <c r="T136" s="169">
        <f t="shared" si="79"/>
        <v>0.2</v>
      </c>
      <c r="U136" s="315">
        <f t="shared" si="80"/>
        <v>1549.99875</v>
      </c>
      <c r="V136" s="315">
        <f t="shared" si="81"/>
        <v>1550</v>
      </c>
      <c r="W136" s="316">
        <f t="shared" si="82"/>
        <v>0</v>
      </c>
    </row>
    <row r="137" spans="1:23" x14ac:dyDescent="0.25">
      <c r="A137" s="200">
        <v>209300</v>
      </c>
      <c r="B137" s="313" t="s">
        <v>16150</v>
      </c>
      <c r="C137" s="248"/>
      <c r="D137" s="247" t="s">
        <v>11</v>
      </c>
      <c r="E137" s="249">
        <f t="shared" si="71"/>
        <v>313.33</v>
      </c>
      <c r="F137" s="258">
        <f>313.33/583.33</f>
        <v>0.53714021222978414</v>
      </c>
      <c r="G137" s="258">
        <f t="shared" si="72"/>
        <v>0.53714021222978414</v>
      </c>
      <c r="H137" s="249">
        <f t="shared" si="73"/>
        <v>0</v>
      </c>
      <c r="I137" s="258"/>
      <c r="J137" s="258">
        <f t="shared" si="74"/>
        <v>0</v>
      </c>
      <c r="K137" s="249">
        <f t="shared" si="75"/>
        <v>215</v>
      </c>
      <c r="L137" s="258">
        <f>215/583.33</f>
        <v>0.36857353470591259</v>
      </c>
      <c r="M137" s="258">
        <f t="shared" si="76"/>
        <v>0.36857353470591259</v>
      </c>
      <c r="N137" s="251">
        <f t="shared" si="77"/>
        <v>55</v>
      </c>
      <c r="O137" s="258">
        <f>55/583.33</f>
        <v>9.4286253064303216E-2</v>
      </c>
      <c r="P137" s="258">
        <f t="shared" si="78"/>
        <v>9.4286253064303216E-2</v>
      </c>
      <c r="Q137" s="249"/>
      <c r="R137" s="249">
        <v>583.33000000000004</v>
      </c>
      <c r="S137" s="258">
        <v>0.2</v>
      </c>
      <c r="T137" s="169">
        <f t="shared" si="79"/>
        <v>0.2</v>
      </c>
      <c r="U137" s="315">
        <f t="shared" si="80"/>
        <v>699.99600000000009</v>
      </c>
      <c r="V137" s="315">
        <f t="shared" si="81"/>
        <v>700</v>
      </c>
      <c r="W137" s="316">
        <f t="shared" si="82"/>
        <v>0</v>
      </c>
    </row>
    <row r="138" spans="1:23" x14ac:dyDescent="0.25">
      <c r="A138" s="200">
        <v>209310</v>
      </c>
      <c r="B138" s="313" t="s">
        <v>20123</v>
      </c>
      <c r="C138" s="248"/>
      <c r="D138" s="247" t="s">
        <v>11</v>
      </c>
      <c r="E138" s="249">
        <f t="shared" si="71"/>
        <v>252.50000000000003</v>
      </c>
      <c r="F138" s="258">
        <f>252.5/487.5</f>
        <v>0.517948717948718</v>
      </c>
      <c r="G138" s="258">
        <f t="shared" si="72"/>
        <v>0.517948717948718</v>
      </c>
      <c r="H138" s="249">
        <f t="shared" si="73"/>
        <v>0</v>
      </c>
      <c r="I138" s="258"/>
      <c r="J138" s="258">
        <f t="shared" si="74"/>
        <v>0</v>
      </c>
      <c r="K138" s="249">
        <f t="shared" si="75"/>
        <v>195</v>
      </c>
      <c r="L138" s="258">
        <f>195/487.5</f>
        <v>0.4</v>
      </c>
      <c r="M138" s="258">
        <f t="shared" si="76"/>
        <v>0.4</v>
      </c>
      <c r="N138" s="251">
        <f t="shared" si="77"/>
        <v>40</v>
      </c>
      <c r="O138" s="258">
        <f>40/487.5</f>
        <v>8.2051282051282051E-2</v>
      </c>
      <c r="P138" s="258">
        <f t="shared" si="78"/>
        <v>8.2051282051282051E-2</v>
      </c>
      <c r="Q138" s="249"/>
      <c r="R138" s="249">
        <v>487.5</v>
      </c>
      <c r="S138" s="258">
        <v>0.2</v>
      </c>
      <c r="T138" s="169">
        <f t="shared" si="79"/>
        <v>0.2</v>
      </c>
      <c r="U138" s="315">
        <f t="shared" si="80"/>
        <v>585</v>
      </c>
      <c r="V138" s="315">
        <f t="shared" si="81"/>
        <v>585</v>
      </c>
      <c r="W138" s="316">
        <f t="shared" si="82"/>
        <v>0</v>
      </c>
    </row>
    <row r="139" spans="1:23" x14ac:dyDescent="0.25">
      <c r="A139" s="200">
        <v>209400</v>
      </c>
      <c r="B139" s="313" t="s">
        <v>16151</v>
      </c>
      <c r="C139" s="248"/>
      <c r="D139" s="247" t="s">
        <v>11</v>
      </c>
      <c r="E139" s="249">
        <f t="shared" si="71"/>
        <v>355.21</v>
      </c>
      <c r="F139" s="258">
        <f>355.21/565.21</f>
        <v>0.62845667981812059</v>
      </c>
      <c r="G139" s="258">
        <f t="shared" si="72"/>
        <v>0.62845667981812059</v>
      </c>
      <c r="H139" s="249">
        <f t="shared" si="73"/>
        <v>0</v>
      </c>
      <c r="I139" s="258"/>
      <c r="J139" s="258">
        <f t="shared" si="74"/>
        <v>0</v>
      </c>
      <c r="K139" s="249">
        <f t="shared" si="75"/>
        <v>180</v>
      </c>
      <c r="L139" s="258">
        <f>180/565.21</f>
        <v>0.31846570301303939</v>
      </c>
      <c r="M139" s="258">
        <f t="shared" si="76"/>
        <v>0.31846570301303939</v>
      </c>
      <c r="N139" s="251">
        <f t="shared" si="77"/>
        <v>30</v>
      </c>
      <c r="O139" s="258">
        <f>30/565.21</f>
        <v>5.3077617168839894E-2</v>
      </c>
      <c r="P139" s="258">
        <f t="shared" si="78"/>
        <v>5.3077617168839894E-2</v>
      </c>
      <c r="Q139" s="249"/>
      <c r="R139" s="249">
        <v>565.21</v>
      </c>
      <c r="S139" s="258">
        <v>0.15</v>
      </c>
      <c r="T139" s="169">
        <f t="shared" si="79"/>
        <v>0.2</v>
      </c>
      <c r="U139" s="315">
        <f t="shared" si="80"/>
        <v>649.99150000000009</v>
      </c>
      <c r="V139" s="315">
        <f t="shared" si="81"/>
        <v>650</v>
      </c>
      <c r="W139" s="316">
        <f t="shared" si="82"/>
        <v>0</v>
      </c>
    </row>
    <row r="140" spans="1:23" x14ac:dyDescent="0.25">
      <c r="A140" s="200">
        <v>209410</v>
      </c>
      <c r="B140" s="313" t="s">
        <v>16152</v>
      </c>
      <c r="C140" s="248"/>
      <c r="D140" s="247" t="s">
        <v>11</v>
      </c>
      <c r="E140" s="249">
        <f t="shared" si="71"/>
        <v>305</v>
      </c>
      <c r="F140" s="258">
        <f>305/500</f>
        <v>0.61</v>
      </c>
      <c r="G140" s="258">
        <f t="shared" si="72"/>
        <v>0.61</v>
      </c>
      <c r="H140" s="249">
        <f t="shared" si="73"/>
        <v>0</v>
      </c>
      <c r="I140" s="258"/>
      <c r="J140" s="258">
        <f t="shared" si="74"/>
        <v>0</v>
      </c>
      <c r="K140" s="249">
        <f t="shared" si="75"/>
        <v>170</v>
      </c>
      <c r="L140" s="258">
        <f>170/500</f>
        <v>0.34</v>
      </c>
      <c r="M140" s="258">
        <f t="shared" si="76"/>
        <v>0.34</v>
      </c>
      <c r="N140" s="251">
        <f t="shared" si="77"/>
        <v>25</v>
      </c>
      <c r="O140" s="258">
        <f>25/500</f>
        <v>0.05</v>
      </c>
      <c r="P140" s="258">
        <f t="shared" si="78"/>
        <v>0.05</v>
      </c>
      <c r="Q140" s="249"/>
      <c r="R140" s="249">
        <v>500</v>
      </c>
      <c r="S140" s="258">
        <v>0.15</v>
      </c>
      <c r="T140" s="169">
        <f t="shared" si="79"/>
        <v>0.2</v>
      </c>
      <c r="U140" s="315">
        <f t="shared" si="80"/>
        <v>575</v>
      </c>
      <c r="V140" s="315">
        <f t="shared" si="81"/>
        <v>575</v>
      </c>
      <c r="W140" s="316">
        <f t="shared" si="82"/>
        <v>0</v>
      </c>
    </row>
    <row r="141" spans="1:23" x14ac:dyDescent="0.25">
      <c r="A141" s="200">
        <v>723901</v>
      </c>
      <c r="B141" s="313" t="s">
        <v>20124</v>
      </c>
      <c r="C141" s="248"/>
      <c r="D141" s="247" t="s">
        <v>11</v>
      </c>
      <c r="E141" s="249">
        <f t="shared" si="71"/>
        <v>500</v>
      </c>
      <c r="F141" s="258">
        <v>0.4</v>
      </c>
      <c r="G141" s="258">
        <f t="shared" si="72"/>
        <v>0.4</v>
      </c>
      <c r="H141" s="249">
        <f t="shared" si="73"/>
        <v>375</v>
      </c>
      <c r="I141" s="258">
        <v>0.3</v>
      </c>
      <c r="J141" s="258">
        <f t="shared" si="74"/>
        <v>0.3</v>
      </c>
      <c r="K141" s="249">
        <f t="shared" si="75"/>
        <v>312.5</v>
      </c>
      <c r="L141" s="258">
        <v>0.25</v>
      </c>
      <c r="M141" s="258">
        <f t="shared" si="76"/>
        <v>0.25</v>
      </c>
      <c r="N141" s="251">
        <f t="shared" si="77"/>
        <v>62.5</v>
      </c>
      <c r="O141" s="258">
        <v>0.05</v>
      </c>
      <c r="P141" s="258">
        <f t="shared" si="78"/>
        <v>0.05</v>
      </c>
      <c r="Q141" s="249"/>
      <c r="R141" s="249">
        <v>1250</v>
      </c>
      <c r="S141" s="258">
        <v>0.2</v>
      </c>
      <c r="T141" s="169">
        <f>Q141+Q141*S141</f>
        <v>0</v>
      </c>
      <c r="U141" s="315">
        <f t="shared" si="80"/>
        <v>1500</v>
      </c>
      <c r="V141" s="315">
        <f t="shared" si="81"/>
        <v>1500</v>
      </c>
      <c r="W141" s="316">
        <f t="shared" si="82"/>
        <v>0</v>
      </c>
    </row>
    <row r="142" spans="1:23" x14ac:dyDescent="0.25">
      <c r="A142" s="200">
        <v>723901</v>
      </c>
      <c r="B142" s="313" t="s">
        <v>20125</v>
      </c>
      <c r="C142" s="248"/>
      <c r="D142" s="247" t="s">
        <v>11</v>
      </c>
      <c r="E142" s="249">
        <f t="shared" si="71"/>
        <v>440</v>
      </c>
      <c r="F142" s="258">
        <v>0.4</v>
      </c>
      <c r="G142" s="258">
        <f t="shared" si="72"/>
        <v>0.4</v>
      </c>
      <c r="H142" s="249">
        <f t="shared" si="73"/>
        <v>330</v>
      </c>
      <c r="I142" s="258">
        <v>0.3</v>
      </c>
      <c r="J142" s="258">
        <f t="shared" si="74"/>
        <v>0.3</v>
      </c>
      <c r="K142" s="249">
        <f t="shared" si="75"/>
        <v>275</v>
      </c>
      <c r="L142" s="258">
        <v>0.25</v>
      </c>
      <c r="M142" s="258">
        <f t="shared" si="76"/>
        <v>0.25</v>
      </c>
      <c r="N142" s="251">
        <f t="shared" si="77"/>
        <v>55</v>
      </c>
      <c r="O142" s="258">
        <v>0.05</v>
      </c>
      <c r="P142" s="258">
        <f t="shared" si="78"/>
        <v>0.05</v>
      </c>
      <c r="Q142" s="249"/>
      <c r="R142" s="249">
        <v>1100</v>
      </c>
      <c r="S142" s="258">
        <v>0.2</v>
      </c>
      <c r="T142" s="169">
        <f>Q142+Q142*S142</f>
        <v>0</v>
      </c>
      <c r="U142" s="315">
        <f t="shared" si="80"/>
        <v>1320</v>
      </c>
      <c r="V142" s="315">
        <f t="shared" si="81"/>
        <v>1325</v>
      </c>
      <c r="W142" s="316">
        <f t="shared" si="82"/>
        <v>0</v>
      </c>
    </row>
    <row r="143" spans="1:23" x14ac:dyDescent="0.25">
      <c r="A143" s="200">
        <v>723901</v>
      </c>
      <c r="B143" s="313" t="s">
        <v>16153</v>
      </c>
      <c r="C143" s="248"/>
      <c r="D143" s="247" t="s">
        <v>11</v>
      </c>
      <c r="E143" s="249">
        <f t="shared" si="71"/>
        <v>360</v>
      </c>
      <c r="F143" s="258">
        <v>0.4</v>
      </c>
      <c r="G143" s="258">
        <f t="shared" si="72"/>
        <v>0.4</v>
      </c>
      <c r="H143" s="249">
        <f t="shared" si="73"/>
        <v>270</v>
      </c>
      <c r="I143" s="258">
        <v>0.3</v>
      </c>
      <c r="J143" s="258">
        <f t="shared" si="74"/>
        <v>0.3</v>
      </c>
      <c r="K143" s="249">
        <f t="shared" si="75"/>
        <v>225</v>
      </c>
      <c r="L143" s="258">
        <v>0.25</v>
      </c>
      <c r="M143" s="258">
        <f t="shared" si="76"/>
        <v>0.25</v>
      </c>
      <c r="N143" s="251">
        <f t="shared" si="77"/>
        <v>45</v>
      </c>
      <c r="O143" s="258">
        <v>0.05</v>
      </c>
      <c r="P143" s="258">
        <f t="shared" si="78"/>
        <v>0.05</v>
      </c>
      <c r="Q143" s="249"/>
      <c r="R143" s="249">
        <v>900</v>
      </c>
      <c r="S143" s="258">
        <v>0.2</v>
      </c>
      <c r="T143" s="169">
        <f>Q143+Q143*S143</f>
        <v>0</v>
      </c>
      <c r="U143" s="315">
        <f t="shared" si="80"/>
        <v>1080</v>
      </c>
      <c r="V143" s="315">
        <f t="shared" si="81"/>
        <v>1100</v>
      </c>
      <c r="W143" s="316">
        <f t="shared" si="82"/>
        <v>0</v>
      </c>
    </row>
    <row r="144" spans="1:23" x14ac:dyDescent="0.25">
      <c r="A144" s="199" t="s">
        <v>14560</v>
      </c>
      <c r="B144" s="307" t="s">
        <v>14561</v>
      </c>
      <c r="C144" s="308"/>
      <c r="D144" s="309"/>
      <c r="E144" s="310"/>
      <c r="F144" s="311"/>
      <c r="G144" s="311"/>
      <c r="H144" s="310"/>
      <c r="I144" s="311"/>
      <c r="J144" s="311"/>
      <c r="K144" s="310"/>
      <c r="L144" s="311"/>
      <c r="M144" s="311"/>
      <c r="N144" s="310"/>
      <c r="O144" s="311"/>
      <c r="P144" s="311"/>
      <c r="Q144" s="310"/>
      <c r="R144" s="310"/>
      <c r="S144" s="309"/>
      <c r="T144" s="309"/>
      <c r="U144" s="309"/>
      <c r="V144" s="309"/>
      <c r="W144" s="312"/>
    </row>
    <row r="145" spans="1:23" x14ac:dyDescent="0.25">
      <c r="A145" s="200">
        <v>210020</v>
      </c>
      <c r="B145" s="313" t="s">
        <v>16061</v>
      </c>
      <c r="C145" s="248"/>
      <c r="D145" s="247" t="s">
        <v>3</v>
      </c>
      <c r="E145" s="249">
        <f t="shared" ref="E145:E151" si="83">R145*G145</f>
        <v>61.311639999999997</v>
      </c>
      <c r="F145" s="258">
        <v>0.314</v>
      </c>
      <c r="G145" s="258">
        <f t="shared" ref="G145:G151" si="84">F145</f>
        <v>0.314</v>
      </c>
      <c r="H145" s="249">
        <f t="shared" ref="H145:H151" si="85">R145*J145</f>
        <v>127.50478</v>
      </c>
      <c r="I145" s="258">
        <v>0.65300000000000002</v>
      </c>
      <c r="J145" s="258">
        <f t="shared" ref="J145:J151" si="86">I145</f>
        <v>0.65300000000000002</v>
      </c>
      <c r="K145" s="249">
        <f t="shared" ref="K145:K151" si="87">R145*M145</f>
        <v>9.7629999999999999</v>
      </c>
      <c r="L145" s="258">
        <v>0.05</v>
      </c>
      <c r="M145" s="258">
        <f t="shared" ref="M145:M151" si="88">L145</f>
        <v>0.05</v>
      </c>
      <c r="N145" s="251">
        <f t="shared" ref="N145:N151" si="89">P145*R145</f>
        <v>3.9051999999999998</v>
      </c>
      <c r="O145" s="258">
        <v>0.02</v>
      </c>
      <c r="P145" s="258">
        <f t="shared" ref="P145:P151" si="90">O145</f>
        <v>0.02</v>
      </c>
      <c r="Q145" s="249"/>
      <c r="R145" s="249">
        <v>195.26</v>
      </c>
      <c r="S145" s="258">
        <v>0.2</v>
      </c>
      <c r="T145" s="169">
        <f t="shared" ref="T145:T151" si="91">Q145+Q145*S145</f>
        <v>0</v>
      </c>
      <c r="U145" s="315">
        <f t="shared" ref="U145:U151" si="92">(R145*S145)+R145</f>
        <v>234.31199999999998</v>
      </c>
      <c r="V145" s="315">
        <f t="shared" ref="V145:V151" si="93">IF(U145=0, 0, IF(U145&lt;10, _xlfn.CEILING.MATH(U145,1), IF(U145&lt;100, _xlfn.CEILING.MATH(U145,1),IF(U145&lt;1000, _xlfn.CEILING.MATH(U145,5), IF(U145&lt;10000, _xlfn.CEILING.MATH(U145, 25), IF(U145&lt;100000, _xlfn.CEILING.MATH(U145,250), IF(U145&lt;1000000, _xlfn.CEILING.MATH(U145,500), 0)))))))</f>
        <v>235</v>
      </c>
      <c r="W145" s="316">
        <f t="shared" ref="W145:W151" si="94">C145*V145</f>
        <v>0</v>
      </c>
    </row>
    <row r="146" spans="1:23" x14ac:dyDescent="0.25">
      <c r="A146" s="200">
        <v>210020</v>
      </c>
      <c r="B146" s="313" t="s">
        <v>16062</v>
      </c>
      <c r="C146" s="248"/>
      <c r="D146" s="247" t="s">
        <v>3</v>
      </c>
      <c r="E146" s="249">
        <f t="shared" si="83"/>
        <v>46.172000000000004</v>
      </c>
      <c r="F146" s="258">
        <v>0.4</v>
      </c>
      <c r="G146" s="258">
        <f t="shared" si="84"/>
        <v>0.4</v>
      </c>
      <c r="H146" s="249">
        <f t="shared" si="85"/>
        <v>46.172000000000004</v>
      </c>
      <c r="I146" s="258">
        <v>0.4</v>
      </c>
      <c r="J146" s="258">
        <f t="shared" si="86"/>
        <v>0.4</v>
      </c>
      <c r="K146" s="249">
        <f t="shared" si="87"/>
        <v>23.086000000000002</v>
      </c>
      <c r="L146" s="258">
        <v>0.2</v>
      </c>
      <c r="M146" s="258">
        <f t="shared" si="88"/>
        <v>0.2</v>
      </c>
      <c r="N146" s="251">
        <f t="shared" si="89"/>
        <v>0</v>
      </c>
      <c r="O146" s="258"/>
      <c r="P146" s="258">
        <f t="shared" si="90"/>
        <v>0</v>
      </c>
      <c r="Q146" s="249"/>
      <c r="R146" s="249">
        <v>115.43</v>
      </c>
      <c r="S146" s="258">
        <v>0.2</v>
      </c>
      <c r="T146" s="169">
        <f t="shared" si="91"/>
        <v>0</v>
      </c>
      <c r="U146" s="315">
        <f t="shared" si="92"/>
        <v>138.51600000000002</v>
      </c>
      <c r="V146" s="315">
        <f t="shared" si="93"/>
        <v>140</v>
      </c>
      <c r="W146" s="316">
        <f t="shared" si="94"/>
        <v>0</v>
      </c>
    </row>
    <row r="147" spans="1:23" x14ac:dyDescent="0.25">
      <c r="A147" s="200">
        <v>210110</v>
      </c>
      <c r="B147" s="313" t="s">
        <v>16063</v>
      </c>
      <c r="C147" s="248"/>
      <c r="D147" s="247" t="s">
        <v>12</v>
      </c>
      <c r="E147" s="249">
        <f t="shared" si="83"/>
        <v>44</v>
      </c>
      <c r="F147" s="258">
        <v>0.4</v>
      </c>
      <c r="G147" s="258">
        <f t="shared" si="84"/>
        <v>0.4</v>
      </c>
      <c r="H147" s="249">
        <f t="shared" si="85"/>
        <v>33</v>
      </c>
      <c r="I147" s="258">
        <v>0.3</v>
      </c>
      <c r="J147" s="258">
        <f t="shared" si="86"/>
        <v>0.3</v>
      </c>
      <c r="K147" s="249">
        <f t="shared" si="87"/>
        <v>27.5</v>
      </c>
      <c r="L147" s="258">
        <v>0.25</v>
      </c>
      <c r="M147" s="258">
        <f t="shared" si="88"/>
        <v>0.25</v>
      </c>
      <c r="N147" s="251">
        <f t="shared" si="89"/>
        <v>5.5</v>
      </c>
      <c r="O147" s="258">
        <v>0.05</v>
      </c>
      <c r="P147" s="258">
        <f t="shared" si="90"/>
        <v>0.05</v>
      </c>
      <c r="Q147" s="249"/>
      <c r="R147" s="249">
        <v>110</v>
      </c>
      <c r="S147" s="258">
        <v>0.2</v>
      </c>
      <c r="T147" s="169">
        <f t="shared" si="91"/>
        <v>0</v>
      </c>
      <c r="U147" s="315">
        <f t="shared" si="92"/>
        <v>132</v>
      </c>
      <c r="V147" s="315">
        <f t="shared" si="93"/>
        <v>135</v>
      </c>
      <c r="W147" s="316">
        <f t="shared" si="94"/>
        <v>0</v>
      </c>
    </row>
    <row r="148" spans="1:23" x14ac:dyDescent="0.25">
      <c r="A148" s="200">
        <v>210210</v>
      </c>
      <c r="B148" s="313" t="s">
        <v>16064</v>
      </c>
      <c r="C148" s="248"/>
      <c r="D148" s="247" t="s">
        <v>12</v>
      </c>
      <c r="E148" s="249">
        <f t="shared" si="83"/>
        <v>58.830000000000005</v>
      </c>
      <c r="F148" s="258">
        <v>0.28238851821629146</v>
      </c>
      <c r="G148" s="258">
        <f t="shared" si="84"/>
        <v>0.28238851821629146</v>
      </c>
      <c r="H148" s="249">
        <f t="shared" si="85"/>
        <v>0</v>
      </c>
      <c r="I148" s="258"/>
      <c r="J148" s="258">
        <f t="shared" si="86"/>
        <v>0</v>
      </c>
      <c r="K148" s="249">
        <f t="shared" si="87"/>
        <v>75</v>
      </c>
      <c r="L148" s="258">
        <v>0.36000576009216145</v>
      </c>
      <c r="M148" s="258">
        <f t="shared" si="88"/>
        <v>0.36000576009216145</v>
      </c>
      <c r="N148" s="251">
        <f t="shared" si="89"/>
        <v>85</v>
      </c>
      <c r="O148" s="258">
        <v>0.40800652810444965</v>
      </c>
      <c r="P148" s="258">
        <f t="shared" si="90"/>
        <v>0.40800652810444965</v>
      </c>
      <c r="Q148" s="249"/>
      <c r="R148" s="249">
        <v>208.33</v>
      </c>
      <c r="S148" s="258">
        <v>0.2</v>
      </c>
      <c r="T148" s="169">
        <f t="shared" si="91"/>
        <v>0</v>
      </c>
      <c r="U148" s="315">
        <f t="shared" si="92"/>
        <v>249.99600000000001</v>
      </c>
      <c r="V148" s="315">
        <f t="shared" si="93"/>
        <v>250</v>
      </c>
      <c r="W148" s="316">
        <f t="shared" si="94"/>
        <v>0</v>
      </c>
    </row>
    <row r="149" spans="1:23" x14ac:dyDescent="0.25">
      <c r="A149" s="200">
        <v>210310</v>
      </c>
      <c r="B149" s="313" t="s">
        <v>20126</v>
      </c>
      <c r="C149" s="248"/>
      <c r="D149" s="247" t="s">
        <v>12</v>
      </c>
      <c r="E149" s="249">
        <f t="shared" si="83"/>
        <v>128</v>
      </c>
      <c r="F149" s="258">
        <v>0.4</v>
      </c>
      <c r="G149" s="258">
        <f t="shared" si="84"/>
        <v>0.4</v>
      </c>
      <c r="H149" s="249">
        <f t="shared" si="85"/>
        <v>0</v>
      </c>
      <c r="I149" s="258"/>
      <c r="J149" s="258">
        <f t="shared" si="86"/>
        <v>0</v>
      </c>
      <c r="K149" s="249">
        <f t="shared" si="87"/>
        <v>128</v>
      </c>
      <c r="L149" s="258">
        <v>0.4</v>
      </c>
      <c r="M149" s="258">
        <f t="shared" si="88"/>
        <v>0.4</v>
      </c>
      <c r="N149" s="251">
        <f t="shared" si="89"/>
        <v>64</v>
      </c>
      <c r="O149" s="258">
        <v>0.2</v>
      </c>
      <c r="P149" s="258">
        <f t="shared" si="90"/>
        <v>0.2</v>
      </c>
      <c r="Q149" s="249"/>
      <c r="R149" s="249">
        <v>320</v>
      </c>
      <c r="S149" s="258">
        <v>0.2</v>
      </c>
      <c r="T149" s="169">
        <f t="shared" si="91"/>
        <v>0</v>
      </c>
      <c r="U149" s="315">
        <f t="shared" si="92"/>
        <v>384</v>
      </c>
      <c r="V149" s="315">
        <f t="shared" si="93"/>
        <v>385</v>
      </c>
      <c r="W149" s="316">
        <f t="shared" si="94"/>
        <v>0</v>
      </c>
    </row>
    <row r="150" spans="1:23" x14ac:dyDescent="0.25">
      <c r="A150" s="200">
        <v>210310</v>
      </c>
      <c r="B150" s="313" t="s">
        <v>20127</v>
      </c>
      <c r="C150" s="248"/>
      <c r="D150" s="247" t="s">
        <v>12</v>
      </c>
      <c r="E150" s="249">
        <f t="shared" si="83"/>
        <v>120</v>
      </c>
      <c r="F150" s="258">
        <v>0.4</v>
      </c>
      <c r="G150" s="258">
        <f t="shared" si="84"/>
        <v>0.4</v>
      </c>
      <c r="H150" s="249">
        <f t="shared" si="85"/>
        <v>0</v>
      </c>
      <c r="I150" s="258"/>
      <c r="J150" s="258">
        <f t="shared" si="86"/>
        <v>0</v>
      </c>
      <c r="K150" s="249">
        <f t="shared" si="87"/>
        <v>120</v>
      </c>
      <c r="L150" s="258">
        <v>0.4</v>
      </c>
      <c r="M150" s="258">
        <f t="shared" si="88"/>
        <v>0.4</v>
      </c>
      <c r="N150" s="251">
        <f t="shared" si="89"/>
        <v>60</v>
      </c>
      <c r="O150" s="258">
        <v>0.2</v>
      </c>
      <c r="P150" s="258">
        <f t="shared" si="90"/>
        <v>0.2</v>
      </c>
      <c r="Q150" s="249"/>
      <c r="R150" s="249">
        <v>300</v>
      </c>
      <c r="S150" s="258">
        <v>0.2</v>
      </c>
      <c r="T150" s="169">
        <f t="shared" si="91"/>
        <v>0</v>
      </c>
      <c r="U150" s="315">
        <f t="shared" si="92"/>
        <v>360</v>
      </c>
      <c r="V150" s="315">
        <f t="shared" si="93"/>
        <v>360</v>
      </c>
      <c r="W150" s="316">
        <f t="shared" si="94"/>
        <v>0</v>
      </c>
    </row>
    <row r="151" spans="1:23" x14ac:dyDescent="0.25">
      <c r="A151" s="200">
        <v>210310</v>
      </c>
      <c r="B151" s="313" t="s">
        <v>20128</v>
      </c>
      <c r="C151" s="248"/>
      <c r="D151" s="247" t="s">
        <v>12</v>
      </c>
      <c r="E151" s="249">
        <f t="shared" si="83"/>
        <v>114</v>
      </c>
      <c r="F151" s="258">
        <v>0.4</v>
      </c>
      <c r="G151" s="258">
        <f t="shared" si="84"/>
        <v>0.4</v>
      </c>
      <c r="H151" s="249">
        <f t="shared" si="85"/>
        <v>0</v>
      </c>
      <c r="I151" s="258"/>
      <c r="J151" s="258">
        <f t="shared" si="86"/>
        <v>0</v>
      </c>
      <c r="K151" s="249">
        <f t="shared" si="87"/>
        <v>114</v>
      </c>
      <c r="L151" s="258">
        <v>0.4</v>
      </c>
      <c r="M151" s="258">
        <f t="shared" si="88"/>
        <v>0.4</v>
      </c>
      <c r="N151" s="251">
        <f t="shared" si="89"/>
        <v>57</v>
      </c>
      <c r="O151" s="258">
        <v>0.2</v>
      </c>
      <c r="P151" s="258">
        <f t="shared" si="90"/>
        <v>0.2</v>
      </c>
      <c r="Q151" s="249"/>
      <c r="R151" s="249">
        <v>285</v>
      </c>
      <c r="S151" s="258">
        <v>0.2</v>
      </c>
      <c r="T151" s="169">
        <f t="shared" si="91"/>
        <v>0</v>
      </c>
      <c r="U151" s="315">
        <f t="shared" si="92"/>
        <v>342</v>
      </c>
      <c r="V151" s="315">
        <f t="shared" si="93"/>
        <v>345</v>
      </c>
      <c r="W151" s="316">
        <f t="shared" si="94"/>
        <v>0</v>
      </c>
    </row>
    <row r="152" spans="1:23" x14ac:dyDescent="0.25">
      <c r="A152" s="199" t="s">
        <v>18909</v>
      </c>
      <c r="B152" s="307" t="s">
        <v>18910</v>
      </c>
      <c r="C152" s="308"/>
      <c r="D152" s="309"/>
      <c r="E152" s="310"/>
      <c r="F152" s="311"/>
      <c r="G152" s="311"/>
      <c r="H152" s="310"/>
      <c r="I152" s="311"/>
      <c r="J152" s="311"/>
      <c r="K152" s="310"/>
      <c r="L152" s="311"/>
      <c r="M152" s="311"/>
      <c r="N152" s="310"/>
      <c r="O152" s="311"/>
      <c r="P152" s="311"/>
      <c r="Q152" s="310"/>
      <c r="R152" s="310"/>
      <c r="S152" s="309"/>
      <c r="T152" s="309"/>
      <c r="U152" s="309"/>
      <c r="V152" s="309"/>
      <c r="W152" s="312"/>
    </row>
    <row r="153" spans="1:23" x14ac:dyDescent="0.25">
      <c r="A153" s="200">
        <v>310900</v>
      </c>
      <c r="B153" s="313" t="s">
        <v>20129</v>
      </c>
      <c r="C153" s="248"/>
      <c r="D153" s="247" t="s">
        <v>15992</v>
      </c>
      <c r="E153" s="249">
        <f>R153*G153</f>
        <v>122.10822857142858</v>
      </c>
      <c r="F153" s="258">
        <v>6.8571428571428575E-2</v>
      </c>
      <c r="G153" s="258">
        <f>F153</f>
        <v>6.8571428571428575E-2</v>
      </c>
      <c r="H153" s="249">
        <f>R153*J153</f>
        <v>763.17642857142857</v>
      </c>
      <c r="I153" s="258">
        <v>0.42857142857142855</v>
      </c>
      <c r="J153" s="258">
        <f>I153</f>
        <v>0.42857142857142855</v>
      </c>
      <c r="K153" s="249">
        <f>R153*M153</f>
        <v>366.32468571428575</v>
      </c>
      <c r="L153" s="258">
        <v>0.20571428571428571</v>
      </c>
      <c r="M153" s="258">
        <f>L153</f>
        <v>0.20571428571428571</v>
      </c>
      <c r="N153" s="251">
        <f>P153*R153</f>
        <v>529.13565714285721</v>
      </c>
      <c r="O153" s="258">
        <v>0.29714285714285715</v>
      </c>
      <c r="P153" s="258">
        <f>O153</f>
        <v>0.29714285714285715</v>
      </c>
      <c r="Q153" s="249">
        <v>1750</v>
      </c>
      <c r="R153" s="249">
        <f>SUM(F153*Q153*1.0235,I153*Q153*1.0175,L153*Q153*1.0245,O153*Q153*1.0115)</f>
        <v>1780.7450000000001</v>
      </c>
      <c r="S153" s="258">
        <v>0.15</v>
      </c>
      <c r="T153" s="169">
        <f>Q153+Q153*S153</f>
        <v>2012.5</v>
      </c>
      <c r="U153" s="315">
        <f>(R153*S153)+R153</f>
        <v>2047.8567500000001</v>
      </c>
      <c r="V153" s="315">
        <f>IF(U153=0, 0, IF(U153&lt;10, _xlfn.CEILING.MATH(U153,1), IF(U153&lt;100, _xlfn.CEILING.MATH(U153,1),IF(U153&lt;1000, _xlfn.CEILING.MATH(U153,5), IF(U153&lt;10000, _xlfn.CEILING.MATH(U153, 25), IF(U153&lt;100000, _xlfn.CEILING.MATH(U153,250), IF(U153&lt;1000000, _xlfn.CEILING.MATH(U153,500), 0)))))))</f>
        <v>2050</v>
      </c>
      <c r="W153" s="316">
        <f>C153*V153</f>
        <v>0</v>
      </c>
    </row>
    <row r="154" spans="1:23" x14ac:dyDescent="0.25">
      <c r="A154" s="200">
        <v>310910</v>
      </c>
      <c r="B154" s="313" t="s">
        <v>20130</v>
      </c>
      <c r="C154" s="248"/>
      <c r="D154" s="247" t="s">
        <v>14859</v>
      </c>
      <c r="E154" s="249">
        <f>R154*G154</f>
        <v>407.04462151394426</v>
      </c>
      <c r="F154" s="258">
        <v>6.3745019920318724E-2</v>
      </c>
      <c r="G154" s="258">
        <f>F154</f>
        <v>6.3745019920318724E-2</v>
      </c>
      <c r="H154" s="249">
        <f>R154*J154</f>
        <v>2493.1483067729087</v>
      </c>
      <c r="I154" s="258">
        <v>0.39043824701195218</v>
      </c>
      <c r="J154" s="258">
        <f>I154</f>
        <v>0.39043824701195218</v>
      </c>
      <c r="K154" s="249">
        <f>R154*M154</f>
        <v>1475.536752988048</v>
      </c>
      <c r="L154" s="258">
        <v>0.23107569721115537</v>
      </c>
      <c r="M154" s="258">
        <f>L154</f>
        <v>0.23107569721115537</v>
      </c>
      <c r="N154" s="251">
        <f>P154*R154</f>
        <v>2009.7828187250998</v>
      </c>
      <c r="O154" s="258">
        <v>0.3147410358565737</v>
      </c>
      <c r="P154" s="258">
        <f>O154</f>
        <v>0.3147410358565737</v>
      </c>
      <c r="Q154" s="249">
        <v>6275</v>
      </c>
      <c r="R154" s="249">
        <f>SUM(F154*Q154*1.0235,I154*Q154*1.0175,L154*Q154*1.0245,O154*Q154*1.0115)</f>
        <v>6385.5125000000007</v>
      </c>
      <c r="S154" s="258">
        <v>0.15</v>
      </c>
      <c r="T154" s="169">
        <f>Q154+Q154*S154</f>
        <v>7216.25</v>
      </c>
      <c r="U154" s="315">
        <f>(R154*S154)+R154</f>
        <v>7343.3393750000005</v>
      </c>
      <c r="V154" s="315">
        <f>IF(U154=0, 0, IF(U154&lt;10, _xlfn.CEILING.MATH(U154,1), IF(U154&lt;100, _xlfn.CEILING.MATH(U154,1),IF(U154&lt;1000, _xlfn.CEILING.MATH(U154,5), IF(U154&lt;10000, _xlfn.CEILING.MATH(U154, 25), IF(U154&lt;100000, _xlfn.CEILING.MATH(U154,250), IF(U154&lt;1000000, _xlfn.CEILING.MATH(U154,500), 0)))))))</f>
        <v>7350</v>
      </c>
      <c r="W154" s="316">
        <f>C154*V154</f>
        <v>0</v>
      </c>
    </row>
    <row r="155" spans="1:23" x14ac:dyDescent="0.25">
      <c r="A155" s="199" t="s">
        <v>14571</v>
      </c>
      <c r="B155" s="307" t="s">
        <v>14572</v>
      </c>
      <c r="C155" s="308"/>
      <c r="D155" s="309"/>
      <c r="E155" s="310"/>
      <c r="F155" s="311"/>
      <c r="G155" s="311"/>
      <c r="H155" s="310"/>
      <c r="I155" s="311"/>
      <c r="J155" s="311"/>
      <c r="K155" s="310"/>
      <c r="L155" s="311"/>
      <c r="M155" s="311"/>
      <c r="N155" s="310"/>
      <c r="O155" s="311"/>
      <c r="P155" s="311"/>
      <c r="Q155" s="310"/>
      <c r="R155" s="310"/>
      <c r="S155" s="309"/>
      <c r="T155" s="309"/>
      <c r="U155" s="309"/>
      <c r="V155" s="309"/>
      <c r="W155" s="312"/>
    </row>
    <row r="156" spans="1:23" x14ac:dyDescent="0.25">
      <c r="A156" s="200">
        <v>401002</v>
      </c>
      <c r="B156" s="313" t="s">
        <v>16154</v>
      </c>
      <c r="C156" s="248"/>
      <c r="D156" s="247" t="s">
        <v>12</v>
      </c>
      <c r="E156" s="249">
        <f>R156*G156</f>
        <v>0</v>
      </c>
      <c r="F156" s="258"/>
      <c r="G156" s="258">
        <f>F156</f>
        <v>0</v>
      </c>
      <c r="H156" s="249">
        <f>R156*J156</f>
        <v>34</v>
      </c>
      <c r="I156" s="258">
        <v>0.85</v>
      </c>
      <c r="J156" s="258">
        <f>I156</f>
        <v>0.85</v>
      </c>
      <c r="K156" s="249">
        <f>R156*M156</f>
        <v>0</v>
      </c>
      <c r="L156" s="258"/>
      <c r="M156" s="258">
        <f>L156</f>
        <v>0</v>
      </c>
      <c r="N156" s="251">
        <f>P156*R156</f>
        <v>6</v>
      </c>
      <c r="O156" s="258">
        <v>0.15</v>
      </c>
      <c r="P156" s="258">
        <f>O156</f>
        <v>0.15</v>
      </c>
      <c r="Q156" s="249"/>
      <c r="R156" s="249">
        <v>40</v>
      </c>
      <c r="S156" s="258">
        <v>0.2</v>
      </c>
      <c r="T156" s="169">
        <f>Q156+Q156*S156</f>
        <v>0</v>
      </c>
      <c r="U156" s="315">
        <f>(R156*S156)+R156</f>
        <v>48</v>
      </c>
      <c r="V156" s="315">
        <f>IF(U156=0, 0, IF(U156&lt;10, _xlfn.CEILING.MATH(U156,1), IF(U156&lt;100, _xlfn.CEILING.MATH(U156,1),IF(U156&lt;1000, _xlfn.CEILING.MATH(U156,5), IF(U156&lt;10000, _xlfn.CEILING.MATH(U156, 25), IF(U156&lt;100000, _xlfn.CEILING.MATH(U156,250), IF(U156&lt;1000000, _xlfn.CEILING.MATH(U156,500), 0)))))))</f>
        <v>48</v>
      </c>
      <c r="W156" s="316">
        <f>C156*V156</f>
        <v>0</v>
      </c>
    </row>
    <row r="157" spans="1:23" x14ac:dyDescent="0.25">
      <c r="A157" s="200">
        <v>401002</v>
      </c>
      <c r="B157" s="313" t="s">
        <v>16155</v>
      </c>
      <c r="C157" s="248"/>
      <c r="D157" s="247" t="s">
        <v>12</v>
      </c>
      <c r="E157" s="249">
        <f>R157*G157</f>
        <v>0</v>
      </c>
      <c r="F157" s="258"/>
      <c r="G157" s="258">
        <f>F157</f>
        <v>0</v>
      </c>
      <c r="H157" s="249">
        <f>R157*J157</f>
        <v>25.5</v>
      </c>
      <c r="I157" s="258">
        <v>0.85</v>
      </c>
      <c r="J157" s="258">
        <f>I157</f>
        <v>0.85</v>
      </c>
      <c r="K157" s="249">
        <f>R157*M157</f>
        <v>0</v>
      </c>
      <c r="L157" s="258"/>
      <c r="M157" s="258">
        <f>L157</f>
        <v>0</v>
      </c>
      <c r="N157" s="251">
        <f>P157*R157</f>
        <v>4.5</v>
      </c>
      <c r="O157" s="258">
        <v>0.15</v>
      </c>
      <c r="P157" s="258">
        <f>O157</f>
        <v>0.15</v>
      </c>
      <c r="Q157" s="249"/>
      <c r="R157" s="249">
        <v>30</v>
      </c>
      <c r="S157" s="258">
        <v>0.2</v>
      </c>
      <c r="T157" s="169">
        <f>Q157+Q157*S157</f>
        <v>0</v>
      </c>
      <c r="U157" s="315">
        <f>(R157*S157)+R157</f>
        <v>36</v>
      </c>
      <c r="V157" s="315">
        <f>IF(U157=0, 0, IF(U157&lt;10, _xlfn.CEILING.MATH(U157,1), IF(U157&lt;100, _xlfn.CEILING.MATH(U157,1),IF(U157&lt;1000, _xlfn.CEILING.MATH(U157,5), IF(U157&lt;10000, _xlfn.CEILING.MATH(U157, 25), IF(U157&lt;100000, _xlfn.CEILING.MATH(U157,250), IF(U157&lt;1000000, _xlfn.CEILING.MATH(U157,500), 0)))))))</f>
        <v>36</v>
      </c>
      <c r="W157" s="316">
        <f>C157*V157</f>
        <v>0</v>
      </c>
    </row>
    <row r="158" spans="1:23" x14ac:dyDescent="0.25">
      <c r="A158" s="200">
        <v>401002</v>
      </c>
      <c r="B158" s="313" t="s">
        <v>16156</v>
      </c>
      <c r="C158" s="248"/>
      <c r="D158" s="247" t="s">
        <v>12</v>
      </c>
      <c r="E158" s="249">
        <f>R158*G158</f>
        <v>0</v>
      </c>
      <c r="F158" s="258"/>
      <c r="G158" s="258">
        <f>F158</f>
        <v>0</v>
      </c>
      <c r="H158" s="249">
        <f>R158*J158</f>
        <v>17</v>
      </c>
      <c r="I158" s="258">
        <v>0.85</v>
      </c>
      <c r="J158" s="258">
        <f>I158</f>
        <v>0.85</v>
      </c>
      <c r="K158" s="249">
        <f>R158*M158</f>
        <v>0</v>
      </c>
      <c r="L158" s="258"/>
      <c r="M158" s="258">
        <f>L158</f>
        <v>0</v>
      </c>
      <c r="N158" s="251">
        <f>P158*R158</f>
        <v>3</v>
      </c>
      <c r="O158" s="258">
        <v>0.15</v>
      </c>
      <c r="P158" s="258">
        <f>O158</f>
        <v>0.15</v>
      </c>
      <c r="Q158" s="249"/>
      <c r="R158" s="249">
        <v>20</v>
      </c>
      <c r="S158" s="258">
        <v>0.2</v>
      </c>
      <c r="T158" s="169">
        <f>Q158+Q158*S158</f>
        <v>0</v>
      </c>
      <c r="U158" s="315">
        <f>(R158*S158)+R158</f>
        <v>24</v>
      </c>
      <c r="V158" s="315">
        <f>IF(U158=0, 0, IF(U158&lt;10, _xlfn.CEILING.MATH(U158,1), IF(U158&lt;100, _xlfn.CEILING.MATH(U158,1),IF(U158&lt;1000, _xlfn.CEILING.MATH(U158,5), IF(U158&lt;10000, _xlfn.CEILING.MATH(U158, 25), IF(U158&lt;100000, _xlfn.CEILING.MATH(U158,250), IF(U158&lt;1000000, _xlfn.CEILING.MATH(U158,500), 0)))))))</f>
        <v>24</v>
      </c>
      <c r="W158" s="316">
        <f>C158*V158</f>
        <v>0</v>
      </c>
    </row>
    <row r="159" spans="1:23" x14ac:dyDescent="0.25">
      <c r="A159" s="200">
        <v>401017</v>
      </c>
      <c r="B159" s="313" t="s">
        <v>16157</v>
      </c>
      <c r="C159" s="248"/>
      <c r="D159" s="247" t="s">
        <v>12</v>
      </c>
      <c r="E159" s="249">
        <f>R159*G159</f>
        <v>0</v>
      </c>
      <c r="F159" s="258"/>
      <c r="G159" s="258">
        <f>F159</f>
        <v>0</v>
      </c>
      <c r="H159" s="249">
        <f>R159*J159</f>
        <v>25.5</v>
      </c>
      <c r="I159" s="258">
        <v>0.85</v>
      </c>
      <c r="J159" s="258">
        <f>I159</f>
        <v>0.85</v>
      </c>
      <c r="K159" s="249">
        <f>R159*M159</f>
        <v>0</v>
      </c>
      <c r="L159" s="258"/>
      <c r="M159" s="258">
        <f>L159</f>
        <v>0</v>
      </c>
      <c r="N159" s="251">
        <f>P159*R159</f>
        <v>4.5</v>
      </c>
      <c r="O159" s="258">
        <v>0.15</v>
      </c>
      <c r="P159" s="258">
        <f>O159</f>
        <v>0.15</v>
      </c>
      <c r="Q159" s="249"/>
      <c r="R159" s="249">
        <v>30</v>
      </c>
      <c r="S159" s="258">
        <v>0.2</v>
      </c>
      <c r="T159" s="169">
        <f>Q159+Q159*S159</f>
        <v>0</v>
      </c>
      <c r="U159" s="315">
        <f>(R159*S159)+R159</f>
        <v>36</v>
      </c>
      <c r="V159" s="315">
        <f>IF(U159=0, 0, IF(U159&lt;10, _xlfn.CEILING.MATH(U159,1), IF(U159&lt;100, _xlfn.CEILING.MATH(U159,1),IF(U159&lt;1000, _xlfn.CEILING.MATH(U159,5), IF(U159&lt;10000, _xlfn.CEILING.MATH(U159, 25), IF(U159&lt;100000, _xlfn.CEILING.MATH(U159,250), IF(U159&lt;1000000, _xlfn.CEILING.MATH(U159,500), 0)))))))</f>
        <v>36</v>
      </c>
      <c r="W159" s="316">
        <f>C159*V159</f>
        <v>0</v>
      </c>
    </row>
    <row r="160" spans="1:23" x14ac:dyDescent="0.25">
      <c r="A160" s="199" t="s">
        <v>14584</v>
      </c>
      <c r="B160" s="307" t="s">
        <v>16158</v>
      </c>
      <c r="C160" s="308"/>
      <c r="D160" s="309"/>
      <c r="E160" s="310"/>
      <c r="F160" s="311"/>
      <c r="G160" s="311"/>
      <c r="H160" s="310"/>
      <c r="I160" s="311"/>
      <c r="J160" s="311"/>
      <c r="K160" s="310"/>
      <c r="L160" s="311"/>
      <c r="M160" s="311"/>
      <c r="N160" s="310"/>
      <c r="O160" s="311"/>
      <c r="P160" s="311"/>
      <c r="Q160" s="310"/>
      <c r="R160" s="310"/>
      <c r="S160" s="309"/>
      <c r="T160" s="309"/>
      <c r="U160" s="309"/>
      <c r="V160" s="309"/>
      <c r="W160" s="312"/>
    </row>
    <row r="161" spans="1:23" x14ac:dyDescent="0.25">
      <c r="A161" s="200">
        <v>504025</v>
      </c>
      <c r="B161" s="313" t="s">
        <v>16159</v>
      </c>
      <c r="C161" s="248"/>
      <c r="D161" s="247" t="s">
        <v>7</v>
      </c>
      <c r="E161" s="249">
        <f t="shared" ref="E161:E169" si="95">R161*G161</f>
        <v>1.125</v>
      </c>
      <c r="F161" s="258">
        <v>0.15</v>
      </c>
      <c r="G161" s="258">
        <f t="shared" ref="G161:G169" si="96">F161</f>
        <v>0.15</v>
      </c>
      <c r="H161" s="249">
        <f t="shared" ref="H161:H169" si="97">R161*J161</f>
        <v>0</v>
      </c>
      <c r="I161" s="258"/>
      <c r="J161" s="258">
        <f t="shared" ref="J161:J169" si="98">I161</f>
        <v>0</v>
      </c>
      <c r="K161" s="249">
        <f t="shared" ref="K161:K169" si="99">R161*M161</f>
        <v>0.75</v>
      </c>
      <c r="L161" s="258">
        <v>0.1</v>
      </c>
      <c r="M161" s="258">
        <f t="shared" ref="M161:M169" si="100">L161</f>
        <v>0.1</v>
      </c>
      <c r="N161" s="251">
        <f t="shared" ref="N161:N169" si="101">P161*R161</f>
        <v>5.625</v>
      </c>
      <c r="O161" s="258">
        <v>0.75</v>
      </c>
      <c r="P161" s="258">
        <f t="shared" ref="P161:P169" si="102">O161</f>
        <v>0.75</v>
      </c>
      <c r="Q161" s="249"/>
      <c r="R161" s="249">
        <v>7.5</v>
      </c>
      <c r="S161" s="258">
        <v>0.25</v>
      </c>
      <c r="T161" s="169">
        <f t="shared" ref="T161:T169" si="103">Q161+Q161*S161</f>
        <v>0</v>
      </c>
      <c r="U161" s="315">
        <f t="shared" ref="U161:U169" si="104">(R161*S161)+R161</f>
        <v>9.375</v>
      </c>
      <c r="V161" s="315">
        <f t="shared" ref="V161:V169" si="105">IF(U161=0, 0, IF(U161&lt;10, _xlfn.CEILING.MATH(U161,1), IF(U161&lt;100, _xlfn.CEILING.MATH(U161,1),IF(U161&lt;1000, _xlfn.CEILING.MATH(U161,5), IF(U161&lt;10000, _xlfn.CEILING.MATH(U161, 25), IF(U161&lt;100000, _xlfn.CEILING.MATH(U161,250), IF(U161&lt;1000000, _xlfn.CEILING.MATH(U161,500), 0)))))))</f>
        <v>10</v>
      </c>
      <c r="W161" s="316">
        <f t="shared" ref="W161:W169" si="106">C161*V161</f>
        <v>0</v>
      </c>
    </row>
    <row r="162" spans="1:23" x14ac:dyDescent="0.25">
      <c r="A162" s="200">
        <v>504025</v>
      </c>
      <c r="B162" s="313" t="s">
        <v>16160</v>
      </c>
      <c r="C162" s="248"/>
      <c r="D162" s="247" t="s">
        <v>7</v>
      </c>
      <c r="E162" s="249">
        <f t="shared" si="95"/>
        <v>0.75</v>
      </c>
      <c r="F162" s="258">
        <v>0.15</v>
      </c>
      <c r="G162" s="258">
        <f t="shared" si="96"/>
        <v>0.15</v>
      </c>
      <c r="H162" s="249">
        <f t="shared" si="97"/>
        <v>0</v>
      </c>
      <c r="I162" s="258"/>
      <c r="J162" s="258">
        <f t="shared" si="98"/>
        <v>0</v>
      </c>
      <c r="K162" s="249">
        <f t="shared" si="99"/>
        <v>0.5</v>
      </c>
      <c r="L162" s="258">
        <v>0.1</v>
      </c>
      <c r="M162" s="258">
        <f t="shared" si="100"/>
        <v>0.1</v>
      </c>
      <c r="N162" s="251">
        <f t="shared" si="101"/>
        <v>3.75</v>
      </c>
      <c r="O162" s="258">
        <v>0.75</v>
      </c>
      <c r="P162" s="258">
        <f t="shared" si="102"/>
        <v>0.75</v>
      </c>
      <c r="Q162" s="249"/>
      <c r="R162" s="249">
        <v>5</v>
      </c>
      <c r="S162" s="258">
        <v>0.25</v>
      </c>
      <c r="T162" s="169">
        <f t="shared" si="103"/>
        <v>0</v>
      </c>
      <c r="U162" s="315">
        <f t="shared" si="104"/>
        <v>6.25</v>
      </c>
      <c r="V162" s="315">
        <f t="shared" si="105"/>
        <v>7</v>
      </c>
      <c r="W162" s="316">
        <f t="shared" si="106"/>
        <v>0</v>
      </c>
    </row>
    <row r="163" spans="1:23" x14ac:dyDescent="0.25">
      <c r="A163" s="200">
        <v>504045</v>
      </c>
      <c r="B163" s="313" t="s">
        <v>16161</v>
      </c>
      <c r="C163" s="248"/>
      <c r="D163" s="247" t="s">
        <v>12</v>
      </c>
      <c r="E163" s="249">
        <f t="shared" si="95"/>
        <v>21</v>
      </c>
      <c r="F163" s="258">
        <v>0.15</v>
      </c>
      <c r="G163" s="258">
        <f t="shared" si="96"/>
        <v>0.15</v>
      </c>
      <c r="H163" s="249">
        <f t="shared" si="97"/>
        <v>0</v>
      </c>
      <c r="I163" s="258"/>
      <c r="J163" s="258">
        <f t="shared" si="98"/>
        <v>0</v>
      </c>
      <c r="K163" s="249">
        <f t="shared" si="99"/>
        <v>14</v>
      </c>
      <c r="L163" s="258">
        <v>0.1</v>
      </c>
      <c r="M163" s="258">
        <f t="shared" si="100"/>
        <v>0.1</v>
      </c>
      <c r="N163" s="251">
        <f t="shared" si="101"/>
        <v>105</v>
      </c>
      <c r="O163" s="258">
        <v>0.75</v>
      </c>
      <c r="P163" s="258">
        <f t="shared" si="102"/>
        <v>0.75</v>
      </c>
      <c r="Q163" s="249"/>
      <c r="R163" s="249">
        <v>140</v>
      </c>
      <c r="S163" s="258">
        <v>0.25</v>
      </c>
      <c r="T163" s="169">
        <f t="shared" si="103"/>
        <v>0</v>
      </c>
      <c r="U163" s="315">
        <f t="shared" si="104"/>
        <v>175</v>
      </c>
      <c r="V163" s="315">
        <f t="shared" si="105"/>
        <v>175</v>
      </c>
      <c r="W163" s="316">
        <f t="shared" si="106"/>
        <v>0</v>
      </c>
    </row>
    <row r="164" spans="1:23" x14ac:dyDescent="0.25">
      <c r="A164" s="200">
        <v>504045</v>
      </c>
      <c r="B164" s="313" t="s">
        <v>16162</v>
      </c>
      <c r="C164" s="248"/>
      <c r="D164" s="247" t="s">
        <v>12</v>
      </c>
      <c r="E164" s="249">
        <f t="shared" si="95"/>
        <v>19.5</v>
      </c>
      <c r="F164" s="258">
        <v>0.15</v>
      </c>
      <c r="G164" s="258">
        <f t="shared" si="96"/>
        <v>0.15</v>
      </c>
      <c r="H164" s="249">
        <f t="shared" si="97"/>
        <v>0</v>
      </c>
      <c r="I164" s="258"/>
      <c r="J164" s="258">
        <f t="shared" si="98"/>
        <v>0</v>
      </c>
      <c r="K164" s="249">
        <f t="shared" si="99"/>
        <v>13</v>
      </c>
      <c r="L164" s="258">
        <v>0.1</v>
      </c>
      <c r="M164" s="258">
        <f t="shared" si="100"/>
        <v>0.1</v>
      </c>
      <c r="N164" s="251">
        <f t="shared" si="101"/>
        <v>97.5</v>
      </c>
      <c r="O164" s="258">
        <v>0.75</v>
      </c>
      <c r="P164" s="258">
        <f t="shared" si="102"/>
        <v>0.75</v>
      </c>
      <c r="Q164" s="249"/>
      <c r="R164" s="249">
        <v>130</v>
      </c>
      <c r="S164" s="258">
        <v>0.25</v>
      </c>
      <c r="T164" s="169">
        <f t="shared" si="103"/>
        <v>0</v>
      </c>
      <c r="U164" s="315">
        <f t="shared" si="104"/>
        <v>162.5</v>
      </c>
      <c r="V164" s="315">
        <f t="shared" si="105"/>
        <v>165</v>
      </c>
      <c r="W164" s="316">
        <f t="shared" si="106"/>
        <v>0</v>
      </c>
    </row>
    <row r="165" spans="1:23" ht="21" x14ac:dyDescent="0.25">
      <c r="A165" s="200">
        <v>504300</v>
      </c>
      <c r="B165" s="255" t="s">
        <v>16163</v>
      </c>
      <c r="C165" s="248"/>
      <c r="D165" s="247" t="s">
        <v>7</v>
      </c>
      <c r="E165" s="249">
        <f t="shared" si="95"/>
        <v>5.7499999999999991</v>
      </c>
      <c r="F165" s="258">
        <f>5.75/10.75</f>
        <v>0.53488372093023251</v>
      </c>
      <c r="G165" s="258">
        <f t="shared" si="96"/>
        <v>0.53488372093023251</v>
      </c>
      <c r="H165" s="249">
        <f t="shared" si="97"/>
        <v>0</v>
      </c>
      <c r="I165" s="258"/>
      <c r="J165" s="258">
        <f t="shared" si="98"/>
        <v>0</v>
      </c>
      <c r="K165" s="249">
        <f t="shared" si="99"/>
        <v>4.25</v>
      </c>
      <c r="L165" s="258">
        <f>4.25/10.75</f>
        <v>0.39534883720930231</v>
      </c>
      <c r="M165" s="258">
        <f t="shared" si="100"/>
        <v>0.39534883720930231</v>
      </c>
      <c r="N165" s="251">
        <f t="shared" si="101"/>
        <v>0.75</v>
      </c>
      <c r="O165" s="258">
        <f>0.75/10.75</f>
        <v>6.9767441860465115E-2</v>
      </c>
      <c r="P165" s="258">
        <f t="shared" si="102"/>
        <v>6.9767441860465115E-2</v>
      </c>
      <c r="Q165" s="249"/>
      <c r="R165" s="249">
        <v>10.75</v>
      </c>
      <c r="S165" s="258">
        <v>0.2</v>
      </c>
      <c r="T165" s="169">
        <f t="shared" si="103"/>
        <v>0</v>
      </c>
      <c r="U165" s="315">
        <f t="shared" si="104"/>
        <v>12.9</v>
      </c>
      <c r="V165" s="315">
        <f t="shared" si="105"/>
        <v>13</v>
      </c>
      <c r="W165" s="316">
        <f t="shared" si="106"/>
        <v>0</v>
      </c>
    </row>
    <row r="166" spans="1:23" ht="21" x14ac:dyDescent="0.25">
      <c r="A166" s="200">
        <v>504301</v>
      </c>
      <c r="B166" s="255" t="s">
        <v>16164</v>
      </c>
      <c r="C166" s="248"/>
      <c r="D166" s="247" t="s">
        <v>7</v>
      </c>
      <c r="E166" s="249">
        <f t="shared" si="95"/>
        <v>7.18</v>
      </c>
      <c r="F166" s="258">
        <f>7.18/13.45</f>
        <v>0.53382899628252789</v>
      </c>
      <c r="G166" s="258">
        <f t="shared" si="96"/>
        <v>0.53382899628252789</v>
      </c>
      <c r="H166" s="249">
        <f t="shared" si="97"/>
        <v>0</v>
      </c>
      <c r="I166" s="258"/>
      <c r="J166" s="258">
        <f t="shared" si="98"/>
        <v>0</v>
      </c>
      <c r="K166" s="249">
        <f t="shared" si="99"/>
        <v>5.32</v>
      </c>
      <c r="L166" s="258">
        <f>5.32/13.45</f>
        <v>0.39553903345724911</v>
      </c>
      <c r="M166" s="258">
        <f t="shared" si="100"/>
        <v>0.39553903345724911</v>
      </c>
      <c r="N166" s="251">
        <f t="shared" si="101"/>
        <v>0.95000000000000007</v>
      </c>
      <c r="O166" s="258">
        <f>0.95/13.45</f>
        <v>7.0631970260223054E-2</v>
      </c>
      <c r="P166" s="258">
        <f t="shared" si="102"/>
        <v>7.0631970260223054E-2</v>
      </c>
      <c r="Q166" s="249"/>
      <c r="R166" s="249">
        <v>13.45</v>
      </c>
      <c r="S166" s="258">
        <v>0.2</v>
      </c>
      <c r="T166" s="169">
        <f t="shared" si="103"/>
        <v>0</v>
      </c>
      <c r="U166" s="315">
        <f t="shared" si="104"/>
        <v>16.14</v>
      </c>
      <c r="V166" s="315">
        <f t="shared" si="105"/>
        <v>17</v>
      </c>
      <c r="W166" s="316">
        <f t="shared" si="106"/>
        <v>0</v>
      </c>
    </row>
    <row r="167" spans="1:23" x14ac:dyDescent="0.25">
      <c r="A167" s="200">
        <v>504901</v>
      </c>
      <c r="B167" s="313" t="s">
        <v>20131</v>
      </c>
      <c r="C167" s="248"/>
      <c r="D167" s="247" t="s">
        <v>7</v>
      </c>
      <c r="E167" s="249">
        <f t="shared" si="95"/>
        <v>85.415000000000006</v>
      </c>
      <c r="F167" s="258">
        <v>0.5</v>
      </c>
      <c r="G167" s="258">
        <f t="shared" si="96"/>
        <v>0.5</v>
      </c>
      <c r="H167" s="249">
        <f t="shared" si="97"/>
        <v>72.090260000000001</v>
      </c>
      <c r="I167" s="258">
        <v>0.42199999999999999</v>
      </c>
      <c r="J167" s="258">
        <f t="shared" si="98"/>
        <v>0.42199999999999999</v>
      </c>
      <c r="K167" s="249">
        <f t="shared" si="99"/>
        <v>10.76229</v>
      </c>
      <c r="L167" s="258">
        <v>6.3E-2</v>
      </c>
      <c r="M167" s="258">
        <f t="shared" si="100"/>
        <v>6.3E-2</v>
      </c>
      <c r="N167" s="251">
        <f t="shared" si="101"/>
        <v>2.7332800000000002</v>
      </c>
      <c r="O167" s="258">
        <v>1.6E-2</v>
      </c>
      <c r="P167" s="258">
        <f t="shared" si="102"/>
        <v>1.6E-2</v>
      </c>
      <c r="Q167" s="249"/>
      <c r="R167" s="249">
        <v>170.83</v>
      </c>
      <c r="S167" s="258">
        <v>0.2</v>
      </c>
      <c r="T167" s="169">
        <f t="shared" si="103"/>
        <v>0</v>
      </c>
      <c r="U167" s="315">
        <f t="shared" si="104"/>
        <v>204.99600000000001</v>
      </c>
      <c r="V167" s="315">
        <f t="shared" si="105"/>
        <v>205</v>
      </c>
      <c r="W167" s="316">
        <f t="shared" si="106"/>
        <v>0</v>
      </c>
    </row>
    <row r="168" spans="1:23" x14ac:dyDescent="0.25">
      <c r="A168" s="200">
        <v>504901</v>
      </c>
      <c r="B168" s="313" t="s">
        <v>20132</v>
      </c>
      <c r="C168" s="248"/>
      <c r="D168" s="247" t="s">
        <v>7</v>
      </c>
      <c r="E168" s="249">
        <f t="shared" si="95"/>
        <v>81.832515000000001</v>
      </c>
      <c r="F168" s="258">
        <v>0.49099999999999999</v>
      </c>
      <c r="G168" s="258">
        <f t="shared" si="96"/>
        <v>0.49099999999999999</v>
      </c>
      <c r="H168" s="249">
        <f t="shared" si="97"/>
        <v>71.999279999999999</v>
      </c>
      <c r="I168" s="258">
        <v>0.432</v>
      </c>
      <c r="J168" s="258">
        <f t="shared" si="98"/>
        <v>0.432</v>
      </c>
      <c r="K168" s="249">
        <f t="shared" si="99"/>
        <v>10.499895</v>
      </c>
      <c r="L168" s="258">
        <v>6.3E-2</v>
      </c>
      <c r="M168" s="258">
        <f t="shared" si="100"/>
        <v>6.3E-2</v>
      </c>
      <c r="N168" s="251">
        <f t="shared" si="101"/>
        <v>2.4999749999999996</v>
      </c>
      <c r="O168" s="258">
        <v>1.4999999999999999E-2</v>
      </c>
      <c r="P168" s="258">
        <f t="shared" si="102"/>
        <v>1.4999999999999999E-2</v>
      </c>
      <c r="Q168" s="249"/>
      <c r="R168" s="249">
        <v>166.66499999999999</v>
      </c>
      <c r="S168" s="258">
        <v>0.2</v>
      </c>
      <c r="T168" s="169">
        <f t="shared" si="103"/>
        <v>0</v>
      </c>
      <c r="U168" s="315">
        <f t="shared" si="104"/>
        <v>199.99799999999999</v>
      </c>
      <c r="V168" s="315">
        <f t="shared" si="105"/>
        <v>200</v>
      </c>
      <c r="W168" s="316">
        <f t="shared" si="106"/>
        <v>0</v>
      </c>
    </row>
    <row r="169" spans="1:23" x14ac:dyDescent="0.25">
      <c r="A169" s="200">
        <v>504901</v>
      </c>
      <c r="B169" s="313" t="s">
        <v>20133</v>
      </c>
      <c r="C169" s="248"/>
      <c r="D169" s="247" t="s">
        <v>7</v>
      </c>
      <c r="E169" s="249">
        <f t="shared" si="95"/>
        <v>78</v>
      </c>
      <c r="F169" s="258">
        <v>0.48</v>
      </c>
      <c r="G169" s="258">
        <f t="shared" si="96"/>
        <v>0.48</v>
      </c>
      <c r="H169" s="249">
        <f t="shared" si="97"/>
        <v>71.987499999999997</v>
      </c>
      <c r="I169" s="258">
        <v>0.443</v>
      </c>
      <c r="J169" s="258">
        <f t="shared" si="98"/>
        <v>0.443</v>
      </c>
      <c r="K169" s="249">
        <f t="shared" si="99"/>
        <v>10.074999999999999</v>
      </c>
      <c r="L169" s="258">
        <v>6.2E-2</v>
      </c>
      <c r="M169" s="258">
        <f t="shared" si="100"/>
        <v>6.2E-2</v>
      </c>
      <c r="N169" s="251">
        <f t="shared" si="101"/>
        <v>2.2749999999999999</v>
      </c>
      <c r="O169" s="258">
        <v>1.4E-2</v>
      </c>
      <c r="P169" s="258">
        <f t="shared" si="102"/>
        <v>1.4E-2</v>
      </c>
      <c r="Q169" s="249"/>
      <c r="R169" s="249">
        <v>162.5</v>
      </c>
      <c r="S169" s="258">
        <v>0.2</v>
      </c>
      <c r="T169" s="169">
        <f t="shared" si="103"/>
        <v>0</v>
      </c>
      <c r="U169" s="315">
        <f t="shared" si="104"/>
        <v>195</v>
      </c>
      <c r="V169" s="315">
        <f t="shared" si="105"/>
        <v>195</v>
      </c>
      <c r="W169" s="316">
        <f t="shared" si="106"/>
        <v>0</v>
      </c>
    </row>
    <row r="170" spans="1:23" ht="21" x14ac:dyDescent="0.25">
      <c r="A170" s="199" t="s">
        <v>14624</v>
      </c>
      <c r="B170" s="326" t="s">
        <v>18892</v>
      </c>
      <c r="C170" s="308"/>
      <c r="D170" s="309"/>
      <c r="E170" s="310"/>
      <c r="F170" s="311"/>
      <c r="G170" s="311"/>
      <c r="H170" s="310"/>
      <c r="I170" s="311"/>
      <c r="J170" s="311"/>
      <c r="K170" s="310"/>
      <c r="L170" s="311"/>
      <c r="M170" s="311"/>
      <c r="N170" s="310"/>
      <c r="O170" s="311"/>
      <c r="P170" s="311"/>
      <c r="Q170" s="310"/>
      <c r="R170" s="310"/>
      <c r="S170" s="309"/>
      <c r="T170" s="309"/>
      <c r="U170" s="309"/>
      <c r="V170" s="309"/>
      <c r="W170" s="312"/>
    </row>
    <row r="171" spans="1:23" x14ac:dyDescent="0.25">
      <c r="A171" s="200">
        <v>602410</v>
      </c>
      <c r="B171" s="313" t="s">
        <v>16165</v>
      </c>
      <c r="C171" s="248"/>
      <c r="D171" s="247" t="s">
        <v>11</v>
      </c>
      <c r="E171" s="249">
        <f>R171*G171</f>
        <v>500</v>
      </c>
      <c r="F171" s="258">
        <v>0.5</v>
      </c>
      <c r="G171" s="258">
        <f>F171</f>
        <v>0.5</v>
      </c>
      <c r="H171" s="249">
        <f>R171*J171</f>
        <v>350</v>
      </c>
      <c r="I171" s="258">
        <v>0.35</v>
      </c>
      <c r="J171" s="258">
        <f>I171</f>
        <v>0.35</v>
      </c>
      <c r="K171" s="249">
        <f>R171*M171</f>
        <v>100</v>
      </c>
      <c r="L171" s="258">
        <v>0.1</v>
      </c>
      <c r="M171" s="258">
        <f>L171</f>
        <v>0.1</v>
      </c>
      <c r="N171" s="251">
        <f>P171*R171</f>
        <v>50</v>
      </c>
      <c r="O171" s="258">
        <v>0.05</v>
      </c>
      <c r="P171" s="258">
        <f>O171</f>
        <v>0.05</v>
      </c>
      <c r="Q171" s="249"/>
      <c r="R171" s="249">
        <v>1000</v>
      </c>
      <c r="S171" s="258">
        <v>0.2</v>
      </c>
      <c r="T171" s="169">
        <f>Q171+Q171*S171</f>
        <v>0</v>
      </c>
      <c r="U171" s="315">
        <f>(R171*S171)+R171</f>
        <v>1200</v>
      </c>
      <c r="V171" s="315">
        <f>IF(U171=0, 0, IF(U171&lt;10, _xlfn.CEILING.MATH(U171,1), IF(U171&lt;100, _xlfn.CEILING.MATH(U171,1),IF(U171&lt;1000, _xlfn.CEILING.MATH(U171,5), IF(U171&lt;10000, _xlfn.CEILING.MATH(U171, 25), IF(U171&lt;100000, _xlfn.CEILING.MATH(U171,250), IF(U171&lt;1000000, _xlfn.CEILING.MATH(U171,500), 0)))))))</f>
        <v>1200</v>
      </c>
      <c r="W171" s="316">
        <f>C171*V171</f>
        <v>0</v>
      </c>
    </row>
    <row r="172" spans="1:23" x14ac:dyDescent="0.25">
      <c r="A172" s="199" t="s">
        <v>14639</v>
      </c>
      <c r="B172" s="307" t="s">
        <v>16166</v>
      </c>
      <c r="C172" s="308"/>
      <c r="D172" s="309"/>
      <c r="E172" s="310"/>
      <c r="F172" s="311"/>
      <c r="G172" s="311"/>
      <c r="H172" s="310"/>
      <c r="I172" s="311"/>
      <c r="J172" s="311"/>
      <c r="K172" s="310"/>
      <c r="L172" s="311"/>
      <c r="M172" s="311"/>
      <c r="N172" s="310"/>
      <c r="O172" s="311"/>
      <c r="P172" s="311"/>
      <c r="Q172" s="310"/>
      <c r="R172" s="310"/>
      <c r="S172" s="309"/>
      <c r="T172" s="309"/>
      <c r="U172" s="309"/>
      <c r="V172" s="309"/>
      <c r="W172" s="312"/>
    </row>
    <row r="173" spans="1:23" x14ac:dyDescent="0.25">
      <c r="A173" s="200">
        <v>705353</v>
      </c>
      <c r="B173" s="313" t="s">
        <v>16167</v>
      </c>
      <c r="C173" s="248"/>
      <c r="D173" s="247" t="s">
        <v>11</v>
      </c>
      <c r="E173" s="249">
        <f>R173*G173</f>
        <v>997.49999999999989</v>
      </c>
      <c r="F173" s="258">
        <v>0.35</v>
      </c>
      <c r="G173" s="258">
        <f>F173</f>
        <v>0.35</v>
      </c>
      <c r="H173" s="249">
        <f>R173*J173</f>
        <v>997.49999999999989</v>
      </c>
      <c r="I173" s="258">
        <v>0.35</v>
      </c>
      <c r="J173" s="258">
        <f>I173</f>
        <v>0.35</v>
      </c>
      <c r="K173" s="249">
        <f>R173*M173</f>
        <v>712.5</v>
      </c>
      <c r="L173" s="258">
        <v>0.25</v>
      </c>
      <c r="M173" s="258">
        <f>L173</f>
        <v>0.25</v>
      </c>
      <c r="N173" s="251">
        <f>P173*R173</f>
        <v>142.5</v>
      </c>
      <c r="O173" s="258">
        <v>0.05</v>
      </c>
      <c r="P173" s="258">
        <f>O173</f>
        <v>0.05</v>
      </c>
      <c r="Q173" s="249"/>
      <c r="R173" s="249">
        <v>2850</v>
      </c>
      <c r="S173" s="258">
        <v>0.2</v>
      </c>
      <c r="T173" s="169">
        <f>Q173+Q173*S173</f>
        <v>0</v>
      </c>
      <c r="U173" s="315">
        <f>(R173*S173)+R173</f>
        <v>3420</v>
      </c>
      <c r="V173" s="315">
        <f>IF(U173=0, 0, IF(U173&lt;10, _xlfn.CEILING.MATH(U173,1), IF(U173&lt;100, _xlfn.CEILING.MATH(U173,1),IF(U173&lt;1000, _xlfn.CEILING.MATH(U173,5), IF(U173&lt;10000, _xlfn.CEILING.MATH(U173, 25), IF(U173&lt;100000, _xlfn.CEILING.MATH(U173,250), IF(U173&lt;1000000, _xlfn.CEILING.MATH(U173,500), 0)))))))</f>
        <v>3425</v>
      </c>
      <c r="W173" s="316">
        <f>C173*V173</f>
        <v>0</v>
      </c>
    </row>
    <row r="174" spans="1:23" x14ac:dyDescent="0.25">
      <c r="A174" s="200">
        <v>705353</v>
      </c>
      <c r="B174" s="313" t="s">
        <v>16168</v>
      </c>
      <c r="C174" s="248"/>
      <c r="D174" s="247" t="s">
        <v>11</v>
      </c>
      <c r="E174" s="249">
        <f>R174*G174</f>
        <v>770</v>
      </c>
      <c r="F174" s="258">
        <v>0.35</v>
      </c>
      <c r="G174" s="258">
        <f>F174</f>
        <v>0.35</v>
      </c>
      <c r="H174" s="249">
        <f>R174*J174</f>
        <v>770</v>
      </c>
      <c r="I174" s="258">
        <v>0.35</v>
      </c>
      <c r="J174" s="258">
        <f>I174</f>
        <v>0.35</v>
      </c>
      <c r="K174" s="249">
        <f>R174*M174</f>
        <v>550</v>
      </c>
      <c r="L174" s="258">
        <v>0.25</v>
      </c>
      <c r="M174" s="258">
        <f>L174</f>
        <v>0.25</v>
      </c>
      <c r="N174" s="251">
        <f>P174*R174</f>
        <v>110</v>
      </c>
      <c r="O174" s="258">
        <v>0.05</v>
      </c>
      <c r="P174" s="258">
        <f>O174</f>
        <v>0.05</v>
      </c>
      <c r="Q174" s="249"/>
      <c r="R174" s="249">
        <v>2200</v>
      </c>
      <c r="S174" s="258">
        <v>0.2</v>
      </c>
      <c r="T174" s="169">
        <f>Q174+Q174*S174</f>
        <v>0</v>
      </c>
      <c r="U174" s="315">
        <f>(R174*S174)+R174</f>
        <v>2640</v>
      </c>
      <c r="V174" s="315">
        <f>IF(U174=0, 0, IF(U174&lt;10, _xlfn.CEILING.MATH(U174,1), IF(U174&lt;100, _xlfn.CEILING.MATH(U174,1),IF(U174&lt;1000, _xlfn.CEILING.MATH(U174,5), IF(U174&lt;10000, _xlfn.CEILING.MATH(U174, 25), IF(U174&lt;100000, _xlfn.CEILING.MATH(U174,250), IF(U174&lt;1000000, _xlfn.CEILING.MATH(U174,500), 0)))))))</f>
        <v>2650</v>
      </c>
      <c r="W174" s="316">
        <f>C174*V174</f>
        <v>0</v>
      </c>
    </row>
    <row r="175" spans="1:23" x14ac:dyDescent="0.25">
      <c r="A175" s="200">
        <v>705901</v>
      </c>
      <c r="B175" s="313" t="s">
        <v>16169</v>
      </c>
      <c r="C175" s="248"/>
      <c r="D175" s="247" t="s">
        <v>11</v>
      </c>
      <c r="E175" s="249">
        <f t="shared" ref="E175:E188" si="107">R175*G175</f>
        <v>2187.5</v>
      </c>
      <c r="F175" s="258">
        <v>0.35</v>
      </c>
      <c r="G175" s="258">
        <f t="shared" ref="G175:G188" si="108">F175</f>
        <v>0.35</v>
      </c>
      <c r="H175" s="249">
        <f t="shared" ref="H175:H188" si="109">R175*J175</f>
        <v>3281.25</v>
      </c>
      <c r="I175" s="314">
        <v>0.52500000000000002</v>
      </c>
      <c r="J175" s="258">
        <f t="shared" ref="J175:J188" si="110">I175</f>
        <v>0.52500000000000002</v>
      </c>
      <c r="K175" s="249">
        <f t="shared" ref="K175:K188" si="111">R175*M175</f>
        <v>625</v>
      </c>
      <c r="L175" s="258">
        <v>0.1</v>
      </c>
      <c r="M175" s="258">
        <f t="shared" ref="M175:M188" si="112">L175</f>
        <v>0.1</v>
      </c>
      <c r="N175" s="251">
        <f t="shared" ref="N175:N188" si="113">P175*R175</f>
        <v>156.25</v>
      </c>
      <c r="O175" s="258">
        <v>2.5000000000000001E-2</v>
      </c>
      <c r="P175" s="258">
        <f t="shared" ref="P175:P188" si="114">O175</f>
        <v>2.5000000000000001E-2</v>
      </c>
      <c r="Q175" s="249"/>
      <c r="R175" s="249">
        <v>6250</v>
      </c>
      <c r="S175" s="258">
        <v>0.2</v>
      </c>
      <c r="T175" s="169">
        <f t="shared" ref="T175:T188" si="115">Q175+Q175*S175</f>
        <v>0</v>
      </c>
      <c r="U175" s="315">
        <f t="shared" ref="U175:U180" si="116">(R175*S175)+R175</f>
        <v>7500</v>
      </c>
      <c r="V175" s="315">
        <f t="shared" ref="V175:V182" si="117">IF(U175=0, 0, IF(U175&lt;10, _xlfn.CEILING.MATH(U175,1), IF(U175&lt;100, _xlfn.CEILING.MATH(U175,1),IF(U175&lt;1000, _xlfn.CEILING.MATH(U175,5), IF(U175&lt;10000, _xlfn.CEILING.MATH(U175, 25), IF(U175&lt;100000, _xlfn.CEILING.MATH(U175,250), IF(U175&lt;1000000, _xlfn.CEILING.MATH(U175,500), 0)))))))</f>
        <v>7500</v>
      </c>
      <c r="W175" s="316">
        <f t="shared" ref="W175:W188" si="118">C175*V175</f>
        <v>0</v>
      </c>
    </row>
    <row r="176" spans="1:23" x14ac:dyDescent="0.25">
      <c r="A176" s="200">
        <v>705902</v>
      </c>
      <c r="B176" s="313" t="s">
        <v>16170</v>
      </c>
      <c r="C176" s="248"/>
      <c r="D176" s="247" t="s">
        <v>11</v>
      </c>
      <c r="E176" s="249">
        <f t="shared" si="107"/>
        <v>3946.2499999999995</v>
      </c>
      <c r="F176" s="258">
        <v>0.35</v>
      </c>
      <c r="G176" s="258">
        <f t="shared" si="108"/>
        <v>0.35</v>
      </c>
      <c r="H176" s="249">
        <f t="shared" si="109"/>
        <v>6088.5</v>
      </c>
      <c r="I176" s="314">
        <v>0.54</v>
      </c>
      <c r="J176" s="258">
        <f t="shared" si="110"/>
        <v>0.54</v>
      </c>
      <c r="K176" s="249">
        <f t="shared" si="111"/>
        <v>958.37500000000011</v>
      </c>
      <c r="L176" s="258">
        <v>8.5000000000000006E-2</v>
      </c>
      <c r="M176" s="258">
        <f t="shared" si="112"/>
        <v>8.5000000000000006E-2</v>
      </c>
      <c r="N176" s="251">
        <f t="shared" si="113"/>
        <v>281.875</v>
      </c>
      <c r="O176" s="258">
        <v>2.5000000000000001E-2</v>
      </c>
      <c r="P176" s="258">
        <f t="shared" si="114"/>
        <v>2.5000000000000001E-2</v>
      </c>
      <c r="Q176" s="249"/>
      <c r="R176" s="249">
        <v>11275</v>
      </c>
      <c r="S176" s="258">
        <v>0.15</v>
      </c>
      <c r="T176" s="169">
        <f t="shared" si="115"/>
        <v>0</v>
      </c>
      <c r="U176" s="315">
        <f t="shared" si="116"/>
        <v>12966.25</v>
      </c>
      <c r="V176" s="315">
        <f t="shared" si="117"/>
        <v>13000</v>
      </c>
      <c r="W176" s="316">
        <f t="shared" si="118"/>
        <v>0</v>
      </c>
    </row>
    <row r="177" spans="1:23" ht="14.4" thickBot="1" x14ac:dyDescent="0.3">
      <c r="A177" s="263">
        <v>705903</v>
      </c>
      <c r="B177" s="321" t="s">
        <v>16171</v>
      </c>
      <c r="C177" s="265"/>
      <c r="D177" s="264" t="s">
        <v>11</v>
      </c>
      <c r="E177" s="266">
        <f t="shared" si="107"/>
        <v>5775</v>
      </c>
      <c r="F177" s="322">
        <v>0.35</v>
      </c>
      <c r="G177" s="322">
        <f t="shared" si="108"/>
        <v>0.35</v>
      </c>
      <c r="H177" s="266">
        <f t="shared" si="109"/>
        <v>9240</v>
      </c>
      <c r="I177" s="322">
        <v>0.56000000000000005</v>
      </c>
      <c r="J177" s="322">
        <f t="shared" si="110"/>
        <v>0.56000000000000005</v>
      </c>
      <c r="K177" s="266">
        <f t="shared" si="111"/>
        <v>1072.5</v>
      </c>
      <c r="L177" s="322">
        <v>6.5000000000000002E-2</v>
      </c>
      <c r="M177" s="322">
        <f t="shared" si="112"/>
        <v>6.5000000000000002E-2</v>
      </c>
      <c r="N177" s="270">
        <f t="shared" si="113"/>
        <v>412.5</v>
      </c>
      <c r="O177" s="322">
        <v>2.5000000000000001E-2</v>
      </c>
      <c r="P177" s="322">
        <f t="shared" si="114"/>
        <v>2.5000000000000001E-2</v>
      </c>
      <c r="Q177" s="266"/>
      <c r="R177" s="266">
        <v>16500</v>
      </c>
      <c r="S177" s="322">
        <v>0.15</v>
      </c>
      <c r="T177" s="291">
        <f t="shared" si="115"/>
        <v>0</v>
      </c>
      <c r="U177" s="324">
        <f t="shared" si="116"/>
        <v>18975</v>
      </c>
      <c r="V177" s="324">
        <f t="shared" si="117"/>
        <v>19000</v>
      </c>
      <c r="W177" s="325">
        <f t="shared" si="118"/>
        <v>0</v>
      </c>
    </row>
    <row r="178" spans="1:23" x14ac:dyDescent="0.25">
      <c r="A178" s="200">
        <v>705904</v>
      </c>
      <c r="B178" s="313" t="s">
        <v>16172</v>
      </c>
      <c r="C178" s="248"/>
      <c r="D178" s="247" t="s">
        <v>11</v>
      </c>
      <c r="E178" s="249">
        <f t="shared" si="107"/>
        <v>6300</v>
      </c>
      <c r="F178" s="258">
        <v>0.4</v>
      </c>
      <c r="G178" s="258">
        <f t="shared" si="108"/>
        <v>0.4</v>
      </c>
      <c r="H178" s="249">
        <f t="shared" si="109"/>
        <v>7875</v>
      </c>
      <c r="I178" s="258">
        <v>0.5</v>
      </c>
      <c r="J178" s="258">
        <f t="shared" si="110"/>
        <v>0.5</v>
      </c>
      <c r="K178" s="249">
        <f t="shared" si="111"/>
        <v>1338.75</v>
      </c>
      <c r="L178" s="258">
        <v>8.5000000000000006E-2</v>
      </c>
      <c r="M178" s="258">
        <f t="shared" si="112"/>
        <v>8.5000000000000006E-2</v>
      </c>
      <c r="N178" s="251">
        <f t="shared" si="113"/>
        <v>236.25</v>
      </c>
      <c r="O178" s="258">
        <v>1.4999999999999999E-2</v>
      </c>
      <c r="P178" s="258">
        <f t="shared" si="114"/>
        <v>1.4999999999999999E-2</v>
      </c>
      <c r="Q178" s="249"/>
      <c r="R178" s="249">
        <v>15750</v>
      </c>
      <c r="S178" s="258">
        <v>0.15</v>
      </c>
      <c r="T178" s="169">
        <f t="shared" si="115"/>
        <v>0</v>
      </c>
      <c r="U178" s="315">
        <f t="shared" si="116"/>
        <v>18112.5</v>
      </c>
      <c r="V178" s="315">
        <f t="shared" si="117"/>
        <v>18250</v>
      </c>
      <c r="W178" s="316">
        <f t="shared" si="118"/>
        <v>0</v>
      </c>
    </row>
    <row r="179" spans="1:23" x14ac:dyDescent="0.25">
      <c r="A179" s="200">
        <v>705905</v>
      </c>
      <c r="B179" s="313" t="s">
        <v>16173</v>
      </c>
      <c r="C179" s="248"/>
      <c r="D179" s="247" t="s">
        <v>11</v>
      </c>
      <c r="E179" s="249">
        <f t="shared" si="107"/>
        <v>6900</v>
      </c>
      <c r="F179" s="258">
        <v>0.4</v>
      </c>
      <c r="G179" s="258">
        <f t="shared" si="108"/>
        <v>0.4</v>
      </c>
      <c r="H179" s="249">
        <f t="shared" si="109"/>
        <v>8970</v>
      </c>
      <c r="I179" s="258">
        <v>0.52</v>
      </c>
      <c r="J179" s="258">
        <f t="shared" si="110"/>
        <v>0.52</v>
      </c>
      <c r="K179" s="249">
        <f t="shared" si="111"/>
        <v>1121.25</v>
      </c>
      <c r="L179" s="258">
        <v>6.5000000000000002E-2</v>
      </c>
      <c r="M179" s="258">
        <f t="shared" si="112"/>
        <v>6.5000000000000002E-2</v>
      </c>
      <c r="N179" s="251">
        <f t="shared" si="113"/>
        <v>258.75</v>
      </c>
      <c r="O179" s="258">
        <v>1.4999999999999999E-2</v>
      </c>
      <c r="P179" s="258">
        <f t="shared" si="114"/>
        <v>1.4999999999999999E-2</v>
      </c>
      <c r="Q179" s="249"/>
      <c r="R179" s="249">
        <v>17250</v>
      </c>
      <c r="S179" s="258">
        <v>0.15</v>
      </c>
      <c r="T179" s="169">
        <f t="shared" si="115"/>
        <v>0</v>
      </c>
      <c r="U179" s="315">
        <f t="shared" si="116"/>
        <v>19837.5</v>
      </c>
      <c r="V179" s="315">
        <f t="shared" si="117"/>
        <v>20000</v>
      </c>
      <c r="W179" s="316">
        <f t="shared" si="118"/>
        <v>0</v>
      </c>
    </row>
    <row r="180" spans="1:23" x14ac:dyDescent="0.25">
      <c r="A180" s="200">
        <v>705906</v>
      </c>
      <c r="B180" s="313" t="s">
        <v>16174</v>
      </c>
      <c r="C180" s="248"/>
      <c r="D180" s="247" t="s">
        <v>11</v>
      </c>
      <c r="E180" s="249">
        <f t="shared" si="107"/>
        <v>7010</v>
      </c>
      <c r="F180" s="258">
        <v>0.4</v>
      </c>
      <c r="G180" s="258">
        <f t="shared" si="108"/>
        <v>0.4</v>
      </c>
      <c r="H180" s="249">
        <f t="shared" si="109"/>
        <v>9288.25</v>
      </c>
      <c r="I180" s="258">
        <v>0.53</v>
      </c>
      <c r="J180" s="258">
        <f t="shared" si="110"/>
        <v>0.53</v>
      </c>
      <c r="K180" s="249">
        <f t="shared" si="111"/>
        <v>963.875</v>
      </c>
      <c r="L180" s="258">
        <v>5.5E-2</v>
      </c>
      <c r="M180" s="258">
        <f t="shared" si="112"/>
        <v>5.5E-2</v>
      </c>
      <c r="N180" s="251">
        <f t="shared" si="113"/>
        <v>262.875</v>
      </c>
      <c r="O180" s="258">
        <v>1.4999999999999999E-2</v>
      </c>
      <c r="P180" s="258">
        <f t="shared" si="114"/>
        <v>1.4999999999999999E-2</v>
      </c>
      <c r="Q180" s="249"/>
      <c r="R180" s="249">
        <v>17525</v>
      </c>
      <c r="S180" s="258">
        <v>0.15</v>
      </c>
      <c r="T180" s="169">
        <f t="shared" si="115"/>
        <v>0</v>
      </c>
      <c r="U180" s="315">
        <f t="shared" si="116"/>
        <v>20153.75</v>
      </c>
      <c r="V180" s="315">
        <f t="shared" si="117"/>
        <v>20250</v>
      </c>
      <c r="W180" s="316">
        <f t="shared" si="118"/>
        <v>0</v>
      </c>
    </row>
    <row r="181" spans="1:23" x14ac:dyDescent="0.25">
      <c r="A181" s="200">
        <v>705907</v>
      </c>
      <c r="B181" s="313" t="s">
        <v>20134</v>
      </c>
      <c r="C181" s="248"/>
      <c r="D181" s="247" t="s">
        <v>11</v>
      </c>
      <c r="E181" s="249">
        <f t="shared" si="107"/>
        <v>1002.0925911185659</v>
      </c>
      <c r="F181" s="258">
        <v>0.45375791449969705</v>
      </c>
      <c r="G181" s="258">
        <f t="shared" si="108"/>
        <v>0.45375791449969705</v>
      </c>
      <c r="H181" s="249">
        <f t="shared" si="109"/>
        <v>954.09913702810297</v>
      </c>
      <c r="I181" s="258">
        <v>0.43202598091318406</v>
      </c>
      <c r="J181" s="258">
        <f t="shared" si="110"/>
        <v>0.43202598091318406</v>
      </c>
      <c r="K181" s="249">
        <f t="shared" si="111"/>
        <v>177.23833968992292</v>
      </c>
      <c r="L181" s="258">
        <v>8.0255357738267877E-2</v>
      </c>
      <c r="M181" s="258">
        <f t="shared" si="112"/>
        <v>8.0255357738267877E-2</v>
      </c>
      <c r="N181" s="251">
        <f t="shared" si="113"/>
        <v>74.999932163408175</v>
      </c>
      <c r="O181" s="258">
        <v>3.3960746848851073E-2</v>
      </c>
      <c r="P181" s="258">
        <f t="shared" si="114"/>
        <v>3.3960746848851073E-2</v>
      </c>
      <c r="Q181" s="249"/>
      <c r="R181" s="249">
        <v>2208.4299999999998</v>
      </c>
      <c r="S181" s="258">
        <v>0.2</v>
      </c>
      <c r="T181" s="169">
        <f t="shared" si="115"/>
        <v>0</v>
      </c>
      <c r="U181" s="315">
        <f>(R181*S181)+R181-0.12</f>
        <v>2649.9960000000001</v>
      </c>
      <c r="V181" s="315">
        <f t="shared" si="117"/>
        <v>2650</v>
      </c>
      <c r="W181" s="316">
        <f t="shared" si="118"/>
        <v>0</v>
      </c>
    </row>
    <row r="182" spans="1:23" x14ac:dyDescent="0.25">
      <c r="A182" s="200">
        <v>705908</v>
      </c>
      <c r="B182" s="313" t="s">
        <v>20135</v>
      </c>
      <c r="C182" s="248"/>
      <c r="D182" s="247" t="s">
        <v>11</v>
      </c>
      <c r="E182" s="249">
        <f t="shared" si="107"/>
        <v>1002.0925911185659</v>
      </c>
      <c r="F182" s="258">
        <v>0.45375791449969705</v>
      </c>
      <c r="G182" s="258">
        <f t="shared" si="108"/>
        <v>0.45375791449969705</v>
      </c>
      <c r="H182" s="249">
        <f t="shared" si="109"/>
        <v>954.09913702810297</v>
      </c>
      <c r="I182" s="258">
        <v>0.43202598091318406</v>
      </c>
      <c r="J182" s="258">
        <f t="shared" si="110"/>
        <v>0.43202598091318406</v>
      </c>
      <c r="K182" s="249">
        <f t="shared" si="111"/>
        <v>177.23833968992292</v>
      </c>
      <c r="L182" s="258">
        <v>8.0255357738267877E-2</v>
      </c>
      <c r="M182" s="258">
        <f t="shared" si="112"/>
        <v>8.0255357738267877E-2</v>
      </c>
      <c r="N182" s="251">
        <f t="shared" si="113"/>
        <v>74.999932163408175</v>
      </c>
      <c r="O182" s="258">
        <v>3.3960746848851073E-2</v>
      </c>
      <c r="P182" s="258">
        <f t="shared" si="114"/>
        <v>3.3960746848851073E-2</v>
      </c>
      <c r="Q182" s="249"/>
      <c r="R182" s="249">
        <v>2208.4299999999998</v>
      </c>
      <c r="S182" s="258">
        <v>0.2</v>
      </c>
      <c r="T182" s="169">
        <f t="shared" si="115"/>
        <v>0</v>
      </c>
      <c r="U182" s="315">
        <f>(R182*S182)+R182-0.12</f>
        <v>2649.9960000000001</v>
      </c>
      <c r="V182" s="315">
        <f t="shared" si="117"/>
        <v>2650</v>
      </c>
      <c r="W182" s="316">
        <f t="shared" si="118"/>
        <v>0</v>
      </c>
    </row>
    <row r="183" spans="1:23" x14ac:dyDescent="0.25">
      <c r="A183" s="200">
        <v>705909</v>
      </c>
      <c r="B183" s="313" t="s">
        <v>16085</v>
      </c>
      <c r="C183" s="248"/>
      <c r="D183" s="247" t="s">
        <v>11</v>
      </c>
      <c r="E183" s="249">
        <f t="shared" si="107"/>
        <v>12331.128431696576</v>
      </c>
      <c r="F183" s="258">
        <v>0.7019456535265457</v>
      </c>
      <c r="G183" s="258">
        <f t="shared" si="108"/>
        <v>0.7019456535265457</v>
      </c>
      <c r="H183" s="249">
        <f t="shared" si="109"/>
        <v>2999.5901050117013</v>
      </c>
      <c r="I183" s="258">
        <v>0.17075073447146857</v>
      </c>
      <c r="J183" s="258">
        <f t="shared" si="110"/>
        <v>0.17075073447146857</v>
      </c>
      <c r="K183" s="249">
        <f t="shared" si="111"/>
        <v>1991.351454714593</v>
      </c>
      <c r="L183" s="258">
        <v>0.11335706265840537</v>
      </c>
      <c r="M183" s="258">
        <f t="shared" si="112"/>
        <v>0.11335706265840537</v>
      </c>
      <c r="N183" s="251">
        <f t="shared" si="113"/>
        <v>245.0000085771278</v>
      </c>
      <c r="O183" s="258">
        <v>1.3946549343580222E-2</v>
      </c>
      <c r="P183" s="258">
        <f t="shared" si="114"/>
        <v>1.3946549343580222E-2</v>
      </c>
      <c r="Q183" s="249"/>
      <c r="R183" s="249">
        <v>17567.07</v>
      </c>
      <c r="S183" s="258">
        <v>0.2</v>
      </c>
      <c r="T183" s="169">
        <f t="shared" si="115"/>
        <v>0</v>
      </c>
      <c r="U183" s="315">
        <f>(R183*S183)+R183-0.49</f>
        <v>21079.993999999999</v>
      </c>
      <c r="V183" s="315">
        <f>IF(U183=0, 0, IF(U183&lt;10, _xlfn.CEILING.MATH(U183,1), IF(U183&lt;100, _xlfn.CEILING.MATH(U183,1),IF(U183&lt;1000, _xlfn.CEILING.MATH(U183,5), IF(U183&lt;10000, _xlfn.CEILING.MATH(U183, 25), IF(U183&lt;100000, _xlfn.CEILING.MATH(U183,20), IF(U183&lt;1000000, _xlfn.CEILING.MATH(U183,500), 0)))))))</f>
        <v>21080</v>
      </c>
      <c r="W183" s="316">
        <f t="shared" si="118"/>
        <v>0</v>
      </c>
    </row>
    <row r="184" spans="1:23" x14ac:dyDescent="0.25">
      <c r="A184" s="200">
        <v>705910</v>
      </c>
      <c r="B184" s="313" t="s">
        <v>16086</v>
      </c>
      <c r="C184" s="248"/>
      <c r="D184" s="247" t="s">
        <v>11</v>
      </c>
      <c r="E184" s="249">
        <f t="shared" si="107"/>
        <v>11140.800728418699</v>
      </c>
      <c r="F184" s="258">
        <v>0.69954901347562948</v>
      </c>
      <c r="G184" s="258">
        <f t="shared" si="108"/>
        <v>0.69954901347562948</v>
      </c>
      <c r="H184" s="249">
        <f t="shared" si="109"/>
        <v>2592.5907512896661</v>
      </c>
      <c r="I184" s="258">
        <v>0.1627929936655596</v>
      </c>
      <c r="J184" s="258">
        <f t="shared" si="110"/>
        <v>0.1627929936655596</v>
      </c>
      <c r="K184" s="249">
        <f t="shared" si="111"/>
        <v>1947.2984492946925</v>
      </c>
      <c r="L184" s="258">
        <v>0.12227403957346228</v>
      </c>
      <c r="M184" s="258">
        <f t="shared" si="112"/>
        <v>0.12227403957346228</v>
      </c>
      <c r="N184" s="251">
        <f t="shared" si="113"/>
        <v>245.00007099694443</v>
      </c>
      <c r="O184" s="258">
        <v>1.5383953285348667E-2</v>
      </c>
      <c r="P184" s="258">
        <f t="shared" si="114"/>
        <v>1.5383953285348667E-2</v>
      </c>
      <c r="Q184" s="249"/>
      <c r="R184" s="249">
        <v>15925.69</v>
      </c>
      <c r="S184" s="258">
        <v>0.2</v>
      </c>
      <c r="T184" s="169">
        <f t="shared" si="115"/>
        <v>0</v>
      </c>
      <c r="U184" s="315">
        <f>(R184*S184)+R184-0.84</f>
        <v>19109.988000000001</v>
      </c>
      <c r="V184" s="315">
        <f>IF(U184=0, 0, IF(U184&lt;10, _xlfn.CEILING.MATH(U184,1), IF(U184&lt;100, _xlfn.CEILING.MATH(U184,1),IF(U184&lt;1000, _xlfn.CEILING.MATH(U184,5), IF(U184&lt;10000, _xlfn.CEILING.MATH(U184, 25), IF(U184&lt;100000, _xlfn.CEILING.MATH(U184,10), IF(U184&lt;1000000, _xlfn.CEILING.MATH(U184,500), 0)))))))</f>
        <v>19110</v>
      </c>
      <c r="W184" s="316">
        <f t="shared" si="118"/>
        <v>0</v>
      </c>
    </row>
    <row r="185" spans="1:23" x14ac:dyDescent="0.25">
      <c r="A185" s="200">
        <v>705911</v>
      </c>
      <c r="B185" s="313" t="s">
        <v>16087</v>
      </c>
      <c r="C185" s="248"/>
      <c r="D185" s="247" t="s">
        <v>11</v>
      </c>
      <c r="E185" s="249">
        <f t="shared" si="107"/>
        <v>6733.6032937241889</v>
      </c>
      <c r="F185" s="258">
        <v>0.73119174702838818</v>
      </c>
      <c r="G185" s="258">
        <f t="shared" si="108"/>
        <v>0.73119174702838818</v>
      </c>
      <c r="H185" s="249">
        <f t="shared" si="109"/>
        <v>1404.1493313995732</v>
      </c>
      <c r="I185" s="258">
        <v>0.15247444168142454</v>
      </c>
      <c r="J185" s="258">
        <f t="shared" si="110"/>
        <v>0.15247444168142454</v>
      </c>
      <c r="K185" s="249">
        <f t="shared" si="111"/>
        <v>861.3274748698916</v>
      </c>
      <c r="L185" s="258">
        <v>9.353024133462752E-2</v>
      </c>
      <c r="M185" s="258">
        <f t="shared" si="112"/>
        <v>9.353024133462752E-2</v>
      </c>
      <c r="N185" s="251">
        <f t="shared" si="113"/>
        <v>209.99990000634568</v>
      </c>
      <c r="O185" s="258">
        <v>2.2803569955559697E-2</v>
      </c>
      <c r="P185" s="258">
        <f t="shared" si="114"/>
        <v>2.2803569955559697E-2</v>
      </c>
      <c r="Q185" s="249"/>
      <c r="R185" s="249">
        <v>9209.08</v>
      </c>
      <c r="S185" s="258">
        <v>0.2</v>
      </c>
      <c r="T185" s="169">
        <f t="shared" si="115"/>
        <v>0</v>
      </c>
      <c r="U185" s="315">
        <f>(R185*S185)+R185-0.9</f>
        <v>11049.996000000001</v>
      </c>
      <c r="V185" s="315">
        <f>IF(U185=0, 0, IF(U185&lt;10, _xlfn.CEILING.MATH(U185,1), IF(U185&lt;100, _xlfn.CEILING.MATH(U185,1),IF(U185&lt;1000, _xlfn.CEILING.MATH(U185,5), IF(U185&lt;10000, _xlfn.CEILING.MATH(U185, 25), IF(U185&lt;100000, _xlfn.CEILING.MATH(U185,50), IF(U185&lt;1000000, _xlfn.CEILING.MATH(U185,500), 0)))))))</f>
        <v>11050</v>
      </c>
      <c r="W185" s="316">
        <f t="shared" si="118"/>
        <v>0</v>
      </c>
    </row>
    <row r="186" spans="1:23" x14ac:dyDescent="0.25">
      <c r="A186" s="200">
        <v>705912</v>
      </c>
      <c r="B186" s="313" t="s">
        <v>16088</v>
      </c>
      <c r="C186" s="248"/>
      <c r="D186" s="247" t="s">
        <v>11</v>
      </c>
      <c r="E186" s="249">
        <f t="shared" si="107"/>
        <v>12851.067049062702</v>
      </c>
      <c r="F186" s="258">
        <v>0.69937513430222042</v>
      </c>
      <c r="G186" s="258">
        <f t="shared" si="108"/>
        <v>0.69937513430222042</v>
      </c>
      <c r="H186" s="249">
        <f t="shared" si="109"/>
        <v>3205.1252616418819</v>
      </c>
      <c r="I186" s="258">
        <v>0.17442792118026662</v>
      </c>
      <c r="J186" s="258">
        <f t="shared" si="110"/>
        <v>0.17442792118026662</v>
      </c>
      <c r="K186" s="249">
        <f t="shared" si="111"/>
        <v>2043.8776668465205</v>
      </c>
      <c r="L186" s="258">
        <v>0.11123101391431546</v>
      </c>
      <c r="M186" s="258">
        <f t="shared" si="112"/>
        <v>0.11123101391431546</v>
      </c>
      <c r="N186" s="251">
        <f t="shared" si="113"/>
        <v>275.00002244889589</v>
      </c>
      <c r="O186" s="258">
        <v>1.4965930603197479E-2</v>
      </c>
      <c r="P186" s="258">
        <f t="shared" si="114"/>
        <v>1.4965930603197479E-2</v>
      </c>
      <c r="Q186" s="249"/>
      <c r="R186" s="249">
        <v>18375.07</v>
      </c>
      <c r="S186" s="258">
        <v>0.2</v>
      </c>
      <c r="T186" s="169">
        <f t="shared" si="115"/>
        <v>0</v>
      </c>
      <c r="U186" s="315">
        <f>(R186*S186)+R186-0.09</f>
        <v>22049.993999999999</v>
      </c>
      <c r="V186" s="315">
        <f>IF(U186=0, 0, IF(U186&lt;10, _xlfn.CEILING.MATH(U186,1), IF(U186&lt;100, _xlfn.CEILING.MATH(U186,1),IF(U186&lt;1000, _xlfn.CEILING.MATH(U186,5), IF(U186&lt;10000, _xlfn.CEILING.MATH(U186, 25), IF(U186&lt;100000, _xlfn.CEILING.MATH(U186,50), IF(U186&lt;1000000, _xlfn.CEILING.MATH(U186,500), 0)))))))</f>
        <v>22050</v>
      </c>
      <c r="W186" s="316">
        <f t="shared" si="118"/>
        <v>0</v>
      </c>
    </row>
    <row r="187" spans="1:23" x14ac:dyDescent="0.25">
      <c r="A187" s="200">
        <v>705913</v>
      </c>
      <c r="B187" s="313" t="s">
        <v>16089</v>
      </c>
      <c r="C187" s="248"/>
      <c r="D187" s="247" t="s">
        <v>11</v>
      </c>
      <c r="E187" s="249">
        <f t="shared" si="107"/>
        <v>5962.9120896616914</v>
      </c>
      <c r="F187" s="258">
        <v>0.72644112787790194</v>
      </c>
      <c r="G187" s="258">
        <f t="shared" si="108"/>
        <v>0.72644112787790194</v>
      </c>
      <c r="H187" s="249">
        <f t="shared" si="109"/>
        <v>1221.0002231254039</v>
      </c>
      <c r="I187" s="258">
        <v>0.1487502693129108</v>
      </c>
      <c r="J187" s="258">
        <f t="shared" si="110"/>
        <v>0.1487502693129108</v>
      </c>
      <c r="K187" s="249">
        <f t="shared" si="111"/>
        <v>814.47764883752745</v>
      </c>
      <c r="L187" s="258">
        <v>9.9225018406475268E-2</v>
      </c>
      <c r="M187" s="258">
        <f t="shared" si="112"/>
        <v>9.9225018406475268E-2</v>
      </c>
      <c r="N187" s="251">
        <f t="shared" si="113"/>
        <v>210.00003837537656</v>
      </c>
      <c r="O187" s="258">
        <v>2.5583584402711929E-2</v>
      </c>
      <c r="P187" s="258">
        <f t="shared" si="114"/>
        <v>2.5583584402711929E-2</v>
      </c>
      <c r="Q187" s="249"/>
      <c r="R187" s="249">
        <v>8208.39</v>
      </c>
      <c r="S187" s="258">
        <v>0.2</v>
      </c>
      <c r="T187" s="169">
        <f t="shared" si="115"/>
        <v>0</v>
      </c>
      <c r="U187" s="315">
        <f>(R187*S187)+R187-0.07</f>
        <v>9849.9979999999996</v>
      </c>
      <c r="V187" s="315">
        <f>IF(U187=0, 0, IF(U187&lt;10, _xlfn.CEILING.MATH(U187,1), IF(U187&lt;100, _xlfn.CEILING.MATH(U187,1),IF(U187&lt;1000, _xlfn.CEILING.MATH(U187,5), IF(U187&lt;10000, _xlfn.CEILING.MATH(U187, 25), IF(U187&lt;100000, _xlfn.CEILING.MATH(U187,250), IF(U187&lt;1000000, _xlfn.CEILING.MATH(U187,500), 0)))))))</f>
        <v>9850</v>
      </c>
      <c r="W187" s="316">
        <f t="shared" si="118"/>
        <v>0</v>
      </c>
    </row>
    <row r="188" spans="1:23" x14ac:dyDescent="0.25">
      <c r="A188" s="200">
        <v>705914</v>
      </c>
      <c r="B188" s="313" t="s">
        <v>16090</v>
      </c>
      <c r="C188" s="248"/>
      <c r="D188" s="247" t="s">
        <v>11</v>
      </c>
      <c r="E188" s="249">
        <f t="shared" si="107"/>
        <v>1049.0901553597598</v>
      </c>
      <c r="F188" s="258">
        <v>0.53107195196958612</v>
      </c>
      <c r="G188" s="258">
        <f t="shared" si="108"/>
        <v>0.53107195196958612</v>
      </c>
      <c r="H188" s="249">
        <f t="shared" si="109"/>
        <v>600.32651949084118</v>
      </c>
      <c r="I188" s="258">
        <v>0.3038981682330042</v>
      </c>
      <c r="J188" s="258">
        <f t="shared" si="110"/>
        <v>0.3038981682330042</v>
      </c>
      <c r="K188" s="249">
        <f t="shared" si="111"/>
        <v>251.00313531587034</v>
      </c>
      <c r="L188" s="258">
        <v>0.12706317406722131</v>
      </c>
      <c r="M188" s="258">
        <f t="shared" si="112"/>
        <v>0.12706317406722131</v>
      </c>
      <c r="N188" s="251">
        <f t="shared" si="113"/>
        <v>75.000189833528651</v>
      </c>
      <c r="O188" s="258">
        <v>3.7966705730188337E-2</v>
      </c>
      <c r="P188" s="258">
        <f t="shared" si="114"/>
        <v>3.7966705730188337E-2</v>
      </c>
      <c r="Q188" s="249"/>
      <c r="R188" s="249">
        <v>1975.42</v>
      </c>
      <c r="S188" s="258">
        <v>0.2</v>
      </c>
      <c r="T188" s="169">
        <f t="shared" si="115"/>
        <v>0</v>
      </c>
      <c r="U188" s="315">
        <f>(R188*S188)+R188-0.51</f>
        <v>2369.9939999999997</v>
      </c>
      <c r="V188" s="315">
        <f>IF(U188=0, 0, IF(U188&lt;10, _xlfn.CEILING.MATH(U188,1), IF(U188&lt;100, _xlfn.CEILING.MATH(U188,1),IF(U188&lt;1000, _xlfn.CEILING.MATH(U188,5), IF(U188&lt;10000, _xlfn.CEILING.MATH(U188, 10), IF(U188&lt;100000, _xlfn.CEILING.MATH(U188,250), IF(U188&lt;1000000, _xlfn.CEILING.MATH(U188,500), 0)))))))</f>
        <v>2370</v>
      </c>
      <c r="W188" s="316">
        <f t="shared" si="118"/>
        <v>0</v>
      </c>
    </row>
    <row r="189" spans="1:23" x14ac:dyDescent="0.25">
      <c r="A189" s="199" t="s">
        <v>14680</v>
      </c>
      <c r="B189" s="307" t="s">
        <v>14681</v>
      </c>
      <c r="C189" s="308"/>
      <c r="D189" s="309"/>
      <c r="E189" s="310"/>
      <c r="F189" s="311"/>
      <c r="G189" s="311"/>
      <c r="H189" s="310"/>
      <c r="I189" s="311"/>
      <c r="J189" s="311"/>
      <c r="K189" s="310"/>
      <c r="L189" s="311"/>
      <c r="M189" s="311"/>
      <c r="N189" s="310"/>
      <c r="O189" s="311"/>
      <c r="P189" s="311"/>
      <c r="Q189" s="310"/>
      <c r="R189" s="310"/>
      <c r="S189" s="309"/>
      <c r="T189" s="309"/>
      <c r="U189" s="309"/>
      <c r="V189" s="309"/>
      <c r="W189" s="312"/>
    </row>
    <row r="190" spans="1:23" x14ac:dyDescent="0.25">
      <c r="A190" s="200">
        <v>708001</v>
      </c>
      <c r="B190" s="313" t="s">
        <v>16175</v>
      </c>
      <c r="C190" s="248"/>
      <c r="D190" s="247" t="s">
        <v>11</v>
      </c>
      <c r="E190" s="249">
        <f>R190*G190</f>
        <v>337.5</v>
      </c>
      <c r="F190" s="258">
        <v>0.45</v>
      </c>
      <c r="G190" s="258">
        <f>F190</f>
        <v>0.45</v>
      </c>
      <c r="H190" s="249">
        <f>R190*J190</f>
        <v>262.5</v>
      </c>
      <c r="I190" s="258">
        <v>0.35</v>
      </c>
      <c r="J190" s="258">
        <f>I190</f>
        <v>0.35</v>
      </c>
      <c r="K190" s="249">
        <f>R190*M190</f>
        <v>150</v>
      </c>
      <c r="L190" s="258">
        <v>0.2</v>
      </c>
      <c r="M190" s="258">
        <f>L190</f>
        <v>0.2</v>
      </c>
      <c r="N190" s="251">
        <f>P190*R190</f>
        <v>0</v>
      </c>
      <c r="O190" s="258"/>
      <c r="P190" s="258">
        <f>O190</f>
        <v>0</v>
      </c>
      <c r="Q190" s="249"/>
      <c r="R190" s="249">
        <v>750</v>
      </c>
      <c r="S190" s="258">
        <v>0.2</v>
      </c>
      <c r="T190" s="169">
        <f>Q190+Q190*S190</f>
        <v>0</v>
      </c>
      <c r="U190" s="315">
        <f>(R190*S190)+R190</f>
        <v>900</v>
      </c>
      <c r="V190" s="315">
        <f>IF(U190=0, 0, IF(U190&lt;10, _xlfn.CEILING.MATH(U190,1), IF(U190&lt;100, _xlfn.CEILING.MATH(U190,1),IF(U190&lt;1000, _xlfn.CEILING.MATH(U190,1), IF(U190&lt;10000, _xlfn.CEILING.MATH(U190, 25), IF(U190&lt;100000, _xlfn.CEILING.MATH(U190,250), IF(U190&lt;1000000, _xlfn.CEILING.MATH(U190,500), 0)))))))</f>
        <v>900</v>
      </c>
      <c r="W190" s="316">
        <f>C190*V190</f>
        <v>0</v>
      </c>
    </row>
    <row r="191" spans="1:23" x14ac:dyDescent="0.25">
      <c r="A191" s="200">
        <v>708901</v>
      </c>
      <c r="B191" s="313" t="s">
        <v>16091</v>
      </c>
      <c r="C191" s="248"/>
      <c r="D191" s="247" t="s">
        <v>11</v>
      </c>
      <c r="E191" s="249">
        <f>R191*G191</f>
        <v>1571.069358311041</v>
      </c>
      <c r="F191" s="258">
        <v>0.66140820190416572</v>
      </c>
      <c r="G191" s="258">
        <f>F191</f>
        <v>0.66140820190416572</v>
      </c>
      <c r="H191" s="249">
        <f>R191*J191</f>
        <v>427.04389603445981</v>
      </c>
      <c r="I191" s="258">
        <v>0.17978221898105526</v>
      </c>
      <c r="J191" s="258">
        <f>I191</f>
        <v>0.17978221898105526</v>
      </c>
      <c r="K191" s="249">
        <f>R191*M191</f>
        <v>302.2268956327286</v>
      </c>
      <c r="L191" s="258">
        <v>0.12723521501457838</v>
      </c>
      <c r="M191" s="258">
        <f>L191</f>
        <v>0.12723521501457838</v>
      </c>
      <c r="N191" s="251">
        <f>P191*R191</f>
        <v>74.999850021770527</v>
      </c>
      <c r="O191" s="258">
        <v>3.1574364100200612E-2</v>
      </c>
      <c r="P191" s="258">
        <f>O191</f>
        <v>3.1574364100200612E-2</v>
      </c>
      <c r="Q191" s="249"/>
      <c r="R191" s="249">
        <v>2375.34</v>
      </c>
      <c r="S191" s="258">
        <v>0.2</v>
      </c>
      <c r="T191" s="169">
        <f>Q191+Q191*S191</f>
        <v>0</v>
      </c>
      <c r="U191" s="315">
        <f>(R191*S191)+R191</f>
        <v>2850.4080000000004</v>
      </c>
      <c r="V191" s="315">
        <f>IF(U191=0, 0, IF(U191&lt;10, _xlfn.CEILING.MATH(U191,1), IF(U191&lt;100, _xlfn.CEILING.MATH(U191,1),IF(U191&lt;1000, _xlfn.CEILING.MATH(U191,1), IF(U191&lt;10000, _xlfn.CEILING.MATH(U191, 25), IF(U191&lt;100000, _xlfn.CEILING.MATH(U191,250), IF(U191&lt;1000000, _xlfn.CEILING.MATH(U191,500), 0)))))))</f>
        <v>2875</v>
      </c>
      <c r="W191" s="316">
        <f>C191*V191</f>
        <v>0</v>
      </c>
    </row>
    <row r="192" spans="1:23" x14ac:dyDescent="0.25">
      <c r="A192" s="200">
        <v>708902</v>
      </c>
      <c r="B192" s="313" t="s">
        <v>16092</v>
      </c>
      <c r="C192" s="248"/>
      <c r="D192" s="247" t="s">
        <v>11</v>
      </c>
      <c r="E192" s="249">
        <f>R192*G192</f>
        <v>2661.4078483531644</v>
      </c>
      <c r="F192" s="258">
        <v>0.5913727139988233</v>
      </c>
      <c r="G192" s="258">
        <f>F192</f>
        <v>0.5913727139988233</v>
      </c>
      <c r="H192" s="249">
        <f>R192*J192</f>
        <v>1221.8143665125458</v>
      </c>
      <c r="I192" s="258">
        <v>0.27149077446900061</v>
      </c>
      <c r="J192" s="258">
        <f>I192</f>
        <v>0.27149077446900061</v>
      </c>
      <c r="K192" s="249">
        <f>R192*M192</f>
        <v>517.1677551368814</v>
      </c>
      <c r="L192" s="258">
        <v>0.11491620840346756</v>
      </c>
      <c r="M192" s="258">
        <f>L192</f>
        <v>0.11491620840346756</v>
      </c>
      <c r="N192" s="251">
        <f>P192*R192</f>
        <v>100.00002999740923</v>
      </c>
      <c r="O192" s="258">
        <v>2.2220303128708672E-2</v>
      </c>
      <c r="P192" s="258">
        <f>O192</f>
        <v>2.2220303128708672E-2</v>
      </c>
      <c r="Q192" s="249"/>
      <c r="R192" s="249">
        <v>4500.3900000000003</v>
      </c>
      <c r="S192" s="258">
        <v>0.2</v>
      </c>
      <c r="T192" s="169">
        <f>Q192+Q192*S192</f>
        <v>0</v>
      </c>
      <c r="U192" s="315">
        <f>(R192*S192)+R192</f>
        <v>5400.4680000000008</v>
      </c>
      <c r="V192" s="315">
        <f>IF(U192=0, 0, IF(U192&lt;10, _xlfn.CEILING.MATH(U192,1), IF(U192&lt;100, _xlfn.CEILING.MATH(U192,1),IF(U192&lt;1000, _xlfn.CEILING.MATH(U192,1), IF(U192&lt;10000, _xlfn.CEILING.MATH(U192, 25), IF(U192&lt;100000, _xlfn.CEILING.MATH(U192,250), IF(U192&lt;1000000, _xlfn.CEILING.MATH(U192,500), 0)))))))</f>
        <v>5425</v>
      </c>
      <c r="W192" s="316">
        <f>C192*V192</f>
        <v>0</v>
      </c>
    </row>
    <row r="193" spans="1:23" x14ac:dyDescent="0.25">
      <c r="A193" s="199" t="s">
        <v>14688</v>
      </c>
      <c r="B193" s="307" t="s">
        <v>14689</v>
      </c>
      <c r="C193" s="308"/>
      <c r="D193" s="309"/>
      <c r="E193" s="310"/>
      <c r="F193" s="311"/>
      <c r="G193" s="311"/>
      <c r="H193" s="310"/>
      <c r="I193" s="311"/>
      <c r="J193" s="311"/>
      <c r="K193" s="310"/>
      <c r="L193" s="311"/>
      <c r="M193" s="311"/>
      <c r="N193" s="310"/>
      <c r="O193" s="311"/>
      <c r="P193" s="311"/>
      <c r="Q193" s="310"/>
      <c r="R193" s="310"/>
      <c r="S193" s="309"/>
      <c r="T193" s="309"/>
      <c r="U193" s="309"/>
      <c r="V193" s="309"/>
      <c r="W193" s="312"/>
    </row>
    <row r="194" spans="1:23" x14ac:dyDescent="0.25">
      <c r="A194" s="200">
        <v>711024</v>
      </c>
      <c r="B194" s="313" t="s">
        <v>20136</v>
      </c>
      <c r="C194" s="248"/>
      <c r="D194" s="247" t="s">
        <v>2</v>
      </c>
      <c r="E194" s="249">
        <f t="shared" ref="E194:E222" si="119">R194*G194</f>
        <v>59.170000000000009</v>
      </c>
      <c r="F194" s="258">
        <f>59.17/113.5</f>
        <v>0.52132158590308375</v>
      </c>
      <c r="G194" s="258">
        <f t="shared" ref="G194:G222" si="120">F194</f>
        <v>0.52132158590308375</v>
      </c>
      <c r="H194" s="249">
        <f t="shared" ref="H194:H222" si="121">R194*J194</f>
        <v>28.33</v>
      </c>
      <c r="I194" s="258">
        <f>28.33/113.5</f>
        <v>0.24960352422907486</v>
      </c>
      <c r="J194" s="258">
        <f t="shared" ref="J194:J222" si="122">I194</f>
        <v>0.24960352422907486</v>
      </c>
      <c r="K194" s="249">
        <f t="shared" ref="K194:K222" si="123">R194*M194</f>
        <v>17.5</v>
      </c>
      <c r="L194" s="258">
        <f>17.5/113.5</f>
        <v>0.15418502202643172</v>
      </c>
      <c r="M194" s="258">
        <f t="shared" ref="M194:M222" si="124">L194</f>
        <v>0.15418502202643172</v>
      </c>
      <c r="N194" s="251">
        <f t="shared" ref="N194:N222" si="125">P194*R194</f>
        <v>8.5</v>
      </c>
      <c r="O194" s="258">
        <f>8.5/113.5</f>
        <v>7.4889867841409691E-2</v>
      </c>
      <c r="P194" s="258">
        <f t="shared" ref="P194:P222" si="126">O194</f>
        <v>7.4889867841409691E-2</v>
      </c>
      <c r="Q194" s="249"/>
      <c r="R194" s="249">
        <v>113.5</v>
      </c>
      <c r="S194" s="258">
        <v>0.2</v>
      </c>
      <c r="T194" s="169">
        <f t="shared" ref="T194:T222" si="127">Q194+Q194*S194</f>
        <v>0</v>
      </c>
      <c r="U194" s="315">
        <f t="shared" ref="U194:U222" si="128">(R194*S194)+R194</f>
        <v>136.19999999999999</v>
      </c>
      <c r="V194" s="315">
        <f t="shared" ref="V194:V199" si="129">IF(U194=0, 0, IF(U194&lt;10, _xlfn.CEILING.MATH(U194,1), IF(U194&lt;100, _xlfn.CEILING.MATH(U194,1),IF(U194&lt;1000, _xlfn.CEILING.MATH(U194,1), IF(U194&lt;10000, _xlfn.CEILING.MATH(U194, 25), IF(U194&lt;100000, _xlfn.CEILING.MATH(U194,250), IF(U194&lt;1000000, _xlfn.CEILING.MATH(U194,500), 0)))))))</f>
        <v>137</v>
      </c>
      <c r="W194" s="316">
        <f t="shared" ref="W194:W222" si="130">C194*V194</f>
        <v>0</v>
      </c>
    </row>
    <row r="195" spans="1:23" x14ac:dyDescent="0.25">
      <c r="A195" s="200">
        <v>711024</v>
      </c>
      <c r="B195" s="313" t="s">
        <v>20137</v>
      </c>
      <c r="C195" s="248"/>
      <c r="D195" s="247" t="s">
        <v>2</v>
      </c>
      <c r="E195" s="249">
        <f t="shared" si="119"/>
        <v>73.959999999999994</v>
      </c>
      <c r="F195" s="258">
        <f>73.96/133.29</f>
        <v>0.55488033610923548</v>
      </c>
      <c r="G195" s="258">
        <f t="shared" si="120"/>
        <v>0.55488033610923548</v>
      </c>
      <c r="H195" s="249">
        <f t="shared" si="121"/>
        <v>28.33</v>
      </c>
      <c r="I195" s="258">
        <f>28.33/133.29</f>
        <v>0.21254407682496812</v>
      </c>
      <c r="J195" s="258">
        <f t="shared" si="122"/>
        <v>0.21254407682496812</v>
      </c>
      <c r="K195" s="249">
        <f t="shared" si="123"/>
        <v>22.5</v>
      </c>
      <c r="L195" s="258">
        <f>22.5/133.29</f>
        <v>0.16880486158001351</v>
      </c>
      <c r="M195" s="258">
        <f t="shared" si="124"/>
        <v>0.16880486158001351</v>
      </c>
      <c r="N195" s="251">
        <f t="shared" si="125"/>
        <v>8.5</v>
      </c>
      <c r="O195" s="258">
        <f>8.5/133.29</f>
        <v>6.3770725485782886E-2</v>
      </c>
      <c r="P195" s="258">
        <f t="shared" si="126"/>
        <v>6.3770725485782886E-2</v>
      </c>
      <c r="Q195" s="249"/>
      <c r="R195" s="249">
        <v>133.29</v>
      </c>
      <c r="S195" s="258">
        <v>0.2</v>
      </c>
      <c r="T195" s="169">
        <f t="shared" si="127"/>
        <v>0</v>
      </c>
      <c r="U195" s="315">
        <f t="shared" si="128"/>
        <v>159.94799999999998</v>
      </c>
      <c r="V195" s="315">
        <f t="shared" si="129"/>
        <v>160</v>
      </c>
      <c r="W195" s="316">
        <f t="shared" si="130"/>
        <v>0</v>
      </c>
    </row>
    <row r="196" spans="1:23" x14ac:dyDescent="0.25">
      <c r="A196" s="200">
        <v>711026</v>
      </c>
      <c r="B196" s="313" t="s">
        <v>20138</v>
      </c>
      <c r="C196" s="248"/>
      <c r="D196" s="247" t="s">
        <v>2</v>
      </c>
      <c r="E196" s="249">
        <f t="shared" si="119"/>
        <v>75</v>
      </c>
      <c r="F196" s="258">
        <f>75/149.92</f>
        <v>0.50026680896478126</v>
      </c>
      <c r="G196" s="258">
        <f t="shared" si="120"/>
        <v>0.50026680896478126</v>
      </c>
      <c r="H196" s="249">
        <f t="shared" si="121"/>
        <v>41.67</v>
      </c>
      <c r="I196" s="258">
        <f>41.67/149.92</f>
        <v>0.27794823906083249</v>
      </c>
      <c r="J196" s="258">
        <f t="shared" si="122"/>
        <v>0.27794823906083249</v>
      </c>
      <c r="K196" s="249">
        <f t="shared" si="123"/>
        <v>22.5</v>
      </c>
      <c r="L196" s="258">
        <f>22.5/149.92</f>
        <v>0.15008004268943437</v>
      </c>
      <c r="M196" s="258">
        <f t="shared" si="124"/>
        <v>0.15008004268943437</v>
      </c>
      <c r="N196" s="251">
        <f t="shared" si="125"/>
        <v>10.75</v>
      </c>
      <c r="O196" s="258">
        <f>10.75/149.92</f>
        <v>7.1704909284951976E-2</v>
      </c>
      <c r="P196" s="258">
        <f t="shared" si="126"/>
        <v>7.1704909284951976E-2</v>
      </c>
      <c r="Q196" s="249"/>
      <c r="R196" s="249">
        <v>149.91999999999999</v>
      </c>
      <c r="S196" s="258">
        <v>0.2</v>
      </c>
      <c r="T196" s="169">
        <f t="shared" si="127"/>
        <v>0</v>
      </c>
      <c r="U196" s="315">
        <f t="shared" si="128"/>
        <v>179.904</v>
      </c>
      <c r="V196" s="315">
        <f t="shared" si="129"/>
        <v>180</v>
      </c>
      <c r="W196" s="316">
        <f t="shared" si="130"/>
        <v>0</v>
      </c>
    </row>
    <row r="197" spans="1:23" x14ac:dyDescent="0.25">
      <c r="A197" s="200">
        <v>711026</v>
      </c>
      <c r="B197" s="313" t="s">
        <v>20139</v>
      </c>
      <c r="C197" s="248"/>
      <c r="D197" s="247" t="s">
        <v>2</v>
      </c>
      <c r="E197" s="249">
        <f t="shared" si="119"/>
        <v>90</v>
      </c>
      <c r="F197" s="258">
        <f>90/172.57</f>
        <v>0.52152749608854376</v>
      </c>
      <c r="G197" s="258">
        <f t="shared" si="120"/>
        <v>0.52152749608854376</v>
      </c>
      <c r="H197" s="249">
        <f t="shared" si="121"/>
        <v>41.67</v>
      </c>
      <c r="I197" s="258">
        <f>41.67/172.57</f>
        <v>0.24146723068899578</v>
      </c>
      <c r="J197" s="258">
        <f t="shared" si="122"/>
        <v>0.24146723068899578</v>
      </c>
      <c r="K197" s="249">
        <f t="shared" si="123"/>
        <v>30.15</v>
      </c>
      <c r="L197" s="258">
        <f>30.15/172.57</f>
        <v>0.17471171118966217</v>
      </c>
      <c r="M197" s="258">
        <f t="shared" si="124"/>
        <v>0.17471171118966217</v>
      </c>
      <c r="N197" s="251">
        <f t="shared" si="125"/>
        <v>10.75</v>
      </c>
      <c r="O197" s="258">
        <f>10.75/172.57</f>
        <v>6.2293562032798289E-2</v>
      </c>
      <c r="P197" s="258">
        <f t="shared" si="126"/>
        <v>6.2293562032798289E-2</v>
      </c>
      <c r="Q197" s="249"/>
      <c r="R197" s="249">
        <v>172.57</v>
      </c>
      <c r="S197" s="258">
        <v>0.2</v>
      </c>
      <c r="T197" s="169">
        <f t="shared" si="127"/>
        <v>0</v>
      </c>
      <c r="U197" s="315">
        <f t="shared" si="128"/>
        <v>207.084</v>
      </c>
      <c r="V197" s="315">
        <f t="shared" si="129"/>
        <v>208</v>
      </c>
      <c r="W197" s="316">
        <f t="shared" si="130"/>
        <v>0</v>
      </c>
    </row>
    <row r="198" spans="1:23" x14ac:dyDescent="0.25">
      <c r="A198" s="200">
        <v>711028</v>
      </c>
      <c r="B198" s="313" t="s">
        <v>20140</v>
      </c>
      <c r="C198" s="248"/>
      <c r="D198" s="247" t="s">
        <v>2</v>
      </c>
      <c r="E198" s="249">
        <f t="shared" si="119"/>
        <v>82.43</v>
      </c>
      <c r="F198" s="258">
        <f>82.43/183.33</f>
        <v>0.44962635684285168</v>
      </c>
      <c r="G198" s="258">
        <f t="shared" si="120"/>
        <v>0.44962635684285168</v>
      </c>
      <c r="H198" s="249">
        <f t="shared" si="121"/>
        <v>60.5</v>
      </c>
      <c r="I198" s="258">
        <f>60.5/183.33</f>
        <v>0.33000600010909287</v>
      </c>
      <c r="J198" s="258">
        <f t="shared" si="122"/>
        <v>0.33000600010909287</v>
      </c>
      <c r="K198" s="249">
        <f t="shared" si="123"/>
        <v>30.149999999999995</v>
      </c>
      <c r="L198" s="258">
        <f>30.15/183.33</f>
        <v>0.16445753559155618</v>
      </c>
      <c r="M198" s="258">
        <f t="shared" si="124"/>
        <v>0.16445753559155618</v>
      </c>
      <c r="N198" s="251">
        <f t="shared" si="125"/>
        <v>10.25</v>
      </c>
      <c r="O198" s="258">
        <f>10.25/183.33</f>
        <v>5.5910107456499207E-2</v>
      </c>
      <c r="P198" s="258">
        <f t="shared" si="126"/>
        <v>5.5910107456499207E-2</v>
      </c>
      <c r="Q198" s="249"/>
      <c r="R198" s="249">
        <v>183.33</v>
      </c>
      <c r="S198" s="258">
        <v>0.2</v>
      </c>
      <c r="T198" s="169">
        <f t="shared" si="127"/>
        <v>0</v>
      </c>
      <c r="U198" s="315">
        <f t="shared" si="128"/>
        <v>219.99600000000001</v>
      </c>
      <c r="V198" s="315">
        <f t="shared" si="129"/>
        <v>220</v>
      </c>
      <c r="W198" s="316">
        <f t="shared" si="130"/>
        <v>0</v>
      </c>
    </row>
    <row r="199" spans="1:23" x14ac:dyDescent="0.25">
      <c r="A199" s="200">
        <v>711028</v>
      </c>
      <c r="B199" s="313" t="s">
        <v>20141</v>
      </c>
      <c r="C199" s="248"/>
      <c r="D199" s="247" t="s">
        <v>2</v>
      </c>
      <c r="E199" s="249">
        <f t="shared" si="119"/>
        <v>93.36</v>
      </c>
      <c r="F199" s="258">
        <f>93.36/204.16</f>
        <v>0.45728840125391851</v>
      </c>
      <c r="G199" s="258">
        <f t="shared" si="120"/>
        <v>0.45728840125391851</v>
      </c>
      <c r="H199" s="249">
        <f t="shared" si="121"/>
        <v>60.5</v>
      </c>
      <c r="I199" s="258">
        <f>60.5/204.16</f>
        <v>0.29633620689655171</v>
      </c>
      <c r="J199" s="258">
        <f t="shared" si="122"/>
        <v>0.29633620689655171</v>
      </c>
      <c r="K199" s="249">
        <f t="shared" si="123"/>
        <v>40.049999999999997</v>
      </c>
      <c r="L199" s="258">
        <f>40.05/204.16</f>
        <v>0.19616967084639497</v>
      </c>
      <c r="M199" s="258">
        <f t="shared" si="124"/>
        <v>0.19616967084639497</v>
      </c>
      <c r="N199" s="251">
        <f t="shared" si="125"/>
        <v>10.25</v>
      </c>
      <c r="O199" s="258">
        <f>10.25/204.16</f>
        <v>5.02057210031348E-2</v>
      </c>
      <c r="P199" s="258">
        <f t="shared" si="126"/>
        <v>5.02057210031348E-2</v>
      </c>
      <c r="Q199" s="249"/>
      <c r="R199" s="249">
        <v>204.16</v>
      </c>
      <c r="S199" s="258">
        <v>0.2</v>
      </c>
      <c r="T199" s="169">
        <f t="shared" si="127"/>
        <v>0</v>
      </c>
      <c r="U199" s="315">
        <f t="shared" si="128"/>
        <v>244.99199999999999</v>
      </c>
      <c r="V199" s="315">
        <f t="shared" si="129"/>
        <v>245</v>
      </c>
      <c r="W199" s="316">
        <f t="shared" si="130"/>
        <v>0</v>
      </c>
    </row>
    <row r="200" spans="1:23" ht="21" x14ac:dyDescent="0.25">
      <c r="A200" s="200">
        <v>711146</v>
      </c>
      <c r="B200" s="168" t="s">
        <v>20142</v>
      </c>
      <c r="C200" s="293"/>
      <c r="D200" s="165" t="s">
        <v>2</v>
      </c>
      <c r="E200" s="249">
        <f t="shared" si="119"/>
        <v>467.10700000000003</v>
      </c>
      <c r="F200" s="258">
        <v>0.57499999999999996</v>
      </c>
      <c r="G200" s="258">
        <f t="shared" si="120"/>
        <v>0.57499999999999996</v>
      </c>
      <c r="H200" s="249">
        <f t="shared" si="121"/>
        <v>228.27316000000005</v>
      </c>
      <c r="I200" s="258">
        <v>0.28100000000000003</v>
      </c>
      <c r="J200" s="258">
        <f t="shared" si="122"/>
        <v>0.28100000000000003</v>
      </c>
      <c r="K200" s="249">
        <f t="shared" si="123"/>
        <v>112.10568000000002</v>
      </c>
      <c r="L200" s="258">
        <v>0.13800000000000001</v>
      </c>
      <c r="M200" s="258">
        <f t="shared" si="124"/>
        <v>0.13800000000000001</v>
      </c>
      <c r="N200" s="251">
        <f t="shared" si="125"/>
        <v>4.8741600000000007</v>
      </c>
      <c r="O200" s="258">
        <v>6.0000000000000001E-3</v>
      </c>
      <c r="P200" s="258">
        <f t="shared" si="126"/>
        <v>6.0000000000000001E-3</v>
      </c>
      <c r="Q200" s="249"/>
      <c r="R200" s="249">
        <v>812.36000000000013</v>
      </c>
      <c r="S200" s="258">
        <v>0.2</v>
      </c>
      <c r="T200" s="169">
        <f t="shared" si="127"/>
        <v>0</v>
      </c>
      <c r="U200" s="315">
        <f t="shared" si="128"/>
        <v>974.83200000000011</v>
      </c>
      <c r="V200" s="315">
        <f>IF(U200=0, 0, IF(U200&lt;10, _xlfn.CEILING.MATH(U200,1), IF(U200&lt;100, _xlfn.CEILING.MATH(U200,1),IF(U200&lt;1000, _xlfn.CEILING.MATH(U200,5), IF(U200&lt;10000, _xlfn.CEILING.MATH(U200, 25), IF(U200&lt;100000, _xlfn.CEILING.MATH(U200,250), IF(U200&lt;1000000, _xlfn.CEILING.MATH(U200,500), 0)))))))</f>
        <v>975</v>
      </c>
      <c r="W200" s="316">
        <f t="shared" si="130"/>
        <v>0</v>
      </c>
    </row>
    <row r="201" spans="1:23" ht="21" x14ac:dyDescent="0.25">
      <c r="A201" s="200">
        <v>711146</v>
      </c>
      <c r="B201" s="255" t="s">
        <v>20143</v>
      </c>
      <c r="C201" s="293"/>
      <c r="D201" s="165" t="s">
        <v>2</v>
      </c>
      <c r="E201" s="249">
        <f t="shared" si="119"/>
        <v>420.07179880000007</v>
      </c>
      <c r="F201" s="258">
        <v>0.55700000000000005</v>
      </c>
      <c r="G201" s="258">
        <f t="shared" si="120"/>
        <v>0.55700000000000005</v>
      </c>
      <c r="H201" s="249">
        <f t="shared" si="121"/>
        <v>227.75885679999999</v>
      </c>
      <c r="I201" s="258">
        <v>0.30199999999999999</v>
      </c>
      <c r="J201" s="258">
        <f t="shared" si="122"/>
        <v>0.30199999999999999</v>
      </c>
      <c r="K201" s="249">
        <f t="shared" si="123"/>
        <v>101.05856560000001</v>
      </c>
      <c r="L201" s="258">
        <v>0.13400000000000001</v>
      </c>
      <c r="M201" s="258">
        <f t="shared" si="124"/>
        <v>0.13400000000000001</v>
      </c>
      <c r="N201" s="251">
        <f t="shared" si="125"/>
        <v>4.5250104000000002</v>
      </c>
      <c r="O201" s="258">
        <v>6.0000000000000001E-3</v>
      </c>
      <c r="P201" s="258">
        <f t="shared" si="126"/>
        <v>6.0000000000000001E-3</v>
      </c>
      <c r="Q201" s="249"/>
      <c r="R201" s="249">
        <v>754.16840000000002</v>
      </c>
      <c r="S201" s="258">
        <v>0.2</v>
      </c>
      <c r="T201" s="169">
        <f t="shared" si="127"/>
        <v>0</v>
      </c>
      <c r="U201" s="315">
        <f t="shared" si="128"/>
        <v>905.00207999999998</v>
      </c>
      <c r="V201" s="315">
        <f t="shared" ref="V201:V212" si="131">IF(U201=0, 0, IF(U201&lt;10, _xlfn.CEILING.MATH(U201,1), IF(U201&lt;100, _xlfn.CEILING.MATH(U201,1),IF(U201&lt;1000, _xlfn.CEILING.MATH(U201,5), IF(U201&lt;10000, _xlfn.CEILING.MATH(U201, 25), IF(U201&lt;100000, _xlfn.CEILING.MATH(U201,250), IF(U201&lt;1000000, _xlfn.CEILING.MATH(U201,500), 0)))))))</f>
        <v>910</v>
      </c>
      <c r="W201" s="316">
        <f t="shared" si="130"/>
        <v>0</v>
      </c>
    </row>
    <row r="202" spans="1:23" ht="21" x14ac:dyDescent="0.25">
      <c r="A202" s="200">
        <v>711146</v>
      </c>
      <c r="B202" s="255" t="s">
        <v>20144</v>
      </c>
      <c r="C202" s="293"/>
      <c r="D202" s="165" t="s">
        <v>2</v>
      </c>
      <c r="E202" s="249">
        <f t="shared" si="119"/>
        <v>373.20620992000005</v>
      </c>
      <c r="F202" s="258">
        <v>0.54100000000000004</v>
      </c>
      <c r="G202" s="258">
        <f t="shared" si="120"/>
        <v>0.54100000000000004</v>
      </c>
      <c r="H202" s="249">
        <f t="shared" si="121"/>
        <v>227.64888960000002</v>
      </c>
      <c r="I202" s="258">
        <v>0.33</v>
      </c>
      <c r="J202" s="258">
        <f t="shared" si="122"/>
        <v>0.33</v>
      </c>
      <c r="K202" s="249">
        <f t="shared" si="123"/>
        <v>84.161104640000005</v>
      </c>
      <c r="L202" s="258">
        <v>0.122</v>
      </c>
      <c r="M202" s="258">
        <f t="shared" si="124"/>
        <v>0.122</v>
      </c>
      <c r="N202" s="251">
        <f t="shared" si="125"/>
        <v>4.1390707200000003</v>
      </c>
      <c r="O202" s="258">
        <v>6.0000000000000001E-3</v>
      </c>
      <c r="P202" s="258">
        <f t="shared" si="126"/>
        <v>6.0000000000000001E-3</v>
      </c>
      <c r="Q202" s="249"/>
      <c r="R202" s="249">
        <v>689.84512000000007</v>
      </c>
      <c r="S202" s="258">
        <v>0.2</v>
      </c>
      <c r="T202" s="169">
        <f t="shared" si="127"/>
        <v>0</v>
      </c>
      <c r="U202" s="315">
        <f t="shared" si="128"/>
        <v>827.81414400000006</v>
      </c>
      <c r="V202" s="315">
        <f t="shared" si="131"/>
        <v>830</v>
      </c>
      <c r="W202" s="316">
        <f t="shared" si="130"/>
        <v>0</v>
      </c>
    </row>
    <row r="203" spans="1:23" ht="20.399999999999999" x14ac:dyDescent="0.25">
      <c r="A203" s="200">
        <v>711152</v>
      </c>
      <c r="B203" s="328" t="s">
        <v>20145</v>
      </c>
      <c r="C203" s="293"/>
      <c r="D203" s="165" t="s">
        <v>2</v>
      </c>
      <c r="E203" s="249">
        <f t="shared" si="119"/>
        <v>579.92540760000009</v>
      </c>
      <c r="F203" s="258">
        <v>0.54</v>
      </c>
      <c r="G203" s="258">
        <f t="shared" si="120"/>
        <v>0.54</v>
      </c>
      <c r="H203" s="249">
        <f t="shared" si="121"/>
        <v>346.88130862000003</v>
      </c>
      <c r="I203" s="258">
        <v>0.32300000000000001</v>
      </c>
      <c r="J203" s="258">
        <f t="shared" si="122"/>
        <v>0.32300000000000001</v>
      </c>
      <c r="K203" s="249">
        <f t="shared" si="123"/>
        <v>142.83348002000002</v>
      </c>
      <c r="L203" s="258">
        <v>0.13300000000000001</v>
      </c>
      <c r="M203" s="258">
        <f t="shared" si="124"/>
        <v>0.13300000000000001</v>
      </c>
      <c r="N203" s="251">
        <f t="shared" si="125"/>
        <v>5.3696797000000007</v>
      </c>
      <c r="O203" s="258">
        <v>5.0000000000000001E-3</v>
      </c>
      <c r="P203" s="258">
        <f t="shared" si="126"/>
        <v>5.0000000000000001E-3</v>
      </c>
      <c r="Q203" s="249"/>
      <c r="R203" s="249">
        <v>1073.9359400000001</v>
      </c>
      <c r="S203" s="258">
        <v>0.2</v>
      </c>
      <c r="T203" s="169">
        <f t="shared" si="127"/>
        <v>0</v>
      </c>
      <c r="U203" s="315">
        <f t="shared" si="128"/>
        <v>1288.7231280000001</v>
      </c>
      <c r="V203" s="315">
        <f>IF(U203=0, 0, IF(U203&lt;10, _xlfn.CEILING.MATH(U203,1), IF(U203&lt;100, _xlfn.CEILING.MATH(U203,1),IF(U203&lt;1000, _xlfn.CEILING.MATH(U203,5), IF(U203&lt;10000, _xlfn.CEILING.MATH(U203, 10), IF(U203&lt;100000, _xlfn.CEILING.MATH(U203,250), IF(U203&lt;1000000, _xlfn.CEILING.MATH(U203,500), 0)))))))</f>
        <v>1290</v>
      </c>
      <c r="W203" s="316">
        <f t="shared" si="130"/>
        <v>0</v>
      </c>
    </row>
    <row r="204" spans="1:23" ht="21" x14ac:dyDescent="0.25">
      <c r="A204" s="200">
        <v>711152</v>
      </c>
      <c r="B204" s="255" t="s">
        <v>20146</v>
      </c>
      <c r="C204" s="293"/>
      <c r="D204" s="165" t="s">
        <v>2</v>
      </c>
      <c r="E204" s="249">
        <f t="shared" si="119"/>
        <v>520.99713450000002</v>
      </c>
      <c r="F204" s="258">
        <v>0.52100000000000002</v>
      </c>
      <c r="G204" s="258">
        <f t="shared" si="120"/>
        <v>0.52100000000000002</v>
      </c>
      <c r="H204" s="249">
        <f t="shared" si="121"/>
        <v>345.99809699999997</v>
      </c>
      <c r="I204" s="258">
        <v>0.34599999999999997</v>
      </c>
      <c r="J204" s="258">
        <f t="shared" si="122"/>
        <v>0.34599999999999997</v>
      </c>
      <c r="K204" s="249">
        <f t="shared" si="123"/>
        <v>127.999296</v>
      </c>
      <c r="L204" s="258">
        <v>0.128</v>
      </c>
      <c r="M204" s="258">
        <f t="shared" si="124"/>
        <v>0.128</v>
      </c>
      <c r="N204" s="251">
        <f t="shared" si="125"/>
        <v>4.9999725000000002</v>
      </c>
      <c r="O204" s="258">
        <v>5.0000000000000001E-3</v>
      </c>
      <c r="P204" s="258">
        <f t="shared" si="126"/>
        <v>5.0000000000000001E-3</v>
      </c>
      <c r="Q204" s="249"/>
      <c r="R204" s="249">
        <v>999.99450000000002</v>
      </c>
      <c r="S204" s="258">
        <v>0.2</v>
      </c>
      <c r="T204" s="169">
        <f t="shared" si="127"/>
        <v>0</v>
      </c>
      <c r="U204" s="315">
        <f t="shared" si="128"/>
        <v>1199.9934000000001</v>
      </c>
      <c r="V204" s="315">
        <f t="shared" si="131"/>
        <v>1200</v>
      </c>
      <c r="W204" s="316">
        <f t="shared" si="130"/>
        <v>0</v>
      </c>
    </row>
    <row r="205" spans="1:23" ht="20.399999999999999" x14ac:dyDescent="0.25">
      <c r="A205" s="200">
        <v>711156</v>
      </c>
      <c r="B205" s="328" t="s">
        <v>20147</v>
      </c>
      <c r="C205" s="293"/>
      <c r="D205" s="165" t="s">
        <v>2</v>
      </c>
      <c r="E205" s="249">
        <f t="shared" si="119"/>
        <v>736.99651872000004</v>
      </c>
      <c r="F205" s="258">
        <v>0.52800000000000002</v>
      </c>
      <c r="G205" s="258">
        <f t="shared" si="120"/>
        <v>0.52800000000000002</v>
      </c>
      <c r="H205" s="249">
        <f t="shared" si="121"/>
        <v>475.97691834000005</v>
      </c>
      <c r="I205" s="258">
        <v>0.34100000000000003</v>
      </c>
      <c r="J205" s="258">
        <f t="shared" si="122"/>
        <v>0.34100000000000003</v>
      </c>
      <c r="K205" s="249">
        <f t="shared" si="123"/>
        <v>177.26999598</v>
      </c>
      <c r="L205" s="258">
        <v>0.127</v>
      </c>
      <c r="M205" s="258">
        <f t="shared" si="124"/>
        <v>0.127</v>
      </c>
      <c r="N205" s="251">
        <f t="shared" si="125"/>
        <v>6.9791337000000002</v>
      </c>
      <c r="O205" s="258">
        <v>5.0000000000000001E-3</v>
      </c>
      <c r="P205" s="258">
        <f t="shared" si="126"/>
        <v>5.0000000000000001E-3</v>
      </c>
      <c r="Q205" s="249"/>
      <c r="R205" s="249">
        <v>1395.82674</v>
      </c>
      <c r="S205" s="258">
        <v>0.2</v>
      </c>
      <c r="T205" s="169">
        <f t="shared" si="127"/>
        <v>0</v>
      </c>
      <c r="U205" s="315">
        <f t="shared" si="128"/>
        <v>1674.992088</v>
      </c>
      <c r="V205" s="315">
        <f t="shared" si="131"/>
        <v>1675</v>
      </c>
      <c r="W205" s="316">
        <f t="shared" si="130"/>
        <v>0</v>
      </c>
    </row>
    <row r="206" spans="1:23" ht="21" x14ac:dyDescent="0.25">
      <c r="A206" s="200">
        <v>711156</v>
      </c>
      <c r="B206" s="255" t="s">
        <v>20148</v>
      </c>
      <c r="C206" s="293"/>
      <c r="D206" s="165" t="s">
        <v>2</v>
      </c>
      <c r="E206" s="249">
        <f t="shared" si="119"/>
        <v>662.37104000000011</v>
      </c>
      <c r="F206" s="258">
        <v>0.50800000000000001</v>
      </c>
      <c r="G206" s="258">
        <f t="shared" si="120"/>
        <v>0.50800000000000001</v>
      </c>
      <c r="H206" s="249">
        <f t="shared" si="121"/>
        <v>475.9162</v>
      </c>
      <c r="I206" s="258">
        <v>0.36499999999999999</v>
      </c>
      <c r="J206" s="258">
        <f t="shared" si="122"/>
        <v>0.36499999999999999</v>
      </c>
      <c r="K206" s="249">
        <f t="shared" si="123"/>
        <v>159.07336000000001</v>
      </c>
      <c r="L206" s="258">
        <v>0.122</v>
      </c>
      <c r="M206" s="258">
        <f t="shared" si="124"/>
        <v>0.122</v>
      </c>
      <c r="N206" s="251">
        <f t="shared" si="125"/>
        <v>6.519400000000001</v>
      </c>
      <c r="O206" s="258">
        <v>5.0000000000000001E-3</v>
      </c>
      <c r="P206" s="258">
        <f t="shared" si="126"/>
        <v>5.0000000000000001E-3</v>
      </c>
      <c r="Q206" s="249"/>
      <c r="R206" s="249">
        <v>1303.8800000000001</v>
      </c>
      <c r="S206" s="258">
        <v>0.2</v>
      </c>
      <c r="T206" s="169">
        <f t="shared" si="127"/>
        <v>0</v>
      </c>
      <c r="U206" s="315">
        <f t="shared" si="128"/>
        <v>1564.6560000000002</v>
      </c>
      <c r="V206" s="315">
        <f>IF(U206=0, 0, IF(U206&lt;10, _xlfn.CEILING.MATH(U206,1), IF(U206&lt;100, _xlfn.CEILING.MATH(U206,1),IF(U206&lt;1000, _xlfn.CEILING.MATH(U206,5), IF(U206&lt;10000, _xlfn.CEILING.MATH(U206, 5), IF(U206&lt;100000, _xlfn.CEILING.MATH(U206,250), IF(U206&lt;1000000, _xlfn.CEILING.MATH(U206,500), 0)))))))</f>
        <v>1565</v>
      </c>
      <c r="W206" s="316">
        <f t="shared" si="130"/>
        <v>0</v>
      </c>
    </row>
    <row r="207" spans="1:23" ht="21" x14ac:dyDescent="0.25">
      <c r="A207" s="200">
        <v>711156</v>
      </c>
      <c r="B207" s="255" t="s">
        <v>20149</v>
      </c>
      <c r="C207" s="293"/>
      <c r="D207" s="165" t="s">
        <v>2</v>
      </c>
      <c r="E207" s="249">
        <f t="shared" si="119"/>
        <v>589.46019999999999</v>
      </c>
      <c r="F207" s="258">
        <v>0.49</v>
      </c>
      <c r="G207" s="258">
        <f t="shared" si="120"/>
        <v>0.49</v>
      </c>
      <c r="H207" s="249">
        <f t="shared" si="121"/>
        <v>475.17710000000005</v>
      </c>
      <c r="I207" s="258">
        <v>0.39500000000000002</v>
      </c>
      <c r="J207" s="258">
        <f t="shared" si="122"/>
        <v>0.39500000000000002</v>
      </c>
      <c r="K207" s="249">
        <f t="shared" si="123"/>
        <v>132.3278</v>
      </c>
      <c r="L207" s="258">
        <v>0.11</v>
      </c>
      <c r="M207" s="258">
        <f t="shared" si="124"/>
        <v>0.11</v>
      </c>
      <c r="N207" s="251">
        <f t="shared" si="125"/>
        <v>6.0148999999999999</v>
      </c>
      <c r="O207" s="258">
        <v>5.0000000000000001E-3</v>
      </c>
      <c r="P207" s="258">
        <f t="shared" si="126"/>
        <v>5.0000000000000001E-3</v>
      </c>
      <c r="Q207" s="249"/>
      <c r="R207" s="249">
        <v>1202.98</v>
      </c>
      <c r="S207" s="258">
        <v>0.2</v>
      </c>
      <c r="T207" s="169">
        <f t="shared" si="127"/>
        <v>0</v>
      </c>
      <c r="U207" s="315">
        <f t="shared" si="128"/>
        <v>1443.576</v>
      </c>
      <c r="V207" s="315">
        <f>IF(U207=0, 0, IF(U207&lt;10, _xlfn.CEILING.MATH(U207,1), IF(U207&lt;100, _xlfn.CEILING.MATH(U207,1),IF(U207&lt;1000, _xlfn.CEILING.MATH(U207,5), IF(U207&lt;10000, _xlfn.CEILING.MATH(U207, 5), IF(U207&lt;100000, _xlfn.CEILING.MATH(U207,250), IF(U207&lt;1000000, _xlfn.CEILING.MATH(U207,500), 0)))))))</f>
        <v>1445</v>
      </c>
      <c r="W207" s="316">
        <f t="shared" si="130"/>
        <v>0</v>
      </c>
    </row>
    <row r="208" spans="1:23" ht="20.399999999999999" x14ac:dyDescent="0.25">
      <c r="A208" s="200">
        <v>711158</v>
      </c>
      <c r="B208" s="328" t="s">
        <v>20150</v>
      </c>
      <c r="C208" s="293"/>
      <c r="D208" s="165" t="s">
        <v>2</v>
      </c>
      <c r="E208" s="249">
        <f t="shared" si="119"/>
        <v>990.07456000000002</v>
      </c>
      <c r="F208" s="258">
        <v>0.54400000000000004</v>
      </c>
      <c r="G208" s="258">
        <f t="shared" si="120"/>
        <v>0.54400000000000004</v>
      </c>
      <c r="H208" s="249">
        <f t="shared" si="121"/>
        <v>527.7971</v>
      </c>
      <c r="I208" s="258">
        <v>0.28999999999999998</v>
      </c>
      <c r="J208" s="258">
        <f t="shared" si="122"/>
        <v>0.28999999999999998</v>
      </c>
      <c r="K208" s="249">
        <f t="shared" si="123"/>
        <v>293.01839000000001</v>
      </c>
      <c r="L208" s="258">
        <v>0.161</v>
      </c>
      <c r="M208" s="258">
        <f t="shared" si="124"/>
        <v>0.161</v>
      </c>
      <c r="N208" s="251">
        <f t="shared" si="125"/>
        <v>9.0999499999999998</v>
      </c>
      <c r="O208" s="258">
        <v>5.0000000000000001E-3</v>
      </c>
      <c r="P208" s="258">
        <f t="shared" si="126"/>
        <v>5.0000000000000001E-3</v>
      </c>
      <c r="Q208" s="249"/>
      <c r="R208" s="249">
        <v>1819.99</v>
      </c>
      <c r="S208" s="258">
        <v>0.2</v>
      </c>
      <c r="T208" s="169">
        <f t="shared" si="127"/>
        <v>0</v>
      </c>
      <c r="U208" s="315">
        <f t="shared" si="128"/>
        <v>2183.9880000000003</v>
      </c>
      <c r="V208" s="315">
        <f>IF(U208=0, 0, IF(U208&lt;10, _xlfn.CEILING.MATH(U208,1), IF(U208&lt;100, _xlfn.CEILING.MATH(U208,1),IF(U208&lt;1000, _xlfn.CEILING.MATH(U208,5), IF(U208&lt;10000, _xlfn.CEILING.MATH(U208, 5), IF(U208&lt;100000, _xlfn.CEILING.MATH(U208,250), IF(U208&lt;1000000, _xlfn.CEILING.MATH(U208,500), 0)))))))</f>
        <v>2185</v>
      </c>
      <c r="W208" s="316">
        <f t="shared" si="130"/>
        <v>0</v>
      </c>
    </row>
    <row r="209" spans="1:23" ht="21" x14ac:dyDescent="0.25">
      <c r="A209" s="200">
        <v>711158</v>
      </c>
      <c r="B209" s="255" t="s">
        <v>20151</v>
      </c>
      <c r="C209" s="293"/>
      <c r="D209" s="165" t="s">
        <v>2</v>
      </c>
      <c r="E209" s="249">
        <f t="shared" si="119"/>
        <v>890.99363000000005</v>
      </c>
      <c r="F209" s="258">
        <v>0.52700000000000002</v>
      </c>
      <c r="G209" s="258">
        <f t="shared" si="120"/>
        <v>0.52700000000000002</v>
      </c>
      <c r="H209" s="249">
        <f t="shared" si="121"/>
        <v>527.49527999999998</v>
      </c>
      <c r="I209" s="258">
        <v>0.312</v>
      </c>
      <c r="J209" s="258">
        <f t="shared" si="122"/>
        <v>0.312</v>
      </c>
      <c r="K209" s="249">
        <f t="shared" si="123"/>
        <v>263.74763999999999</v>
      </c>
      <c r="L209" s="258">
        <v>0.156</v>
      </c>
      <c r="M209" s="258">
        <f t="shared" si="124"/>
        <v>0.156</v>
      </c>
      <c r="N209" s="251">
        <f t="shared" si="125"/>
        <v>8.4534500000000001</v>
      </c>
      <c r="O209" s="258">
        <v>5.0000000000000001E-3</v>
      </c>
      <c r="P209" s="258">
        <f t="shared" si="126"/>
        <v>5.0000000000000001E-3</v>
      </c>
      <c r="Q209" s="249"/>
      <c r="R209" s="249">
        <v>1690.69</v>
      </c>
      <c r="S209" s="258">
        <v>0.2</v>
      </c>
      <c r="T209" s="169">
        <f t="shared" si="127"/>
        <v>0</v>
      </c>
      <c r="U209" s="315">
        <f t="shared" si="128"/>
        <v>2028.828</v>
      </c>
      <c r="V209" s="315">
        <f>IF(U209=0, 0, IF(U209&lt;10, _xlfn.CEILING.MATH(U209,1), IF(U209&lt;100, _xlfn.CEILING.MATH(U209,1),IF(U209&lt;1000, _xlfn.CEILING.MATH(U209,5), IF(U209&lt;10000, _xlfn.CEILING.MATH(U209, 5), IF(U209&lt;100000, _xlfn.CEILING.MATH(U209,250), IF(U209&lt;1000000, _xlfn.CEILING.MATH(U209,500), 0)))))))</f>
        <v>2030</v>
      </c>
      <c r="W209" s="316">
        <f t="shared" si="130"/>
        <v>0</v>
      </c>
    </row>
    <row r="210" spans="1:23" ht="21" x14ac:dyDescent="0.25">
      <c r="A210" s="200">
        <v>711158</v>
      </c>
      <c r="B210" s="255" t="s">
        <v>20152</v>
      </c>
      <c r="C210" s="293"/>
      <c r="D210" s="165" t="s">
        <v>2</v>
      </c>
      <c r="E210" s="249">
        <f t="shared" si="119"/>
        <v>791.4643814399999</v>
      </c>
      <c r="F210" s="258">
        <v>0.51200000000000001</v>
      </c>
      <c r="G210" s="258">
        <f t="shared" si="120"/>
        <v>0.51200000000000001</v>
      </c>
      <c r="H210" s="249">
        <f t="shared" si="121"/>
        <v>527.12764467</v>
      </c>
      <c r="I210" s="258">
        <v>0.34100000000000003</v>
      </c>
      <c r="J210" s="258">
        <f t="shared" si="122"/>
        <v>0.34100000000000003</v>
      </c>
      <c r="K210" s="249">
        <f t="shared" si="123"/>
        <v>219.50769953999995</v>
      </c>
      <c r="L210" s="258">
        <v>0.14199999999999999</v>
      </c>
      <c r="M210" s="258">
        <f t="shared" si="124"/>
        <v>0.14199999999999999</v>
      </c>
      <c r="N210" s="251">
        <f t="shared" si="125"/>
        <v>7.7291443499999994</v>
      </c>
      <c r="O210" s="258">
        <v>5.0000000000000001E-3</v>
      </c>
      <c r="P210" s="258">
        <f t="shared" si="126"/>
        <v>5.0000000000000001E-3</v>
      </c>
      <c r="Q210" s="249"/>
      <c r="R210" s="249">
        <v>1545.8288699999998</v>
      </c>
      <c r="S210" s="258">
        <v>0.2</v>
      </c>
      <c r="T210" s="169">
        <f t="shared" si="127"/>
        <v>0</v>
      </c>
      <c r="U210" s="315">
        <f t="shared" si="128"/>
        <v>1854.9946439999999</v>
      </c>
      <c r="V210" s="315">
        <f>IF(U210=0, 0, IF(U210&lt;10, _xlfn.CEILING.MATH(U210,1), IF(U210&lt;100, _xlfn.CEILING.MATH(U210,1),IF(U210&lt;1000, _xlfn.CEILING.MATH(U210,5), IF(U210&lt;10000, _xlfn.CEILING.MATH(U210, 5), IF(U210&lt;100000, _xlfn.CEILING.MATH(U210,250), IF(U210&lt;1000000, _xlfn.CEILING.MATH(U210,500), 0)))))))</f>
        <v>1855</v>
      </c>
      <c r="W210" s="316">
        <f t="shared" si="130"/>
        <v>0</v>
      </c>
    </row>
    <row r="211" spans="1:23" ht="20.399999999999999" x14ac:dyDescent="0.25">
      <c r="A211" s="200">
        <v>711160</v>
      </c>
      <c r="B211" s="328" t="s">
        <v>20153</v>
      </c>
      <c r="C211" s="293"/>
      <c r="D211" s="165" t="s">
        <v>2</v>
      </c>
      <c r="E211" s="249">
        <f t="shared" si="119"/>
        <v>1254.4626063200001</v>
      </c>
      <c r="F211" s="258">
        <v>0.54800000000000004</v>
      </c>
      <c r="G211" s="258">
        <f t="shared" si="120"/>
        <v>0.54800000000000004</v>
      </c>
      <c r="H211" s="249">
        <f t="shared" si="121"/>
        <v>650.12295655999992</v>
      </c>
      <c r="I211" s="258">
        <v>0.28399999999999997</v>
      </c>
      <c r="J211" s="258">
        <f t="shared" si="122"/>
        <v>0.28399999999999997</v>
      </c>
      <c r="K211" s="249">
        <f t="shared" si="123"/>
        <v>370.84478508000001</v>
      </c>
      <c r="L211" s="258">
        <v>0.16200000000000001</v>
      </c>
      <c r="M211" s="258">
        <f t="shared" si="124"/>
        <v>0.16200000000000001</v>
      </c>
      <c r="N211" s="251">
        <f t="shared" si="125"/>
        <v>16.024157380000002</v>
      </c>
      <c r="O211" s="258">
        <v>7.0000000000000001E-3</v>
      </c>
      <c r="P211" s="258">
        <f t="shared" si="126"/>
        <v>7.0000000000000001E-3</v>
      </c>
      <c r="Q211" s="249"/>
      <c r="R211" s="249">
        <v>2289.16534</v>
      </c>
      <c r="S211" s="258">
        <v>0.2</v>
      </c>
      <c r="T211" s="169">
        <f t="shared" si="127"/>
        <v>0</v>
      </c>
      <c r="U211" s="315">
        <f t="shared" si="128"/>
        <v>2746.9984079999999</v>
      </c>
      <c r="V211" s="315">
        <f t="shared" si="131"/>
        <v>2750</v>
      </c>
      <c r="W211" s="316">
        <f t="shared" si="130"/>
        <v>0</v>
      </c>
    </row>
    <row r="212" spans="1:23" ht="21" x14ac:dyDescent="0.25">
      <c r="A212" s="200">
        <v>711160</v>
      </c>
      <c r="B212" s="255" t="s">
        <v>20154</v>
      </c>
      <c r="C212" s="293"/>
      <c r="D212" s="165" t="s">
        <v>2</v>
      </c>
      <c r="E212" s="249">
        <f t="shared" si="119"/>
        <v>1128.3730830900001</v>
      </c>
      <c r="F212" s="258">
        <v>0.53100000000000003</v>
      </c>
      <c r="G212" s="258">
        <f t="shared" si="120"/>
        <v>0.53100000000000003</v>
      </c>
      <c r="H212" s="249">
        <f t="shared" si="121"/>
        <v>650.2488953400001</v>
      </c>
      <c r="I212" s="258">
        <v>0.30599999999999999</v>
      </c>
      <c r="J212" s="258">
        <f t="shared" si="122"/>
        <v>0.30599999999999999</v>
      </c>
      <c r="K212" s="249">
        <f t="shared" si="123"/>
        <v>333.62443323000002</v>
      </c>
      <c r="L212" s="258">
        <v>0.157</v>
      </c>
      <c r="M212" s="258">
        <f t="shared" si="124"/>
        <v>0.157</v>
      </c>
      <c r="N212" s="251">
        <f t="shared" si="125"/>
        <v>12.749978340000002</v>
      </c>
      <c r="O212" s="258">
        <v>6.0000000000000001E-3</v>
      </c>
      <c r="P212" s="258">
        <f t="shared" si="126"/>
        <v>6.0000000000000001E-3</v>
      </c>
      <c r="Q212" s="249"/>
      <c r="R212" s="249">
        <v>2124.9963900000002</v>
      </c>
      <c r="S212" s="258">
        <v>0.2</v>
      </c>
      <c r="T212" s="169">
        <f t="shared" si="127"/>
        <v>0</v>
      </c>
      <c r="U212" s="315">
        <f t="shared" si="128"/>
        <v>2549.9956680000005</v>
      </c>
      <c r="V212" s="315">
        <f t="shared" si="131"/>
        <v>2550</v>
      </c>
      <c r="W212" s="316">
        <f t="shared" si="130"/>
        <v>0</v>
      </c>
    </row>
    <row r="213" spans="1:23" ht="21" x14ac:dyDescent="0.25">
      <c r="A213" s="200">
        <v>711160</v>
      </c>
      <c r="B213" s="255" t="s">
        <v>20155</v>
      </c>
      <c r="C213" s="293"/>
      <c r="D213" s="165" t="s">
        <v>2</v>
      </c>
      <c r="E213" s="249">
        <f t="shared" si="119"/>
        <v>1003.83753756</v>
      </c>
      <c r="F213" s="258">
        <v>0.51700000000000002</v>
      </c>
      <c r="G213" s="258">
        <f t="shared" si="120"/>
        <v>0.51700000000000002</v>
      </c>
      <c r="H213" s="249">
        <f t="shared" si="121"/>
        <v>648.51399911999999</v>
      </c>
      <c r="I213" s="258">
        <v>0.33400000000000002</v>
      </c>
      <c r="J213" s="258">
        <f t="shared" si="122"/>
        <v>0.33400000000000002</v>
      </c>
      <c r="K213" s="249">
        <f t="shared" si="123"/>
        <v>277.65719123999997</v>
      </c>
      <c r="L213" s="258">
        <v>0.14299999999999999</v>
      </c>
      <c r="M213" s="258">
        <f t="shared" si="124"/>
        <v>0.14299999999999999</v>
      </c>
      <c r="N213" s="251">
        <f t="shared" si="125"/>
        <v>11.64995208</v>
      </c>
      <c r="O213" s="258">
        <v>6.0000000000000001E-3</v>
      </c>
      <c r="P213" s="258">
        <f t="shared" si="126"/>
        <v>6.0000000000000001E-3</v>
      </c>
      <c r="Q213" s="249"/>
      <c r="R213" s="249">
        <v>1941.65868</v>
      </c>
      <c r="S213" s="258">
        <v>0.2</v>
      </c>
      <c r="T213" s="169">
        <f t="shared" si="127"/>
        <v>0</v>
      </c>
      <c r="U213" s="315">
        <f t="shared" si="128"/>
        <v>2329.9904160000001</v>
      </c>
      <c r="V213" s="315">
        <f>IF(U213=0, 0, IF(U213&lt;10, _xlfn.CEILING.MATH(U213,1), IF(U213&lt;100, _xlfn.CEILING.MATH(U213,1),IF(U213&lt;1000, _xlfn.CEILING.MATH(U213,5), IF(U213&lt;10000, _xlfn.CEILING.MATH(U213, 5), IF(U213&lt;100000, _xlfn.CEILING.MATH(U213,250), IF(U213&lt;1000000, _xlfn.CEILING.MATH(U213,500), 0)))))))</f>
        <v>2330</v>
      </c>
      <c r="W213" s="316">
        <f t="shared" si="130"/>
        <v>0</v>
      </c>
    </row>
    <row r="214" spans="1:23" x14ac:dyDescent="0.25">
      <c r="A214" s="200">
        <v>711150</v>
      </c>
      <c r="B214" s="313" t="s">
        <v>16176</v>
      </c>
      <c r="C214" s="248"/>
      <c r="D214" s="247" t="s">
        <v>11</v>
      </c>
      <c r="E214" s="249">
        <f t="shared" si="119"/>
        <v>1.59</v>
      </c>
      <c r="F214" s="258">
        <f>1.59/2.2</f>
        <v>0.72272727272727266</v>
      </c>
      <c r="G214" s="258">
        <f t="shared" si="120"/>
        <v>0.72272727272727266</v>
      </c>
      <c r="H214" s="249">
        <f t="shared" si="121"/>
        <v>0.46</v>
      </c>
      <c r="I214" s="258">
        <f>0.46/2.2</f>
        <v>0.20909090909090908</v>
      </c>
      <c r="J214" s="258">
        <f t="shared" si="122"/>
        <v>0.20909090909090908</v>
      </c>
      <c r="K214" s="249">
        <f t="shared" si="123"/>
        <v>0.1</v>
      </c>
      <c r="L214" s="258">
        <f>0.1/2.2</f>
        <v>4.5454545454545456E-2</v>
      </c>
      <c r="M214" s="258">
        <f t="shared" si="124"/>
        <v>4.5454545454545456E-2</v>
      </c>
      <c r="N214" s="251">
        <f t="shared" si="125"/>
        <v>0.05</v>
      </c>
      <c r="O214" s="258">
        <f>0.05/2.2</f>
        <v>2.2727272727272728E-2</v>
      </c>
      <c r="P214" s="258">
        <f t="shared" si="126"/>
        <v>2.2727272727272728E-2</v>
      </c>
      <c r="Q214" s="249"/>
      <c r="R214" s="249">
        <v>2.2000000000000002</v>
      </c>
      <c r="S214" s="258">
        <v>0.2</v>
      </c>
      <c r="T214" s="169">
        <f t="shared" si="127"/>
        <v>0</v>
      </c>
      <c r="U214" s="315">
        <f t="shared" si="128"/>
        <v>2.64</v>
      </c>
      <c r="V214" s="315">
        <f t="shared" ref="V214:V222" si="132">IF(U214=0, 0, IF(U214&lt;10, _xlfn.CEILING.MATH(U214,0.05), IF(U214&lt;100, _xlfn.CEILING.MATH(U214,1),IF(U214&lt;1000, _xlfn.CEILING.MATH(U214,5), IF(U214&lt;10000, _xlfn.CEILING.MATH(U214, 25), IF(U214&lt;100000, _xlfn.CEILING.MATH(U214,250), IF(U214&lt;1000000, _xlfn.CEILING.MATH(U214,500), 0)))))))</f>
        <v>2.6500000000000004</v>
      </c>
      <c r="W214" s="316">
        <f t="shared" si="130"/>
        <v>0</v>
      </c>
    </row>
    <row r="215" spans="1:23" x14ac:dyDescent="0.25">
      <c r="A215" s="200">
        <v>711150</v>
      </c>
      <c r="B215" s="313" t="s">
        <v>16177</v>
      </c>
      <c r="C215" s="248"/>
      <c r="D215" s="247" t="s">
        <v>11</v>
      </c>
      <c r="E215" s="249">
        <f t="shared" si="119"/>
        <v>1.68</v>
      </c>
      <c r="F215" s="258">
        <f>1.68/2.29</f>
        <v>0.73362445414847155</v>
      </c>
      <c r="G215" s="258">
        <f t="shared" si="120"/>
        <v>0.73362445414847155</v>
      </c>
      <c r="H215" s="249">
        <f t="shared" si="121"/>
        <v>0.46</v>
      </c>
      <c r="I215" s="258">
        <f>0.46/2.29</f>
        <v>0.20087336244541484</v>
      </c>
      <c r="J215" s="258">
        <f t="shared" si="122"/>
        <v>0.20087336244541484</v>
      </c>
      <c r="K215" s="249">
        <f t="shared" si="123"/>
        <v>0.1</v>
      </c>
      <c r="L215" s="258">
        <f>0.1/2.29</f>
        <v>4.3668122270742363E-2</v>
      </c>
      <c r="M215" s="258">
        <f t="shared" si="124"/>
        <v>4.3668122270742363E-2</v>
      </c>
      <c r="N215" s="251">
        <f t="shared" si="125"/>
        <v>0.05</v>
      </c>
      <c r="O215" s="258">
        <f>0.05/2.29</f>
        <v>2.1834061135371181E-2</v>
      </c>
      <c r="P215" s="258">
        <f t="shared" si="126"/>
        <v>2.1834061135371181E-2</v>
      </c>
      <c r="Q215" s="249"/>
      <c r="R215" s="249">
        <v>2.29</v>
      </c>
      <c r="S215" s="258">
        <v>0.2</v>
      </c>
      <c r="T215" s="169">
        <f t="shared" si="127"/>
        <v>0</v>
      </c>
      <c r="U215" s="315">
        <f t="shared" si="128"/>
        <v>2.7480000000000002</v>
      </c>
      <c r="V215" s="315">
        <f t="shared" si="132"/>
        <v>2.75</v>
      </c>
      <c r="W215" s="316">
        <f t="shared" si="130"/>
        <v>0</v>
      </c>
    </row>
    <row r="216" spans="1:23" x14ac:dyDescent="0.25">
      <c r="A216" s="200">
        <v>711152</v>
      </c>
      <c r="B216" s="313" t="s">
        <v>16178</v>
      </c>
      <c r="C216" s="248"/>
      <c r="D216" s="247" t="s">
        <v>11</v>
      </c>
      <c r="E216" s="249">
        <f t="shared" si="119"/>
        <v>1.77</v>
      </c>
      <c r="F216" s="258">
        <f>1.77/2.38</f>
        <v>0.74369747899159666</v>
      </c>
      <c r="G216" s="258">
        <f t="shared" si="120"/>
        <v>0.74369747899159666</v>
      </c>
      <c r="H216" s="249">
        <f t="shared" si="121"/>
        <v>0.46</v>
      </c>
      <c r="I216" s="258">
        <f>0.46/2.38</f>
        <v>0.19327731092436976</v>
      </c>
      <c r="J216" s="258">
        <f t="shared" si="122"/>
        <v>0.19327731092436976</v>
      </c>
      <c r="K216" s="249">
        <f t="shared" si="123"/>
        <v>0.1</v>
      </c>
      <c r="L216" s="258">
        <f>0.1/2.38</f>
        <v>4.2016806722689079E-2</v>
      </c>
      <c r="M216" s="258">
        <f t="shared" si="124"/>
        <v>4.2016806722689079E-2</v>
      </c>
      <c r="N216" s="251">
        <f t="shared" si="125"/>
        <v>0.05</v>
      </c>
      <c r="O216" s="258">
        <f>0.05/2.38</f>
        <v>2.100840336134454E-2</v>
      </c>
      <c r="P216" s="258">
        <f t="shared" si="126"/>
        <v>2.100840336134454E-2</v>
      </c>
      <c r="Q216" s="249"/>
      <c r="R216" s="249">
        <v>2.38</v>
      </c>
      <c r="S216" s="258">
        <v>0.2</v>
      </c>
      <c r="T216" s="169">
        <f t="shared" si="127"/>
        <v>0</v>
      </c>
      <c r="U216" s="315">
        <f t="shared" si="128"/>
        <v>2.8559999999999999</v>
      </c>
      <c r="V216" s="315">
        <f t="shared" si="132"/>
        <v>2.9000000000000004</v>
      </c>
      <c r="W216" s="316">
        <f t="shared" si="130"/>
        <v>0</v>
      </c>
    </row>
    <row r="217" spans="1:23" ht="14.4" thickBot="1" x14ac:dyDescent="0.3">
      <c r="A217" s="263">
        <v>711152</v>
      </c>
      <c r="B217" s="321" t="s">
        <v>16179</v>
      </c>
      <c r="C217" s="265"/>
      <c r="D217" s="264" t="s">
        <v>11</v>
      </c>
      <c r="E217" s="266">
        <f t="shared" si="119"/>
        <v>1.9</v>
      </c>
      <c r="F217" s="322">
        <f>1.9/2.66</f>
        <v>0.71428571428571419</v>
      </c>
      <c r="G217" s="322">
        <f t="shared" si="120"/>
        <v>0.71428571428571419</v>
      </c>
      <c r="H217" s="266">
        <f t="shared" si="121"/>
        <v>0.56999999999999995</v>
      </c>
      <c r="I217" s="322">
        <f>0.57/2.66</f>
        <v>0.21428571428571425</v>
      </c>
      <c r="J217" s="322">
        <f t="shared" si="122"/>
        <v>0.21428571428571425</v>
      </c>
      <c r="K217" s="266">
        <f t="shared" si="123"/>
        <v>0.12</v>
      </c>
      <c r="L217" s="322">
        <f>0.12/2.66</f>
        <v>4.5112781954887216E-2</v>
      </c>
      <c r="M217" s="322">
        <f t="shared" si="124"/>
        <v>4.5112781954887216E-2</v>
      </c>
      <c r="N217" s="270">
        <f t="shared" si="125"/>
        <v>7.0000000000000007E-2</v>
      </c>
      <c r="O217" s="322">
        <f>0.07/2.66</f>
        <v>2.6315789473684213E-2</v>
      </c>
      <c r="P217" s="322">
        <f t="shared" si="126"/>
        <v>2.6315789473684213E-2</v>
      </c>
      <c r="Q217" s="266"/>
      <c r="R217" s="266">
        <v>2.66</v>
      </c>
      <c r="S217" s="322">
        <v>0.2</v>
      </c>
      <c r="T217" s="291">
        <f t="shared" si="127"/>
        <v>0</v>
      </c>
      <c r="U217" s="324">
        <f t="shared" si="128"/>
        <v>3.1920000000000002</v>
      </c>
      <c r="V217" s="324">
        <f t="shared" si="132"/>
        <v>3.2</v>
      </c>
      <c r="W217" s="325">
        <f t="shared" si="130"/>
        <v>0</v>
      </c>
    </row>
    <row r="218" spans="1:23" x14ac:dyDescent="0.25">
      <c r="A218" s="200">
        <v>711152</v>
      </c>
      <c r="B218" s="313" t="s">
        <v>16180</v>
      </c>
      <c r="C218" s="248"/>
      <c r="D218" s="247" t="s">
        <v>11</v>
      </c>
      <c r="E218" s="249">
        <f t="shared" si="119"/>
        <v>2</v>
      </c>
      <c r="F218" s="258">
        <f>2/2.76</f>
        <v>0.7246376811594204</v>
      </c>
      <c r="G218" s="258">
        <f t="shared" si="120"/>
        <v>0.7246376811594204</v>
      </c>
      <c r="H218" s="249">
        <f t="shared" si="121"/>
        <v>0.56999999999999995</v>
      </c>
      <c r="I218" s="258">
        <f>0.57/2.76</f>
        <v>0.20652173913043478</v>
      </c>
      <c r="J218" s="258">
        <f t="shared" si="122"/>
        <v>0.20652173913043478</v>
      </c>
      <c r="K218" s="249">
        <f t="shared" si="123"/>
        <v>0.11999999999999998</v>
      </c>
      <c r="L218" s="258">
        <f>0.12/2.76</f>
        <v>4.3478260869565216E-2</v>
      </c>
      <c r="M218" s="258">
        <f t="shared" si="124"/>
        <v>4.3478260869565216E-2</v>
      </c>
      <c r="N218" s="251">
        <f t="shared" si="125"/>
        <v>7.0000000000000007E-2</v>
      </c>
      <c r="O218" s="258">
        <f>0.07/2.76</f>
        <v>2.5362318840579715E-2</v>
      </c>
      <c r="P218" s="258">
        <f t="shared" si="126"/>
        <v>2.5362318840579715E-2</v>
      </c>
      <c r="Q218" s="249"/>
      <c r="R218" s="249">
        <v>2.76</v>
      </c>
      <c r="S218" s="258">
        <v>0.2</v>
      </c>
      <c r="T218" s="169">
        <f t="shared" si="127"/>
        <v>0</v>
      </c>
      <c r="U218" s="315">
        <f t="shared" si="128"/>
        <v>3.3119999999999998</v>
      </c>
      <c r="V218" s="315">
        <f t="shared" si="132"/>
        <v>3.35</v>
      </c>
      <c r="W218" s="316">
        <f t="shared" si="130"/>
        <v>0</v>
      </c>
    </row>
    <row r="219" spans="1:23" x14ac:dyDescent="0.25">
      <c r="A219" s="200">
        <v>711504</v>
      </c>
      <c r="B219" s="313" t="s">
        <v>20156</v>
      </c>
      <c r="C219" s="248"/>
      <c r="D219" s="247" t="s">
        <v>11</v>
      </c>
      <c r="E219" s="249">
        <f t="shared" si="119"/>
        <v>157.5</v>
      </c>
      <c r="F219" s="258">
        <v>0.35</v>
      </c>
      <c r="G219" s="258">
        <f t="shared" si="120"/>
        <v>0.35</v>
      </c>
      <c r="H219" s="249">
        <f t="shared" si="121"/>
        <v>202.5</v>
      </c>
      <c r="I219" s="258">
        <v>0.45</v>
      </c>
      <c r="J219" s="258">
        <f t="shared" si="122"/>
        <v>0.45</v>
      </c>
      <c r="K219" s="249">
        <f t="shared" si="123"/>
        <v>67.5</v>
      </c>
      <c r="L219" s="258">
        <v>0.15</v>
      </c>
      <c r="M219" s="258">
        <f t="shared" si="124"/>
        <v>0.15</v>
      </c>
      <c r="N219" s="251">
        <f t="shared" si="125"/>
        <v>22.5</v>
      </c>
      <c r="O219" s="258">
        <v>0.05</v>
      </c>
      <c r="P219" s="258">
        <f t="shared" si="126"/>
        <v>0.05</v>
      </c>
      <c r="Q219" s="249"/>
      <c r="R219" s="249">
        <v>450</v>
      </c>
      <c r="S219" s="258">
        <v>0.2</v>
      </c>
      <c r="T219" s="169">
        <f t="shared" si="127"/>
        <v>0</v>
      </c>
      <c r="U219" s="315">
        <f t="shared" si="128"/>
        <v>540</v>
      </c>
      <c r="V219" s="315">
        <f t="shared" si="132"/>
        <v>540</v>
      </c>
      <c r="W219" s="316">
        <f t="shared" si="130"/>
        <v>0</v>
      </c>
    </row>
    <row r="220" spans="1:23" x14ac:dyDescent="0.25">
      <c r="A220" s="200">
        <v>711505</v>
      </c>
      <c r="B220" s="313" t="s">
        <v>20157</v>
      </c>
      <c r="C220" s="248"/>
      <c r="D220" s="247" t="s">
        <v>11</v>
      </c>
      <c r="E220" s="249">
        <f t="shared" si="119"/>
        <v>247.5</v>
      </c>
      <c r="F220" s="258">
        <v>0.45</v>
      </c>
      <c r="G220" s="258">
        <f t="shared" si="120"/>
        <v>0.45</v>
      </c>
      <c r="H220" s="249">
        <f t="shared" si="121"/>
        <v>220</v>
      </c>
      <c r="I220" s="258">
        <v>0.4</v>
      </c>
      <c r="J220" s="258">
        <f t="shared" si="122"/>
        <v>0.4</v>
      </c>
      <c r="K220" s="249">
        <f t="shared" si="123"/>
        <v>55</v>
      </c>
      <c r="L220" s="258">
        <v>0.1</v>
      </c>
      <c r="M220" s="258">
        <f t="shared" si="124"/>
        <v>0.1</v>
      </c>
      <c r="N220" s="251">
        <f t="shared" si="125"/>
        <v>27.5</v>
      </c>
      <c r="O220" s="258">
        <v>0.05</v>
      </c>
      <c r="P220" s="258">
        <f t="shared" si="126"/>
        <v>0.05</v>
      </c>
      <c r="Q220" s="249"/>
      <c r="R220" s="249">
        <v>550</v>
      </c>
      <c r="S220" s="258">
        <v>0.2</v>
      </c>
      <c r="T220" s="169">
        <f t="shared" si="127"/>
        <v>0</v>
      </c>
      <c r="U220" s="315">
        <f t="shared" si="128"/>
        <v>660</v>
      </c>
      <c r="V220" s="315">
        <f t="shared" si="132"/>
        <v>660</v>
      </c>
      <c r="W220" s="316">
        <f t="shared" si="130"/>
        <v>0</v>
      </c>
    </row>
    <row r="221" spans="1:23" x14ac:dyDescent="0.25">
      <c r="A221" s="200">
        <v>711514</v>
      </c>
      <c r="B221" s="313" t="s">
        <v>16181</v>
      </c>
      <c r="C221" s="248"/>
      <c r="D221" s="247" t="s">
        <v>11</v>
      </c>
      <c r="E221" s="249">
        <f t="shared" si="119"/>
        <v>500</v>
      </c>
      <c r="F221" s="258">
        <v>0.4</v>
      </c>
      <c r="G221" s="258">
        <f t="shared" si="120"/>
        <v>0.4</v>
      </c>
      <c r="H221" s="249">
        <f t="shared" si="121"/>
        <v>500</v>
      </c>
      <c r="I221" s="258">
        <v>0.4</v>
      </c>
      <c r="J221" s="258">
        <f t="shared" si="122"/>
        <v>0.4</v>
      </c>
      <c r="K221" s="249">
        <f t="shared" si="123"/>
        <v>187.5</v>
      </c>
      <c r="L221" s="258">
        <v>0.15</v>
      </c>
      <c r="M221" s="258">
        <f t="shared" si="124"/>
        <v>0.15</v>
      </c>
      <c r="N221" s="251">
        <f t="shared" si="125"/>
        <v>62.5</v>
      </c>
      <c r="O221" s="258">
        <v>0.05</v>
      </c>
      <c r="P221" s="258">
        <f t="shared" si="126"/>
        <v>0.05</v>
      </c>
      <c r="Q221" s="249"/>
      <c r="R221" s="249">
        <v>1250</v>
      </c>
      <c r="S221" s="258">
        <v>0.2</v>
      </c>
      <c r="T221" s="169">
        <f t="shared" si="127"/>
        <v>0</v>
      </c>
      <c r="U221" s="315">
        <f t="shared" si="128"/>
        <v>1500</v>
      </c>
      <c r="V221" s="315">
        <f t="shared" si="132"/>
        <v>1500</v>
      </c>
      <c r="W221" s="316">
        <f t="shared" si="130"/>
        <v>0</v>
      </c>
    </row>
    <row r="222" spans="1:23" x14ac:dyDescent="0.25">
      <c r="A222" s="200">
        <v>711600</v>
      </c>
      <c r="B222" s="313" t="s">
        <v>16182</v>
      </c>
      <c r="C222" s="248"/>
      <c r="D222" s="247" t="s">
        <v>11</v>
      </c>
      <c r="E222" s="249">
        <f t="shared" si="119"/>
        <v>12.497999999999999</v>
      </c>
      <c r="F222" s="258">
        <v>0.6</v>
      </c>
      <c r="G222" s="258">
        <f t="shared" si="120"/>
        <v>0.6</v>
      </c>
      <c r="H222" s="249">
        <f t="shared" si="121"/>
        <v>5.2074999999999996</v>
      </c>
      <c r="I222" s="258">
        <v>0.25</v>
      </c>
      <c r="J222" s="258">
        <f t="shared" si="122"/>
        <v>0.25</v>
      </c>
      <c r="K222" s="249">
        <f t="shared" si="123"/>
        <v>2.0829999999999997</v>
      </c>
      <c r="L222" s="258">
        <v>0.1</v>
      </c>
      <c r="M222" s="258">
        <f t="shared" si="124"/>
        <v>0.1</v>
      </c>
      <c r="N222" s="251">
        <f t="shared" si="125"/>
        <v>1.0414999999999999</v>
      </c>
      <c r="O222" s="258">
        <v>0.05</v>
      </c>
      <c r="P222" s="258">
        <f t="shared" si="126"/>
        <v>0.05</v>
      </c>
      <c r="Q222" s="249"/>
      <c r="R222" s="249">
        <v>20.83</v>
      </c>
      <c r="S222" s="258">
        <v>0.2</v>
      </c>
      <c r="T222" s="169">
        <f t="shared" si="127"/>
        <v>0</v>
      </c>
      <c r="U222" s="315">
        <f t="shared" si="128"/>
        <v>24.995999999999999</v>
      </c>
      <c r="V222" s="315">
        <f t="shared" si="132"/>
        <v>25</v>
      </c>
      <c r="W222" s="316">
        <f t="shared" si="130"/>
        <v>0</v>
      </c>
    </row>
    <row r="223" spans="1:23" x14ac:dyDescent="0.25">
      <c r="A223" s="199" t="s">
        <v>14693</v>
      </c>
      <c r="B223" s="307" t="s">
        <v>14694</v>
      </c>
      <c r="C223" s="308"/>
      <c r="D223" s="309"/>
      <c r="E223" s="310"/>
      <c r="F223" s="311"/>
      <c r="G223" s="311"/>
      <c r="H223" s="310"/>
      <c r="I223" s="311"/>
      <c r="J223" s="311"/>
      <c r="K223" s="310"/>
      <c r="L223" s="311"/>
      <c r="M223" s="311"/>
      <c r="N223" s="310"/>
      <c r="O223" s="311"/>
      <c r="P223" s="311"/>
      <c r="Q223" s="310"/>
      <c r="R223" s="310"/>
      <c r="S223" s="309"/>
      <c r="T223" s="309"/>
      <c r="U223" s="309"/>
      <c r="V223" s="309"/>
      <c r="W223" s="312"/>
    </row>
    <row r="224" spans="1:23" ht="21" x14ac:dyDescent="0.25">
      <c r="A224" s="200">
        <v>712006</v>
      </c>
      <c r="B224" s="329" t="s">
        <v>20158</v>
      </c>
      <c r="C224" s="248"/>
      <c r="D224" s="247" t="s">
        <v>11</v>
      </c>
      <c r="E224" s="249">
        <f t="shared" ref="E224:E241" si="133">R224*G224</f>
        <v>592.81753999999989</v>
      </c>
      <c r="F224" s="258">
        <v>0.23799999999999999</v>
      </c>
      <c r="G224" s="258">
        <f t="shared" ref="G224:G241" si="134">F224</f>
        <v>0.23799999999999999</v>
      </c>
      <c r="H224" s="249">
        <f t="shared" ref="H224:H241" si="135">R224*J224</f>
        <v>1624.0211599999998</v>
      </c>
      <c r="I224" s="258">
        <v>0.65200000000000002</v>
      </c>
      <c r="J224" s="258">
        <f t="shared" ref="J224:J241" si="136">I224</f>
        <v>0.65200000000000002</v>
      </c>
      <c r="K224" s="249">
        <f t="shared" ref="K224:K241" si="137">R224*M224</f>
        <v>224.17469999999994</v>
      </c>
      <c r="L224" s="258">
        <v>0.09</v>
      </c>
      <c r="M224" s="258">
        <f t="shared" ref="M224:M241" si="138">L224</f>
        <v>0.09</v>
      </c>
      <c r="N224" s="251">
        <f t="shared" ref="N224:N241" si="139">P224*R224</f>
        <v>49.816599999999994</v>
      </c>
      <c r="O224" s="258">
        <v>0.02</v>
      </c>
      <c r="P224" s="258">
        <f t="shared" ref="P224:P241" si="140">O224</f>
        <v>0.02</v>
      </c>
      <c r="Q224" s="249"/>
      <c r="R224" s="249">
        <v>2490.8299999999995</v>
      </c>
      <c r="S224" s="258">
        <v>0.2</v>
      </c>
      <c r="T224" s="169">
        <f t="shared" ref="T224:T241" si="141">Q224+Q224*S224</f>
        <v>0</v>
      </c>
      <c r="U224" s="315">
        <f t="shared" ref="U224:U241" si="142">(R224*S224)+R224</f>
        <v>2988.9959999999992</v>
      </c>
      <c r="V224" s="315">
        <f>IF(U224=0, 0, IF(U224&lt;10, _xlfn.CEILING.MATH(U224,0.05), IF(U224&lt;100, _xlfn.CEILING.MATH(U224,1),IF(U224&lt;1000, _xlfn.CEILING.MATH(U224,5), IF(U224&lt;10000, _xlfn.CEILING.MATH(U224, 10), IF(U224&lt;100000, _xlfn.CEILING.MATH(U224,250), IF(U224&lt;1000000, _xlfn.CEILING.MATH(U224,500), 0)))))))</f>
        <v>2990</v>
      </c>
      <c r="W224" s="316">
        <f t="shared" ref="W224:W241" si="143">C224*V224</f>
        <v>0</v>
      </c>
    </row>
    <row r="225" spans="1:23" ht="21" x14ac:dyDescent="0.25">
      <c r="A225" s="200">
        <v>712006</v>
      </c>
      <c r="B225" s="329" t="s">
        <v>20159</v>
      </c>
      <c r="C225" s="248"/>
      <c r="D225" s="247" t="s">
        <v>11</v>
      </c>
      <c r="E225" s="249">
        <f t="shared" si="133"/>
        <v>472.59849924000008</v>
      </c>
      <c r="F225" s="258">
        <v>0.20399999999999999</v>
      </c>
      <c r="G225" s="258">
        <f t="shared" si="134"/>
        <v>0.20399999999999999</v>
      </c>
      <c r="H225" s="249">
        <f t="shared" si="135"/>
        <v>1623.9781763100002</v>
      </c>
      <c r="I225" s="258">
        <v>0.70099999999999996</v>
      </c>
      <c r="J225" s="258">
        <f t="shared" si="136"/>
        <v>0.70099999999999996</v>
      </c>
      <c r="K225" s="249">
        <f t="shared" si="137"/>
        <v>180.69942618000005</v>
      </c>
      <c r="L225" s="258">
        <v>7.8E-2</v>
      </c>
      <c r="M225" s="258">
        <f t="shared" si="138"/>
        <v>7.8E-2</v>
      </c>
      <c r="N225" s="251">
        <f t="shared" si="139"/>
        <v>39.383208270000011</v>
      </c>
      <c r="O225" s="258">
        <v>1.7000000000000001E-2</v>
      </c>
      <c r="P225" s="258">
        <f t="shared" si="140"/>
        <v>1.7000000000000001E-2</v>
      </c>
      <c r="Q225" s="249"/>
      <c r="R225" s="249">
        <v>2316.6593100000005</v>
      </c>
      <c r="S225" s="258">
        <v>0.2</v>
      </c>
      <c r="T225" s="169">
        <f t="shared" si="141"/>
        <v>0</v>
      </c>
      <c r="U225" s="315">
        <f t="shared" si="142"/>
        <v>2779.9911720000005</v>
      </c>
      <c r="V225" s="315">
        <f>IF(U225=0, 0, IF(U225&lt;10, _xlfn.CEILING.MATH(U225,0.05), IF(U225&lt;100, _xlfn.CEILING.MATH(U225,1),IF(U225&lt;1000, _xlfn.CEILING.MATH(U225,5), IF(U225&lt;10000, _xlfn.CEILING.MATH(U225, 10), IF(U225&lt;100000, _xlfn.CEILING.MATH(U225,250), IF(U225&lt;1000000, _xlfn.CEILING.MATH(U225,500), 0)))))))</f>
        <v>2780</v>
      </c>
      <c r="W225" s="316">
        <f t="shared" si="143"/>
        <v>0</v>
      </c>
    </row>
    <row r="226" spans="1:23" ht="21" x14ac:dyDescent="0.25">
      <c r="A226" s="200">
        <v>712008</v>
      </c>
      <c r="B226" s="329" t="s">
        <v>20160</v>
      </c>
      <c r="C226" s="248"/>
      <c r="D226" s="247" t="s">
        <v>11</v>
      </c>
      <c r="E226" s="249">
        <f t="shared" si="133"/>
        <v>1008.3114171000001</v>
      </c>
      <c r="F226" s="258">
        <v>0.255</v>
      </c>
      <c r="G226" s="258">
        <f t="shared" si="134"/>
        <v>0.255</v>
      </c>
      <c r="H226" s="249">
        <f t="shared" si="135"/>
        <v>2435.7640507199999</v>
      </c>
      <c r="I226" s="258">
        <v>0.61599999999999999</v>
      </c>
      <c r="J226" s="258">
        <f t="shared" si="136"/>
        <v>0.61599999999999999</v>
      </c>
      <c r="K226" s="249">
        <f t="shared" si="137"/>
        <v>434.95786620000001</v>
      </c>
      <c r="L226" s="258">
        <v>0.11</v>
      </c>
      <c r="M226" s="258">
        <f t="shared" si="138"/>
        <v>0.11</v>
      </c>
      <c r="N226" s="251">
        <f t="shared" si="139"/>
        <v>75.129085979999999</v>
      </c>
      <c r="O226" s="258">
        <v>1.9E-2</v>
      </c>
      <c r="P226" s="258">
        <f t="shared" si="140"/>
        <v>1.9E-2</v>
      </c>
      <c r="Q226" s="249"/>
      <c r="R226" s="249">
        <v>3954.1624200000001</v>
      </c>
      <c r="S226" s="258">
        <v>0.2</v>
      </c>
      <c r="T226" s="169">
        <f t="shared" si="141"/>
        <v>0</v>
      </c>
      <c r="U226" s="315">
        <f t="shared" si="142"/>
        <v>4744.9949040000001</v>
      </c>
      <c r="V226" s="315">
        <f>IF(U226=0, 0, IF(U226&lt;10, _xlfn.CEILING.MATH(U226,0.05), IF(U226&lt;100, _xlfn.CEILING.MATH(U226,1),IF(U226&lt;1000, _xlfn.CEILING.MATH(U226,5), IF(U226&lt;10000, _xlfn.CEILING.MATH(U226, 5), IF(U226&lt;100000, _xlfn.CEILING.MATH(U226,250), IF(U226&lt;1000000, _xlfn.CEILING.MATH(U226,500), 0)))))))</f>
        <v>4745</v>
      </c>
      <c r="W226" s="316">
        <f t="shared" si="143"/>
        <v>0</v>
      </c>
    </row>
    <row r="227" spans="1:23" ht="21" x14ac:dyDescent="0.25">
      <c r="A227" s="200">
        <v>712008</v>
      </c>
      <c r="B227" s="329" t="s">
        <v>20161</v>
      </c>
      <c r="C227" s="248"/>
      <c r="D227" s="247" t="s">
        <v>11</v>
      </c>
      <c r="E227" s="249">
        <f t="shared" si="133"/>
        <v>806.64913368000009</v>
      </c>
      <c r="F227" s="258">
        <v>0.221</v>
      </c>
      <c r="G227" s="258">
        <f t="shared" si="134"/>
        <v>0.221</v>
      </c>
      <c r="H227" s="249">
        <f t="shared" si="135"/>
        <v>2438.1973814400003</v>
      </c>
      <c r="I227" s="258">
        <v>0.66800000000000004</v>
      </c>
      <c r="J227" s="258">
        <f t="shared" si="136"/>
        <v>0.66800000000000004</v>
      </c>
      <c r="K227" s="249">
        <f t="shared" si="137"/>
        <v>346.74962760000005</v>
      </c>
      <c r="L227" s="258">
        <v>9.5000000000000001E-2</v>
      </c>
      <c r="M227" s="258">
        <f t="shared" si="138"/>
        <v>9.5000000000000001E-2</v>
      </c>
      <c r="N227" s="251">
        <f t="shared" si="139"/>
        <v>58.39993728000001</v>
      </c>
      <c r="O227" s="258">
        <v>1.6E-2</v>
      </c>
      <c r="P227" s="258">
        <f t="shared" si="140"/>
        <v>1.6E-2</v>
      </c>
      <c r="Q227" s="249"/>
      <c r="R227" s="249">
        <v>3649.9960800000003</v>
      </c>
      <c r="S227" s="258">
        <v>0.2</v>
      </c>
      <c r="T227" s="169">
        <f t="shared" si="141"/>
        <v>0</v>
      </c>
      <c r="U227" s="315">
        <f t="shared" si="142"/>
        <v>4379.995296000001</v>
      </c>
      <c r="V227" s="315">
        <f>IF(U227=0, 0, IF(U227&lt;10, _xlfn.CEILING.MATH(U227,0.05), IF(U227&lt;100, _xlfn.CEILING.MATH(U227,1),IF(U227&lt;1000, _xlfn.CEILING.MATH(U227,5), IF(U227&lt;10000, _xlfn.CEILING.MATH(U227, 10), IF(U227&lt;100000, _xlfn.CEILING.MATH(U227,250), IF(U227&lt;1000000, _xlfn.CEILING.MATH(U227,500), 0)))))))</f>
        <v>4380</v>
      </c>
      <c r="W227" s="316">
        <f t="shared" si="143"/>
        <v>0</v>
      </c>
    </row>
    <row r="228" spans="1:23" ht="21" x14ac:dyDescent="0.25">
      <c r="A228" s="200">
        <v>712010</v>
      </c>
      <c r="B228" s="329" t="s">
        <v>20162</v>
      </c>
      <c r="C228" s="248"/>
      <c r="D228" s="247" t="s">
        <v>11</v>
      </c>
      <c r="E228" s="249">
        <f t="shared" si="133"/>
        <v>1561.9985171999999</v>
      </c>
      <c r="F228" s="258">
        <v>0.26400000000000001</v>
      </c>
      <c r="G228" s="258">
        <f t="shared" si="134"/>
        <v>0.26400000000000001</v>
      </c>
      <c r="H228" s="249">
        <f t="shared" si="135"/>
        <v>3709.74647835</v>
      </c>
      <c r="I228" s="258">
        <v>0.627</v>
      </c>
      <c r="J228" s="258">
        <f t="shared" si="136"/>
        <v>0.627</v>
      </c>
      <c r="K228" s="249">
        <f t="shared" si="137"/>
        <v>556.16613869999992</v>
      </c>
      <c r="L228" s="258">
        <v>9.4E-2</v>
      </c>
      <c r="M228" s="258">
        <f t="shared" si="138"/>
        <v>9.4E-2</v>
      </c>
      <c r="N228" s="251">
        <f t="shared" si="139"/>
        <v>88.749915749999985</v>
      </c>
      <c r="O228" s="258">
        <v>1.4999999999999999E-2</v>
      </c>
      <c r="P228" s="258">
        <f t="shared" si="140"/>
        <v>1.4999999999999999E-2</v>
      </c>
      <c r="Q228" s="249"/>
      <c r="R228" s="249">
        <v>5916.6610499999997</v>
      </c>
      <c r="S228" s="258">
        <v>0.2</v>
      </c>
      <c r="T228" s="169">
        <f t="shared" si="141"/>
        <v>0</v>
      </c>
      <c r="U228" s="315">
        <f t="shared" si="142"/>
        <v>7099.9932599999993</v>
      </c>
      <c r="V228" s="315">
        <f>IF(U228=0, 0, IF(U228&lt;10, _xlfn.CEILING.MATH(U228,0.05), IF(U228&lt;100, _xlfn.CEILING.MATH(U228,1),IF(U228&lt;1000, _xlfn.CEILING.MATH(U228,5), IF(U228&lt;10000, _xlfn.CEILING.MATH(U228, 25), IF(U228&lt;100000, _xlfn.CEILING.MATH(U228,250), IF(U228&lt;1000000, _xlfn.CEILING.MATH(U228,500), 0)))))))</f>
        <v>7100</v>
      </c>
      <c r="W228" s="316">
        <f t="shared" si="143"/>
        <v>0</v>
      </c>
    </row>
    <row r="229" spans="1:23" ht="21" x14ac:dyDescent="0.25">
      <c r="A229" s="200">
        <v>712010</v>
      </c>
      <c r="B229" s="329" t="s">
        <v>20163</v>
      </c>
      <c r="C229" s="248"/>
      <c r="D229" s="247" t="s">
        <v>11</v>
      </c>
      <c r="E229" s="249">
        <f t="shared" si="133"/>
        <v>1249.24942848</v>
      </c>
      <c r="F229" s="258">
        <v>0.22800000000000001</v>
      </c>
      <c r="G229" s="258">
        <f t="shared" si="134"/>
        <v>0.22800000000000001</v>
      </c>
      <c r="H229" s="249">
        <f t="shared" si="135"/>
        <v>3709.3941363200006</v>
      </c>
      <c r="I229" s="258">
        <v>0.67700000000000005</v>
      </c>
      <c r="J229" s="258">
        <f t="shared" si="136"/>
        <v>0.67700000000000005</v>
      </c>
      <c r="K229" s="249">
        <f t="shared" si="137"/>
        <v>443.81229696000003</v>
      </c>
      <c r="L229" s="258">
        <v>8.1000000000000003E-2</v>
      </c>
      <c r="M229" s="258">
        <f t="shared" si="138"/>
        <v>8.1000000000000003E-2</v>
      </c>
      <c r="N229" s="251">
        <f t="shared" si="139"/>
        <v>71.229134079999994</v>
      </c>
      <c r="O229" s="258">
        <v>1.2999999999999999E-2</v>
      </c>
      <c r="P229" s="258">
        <f t="shared" si="140"/>
        <v>1.2999999999999999E-2</v>
      </c>
      <c r="Q229" s="249"/>
      <c r="R229" s="249">
        <v>5479.1641600000003</v>
      </c>
      <c r="S229" s="258">
        <v>0.2</v>
      </c>
      <c r="T229" s="169">
        <f t="shared" si="141"/>
        <v>0</v>
      </c>
      <c r="U229" s="315">
        <f t="shared" si="142"/>
        <v>6574.9969920000003</v>
      </c>
      <c r="V229" s="315">
        <f>IF(U229=0, 0, IF(U229&lt;10, _xlfn.CEILING.MATH(U229,0.05), IF(U229&lt;100, _xlfn.CEILING.MATH(U229,1),IF(U229&lt;1000, _xlfn.CEILING.MATH(U229,5), IF(U229&lt;10000, _xlfn.CEILING.MATH(U229, 25), IF(U229&lt;100000, _xlfn.CEILING.MATH(U229,250), IF(U229&lt;1000000, _xlfn.CEILING.MATH(U229,500), 0)))))))</f>
        <v>6575</v>
      </c>
      <c r="W229" s="316">
        <f t="shared" si="143"/>
        <v>0</v>
      </c>
    </row>
    <row r="230" spans="1:23" ht="21" x14ac:dyDescent="0.25">
      <c r="A230" s="200">
        <v>712012</v>
      </c>
      <c r="B230" s="329" t="s">
        <v>20164</v>
      </c>
      <c r="C230" s="248"/>
      <c r="D230" s="247" t="s">
        <v>11</v>
      </c>
      <c r="E230" s="249">
        <f t="shared" si="133"/>
        <v>2034.8728145999996</v>
      </c>
      <c r="F230" s="258">
        <v>0.223</v>
      </c>
      <c r="G230" s="258">
        <f t="shared" si="134"/>
        <v>0.223</v>
      </c>
      <c r="H230" s="249">
        <f t="shared" si="135"/>
        <v>6186.7433555999996</v>
      </c>
      <c r="I230" s="258">
        <v>0.67800000000000005</v>
      </c>
      <c r="J230" s="258">
        <f t="shared" si="136"/>
        <v>0.67800000000000005</v>
      </c>
      <c r="K230" s="249">
        <f t="shared" si="137"/>
        <v>775.62416699999994</v>
      </c>
      <c r="L230" s="258">
        <v>8.5000000000000006E-2</v>
      </c>
      <c r="M230" s="258">
        <f t="shared" si="138"/>
        <v>8.5000000000000006E-2</v>
      </c>
      <c r="N230" s="251">
        <f t="shared" si="139"/>
        <v>127.74986279999997</v>
      </c>
      <c r="O230" s="258">
        <v>1.4E-2</v>
      </c>
      <c r="P230" s="258">
        <f t="shared" si="140"/>
        <v>1.4E-2</v>
      </c>
      <c r="Q230" s="249"/>
      <c r="R230" s="249">
        <v>9124.9901999999984</v>
      </c>
      <c r="S230" s="258">
        <v>0.2</v>
      </c>
      <c r="T230" s="169">
        <f t="shared" si="141"/>
        <v>0</v>
      </c>
      <c r="U230" s="315">
        <f t="shared" si="142"/>
        <v>10949.988239999999</v>
      </c>
      <c r="V230" s="315">
        <f>IF(U230=0, 0, IF(U230&lt;10, _xlfn.CEILING.MATH(U230,0.05), IF(U230&lt;100, _xlfn.CEILING.MATH(U230,1),IF(U230&lt;1000, _xlfn.CEILING.MATH(U230,5), IF(U230&lt;10000, _xlfn.CEILING.MATH(U230, 25), IF(U230&lt;100000, _xlfn.CEILING.MATH(U230,50), IF(U230&lt;1000000, _xlfn.CEILING.MATH(U230,500), 0)))))))</f>
        <v>10950</v>
      </c>
      <c r="W230" s="316">
        <f t="shared" si="143"/>
        <v>0</v>
      </c>
    </row>
    <row r="231" spans="1:23" ht="21" x14ac:dyDescent="0.25">
      <c r="A231" s="200">
        <v>712012</v>
      </c>
      <c r="B231" s="329" t="s">
        <v>20165</v>
      </c>
      <c r="C231" s="248"/>
      <c r="D231" s="247" t="s">
        <v>11</v>
      </c>
      <c r="E231" s="249">
        <f t="shared" si="133"/>
        <v>1631.4581028599996</v>
      </c>
      <c r="F231" s="258">
        <v>0.191</v>
      </c>
      <c r="G231" s="258">
        <f t="shared" si="134"/>
        <v>0.191</v>
      </c>
      <c r="H231" s="249">
        <f t="shared" si="135"/>
        <v>6184.1657930399988</v>
      </c>
      <c r="I231" s="258">
        <v>0.72399999999999998</v>
      </c>
      <c r="J231" s="258">
        <f t="shared" si="136"/>
        <v>0.72399999999999998</v>
      </c>
      <c r="K231" s="249">
        <f t="shared" si="137"/>
        <v>623.54157857999985</v>
      </c>
      <c r="L231" s="258">
        <v>7.2999999999999995E-2</v>
      </c>
      <c r="M231" s="258">
        <f t="shared" si="138"/>
        <v>7.2999999999999995E-2</v>
      </c>
      <c r="N231" s="251">
        <f t="shared" si="139"/>
        <v>102.49998551999998</v>
      </c>
      <c r="O231" s="258">
        <v>1.2E-2</v>
      </c>
      <c r="P231" s="258">
        <f t="shared" si="140"/>
        <v>1.2E-2</v>
      </c>
      <c r="Q231" s="249"/>
      <c r="R231" s="249">
        <v>8541.6654599999983</v>
      </c>
      <c r="S231" s="258">
        <v>0.2</v>
      </c>
      <c r="T231" s="169">
        <f t="shared" si="141"/>
        <v>0</v>
      </c>
      <c r="U231" s="315">
        <f t="shared" si="142"/>
        <v>10249.998551999997</v>
      </c>
      <c r="V231" s="315">
        <f>IF(U231=0, 0, IF(U231&lt;10, _xlfn.CEILING.MATH(U231,0.05), IF(U231&lt;100, _xlfn.CEILING.MATH(U231,1),IF(U231&lt;1000, _xlfn.CEILING.MATH(U231,5), IF(U231&lt;10000, _xlfn.CEILING.MATH(U231, 25), IF(U231&lt;100000, _xlfn.CEILING.MATH(U231,250), IF(U231&lt;1000000, _xlfn.CEILING.MATH(U231,500), 0)))))))</f>
        <v>10250</v>
      </c>
      <c r="W231" s="316">
        <f t="shared" si="143"/>
        <v>0</v>
      </c>
    </row>
    <row r="232" spans="1:23" ht="21" x14ac:dyDescent="0.25">
      <c r="A232" s="200">
        <v>712016</v>
      </c>
      <c r="B232" s="329" t="s">
        <v>20166</v>
      </c>
      <c r="C232" s="248"/>
      <c r="D232" s="247" t="s">
        <v>11</v>
      </c>
      <c r="E232" s="249">
        <f t="shared" si="133"/>
        <v>4249.5986841599997</v>
      </c>
      <c r="F232" s="258">
        <v>0.25600000000000001</v>
      </c>
      <c r="G232" s="258">
        <f t="shared" si="134"/>
        <v>0.25600000000000001</v>
      </c>
      <c r="H232" s="249">
        <f t="shared" si="135"/>
        <v>10358.39679264</v>
      </c>
      <c r="I232" s="258">
        <v>0.624</v>
      </c>
      <c r="J232" s="258">
        <f t="shared" si="136"/>
        <v>0.624</v>
      </c>
      <c r="K232" s="249">
        <f t="shared" si="137"/>
        <v>1311.3995939399999</v>
      </c>
      <c r="L232" s="258">
        <v>7.9000000000000001E-2</v>
      </c>
      <c r="M232" s="258">
        <f t="shared" si="138"/>
        <v>7.9000000000000001E-2</v>
      </c>
      <c r="N232" s="251">
        <f t="shared" si="139"/>
        <v>680.59978925999997</v>
      </c>
      <c r="O232" s="258">
        <v>4.1000000000000002E-2</v>
      </c>
      <c r="P232" s="258">
        <f t="shared" si="140"/>
        <v>4.1000000000000002E-2</v>
      </c>
      <c r="Q232" s="249"/>
      <c r="R232" s="249">
        <v>16599.994859999999</v>
      </c>
      <c r="S232" s="258">
        <v>0.2</v>
      </c>
      <c r="T232" s="169">
        <f t="shared" si="141"/>
        <v>0</v>
      </c>
      <c r="U232" s="315">
        <f t="shared" si="142"/>
        <v>19919.993832</v>
      </c>
      <c r="V232" s="315">
        <f>IF(U232=0, 0, IF(U232&lt;10, _xlfn.CEILING.MATH(U232,0.05), IF(U232&lt;100, _xlfn.CEILING.MATH(U232,1),IF(U232&lt;1000, _xlfn.CEILING.MATH(U232,5), IF(U232&lt;10000, _xlfn.CEILING.MATH(U232, 25), IF(U232&lt;100000, _xlfn.CEILING.MATH(U232,20), IF(U232&lt;1000000, _xlfn.CEILING.MATH(U232,500), 0)))))))</f>
        <v>19920</v>
      </c>
      <c r="W232" s="316">
        <f t="shared" si="143"/>
        <v>0</v>
      </c>
    </row>
    <row r="233" spans="1:23" ht="21" x14ac:dyDescent="0.25">
      <c r="A233" s="200">
        <v>712016</v>
      </c>
      <c r="B233" s="329" t="s">
        <v>20167</v>
      </c>
      <c r="C233" s="248"/>
      <c r="D233" s="247" t="s">
        <v>11</v>
      </c>
      <c r="E233" s="249">
        <f t="shared" si="133"/>
        <v>3833.9976528000002</v>
      </c>
      <c r="F233" s="258">
        <v>0.24</v>
      </c>
      <c r="G233" s="258">
        <f t="shared" si="134"/>
        <v>0.24</v>
      </c>
      <c r="H233" s="249">
        <f t="shared" si="135"/>
        <v>10351.793662560001</v>
      </c>
      <c r="I233" s="258">
        <v>0.64800000000000002</v>
      </c>
      <c r="J233" s="258">
        <f t="shared" si="136"/>
        <v>0.64800000000000002</v>
      </c>
      <c r="K233" s="249">
        <f t="shared" si="137"/>
        <v>1182.1492762800001</v>
      </c>
      <c r="L233" s="258">
        <v>7.3999999999999996E-2</v>
      </c>
      <c r="M233" s="258">
        <f t="shared" si="138"/>
        <v>7.3999999999999996E-2</v>
      </c>
      <c r="N233" s="251">
        <f t="shared" si="139"/>
        <v>607.04962836000004</v>
      </c>
      <c r="O233" s="258">
        <v>3.7999999999999999E-2</v>
      </c>
      <c r="P233" s="258">
        <f t="shared" si="140"/>
        <v>3.7999999999999999E-2</v>
      </c>
      <c r="Q233" s="249"/>
      <c r="R233" s="249">
        <v>15974.990220000002</v>
      </c>
      <c r="S233" s="258">
        <v>0.2</v>
      </c>
      <c r="T233" s="169">
        <f t="shared" si="141"/>
        <v>0</v>
      </c>
      <c r="U233" s="315">
        <f t="shared" si="142"/>
        <v>19169.988264000003</v>
      </c>
      <c r="V233" s="315">
        <f>IF(U233=0, 0, IF(U233&lt;10, _xlfn.CEILING.MATH(U233,0.05), IF(U233&lt;100, _xlfn.CEILING.MATH(U233,1),IF(U233&lt;1000, _xlfn.CEILING.MATH(U233,5), IF(U233&lt;10000, _xlfn.CEILING.MATH(U233, 25), IF(U233&lt;100000, _xlfn.CEILING.MATH(U233,10), IF(U233&lt;1000000, _xlfn.CEILING.MATH(U233,500), 0)))))))</f>
        <v>19170</v>
      </c>
      <c r="W233" s="316">
        <f t="shared" si="143"/>
        <v>0</v>
      </c>
    </row>
    <row r="234" spans="1:23" ht="21" x14ac:dyDescent="0.25">
      <c r="A234" s="200">
        <v>712020</v>
      </c>
      <c r="B234" s="329" t="s">
        <v>20168</v>
      </c>
      <c r="C234" s="248"/>
      <c r="D234" s="247" t="s">
        <v>11</v>
      </c>
      <c r="E234" s="249">
        <f t="shared" si="133"/>
        <v>5831.1497244000002</v>
      </c>
      <c r="F234" s="258">
        <v>0.156</v>
      </c>
      <c r="G234" s="258">
        <f t="shared" si="134"/>
        <v>0.156</v>
      </c>
      <c r="H234" s="249">
        <f t="shared" si="135"/>
        <v>29155.748622000003</v>
      </c>
      <c r="I234" s="258">
        <v>0.78</v>
      </c>
      <c r="J234" s="258">
        <f t="shared" si="136"/>
        <v>0.78</v>
      </c>
      <c r="K234" s="249">
        <f t="shared" si="137"/>
        <v>1644.6832556000002</v>
      </c>
      <c r="L234" s="258">
        <v>4.3999999999999997E-2</v>
      </c>
      <c r="M234" s="258">
        <f t="shared" si="138"/>
        <v>4.3999999999999997E-2</v>
      </c>
      <c r="N234" s="251">
        <f t="shared" si="139"/>
        <v>784.96246290000011</v>
      </c>
      <c r="O234" s="258">
        <v>2.1000000000000001E-2</v>
      </c>
      <c r="P234" s="258">
        <f t="shared" si="140"/>
        <v>2.1000000000000001E-2</v>
      </c>
      <c r="Q234" s="249"/>
      <c r="R234" s="249">
        <v>37379.164900000003</v>
      </c>
      <c r="S234" s="258">
        <v>0.2</v>
      </c>
      <c r="T234" s="169">
        <f t="shared" si="141"/>
        <v>0</v>
      </c>
      <c r="U234" s="315">
        <f t="shared" si="142"/>
        <v>44854.997880000003</v>
      </c>
      <c r="V234" s="315">
        <f>IF(U234=0, 0, IF(U234&lt;10, _xlfn.CEILING.MATH(U234,0.05), IF(U234&lt;100, _xlfn.CEILING.MATH(U234,1),IF(U234&lt;1000, _xlfn.CEILING.MATH(U234,5), IF(U234&lt;10000, _xlfn.CEILING.MATH(U234, 25), IF(U234&lt;100000, _xlfn.CEILING.MATH(U234,5), IF(U234&lt;1000000, _xlfn.CEILING.MATH(U234,500), 0)))))))</f>
        <v>44855</v>
      </c>
      <c r="W234" s="316">
        <f t="shared" si="143"/>
        <v>0</v>
      </c>
    </row>
    <row r="235" spans="1:23" ht="21" x14ac:dyDescent="0.25">
      <c r="A235" s="200">
        <v>712020</v>
      </c>
      <c r="B235" s="329" t="s">
        <v>20169</v>
      </c>
      <c r="C235" s="248"/>
      <c r="D235" s="247" t="s">
        <v>11</v>
      </c>
      <c r="E235" s="249">
        <f t="shared" si="133"/>
        <v>5227.2452403599991</v>
      </c>
      <c r="F235" s="258">
        <v>0.14299999999999999</v>
      </c>
      <c r="G235" s="258">
        <f t="shared" si="134"/>
        <v>0.14299999999999999</v>
      </c>
      <c r="H235" s="249">
        <f t="shared" si="135"/>
        <v>29133.667528440001</v>
      </c>
      <c r="I235" s="258">
        <v>0.79700000000000004</v>
      </c>
      <c r="J235" s="258">
        <f t="shared" si="136"/>
        <v>0.79700000000000004</v>
      </c>
      <c r="K235" s="249">
        <f t="shared" si="137"/>
        <v>1462.1665008</v>
      </c>
      <c r="L235" s="258">
        <v>0.04</v>
      </c>
      <c r="M235" s="258">
        <f t="shared" si="138"/>
        <v>0.04</v>
      </c>
      <c r="N235" s="251">
        <f t="shared" si="139"/>
        <v>694.52908787999991</v>
      </c>
      <c r="O235" s="258">
        <v>1.9E-2</v>
      </c>
      <c r="P235" s="258">
        <f t="shared" si="140"/>
        <v>1.9E-2</v>
      </c>
      <c r="Q235" s="249"/>
      <c r="R235" s="249">
        <v>36554.162519999998</v>
      </c>
      <c r="S235" s="258">
        <v>0.2</v>
      </c>
      <c r="T235" s="169">
        <f t="shared" si="141"/>
        <v>0</v>
      </c>
      <c r="U235" s="315">
        <f t="shared" si="142"/>
        <v>43864.995023999996</v>
      </c>
      <c r="V235" s="315">
        <f>IF(U235=0, 0, IF(U235&lt;10, _xlfn.CEILING.MATH(U235,0.05), IF(U235&lt;100, _xlfn.CEILING.MATH(U235,1),IF(U235&lt;1000, _xlfn.CEILING.MATH(U235,5), IF(U235&lt;10000, _xlfn.CEILING.MATH(U235, 25), IF(U235&lt;100000, _xlfn.CEILING.MATH(U235,5), IF(U235&lt;1000000, _xlfn.CEILING.MATH(U235,500), 0)))))))</f>
        <v>43865</v>
      </c>
      <c r="W235" s="316">
        <f t="shared" si="143"/>
        <v>0</v>
      </c>
    </row>
    <row r="236" spans="1:23" ht="21" x14ac:dyDescent="0.25">
      <c r="A236" s="200">
        <v>712024</v>
      </c>
      <c r="B236" s="329" t="s">
        <v>20170</v>
      </c>
      <c r="C236" s="248"/>
      <c r="D236" s="247" t="s">
        <v>11</v>
      </c>
      <c r="E236" s="249">
        <f t="shared" si="133"/>
        <v>8489.0740000000005</v>
      </c>
      <c r="F236" s="258">
        <v>0.16600000000000001</v>
      </c>
      <c r="G236" s="258">
        <f t="shared" si="134"/>
        <v>0.16600000000000001</v>
      </c>
      <c r="H236" s="249">
        <f t="shared" si="135"/>
        <v>39837.281000000003</v>
      </c>
      <c r="I236" s="258">
        <v>0.77900000000000003</v>
      </c>
      <c r="J236" s="258">
        <f t="shared" si="136"/>
        <v>0.77900000000000003</v>
      </c>
      <c r="K236" s="249">
        <f t="shared" si="137"/>
        <v>1943.2819999999999</v>
      </c>
      <c r="L236" s="258">
        <v>3.7999999999999999E-2</v>
      </c>
      <c r="M236" s="258">
        <f t="shared" si="138"/>
        <v>3.7999999999999999E-2</v>
      </c>
      <c r="N236" s="251">
        <f t="shared" si="139"/>
        <v>869.36300000000006</v>
      </c>
      <c r="O236" s="258">
        <v>1.7000000000000001E-2</v>
      </c>
      <c r="P236" s="258">
        <f t="shared" si="140"/>
        <v>1.7000000000000001E-2</v>
      </c>
      <c r="Q236" s="249"/>
      <c r="R236" s="249">
        <v>51139</v>
      </c>
      <c r="S236" s="258">
        <v>0.2</v>
      </c>
      <c r="T236" s="169">
        <f t="shared" si="141"/>
        <v>0</v>
      </c>
      <c r="U236" s="315">
        <f t="shared" si="142"/>
        <v>61366.8</v>
      </c>
      <c r="V236" s="315">
        <f>IF(U236=0, 0, IF(U236&lt;10, _xlfn.CEILING.MATH(U236,0.05), IF(U236&lt;100, _xlfn.CEILING.MATH(U236,1),IF(U236&lt;1000, _xlfn.CEILING.MATH(U236,5), IF(U236&lt;10000, _xlfn.CEILING.MATH(U236, 25), IF(U236&lt;100000, _xlfn.CEILING.MATH(U236,10), IF(U236&lt;1000000, _xlfn.CEILING.MATH(U236,500), 0)))))))</f>
        <v>61370</v>
      </c>
      <c r="W236" s="316">
        <f t="shared" si="143"/>
        <v>0</v>
      </c>
    </row>
    <row r="237" spans="1:23" ht="21" x14ac:dyDescent="0.25">
      <c r="A237" s="200">
        <v>712024</v>
      </c>
      <c r="B237" s="329" t="s">
        <v>20171</v>
      </c>
      <c r="C237" s="248"/>
      <c r="D237" s="247" t="s">
        <v>11</v>
      </c>
      <c r="E237" s="249">
        <f t="shared" si="133"/>
        <v>7650.6368655599999</v>
      </c>
      <c r="F237" s="258">
        <v>0.153</v>
      </c>
      <c r="G237" s="258">
        <f t="shared" si="134"/>
        <v>0.153</v>
      </c>
      <c r="H237" s="249">
        <f t="shared" si="135"/>
        <v>39803.313365920003</v>
      </c>
      <c r="I237" s="258">
        <v>0.79600000000000004</v>
      </c>
      <c r="J237" s="258">
        <f t="shared" si="136"/>
        <v>0.79600000000000004</v>
      </c>
      <c r="K237" s="249">
        <f t="shared" si="137"/>
        <v>1750.1456882</v>
      </c>
      <c r="L237" s="258">
        <v>3.5000000000000003E-2</v>
      </c>
      <c r="M237" s="258">
        <f t="shared" si="138"/>
        <v>3.5000000000000003E-2</v>
      </c>
      <c r="N237" s="251">
        <f t="shared" si="139"/>
        <v>750.0624378</v>
      </c>
      <c r="O237" s="258">
        <v>1.4999999999999999E-2</v>
      </c>
      <c r="P237" s="258">
        <f t="shared" si="140"/>
        <v>1.4999999999999999E-2</v>
      </c>
      <c r="Q237" s="249"/>
      <c r="R237" s="249">
        <v>50004.162519999998</v>
      </c>
      <c r="S237" s="258">
        <v>0.2</v>
      </c>
      <c r="T237" s="169">
        <f t="shared" si="141"/>
        <v>0</v>
      </c>
      <c r="U237" s="315">
        <f t="shared" si="142"/>
        <v>60004.995023999996</v>
      </c>
      <c r="V237" s="315">
        <f>IF(U237=0, 0, IF(U237&lt;10, _xlfn.CEILING.MATH(U237,0.05), IF(U237&lt;100, _xlfn.CEILING.MATH(U237,1),IF(U237&lt;1000, _xlfn.CEILING.MATH(U237,5), IF(U237&lt;10000, _xlfn.CEILING.MATH(U237, 25), IF(U237&lt;100000, _xlfn.CEILING.MATH(U237,5), IF(U237&lt;1000000, _xlfn.CEILING.MATH(U237,500), 0)))))))</f>
        <v>60005</v>
      </c>
      <c r="W237" s="316">
        <f t="shared" si="143"/>
        <v>0</v>
      </c>
    </row>
    <row r="238" spans="1:23" ht="21" x14ac:dyDescent="0.25">
      <c r="A238" s="200">
        <v>712030</v>
      </c>
      <c r="B238" s="329" t="s">
        <v>20172</v>
      </c>
      <c r="C238" s="248"/>
      <c r="D238" s="247" t="s">
        <v>11</v>
      </c>
      <c r="E238" s="249">
        <f t="shared" si="133"/>
        <v>14010.99446432</v>
      </c>
      <c r="F238" s="258">
        <v>0.193</v>
      </c>
      <c r="G238" s="258">
        <f t="shared" si="134"/>
        <v>0.193</v>
      </c>
      <c r="H238" s="249">
        <f t="shared" si="135"/>
        <v>54301.678027519993</v>
      </c>
      <c r="I238" s="258">
        <v>0.748</v>
      </c>
      <c r="J238" s="258">
        <f t="shared" si="136"/>
        <v>0.748</v>
      </c>
      <c r="K238" s="249">
        <f t="shared" si="137"/>
        <v>3339.4080070399996</v>
      </c>
      <c r="L238" s="258">
        <v>4.5999999999999999E-2</v>
      </c>
      <c r="M238" s="258">
        <f t="shared" si="138"/>
        <v>4.5999999999999999E-2</v>
      </c>
      <c r="N238" s="251">
        <f t="shared" si="139"/>
        <v>871.14991487999998</v>
      </c>
      <c r="O238" s="258">
        <v>1.2E-2</v>
      </c>
      <c r="P238" s="258">
        <f t="shared" si="140"/>
        <v>1.2E-2</v>
      </c>
      <c r="Q238" s="249"/>
      <c r="R238" s="249">
        <v>72595.826239999995</v>
      </c>
      <c r="S238" s="258">
        <v>0.2</v>
      </c>
      <c r="T238" s="169">
        <f t="shared" si="141"/>
        <v>0</v>
      </c>
      <c r="U238" s="315">
        <f t="shared" si="142"/>
        <v>87114.991488</v>
      </c>
      <c r="V238" s="315">
        <f>IF(U238=0, 0, IF(U238&lt;10, _xlfn.CEILING.MATH(U238,0.05), IF(U238&lt;100, _xlfn.CEILING.MATH(U238,1),IF(U238&lt;1000, _xlfn.CEILING.MATH(U238,5), IF(U238&lt;10000, _xlfn.CEILING.MATH(U238, 25), IF(U238&lt;100000, _xlfn.CEILING.MATH(U238,5), IF(U238&lt;1000000, _xlfn.CEILING.MATH(U238,500), 0)))))))</f>
        <v>87115</v>
      </c>
      <c r="W238" s="316">
        <f t="shared" si="143"/>
        <v>0</v>
      </c>
    </row>
    <row r="239" spans="1:23" ht="21" x14ac:dyDescent="0.25">
      <c r="A239" s="200">
        <v>712030</v>
      </c>
      <c r="B239" s="329" t="s">
        <v>20173</v>
      </c>
      <c r="C239" s="248"/>
      <c r="D239" s="247" t="s">
        <v>11</v>
      </c>
      <c r="E239" s="249">
        <f t="shared" si="133"/>
        <v>12597.06</v>
      </c>
      <c r="F239" s="258">
        <v>0.17799999999999999</v>
      </c>
      <c r="G239" s="258">
        <f t="shared" si="134"/>
        <v>0.17799999999999999</v>
      </c>
      <c r="H239" s="249">
        <f t="shared" si="135"/>
        <v>54351.360000000001</v>
      </c>
      <c r="I239" s="258">
        <v>0.76800000000000002</v>
      </c>
      <c r="J239" s="258">
        <f t="shared" si="136"/>
        <v>0.76800000000000002</v>
      </c>
      <c r="K239" s="249">
        <f t="shared" si="137"/>
        <v>3043.1099999999997</v>
      </c>
      <c r="L239" s="258">
        <v>4.2999999999999997E-2</v>
      </c>
      <c r="M239" s="258">
        <f t="shared" si="138"/>
        <v>4.2999999999999997E-2</v>
      </c>
      <c r="N239" s="251">
        <f t="shared" si="139"/>
        <v>778.46999999999991</v>
      </c>
      <c r="O239" s="258">
        <v>1.0999999999999999E-2</v>
      </c>
      <c r="P239" s="258">
        <f t="shared" si="140"/>
        <v>1.0999999999999999E-2</v>
      </c>
      <c r="Q239" s="249"/>
      <c r="R239" s="249">
        <v>70770</v>
      </c>
      <c r="S239" s="258">
        <v>0.2</v>
      </c>
      <c r="T239" s="169">
        <f t="shared" si="141"/>
        <v>0</v>
      </c>
      <c r="U239" s="315">
        <f t="shared" si="142"/>
        <v>84924</v>
      </c>
      <c r="V239" s="315">
        <f>IF(U239=0, 0, IF(U239&lt;10, _xlfn.CEILING.MATH(U239,0.05), IF(U239&lt;100, _xlfn.CEILING.MATH(U239,1),IF(U239&lt;1000, _xlfn.CEILING.MATH(U239,5), IF(U239&lt;10000, _xlfn.CEILING.MATH(U239, 25), IF(U239&lt;100000, _xlfn.CEILING.MATH(U239,25), IF(U239&lt;1000000, _xlfn.CEILING.MATH(U239,500), 0)))))))</f>
        <v>84925</v>
      </c>
      <c r="W239" s="316">
        <f t="shared" si="143"/>
        <v>0</v>
      </c>
    </row>
    <row r="240" spans="1:23" ht="21" x14ac:dyDescent="0.25">
      <c r="A240" s="200">
        <v>712036</v>
      </c>
      <c r="B240" s="329" t="s">
        <v>20174</v>
      </c>
      <c r="C240" s="248"/>
      <c r="D240" s="247" t="s">
        <v>11</v>
      </c>
      <c r="E240" s="249">
        <f t="shared" si="133"/>
        <v>16084.616590680002</v>
      </c>
      <c r="F240" s="258">
        <v>0.13900000000000001</v>
      </c>
      <c r="G240" s="258">
        <f t="shared" si="134"/>
        <v>0.13900000000000001</v>
      </c>
      <c r="H240" s="249">
        <f t="shared" si="135"/>
        <v>94771.949552279984</v>
      </c>
      <c r="I240" s="258">
        <v>0.81899999999999995</v>
      </c>
      <c r="J240" s="258">
        <f t="shared" si="136"/>
        <v>0.81899999999999995</v>
      </c>
      <c r="K240" s="249">
        <f t="shared" si="137"/>
        <v>3818.6499819599999</v>
      </c>
      <c r="L240" s="258">
        <v>3.3000000000000002E-2</v>
      </c>
      <c r="M240" s="258">
        <f t="shared" si="138"/>
        <v>3.3000000000000002E-2</v>
      </c>
      <c r="N240" s="251">
        <f t="shared" si="139"/>
        <v>925.73332895999999</v>
      </c>
      <c r="O240" s="258">
        <v>8.0000000000000002E-3</v>
      </c>
      <c r="P240" s="258">
        <f t="shared" si="140"/>
        <v>8.0000000000000002E-3</v>
      </c>
      <c r="Q240" s="249"/>
      <c r="R240" s="249">
        <v>115716.66611999999</v>
      </c>
      <c r="S240" s="258">
        <v>0.2</v>
      </c>
      <c r="T240" s="169">
        <f t="shared" si="141"/>
        <v>0</v>
      </c>
      <c r="U240" s="315">
        <f t="shared" si="142"/>
        <v>138859.99934400001</v>
      </c>
      <c r="V240" s="315">
        <f>IF(U240=0, 0, IF(U240&lt;10, _xlfn.CEILING.MATH(U240,0.05), IF(U240&lt;100, _xlfn.CEILING.MATH(U240,1),IF(U240&lt;1000, _xlfn.CEILING.MATH(U240,5), IF(U240&lt;10000, _xlfn.CEILING.MATH(U240, 25), IF(U240&lt;100000, _xlfn.CEILING.MATH(U240,250), IF(U240&lt;1000000, _xlfn.CEILING.MATH(U240,10), 0)))))))</f>
        <v>138860</v>
      </c>
      <c r="W240" s="316">
        <f t="shared" si="143"/>
        <v>0</v>
      </c>
    </row>
    <row r="241" spans="1:23" ht="21" x14ac:dyDescent="0.25">
      <c r="A241" s="200">
        <v>712036</v>
      </c>
      <c r="B241" s="329" t="s">
        <v>20175</v>
      </c>
      <c r="C241" s="248"/>
      <c r="D241" s="247" t="s">
        <v>11</v>
      </c>
      <c r="E241" s="249">
        <f t="shared" si="133"/>
        <v>14431.432592499999</v>
      </c>
      <c r="F241" s="258">
        <v>0.127</v>
      </c>
      <c r="G241" s="258">
        <f t="shared" si="134"/>
        <v>0.127</v>
      </c>
      <c r="H241" s="249">
        <f t="shared" si="135"/>
        <v>94883.828462499994</v>
      </c>
      <c r="I241" s="258">
        <v>0.83499999999999996</v>
      </c>
      <c r="J241" s="258">
        <f t="shared" si="136"/>
        <v>0.83499999999999996</v>
      </c>
      <c r="K241" s="249">
        <f t="shared" si="137"/>
        <v>3522.6331525000001</v>
      </c>
      <c r="L241" s="258">
        <v>3.1E-2</v>
      </c>
      <c r="M241" s="258">
        <f t="shared" si="138"/>
        <v>3.1E-2</v>
      </c>
      <c r="N241" s="251">
        <f t="shared" si="139"/>
        <v>909.06662000000006</v>
      </c>
      <c r="O241" s="258">
        <v>8.0000000000000002E-3</v>
      </c>
      <c r="P241" s="258">
        <f t="shared" si="140"/>
        <v>8.0000000000000002E-3</v>
      </c>
      <c r="Q241" s="249"/>
      <c r="R241" s="249">
        <v>113633.3275</v>
      </c>
      <c r="S241" s="258">
        <v>0.2</v>
      </c>
      <c r="T241" s="169">
        <f t="shared" si="141"/>
        <v>0</v>
      </c>
      <c r="U241" s="315">
        <f t="shared" si="142"/>
        <v>136359.99300000002</v>
      </c>
      <c r="V241" s="315">
        <f>IF(U241=0, 0, IF(U241&lt;10, _xlfn.CEILING.MATH(U241,0.05), IF(U241&lt;100, _xlfn.CEILING.MATH(U241,1),IF(U241&lt;1000, _xlfn.CEILING.MATH(U241,5), IF(U241&lt;10000, _xlfn.CEILING.MATH(U241, 25), IF(U241&lt;100000, _xlfn.CEILING.MATH(U241,250), IF(U241&lt;1000000, _xlfn.CEILING.MATH(U241,10), 0)))))))</f>
        <v>136360</v>
      </c>
      <c r="W241" s="316">
        <f t="shared" si="143"/>
        <v>0</v>
      </c>
    </row>
    <row r="242" spans="1:23" x14ac:dyDescent="0.25">
      <c r="A242" s="200">
        <v>712200</v>
      </c>
      <c r="B242" s="313" t="s">
        <v>16183</v>
      </c>
      <c r="C242" s="248"/>
      <c r="D242" s="247" t="s">
        <v>11</v>
      </c>
      <c r="E242" s="249">
        <f>R242*G242</f>
        <v>866</v>
      </c>
      <c r="F242" s="258">
        <f>866/1686</f>
        <v>0.51364175563463821</v>
      </c>
      <c r="G242" s="258">
        <f>F242</f>
        <v>0.51364175563463821</v>
      </c>
      <c r="H242" s="249">
        <f>R242*J242</f>
        <v>675</v>
      </c>
      <c r="I242" s="258">
        <f>675/1686</f>
        <v>0.40035587188612098</v>
      </c>
      <c r="J242" s="258">
        <f>I242</f>
        <v>0.40035587188612098</v>
      </c>
      <c r="K242" s="249">
        <f>R242*M242</f>
        <v>95</v>
      </c>
      <c r="L242" s="258">
        <f>95/1686</f>
        <v>5.6346381969157769E-2</v>
      </c>
      <c r="M242" s="258">
        <f>L242</f>
        <v>5.6346381969157769E-2</v>
      </c>
      <c r="N242" s="251">
        <f>P242*R242</f>
        <v>50</v>
      </c>
      <c r="O242" s="258">
        <f>50/1686</f>
        <v>2.9655990510083038E-2</v>
      </c>
      <c r="P242" s="258">
        <f>O242</f>
        <v>2.9655990510083038E-2</v>
      </c>
      <c r="Q242" s="249"/>
      <c r="R242" s="249">
        <v>1686</v>
      </c>
      <c r="S242" s="258">
        <v>0.2</v>
      </c>
      <c r="T242" s="169">
        <f>Q242+Q242*S242</f>
        <v>0</v>
      </c>
      <c r="U242" s="315">
        <f>(R242*S242)+R242</f>
        <v>2023.2</v>
      </c>
      <c r="V242" s="315">
        <f>IF(U242=0, 0, IF(U242&lt;10, _xlfn.CEILING.MATH(U242,1), IF(U242&lt;100, _xlfn.CEILING.MATH(U242,1),IF(U242&lt;1000, _xlfn.CEILING.MATH(U242,5), IF(U242&lt;10000, _xlfn.CEILING.MATH(U242, 25), IF(U242&lt;100000, _xlfn.CEILING.MATH(U242,250), IF(U242&lt;1000000, _xlfn.CEILING.MATH(U242,500), 0)))))))</f>
        <v>2025</v>
      </c>
      <c r="W242" s="316">
        <f>C242*V242</f>
        <v>0</v>
      </c>
    </row>
    <row r="243" spans="1:23" x14ac:dyDescent="0.25">
      <c r="A243" s="200">
        <v>712201</v>
      </c>
      <c r="B243" s="313" t="s">
        <v>16184</v>
      </c>
      <c r="C243" s="248"/>
      <c r="D243" s="247" t="s">
        <v>11</v>
      </c>
      <c r="E243" s="249">
        <f>R243*G243</f>
        <v>1166.6689999999999</v>
      </c>
      <c r="F243" s="258">
        <v>0.7</v>
      </c>
      <c r="G243" s="258">
        <f>F243</f>
        <v>0.7</v>
      </c>
      <c r="H243" s="249">
        <f>R243*J243</f>
        <v>83.333500000000015</v>
      </c>
      <c r="I243" s="258">
        <v>0.05</v>
      </c>
      <c r="J243" s="258">
        <f>I243</f>
        <v>0.05</v>
      </c>
      <c r="K243" s="249">
        <f>R243*M243</f>
        <v>416.66750000000002</v>
      </c>
      <c r="L243" s="258">
        <v>0.25</v>
      </c>
      <c r="M243" s="258">
        <f>L243</f>
        <v>0.25</v>
      </c>
      <c r="N243" s="251">
        <f>P243*R243</f>
        <v>0</v>
      </c>
      <c r="O243" s="258"/>
      <c r="P243" s="258">
        <f>O243</f>
        <v>0</v>
      </c>
      <c r="Q243" s="249"/>
      <c r="R243" s="249">
        <v>1666.67</v>
      </c>
      <c r="S243" s="258">
        <v>0.2</v>
      </c>
      <c r="T243" s="169">
        <f>Q243+Q243*S243</f>
        <v>0</v>
      </c>
      <c r="U243" s="315">
        <f>(R243*S243)+R243</f>
        <v>2000.0040000000001</v>
      </c>
      <c r="V243" s="315">
        <f>IF(U243=0, 0, IF(U243&lt;10, _xlfn.CEILING.MATH(U243,1), IF(U243&lt;100, _xlfn.CEILING.MATH(U243,1),IF(U243&lt;1000, _xlfn.CEILING.MATH(U243,5), IF(U243&lt;10000, _xlfn.CEILING.MATH(U243, 1), IF(U243&lt;100000, _xlfn.CEILING.MATH(U243,250), IF(U243&lt;1000000, _xlfn.CEILING.MATH(U243,500), 0)))))))</f>
        <v>2001</v>
      </c>
      <c r="W243" s="316">
        <f>C243*V243</f>
        <v>0</v>
      </c>
    </row>
    <row r="244" spans="1:23" x14ac:dyDescent="0.25">
      <c r="A244" s="200">
        <v>712204</v>
      </c>
      <c r="B244" s="313" t="s">
        <v>16185</v>
      </c>
      <c r="C244" s="248"/>
      <c r="D244" s="247" t="s">
        <v>11</v>
      </c>
      <c r="E244" s="249">
        <f>R244*G244</f>
        <v>336.875</v>
      </c>
      <c r="F244" s="258">
        <v>0.35</v>
      </c>
      <c r="G244" s="258">
        <f>F244</f>
        <v>0.35</v>
      </c>
      <c r="H244" s="249">
        <f>R244*J244</f>
        <v>433.125</v>
      </c>
      <c r="I244" s="258">
        <v>0.45</v>
      </c>
      <c r="J244" s="258">
        <f>I244</f>
        <v>0.45</v>
      </c>
      <c r="K244" s="249">
        <f>R244*M244</f>
        <v>144.375</v>
      </c>
      <c r="L244" s="258">
        <v>0.15</v>
      </c>
      <c r="M244" s="258">
        <f>L244</f>
        <v>0.15</v>
      </c>
      <c r="N244" s="251">
        <f>P244*R244</f>
        <v>48.125</v>
      </c>
      <c r="O244" s="258">
        <v>0.05</v>
      </c>
      <c r="P244" s="258">
        <f>O244</f>
        <v>0.05</v>
      </c>
      <c r="Q244" s="249"/>
      <c r="R244" s="249">
        <v>962.5</v>
      </c>
      <c r="S244" s="258">
        <v>0.2</v>
      </c>
      <c r="T244" s="169">
        <f>Q244+Q244*S244</f>
        <v>0</v>
      </c>
      <c r="U244" s="315">
        <f>(R244*S244)+R244</f>
        <v>1155</v>
      </c>
      <c r="V244" s="315">
        <f>IF(U244=0, 0, IF(U244&lt;10, _xlfn.CEILING.MATH(U244,1), IF(U244&lt;100, _xlfn.CEILING.MATH(U244,1),IF(U244&lt;1000, _xlfn.CEILING.MATH(U244,5), IF(U244&lt;10000, _xlfn.CEILING.MATH(U244, 1), IF(U244&lt;100000, _xlfn.CEILING.MATH(U244,250), IF(U244&lt;1000000, _xlfn.CEILING.MATH(U244,500), 0)))))))</f>
        <v>1155</v>
      </c>
      <c r="W244" s="316">
        <f>C244*V244</f>
        <v>0</v>
      </c>
    </row>
    <row r="245" spans="1:23" x14ac:dyDescent="0.25">
      <c r="A245" s="200">
        <v>712300</v>
      </c>
      <c r="B245" s="313" t="s">
        <v>16186</v>
      </c>
      <c r="C245" s="248"/>
      <c r="D245" s="247" t="s">
        <v>11</v>
      </c>
      <c r="E245" s="249">
        <f>R245*G245</f>
        <v>953</v>
      </c>
      <c r="F245" s="258">
        <f xml:space="preserve"> 953/1828</f>
        <v>0.5213347921225383</v>
      </c>
      <c r="G245" s="258">
        <f>F245</f>
        <v>0.5213347921225383</v>
      </c>
      <c r="H245" s="249">
        <f>R245*J245</f>
        <v>730</v>
      </c>
      <c r="I245" s="258">
        <f>730/1828</f>
        <v>0.39934354485776807</v>
      </c>
      <c r="J245" s="258">
        <f>I245</f>
        <v>0.39934354485776807</v>
      </c>
      <c r="K245" s="249">
        <f>R245*M245</f>
        <v>95</v>
      </c>
      <c r="L245" s="258">
        <f>95/1828</f>
        <v>5.1969365426695842E-2</v>
      </c>
      <c r="M245" s="258">
        <f>L245</f>
        <v>5.1969365426695842E-2</v>
      </c>
      <c r="N245" s="251">
        <f>P245*R245</f>
        <v>50</v>
      </c>
      <c r="O245" s="258">
        <f>50/1828</f>
        <v>2.7352297592997812E-2</v>
      </c>
      <c r="P245" s="258">
        <f>O245</f>
        <v>2.7352297592997812E-2</v>
      </c>
      <c r="Q245" s="249"/>
      <c r="R245" s="249">
        <v>1828</v>
      </c>
      <c r="S245" s="258">
        <v>0.2</v>
      </c>
      <c r="T245" s="169">
        <f>Q245+Q245*S245</f>
        <v>0</v>
      </c>
      <c r="U245" s="315">
        <f>(R245*S245)+R245</f>
        <v>2193.6</v>
      </c>
      <c r="V245" s="315">
        <f>IF(U245=0, 0, IF(U245&lt;10, _xlfn.CEILING.MATH(U245,1), IF(U245&lt;100, _xlfn.CEILING.MATH(U245,1),IF(U245&lt;1000, _xlfn.CEILING.MATH(U245,5), IF(U245&lt;10000, _xlfn.CEILING.MATH(U245, 25), IF(U245&lt;100000, _xlfn.CEILING.MATH(U245,250), IF(U245&lt;1000000, _xlfn.CEILING.MATH(U245,500), 0)))))))</f>
        <v>2200</v>
      </c>
      <c r="W245" s="316">
        <f>C245*V245</f>
        <v>0</v>
      </c>
    </row>
    <row r="246" spans="1:23" x14ac:dyDescent="0.25">
      <c r="A246" s="199" t="s">
        <v>18911</v>
      </c>
      <c r="B246" s="307" t="s">
        <v>18912</v>
      </c>
      <c r="C246" s="308"/>
      <c r="D246" s="309"/>
      <c r="E246" s="310"/>
      <c r="F246" s="311"/>
      <c r="G246" s="311"/>
      <c r="H246" s="310"/>
      <c r="I246" s="311"/>
      <c r="J246" s="311"/>
      <c r="K246" s="310"/>
      <c r="L246" s="311"/>
      <c r="M246" s="311"/>
      <c r="N246" s="310"/>
      <c r="O246" s="311"/>
      <c r="P246" s="311"/>
      <c r="Q246" s="310"/>
      <c r="R246" s="310"/>
      <c r="S246" s="309"/>
      <c r="T246" s="309"/>
      <c r="U246" s="309"/>
      <c r="V246" s="309"/>
      <c r="W246" s="312"/>
    </row>
    <row r="247" spans="1:23" ht="21" x14ac:dyDescent="0.25">
      <c r="A247" s="200">
        <v>715903</v>
      </c>
      <c r="B247" s="329" t="s">
        <v>20176</v>
      </c>
      <c r="C247" s="248"/>
      <c r="D247" s="247" t="s">
        <v>11</v>
      </c>
      <c r="E247" s="249">
        <f t="shared" ref="E247:E254" si="144">R247*G247</f>
        <v>1125</v>
      </c>
      <c r="F247" s="258">
        <v>0.54000086400138247</v>
      </c>
      <c r="G247" s="258">
        <f t="shared" ref="G247:G254" si="145">F247</f>
        <v>0.54000086400138247</v>
      </c>
      <c r="H247" s="249">
        <f t="shared" ref="H247:H254" si="146">R247*J247</f>
        <v>515</v>
      </c>
      <c r="I247" s="258">
        <v>0.24720039552063283</v>
      </c>
      <c r="J247" s="258">
        <f t="shared" ref="J247:J254" si="147">I247</f>
        <v>0.24720039552063283</v>
      </c>
      <c r="K247" s="249">
        <f t="shared" ref="K247:K254" si="148">R247*M247</f>
        <v>388.33</v>
      </c>
      <c r="L247" s="258">
        <v>0.18639869823791719</v>
      </c>
      <c r="M247" s="258">
        <f t="shared" ref="M247:M254" si="149">L247</f>
        <v>0.18639869823791719</v>
      </c>
      <c r="N247" s="251">
        <f t="shared" ref="N247:N254" si="150">P247*R247</f>
        <v>55</v>
      </c>
      <c r="O247" s="258">
        <v>2.6400042240067586E-2</v>
      </c>
      <c r="P247" s="258">
        <f t="shared" ref="P247:P254" si="151">O247</f>
        <v>2.6400042240067586E-2</v>
      </c>
      <c r="Q247" s="249"/>
      <c r="R247" s="249">
        <v>2083.33</v>
      </c>
      <c r="S247" s="258">
        <v>0.2</v>
      </c>
      <c r="T247" s="169">
        <f t="shared" ref="T247:T254" si="152">Q247+Q247*S247</f>
        <v>0</v>
      </c>
      <c r="U247" s="315">
        <f t="shared" ref="U247:U252" si="153">(R247*S247)+R247</f>
        <v>2499.9960000000001</v>
      </c>
      <c r="V247" s="315">
        <f t="shared" ref="V247:V254" si="154">IF(U247=0, 0, IF(U247&lt;10, _xlfn.CEILING.MATH(U247,0.05), IF(U247&lt;100, _xlfn.CEILING.MATH(U247,1),IF(U247&lt;1000, _xlfn.CEILING.MATH(U247,5), IF(U247&lt;10000, _xlfn.CEILING.MATH(U247, 25), IF(U247&lt;100000, _xlfn.CEILING.MATH(U247,250), IF(U247&lt;1000000, _xlfn.CEILING.MATH(U247,10), 0)))))))</f>
        <v>2500</v>
      </c>
      <c r="W247" s="316">
        <f t="shared" ref="W247:W254" si="155">C247*V247</f>
        <v>0</v>
      </c>
    </row>
    <row r="248" spans="1:23" ht="21" x14ac:dyDescent="0.25">
      <c r="A248" s="200">
        <v>715903</v>
      </c>
      <c r="B248" s="329" t="s">
        <v>20177</v>
      </c>
      <c r="C248" s="248"/>
      <c r="D248" s="247" t="s">
        <v>11</v>
      </c>
      <c r="E248" s="249">
        <f t="shared" si="144"/>
        <v>975.5</v>
      </c>
      <c r="F248" s="258">
        <v>0.52034992265429136</v>
      </c>
      <c r="G248" s="258">
        <f t="shared" si="145"/>
        <v>0.52034992265429136</v>
      </c>
      <c r="H248" s="249">
        <f t="shared" si="146"/>
        <v>515</v>
      </c>
      <c r="I248" s="258">
        <v>0.2747106203659252</v>
      </c>
      <c r="J248" s="258">
        <f t="shared" si="147"/>
        <v>0.2747106203659252</v>
      </c>
      <c r="K248" s="249">
        <f t="shared" si="148"/>
        <v>329.2</v>
      </c>
      <c r="L248" s="258">
        <v>0.17560142956206326</v>
      </c>
      <c r="M248" s="258">
        <f t="shared" si="149"/>
        <v>0.17560142956206326</v>
      </c>
      <c r="N248" s="251">
        <f t="shared" si="150"/>
        <v>55</v>
      </c>
      <c r="O248" s="258">
        <v>2.9338027417720167E-2</v>
      </c>
      <c r="P248" s="258">
        <f t="shared" si="151"/>
        <v>2.9338027417720167E-2</v>
      </c>
      <c r="Q248" s="249"/>
      <c r="R248" s="249">
        <v>1874.7</v>
      </c>
      <c r="S248" s="258">
        <v>0.2</v>
      </c>
      <c r="T248" s="169">
        <f t="shared" si="152"/>
        <v>0</v>
      </c>
      <c r="U248" s="315">
        <f t="shared" si="153"/>
        <v>2249.6400000000003</v>
      </c>
      <c r="V248" s="315">
        <f t="shared" si="154"/>
        <v>2250</v>
      </c>
      <c r="W248" s="316">
        <f t="shared" si="155"/>
        <v>0</v>
      </c>
    </row>
    <row r="249" spans="1:23" ht="21" x14ac:dyDescent="0.25">
      <c r="A249" s="200">
        <v>715904</v>
      </c>
      <c r="B249" s="329" t="s">
        <v>20178</v>
      </c>
      <c r="C249" s="248"/>
      <c r="D249" s="247" t="s">
        <v>11</v>
      </c>
      <c r="E249" s="249">
        <f t="shared" si="144"/>
        <v>1949</v>
      </c>
      <c r="F249" s="258">
        <v>0.58458308338332332</v>
      </c>
      <c r="G249" s="258">
        <f t="shared" si="145"/>
        <v>0.58458308338332332</v>
      </c>
      <c r="H249" s="249">
        <f t="shared" si="146"/>
        <v>775</v>
      </c>
      <c r="I249" s="258">
        <v>0.23245350929814038</v>
      </c>
      <c r="J249" s="258">
        <f t="shared" si="147"/>
        <v>0.23245350929814038</v>
      </c>
      <c r="K249" s="249">
        <f t="shared" si="148"/>
        <v>515</v>
      </c>
      <c r="L249" s="258">
        <v>0.15446910617876425</v>
      </c>
      <c r="M249" s="258">
        <f t="shared" si="149"/>
        <v>0.15446910617876425</v>
      </c>
      <c r="N249" s="251">
        <f t="shared" si="150"/>
        <v>95</v>
      </c>
      <c r="O249" s="258">
        <v>2.8494301139772044E-2</v>
      </c>
      <c r="P249" s="258">
        <f t="shared" si="151"/>
        <v>2.8494301139772044E-2</v>
      </c>
      <c r="Q249" s="249"/>
      <c r="R249" s="249">
        <v>3334</v>
      </c>
      <c r="S249" s="258">
        <v>0.2</v>
      </c>
      <c r="T249" s="169">
        <f t="shared" si="152"/>
        <v>0</v>
      </c>
      <c r="U249" s="315">
        <f>(R249*S249)+R249-0.8</f>
        <v>4000</v>
      </c>
      <c r="V249" s="315">
        <f t="shared" si="154"/>
        <v>4000</v>
      </c>
      <c r="W249" s="316">
        <f t="shared" si="155"/>
        <v>0</v>
      </c>
    </row>
    <row r="250" spans="1:23" ht="21" x14ac:dyDescent="0.25">
      <c r="A250" s="200">
        <v>715904</v>
      </c>
      <c r="B250" s="329" t="s">
        <v>20179</v>
      </c>
      <c r="C250" s="248"/>
      <c r="D250" s="247" t="s">
        <v>11</v>
      </c>
      <c r="E250" s="249">
        <f t="shared" si="144"/>
        <v>1657.9999999999998</v>
      </c>
      <c r="F250" s="258">
        <v>0.58524532297917398</v>
      </c>
      <c r="G250" s="258">
        <f t="shared" si="145"/>
        <v>0.58524532297917398</v>
      </c>
      <c r="H250" s="249">
        <f t="shared" si="146"/>
        <v>1246.52</v>
      </c>
      <c r="I250" s="258">
        <v>0.44</v>
      </c>
      <c r="J250" s="258">
        <f t="shared" si="147"/>
        <v>0.44</v>
      </c>
      <c r="K250" s="249">
        <f t="shared" si="148"/>
        <v>345</v>
      </c>
      <c r="L250" s="258">
        <v>0.12177903282739146</v>
      </c>
      <c r="M250" s="258">
        <f t="shared" si="149"/>
        <v>0.12177903282739146</v>
      </c>
      <c r="N250" s="251">
        <f t="shared" si="150"/>
        <v>80</v>
      </c>
      <c r="O250" s="258">
        <v>2.8238616307800918E-2</v>
      </c>
      <c r="P250" s="258">
        <f t="shared" si="151"/>
        <v>2.8238616307800918E-2</v>
      </c>
      <c r="Q250" s="249"/>
      <c r="R250" s="249">
        <v>2833</v>
      </c>
      <c r="S250" s="258">
        <v>0.2</v>
      </c>
      <c r="T250" s="169">
        <f t="shared" si="152"/>
        <v>0</v>
      </c>
      <c r="U250" s="315">
        <f t="shared" si="153"/>
        <v>3399.6</v>
      </c>
      <c r="V250" s="315">
        <f t="shared" si="154"/>
        <v>3400</v>
      </c>
      <c r="W250" s="316">
        <f t="shared" si="155"/>
        <v>0</v>
      </c>
    </row>
    <row r="251" spans="1:23" ht="21.6" thickBot="1" x14ac:dyDescent="0.3">
      <c r="A251" s="263">
        <v>715905</v>
      </c>
      <c r="B251" s="330" t="s">
        <v>20180</v>
      </c>
      <c r="C251" s="265"/>
      <c r="D251" s="264" t="s">
        <v>11</v>
      </c>
      <c r="E251" s="266">
        <f t="shared" si="144"/>
        <v>827</v>
      </c>
      <c r="F251" s="322">
        <v>0.53631647211413747</v>
      </c>
      <c r="G251" s="322">
        <f t="shared" si="145"/>
        <v>0.53631647211413747</v>
      </c>
      <c r="H251" s="266">
        <f t="shared" si="146"/>
        <v>440</v>
      </c>
      <c r="I251" s="322">
        <v>0.28534370946822307</v>
      </c>
      <c r="J251" s="322">
        <f t="shared" si="147"/>
        <v>0.28534370946822307</v>
      </c>
      <c r="K251" s="266">
        <f t="shared" si="148"/>
        <v>215</v>
      </c>
      <c r="L251" s="322">
        <v>0.13942931258106356</v>
      </c>
      <c r="M251" s="322">
        <f t="shared" si="149"/>
        <v>0.13942931258106356</v>
      </c>
      <c r="N251" s="270">
        <f t="shared" si="150"/>
        <v>60</v>
      </c>
      <c r="O251" s="322">
        <v>3.8910505836575876E-2</v>
      </c>
      <c r="P251" s="322">
        <f t="shared" si="151"/>
        <v>3.8910505836575876E-2</v>
      </c>
      <c r="Q251" s="266"/>
      <c r="R251" s="266">
        <v>1542</v>
      </c>
      <c r="S251" s="322">
        <v>0.2</v>
      </c>
      <c r="T251" s="291">
        <f t="shared" si="152"/>
        <v>0</v>
      </c>
      <c r="U251" s="324">
        <f>(R251*S251)+R251-0.4</f>
        <v>1850</v>
      </c>
      <c r="V251" s="324">
        <f t="shared" si="154"/>
        <v>1850</v>
      </c>
      <c r="W251" s="325">
        <f t="shared" si="155"/>
        <v>0</v>
      </c>
    </row>
    <row r="252" spans="1:23" ht="21" x14ac:dyDescent="0.25">
      <c r="A252" s="200">
        <v>715905</v>
      </c>
      <c r="B252" s="329" t="s">
        <v>20181</v>
      </c>
      <c r="C252" s="248"/>
      <c r="D252" s="247" t="s">
        <v>11</v>
      </c>
      <c r="E252" s="249">
        <f t="shared" si="144"/>
        <v>699.99999999999989</v>
      </c>
      <c r="F252" s="258">
        <v>0.50909090909090904</v>
      </c>
      <c r="G252" s="258">
        <f t="shared" si="145"/>
        <v>0.50909090909090904</v>
      </c>
      <c r="H252" s="249">
        <f t="shared" si="146"/>
        <v>605</v>
      </c>
      <c r="I252" s="258">
        <v>0.44</v>
      </c>
      <c r="J252" s="258">
        <f t="shared" si="147"/>
        <v>0.44</v>
      </c>
      <c r="K252" s="249">
        <f t="shared" si="148"/>
        <v>185</v>
      </c>
      <c r="L252" s="258">
        <v>0.13454545454545455</v>
      </c>
      <c r="M252" s="258">
        <f t="shared" si="149"/>
        <v>0.13454545454545455</v>
      </c>
      <c r="N252" s="251">
        <f t="shared" si="150"/>
        <v>50</v>
      </c>
      <c r="O252" s="258">
        <v>3.6363636363636362E-2</v>
      </c>
      <c r="P252" s="258">
        <f t="shared" si="151"/>
        <v>3.6363636363636362E-2</v>
      </c>
      <c r="Q252" s="249"/>
      <c r="R252" s="249">
        <v>1375</v>
      </c>
      <c r="S252" s="258">
        <v>0.2</v>
      </c>
      <c r="T252" s="169">
        <f t="shared" si="152"/>
        <v>0</v>
      </c>
      <c r="U252" s="315">
        <f t="shared" si="153"/>
        <v>1650</v>
      </c>
      <c r="V252" s="315">
        <f t="shared" si="154"/>
        <v>1650</v>
      </c>
      <c r="W252" s="316">
        <f t="shared" si="155"/>
        <v>0</v>
      </c>
    </row>
    <row r="253" spans="1:23" ht="21" x14ac:dyDescent="0.25">
      <c r="A253" s="200">
        <v>715906</v>
      </c>
      <c r="B253" s="329" t="s">
        <v>20182</v>
      </c>
      <c r="C253" s="248"/>
      <c r="D253" s="247" t="s">
        <v>11</v>
      </c>
      <c r="E253" s="249">
        <f t="shared" si="144"/>
        <v>2129</v>
      </c>
      <c r="F253" s="258">
        <v>0.60107284020327501</v>
      </c>
      <c r="G253" s="258">
        <f t="shared" si="145"/>
        <v>0.60107284020327501</v>
      </c>
      <c r="H253" s="249">
        <f t="shared" si="146"/>
        <v>795</v>
      </c>
      <c r="I253" s="258">
        <v>0.22444946357989837</v>
      </c>
      <c r="J253" s="258">
        <f t="shared" si="147"/>
        <v>0.22444946357989837</v>
      </c>
      <c r="K253" s="249">
        <f t="shared" si="148"/>
        <v>518</v>
      </c>
      <c r="L253" s="258">
        <v>0.14624505928853754</v>
      </c>
      <c r="M253" s="258">
        <f t="shared" si="149"/>
        <v>0.14624505928853754</v>
      </c>
      <c r="N253" s="251">
        <f t="shared" si="150"/>
        <v>100</v>
      </c>
      <c r="O253" s="258">
        <v>2.8232636928289104E-2</v>
      </c>
      <c r="P253" s="258">
        <f t="shared" si="151"/>
        <v>2.8232636928289104E-2</v>
      </c>
      <c r="Q253" s="249"/>
      <c r="R253" s="249">
        <v>3542</v>
      </c>
      <c r="S253" s="258">
        <v>0.2</v>
      </c>
      <c r="T253" s="169">
        <f t="shared" si="152"/>
        <v>0</v>
      </c>
      <c r="U253" s="315">
        <f>(R253*S253)+R253-0.4</f>
        <v>4250</v>
      </c>
      <c r="V253" s="315">
        <f t="shared" si="154"/>
        <v>4250</v>
      </c>
      <c r="W253" s="316">
        <f t="shared" si="155"/>
        <v>0</v>
      </c>
    </row>
    <row r="254" spans="1:23" ht="21" x14ac:dyDescent="0.25">
      <c r="A254" s="200">
        <v>715906</v>
      </c>
      <c r="B254" s="329" t="s">
        <v>20183</v>
      </c>
      <c r="C254" s="248"/>
      <c r="D254" s="247" t="s">
        <v>11</v>
      </c>
      <c r="E254" s="249">
        <f t="shared" si="144"/>
        <v>1695</v>
      </c>
      <c r="F254" s="258">
        <v>0.58107644840589645</v>
      </c>
      <c r="G254" s="258">
        <f t="shared" si="145"/>
        <v>0.58107644840589645</v>
      </c>
      <c r="H254" s="249">
        <f t="shared" si="146"/>
        <v>1283.48</v>
      </c>
      <c r="I254" s="258">
        <v>0.44</v>
      </c>
      <c r="J254" s="258">
        <f t="shared" si="147"/>
        <v>0.44</v>
      </c>
      <c r="K254" s="249">
        <f t="shared" si="148"/>
        <v>345</v>
      </c>
      <c r="L254" s="258">
        <v>0.11827219746314707</v>
      </c>
      <c r="M254" s="258">
        <f t="shared" si="149"/>
        <v>0.11827219746314707</v>
      </c>
      <c r="N254" s="251">
        <f t="shared" si="150"/>
        <v>82</v>
      </c>
      <c r="O254" s="258">
        <v>2.8111073020226258E-2</v>
      </c>
      <c r="P254" s="258">
        <f t="shared" si="151"/>
        <v>2.8111073020226258E-2</v>
      </c>
      <c r="Q254" s="249"/>
      <c r="R254" s="249">
        <v>2917</v>
      </c>
      <c r="S254" s="258">
        <v>0.2</v>
      </c>
      <c r="T254" s="169">
        <f t="shared" si="152"/>
        <v>0</v>
      </c>
      <c r="U254" s="315">
        <f>(R254*S254)+R254-0.4</f>
        <v>3500</v>
      </c>
      <c r="V254" s="315">
        <f t="shared" si="154"/>
        <v>3500</v>
      </c>
      <c r="W254" s="316">
        <f t="shared" si="155"/>
        <v>0</v>
      </c>
    </row>
    <row r="255" spans="1:23" x14ac:dyDescent="0.25">
      <c r="A255" s="199" t="s">
        <v>14699</v>
      </c>
      <c r="B255" s="307" t="s">
        <v>14700</v>
      </c>
      <c r="C255" s="308"/>
      <c r="D255" s="309"/>
      <c r="E255" s="310"/>
      <c r="F255" s="311"/>
      <c r="G255" s="311"/>
      <c r="H255" s="310"/>
      <c r="I255" s="311"/>
      <c r="J255" s="311"/>
      <c r="K255" s="310"/>
      <c r="L255" s="311"/>
      <c r="M255" s="311"/>
      <c r="N255" s="310"/>
      <c r="O255" s="311"/>
      <c r="P255" s="311"/>
      <c r="Q255" s="310"/>
      <c r="R255" s="310"/>
      <c r="S255" s="309"/>
      <c r="T255" s="309"/>
      <c r="U255" s="309"/>
      <c r="V255" s="309"/>
      <c r="W255" s="312"/>
    </row>
    <row r="256" spans="1:23" x14ac:dyDescent="0.25">
      <c r="A256" s="200">
        <v>716010</v>
      </c>
      <c r="B256" s="331" t="s">
        <v>16187</v>
      </c>
      <c r="C256" s="248"/>
      <c r="D256" s="247" t="s">
        <v>7</v>
      </c>
      <c r="E256" s="249">
        <f t="shared" ref="E256:E262" si="156">R256*G256</f>
        <v>22.4542</v>
      </c>
      <c r="F256" s="258">
        <v>0.38</v>
      </c>
      <c r="G256" s="258">
        <f t="shared" ref="G256:G262" si="157">F256</f>
        <v>0.38</v>
      </c>
      <c r="H256" s="249">
        <f t="shared" ref="H256:H262" si="158">R256*J256</f>
        <v>25.4087</v>
      </c>
      <c r="I256" s="258">
        <v>0.43</v>
      </c>
      <c r="J256" s="258">
        <f t="shared" ref="J256:J262" si="159">I256</f>
        <v>0.43</v>
      </c>
      <c r="K256" s="249">
        <f t="shared" ref="K256:K262" si="160">R256*M256</f>
        <v>8.4203250000000001</v>
      </c>
      <c r="L256" s="258">
        <v>0.14249999999999999</v>
      </c>
      <c r="M256" s="258">
        <f t="shared" ref="M256:M262" si="161">L256</f>
        <v>0.14249999999999999</v>
      </c>
      <c r="N256" s="251">
        <f t="shared" ref="N256:N262" si="162">P256*R256</f>
        <v>2.806775</v>
      </c>
      <c r="O256" s="258">
        <v>4.7500000000000001E-2</v>
      </c>
      <c r="P256" s="258">
        <f t="shared" ref="P256:P262" si="163">O256</f>
        <v>4.7500000000000001E-2</v>
      </c>
      <c r="Q256" s="249"/>
      <c r="R256" s="249">
        <v>59.09</v>
      </c>
      <c r="S256" s="258">
        <v>0.2</v>
      </c>
      <c r="T256" s="169">
        <f t="shared" ref="T256:T262" si="164">Q256+Q256*S256</f>
        <v>0</v>
      </c>
      <c r="U256" s="315">
        <f t="shared" ref="U256:U262" si="165">(R256*S256)+R256</f>
        <v>70.908000000000001</v>
      </c>
      <c r="V256" s="315">
        <f>IF(U256=0, 0, IF(U256&lt;10, _xlfn.CEILING.MATH(U256,1), IF(U256&lt;100, _xlfn.CEILING.MATH(U256,1),IF(U256&lt;1000, _xlfn.CEILING.MATH(U256,5), IF(U256&lt;10000, _xlfn.CEILING.MATH(U256, 25), IF(U256&lt;100000, _xlfn.CEILING.MATH(U256,250), IF(U256&lt;1000000, _xlfn.CEILING.MATH(U256,500), 0)))))))</f>
        <v>71</v>
      </c>
      <c r="W256" s="316">
        <f t="shared" ref="W256:W262" si="166">C256*V256</f>
        <v>0</v>
      </c>
    </row>
    <row r="257" spans="1:23" x14ac:dyDescent="0.25">
      <c r="A257" s="200">
        <v>716015</v>
      </c>
      <c r="B257" s="313" t="s">
        <v>16188</v>
      </c>
      <c r="C257" s="248"/>
      <c r="D257" s="247" t="s">
        <v>7</v>
      </c>
      <c r="E257" s="249">
        <f t="shared" si="156"/>
        <v>26.676000000000002</v>
      </c>
      <c r="F257" s="258">
        <v>0.38</v>
      </c>
      <c r="G257" s="258">
        <f t="shared" si="157"/>
        <v>0.38</v>
      </c>
      <c r="H257" s="249">
        <f t="shared" si="158"/>
        <v>30.186</v>
      </c>
      <c r="I257" s="258">
        <v>0.43</v>
      </c>
      <c r="J257" s="258">
        <f t="shared" si="159"/>
        <v>0.43</v>
      </c>
      <c r="K257" s="249">
        <f t="shared" si="160"/>
        <v>10.003499999999999</v>
      </c>
      <c r="L257" s="258">
        <v>0.14249999999999999</v>
      </c>
      <c r="M257" s="258">
        <f t="shared" si="161"/>
        <v>0.14249999999999999</v>
      </c>
      <c r="N257" s="251">
        <f t="shared" si="162"/>
        <v>3.3345000000000002</v>
      </c>
      <c r="O257" s="258">
        <v>4.7500000000000001E-2</v>
      </c>
      <c r="P257" s="258">
        <f t="shared" si="163"/>
        <v>4.7500000000000001E-2</v>
      </c>
      <c r="Q257" s="249"/>
      <c r="R257" s="249">
        <v>70.2</v>
      </c>
      <c r="S257" s="258">
        <v>0.2</v>
      </c>
      <c r="T257" s="169">
        <f t="shared" si="164"/>
        <v>0</v>
      </c>
      <c r="U257" s="315">
        <f t="shared" si="165"/>
        <v>84.240000000000009</v>
      </c>
      <c r="V257" s="315">
        <f t="shared" ref="V257:V262" si="167">IF(U257=0, 0, IF(U257&lt;10, _xlfn.CEILING.MATH(U257,1), IF(U257&lt;100, _xlfn.CEILING.MATH(U257,1),IF(U257&lt;1000, _xlfn.CEILING.MATH(U257,5), IF(U257&lt;10000, _xlfn.CEILING.MATH(U257, 25), IF(U257&lt;100000, _xlfn.CEILING.MATH(U257,250), IF(U257&lt;1000000, _xlfn.CEILING.MATH(U257,500), 0)))))))</f>
        <v>85</v>
      </c>
      <c r="W257" s="316">
        <f t="shared" si="166"/>
        <v>0</v>
      </c>
    </row>
    <row r="258" spans="1:23" x14ac:dyDescent="0.25">
      <c r="A258" s="200">
        <v>716020</v>
      </c>
      <c r="B258" s="331" t="s">
        <v>16189</v>
      </c>
      <c r="C258" s="248"/>
      <c r="D258" s="247" t="s">
        <v>7</v>
      </c>
      <c r="E258" s="249">
        <f t="shared" si="156"/>
        <v>35.926549999999999</v>
      </c>
      <c r="F258" s="258">
        <v>0.41499999999999998</v>
      </c>
      <c r="G258" s="258">
        <f t="shared" si="157"/>
        <v>0.41499999999999998</v>
      </c>
      <c r="H258" s="249">
        <f t="shared" si="158"/>
        <v>42.852149999999995</v>
      </c>
      <c r="I258" s="258">
        <v>0.495</v>
      </c>
      <c r="J258" s="258">
        <f t="shared" si="159"/>
        <v>0.495</v>
      </c>
      <c r="K258" s="249">
        <f t="shared" si="160"/>
        <v>5.1941999999999995</v>
      </c>
      <c r="L258" s="258">
        <v>0.06</v>
      </c>
      <c r="M258" s="258">
        <f t="shared" si="161"/>
        <v>0.06</v>
      </c>
      <c r="N258" s="251">
        <f t="shared" si="162"/>
        <v>2.5970999999999997</v>
      </c>
      <c r="O258" s="258">
        <v>0.03</v>
      </c>
      <c r="P258" s="258">
        <f t="shared" si="163"/>
        <v>0.03</v>
      </c>
      <c r="Q258" s="249"/>
      <c r="R258" s="249">
        <v>86.57</v>
      </c>
      <c r="S258" s="258">
        <v>0.2</v>
      </c>
      <c r="T258" s="169">
        <f t="shared" si="164"/>
        <v>0</v>
      </c>
      <c r="U258" s="315">
        <f t="shared" si="165"/>
        <v>103.88399999999999</v>
      </c>
      <c r="V258" s="315">
        <f t="shared" si="167"/>
        <v>105</v>
      </c>
      <c r="W258" s="316">
        <f t="shared" si="166"/>
        <v>0</v>
      </c>
    </row>
    <row r="259" spans="1:23" x14ac:dyDescent="0.25">
      <c r="A259" s="200">
        <v>716030</v>
      </c>
      <c r="B259" s="313" t="s">
        <v>16190</v>
      </c>
      <c r="C259" s="248"/>
      <c r="D259" s="247" t="s">
        <v>7</v>
      </c>
      <c r="E259" s="249">
        <f t="shared" si="156"/>
        <v>40.695999999999998</v>
      </c>
      <c r="F259" s="258">
        <v>0.4</v>
      </c>
      <c r="G259" s="258">
        <f t="shared" si="157"/>
        <v>0.4</v>
      </c>
      <c r="H259" s="249">
        <f t="shared" si="158"/>
        <v>45.783000000000001</v>
      </c>
      <c r="I259" s="258">
        <v>0.45</v>
      </c>
      <c r="J259" s="258">
        <f t="shared" si="159"/>
        <v>0.45</v>
      </c>
      <c r="K259" s="249">
        <f t="shared" si="160"/>
        <v>10.173999999999999</v>
      </c>
      <c r="L259" s="258">
        <v>0.1</v>
      </c>
      <c r="M259" s="258">
        <f t="shared" si="161"/>
        <v>0.1</v>
      </c>
      <c r="N259" s="251">
        <f t="shared" si="162"/>
        <v>5.0869999999999997</v>
      </c>
      <c r="O259" s="258">
        <v>0.05</v>
      </c>
      <c r="P259" s="258">
        <f t="shared" si="163"/>
        <v>0.05</v>
      </c>
      <c r="Q259" s="249"/>
      <c r="R259" s="249">
        <v>101.74</v>
      </c>
      <c r="S259" s="258">
        <v>0.2</v>
      </c>
      <c r="T259" s="169">
        <f t="shared" si="164"/>
        <v>0</v>
      </c>
      <c r="U259" s="315">
        <f t="shared" si="165"/>
        <v>122.08799999999999</v>
      </c>
      <c r="V259" s="315">
        <f t="shared" si="167"/>
        <v>125</v>
      </c>
      <c r="W259" s="316">
        <f t="shared" si="166"/>
        <v>0</v>
      </c>
    </row>
    <row r="260" spans="1:23" x14ac:dyDescent="0.25">
      <c r="A260" s="200">
        <v>716040</v>
      </c>
      <c r="B260" s="313" t="s">
        <v>16191</v>
      </c>
      <c r="C260" s="248"/>
      <c r="D260" s="247" t="s">
        <v>7</v>
      </c>
      <c r="E260" s="249">
        <f t="shared" si="156"/>
        <v>47.604000000000006</v>
      </c>
      <c r="F260" s="258">
        <v>0.4</v>
      </c>
      <c r="G260" s="258">
        <f t="shared" si="157"/>
        <v>0.4</v>
      </c>
      <c r="H260" s="249">
        <f t="shared" si="158"/>
        <v>53.554500000000004</v>
      </c>
      <c r="I260" s="258">
        <v>0.45</v>
      </c>
      <c r="J260" s="258">
        <f t="shared" si="159"/>
        <v>0.45</v>
      </c>
      <c r="K260" s="249">
        <f t="shared" si="160"/>
        <v>11.901000000000002</v>
      </c>
      <c r="L260" s="258">
        <v>0.1</v>
      </c>
      <c r="M260" s="258">
        <f t="shared" si="161"/>
        <v>0.1</v>
      </c>
      <c r="N260" s="251">
        <f t="shared" si="162"/>
        <v>5.9505000000000008</v>
      </c>
      <c r="O260" s="258">
        <v>0.05</v>
      </c>
      <c r="P260" s="258">
        <f t="shared" si="163"/>
        <v>0.05</v>
      </c>
      <c r="Q260" s="249"/>
      <c r="R260" s="249">
        <v>119.01</v>
      </c>
      <c r="S260" s="258">
        <v>0.2</v>
      </c>
      <c r="T260" s="169">
        <f t="shared" si="164"/>
        <v>0</v>
      </c>
      <c r="U260" s="315">
        <f t="shared" si="165"/>
        <v>142.81200000000001</v>
      </c>
      <c r="V260" s="315">
        <f t="shared" si="167"/>
        <v>145</v>
      </c>
      <c r="W260" s="316">
        <f t="shared" si="166"/>
        <v>0</v>
      </c>
    </row>
    <row r="261" spans="1:23" x14ac:dyDescent="0.25">
      <c r="A261" s="200">
        <v>716050</v>
      </c>
      <c r="B261" s="313" t="s">
        <v>16192</v>
      </c>
      <c r="C261" s="248"/>
      <c r="D261" s="247" t="s">
        <v>7</v>
      </c>
      <c r="E261" s="249">
        <f t="shared" si="156"/>
        <v>57.186499999999988</v>
      </c>
      <c r="F261" s="258">
        <v>0.35</v>
      </c>
      <c r="G261" s="258">
        <f t="shared" si="157"/>
        <v>0.35</v>
      </c>
      <c r="H261" s="249">
        <f t="shared" si="158"/>
        <v>73.525499999999994</v>
      </c>
      <c r="I261" s="258">
        <v>0.45</v>
      </c>
      <c r="J261" s="258">
        <f t="shared" si="159"/>
        <v>0.45</v>
      </c>
      <c r="K261" s="249">
        <f t="shared" si="160"/>
        <v>24.508499999999998</v>
      </c>
      <c r="L261" s="258">
        <v>0.15</v>
      </c>
      <c r="M261" s="258">
        <f t="shared" si="161"/>
        <v>0.15</v>
      </c>
      <c r="N261" s="251">
        <f t="shared" si="162"/>
        <v>8.1694999999999993</v>
      </c>
      <c r="O261" s="258">
        <v>0.05</v>
      </c>
      <c r="P261" s="258">
        <f t="shared" si="163"/>
        <v>0.05</v>
      </c>
      <c r="Q261" s="249"/>
      <c r="R261" s="249">
        <v>163.38999999999999</v>
      </c>
      <c r="S261" s="258">
        <v>0.2</v>
      </c>
      <c r="T261" s="169">
        <f t="shared" si="164"/>
        <v>0</v>
      </c>
      <c r="U261" s="315">
        <f t="shared" si="165"/>
        <v>196.06799999999998</v>
      </c>
      <c r="V261" s="315">
        <f t="shared" si="167"/>
        <v>200</v>
      </c>
      <c r="W261" s="316">
        <f t="shared" si="166"/>
        <v>0</v>
      </c>
    </row>
    <row r="262" spans="1:23" x14ac:dyDescent="0.25">
      <c r="A262" s="200">
        <v>716060</v>
      </c>
      <c r="B262" s="313" t="s">
        <v>16193</v>
      </c>
      <c r="C262" s="248"/>
      <c r="D262" s="247" t="s">
        <v>7</v>
      </c>
      <c r="E262" s="249">
        <f t="shared" si="156"/>
        <v>62.079000000000001</v>
      </c>
      <c r="F262" s="258">
        <v>0.3</v>
      </c>
      <c r="G262" s="258">
        <f t="shared" si="157"/>
        <v>0.3</v>
      </c>
      <c r="H262" s="249">
        <f t="shared" si="158"/>
        <v>93.118500000000012</v>
      </c>
      <c r="I262" s="258">
        <v>0.45</v>
      </c>
      <c r="J262" s="258">
        <f t="shared" si="159"/>
        <v>0.45</v>
      </c>
      <c r="K262" s="249">
        <f t="shared" si="160"/>
        <v>41.386000000000003</v>
      </c>
      <c r="L262" s="258">
        <v>0.2</v>
      </c>
      <c r="M262" s="258">
        <f t="shared" si="161"/>
        <v>0.2</v>
      </c>
      <c r="N262" s="251">
        <f t="shared" si="162"/>
        <v>10.346500000000001</v>
      </c>
      <c r="O262" s="258">
        <v>0.05</v>
      </c>
      <c r="P262" s="258">
        <f t="shared" si="163"/>
        <v>0.05</v>
      </c>
      <c r="Q262" s="249"/>
      <c r="R262" s="249">
        <v>206.93</v>
      </c>
      <c r="S262" s="258">
        <v>0.2</v>
      </c>
      <c r="T262" s="169">
        <f t="shared" si="164"/>
        <v>0</v>
      </c>
      <c r="U262" s="315">
        <f t="shared" si="165"/>
        <v>248.316</v>
      </c>
      <c r="V262" s="315">
        <f t="shared" si="167"/>
        <v>250</v>
      </c>
      <c r="W262" s="316">
        <f t="shared" si="166"/>
        <v>0</v>
      </c>
    </row>
    <row r="263" spans="1:23" x14ac:dyDescent="0.25">
      <c r="A263" s="199" t="s">
        <v>14701</v>
      </c>
      <c r="B263" s="307" t="s">
        <v>18894</v>
      </c>
      <c r="C263" s="308"/>
      <c r="D263" s="309"/>
      <c r="E263" s="310"/>
      <c r="F263" s="311"/>
      <c r="G263" s="311"/>
      <c r="H263" s="310"/>
      <c r="I263" s="311"/>
      <c r="J263" s="311"/>
      <c r="K263" s="310"/>
      <c r="L263" s="311"/>
      <c r="M263" s="311"/>
      <c r="N263" s="310"/>
      <c r="O263" s="311"/>
      <c r="P263" s="311"/>
      <c r="Q263" s="310"/>
      <c r="R263" s="310"/>
      <c r="S263" s="309"/>
      <c r="T263" s="309"/>
      <c r="U263" s="309"/>
      <c r="V263" s="309"/>
      <c r="W263" s="312"/>
    </row>
    <row r="264" spans="1:23" x14ac:dyDescent="0.25">
      <c r="A264" s="200">
        <v>717668</v>
      </c>
      <c r="B264" s="313" t="s">
        <v>16194</v>
      </c>
      <c r="C264" s="248"/>
      <c r="D264" s="247" t="s">
        <v>2</v>
      </c>
      <c r="E264" s="249">
        <f>R264*G264</f>
        <v>306.25</v>
      </c>
      <c r="F264" s="258">
        <v>0.35</v>
      </c>
      <c r="G264" s="258">
        <f>F264</f>
        <v>0.35</v>
      </c>
      <c r="H264" s="249">
        <f>R264*J264</f>
        <v>393.75</v>
      </c>
      <c r="I264" s="258">
        <v>0.45</v>
      </c>
      <c r="J264" s="258">
        <f>I264</f>
        <v>0.45</v>
      </c>
      <c r="K264" s="249">
        <f>R264*M264</f>
        <v>131.25</v>
      </c>
      <c r="L264" s="258">
        <v>0.15</v>
      </c>
      <c r="M264" s="258">
        <f>L264</f>
        <v>0.15</v>
      </c>
      <c r="N264" s="251">
        <f>P264*R264</f>
        <v>43.75</v>
      </c>
      <c r="O264" s="258">
        <v>0.05</v>
      </c>
      <c r="P264" s="258">
        <f>O264</f>
        <v>0.05</v>
      </c>
      <c r="Q264" s="249"/>
      <c r="R264" s="249">
        <v>875</v>
      </c>
      <c r="S264" s="258">
        <v>0.2</v>
      </c>
      <c r="T264" s="169">
        <f>Q264+Q264*S264</f>
        <v>0</v>
      </c>
      <c r="U264" s="315">
        <f>(R264*S264)+R264</f>
        <v>1050</v>
      </c>
      <c r="V264" s="315">
        <f>IF(U264=0, 0, IF(U264&lt;10, _xlfn.CEILING.MATH(U264,1), IF(U264&lt;100, _xlfn.CEILING.MATH(U264,1),IF(U264&lt;1000, _xlfn.CEILING.MATH(U264,5), IF(U264&lt;10000, _xlfn.CEILING.MATH(U264, 25), IF(U264&lt;100000, _xlfn.CEILING.MATH(U264,250), IF(U264&lt;1000000, _xlfn.CEILING.MATH(U264,500), 0)))))))</f>
        <v>1050</v>
      </c>
      <c r="W264" s="316">
        <f>C264*V264</f>
        <v>0</v>
      </c>
    </row>
    <row r="265" spans="1:23" x14ac:dyDescent="0.25">
      <c r="A265" s="200">
        <v>717804</v>
      </c>
      <c r="B265" s="313" t="s">
        <v>16195</v>
      </c>
      <c r="C265" s="248"/>
      <c r="D265" s="247" t="s">
        <v>2</v>
      </c>
      <c r="E265" s="249">
        <f>R265*G265</f>
        <v>102.08275</v>
      </c>
      <c r="F265" s="258">
        <v>0.35</v>
      </c>
      <c r="G265" s="258">
        <f>F265</f>
        <v>0.35</v>
      </c>
      <c r="H265" s="249">
        <f>R265*J265</f>
        <v>102.08275</v>
      </c>
      <c r="I265" s="258">
        <v>0.35</v>
      </c>
      <c r="J265" s="258">
        <f>I265</f>
        <v>0.35</v>
      </c>
      <c r="K265" s="249">
        <f>R265*M265</f>
        <v>72.916250000000005</v>
      </c>
      <c r="L265" s="258">
        <v>0.25</v>
      </c>
      <c r="M265" s="258">
        <f>L265</f>
        <v>0.25</v>
      </c>
      <c r="N265" s="251">
        <f>P265*R265</f>
        <v>14.583250000000001</v>
      </c>
      <c r="O265" s="258">
        <v>0.05</v>
      </c>
      <c r="P265" s="258">
        <f>O265</f>
        <v>0.05</v>
      </c>
      <c r="Q265" s="249"/>
      <c r="R265" s="249">
        <v>291.66500000000002</v>
      </c>
      <c r="S265" s="258">
        <v>0.2</v>
      </c>
      <c r="T265" s="169">
        <f>Q265+Q265*S265</f>
        <v>0</v>
      </c>
      <c r="U265" s="315">
        <f>(R265*S265)+R265</f>
        <v>349.99800000000005</v>
      </c>
      <c r="V265" s="315">
        <f>IF(U265=0, 0, IF(U265&lt;10, _xlfn.CEILING.MATH(U265,1), IF(U265&lt;100, _xlfn.CEILING.MATH(U265,1),IF(U265&lt;1000, _xlfn.CEILING.MATH(U265,5), IF(U265&lt;10000, _xlfn.CEILING.MATH(U265, 25), IF(U265&lt;100000, _xlfn.CEILING.MATH(U265,250), IF(U265&lt;1000000, _xlfn.CEILING.MATH(U265,500), 0)))))))</f>
        <v>350</v>
      </c>
      <c r="W265" s="316">
        <f>C265*V265</f>
        <v>0</v>
      </c>
    </row>
    <row r="266" spans="1:23" x14ac:dyDescent="0.25">
      <c r="A266" s="200">
        <v>717806</v>
      </c>
      <c r="B266" s="313" t="s">
        <v>16196</v>
      </c>
      <c r="C266" s="248"/>
      <c r="D266" s="247" t="s">
        <v>2</v>
      </c>
      <c r="E266" s="249">
        <f>R266*G266</f>
        <v>142.91549999999998</v>
      </c>
      <c r="F266" s="258">
        <v>0.35</v>
      </c>
      <c r="G266" s="258">
        <f>F266</f>
        <v>0.35</v>
      </c>
      <c r="H266" s="249">
        <f>R266*J266</f>
        <v>142.91549999999998</v>
      </c>
      <c r="I266" s="258">
        <v>0.35</v>
      </c>
      <c r="J266" s="258">
        <f>I266</f>
        <v>0.35</v>
      </c>
      <c r="K266" s="249">
        <f>R266*M266</f>
        <v>102.0825</v>
      </c>
      <c r="L266" s="258">
        <v>0.25</v>
      </c>
      <c r="M266" s="258">
        <f>L266</f>
        <v>0.25</v>
      </c>
      <c r="N266" s="251">
        <f>P266*R266</f>
        <v>20.416499999999999</v>
      </c>
      <c r="O266" s="258">
        <v>0.05</v>
      </c>
      <c r="P266" s="258">
        <f>O266</f>
        <v>0.05</v>
      </c>
      <c r="Q266" s="249"/>
      <c r="R266" s="249">
        <v>408.33</v>
      </c>
      <c r="S266" s="258">
        <v>0.2</v>
      </c>
      <c r="T266" s="169">
        <f>Q266+Q266*S266</f>
        <v>0</v>
      </c>
      <c r="U266" s="315">
        <f>(R266*S266)+R266</f>
        <v>489.99599999999998</v>
      </c>
      <c r="V266" s="315">
        <f>IF(U266=0, 0, IF(U266&lt;10, _xlfn.CEILING.MATH(U266,1), IF(U266&lt;100, _xlfn.CEILING.MATH(U266,1),IF(U266&lt;1000, _xlfn.CEILING.MATH(U266,5), IF(U266&lt;10000, _xlfn.CEILING.MATH(U266, 25), IF(U266&lt;100000, _xlfn.CEILING.MATH(U266,250), IF(U266&lt;1000000, _xlfn.CEILING.MATH(U266,500), 0)))))))</f>
        <v>490</v>
      </c>
      <c r="W266" s="316">
        <f>C266*V266</f>
        <v>0</v>
      </c>
    </row>
    <row r="267" spans="1:23" x14ac:dyDescent="0.25">
      <c r="A267" s="200">
        <v>717808</v>
      </c>
      <c r="B267" s="313" t="s">
        <v>16197</v>
      </c>
      <c r="C267" s="248"/>
      <c r="D267" s="247" t="s">
        <v>2</v>
      </c>
      <c r="E267" s="249">
        <f>R267*G267</f>
        <v>195.41550000000001</v>
      </c>
      <c r="F267" s="258">
        <v>0.35</v>
      </c>
      <c r="G267" s="258">
        <f>F267</f>
        <v>0.35</v>
      </c>
      <c r="H267" s="249">
        <f>R267*J267</f>
        <v>195.41550000000001</v>
      </c>
      <c r="I267" s="258">
        <v>0.35</v>
      </c>
      <c r="J267" s="258">
        <f>I267</f>
        <v>0.35</v>
      </c>
      <c r="K267" s="249">
        <f>R267*M267</f>
        <v>139.58250000000001</v>
      </c>
      <c r="L267" s="258">
        <v>0.25</v>
      </c>
      <c r="M267" s="258">
        <f>L267</f>
        <v>0.25</v>
      </c>
      <c r="N267" s="251">
        <f>P267*R267</f>
        <v>27.916500000000003</v>
      </c>
      <c r="O267" s="258">
        <v>0.05</v>
      </c>
      <c r="P267" s="258">
        <f>O267</f>
        <v>0.05</v>
      </c>
      <c r="Q267" s="249"/>
      <c r="R267" s="249">
        <v>558.33000000000004</v>
      </c>
      <c r="S267" s="258">
        <v>0.2</v>
      </c>
      <c r="T267" s="169">
        <f>Q267+Q267*S267</f>
        <v>0</v>
      </c>
      <c r="U267" s="315">
        <f>(R267*S267)+R267</f>
        <v>669.99600000000009</v>
      </c>
      <c r="V267" s="315">
        <f>IF(U267=0, 0, IF(U267&lt;10, _xlfn.CEILING.MATH(U267,1), IF(U267&lt;100, _xlfn.CEILING.MATH(U267,1),IF(U267&lt;1000, _xlfn.CEILING.MATH(U267,5), IF(U267&lt;10000, _xlfn.CEILING.MATH(U267, 25), IF(U267&lt;100000, _xlfn.CEILING.MATH(U267,250), IF(U267&lt;1000000, _xlfn.CEILING.MATH(U267,500), 0)))))))</f>
        <v>670</v>
      </c>
      <c r="W267" s="316">
        <f>C267*V267</f>
        <v>0</v>
      </c>
    </row>
    <row r="268" spans="1:23" x14ac:dyDescent="0.25">
      <c r="A268" s="200">
        <v>717810</v>
      </c>
      <c r="B268" s="313" t="s">
        <v>16198</v>
      </c>
      <c r="C268" s="248"/>
      <c r="D268" s="247" t="s">
        <v>2</v>
      </c>
      <c r="E268" s="249">
        <f>R268*G268</f>
        <v>291.66550000000001</v>
      </c>
      <c r="F268" s="258">
        <v>0.35</v>
      </c>
      <c r="G268" s="258">
        <f>F268</f>
        <v>0.35</v>
      </c>
      <c r="H268" s="249">
        <f>R268*J268</f>
        <v>291.66550000000001</v>
      </c>
      <c r="I268" s="258">
        <v>0.35</v>
      </c>
      <c r="J268" s="258">
        <f>I268</f>
        <v>0.35</v>
      </c>
      <c r="K268" s="249">
        <f>R268*M268</f>
        <v>208.33250000000001</v>
      </c>
      <c r="L268" s="258">
        <v>0.25</v>
      </c>
      <c r="M268" s="258">
        <f>L268</f>
        <v>0.25</v>
      </c>
      <c r="N268" s="251">
        <f>P268*R268</f>
        <v>41.666500000000006</v>
      </c>
      <c r="O268" s="258">
        <v>0.05</v>
      </c>
      <c r="P268" s="258">
        <f>O268</f>
        <v>0.05</v>
      </c>
      <c r="Q268" s="249"/>
      <c r="R268" s="249">
        <v>833.33</v>
      </c>
      <c r="S268" s="258">
        <v>0.2</v>
      </c>
      <c r="T268" s="169">
        <f>Q268+Q268*S268</f>
        <v>0</v>
      </c>
      <c r="U268" s="315">
        <f>(R268*S268)+R268</f>
        <v>999.99600000000009</v>
      </c>
      <c r="V268" s="315">
        <f>IF(U268=0, 0, IF(U268&lt;10, _xlfn.CEILING.MATH(U268,1), IF(U268&lt;100, _xlfn.CEILING.MATH(U268,1),IF(U268&lt;1000, _xlfn.CEILING.MATH(U268,5), IF(U268&lt;10000, _xlfn.CEILING.MATH(U268, 25), IF(U268&lt;100000, _xlfn.CEILING.MATH(U268,250), IF(U268&lt;1000000, _xlfn.CEILING.MATH(U268,500), 0)))))))</f>
        <v>1000</v>
      </c>
      <c r="W268" s="316">
        <f>C268*V268</f>
        <v>0</v>
      </c>
    </row>
    <row r="269" spans="1:23" ht="21" x14ac:dyDescent="0.25">
      <c r="A269" s="200">
        <v>717842</v>
      </c>
      <c r="B269" s="255" t="s">
        <v>20184</v>
      </c>
      <c r="C269" s="248"/>
      <c r="D269" s="247" t="s">
        <v>2</v>
      </c>
      <c r="E269" s="249">
        <f t="shared" ref="E269:E288" si="168">R269*G269</f>
        <v>151.875</v>
      </c>
      <c r="F269" s="258">
        <v>0.45</v>
      </c>
      <c r="G269" s="258">
        <f t="shared" ref="G269:G288" si="169">F269</f>
        <v>0.45</v>
      </c>
      <c r="H269" s="249">
        <f t="shared" ref="H269:H288" si="170">R269*J269</f>
        <v>135</v>
      </c>
      <c r="I269" s="258">
        <v>0.4</v>
      </c>
      <c r="J269" s="258">
        <f t="shared" ref="J269:J288" si="171">I269</f>
        <v>0.4</v>
      </c>
      <c r="K269" s="249">
        <f t="shared" ref="K269:K288" si="172">R269*M269</f>
        <v>33.75</v>
      </c>
      <c r="L269" s="258">
        <v>0.1</v>
      </c>
      <c r="M269" s="258">
        <f t="shared" ref="M269:M288" si="173">L269</f>
        <v>0.1</v>
      </c>
      <c r="N269" s="251">
        <f t="shared" ref="N269:N288" si="174">P269*R269</f>
        <v>16.875</v>
      </c>
      <c r="O269" s="258">
        <v>0.05</v>
      </c>
      <c r="P269" s="258">
        <f t="shared" ref="P269:P288" si="175">O269</f>
        <v>0.05</v>
      </c>
      <c r="Q269" s="249"/>
      <c r="R269" s="249">
        <v>337.5</v>
      </c>
      <c r="S269" s="258">
        <v>0.2</v>
      </c>
      <c r="T269" s="169">
        <f t="shared" ref="T269:T288" si="176">Q269+Q269*S269</f>
        <v>0</v>
      </c>
      <c r="U269" s="315">
        <f t="shared" ref="U269:U289" si="177">(R269*S269)+R269</f>
        <v>405</v>
      </c>
      <c r="V269" s="315">
        <f t="shared" ref="V269:V289" si="178">IF(U269=0, 0, IF(U269&lt;10, _xlfn.CEILING.MATH(U269,1), IF(U269&lt;100, _xlfn.CEILING.MATH(U269,1),IF(U269&lt;1000, _xlfn.CEILING.MATH(U269,5), IF(U269&lt;10000, _xlfn.CEILING.MATH(U269, 25), IF(U269&lt;100000, _xlfn.CEILING.MATH(U269,250), IF(U269&lt;1000000, _xlfn.CEILING.MATH(U269,500), 0)))))))</f>
        <v>405</v>
      </c>
      <c r="W269" s="316">
        <f t="shared" ref="W269:W289" si="179">C269*V269</f>
        <v>0</v>
      </c>
    </row>
    <row r="270" spans="1:23" ht="21" x14ac:dyDescent="0.25">
      <c r="A270" s="200">
        <v>717842</v>
      </c>
      <c r="B270" s="255" t="s">
        <v>16199</v>
      </c>
      <c r="C270" s="248"/>
      <c r="D270" s="247" t="s">
        <v>2</v>
      </c>
      <c r="E270" s="249">
        <f t="shared" si="168"/>
        <v>163.125</v>
      </c>
      <c r="F270" s="258">
        <v>0.45</v>
      </c>
      <c r="G270" s="258">
        <f t="shared" si="169"/>
        <v>0.45</v>
      </c>
      <c r="H270" s="249">
        <f t="shared" si="170"/>
        <v>145</v>
      </c>
      <c r="I270" s="258">
        <v>0.4</v>
      </c>
      <c r="J270" s="258">
        <f t="shared" si="171"/>
        <v>0.4</v>
      </c>
      <c r="K270" s="249">
        <f t="shared" si="172"/>
        <v>36.25</v>
      </c>
      <c r="L270" s="258">
        <v>0.1</v>
      </c>
      <c r="M270" s="258">
        <f t="shared" si="173"/>
        <v>0.1</v>
      </c>
      <c r="N270" s="251">
        <f t="shared" si="174"/>
        <v>18.125</v>
      </c>
      <c r="O270" s="258">
        <v>0.05</v>
      </c>
      <c r="P270" s="258">
        <f t="shared" si="175"/>
        <v>0.05</v>
      </c>
      <c r="Q270" s="249"/>
      <c r="R270" s="249">
        <v>362.5</v>
      </c>
      <c r="S270" s="258">
        <v>0.2</v>
      </c>
      <c r="T270" s="169">
        <f t="shared" si="176"/>
        <v>0</v>
      </c>
      <c r="U270" s="315">
        <f t="shared" si="177"/>
        <v>435</v>
      </c>
      <c r="V270" s="315">
        <f t="shared" si="178"/>
        <v>435</v>
      </c>
      <c r="W270" s="316">
        <f t="shared" si="179"/>
        <v>0</v>
      </c>
    </row>
    <row r="271" spans="1:23" ht="21" x14ac:dyDescent="0.25">
      <c r="A271" s="200">
        <v>717848</v>
      </c>
      <c r="B271" s="255" t="s">
        <v>16200</v>
      </c>
      <c r="C271" s="248"/>
      <c r="D271" s="247" t="s">
        <v>2</v>
      </c>
      <c r="E271" s="249">
        <f t="shared" si="168"/>
        <v>180</v>
      </c>
      <c r="F271" s="258">
        <v>0.45</v>
      </c>
      <c r="G271" s="258">
        <f t="shared" si="169"/>
        <v>0.45</v>
      </c>
      <c r="H271" s="249">
        <f t="shared" si="170"/>
        <v>160</v>
      </c>
      <c r="I271" s="258">
        <v>0.4</v>
      </c>
      <c r="J271" s="258">
        <f t="shared" si="171"/>
        <v>0.4</v>
      </c>
      <c r="K271" s="249">
        <f t="shared" si="172"/>
        <v>40</v>
      </c>
      <c r="L271" s="258">
        <v>0.1</v>
      </c>
      <c r="M271" s="258">
        <f t="shared" si="173"/>
        <v>0.1</v>
      </c>
      <c r="N271" s="251">
        <f t="shared" si="174"/>
        <v>20</v>
      </c>
      <c r="O271" s="258">
        <v>0.05</v>
      </c>
      <c r="P271" s="258">
        <f t="shared" si="175"/>
        <v>0.05</v>
      </c>
      <c r="Q271" s="249"/>
      <c r="R271" s="249">
        <v>400</v>
      </c>
      <c r="S271" s="258">
        <v>0.2</v>
      </c>
      <c r="T271" s="169">
        <f t="shared" si="176"/>
        <v>0</v>
      </c>
      <c r="U271" s="315">
        <f t="shared" si="177"/>
        <v>480</v>
      </c>
      <c r="V271" s="315">
        <f t="shared" si="178"/>
        <v>480</v>
      </c>
      <c r="W271" s="316">
        <f t="shared" si="179"/>
        <v>0</v>
      </c>
    </row>
    <row r="272" spans="1:23" ht="21" x14ac:dyDescent="0.25">
      <c r="A272" s="200">
        <v>717848</v>
      </c>
      <c r="B272" s="255" t="s">
        <v>16201</v>
      </c>
      <c r="C272" s="248"/>
      <c r="D272" s="247" t="s">
        <v>2</v>
      </c>
      <c r="E272" s="249">
        <f t="shared" si="168"/>
        <v>195.75</v>
      </c>
      <c r="F272" s="258">
        <v>0.45</v>
      </c>
      <c r="G272" s="258">
        <f t="shared" si="169"/>
        <v>0.45</v>
      </c>
      <c r="H272" s="249">
        <f t="shared" si="170"/>
        <v>174</v>
      </c>
      <c r="I272" s="258">
        <v>0.4</v>
      </c>
      <c r="J272" s="258">
        <f t="shared" si="171"/>
        <v>0.4</v>
      </c>
      <c r="K272" s="249">
        <f t="shared" si="172"/>
        <v>43.5</v>
      </c>
      <c r="L272" s="258">
        <v>0.1</v>
      </c>
      <c r="M272" s="258">
        <f t="shared" si="173"/>
        <v>0.1</v>
      </c>
      <c r="N272" s="251">
        <f t="shared" si="174"/>
        <v>21.75</v>
      </c>
      <c r="O272" s="258">
        <v>0.05</v>
      </c>
      <c r="P272" s="258">
        <f t="shared" si="175"/>
        <v>0.05</v>
      </c>
      <c r="Q272" s="249"/>
      <c r="R272" s="249">
        <v>435</v>
      </c>
      <c r="S272" s="258">
        <v>0.2</v>
      </c>
      <c r="T272" s="169">
        <f t="shared" si="176"/>
        <v>0</v>
      </c>
      <c r="U272" s="315">
        <f t="shared" si="177"/>
        <v>522</v>
      </c>
      <c r="V272" s="315">
        <f t="shared" si="178"/>
        <v>525</v>
      </c>
      <c r="W272" s="316">
        <f t="shared" si="179"/>
        <v>0</v>
      </c>
    </row>
    <row r="273" spans="1:23" ht="21" x14ac:dyDescent="0.25">
      <c r="A273" s="200">
        <v>717850</v>
      </c>
      <c r="B273" s="255" t="s">
        <v>16202</v>
      </c>
      <c r="C273" s="248"/>
      <c r="D273" s="247" t="s">
        <v>2</v>
      </c>
      <c r="E273" s="249">
        <f t="shared" si="168"/>
        <v>202.5</v>
      </c>
      <c r="F273" s="258">
        <v>0.45</v>
      </c>
      <c r="G273" s="258">
        <f t="shared" si="169"/>
        <v>0.45</v>
      </c>
      <c r="H273" s="249">
        <f t="shared" si="170"/>
        <v>180</v>
      </c>
      <c r="I273" s="258">
        <v>0.4</v>
      </c>
      <c r="J273" s="258">
        <f t="shared" si="171"/>
        <v>0.4</v>
      </c>
      <c r="K273" s="249">
        <f t="shared" si="172"/>
        <v>45</v>
      </c>
      <c r="L273" s="258">
        <v>0.1</v>
      </c>
      <c r="M273" s="258">
        <f t="shared" si="173"/>
        <v>0.1</v>
      </c>
      <c r="N273" s="251">
        <f t="shared" si="174"/>
        <v>22.5</v>
      </c>
      <c r="O273" s="258">
        <v>0.05</v>
      </c>
      <c r="P273" s="258">
        <f t="shared" si="175"/>
        <v>0.05</v>
      </c>
      <c r="Q273" s="249"/>
      <c r="R273" s="249">
        <v>450</v>
      </c>
      <c r="S273" s="258">
        <v>0.2</v>
      </c>
      <c r="T273" s="169">
        <f t="shared" si="176"/>
        <v>0</v>
      </c>
      <c r="U273" s="315">
        <f t="shared" si="177"/>
        <v>540</v>
      </c>
      <c r="V273" s="315">
        <f t="shared" si="178"/>
        <v>540</v>
      </c>
      <c r="W273" s="316">
        <f t="shared" si="179"/>
        <v>0</v>
      </c>
    </row>
    <row r="274" spans="1:23" ht="21" x14ac:dyDescent="0.25">
      <c r="A274" s="200">
        <v>717850</v>
      </c>
      <c r="B274" s="255" t="s">
        <v>16203</v>
      </c>
      <c r="C274" s="248"/>
      <c r="D274" s="247" t="s">
        <v>2</v>
      </c>
      <c r="E274" s="249">
        <f t="shared" si="168"/>
        <v>210.00150000000002</v>
      </c>
      <c r="F274" s="258">
        <v>0.45</v>
      </c>
      <c r="G274" s="258">
        <f t="shared" si="169"/>
        <v>0.45</v>
      </c>
      <c r="H274" s="249">
        <f t="shared" si="170"/>
        <v>186.66800000000001</v>
      </c>
      <c r="I274" s="258">
        <v>0.4</v>
      </c>
      <c r="J274" s="258">
        <f t="shared" si="171"/>
        <v>0.4</v>
      </c>
      <c r="K274" s="249">
        <f t="shared" si="172"/>
        <v>46.667000000000002</v>
      </c>
      <c r="L274" s="258">
        <v>0.1</v>
      </c>
      <c r="M274" s="258">
        <f t="shared" si="173"/>
        <v>0.1</v>
      </c>
      <c r="N274" s="251">
        <f t="shared" si="174"/>
        <v>23.333500000000001</v>
      </c>
      <c r="O274" s="258">
        <v>0.05</v>
      </c>
      <c r="P274" s="258">
        <f t="shared" si="175"/>
        <v>0.05</v>
      </c>
      <c r="Q274" s="249"/>
      <c r="R274" s="249">
        <v>466.67</v>
      </c>
      <c r="S274" s="258">
        <v>0.2</v>
      </c>
      <c r="T274" s="169">
        <f t="shared" si="176"/>
        <v>0</v>
      </c>
      <c r="U274" s="315">
        <f t="shared" si="177"/>
        <v>560.00400000000002</v>
      </c>
      <c r="V274" s="315">
        <f t="shared" si="178"/>
        <v>565</v>
      </c>
      <c r="W274" s="316">
        <f t="shared" si="179"/>
        <v>0</v>
      </c>
    </row>
    <row r="275" spans="1:23" ht="21" x14ac:dyDescent="0.25">
      <c r="A275" s="200">
        <v>717852</v>
      </c>
      <c r="B275" s="255" t="s">
        <v>16204</v>
      </c>
      <c r="C275" s="248"/>
      <c r="D275" s="247" t="s">
        <v>2</v>
      </c>
      <c r="E275" s="249">
        <f t="shared" si="168"/>
        <v>217.49850000000001</v>
      </c>
      <c r="F275" s="258">
        <v>0.45</v>
      </c>
      <c r="G275" s="258">
        <f t="shared" si="169"/>
        <v>0.45</v>
      </c>
      <c r="H275" s="249">
        <f t="shared" si="170"/>
        <v>193.33199999999999</v>
      </c>
      <c r="I275" s="258">
        <v>0.4</v>
      </c>
      <c r="J275" s="258">
        <f t="shared" si="171"/>
        <v>0.4</v>
      </c>
      <c r="K275" s="249">
        <f t="shared" si="172"/>
        <v>48.332999999999998</v>
      </c>
      <c r="L275" s="258">
        <v>0.1</v>
      </c>
      <c r="M275" s="258">
        <f t="shared" si="173"/>
        <v>0.1</v>
      </c>
      <c r="N275" s="251">
        <f t="shared" si="174"/>
        <v>24.166499999999999</v>
      </c>
      <c r="O275" s="258">
        <v>0.05</v>
      </c>
      <c r="P275" s="258">
        <f t="shared" si="175"/>
        <v>0.05</v>
      </c>
      <c r="Q275" s="249"/>
      <c r="R275" s="249">
        <v>483.33</v>
      </c>
      <c r="S275" s="258">
        <v>0.2</v>
      </c>
      <c r="T275" s="169">
        <f t="shared" si="176"/>
        <v>0</v>
      </c>
      <c r="U275" s="315">
        <f t="shared" si="177"/>
        <v>579.99599999999998</v>
      </c>
      <c r="V275" s="315">
        <f t="shared" si="178"/>
        <v>580</v>
      </c>
      <c r="W275" s="316">
        <f t="shared" si="179"/>
        <v>0</v>
      </c>
    </row>
    <row r="276" spans="1:23" ht="21" x14ac:dyDescent="0.25">
      <c r="A276" s="200">
        <v>717852</v>
      </c>
      <c r="B276" s="255" t="s">
        <v>16205</v>
      </c>
      <c r="C276" s="248"/>
      <c r="D276" s="247" t="s">
        <v>2</v>
      </c>
      <c r="E276" s="249">
        <f t="shared" si="168"/>
        <v>225</v>
      </c>
      <c r="F276" s="258">
        <v>0.45</v>
      </c>
      <c r="G276" s="258">
        <f t="shared" si="169"/>
        <v>0.45</v>
      </c>
      <c r="H276" s="249">
        <f t="shared" si="170"/>
        <v>200</v>
      </c>
      <c r="I276" s="258">
        <v>0.4</v>
      </c>
      <c r="J276" s="258">
        <f t="shared" si="171"/>
        <v>0.4</v>
      </c>
      <c r="K276" s="249">
        <f t="shared" si="172"/>
        <v>50</v>
      </c>
      <c r="L276" s="258">
        <v>0.1</v>
      </c>
      <c r="M276" s="258">
        <f t="shared" si="173"/>
        <v>0.1</v>
      </c>
      <c r="N276" s="251">
        <f t="shared" si="174"/>
        <v>25</v>
      </c>
      <c r="O276" s="258">
        <v>0.05</v>
      </c>
      <c r="P276" s="258">
        <f t="shared" si="175"/>
        <v>0.05</v>
      </c>
      <c r="Q276" s="249"/>
      <c r="R276" s="249">
        <v>500</v>
      </c>
      <c r="S276" s="258">
        <v>0.2</v>
      </c>
      <c r="T276" s="169">
        <f t="shared" si="176"/>
        <v>0</v>
      </c>
      <c r="U276" s="315">
        <f t="shared" si="177"/>
        <v>600</v>
      </c>
      <c r="V276" s="315">
        <f t="shared" si="178"/>
        <v>600</v>
      </c>
      <c r="W276" s="316">
        <f t="shared" si="179"/>
        <v>0</v>
      </c>
    </row>
    <row r="277" spans="1:23" ht="21" x14ac:dyDescent="0.25">
      <c r="A277" s="200">
        <v>717854</v>
      </c>
      <c r="B277" s="255" t="s">
        <v>16206</v>
      </c>
      <c r="C277" s="248"/>
      <c r="D277" s="247" t="s">
        <v>2</v>
      </c>
      <c r="E277" s="249">
        <f t="shared" si="168"/>
        <v>254.99924999999999</v>
      </c>
      <c r="F277" s="258">
        <v>0.45</v>
      </c>
      <c r="G277" s="258">
        <f t="shared" si="169"/>
        <v>0.45</v>
      </c>
      <c r="H277" s="249">
        <f t="shared" si="170"/>
        <v>226.666</v>
      </c>
      <c r="I277" s="258">
        <v>0.4</v>
      </c>
      <c r="J277" s="258">
        <f t="shared" si="171"/>
        <v>0.4</v>
      </c>
      <c r="K277" s="249">
        <f t="shared" si="172"/>
        <v>56.666499999999999</v>
      </c>
      <c r="L277" s="258">
        <v>0.1</v>
      </c>
      <c r="M277" s="258">
        <f t="shared" si="173"/>
        <v>0.1</v>
      </c>
      <c r="N277" s="251">
        <f t="shared" si="174"/>
        <v>28.33325</v>
      </c>
      <c r="O277" s="258">
        <v>0.05</v>
      </c>
      <c r="P277" s="258">
        <f t="shared" si="175"/>
        <v>0.05</v>
      </c>
      <c r="Q277" s="249"/>
      <c r="R277" s="249">
        <v>566.66499999999996</v>
      </c>
      <c r="S277" s="258">
        <v>0.2</v>
      </c>
      <c r="T277" s="169">
        <f t="shared" si="176"/>
        <v>0</v>
      </c>
      <c r="U277" s="315">
        <f t="shared" si="177"/>
        <v>679.99799999999993</v>
      </c>
      <c r="V277" s="315">
        <f t="shared" si="178"/>
        <v>680</v>
      </c>
      <c r="W277" s="316">
        <f t="shared" si="179"/>
        <v>0</v>
      </c>
    </row>
    <row r="278" spans="1:23" ht="21" x14ac:dyDescent="0.25">
      <c r="A278" s="200">
        <v>717854</v>
      </c>
      <c r="B278" s="255" t="s">
        <v>16207</v>
      </c>
      <c r="C278" s="248"/>
      <c r="D278" s="247" t="s">
        <v>2</v>
      </c>
      <c r="E278" s="249">
        <f t="shared" si="168"/>
        <v>270</v>
      </c>
      <c r="F278" s="258">
        <v>0.45</v>
      </c>
      <c r="G278" s="258">
        <f t="shared" si="169"/>
        <v>0.45</v>
      </c>
      <c r="H278" s="249">
        <f t="shared" si="170"/>
        <v>240</v>
      </c>
      <c r="I278" s="258">
        <v>0.4</v>
      </c>
      <c r="J278" s="258">
        <f t="shared" si="171"/>
        <v>0.4</v>
      </c>
      <c r="K278" s="249">
        <f t="shared" si="172"/>
        <v>60</v>
      </c>
      <c r="L278" s="258">
        <v>0.1</v>
      </c>
      <c r="M278" s="258">
        <f t="shared" si="173"/>
        <v>0.1</v>
      </c>
      <c r="N278" s="251">
        <f t="shared" si="174"/>
        <v>30</v>
      </c>
      <c r="O278" s="258">
        <v>0.05</v>
      </c>
      <c r="P278" s="258">
        <f t="shared" si="175"/>
        <v>0.05</v>
      </c>
      <c r="Q278" s="249"/>
      <c r="R278" s="249">
        <v>600</v>
      </c>
      <c r="S278" s="258">
        <v>0.2</v>
      </c>
      <c r="T278" s="169">
        <f t="shared" si="176"/>
        <v>0</v>
      </c>
      <c r="U278" s="315">
        <f t="shared" si="177"/>
        <v>720</v>
      </c>
      <c r="V278" s="315">
        <f t="shared" si="178"/>
        <v>720</v>
      </c>
      <c r="W278" s="316">
        <f t="shared" si="179"/>
        <v>0</v>
      </c>
    </row>
    <row r="279" spans="1:23" ht="21" x14ac:dyDescent="0.25">
      <c r="A279" s="200">
        <v>717860</v>
      </c>
      <c r="B279" s="255" t="s">
        <v>16208</v>
      </c>
      <c r="C279" s="248"/>
      <c r="D279" s="247" t="s">
        <v>2</v>
      </c>
      <c r="E279" s="249">
        <f t="shared" si="168"/>
        <v>281.25</v>
      </c>
      <c r="F279" s="258">
        <v>0.45</v>
      </c>
      <c r="G279" s="258">
        <f t="shared" si="169"/>
        <v>0.45</v>
      </c>
      <c r="H279" s="249">
        <f t="shared" si="170"/>
        <v>250</v>
      </c>
      <c r="I279" s="258">
        <v>0.4</v>
      </c>
      <c r="J279" s="258">
        <f t="shared" si="171"/>
        <v>0.4</v>
      </c>
      <c r="K279" s="249">
        <f t="shared" si="172"/>
        <v>62.5</v>
      </c>
      <c r="L279" s="258">
        <v>0.1</v>
      </c>
      <c r="M279" s="258">
        <f t="shared" si="173"/>
        <v>0.1</v>
      </c>
      <c r="N279" s="251">
        <f t="shared" si="174"/>
        <v>31.25</v>
      </c>
      <c r="O279" s="258">
        <v>0.05</v>
      </c>
      <c r="P279" s="258">
        <f t="shared" si="175"/>
        <v>0.05</v>
      </c>
      <c r="Q279" s="249"/>
      <c r="R279" s="249">
        <v>625</v>
      </c>
      <c r="S279" s="258">
        <v>0.2</v>
      </c>
      <c r="T279" s="169">
        <f t="shared" si="176"/>
        <v>0</v>
      </c>
      <c r="U279" s="315">
        <f t="shared" si="177"/>
        <v>750</v>
      </c>
      <c r="V279" s="315">
        <f t="shared" si="178"/>
        <v>750</v>
      </c>
      <c r="W279" s="316">
        <f t="shared" si="179"/>
        <v>0</v>
      </c>
    </row>
    <row r="280" spans="1:23" ht="21" x14ac:dyDescent="0.25">
      <c r="A280" s="200">
        <v>717860</v>
      </c>
      <c r="B280" s="255" t="s">
        <v>16209</v>
      </c>
      <c r="C280" s="248"/>
      <c r="D280" s="247" t="s">
        <v>2</v>
      </c>
      <c r="E280" s="249">
        <f t="shared" si="168"/>
        <v>299.99925000000002</v>
      </c>
      <c r="F280" s="258">
        <v>0.45</v>
      </c>
      <c r="G280" s="258">
        <f t="shared" si="169"/>
        <v>0.45</v>
      </c>
      <c r="H280" s="249">
        <f t="shared" si="170"/>
        <v>266.666</v>
      </c>
      <c r="I280" s="258">
        <v>0.4</v>
      </c>
      <c r="J280" s="258">
        <f t="shared" si="171"/>
        <v>0.4</v>
      </c>
      <c r="K280" s="249">
        <f t="shared" si="172"/>
        <v>66.666499999999999</v>
      </c>
      <c r="L280" s="258">
        <v>0.1</v>
      </c>
      <c r="M280" s="258">
        <f t="shared" si="173"/>
        <v>0.1</v>
      </c>
      <c r="N280" s="251">
        <f t="shared" si="174"/>
        <v>33.33325</v>
      </c>
      <c r="O280" s="258">
        <v>0.05</v>
      </c>
      <c r="P280" s="258">
        <f t="shared" si="175"/>
        <v>0.05</v>
      </c>
      <c r="Q280" s="249"/>
      <c r="R280" s="249">
        <v>666.66499999999996</v>
      </c>
      <c r="S280" s="258">
        <v>0.2</v>
      </c>
      <c r="T280" s="169">
        <f t="shared" si="176"/>
        <v>0</v>
      </c>
      <c r="U280" s="315">
        <f t="shared" si="177"/>
        <v>799.99799999999993</v>
      </c>
      <c r="V280" s="315">
        <f t="shared" si="178"/>
        <v>800</v>
      </c>
      <c r="W280" s="316">
        <f t="shared" si="179"/>
        <v>0</v>
      </c>
    </row>
    <row r="281" spans="1:23" ht="21" x14ac:dyDescent="0.25">
      <c r="A281" s="200">
        <v>717863</v>
      </c>
      <c r="B281" s="255" t="s">
        <v>16210</v>
      </c>
      <c r="C281" s="248"/>
      <c r="D281" s="247" t="s">
        <v>2</v>
      </c>
      <c r="E281" s="249">
        <f t="shared" si="168"/>
        <v>318.74850000000004</v>
      </c>
      <c r="F281" s="258">
        <v>0.45</v>
      </c>
      <c r="G281" s="258">
        <f t="shared" si="169"/>
        <v>0.45</v>
      </c>
      <c r="H281" s="249">
        <f t="shared" si="170"/>
        <v>283.33200000000005</v>
      </c>
      <c r="I281" s="258">
        <v>0.4</v>
      </c>
      <c r="J281" s="258">
        <f t="shared" si="171"/>
        <v>0.4</v>
      </c>
      <c r="K281" s="249">
        <f t="shared" si="172"/>
        <v>70.833000000000013</v>
      </c>
      <c r="L281" s="258">
        <v>0.1</v>
      </c>
      <c r="M281" s="258">
        <f t="shared" si="173"/>
        <v>0.1</v>
      </c>
      <c r="N281" s="251">
        <f t="shared" si="174"/>
        <v>35.416500000000006</v>
      </c>
      <c r="O281" s="258">
        <v>0.05</v>
      </c>
      <c r="P281" s="258">
        <f t="shared" si="175"/>
        <v>0.05</v>
      </c>
      <c r="Q281" s="249"/>
      <c r="R281" s="249">
        <v>708.33</v>
      </c>
      <c r="S281" s="258">
        <v>0.2</v>
      </c>
      <c r="T281" s="169">
        <f t="shared" si="176"/>
        <v>0</v>
      </c>
      <c r="U281" s="315">
        <f t="shared" si="177"/>
        <v>849.99600000000009</v>
      </c>
      <c r="V281" s="315">
        <f t="shared" si="178"/>
        <v>850</v>
      </c>
      <c r="W281" s="316">
        <f t="shared" si="179"/>
        <v>0</v>
      </c>
    </row>
    <row r="282" spans="1:23" ht="21" x14ac:dyDescent="0.25">
      <c r="A282" s="200">
        <v>717863</v>
      </c>
      <c r="B282" s="255" t="s">
        <v>16211</v>
      </c>
      <c r="C282" s="248"/>
      <c r="D282" s="247" t="s">
        <v>2</v>
      </c>
      <c r="E282" s="249">
        <f t="shared" si="168"/>
        <v>337.5</v>
      </c>
      <c r="F282" s="258">
        <v>0.45</v>
      </c>
      <c r="G282" s="258">
        <f t="shared" si="169"/>
        <v>0.45</v>
      </c>
      <c r="H282" s="249">
        <f t="shared" si="170"/>
        <v>300</v>
      </c>
      <c r="I282" s="258">
        <v>0.4</v>
      </c>
      <c r="J282" s="258">
        <f t="shared" si="171"/>
        <v>0.4</v>
      </c>
      <c r="K282" s="249">
        <f t="shared" si="172"/>
        <v>75</v>
      </c>
      <c r="L282" s="258">
        <v>0.1</v>
      </c>
      <c r="M282" s="258">
        <f t="shared" si="173"/>
        <v>0.1</v>
      </c>
      <c r="N282" s="251">
        <f t="shared" si="174"/>
        <v>37.5</v>
      </c>
      <c r="O282" s="258">
        <v>0.05</v>
      </c>
      <c r="P282" s="258">
        <f t="shared" si="175"/>
        <v>0.05</v>
      </c>
      <c r="Q282" s="249"/>
      <c r="R282" s="249">
        <v>750</v>
      </c>
      <c r="S282" s="258">
        <v>0.2</v>
      </c>
      <c r="T282" s="169">
        <f t="shared" si="176"/>
        <v>0</v>
      </c>
      <c r="U282" s="315">
        <f t="shared" si="177"/>
        <v>900</v>
      </c>
      <c r="V282" s="315">
        <f t="shared" si="178"/>
        <v>900</v>
      </c>
      <c r="W282" s="316">
        <f t="shared" si="179"/>
        <v>0</v>
      </c>
    </row>
    <row r="283" spans="1:23" x14ac:dyDescent="0.25">
      <c r="A283" s="200">
        <v>722006</v>
      </c>
      <c r="B283" s="313" t="s">
        <v>16212</v>
      </c>
      <c r="C283" s="248"/>
      <c r="D283" s="247" t="s">
        <v>2</v>
      </c>
      <c r="E283" s="249">
        <f t="shared" si="168"/>
        <v>58.5</v>
      </c>
      <c r="F283" s="258">
        <v>0.65</v>
      </c>
      <c r="G283" s="258">
        <f t="shared" si="169"/>
        <v>0.65</v>
      </c>
      <c r="H283" s="249">
        <f t="shared" si="170"/>
        <v>18</v>
      </c>
      <c r="I283" s="258">
        <v>0.2</v>
      </c>
      <c r="J283" s="258">
        <f t="shared" si="171"/>
        <v>0.2</v>
      </c>
      <c r="K283" s="249">
        <f t="shared" si="172"/>
        <v>9</v>
      </c>
      <c r="L283" s="258">
        <v>0.1</v>
      </c>
      <c r="M283" s="258">
        <f t="shared" si="173"/>
        <v>0.1</v>
      </c>
      <c r="N283" s="251">
        <f t="shared" si="174"/>
        <v>4.5</v>
      </c>
      <c r="O283" s="258">
        <v>0.05</v>
      </c>
      <c r="P283" s="258">
        <f t="shared" si="175"/>
        <v>0.05</v>
      </c>
      <c r="Q283" s="249"/>
      <c r="R283" s="249">
        <v>90</v>
      </c>
      <c r="S283" s="258">
        <v>0.2</v>
      </c>
      <c r="T283" s="169">
        <f t="shared" si="176"/>
        <v>0</v>
      </c>
      <c r="U283" s="315">
        <f t="shared" si="177"/>
        <v>108</v>
      </c>
      <c r="V283" s="315">
        <f t="shared" si="178"/>
        <v>110</v>
      </c>
      <c r="W283" s="316">
        <f t="shared" si="179"/>
        <v>0</v>
      </c>
    </row>
    <row r="284" spans="1:23" x14ac:dyDescent="0.25">
      <c r="A284" s="200">
        <v>722010</v>
      </c>
      <c r="B284" s="313" t="s">
        <v>16213</v>
      </c>
      <c r="C284" s="248"/>
      <c r="D284" s="247" t="s">
        <v>2</v>
      </c>
      <c r="E284" s="249">
        <f t="shared" si="168"/>
        <v>71.5</v>
      </c>
      <c r="F284" s="258">
        <v>0.65</v>
      </c>
      <c r="G284" s="258">
        <f t="shared" si="169"/>
        <v>0.65</v>
      </c>
      <c r="H284" s="249">
        <f t="shared" si="170"/>
        <v>22</v>
      </c>
      <c r="I284" s="258">
        <v>0.2</v>
      </c>
      <c r="J284" s="258">
        <f t="shared" si="171"/>
        <v>0.2</v>
      </c>
      <c r="K284" s="249">
        <f t="shared" si="172"/>
        <v>11</v>
      </c>
      <c r="L284" s="258">
        <v>0.1</v>
      </c>
      <c r="M284" s="258">
        <f t="shared" si="173"/>
        <v>0.1</v>
      </c>
      <c r="N284" s="251">
        <f t="shared" si="174"/>
        <v>5.5</v>
      </c>
      <c r="O284" s="258">
        <v>0.05</v>
      </c>
      <c r="P284" s="258">
        <f t="shared" si="175"/>
        <v>0.05</v>
      </c>
      <c r="Q284" s="249"/>
      <c r="R284" s="249">
        <v>110</v>
      </c>
      <c r="S284" s="258">
        <v>0.2</v>
      </c>
      <c r="T284" s="169">
        <f t="shared" si="176"/>
        <v>0</v>
      </c>
      <c r="U284" s="315">
        <f t="shared" si="177"/>
        <v>132</v>
      </c>
      <c r="V284" s="315">
        <f t="shared" si="178"/>
        <v>135</v>
      </c>
      <c r="W284" s="316">
        <f t="shared" si="179"/>
        <v>0</v>
      </c>
    </row>
    <row r="285" spans="1:23" x14ac:dyDescent="0.25">
      <c r="A285" s="200">
        <v>722012</v>
      </c>
      <c r="B285" s="313" t="s">
        <v>16214</v>
      </c>
      <c r="C285" s="248"/>
      <c r="D285" s="247" t="s">
        <v>2</v>
      </c>
      <c r="E285" s="249">
        <f t="shared" si="168"/>
        <v>84.5</v>
      </c>
      <c r="F285" s="258">
        <v>0.65</v>
      </c>
      <c r="G285" s="258">
        <f t="shared" si="169"/>
        <v>0.65</v>
      </c>
      <c r="H285" s="249">
        <f t="shared" si="170"/>
        <v>26</v>
      </c>
      <c r="I285" s="258">
        <v>0.2</v>
      </c>
      <c r="J285" s="258">
        <f t="shared" si="171"/>
        <v>0.2</v>
      </c>
      <c r="K285" s="249">
        <f t="shared" si="172"/>
        <v>13</v>
      </c>
      <c r="L285" s="258">
        <v>0.1</v>
      </c>
      <c r="M285" s="258">
        <f t="shared" si="173"/>
        <v>0.1</v>
      </c>
      <c r="N285" s="251">
        <f t="shared" si="174"/>
        <v>6.5</v>
      </c>
      <c r="O285" s="258">
        <v>0.05</v>
      </c>
      <c r="P285" s="258">
        <f t="shared" si="175"/>
        <v>0.05</v>
      </c>
      <c r="Q285" s="249"/>
      <c r="R285" s="249">
        <v>130</v>
      </c>
      <c r="S285" s="258">
        <v>0.2</v>
      </c>
      <c r="T285" s="169">
        <f t="shared" si="176"/>
        <v>0</v>
      </c>
      <c r="U285" s="315">
        <f t="shared" si="177"/>
        <v>156</v>
      </c>
      <c r="V285" s="315">
        <f t="shared" si="178"/>
        <v>160</v>
      </c>
      <c r="W285" s="316">
        <f t="shared" si="179"/>
        <v>0</v>
      </c>
    </row>
    <row r="286" spans="1:23" x14ac:dyDescent="0.25">
      <c r="A286" s="200">
        <v>722016</v>
      </c>
      <c r="B286" s="313" t="s">
        <v>16215</v>
      </c>
      <c r="C286" s="248"/>
      <c r="D286" s="247" t="s">
        <v>2</v>
      </c>
      <c r="E286" s="249">
        <f t="shared" si="168"/>
        <v>90</v>
      </c>
      <c r="F286" s="258">
        <v>0.6</v>
      </c>
      <c r="G286" s="258">
        <f t="shared" si="169"/>
        <v>0.6</v>
      </c>
      <c r="H286" s="249">
        <f t="shared" si="170"/>
        <v>30</v>
      </c>
      <c r="I286" s="258">
        <v>0.2</v>
      </c>
      <c r="J286" s="258">
        <f t="shared" si="171"/>
        <v>0.2</v>
      </c>
      <c r="K286" s="249">
        <f t="shared" si="172"/>
        <v>22.5</v>
      </c>
      <c r="L286" s="258">
        <v>0.15</v>
      </c>
      <c r="M286" s="258">
        <f t="shared" si="173"/>
        <v>0.15</v>
      </c>
      <c r="N286" s="251">
        <f t="shared" si="174"/>
        <v>7.5</v>
      </c>
      <c r="O286" s="258">
        <v>0.05</v>
      </c>
      <c r="P286" s="258">
        <f t="shared" si="175"/>
        <v>0.05</v>
      </c>
      <c r="Q286" s="249"/>
      <c r="R286" s="249">
        <v>150</v>
      </c>
      <c r="S286" s="258">
        <v>0.2</v>
      </c>
      <c r="T286" s="169">
        <f t="shared" si="176"/>
        <v>0</v>
      </c>
      <c r="U286" s="315">
        <f t="shared" si="177"/>
        <v>180</v>
      </c>
      <c r="V286" s="315">
        <f t="shared" si="178"/>
        <v>180</v>
      </c>
      <c r="W286" s="316">
        <f t="shared" si="179"/>
        <v>0</v>
      </c>
    </row>
    <row r="287" spans="1:23" x14ac:dyDescent="0.25">
      <c r="A287" s="200">
        <v>722024</v>
      </c>
      <c r="B287" s="313" t="s">
        <v>16216</v>
      </c>
      <c r="C287" s="248"/>
      <c r="D287" s="247" t="s">
        <v>2</v>
      </c>
      <c r="E287" s="249">
        <f t="shared" si="168"/>
        <v>102</v>
      </c>
      <c r="F287" s="258">
        <v>0.6</v>
      </c>
      <c r="G287" s="258">
        <f t="shared" si="169"/>
        <v>0.6</v>
      </c>
      <c r="H287" s="249">
        <f t="shared" si="170"/>
        <v>34</v>
      </c>
      <c r="I287" s="258">
        <v>0.2</v>
      </c>
      <c r="J287" s="258">
        <f t="shared" si="171"/>
        <v>0.2</v>
      </c>
      <c r="K287" s="249">
        <f t="shared" si="172"/>
        <v>25.5</v>
      </c>
      <c r="L287" s="258">
        <v>0.15</v>
      </c>
      <c r="M287" s="258">
        <f t="shared" si="173"/>
        <v>0.15</v>
      </c>
      <c r="N287" s="251">
        <f t="shared" si="174"/>
        <v>8.5</v>
      </c>
      <c r="O287" s="258">
        <v>0.05</v>
      </c>
      <c r="P287" s="258">
        <f t="shared" si="175"/>
        <v>0.05</v>
      </c>
      <c r="Q287" s="249"/>
      <c r="R287" s="249">
        <v>170</v>
      </c>
      <c r="S287" s="258">
        <v>0.2</v>
      </c>
      <c r="T287" s="169">
        <f t="shared" si="176"/>
        <v>0</v>
      </c>
      <c r="U287" s="315">
        <f t="shared" si="177"/>
        <v>204</v>
      </c>
      <c r="V287" s="315">
        <f t="shared" si="178"/>
        <v>205</v>
      </c>
      <c r="W287" s="316">
        <f t="shared" si="179"/>
        <v>0</v>
      </c>
    </row>
    <row r="288" spans="1:23" x14ac:dyDescent="0.25">
      <c r="A288" s="200">
        <v>722048</v>
      </c>
      <c r="B288" s="313" t="s">
        <v>16217</v>
      </c>
      <c r="C288" s="248"/>
      <c r="D288" s="247" t="s">
        <v>2</v>
      </c>
      <c r="E288" s="249">
        <f t="shared" si="168"/>
        <v>110.00000000000001</v>
      </c>
      <c r="F288" s="258">
        <v>0.55000000000000004</v>
      </c>
      <c r="G288" s="258">
        <f t="shared" si="169"/>
        <v>0.55000000000000004</v>
      </c>
      <c r="H288" s="249">
        <f t="shared" si="170"/>
        <v>40</v>
      </c>
      <c r="I288" s="258">
        <v>0.2</v>
      </c>
      <c r="J288" s="258">
        <f t="shared" si="171"/>
        <v>0.2</v>
      </c>
      <c r="K288" s="249">
        <f t="shared" si="172"/>
        <v>40</v>
      </c>
      <c r="L288" s="258">
        <v>0.2</v>
      </c>
      <c r="M288" s="258">
        <f t="shared" si="173"/>
        <v>0.2</v>
      </c>
      <c r="N288" s="251">
        <f t="shared" si="174"/>
        <v>10</v>
      </c>
      <c r="O288" s="258">
        <v>0.05</v>
      </c>
      <c r="P288" s="258">
        <f t="shared" si="175"/>
        <v>0.05</v>
      </c>
      <c r="Q288" s="249"/>
      <c r="R288" s="249">
        <v>200</v>
      </c>
      <c r="S288" s="258">
        <v>0.2</v>
      </c>
      <c r="T288" s="169">
        <f t="shared" si="176"/>
        <v>0</v>
      </c>
      <c r="U288" s="315">
        <f t="shared" si="177"/>
        <v>240</v>
      </c>
      <c r="V288" s="315">
        <f t="shared" si="178"/>
        <v>240</v>
      </c>
      <c r="W288" s="316">
        <f t="shared" si="179"/>
        <v>0</v>
      </c>
    </row>
    <row r="289" spans="1:23" ht="14.4" thickBot="1" x14ac:dyDescent="0.3">
      <c r="A289" s="263">
        <v>722050</v>
      </c>
      <c r="B289" s="321" t="s">
        <v>16218</v>
      </c>
      <c r="C289" s="265"/>
      <c r="D289" s="264" t="s">
        <v>2</v>
      </c>
      <c r="E289" s="266">
        <f>R289*G289</f>
        <v>88.128</v>
      </c>
      <c r="F289" s="322">
        <v>0.45</v>
      </c>
      <c r="G289" s="322">
        <f>F289</f>
        <v>0.45</v>
      </c>
      <c r="H289" s="266">
        <f>R289*J289</f>
        <v>48.96</v>
      </c>
      <c r="I289" s="322">
        <v>0.25</v>
      </c>
      <c r="J289" s="322">
        <f>I289</f>
        <v>0.25</v>
      </c>
      <c r="K289" s="266">
        <f>R289*M289</f>
        <v>48.96</v>
      </c>
      <c r="L289" s="322">
        <v>0.25</v>
      </c>
      <c r="M289" s="322">
        <f>L289</f>
        <v>0.25</v>
      </c>
      <c r="N289" s="270">
        <f>P289*R289</f>
        <v>9.7920000000000016</v>
      </c>
      <c r="O289" s="322">
        <v>0.05</v>
      </c>
      <c r="P289" s="322">
        <f>O289</f>
        <v>0.05</v>
      </c>
      <c r="Q289" s="266"/>
      <c r="R289" s="266">
        <v>195.84</v>
      </c>
      <c r="S289" s="322">
        <v>0.2</v>
      </c>
      <c r="T289" s="291">
        <f>Q289+Q289*S289</f>
        <v>0</v>
      </c>
      <c r="U289" s="324">
        <f t="shared" si="177"/>
        <v>235.00800000000001</v>
      </c>
      <c r="V289" s="324">
        <f t="shared" si="178"/>
        <v>240</v>
      </c>
      <c r="W289" s="325">
        <f t="shared" si="179"/>
        <v>0</v>
      </c>
    </row>
    <row r="290" spans="1:23" x14ac:dyDescent="0.25">
      <c r="A290" s="199" t="s">
        <v>14734</v>
      </c>
      <c r="B290" s="307" t="s">
        <v>14735</v>
      </c>
      <c r="C290" s="308"/>
      <c r="D290" s="309"/>
      <c r="E290" s="310"/>
      <c r="F290" s="311"/>
      <c r="G290" s="311"/>
      <c r="H290" s="310"/>
      <c r="I290" s="311"/>
      <c r="J290" s="311"/>
      <c r="K290" s="310"/>
      <c r="L290" s="311"/>
      <c r="M290" s="311"/>
      <c r="N290" s="310"/>
      <c r="O290" s="311"/>
      <c r="P290" s="311"/>
      <c r="Q290" s="310"/>
      <c r="R290" s="310"/>
      <c r="S290" s="309"/>
      <c r="T290" s="309"/>
      <c r="U290" s="309"/>
      <c r="V290" s="309"/>
      <c r="W290" s="312"/>
    </row>
    <row r="291" spans="1:23" x14ac:dyDescent="0.25">
      <c r="A291" s="200">
        <v>721000</v>
      </c>
      <c r="B291" s="313" t="s">
        <v>19717</v>
      </c>
      <c r="C291" s="248"/>
      <c r="D291" s="247" t="s">
        <v>4</v>
      </c>
      <c r="E291" s="249">
        <f>R291*G291</f>
        <v>63253.125</v>
      </c>
      <c r="F291" s="258">
        <v>0.75</v>
      </c>
      <c r="G291" s="258">
        <f>F291</f>
        <v>0.75</v>
      </c>
      <c r="H291" s="249">
        <f>R291*J291</f>
        <v>12650.625</v>
      </c>
      <c r="I291" s="258">
        <v>0.15</v>
      </c>
      <c r="J291" s="258">
        <f>I291</f>
        <v>0.15</v>
      </c>
      <c r="K291" s="249">
        <f>R291*M291</f>
        <v>12650.625</v>
      </c>
      <c r="L291" s="258">
        <v>0.15</v>
      </c>
      <c r="M291" s="258">
        <f>L291</f>
        <v>0.15</v>
      </c>
      <c r="N291" s="251">
        <f>P291*R291</f>
        <v>4216.875</v>
      </c>
      <c r="O291" s="258">
        <v>0.05</v>
      </c>
      <c r="P291" s="258">
        <f>O291</f>
        <v>0.05</v>
      </c>
      <c r="Q291" s="249">
        <v>75000</v>
      </c>
      <c r="R291" s="249">
        <f>SUM(F291*Q291*1.0235,I291*Q291*1.0175,L291*Q291*1.0245,O291*Q291*1.0115)</f>
        <v>84337.5</v>
      </c>
      <c r="S291" s="258">
        <v>0.2</v>
      </c>
      <c r="T291" s="169">
        <v>0</v>
      </c>
      <c r="U291" s="315">
        <f>(R291*S291)+R291</f>
        <v>101205</v>
      </c>
      <c r="V291" s="315">
        <f>IF(U291=0, 0, IF(U291&lt;10, _xlfn.CEILING.MATH(U291,1), IF(U291&lt;100, _xlfn.CEILING.MATH(U291,1),IF(U291&lt;1000, _xlfn.CEILING.MATH(U291,5), IF(U291&lt;10000, _xlfn.CEILING.MATH(U291, 25), IF(U291&lt;100000, _xlfn.CEILING.MATH(U291,250), IF(U291&lt;1000000, _xlfn.CEILING.MATH(U291,500), 0)))))))</f>
        <v>101500</v>
      </c>
      <c r="W291" s="316">
        <f>C291*V291</f>
        <v>0</v>
      </c>
    </row>
    <row r="292" spans="1:23" x14ac:dyDescent="0.25">
      <c r="A292" s="199" t="s">
        <v>14737</v>
      </c>
      <c r="B292" s="307" t="s">
        <v>14738</v>
      </c>
      <c r="C292" s="308"/>
      <c r="D292" s="309"/>
      <c r="E292" s="310"/>
      <c r="F292" s="311"/>
      <c r="G292" s="311"/>
      <c r="H292" s="310"/>
      <c r="I292" s="311"/>
      <c r="J292" s="311"/>
      <c r="K292" s="310"/>
      <c r="L292" s="311"/>
      <c r="M292" s="311"/>
      <c r="N292" s="310"/>
      <c r="O292" s="311"/>
      <c r="P292" s="311"/>
      <c r="Q292" s="310"/>
      <c r="R292" s="310"/>
      <c r="S292" s="309"/>
      <c r="T292" s="309"/>
      <c r="U292" s="309"/>
      <c r="V292" s="309"/>
      <c r="W292" s="312"/>
    </row>
    <row r="293" spans="1:23" ht="21" x14ac:dyDescent="0.25">
      <c r="A293" s="200">
        <v>802381</v>
      </c>
      <c r="B293" s="255" t="s">
        <v>16219</v>
      </c>
      <c r="C293" s="248"/>
      <c r="D293" s="247" t="s">
        <v>1</v>
      </c>
      <c r="E293" s="249">
        <f t="shared" ref="E293:E298" si="180">R293*G293</f>
        <v>5.75</v>
      </c>
      <c r="F293" s="258">
        <f>5.75/17.5</f>
        <v>0.32857142857142857</v>
      </c>
      <c r="G293" s="258">
        <f t="shared" ref="G293:G298" si="181">F293</f>
        <v>0.32857142857142857</v>
      </c>
      <c r="H293" s="249">
        <f t="shared" ref="H293:H298" si="182">R293*J293</f>
        <v>7</v>
      </c>
      <c r="I293" s="258">
        <f>7/17.5</f>
        <v>0.4</v>
      </c>
      <c r="J293" s="258">
        <f t="shared" ref="J293:J298" si="183">I293</f>
        <v>0.4</v>
      </c>
      <c r="K293" s="249">
        <f t="shared" ref="K293:K298" si="184">R293*M293</f>
        <v>2.75</v>
      </c>
      <c r="L293" s="258">
        <f>2.75/17.5</f>
        <v>0.15714285714285714</v>
      </c>
      <c r="M293" s="258">
        <f t="shared" ref="M293:M298" si="185">L293</f>
        <v>0.15714285714285714</v>
      </c>
      <c r="N293" s="251">
        <f t="shared" ref="N293:N298" si="186">P293*R293</f>
        <v>2</v>
      </c>
      <c r="O293" s="258">
        <f>2/17.5</f>
        <v>0.11428571428571428</v>
      </c>
      <c r="P293" s="258">
        <f t="shared" ref="P293:P298" si="187">O293</f>
        <v>0.11428571428571428</v>
      </c>
      <c r="Q293" s="332"/>
      <c r="R293" s="249">
        <v>17.5</v>
      </c>
      <c r="S293" s="258">
        <v>0.2</v>
      </c>
      <c r="T293" s="169">
        <f t="shared" ref="T293:T298" si="188">Q293+Q293*S293</f>
        <v>0</v>
      </c>
      <c r="U293" s="315">
        <f>(R293*S293)+R293</f>
        <v>21</v>
      </c>
      <c r="V293" s="315">
        <f>IF(U293=0, 0, IF(U293&lt;10, _xlfn.CEILING.MATH(U293,1), IF(U293&lt;100, _xlfn.CEILING.MATH(U293,1),IF(U293&lt;1000, _xlfn.CEILING.MATH(U293,5), IF(U293&lt;10000, _xlfn.CEILING.MATH(U293, 25), IF(U293&lt;100000, _xlfn.CEILING.MATH(U293,250), IF(U293&lt;1000000, _xlfn.CEILING.MATH(U293,500), 0)))))))</f>
        <v>21</v>
      </c>
      <c r="W293" s="316">
        <f t="shared" ref="W293:W298" si="189">C293*V293</f>
        <v>0</v>
      </c>
    </row>
    <row r="294" spans="1:23" ht="21" x14ac:dyDescent="0.25">
      <c r="A294" s="200">
        <v>802382</v>
      </c>
      <c r="B294" s="255" t="s">
        <v>16220</v>
      </c>
      <c r="C294" s="248"/>
      <c r="D294" s="247" t="s">
        <v>1</v>
      </c>
      <c r="E294" s="249">
        <f t="shared" si="180"/>
        <v>5.75</v>
      </c>
      <c r="F294" s="258">
        <f>5.75/19</f>
        <v>0.30263157894736842</v>
      </c>
      <c r="G294" s="258">
        <f t="shared" si="181"/>
        <v>0.30263157894736842</v>
      </c>
      <c r="H294" s="249">
        <f t="shared" si="182"/>
        <v>7.75</v>
      </c>
      <c r="I294" s="258">
        <f>7.75/19</f>
        <v>0.40789473684210525</v>
      </c>
      <c r="J294" s="258">
        <f t="shared" si="183"/>
        <v>0.40789473684210525</v>
      </c>
      <c r="K294" s="249">
        <f t="shared" si="184"/>
        <v>2.75</v>
      </c>
      <c r="L294" s="258">
        <f>2.75/19</f>
        <v>0.14473684210526316</v>
      </c>
      <c r="M294" s="258">
        <f t="shared" si="185"/>
        <v>0.14473684210526316</v>
      </c>
      <c r="N294" s="251">
        <f t="shared" si="186"/>
        <v>2.75</v>
      </c>
      <c r="O294" s="258">
        <f>2.75/19</f>
        <v>0.14473684210526316</v>
      </c>
      <c r="P294" s="258">
        <f t="shared" si="187"/>
        <v>0.14473684210526316</v>
      </c>
      <c r="Q294" s="332"/>
      <c r="R294" s="249">
        <v>19</v>
      </c>
      <c r="S294" s="258">
        <v>0.2</v>
      </c>
      <c r="T294" s="169">
        <f t="shared" si="188"/>
        <v>0</v>
      </c>
      <c r="U294" s="315">
        <f>(R294*S294)+R294</f>
        <v>22.8</v>
      </c>
      <c r="V294" s="315">
        <f>IF(U294=0, 0, IF(U294&lt;10, _xlfn.CEILING.MATH(U294,1), IF(U294&lt;100, _xlfn.CEILING.MATH(U294,1),IF(U294&lt;1000, _xlfn.CEILING.MATH(U294,5), IF(U294&lt;10000, _xlfn.CEILING.MATH(U294, 25), IF(U294&lt;100000, _xlfn.CEILING.MATH(U294,250), IF(U294&lt;1000000, _xlfn.CEILING.MATH(U294,500), 0)))))))</f>
        <v>23</v>
      </c>
      <c r="W294" s="316">
        <f t="shared" si="189"/>
        <v>0</v>
      </c>
    </row>
    <row r="295" spans="1:23" ht="21" x14ac:dyDescent="0.25">
      <c r="A295" s="200">
        <v>802383</v>
      </c>
      <c r="B295" s="255" t="s">
        <v>16221</v>
      </c>
      <c r="C295" s="248"/>
      <c r="D295" s="247" t="s">
        <v>1</v>
      </c>
      <c r="E295" s="249">
        <f t="shared" si="180"/>
        <v>5.45</v>
      </c>
      <c r="F295" s="258">
        <f>5.45/17.05</f>
        <v>0.31964809384164222</v>
      </c>
      <c r="G295" s="258">
        <f t="shared" si="181"/>
        <v>0.31964809384164222</v>
      </c>
      <c r="H295" s="249">
        <f t="shared" si="182"/>
        <v>7</v>
      </c>
      <c r="I295" s="258">
        <f>7/17.05</f>
        <v>0.41055718475073311</v>
      </c>
      <c r="J295" s="258">
        <f t="shared" si="183"/>
        <v>0.41055718475073311</v>
      </c>
      <c r="K295" s="249">
        <f t="shared" si="184"/>
        <v>2.6</v>
      </c>
      <c r="L295" s="258">
        <f>2.6/17.05</f>
        <v>0.15249266862170088</v>
      </c>
      <c r="M295" s="258">
        <f t="shared" si="185"/>
        <v>0.15249266862170088</v>
      </c>
      <c r="N295" s="251">
        <f t="shared" si="186"/>
        <v>2</v>
      </c>
      <c r="O295" s="258">
        <f>2/17.05</f>
        <v>0.11730205278592375</v>
      </c>
      <c r="P295" s="258">
        <f t="shared" si="187"/>
        <v>0.11730205278592375</v>
      </c>
      <c r="Q295" s="332"/>
      <c r="R295" s="249">
        <v>17.05</v>
      </c>
      <c r="S295" s="258">
        <v>0.2</v>
      </c>
      <c r="T295" s="169">
        <f t="shared" si="188"/>
        <v>0</v>
      </c>
      <c r="U295" s="315">
        <f>(R295*S295)+R295</f>
        <v>20.46</v>
      </c>
      <c r="V295" s="315">
        <f>IF(U295=0, 0, IF(U295&lt;10, _xlfn.CEILING.MATH(U295,1), IF(U295&lt;100, _xlfn.CEILING.MATH(U295,0.5),IF(U295&lt;1000, _xlfn.CEILING.MATH(U295,5), IF(U295&lt;10000, _xlfn.CEILING.MATH(U295, 25), IF(U295&lt;100000, _xlfn.CEILING.MATH(U295,250), IF(U295&lt;1000000, _xlfn.CEILING.MATH(U295,500), 0)))))))</f>
        <v>20.5</v>
      </c>
      <c r="W295" s="316">
        <f t="shared" si="189"/>
        <v>0</v>
      </c>
    </row>
    <row r="296" spans="1:23" ht="21" x14ac:dyDescent="0.25">
      <c r="A296" s="200">
        <v>802384</v>
      </c>
      <c r="B296" s="255" t="s">
        <v>16222</v>
      </c>
      <c r="C296" s="248"/>
      <c r="D296" s="247" t="s">
        <v>1</v>
      </c>
      <c r="E296" s="249">
        <f t="shared" si="180"/>
        <v>5.45</v>
      </c>
      <c r="F296" s="258">
        <f>5.45/18.55</f>
        <v>0.29380053908355797</v>
      </c>
      <c r="G296" s="258">
        <f t="shared" si="181"/>
        <v>0.29380053908355797</v>
      </c>
      <c r="H296" s="249">
        <f t="shared" si="182"/>
        <v>7.7500000000000009</v>
      </c>
      <c r="I296" s="258">
        <f>7.75/18.55</f>
        <v>0.41778975741239893</v>
      </c>
      <c r="J296" s="258">
        <f t="shared" si="183"/>
        <v>0.41778975741239893</v>
      </c>
      <c r="K296" s="249">
        <f t="shared" si="184"/>
        <v>2.6</v>
      </c>
      <c r="L296" s="258">
        <f>2.6/18.55</f>
        <v>0.14016172506738545</v>
      </c>
      <c r="M296" s="258">
        <f t="shared" si="185"/>
        <v>0.14016172506738545</v>
      </c>
      <c r="N296" s="251">
        <f t="shared" si="186"/>
        <v>2.75</v>
      </c>
      <c r="O296" s="258">
        <f>2.75/18.55</f>
        <v>0.14824797843665768</v>
      </c>
      <c r="P296" s="258">
        <f t="shared" si="187"/>
        <v>0.14824797843665768</v>
      </c>
      <c r="Q296" s="332"/>
      <c r="R296" s="249">
        <v>18.55</v>
      </c>
      <c r="S296" s="258">
        <v>0.2</v>
      </c>
      <c r="T296" s="169">
        <f t="shared" si="188"/>
        <v>0</v>
      </c>
      <c r="U296" s="315">
        <f>(R296*S296)+R296-0.26</f>
        <v>22</v>
      </c>
      <c r="V296" s="315">
        <f>IF(U296=0, 0, IF(U296&lt;10, _xlfn.CEILING.MATH(U296,1), IF(U296&lt;100, _xlfn.CEILING.MATH(U296,1),IF(U296&lt;1000, _xlfn.CEILING.MATH(U296,5), IF(U296&lt;10000, _xlfn.CEILING.MATH(U296, 25), IF(U296&lt;100000, _xlfn.CEILING.MATH(U296,250), IF(U296&lt;1000000, _xlfn.CEILING.MATH(U296,500), 0)))))))</f>
        <v>22</v>
      </c>
      <c r="W296" s="316">
        <f t="shared" si="189"/>
        <v>0</v>
      </c>
    </row>
    <row r="297" spans="1:23" ht="21" x14ac:dyDescent="0.25">
      <c r="A297" s="200">
        <v>802385</v>
      </c>
      <c r="B297" s="255" t="s">
        <v>16223</v>
      </c>
      <c r="C297" s="248"/>
      <c r="D297" s="247" t="s">
        <v>1</v>
      </c>
      <c r="E297" s="249">
        <f t="shared" si="180"/>
        <v>4.8899999999999997</v>
      </c>
      <c r="F297" s="258">
        <f>4.89/16.24</f>
        <v>0.30110837438423649</v>
      </c>
      <c r="G297" s="258">
        <f t="shared" si="181"/>
        <v>0.30110837438423649</v>
      </c>
      <c r="H297" s="249">
        <f t="shared" si="182"/>
        <v>7</v>
      </c>
      <c r="I297" s="258">
        <f>7/16.24</f>
        <v>0.43103448275862072</v>
      </c>
      <c r="J297" s="258">
        <f t="shared" si="183"/>
        <v>0.43103448275862072</v>
      </c>
      <c r="K297" s="249">
        <f t="shared" si="184"/>
        <v>2.35</v>
      </c>
      <c r="L297" s="258">
        <f>2.35/16.24</f>
        <v>0.14470443349753698</v>
      </c>
      <c r="M297" s="258">
        <f t="shared" si="185"/>
        <v>0.14470443349753698</v>
      </c>
      <c r="N297" s="251">
        <f t="shared" si="186"/>
        <v>2</v>
      </c>
      <c r="O297" s="258">
        <f>2/16.24</f>
        <v>0.12315270935960593</v>
      </c>
      <c r="P297" s="258">
        <f t="shared" si="187"/>
        <v>0.12315270935960593</v>
      </c>
      <c r="Q297" s="332"/>
      <c r="R297" s="249">
        <v>16.239999999999998</v>
      </c>
      <c r="S297" s="258">
        <v>0.2</v>
      </c>
      <c r="T297" s="169">
        <f t="shared" si="188"/>
        <v>0</v>
      </c>
      <c r="U297" s="315">
        <f>(R297*S297)+R297</f>
        <v>19.488</v>
      </c>
      <c r="V297" s="315">
        <f>IF(U297=0, 0, IF(U297&lt;10, _xlfn.CEILING.MATH(U297,1), IF(U297&lt;100, _xlfn.CEILING.MATH(U297,0.5),IF(U297&lt;1000, _xlfn.CEILING.MATH(U297,5), IF(U297&lt;10000, _xlfn.CEILING.MATH(U297, 25), IF(U297&lt;100000, _xlfn.CEILING.MATH(U297,250), IF(U297&lt;1000000, _xlfn.CEILING.MATH(U297,500), 0)))))))</f>
        <v>19.5</v>
      </c>
      <c r="W297" s="316">
        <f t="shared" si="189"/>
        <v>0</v>
      </c>
    </row>
    <row r="298" spans="1:23" ht="21" x14ac:dyDescent="0.25">
      <c r="A298" s="200">
        <v>802386</v>
      </c>
      <c r="B298" s="255" t="s">
        <v>16224</v>
      </c>
      <c r="C298" s="248"/>
      <c r="D298" s="247" t="s">
        <v>1</v>
      </c>
      <c r="E298" s="249">
        <f t="shared" si="180"/>
        <v>4.8899999999999997</v>
      </c>
      <c r="F298" s="258">
        <f>4.89/17.74</f>
        <v>0.27564825253664038</v>
      </c>
      <c r="G298" s="258">
        <f t="shared" si="181"/>
        <v>0.27564825253664038</v>
      </c>
      <c r="H298" s="249">
        <f t="shared" si="182"/>
        <v>7.75</v>
      </c>
      <c r="I298" s="258">
        <f>7.75/17.74</f>
        <v>0.43686583990980837</v>
      </c>
      <c r="J298" s="258">
        <f t="shared" si="183"/>
        <v>0.43686583990980837</v>
      </c>
      <c r="K298" s="249">
        <f t="shared" si="184"/>
        <v>2.35</v>
      </c>
      <c r="L298" s="258">
        <f>2.35/17.74</f>
        <v>0.13246899661781286</v>
      </c>
      <c r="M298" s="258">
        <f t="shared" si="185"/>
        <v>0.13246899661781286</v>
      </c>
      <c r="N298" s="251">
        <f t="shared" si="186"/>
        <v>2.75</v>
      </c>
      <c r="O298" s="258">
        <f>2.75/17.74</f>
        <v>0.15501691093573847</v>
      </c>
      <c r="P298" s="258">
        <f t="shared" si="187"/>
        <v>0.15501691093573847</v>
      </c>
      <c r="Q298" s="332"/>
      <c r="R298" s="249">
        <v>17.739999999999998</v>
      </c>
      <c r="S298" s="258">
        <v>0.2</v>
      </c>
      <c r="T298" s="169">
        <f t="shared" si="188"/>
        <v>0</v>
      </c>
      <c r="U298" s="315">
        <f>(R298*S298)+R298-0.29</f>
        <v>20.997999999999998</v>
      </c>
      <c r="V298" s="315">
        <f>IF(U298=0, 0, IF(U298&lt;10, _xlfn.CEILING.MATH(U298,1), IF(U298&lt;100, _xlfn.CEILING.MATH(U298,1),IF(U298&lt;1000, _xlfn.CEILING.MATH(U298,5), IF(U298&lt;10000, _xlfn.CEILING.MATH(U298, 25), IF(U298&lt;100000, _xlfn.CEILING.MATH(U298,250), IF(U298&lt;1000000, _xlfn.CEILING.MATH(U298,500), 0)))))))</f>
        <v>21</v>
      </c>
      <c r="W298" s="316">
        <f t="shared" si="189"/>
        <v>0</v>
      </c>
    </row>
    <row r="299" spans="1:23" x14ac:dyDescent="0.25">
      <c r="A299" s="199" t="s">
        <v>14788</v>
      </c>
      <c r="B299" s="307" t="s">
        <v>14789</v>
      </c>
      <c r="C299" s="308"/>
      <c r="D299" s="309"/>
      <c r="E299" s="310"/>
      <c r="F299" s="311"/>
      <c r="G299" s="311"/>
      <c r="H299" s="310"/>
      <c r="I299" s="311"/>
      <c r="J299" s="311"/>
      <c r="K299" s="310"/>
      <c r="L299" s="311"/>
      <c r="M299" s="311"/>
      <c r="N299" s="310"/>
      <c r="O299" s="311"/>
      <c r="P299" s="311"/>
      <c r="Q299" s="310"/>
      <c r="R299" s="310"/>
      <c r="S299" s="309"/>
      <c r="T299" s="309"/>
      <c r="U299" s="309"/>
      <c r="V299" s="309"/>
      <c r="W299" s="312"/>
    </row>
    <row r="300" spans="1:23" ht="21" x14ac:dyDescent="0.25">
      <c r="A300" s="200">
        <v>804020</v>
      </c>
      <c r="B300" s="255" t="s">
        <v>16225</v>
      </c>
      <c r="C300" s="248"/>
      <c r="D300" s="247" t="s">
        <v>2</v>
      </c>
      <c r="E300" s="249">
        <f t="shared" ref="E300:E306" si="190">R300*G300</f>
        <v>22.5</v>
      </c>
      <c r="F300" s="258">
        <v>0.45</v>
      </c>
      <c r="G300" s="258">
        <f t="shared" ref="G300:G306" si="191">F300</f>
        <v>0.45</v>
      </c>
      <c r="H300" s="249">
        <f t="shared" ref="H300:H306" si="192">R300*J300</f>
        <v>17.5</v>
      </c>
      <c r="I300" s="258">
        <v>0.35</v>
      </c>
      <c r="J300" s="258">
        <f t="shared" ref="J300:J306" si="193">I300</f>
        <v>0.35</v>
      </c>
      <c r="K300" s="249">
        <f t="shared" ref="K300:K306" si="194">R300*M300</f>
        <v>7.5</v>
      </c>
      <c r="L300" s="258">
        <v>0.15</v>
      </c>
      <c r="M300" s="258">
        <f t="shared" ref="M300:M306" si="195">L300</f>
        <v>0.15</v>
      </c>
      <c r="N300" s="251">
        <f t="shared" ref="N300:N306" si="196">P300*R300</f>
        <v>2.5</v>
      </c>
      <c r="O300" s="258">
        <v>0.05</v>
      </c>
      <c r="P300" s="258">
        <f t="shared" ref="P300:P306" si="197">O300</f>
        <v>0.05</v>
      </c>
      <c r="Q300" s="249"/>
      <c r="R300" s="249">
        <v>50</v>
      </c>
      <c r="S300" s="258">
        <v>0.2</v>
      </c>
      <c r="T300" s="169">
        <f t="shared" ref="T300:T306" si="198">Q300+Q300*S300</f>
        <v>0</v>
      </c>
      <c r="U300" s="315">
        <f t="shared" ref="U300:U306" si="199">(R300*S300)+R300</f>
        <v>60</v>
      </c>
      <c r="V300" s="315">
        <f t="shared" ref="V300:V306" si="200">IF(U300=0, 0, IF(U300&lt;10, _xlfn.CEILING.MATH(U300,1), IF(U300&lt;100, _xlfn.CEILING.MATH(U300,1),IF(U300&lt;1000, _xlfn.CEILING.MATH(U300,5), IF(U300&lt;10000, _xlfn.CEILING.MATH(U300, 25), IF(U300&lt;100000, _xlfn.CEILING.MATH(U300,250), IF(U300&lt;1000000, _xlfn.CEILING.MATH(U300,500), 0)))))))</f>
        <v>60</v>
      </c>
      <c r="W300" s="316">
        <f t="shared" ref="W300:W306" si="201">C300*V300</f>
        <v>0</v>
      </c>
    </row>
    <row r="301" spans="1:23" ht="21" x14ac:dyDescent="0.25">
      <c r="A301" s="200">
        <v>804020</v>
      </c>
      <c r="B301" s="255" t="s">
        <v>16226</v>
      </c>
      <c r="C301" s="248"/>
      <c r="D301" s="247" t="s">
        <v>2</v>
      </c>
      <c r="E301" s="249">
        <f t="shared" si="190"/>
        <v>18</v>
      </c>
      <c r="F301" s="258">
        <v>0.45</v>
      </c>
      <c r="G301" s="258">
        <f t="shared" si="191"/>
        <v>0.45</v>
      </c>
      <c r="H301" s="249">
        <f t="shared" si="192"/>
        <v>14</v>
      </c>
      <c r="I301" s="258">
        <v>0.35</v>
      </c>
      <c r="J301" s="258">
        <f t="shared" si="193"/>
        <v>0.35</v>
      </c>
      <c r="K301" s="249">
        <f t="shared" si="194"/>
        <v>6</v>
      </c>
      <c r="L301" s="258">
        <v>0.15</v>
      </c>
      <c r="M301" s="258">
        <f t="shared" si="195"/>
        <v>0.15</v>
      </c>
      <c r="N301" s="251">
        <f t="shared" si="196"/>
        <v>2</v>
      </c>
      <c r="O301" s="258">
        <v>0.05</v>
      </c>
      <c r="P301" s="258">
        <f t="shared" si="197"/>
        <v>0.05</v>
      </c>
      <c r="Q301" s="249"/>
      <c r="R301" s="249">
        <v>40</v>
      </c>
      <c r="S301" s="258">
        <v>0.2</v>
      </c>
      <c r="T301" s="169">
        <f t="shared" si="198"/>
        <v>0</v>
      </c>
      <c r="U301" s="315">
        <f t="shared" si="199"/>
        <v>48</v>
      </c>
      <c r="V301" s="315">
        <f t="shared" si="200"/>
        <v>48</v>
      </c>
      <c r="W301" s="316">
        <f t="shared" si="201"/>
        <v>0</v>
      </c>
    </row>
    <row r="302" spans="1:23" ht="21" x14ac:dyDescent="0.25">
      <c r="A302" s="200">
        <v>804025</v>
      </c>
      <c r="B302" s="255" t="s">
        <v>16227</v>
      </c>
      <c r="C302" s="248"/>
      <c r="D302" s="247" t="s">
        <v>2</v>
      </c>
      <c r="E302" s="249">
        <f t="shared" si="190"/>
        <v>17.5</v>
      </c>
      <c r="F302" s="258">
        <v>0.5</v>
      </c>
      <c r="G302" s="258">
        <f t="shared" si="191"/>
        <v>0.5</v>
      </c>
      <c r="H302" s="249">
        <f t="shared" si="192"/>
        <v>12.25</v>
      </c>
      <c r="I302" s="258">
        <v>0.35</v>
      </c>
      <c r="J302" s="258">
        <f t="shared" si="193"/>
        <v>0.35</v>
      </c>
      <c r="K302" s="249">
        <f t="shared" si="194"/>
        <v>3.5</v>
      </c>
      <c r="L302" s="258">
        <v>0.1</v>
      </c>
      <c r="M302" s="258">
        <f t="shared" si="195"/>
        <v>0.1</v>
      </c>
      <c r="N302" s="251">
        <f t="shared" si="196"/>
        <v>1.75</v>
      </c>
      <c r="O302" s="258">
        <v>0.05</v>
      </c>
      <c r="P302" s="258">
        <f t="shared" si="197"/>
        <v>0.05</v>
      </c>
      <c r="Q302" s="249"/>
      <c r="R302" s="249">
        <v>35</v>
      </c>
      <c r="S302" s="258">
        <v>0.2</v>
      </c>
      <c r="T302" s="169">
        <f t="shared" si="198"/>
        <v>0</v>
      </c>
      <c r="U302" s="315">
        <f t="shared" si="199"/>
        <v>42</v>
      </c>
      <c r="V302" s="315">
        <f t="shared" si="200"/>
        <v>42</v>
      </c>
      <c r="W302" s="316">
        <f t="shared" si="201"/>
        <v>0</v>
      </c>
    </row>
    <row r="303" spans="1:23" x14ac:dyDescent="0.25">
      <c r="A303" s="200">
        <v>804025</v>
      </c>
      <c r="B303" s="313" t="s">
        <v>16228</v>
      </c>
      <c r="C303" s="248"/>
      <c r="D303" s="247" t="s">
        <v>2</v>
      </c>
      <c r="E303" s="249">
        <f t="shared" si="190"/>
        <v>12.5</v>
      </c>
      <c r="F303" s="258">
        <v>0.5</v>
      </c>
      <c r="G303" s="258">
        <f t="shared" si="191"/>
        <v>0.5</v>
      </c>
      <c r="H303" s="249">
        <f t="shared" si="192"/>
        <v>8.75</v>
      </c>
      <c r="I303" s="258">
        <v>0.35</v>
      </c>
      <c r="J303" s="258">
        <f t="shared" si="193"/>
        <v>0.35</v>
      </c>
      <c r="K303" s="249">
        <f t="shared" si="194"/>
        <v>2.5</v>
      </c>
      <c r="L303" s="258">
        <v>0.1</v>
      </c>
      <c r="M303" s="258">
        <f t="shared" si="195"/>
        <v>0.1</v>
      </c>
      <c r="N303" s="251">
        <f t="shared" si="196"/>
        <v>1.25</v>
      </c>
      <c r="O303" s="258">
        <v>0.05</v>
      </c>
      <c r="P303" s="258">
        <f t="shared" si="197"/>
        <v>0.05</v>
      </c>
      <c r="Q303" s="249"/>
      <c r="R303" s="249">
        <v>25</v>
      </c>
      <c r="S303" s="258">
        <v>0.2</v>
      </c>
      <c r="T303" s="169">
        <f t="shared" si="198"/>
        <v>0</v>
      </c>
      <c r="U303" s="315">
        <f t="shared" si="199"/>
        <v>30</v>
      </c>
      <c r="V303" s="315">
        <f t="shared" si="200"/>
        <v>30</v>
      </c>
      <c r="W303" s="316">
        <f t="shared" si="201"/>
        <v>0</v>
      </c>
    </row>
    <row r="304" spans="1:23" x14ac:dyDescent="0.25">
      <c r="A304" s="200">
        <v>804901</v>
      </c>
      <c r="B304" s="313" t="s">
        <v>20185</v>
      </c>
      <c r="C304" s="248"/>
      <c r="D304" s="247" t="s">
        <v>2</v>
      </c>
      <c r="E304" s="249">
        <f t="shared" si="190"/>
        <v>36.817989999999995</v>
      </c>
      <c r="F304" s="258">
        <v>0.85029999999999994</v>
      </c>
      <c r="G304" s="258">
        <f t="shared" si="191"/>
        <v>0.85029999999999994</v>
      </c>
      <c r="H304" s="249">
        <f t="shared" si="192"/>
        <v>0</v>
      </c>
      <c r="I304" s="258"/>
      <c r="J304" s="258">
        <f t="shared" si="193"/>
        <v>0</v>
      </c>
      <c r="K304" s="249">
        <f t="shared" si="194"/>
        <v>0</v>
      </c>
      <c r="L304" s="258"/>
      <c r="M304" s="258">
        <f t="shared" si="195"/>
        <v>0</v>
      </c>
      <c r="N304" s="251">
        <f t="shared" si="196"/>
        <v>6.43438</v>
      </c>
      <c r="O304" s="258">
        <v>0.14860000000000001</v>
      </c>
      <c r="P304" s="258">
        <f t="shared" si="197"/>
        <v>0.14860000000000001</v>
      </c>
      <c r="Q304" s="249"/>
      <c r="R304" s="249">
        <v>43.3</v>
      </c>
      <c r="S304" s="258">
        <v>0.2</v>
      </c>
      <c r="T304" s="169">
        <f t="shared" si="198"/>
        <v>0</v>
      </c>
      <c r="U304" s="315">
        <f t="shared" si="199"/>
        <v>51.959999999999994</v>
      </c>
      <c r="V304" s="315">
        <f t="shared" si="200"/>
        <v>52</v>
      </c>
      <c r="W304" s="316">
        <f t="shared" si="201"/>
        <v>0</v>
      </c>
    </row>
    <row r="305" spans="1:23" x14ac:dyDescent="0.25">
      <c r="A305" s="200">
        <v>804901</v>
      </c>
      <c r="B305" s="313" t="s">
        <v>18913</v>
      </c>
      <c r="C305" s="248"/>
      <c r="D305" s="247" t="s">
        <v>2</v>
      </c>
      <c r="E305" s="249">
        <f t="shared" si="190"/>
        <v>36.116475999999999</v>
      </c>
      <c r="F305" s="258">
        <v>0.85060000000000002</v>
      </c>
      <c r="G305" s="258">
        <f t="shared" si="191"/>
        <v>0.85060000000000002</v>
      </c>
      <c r="H305" s="249">
        <f t="shared" si="192"/>
        <v>0</v>
      </c>
      <c r="I305" s="258"/>
      <c r="J305" s="258">
        <f t="shared" si="193"/>
        <v>0</v>
      </c>
      <c r="K305" s="249">
        <f t="shared" si="194"/>
        <v>0</v>
      </c>
      <c r="L305" s="258"/>
      <c r="M305" s="258">
        <f t="shared" si="195"/>
        <v>0</v>
      </c>
      <c r="N305" s="251">
        <f t="shared" si="196"/>
        <v>6.296818</v>
      </c>
      <c r="O305" s="258">
        <v>0.14829999999999999</v>
      </c>
      <c r="P305" s="258">
        <f t="shared" si="197"/>
        <v>0.14829999999999999</v>
      </c>
      <c r="Q305" s="249"/>
      <c r="R305" s="249">
        <v>42.46</v>
      </c>
      <c r="S305" s="258">
        <v>0.2</v>
      </c>
      <c r="T305" s="169">
        <f t="shared" si="198"/>
        <v>0</v>
      </c>
      <c r="U305" s="315">
        <f t="shared" si="199"/>
        <v>50.951999999999998</v>
      </c>
      <c r="V305" s="315">
        <f t="shared" si="200"/>
        <v>51</v>
      </c>
      <c r="W305" s="316">
        <f t="shared" si="201"/>
        <v>0</v>
      </c>
    </row>
    <row r="306" spans="1:23" x14ac:dyDescent="0.25">
      <c r="A306" s="200">
        <v>804901</v>
      </c>
      <c r="B306" s="313" t="s">
        <v>20186</v>
      </c>
      <c r="C306" s="248"/>
      <c r="D306" s="247" t="s">
        <v>2</v>
      </c>
      <c r="E306" s="249">
        <f t="shared" si="190"/>
        <v>35.400590000000001</v>
      </c>
      <c r="F306" s="258">
        <v>0.85550000000000004</v>
      </c>
      <c r="G306" s="258">
        <f t="shared" si="191"/>
        <v>0.85550000000000004</v>
      </c>
      <c r="H306" s="249">
        <f t="shared" si="192"/>
        <v>0</v>
      </c>
      <c r="I306" s="258"/>
      <c r="J306" s="258">
        <f t="shared" si="193"/>
        <v>0</v>
      </c>
      <c r="K306" s="249">
        <f t="shared" si="194"/>
        <v>0</v>
      </c>
      <c r="L306" s="258"/>
      <c r="M306" s="258">
        <f t="shared" si="195"/>
        <v>0</v>
      </c>
      <c r="N306" s="251">
        <f t="shared" si="196"/>
        <v>5.9297540000000009</v>
      </c>
      <c r="O306" s="258">
        <v>0.14330000000000001</v>
      </c>
      <c r="P306" s="258">
        <f t="shared" si="197"/>
        <v>0.14330000000000001</v>
      </c>
      <c r="Q306" s="249"/>
      <c r="R306" s="249">
        <v>41.38</v>
      </c>
      <c r="S306" s="258">
        <v>0.2</v>
      </c>
      <c r="T306" s="169">
        <f t="shared" si="198"/>
        <v>0</v>
      </c>
      <c r="U306" s="315">
        <f t="shared" si="199"/>
        <v>49.656000000000006</v>
      </c>
      <c r="V306" s="315">
        <f t="shared" si="200"/>
        <v>50</v>
      </c>
      <c r="W306" s="316">
        <f t="shared" si="201"/>
        <v>0</v>
      </c>
    </row>
    <row r="307" spans="1:23" x14ac:dyDescent="0.25">
      <c r="A307" s="199" t="s">
        <v>14811</v>
      </c>
      <c r="B307" s="307" t="s">
        <v>18896</v>
      </c>
      <c r="C307" s="308"/>
      <c r="D307" s="309"/>
      <c r="E307" s="310"/>
      <c r="F307" s="311"/>
      <c r="G307" s="311"/>
      <c r="H307" s="310"/>
      <c r="I307" s="311"/>
      <c r="J307" s="311"/>
      <c r="K307" s="310"/>
      <c r="L307" s="311"/>
      <c r="M307" s="311"/>
      <c r="N307" s="310"/>
      <c r="O307" s="311"/>
      <c r="P307" s="311"/>
      <c r="Q307" s="310"/>
      <c r="R307" s="310"/>
      <c r="S307" s="309"/>
      <c r="T307" s="309"/>
      <c r="U307" s="309"/>
      <c r="V307" s="309"/>
      <c r="W307" s="312"/>
    </row>
    <row r="308" spans="1:23" x14ac:dyDescent="0.25">
      <c r="A308" s="200">
        <v>814901</v>
      </c>
      <c r="B308" s="313" t="s">
        <v>20187</v>
      </c>
      <c r="C308" s="248"/>
      <c r="D308" s="247" t="s">
        <v>1</v>
      </c>
      <c r="E308" s="249">
        <f>R308*G308</f>
        <v>24.801830842499999</v>
      </c>
      <c r="F308" s="258">
        <v>0.88290000000000002</v>
      </c>
      <c r="G308" s="258">
        <f>F308</f>
        <v>0.88290000000000002</v>
      </c>
      <c r="H308" s="249">
        <f>R308*J308</f>
        <v>0</v>
      </c>
      <c r="I308" s="258">
        <v>0</v>
      </c>
      <c r="J308" s="258">
        <f>I308</f>
        <v>0</v>
      </c>
      <c r="K308" s="249">
        <f>R308*M308</f>
        <v>2.2866338549999998</v>
      </c>
      <c r="L308" s="258">
        <v>8.14E-2</v>
      </c>
      <c r="M308" s="258">
        <f>L308</f>
        <v>8.14E-2</v>
      </c>
      <c r="N308" s="251">
        <f>P308*R308</f>
        <v>0</v>
      </c>
      <c r="O308" s="258">
        <v>0</v>
      </c>
      <c r="P308" s="258">
        <f>O308</f>
        <v>0</v>
      </c>
      <c r="Q308" s="249"/>
      <c r="R308" s="249">
        <v>28.091324999999998</v>
      </c>
      <c r="S308" s="258">
        <v>0.2</v>
      </c>
      <c r="T308" s="169">
        <f>Q308+Q308*S308</f>
        <v>0</v>
      </c>
      <c r="U308" s="315">
        <f>(R308*S308)+R308</f>
        <v>33.709589999999999</v>
      </c>
      <c r="V308" s="315">
        <f>IF(U308=0, 0, IF(U308&lt;10, _xlfn.CEILING.MATH(U308,1), IF(U308&lt;100, _xlfn.CEILING.MATH(U308,1),IF(U308&lt;1000, _xlfn.CEILING.MATH(U308,5), IF(U308&lt;10000, _xlfn.CEILING.MATH(U308, 25), IF(U308&lt;100000, _xlfn.CEILING.MATH(U308,250), IF(U308&lt;1000000, _xlfn.CEILING.MATH(U308,500), 0)))))))</f>
        <v>34</v>
      </c>
      <c r="W308" s="316">
        <f>C308*V308</f>
        <v>0</v>
      </c>
    </row>
    <row r="309" spans="1:23" x14ac:dyDescent="0.25">
      <c r="A309" s="200">
        <v>814901</v>
      </c>
      <c r="B309" s="313" t="s">
        <v>20188</v>
      </c>
      <c r="C309" s="248"/>
      <c r="D309" s="247" t="s">
        <v>1</v>
      </c>
      <c r="E309" s="249">
        <f>R309*G309</f>
        <v>23.169003676000003</v>
      </c>
      <c r="F309" s="258">
        <v>0.89890000000000003</v>
      </c>
      <c r="G309" s="258">
        <f>F309</f>
        <v>0.89890000000000003</v>
      </c>
      <c r="H309" s="249">
        <f>R309*J309</f>
        <v>0</v>
      </c>
      <c r="I309" s="258">
        <v>0</v>
      </c>
      <c r="J309" s="258">
        <f>I309</f>
        <v>0</v>
      </c>
      <c r="K309" s="249">
        <f>R309*M309</f>
        <v>1.595462596</v>
      </c>
      <c r="L309" s="258">
        <v>6.1899999999999997E-2</v>
      </c>
      <c r="M309" s="258">
        <f>L309</f>
        <v>6.1899999999999997E-2</v>
      </c>
      <c r="N309" s="251">
        <f>P309*R309</f>
        <v>0</v>
      </c>
      <c r="O309" s="258">
        <v>0</v>
      </c>
      <c r="P309" s="258">
        <f>O309</f>
        <v>0</v>
      </c>
      <c r="Q309" s="249"/>
      <c r="R309" s="249">
        <v>25.774840000000001</v>
      </c>
      <c r="S309" s="258">
        <v>0.2</v>
      </c>
      <c r="T309" s="169">
        <f>Q309+Q309*S309</f>
        <v>0</v>
      </c>
      <c r="U309" s="315">
        <f>(R309*S309)+R309</f>
        <v>30.929808000000001</v>
      </c>
      <c r="V309" s="315">
        <f>IF(U309=0, 0, IF(U309&lt;10, _xlfn.CEILING.MATH(U309,1), IF(U309&lt;100, _xlfn.CEILING.MATH(U309,1),IF(U309&lt;1000, _xlfn.CEILING.MATH(U309,5), IF(U309&lt;10000, _xlfn.CEILING.MATH(U309, 25), IF(U309&lt;100000, _xlfn.CEILING.MATH(U309,250), IF(U309&lt;1000000, _xlfn.CEILING.MATH(U309,500), 0)))))))</f>
        <v>31</v>
      </c>
      <c r="W309" s="316">
        <f>C309*V309</f>
        <v>0</v>
      </c>
    </row>
    <row r="310" spans="1:23" x14ac:dyDescent="0.25">
      <c r="A310" s="200">
        <v>814902</v>
      </c>
      <c r="B310" s="313" t="s">
        <v>20189</v>
      </c>
      <c r="C310" s="248"/>
      <c r="D310" s="247" t="s">
        <v>7</v>
      </c>
      <c r="E310" s="249">
        <f>R310*G310</f>
        <v>88.564063103999999</v>
      </c>
      <c r="F310" s="258">
        <v>0.4224</v>
      </c>
      <c r="G310" s="258">
        <f>F310</f>
        <v>0.4224</v>
      </c>
      <c r="H310" s="249">
        <f>R310*J310</f>
        <v>69.568077978000005</v>
      </c>
      <c r="I310" s="258">
        <v>0.33179999999999998</v>
      </c>
      <c r="J310" s="258">
        <f>I310</f>
        <v>0.33179999999999998</v>
      </c>
      <c r="K310" s="249">
        <f>R310*M310</f>
        <v>35.727548184</v>
      </c>
      <c r="L310" s="258">
        <v>0.1704</v>
      </c>
      <c r="M310" s="258">
        <f>L310</f>
        <v>0.1704</v>
      </c>
      <c r="N310" s="251">
        <f>P310*R310</f>
        <v>14.802610926</v>
      </c>
      <c r="O310" s="258">
        <v>7.0599999999999996E-2</v>
      </c>
      <c r="P310" s="258">
        <f>O310</f>
        <v>7.0599999999999996E-2</v>
      </c>
      <c r="Q310" s="249"/>
      <c r="R310" s="249">
        <v>209.66871</v>
      </c>
      <c r="S310" s="258">
        <v>0.2</v>
      </c>
      <c r="T310" s="169">
        <f>Q310+Q310*S310</f>
        <v>0</v>
      </c>
      <c r="U310" s="315">
        <f>(R310*S310)+R310</f>
        <v>251.602452</v>
      </c>
      <c r="V310" s="315">
        <f>IF(U310=0, 0, IF(U310&lt;10, _xlfn.CEILING.MATH(U310,1), IF(U310&lt;100, _xlfn.CEILING.MATH(U310,1),IF(U310&lt;1000, _xlfn.CEILING.MATH(U310,5), IF(U310&lt;10000, _xlfn.CEILING.MATH(U310, 25), IF(U310&lt;100000, _xlfn.CEILING.MATH(U310,250), IF(U310&lt;1000000, _xlfn.CEILING.MATH(U310,500), 0)))))))</f>
        <v>255</v>
      </c>
      <c r="W310" s="316">
        <f>C310*V310</f>
        <v>0</v>
      </c>
    </row>
    <row r="311" spans="1:23" x14ac:dyDescent="0.25">
      <c r="A311" s="200">
        <v>814902</v>
      </c>
      <c r="B311" s="313" t="s">
        <v>20190</v>
      </c>
      <c r="C311" s="248"/>
      <c r="D311" s="247" t="s">
        <v>7</v>
      </c>
      <c r="E311" s="249">
        <f>R311*G311</f>
        <v>84.476856032699999</v>
      </c>
      <c r="F311" s="258">
        <v>0.41099999999999998</v>
      </c>
      <c r="G311" s="258">
        <f>F311</f>
        <v>0.41099999999999998</v>
      </c>
      <c r="H311" s="249">
        <f>R311*J311</f>
        <v>69.780760640150007</v>
      </c>
      <c r="I311" s="258">
        <v>0.33950000000000002</v>
      </c>
      <c r="J311" s="258">
        <f>I311</f>
        <v>0.33950000000000002</v>
      </c>
      <c r="K311" s="249">
        <f>R311*M311</f>
        <v>35.578938635670006</v>
      </c>
      <c r="L311" s="258">
        <v>0.1731</v>
      </c>
      <c r="M311" s="258">
        <f>L311</f>
        <v>0.1731</v>
      </c>
      <c r="N311" s="251">
        <f>P311*R311</f>
        <v>14.696095392549999</v>
      </c>
      <c r="O311" s="258">
        <v>7.1499999999999994E-2</v>
      </c>
      <c r="P311" s="258">
        <f>O311</f>
        <v>7.1499999999999994E-2</v>
      </c>
      <c r="Q311" s="249"/>
      <c r="R311" s="249">
        <v>205.53979570000001</v>
      </c>
      <c r="S311" s="258">
        <v>0.2</v>
      </c>
      <c r="T311" s="169">
        <f>Q311+Q311*S311</f>
        <v>0</v>
      </c>
      <c r="U311" s="315">
        <f>(R311*S311)+R311</f>
        <v>246.64775484</v>
      </c>
      <c r="V311" s="315">
        <f>IF(U311=0, 0, IF(U311&lt;10, _xlfn.CEILING.MATH(U311,1), IF(U311&lt;100, _xlfn.CEILING.MATH(U311,1),IF(U311&lt;1000, _xlfn.CEILING.MATH(U311,5), IF(U311&lt;10000, _xlfn.CEILING.MATH(U311, 25), IF(U311&lt;100000, _xlfn.CEILING.MATH(U311,250), IF(U311&lt;1000000, _xlfn.CEILING.MATH(U311,500), 0)))))))</f>
        <v>250</v>
      </c>
      <c r="W311" s="316">
        <f>C311*V311</f>
        <v>0</v>
      </c>
    </row>
    <row r="312" spans="1:23" x14ac:dyDescent="0.25">
      <c r="A312" s="200">
        <v>814902</v>
      </c>
      <c r="B312" s="313" t="s">
        <v>20191</v>
      </c>
      <c r="C312" s="248"/>
      <c r="D312" s="247" t="s">
        <v>7</v>
      </c>
      <c r="E312" s="249">
        <f>R312*G312</f>
        <v>76.525735550490012</v>
      </c>
      <c r="F312" s="258">
        <v>0.38790000000000002</v>
      </c>
      <c r="G312" s="258">
        <f>F312</f>
        <v>0.38790000000000002</v>
      </c>
      <c r="H312" s="249">
        <f>R312*J312</f>
        <v>69.77868694047001</v>
      </c>
      <c r="I312" s="258">
        <v>0.35370000000000001</v>
      </c>
      <c r="J312" s="258">
        <f>I312</f>
        <v>0.35370000000000001</v>
      </c>
      <c r="K312" s="249">
        <f>R312*M312</f>
        <v>35.471325733379999</v>
      </c>
      <c r="L312" s="258">
        <v>0.17979999999999999</v>
      </c>
      <c r="M312" s="258">
        <f>L312</f>
        <v>0.17979999999999999</v>
      </c>
      <c r="N312" s="251">
        <f>P312*R312</f>
        <v>14.500236047850001</v>
      </c>
      <c r="O312" s="258">
        <v>7.3499999999999996E-2</v>
      </c>
      <c r="P312" s="258">
        <f>O312</f>
        <v>7.3499999999999996E-2</v>
      </c>
      <c r="Q312" s="249"/>
      <c r="R312" s="249">
        <v>197.28212310000001</v>
      </c>
      <c r="S312" s="258">
        <v>0.2</v>
      </c>
      <c r="T312" s="169">
        <f>Q312+Q312*S312</f>
        <v>0</v>
      </c>
      <c r="U312" s="315">
        <f>(R312*S312)+R312</f>
        <v>236.73854772000001</v>
      </c>
      <c r="V312" s="315">
        <f>IF(U312=0, 0, IF(U312&lt;10, _xlfn.CEILING.MATH(U312,1), IF(U312&lt;100, _xlfn.CEILING.MATH(U312,1),IF(U312&lt;1000, _xlfn.CEILING.MATH(U312,5), IF(U312&lt;10000, _xlfn.CEILING.MATH(U312, 25), IF(U312&lt;100000, _xlfn.CEILING.MATH(U312,250), IF(U312&lt;1000000, _xlfn.CEILING.MATH(U312,500), 0)))))))</f>
        <v>240</v>
      </c>
      <c r="W312" s="316">
        <f>C312*V312</f>
        <v>0</v>
      </c>
    </row>
    <row r="313" spans="1:23" x14ac:dyDescent="0.25">
      <c r="A313" s="199" t="s">
        <v>14823</v>
      </c>
      <c r="B313" s="307" t="s">
        <v>14824</v>
      </c>
      <c r="C313" s="308"/>
      <c r="D313" s="309"/>
      <c r="E313" s="310"/>
      <c r="F313" s="311"/>
      <c r="G313" s="311"/>
      <c r="H313" s="310"/>
      <c r="I313" s="311"/>
      <c r="J313" s="311"/>
      <c r="K313" s="310"/>
      <c r="L313" s="311"/>
      <c r="M313" s="311"/>
      <c r="N313" s="310"/>
      <c r="O313" s="311"/>
      <c r="P313" s="311"/>
      <c r="Q313" s="310"/>
      <c r="R313" s="310"/>
      <c r="S313" s="309"/>
      <c r="T313" s="309"/>
      <c r="U313" s="309"/>
      <c r="V313" s="309"/>
      <c r="W313" s="312"/>
    </row>
    <row r="314" spans="1:23" x14ac:dyDescent="0.25">
      <c r="A314" s="200">
        <v>821101</v>
      </c>
      <c r="B314" s="313" t="s">
        <v>20192</v>
      </c>
      <c r="C314" s="248"/>
      <c r="D314" s="247" t="s">
        <v>11</v>
      </c>
      <c r="E314" s="249">
        <f>R314*G314</f>
        <v>25</v>
      </c>
      <c r="F314" s="258">
        <v>0.25</v>
      </c>
      <c r="G314" s="258">
        <f>F314</f>
        <v>0.25</v>
      </c>
      <c r="H314" s="249">
        <f>R314*J314</f>
        <v>65</v>
      </c>
      <c r="I314" s="258">
        <v>0.65</v>
      </c>
      <c r="J314" s="258">
        <f>I314</f>
        <v>0.65</v>
      </c>
      <c r="K314" s="249">
        <f>R314*M314</f>
        <v>10</v>
      </c>
      <c r="L314" s="258">
        <v>0.1</v>
      </c>
      <c r="M314" s="258">
        <f>L314</f>
        <v>0.1</v>
      </c>
      <c r="N314" s="251">
        <f>P314*R314</f>
        <v>0</v>
      </c>
      <c r="O314" s="258"/>
      <c r="P314" s="258">
        <f>O314</f>
        <v>0</v>
      </c>
      <c r="Q314" s="249"/>
      <c r="R314" s="249">
        <v>100</v>
      </c>
      <c r="S314" s="258">
        <v>0.2</v>
      </c>
      <c r="T314" s="169">
        <f>Q314+Q314*S314</f>
        <v>0</v>
      </c>
      <c r="U314" s="315">
        <f>(R314*S314)+R314</f>
        <v>120</v>
      </c>
      <c r="V314" s="315">
        <f>IF(U314=0, 0, IF(U314&lt;10, _xlfn.CEILING.MATH(U314,1), IF(U314&lt;100, _xlfn.CEILING.MATH(U314,1),IF(U314&lt;1000, _xlfn.CEILING.MATH(U314,5), IF(U314&lt;10000, _xlfn.CEILING.MATH(U314, 25), IF(U314&lt;100000, _xlfn.CEILING.MATH(U314,250), IF(U314&lt;1000000, _xlfn.CEILING.MATH(U314,500), 0)))))))</f>
        <v>120</v>
      </c>
      <c r="W314" s="316">
        <f>C314*V314</f>
        <v>0</v>
      </c>
    </row>
    <row r="315" spans="1:23" x14ac:dyDescent="0.25">
      <c r="A315" s="200">
        <v>821102</v>
      </c>
      <c r="B315" s="313" t="s">
        <v>16229</v>
      </c>
      <c r="C315" s="248"/>
      <c r="D315" s="247" t="s">
        <v>11</v>
      </c>
      <c r="E315" s="249">
        <f>R315*G315</f>
        <v>31.25</v>
      </c>
      <c r="F315" s="258">
        <v>0.25</v>
      </c>
      <c r="G315" s="258">
        <f>F315</f>
        <v>0.25</v>
      </c>
      <c r="H315" s="249">
        <f>R315*J315</f>
        <v>81.25</v>
      </c>
      <c r="I315" s="258">
        <v>0.65</v>
      </c>
      <c r="J315" s="258">
        <f>I315</f>
        <v>0.65</v>
      </c>
      <c r="K315" s="249">
        <f>R315*M315</f>
        <v>12.5</v>
      </c>
      <c r="L315" s="258">
        <v>0.1</v>
      </c>
      <c r="M315" s="258">
        <f>L315</f>
        <v>0.1</v>
      </c>
      <c r="N315" s="251">
        <f>P315*R315</f>
        <v>0</v>
      </c>
      <c r="O315" s="258"/>
      <c r="P315" s="258">
        <f>O315</f>
        <v>0</v>
      </c>
      <c r="Q315" s="249"/>
      <c r="R315" s="249">
        <v>125</v>
      </c>
      <c r="S315" s="258">
        <v>0.2</v>
      </c>
      <c r="T315" s="169">
        <f>Q315+Q315*S315</f>
        <v>0</v>
      </c>
      <c r="U315" s="315">
        <f>(R315*S315)+R315</f>
        <v>150</v>
      </c>
      <c r="V315" s="315">
        <f>IF(U315=0, 0, IF(U315&lt;10, _xlfn.CEILING.MATH(U315,1), IF(U315&lt;100, _xlfn.CEILING.MATH(U315,1),IF(U315&lt;1000, _xlfn.CEILING.MATH(U315,5), IF(U315&lt;10000, _xlfn.CEILING.MATH(U315, 25), IF(U315&lt;100000, _xlfn.CEILING.MATH(U315,250), IF(U315&lt;1000000, _xlfn.CEILING.MATH(U315,500), 0)))))))</f>
        <v>150</v>
      </c>
      <c r="W315" s="316">
        <f>C315*V315</f>
        <v>0</v>
      </c>
    </row>
    <row r="316" spans="1:23" x14ac:dyDescent="0.25">
      <c r="A316" s="199" t="s">
        <v>14837</v>
      </c>
      <c r="B316" s="307" t="s">
        <v>14838</v>
      </c>
      <c r="C316" s="308"/>
      <c r="D316" s="309"/>
      <c r="E316" s="310"/>
      <c r="F316" s="311"/>
      <c r="G316" s="311"/>
      <c r="H316" s="310"/>
      <c r="I316" s="311"/>
      <c r="J316" s="311"/>
      <c r="K316" s="310"/>
      <c r="L316" s="311"/>
      <c r="M316" s="311"/>
      <c r="N316" s="310"/>
      <c r="O316" s="311"/>
      <c r="P316" s="311"/>
      <c r="Q316" s="310"/>
      <c r="R316" s="310"/>
      <c r="S316" s="309"/>
      <c r="T316" s="309"/>
      <c r="U316" s="309"/>
      <c r="V316" s="309"/>
      <c r="W316" s="312"/>
    </row>
    <row r="317" spans="1:23" x14ac:dyDescent="0.25">
      <c r="A317" s="200">
        <v>831170</v>
      </c>
      <c r="B317" s="313" t="s">
        <v>16230</v>
      </c>
      <c r="C317" s="248"/>
      <c r="D317" s="247" t="s">
        <v>11</v>
      </c>
      <c r="E317" s="249">
        <f>R317*G317</f>
        <v>1000</v>
      </c>
      <c r="F317" s="258">
        <v>0.5</v>
      </c>
      <c r="G317" s="258">
        <f>F317</f>
        <v>0.5</v>
      </c>
      <c r="H317" s="249">
        <f>R317*J317</f>
        <v>880</v>
      </c>
      <c r="I317" s="258">
        <v>0.44</v>
      </c>
      <c r="J317" s="258">
        <f>I317</f>
        <v>0.44</v>
      </c>
      <c r="K317" s="249">
        <f>R317*M317</f>
        <v>70</v>
      </c>
      <c r="L317" s="258">
        <v>3.5000000000000003E-2</v>
      </c>
      <c r="M317" s="258">
        <f>L317</f>
        <v>3.5000000000000003E-2</v>
      </c>
      <c r="N317" s="251">
        <f>P317*R317</f>
        <v>50</v>
      </c>
      <c r="O317" s="258">
        <v>2.5000000000000001E-2</v>
      </c>
      <c r="P317" s="258">
        <f>O317</f>
        <v>2.5000000000000001E-2</v>
      </c>
      <c r="Q317" s="249"/>
      <c r="R317" s="249">
        <v>2000</v>
      </c>
      <c r="S317" s="258">
        <v>0.35</v>
      </c>
      <c r="T317" s="169">
        <f>Q317+Q317*S317</f>
        <v>0</v>
      </c>
      <c r="U317" s="315">
        <f>(R317*S317)+R317</f>
        <v>2700</v>
      </c>
      <c r="V317" s="315">
        <f>IF(U317=0, 0, IF(U317&lt;10, _xlfn.CEILING.MATH(U317,1), IF(U317&lt;100, _xlfn.CEILING.MATH(U317,1),IF(U317&lt;1000, _xlfn.CEILING.MATH(U317,5), IF(U317&lt;10000, _xlfn.CEILING.MATH(U317, 25), IF(U317&lt;100000, _xlfn.CEILING.MATH(U317,250), IF(U317&lt;1000000, _xlfn.CEILING.MATH(U317,500), 0)))))))</f>
        <v>2700</v>
      </c>
      <c r="W317" s="316">
        <f>C317*V317</f>
        <v>0</v>
      </c>
    </row>
    <row r="318" spans="1:23" x14ac:dyDescent="0.25">
      <c r="A318" s="200">
        <v>831170</v>
      </c>
      <c r="B318" s="313" t="s">
        <v>16231</v>
      </c>
      <c r="C318" s="248"/>
      <c r="D318" s="247" t="s">
        <v>11</v>
      </c>
      <c r="E318" s="249">
        <f>R318*G318</f>
        <v>750</v>
      </c>
      <c r="F318" s="258">
        <v>0.5</v>
      </c>
      <c r="G318" s="258">
        <f>F318</f>
        <v>0.5</v>
      </c>
      <c r="H318" s="249">
        <f>R318*J318</f>
        <v>660</v>
      </c>
      <c r="I318" s="258">
        <v>0.44</v>
      </c>
      <c r="J318" s="258">
        <f>I318</f>
        <v>0.44</v>
      </c>
      <c r="K318" s="249">
        <f>R318*M318</f>
        <v>52.500000000000007</v>
      </c>
      <c r="L318" s="258">
        <v>3.5000000000000003E-2</v>
      </c>
      <c r="M318" s="258">
        <f>L318</f>
        <v>3.5000000000000003E-2</v>
      </c>
      <c r="N318" s="251">
        <f>P318*R318</f>
        <v>37.5</v>
      </c>
      <c r="O318" s="258">
        <v>2.5000000000000001E-2</v>
      </c>
      <c r="P318" s="258">
        <f>O318</f>
        <v>2.5000000000000001E-2</v>
      </c>
      <c r="Q318" s="249"/>
      <c r="R318" s="249">
        <v>1500</v>
      </c>
      <c r="S318" s="258">
        <v>0.35</v>
      </c>
      <c r="T318" s="169">
        <f>Q318+Q318*S318</f>
        <v>0</v>
      </c>
      <c r="U318" s="315">
        <f>(R318*S318)+R318</f>
        <v>2025</v>
      </c>
      <c r="V318" s="315">
        <f>IF(U318=0, 0, IF(U318&lt;10, _xlfn.CEILING.MATH(U318,1), IF(U318&lt;100, _xlfn.CEILING.MATH(U318,1),IF(U318&lt;1000, _xlfn.CEILING.MATH(U318,5), IF(U318&lt;10000, _xlfn.CEILING.MATH(U318, 25), IF(U318&lt;100000, _xlfn.CEILING.MATH(U318,250), IF(U318&lt;1000000, _xlfn.CEILING.MATH(U318,500), 0)))))))</f>
        <v>2025</v>
      </c>
      <c r="W318" s="316">
        <f>C318*V318</f>
        <v>0</v>
      </c>
    </row>
    <row r="319" spans="1:23" x14ac:dyDescent="0.25">
      <c r="A319" s="195" t="s">
        <v>14882</v>
      </c>
      <c r="B319" s="317" t="s">
        <v>14883</v>
      </c>
      <c r="C319" s="318"/>
      <c r="D319" s="319"/>
      <c r="E319" s="319"/>
      <c r="F319" s="319"/>
      <c r="G319" s="319"/>
      <c r="H319" s="319"/>
      <c r="I319" s="319"/>
      <c r="J319" s="319"/>
      <c r="K319" s="319"/>
      <c r="L319" s="319"/>
      <c r="M319" s="319"/>
      <c r="N319" s="319"/>
      <c r="O319" s="319"/>
      <c r="P319" s="319"/>
      <c r="Q319" s="319"/>
      <c r="R319" s="319"/>
      <c r="S319" s="319"/>
      <c r="T319" s="319"/>
      <c r="U319" s="320"/>
      <c r="V319" s="320"/>
      <c r="W319" s="306"/>
    </row>
    <row r="320" spans="1:23" ht="21" x14ac:dyDescent="0.25">
      <c r="A320" s="200" t="s">
        <v>14884</v>
      </c>
      <c r="B320" s="255" t="s">
        <v>18914</v>
      </c>
      <c r="C320" s="248"/>
      <c r="D320" s="247" t="s">
        <v>14885</v>
      </c>
      <c r="E320" s="249">
        <f t="shared" ref="E320:E382" si="202">R320*G320</f>
        <v>6.0753683009999992</v>
      </c>
      <c r="F320" s="258">
        <v>0.6</v>
      </c>
      <c r="G320" s="258">
        <f t="shared" ref="G320:G382" si="203">F320</f>
        <v>0.6</v>
      </c>
      <c r="H320" s="249">
        <f t="shared" ref="H320:H382" si="204">R320*J320</f>
        <v>2.025122767</v>
      </c>
      <c r="I320" s="258">
        <v>0.2</v>
      </c>
      <c r="J320" s="258">
        <f t="shared" ref="J320:J382" si="205">I320</f>
        <v>0.2</v>
      </c>
      <c r="K320" s="249">
        <f t="shared" ref="K320:K382" si="206">R320*M320</f>
        <v>1.5188420752499998</v>
      </c>
      <c r="L320" s="258">
        <v>0.15</v>
      </c>
      <c r="M320" s="258">
        <f t="shared" ref="M320:M382" si="207">L320</f>
        <v>0.15</v>
      </c>
      <c r="N320" s="251">
        <f t="shared" ref="N320:N382" si="208">P320*R320</f>
        <v>0.50628069175000001</v>
      </c>
      <c r="O320" s="314">
        <v>0.05</v>
      </c>
      <c r="P320" s="258">
        <f t="shared" ref="P320:P382" si="209">O320</f>
        <v>0.05</v>
      </c>
      <c r="Q320" s="249">
        <v>9.9091000000000005</v>
      </c>
      <c r="R320" s="249">
        <f t="shared" ref="R320:R379" si="210">SUM(F320*Q320*1.0235,I320*Q320*1.0175,L320*Q320*1.0245,O320*Q320*1.0115)</f>
        <v>10.125613834999999</v>
      </c>
      <c r="S320" s="258">
        <v>0.1</v>
      </c>
      <c r="T320" s="169">
        <f t="shared" ref="T320:T356" si="211">Q320+Q320*S320</f>
        <v>10.90001</v>
      </c>
      <c r="U320" s="315">
        <f t="shared" ref="U320:U382" si="212">(R320*S320)+R320</f>
        <v>11.138175218499999</v>
      </c>
      <c r="V320" s="315">
        <f t="shared" ref="V320:V382" si="213">IF(U320=0, 0, IF(U320&lt;10, _xlfn.CEILING.MATH(U320,1), IF(U320&lt;100, _xlfn.CEILING.MATH(U320,1),IF(U320&lt;1000, _xlfn.CEILING.MATH(U320,5), IF(U320&lt;10000, _xlfn.CEILING.MATH(U320, 25), IF(U320&lt;100000, _xlfn.CEILING.MATH(U320,250), IF(U320&lt;1000000, _xlfn.CEILING.MATH(U320,500), 0)))))))</f>
        <v>12</v>
      </c>
      <c r="W320" s="316">
        <f t="shared" ref="W320:W356" si="214">C320*V320</f>
        <v>0</v>
      </c>
    </row>
    <row r="321" spans="1:23" ht="21" x14ac:dyDescent="0.25">
      <c r="A321" s="200" t="s">
        <v>14886</v>
      </c>
      <c r="B321" s="255" t="s">
        <v>18915</v>
      </c>
      <c r="C321" s="248"/>
      <c r="D321" s="247" t="s">
        <v>14885</v>
      </c>
      <c r="E321" s="249">
        <f t="shared" si="202"/>
        <v>9.0851866019999985</v>
      </c>
      <c r="F321" s="258">
        <v>0.6</v>
      </c>
      <c r="G321" s="258">
        <f t="shared" si="203"/>
        <v>0.6</v>
      </c>
      <c r="H321" s="249">
        <f t="shared" si="204"/>
        <v>3.0283955339999999</v>
      </c>
      <c r="I321" s="258">
        <v>0.2</v>
      </c>
      <c r="J321" s="258">
        <f t="shared" si="205"/>
        <v>0.2</v>
      </c>
      <c r="K321" s="249">
        <f t="shared" si="206"/>
        <v>2.2712966504999996</v>
      </c>
      <c r="L321" s="258">
        <v>0.15</v>
      </c>
      <c r="M321" s="258">
        <f t="shared" si="207"/>
        <v>0.15</v>
      </c>
      <c r="N321" s="251">
        <f t="shared" si="208"/>
        <v>0.75709888349999999</v>
      </c>
      <c r="O321" s="314">
        <v>0.05</v>
      </c>
      <c r="P321" s="258">
        <f t="shared" si="209"/>
        <v>0.05</v>
      </c>
      <c r="Q321" s="249">
        <v>14.818199999999999</v>
      </c>
      <c r="R321" s="249">
        <f t="shared" si="210"/>
        <v>15.141977669999999</v>
      </c>
      <c r="S321" s="258">
        <v>0.1</v>
      </c>
      <c r="T321" s="169">
        <f t="shared" si="211"/>
        <v>16.30002</v>
      </c>
      <c r="U321" s="315">
        <f t="shared" si="212"/>
        <v>16.656175436999998</v>
      </c>
      <c r="V321" s="315">
        <f t="shared" si="213"/>
        <v>17</v>
      </c>
      <c r="W321" s="316">
        <f t="shared" si="214"/>
        <v>0</v>
      </c>
    </row>
    <row r="322" spans="1:23" ht="21" x14ac:dyDescent="0.25">
      <c r="A322" s="200" t="s">
        <v>14887</v>
      </c>
      <c r="B322" s="255" t="s">
        <v>18916</v>
      </c>
      <c r="C322" s="248"/>
      <c r="D322" s="247" t="s">
        <v>14885</v>
      </c>
      <c r="E322" s="249">
        <f t="shared" si="202"/>
        <v>3.21789782325</v>
      </c>
      <c r="F322" s="258">
        <v>0.55000000000000004</v>
      </c>
      <c r="G322" s="258">
        <f t="shared" si="203"/>
        <v>0.55000000000000004</v>
      </c>
      <c r="H322" s="249">
        <f t="shared" si="204"/>
        <v>1.4626808287499999</v>
      </c>
      <c r="I322" s="258">
        <v>0.25</v>
      </c>
      <c r="J322" s="258">
        <f t="shared" si="205"/>
        <v>0.25</v>
      </c>
      <c r="K322" s="249">
        <f t="shared" si="206"/>
        <v>0.8776084972499999</v>
      </c>
      <c r="L322" s="258">
        <v>0.15</v>
      </c>
      <c r="M322" s="258">
        <f t="shared" si="207"/>
        <v>0.15</v>
      </c>
      <c r="N322" s="251">
        <f t="shared" si="208"/>
        <v>0.29253616575000002</v>
      </c>
      <c r="O322" s="314">
        <v>0.05</v>
      </c>
      <c r="P322" s="258">
        <f t="shared" si="209"/>
        <v>0.05</v>
      </c>
      <c r="Q322" s="249">
        <v>5.7272999999999996</v>
      </c>
      <c r="R322" s="249">
        <f t="shared" si="210"/>
        <v>5.8507233149999998</v>
      </c>
      <c r="S322" s="258">
        <v>0.1</v>
      </c>
      <c r="T322" s="169">
        <f t="shared" si="211"/>
        <v>6.3000299999999996</v>
      </c>
      <c r="U322" s="315">
        <f t="shared" si="212"/>
        <v>6.4357956464999999</v>
      </c>
      <c r="V322" s="315">
        <f t="shared" si="213"/>
        <v>7</v>
      </c>
      <c r="W322" s="316">
        <f t="shared" si="214"/>
        <v>0</v>
      </c>
    </row>
    <row r="323" spans="1:23" ht="21" x14ac:dyDescent="0.25">
      <c r="A323" s="200" t="s">
        <v>14888</v>
      </c>
      <c r="B323" s="255" t="s">
        <v>18917</v>
      </c>
      <c r="C323" s="248"/>
      <c r="D323" s="247" t="s">
        <v>14885</v>
      </c>
      <c r="E323" s="249">
        <f t="shared" si="202"/>
        <v>6.1548132112500005</v>
      </c>
      <c r="F323" s="258">
        <v>0.55000000000000004</v>
      </c>
      <c r="G323" s="258">
        <f t="shared" si="203"/>
        <v>0.55000000000000004</v>
      </c>
      <c r="H323" s="249">
        <f t="shared" si="204"/>
        <v>2.7976423687500001</v>
      </c>
      <c r="I323" s="258">
        <v>0.25</v>
      </c>
      <c r="J323" s="258">
        <f t="shared" si="205"/>
        <v>0.25</v>
      </c>
      <c r="K323" s="249">
        <f t="shared" si="206"/>
        <v>1.67858542125</v>
      </c>
      <c r="L323" s="258">
        <v>0.15</v>
      </c>
      <c r="M323" s="258">
        <f t="shared" si="207"/>
        <v>0.15</v>
      </c>
      <c r="N323" s="251">
        <f t="shared" si="208"/>
        <v>0.55952847375000003</v>
      </c>
      <c r="O323" s="314">
        <v>0.05</v>
      </c>
      <c r="P323" s="258">
        <f t="shared" si="209"/>
        <v>0.05</v>
      </c>
      <c r="Q323" s="249">
        <v>10.954499999999999</v>
      </c>
      <c r="R323" s="249">
        <f t="shared" si="210"/>
        <v>11.190569475</v>
      </c>
      <c r="S323" s="258">
        <v>0.1</v>
      </c>
      <c r="T323" s="169">
        <f t="shared" si="211"/>
        <v>12.049949999999999</v>
      </c>
      <c r="U323" s="315">
        <f t="shared" si="212"/>
        <v>12.309626422500001</v>
      </c>
      <c r="V323" s="315">
        <f t="shared" si="213"/>
        <v>13</v>
      </c>
      <c r="W323" s="316">
        <f t="shared" si="214"/>
        <v>0</v>
      </c>
    </row>
    <row r="324" spans="1:23" ht="21" x14ac:dyDescent="0.25">
      <c r="A324" s="200" t="s">
        <v>14889</v>
      </c>
      <c r="B324" s="255" t="s">
        <v>18918</v>
      </c>
      <c r="C324" s="248"/>
      <c r="D324" s="247" t="s">
        <v>2</v>
      </c>
      <c r="E324" s="249">
        <f t="shared" si="202"/>
        <v>7.8914992887500031</v>
      </c>
      <c r="F324" s="258">
        <v>0.55000000000000004</v>
      </c>
      <c r="G324" s="258">
        <f t="shared" si="203"/>
        <v>0.55000000000000004</v>
      </c>
      <c r="H324" s="249">
        <f t="shared" si="204"/>
        <v>3.5870451312500009</v>
      </c>
      <c r="I324" s="258">
        <v>0.25</v>
      </c>
      <c r="J324" s="258">
        <f t="shared" si="205"/>
        <v>0.25</v>
      </c>
      <c r="K324" s="249">
        <f t="shared" si="206"/>
        <v>2.1522270787500006</v>
      </c>
      <c r="L324" s="258">
        <v>0.15</v>
      </c>
      <c r="M324" s="258">
        <f t="shared" si="207"/>
        <v>0.15</v>
      </c>
      <c r="N324" s="251">
        <f t="shared" si="208"/>
        <v>0.71740902625000025</v>
      </c>
      <c r="O324" s="314">
        <v>0.05</v>
      </c>
      <c r="P324" s="258">
        <f t="shared" si="209"/>
        <v>0.05</v>
      </c>
      <c r="Q324" s="249">
        <v>14.045500000000001</v>
      </c>
      <c r="R324" s="249">
        <f t="shared" si="210"/>
        <v>14.348180525000004</v>
      </c>
      <c r="S324" s="258">
        <v>0.1</v>
      </c>
      <c r="T324" s="169">
        <f t="shared" si="211"/>
        <v>15.450050000000001</v>
      </c>
      <c r="U324" s="315">
        <f t="shared" si="212"/>
        <v>15.782998577500004</v>
      </c>
      <c r="V324" s="315">
        <f t="shared" si="213"/>
        <v>16</v>
      </c>
      <c r="W324" s="316">
        <f t="shared" si="214"/>
        <v>0</v>
      </c>
    </row>
    <row r="325" spans="1:23" ht="21" x14ac:dyDescent="0.25">
      <c r="A325" s="200" t="s">
        <v>14890</v>
      </c>
      <c r="B325" s="255" t="s">
        <v>18919</v>
      </c>
      <c r="C325" s="248"/>
      <c r="D325" s="247" t="s">
        <v>2</v>
      </c>
      <c r="E325" s="249">
        <f t="shared" si="202"/>
        <v>8.1468612500000006</v>
      </c>
      <c r="F325" s="258">
        <v>0.55000000000000004</v>
      </c>
      <c r="G325" s="258">
        <f t="shared" si="203"/>
        <v>0.55000000000000004</v>
      </c>
      <c r="H325" s="249">
        <f t="shared" si="204"/>
        <v>3.7031187500000002</v>
      </c>
      <c r="I325" s="258">
        <v>0.25</v>
      </c>
      <c r="J325" s="258">
        <f t="shared" si="205"/>
        <v>0.25</v>
      </c>
      <c r="K325" s="249">
        <f t="shared" si="206"/>
        <v>2.22187125</v>
      </c>
      <c r="L325" s="258">
        <v>0.15</v>
      </c>
      <c r="M325" s="258">
        <f t="shared" si="207"/>
        <v>0.15</v>
      </c>
      <c r="N325" s="251">
        <f t="shared" si="208"/>
        <v>0.74062375000000014</v>
      </c>
      <c r="O325" s="314">
        <v>0.05</v>
      </c>
      <c r="P325" s="258">
        <f t="shared" si="209"/>
        <v>0.05</v>
      </c>
      <c r="Q325" s="249">
        <v>14.5</v>
      </c>
      <c r="R325" s="249">
        <f t="shared" si="210"/>
        <v>14.812475000000001</v>
      </c>
      <c r="S325" s="258">
        <v>0.1</v>
      </c>
      <c r="T325" s="169">
        <f t="shared" si="211"/>
        <v>15.95</v>
      </c>
      <c r="U325" s="315">
        <f t="shared" si="212"/>
        <v>16.293722500000001</v>
      </c>
      <c r="V325" s="315">
        <f t="shared" si="213"/>
        <v>17</v>
      </c>
      <c r="W325" s="316">
        <f t="shared" si="214"/>
        <v>0</v>
      </c>
    </row>
    <row r="326" spans="1:23" ht="21" x14ac:dyDescent="0.25">
      <c r="A326" s="200" t="s">
        <v>14890</v>
      </c>
      <c r="B326" s="255" t="s">
        <v>18920</v>
      </c>
      <c r="C326" s="248"/>
      <c r="D326" s="247" t="s">
        <v>14885</v>
      </c>
      <c r="E326" s="249">
        <f t="shared" si="202"/>
        <v>5.0566725000000012</v>
      </c>
      <c r="F326" s="258">
        <v>0.55000000000000004</v>
      </c>
      <c r="G326" s="258">
        <f t="shared" si="203"/>
        <v>0.55000000000000004</v>
      </c>
      <c r="H326" s="249">
        <f t="shared" si="204"/>
        <v>2.2984875000000002</v>
      </c>
      <c r="I326" s="258">
        <v>0.25</v>
      </c>
      <c r="J326" s="258">
        <f t="shared" si="205"/>
        <v>0.25</v>
      </c>
      <c r="K326" s="249">
        <f t="shared" si="206"/>
        <v>1.3790925000000001</v>
      </c>
      <c r="L326" s="258">
        <v>0.15</v>
      </c>
      <c r="M326" s="258">
        <f t="shared" si="207"/>
        <v>0.15</v>
      </c>
      <c r="N326" s="251">
        <f t="shared" si="208"/>
        <v>0.45969750000000009</v>
      </c>
      <c r="O326" s="314">
        <v>0.05</v>
      </c>
      <c r="P326" s="258">
        <f t="shared" si="209"/>
        <v>0.05</v>
      </c>
      <c r="Q326" s="249">
        <v>9</v>
      </c>
      <c r="R326" s="249">
        <f t="shared" si="210"/>
        <v>9.193950000000001</v>
      </c>
      <c r="S326" s="258">
        <v>0.1</v>
      </c>
      <c r="T326" s="169">
        <f t="shared" si="211"/>
        <v>9.9</v>
      </c>
      <c r="U326" s="315">
        <f t="shared" si="212"/>
        <v>10.113345000000001</v>
      </c>
      <c r="V326" s="315">
        <f t="shared" si="213"/>
        <v>11</v>
      </c>
      <c r="W326" s="316">
        <f t="shared" si="214"/>
        <v>0</v>
      </c>
    </row>
    <row r="327" spans="1:23" ht="21.6" thickBot="1" x14ac:dyDescent="0.3">
      <c r="A327" s="263" t="s">
        <v>14891</v>
      </c>
      <c r="B327" s="327" t="s">
        <v>18921</v>
      </c>
      <c r="C327" s="265"/>
      <c r="D327" s="264" t="s">
        <v>14885</v>
      </c>
      <c r="E327" s="266">
        <f t="shared" si="202"/>
        <v>4.5458923922500007</v>
      </c>
      <c r="F327" s="322">
        <v>0.55000000000000004</v>
      </c>
      <c r="G327" s="322">
        <f t="shared" si="203"/>
        <v>0.55000000000000004</v>
      </c>
      <c r="H327" s="266">
        <f t="shared" si="204"/>
        <v>2.0663147237500001</v>
      </c>
      <c r="I327" s="322">
        <v>0.25</v>
      </c>
      <c r="J327" s="322">
        <f t="shared" si="205"/>
        <v>0.25</v>
      </c>
      <c r="K327" s="266">
        <f t="shared" si="206"/>
        <v>1.2397888342500001</v>
      </c>
      <c r="L327" s="322">
        <v>0.15</v>
      </c>
      <c r="M327" s="322">
        <f t="shared" si="207"/>
        <v>0.15</v>
      </c>
      <c r="N327" s="270">
        <f t="shared" si="208"/>
        <v>0.41326294475000003</v>
      </c>
      <c r="O327" s="323">
        <v>0.05</v>
      </c>
      <c r="P327" s="322">
        <f t="shared" si="209"/>
        <v>0.05</v>
      </c>
      <c r="Q327" s="266">
        <v>8.0908999999999995</v>
      </c>
      <c r="R327" s="266">
        <f t="shared" si="210"/>
        <v>8.2652588950000005</v>
      </c>
      <c r="S327" s="322">
        <v>0.1</v>
      </c>
      <c r="T327" s="291">
        <f t="shared" si="211"/>
        <v>8.899989999999999</v>
      </c>
      <c r="U327" s="324">
        <f t="shared" si="212"/>
        <v>9.0917847844999997</v>
      </c>
      <c r="V327" s="324">
        <f t="shared" si="213"/>
        <v>10</v>
      </c>
      <c r="W327" s="325">
        <f t="shared" si="214"/>
        <v>0</v>
      </c>
    </row>
    <row r="328" spans="1:23" ht="21" x14ac:dyDescent="0.25">
      <c r="A328" s="200" t="s">
        <v>14892</v>
      </c>
      <c r="B328" s="255" t="s">
        <v>18922</v>
      </c>
      <c r="C328" s="248"/>
      <c r="D328" s="247" t="s">
        <v>1</v>
      </c>
      <c r="E328" s="249">
        <f t="shared" si="202"/>
        <v>4.0096041810000012</v>
      </c>
      <c r="F328" s="258">
        <v>0.55000000000000004</v>
      </c>
      <c r="G328" s="258">
        <f t="shared" si="203"/>
        <v>0.55000000000000004</v>
      </c>
      <c r="H328" s="249">
        <f t="shared" si="204"/>
        <v>1.8225473550000002</v>
      </c>
      <c r="I328" s="258">
        <v>0.25</v>
      </c>
      <c r="J328" s="258">
        <f t="shared" si="205"/>
        <v>0.25</v>
      </c>
      <c r="K328" s="249">
        <f t="shared" si="206"/>
        <v>1.093528413</v>
      </c>
      <c r="L328" s="258">
        <v>0.15</v>
      </c>
      <c r="M328" s="258">
        <f t="shared" si="207"/>
        <v>0.15</v>
      </c>
      <c r="N328" s="251">
        <f t="shared" si="208"/>
        <v>0.36450947100000008</v>
      </c>
      <c r="O328" s="314">
        <v>0.05</v>
      </c>
      <c r="P328" s="258">
        <f t="shared" si="209"/>
        <v>0.05</v>
      </c>
      <c r="Q328" s="249">
        <v>7.1364000000000001</v>
      </c>
      <c r="R328" s="249">
        <f t="shared" si="210"/>
        <v>7.2901894200000008</v>
      </c>
      <c r="S328" s="258">
        <v>0.1</v>
      </c>
      <c r="T328" s="169">
        <f t="shared" si="211"/>
        <v>7.8500399999999999</v>
      </c>
      <c r="U328" s="315">
        <f t="shared" si="212"/>
        <v>8.0192083620000005</v>
      </c>
      <c r="V328" s="315">
        <f t="shared" si="213"/>
        <v>9</v>
      </c>
      <c r="W328" s="316">
        <f t="shared" si="214"/>
        <v>0</v>
      </c>
    </row>
    <row r="329" spans="1:23" ht="31.2" x14ac:dyDescent="0.25">
      <c r="A329" s="200" t="s">
        <v>14893</v>
      </c>
      <c r="B329" s="255" t="s">
        <v>20193</v>
      </c>
      <c r="C329" s="248"/>
      <c r="D329" s="247" t="s">
        <v>2</v>
      </c>
      <c r="E329" s="249">
        <f t="shared" si="202"/>
        <v>3.9840398922500015</v>
      </c>
      <c r="F329" s="258">
        <v>0.55000000000000004</v>
      </c>
      <c r="G329" s="258">
        <f t="shared" si="203"/>
        <v>0.55000000000000004</v>
      </c>
      <c r="H329" s="249">
        <f t="shared" si="204"/>
        <v>1.8109272237500005</v>
      </c>
      <c r="I329" s="258">
        <v>0.25</v>
      </c>
      <c r="J329" s="258">
        <f t="shared" si="205"/>
        <v>0.25</v>
      </c>
      <c r="K329" s="249">
        <f t="shared" si="206"/>
        <v>1.0865563342500002</v>
      </c>
      <c r="L329" s="258">
        <v>0.15</v>
      </c>
      <c r="M329" s="258">
        <f t="shared" si="207"/>
        <v>0.15</v>
      </c>
      <c r="N329" s="251">
        <f t="shared" si="208"/>
        <v>0.36218544475000014</v>
      </c>
      <c r="O329" s="314">
        <v>0.05</v>
      </c>
      <c r="P329" s="258">
        <f t="shared" si="209"/>
        <v>0.05</v>
      </c>
      <c r="Q329" s="249">
        <v>7.0909000000000004</v>
      </c>
      <c r="R329" s="249">
        <f t="shared" si="210"/>
        <v>7.2437088950000019</v>
      </c>
      <c r="S329" s="258">
        <v>0.1</v>
      </c>
      <c r="T329" s="169">
        <f t="shared" si="211"/>
        <v>7.7999900000000002</v>
      </c>
      <c r="U329" s="315">
        <f t="shared" si="212"/>
        <v>7.9680797845000022</v>
      </c>
      <c r="V329" s="315">
        <f t="shared" si="213"/>
        <v>8</v>
      </c>
      <c r="W329" s="316">
        <f t="shared" si="214"/>
        <v>0</v>
      </c>
    </row>
    <row r="330" spans="1:23" ht="21" x14ac:dyDescent="0.25">
      <c r="A330" s="200" t="s">
        <v>14894</v>
      </c>
      <c r="B330" s="255" t="s">
        <v>20194</v>
      </c>
      <c r="C330" s="248"/>
      <c r="D330" s="247" t="s">
        <v>14885</v>
      </c>
      <c r="E330" s="249">
        <f t="shared" si="202"/>
        <v>6.4102313577500025</v>
      </c>
      <c r="F330" s="258">
        <v>0.55000000000000004</v>
      </c>
      <c r="G330" s="258">
        <f t="shared" si="203"/>
        <v>0.55000000000000004</v>
      </c>
      <c r="H330" s="249">
        <f t="shared" si="204"/>
        <v>2.9137415262500008</v>
      </c>
      <c r="I330" s="258">
        <v>0.25</v>
      </c>
      <c r="J330" s="258">
        <f t="shared" si="205"/>
        <v>0.25</v>
      </c>
      <c r="K330" s="249">
        <f t="shared" si="206"/>
        <v>1.7482449157500004</v>
      </c>
      <c r="L330" s="258">
        <v>0.15</v>
      </c>
      <c r="M330" s="258">
        <f t="shared" si="207"/>
        <v>0.15</v>
      </c>
      <c r="N330" s="251">
        <f t="shared" si="208"/>
        <v>0.58274830525000021</v>
      </c>
      <c r="O330" s="314">
        <v>0.05</v>
      </c>
      <c r="P330" s="258">
        <f t="shared" si="209"/>
        <v>0.05</v>
      </c>
      <c r="Q330" s="249">
        <v>11.4091</v>
      </c>
      <c r="R330" s="249">
        <f t="shared" si="210"/>
        <v>11.654966105000003</v>
      </c>
      <c r="S330" s="258">
        <v>0.1</v>
      </c>
      <c r="T330" s="169">
        <f t="shared" si="211"/>
        <v>12.55001</v>
      </c>
      <c r="U330" s="315">
        <f t="shared" si="212"/>
        <v>12.820462715500003</v>
      </c>
      <c r="V330" s="315">
        <f t="shared" si="213"/>
        <v>13</v>
      </c>
      <c r="W330" s="316">
        <f t="shared" si="214"/>
        <v>0</v>
      </c>
    </row>
    <row r="331" spans="1:23" ht="21" x14ac:dyDescent="0.25">
      <c r="A331" s="200" t="s">
        <v>14895</v>
      </c>
      <c r="B331" s="255" t="s">
        <v>18923</v>
      </c>
      <c r="C331" s="248"/>
      <c r="D331" s="247" t="s">
        <v>2</v>
      </c>
      <c r="E331" s="249">
        <f t="shared" si="202"/>
        <v>2.5283362500000006</v>
      </c>
      <c r="F331" s="258">
        <v>0.55000000000000004</v>
      </c>
      <c r="G331" s="258">
        <f t="shared" si="203"/>
        <v>0.55000000000000004</v>
      </c>
      <c r="H331" s="249">
        <f t="shared" si="204"/>
        <v>1.1492437500000001</v>
      </c>
      <c r="I331" s="258">
        <v>0.25</v>
      </c>
      <c r="J331" s="258">
        <f t="shared" si="205"/>
        <v>0.25</v>
      </c>
      <c r="K331" s="249">
        <f t="shared" si="206"/>
        <v>0.68954625000000003</v>
      </c>
      <c r="L331" s="258">
        <v>0.15</v>
      </c>
      <c r="M331" s="258">
        <f t="shared" si="207"/>
        <v>0.15</v>
      </c>
      <c r="N331" s="251">
        <f t="shared" si="208"/>
        <v>0.22984875000000005</v>
      </c>
      <c r="O331" s="314">
        <v>0.05</v>
      </c>
      <c r="P331" s="258">
        <f t="shared" si="209"/>
        <v>0.05</v>
      </c>
      <c r="Q331" s="249">
        <v>4.5</v>
      </c>
      <c r="R331" s="249">
        <f t="shared" si="210"/>
        <v>4.5969750000000005</v>
      </c>
      <c r="S331" s="258">
        <v>0.1</v>
      </c>
      <c r="T331" s="169">
        <f t="shared" si="211"/>
        <v>4.95</v>
      </c>
      <c r="U331" s="315">
        <f t="shared" si="212"/>
        <v>5.0566725000000003</v>
      </c>
      <c r="V331" s="315">
        <f t="shared" si="213"/>
        <v>6</v>
      </c>
      <c r="W331" s="316">
        <f t="shared" si="214"/>
        <v>0</v>
      </c>
    </row>
    <row r="332" spans="1:23" ht="21" x14ac:dyDescent="0.25">
      <c r="A332" s="200" t="s">
        <v>14896</v>
      </c>
      <c r="B332" s="255" t="s">
        <v>18924</v>
      </c>
      <c r="C332" s="248"/>
      <c r="D332" s="247" t="s">
        <v>2</v>
      </c>
      <c r="E332" s="249">
        <f t="shared" si="202"/>
        <v>20.277762392250001</v>
      </c>
      <c r="F332" s="258">
        <v>0.55000000000000004</v>
      </c>
      <c r="G332" s="258">
        <f t="shared" si="203"/>
        <v>0.55000000000000004</v>
      </c>
      <c r="H332" s="249">
        <f t="shared" si="204"/>
        <v>9.217164723749999</v>
      </c>
      <c r="I332" s="258">
        <v>0.25</v>
      </c>
      <c r="J332" s="258">
        <f t="shared" si="205"/>
        <v>0.25</v>
      </c>
      <c r="K332" s="249">
        <f t="shared" si="206"/>
        <v>5.530298834249999</v>
      </c>
      <c r="L332" s="258">
        <v>0.15</v>
      </c>
      <c r="M332" s="258">
        <f t="shared" si="207"/>
        <v>0.15</v>
      </c>
      <c r="N332" s="251">
        <f t="shared" si="208"/>
        <v>1.84343294475</v>
      </c>
      <c r="O332" s="314">
        <v>0.05</v>
      </c>
      <c r="P332" s="258">
        <f t="shared" si="209"/>
        <v>0.05</v>
      </c>
      <c r="Q332" s="249">
        <v>36.090899999999998</v>
      </c>
      <c r="R332" s="249">
        <f t="shared" si="210"/>
        <v>36.868658894999996</v>
      </c>
      <c r="S332" s="258">
        <v>0.1</v>
      </c>
      <c r="T332" s="169">
        <f t="shared" si="211"/>
        <v>39.69999</v>
      </c>
      <c r="U332" s="315">
        <f t="shared" si="212"/>
        <v>40.555524784499994</v>
      </c>
      <c r="V332" s="315">
        <f t="shared" si="213"/>
        <v>41</v>
      </c>
      <c r="W332" s="316">
        <f t="shared" si="214"/>
        <v>0</v>
      </c>
    </row>
    <row r="333" spans="1:23" x14ac:dyDescent="0.25">
      <c r="A333" s="200" t="s">
        <v>14897</v>
      </c>
      <c r="B333" s="313" t="s">
        <v>14898</v>
      </c>
      <c r="C333" s="248"/>
      <c r="D333" s="247" t="s">
        <v>2</v>
      </c>
      <c r="E333" s="249">
        <f t="shared" si="202"/>
        <v>3.5072349249999997</v>
      </c>
      <c r="F333" s="258">
        <v>0.4</v>
      </c>
      <c r="G333" s="258">
        <f t="shared" si="203"/>
        <v>0.4</v>
      </c>
      <c r="H333" s="249">
        <f t="shared" si="204"/>
        <v>3.9456392906249995</v>
      </c>
      <c r="I333" s="258">
        <v>0.45</v>
      </c>
      <c r="J333" s="258">
        <f t="shared" si="205"/>
        <v>0.45</v>
      </c>
      <c r="K333" s="249">
        <f t="shared" si="206"/>
        <v>1.0960109140624998</v>
      </c>
      <c r="L333" s="258">
        <v>0.125</v>
      </c>
      <c r="M333" s="258">
        <f t="shared" si="207"/>
        <v>0.125</v>
      </c>
      <c r="N333" s="251">
        <f t="shared" si="208"/>
        <v>0.21920218281249998</v>
      </c>
      <c r="O333" s="314">
        <v>2.5000000000000001E-2</v>
      </c>
      <c r="P333" s="258">
        <f t="shared" si="209"/>
        <v>2.5000000000000001E-2</v>
      </c>
      <c r="Q333" s="249">
        <v>8.5908999999999995</v>
      </c>
      <c r="R333" s="249">
        <f t="shared" si="210"/>
        <v>8.7680873124999987</v>
      </c>
      <c r="S333" s="258">
        <v>0.1</v>
      </c>
      <c r="T333" s="169">
        <f t="shared" si="211"/>
        <v>9.4499899999999997</v>
      </c>
      <c r="U333" s="315">
        <f t="shared" si="212"/>
        <v>9.6448960437499984</v>
      </c>
      <c r="V333" s="315">
        <f t="shared" si="213"/>
        <v>10</v>
      </c>
      <c r="W333" s="316">
        <f t="shared" si="214"/>
        <v>0</v>
      </c>
    </row>
    <row r="334" spans="1:23" ht="21" x14ac:dyDescent="0.25">
      <c r="A334" s="200" t="s">
        <v>14899</v>
      </c>
      <c r="B334" s="255" t="s">
        <v>14900</v>
      </c>
      <c r="C334" s="248"/>
      <c r="D334" s="247" t="s">
        <v>11</v>
      </c>
      <c r="E334" s="249">
        <f t="shared" si="202"/>
        <v>11.806796853500003</v>
      </c>
      <c r="F334" s="258">
        <v>0.2</v>
      </c>
      <c r="G334" s="258">
        <f t="shared" si="203"/>
        <v>0.2</v>
      </c>
      <c r="H334" s="249">
        <f t="shared" si="204"/>
        <v>38.372089773875011</v>
      </c>
      <c r="I334" s="258">
        <v>0.65</v>
      </c>
      <c r="J334" s="258">
        <f t="shared" si="205"/>
        <v>0.65</v>
      </c>
      <c r="K334" s="249">
        <f t="shared" si="206"/>
        <v>7.3792480334375012</v>
      </c>
      <c r="L334" s="258">
        <v>0.125</v>
      </c>
      <c r="M334" s="258">
        <f t="shared" si="207"/>
        <v>0.125</v>
      </c>
      <c r="N334" s="251">
        <f t="shared" si="208"/>
        <v>1.4758496066875004</v>
      </c>
      <c r="O334" s="314">
        <v>2.5000000000000001E-2</v>
      </c>
      <c r="P334" s="258">
        <f t="shared" si="209"/>
        <v>2.5000000000000001E-2</v>
      </c>
      <c r="Q334" s="249">
        <v>57.909100000000002</v>
      </c>
      <c r="R334" s="249">
        <f t="shared" si="210"/>
        <v>59.03398426750001</v>
      </c>
      <c r="S334" s="258">
        <v>0.1</v>
      </c>
      <c r="T334" s="169">
        <f t="shared" si="211"/>
        <v>63.700010000000006</v>
      </c>
      <c r="U334" s="315">
        <f t="shared" si="212"/>
        <v>64.937382694250005</v>
      </c>
      <c r="V334" s="315">
        <f t="shared" si="213"/>
        <v>65</v>
      </c>
      <c r="W334" s="316">
        <f t="shared" si="214"/>
        <v>0</v>
      </c>
    </row>
    <row r="335" spans="1:23" x14ac:dyDescent="0.25">
      <c r="A335" s="200" t="s">
        <v>14901</v>
      </c>
      <c r="B335" s="313" t="s">
        <v>20195</v>
      </c>
      <c r="C335" s="248"/>
      <c r="D335" s="247" t="s">
        <v>2</v>
      </c>
      <c r="E335" s="249">
        <f t="shared" si="202"/>
        <v>3.7533393535000004</v>
      </c>
      <c r="F335" s="258">
        <v>0.2</v>
      </c>
      <c r="G335" s="258">
        <f t="shared" si="203"/>
        <v>0.2</v>
      </c>
      <c r="H335" s="249">
        <f t="shared" si="204"/>
        <v>12.198352898875001</v>
      </c>
      <c r="I335" s="258">
        <v>0.65</v>
      </c>
      <c r="J335" s="258">
        <f t="shared" si="205"/>
        <v>0.65</v>
      </c>
      <c r="K335" s="249">
        <f t="shared" si="206"/>
        <v>2.3458370959375001</v>
      </c>
      <c r="L335" s="258">
        <v>0.125</v>
      </c>
      <c r="M335" s="258">
        <f t="shared" si="207"/>
        <v>0.125</v>
      </c>
      <c r="N335" s="251">
        <f t="shared" si="208"/>
        <v>0.46916741918750005</v>
      </c>
      <c r="O335" s="314">
        <v>2.5000000000000001E-2</v>
      </c>
      <c r="P335" s="258">
        <f t="shared" si="209"/>
        <v>2.5000000000000001E-2</v>
      </c>
      <c r="Q335" s="249">
        <v>18.409099999999999</v>
      </c>
      <c r="R335" s="249">
        <f t="shared" si="210"/>
        <v>18.766696767500001</v>
      </c>
      <c r="S335" s="258">
        <v>0.1</v>
      </c>
      <c r="T335" s="169">
        <f t="shared" si="211"/>
        <v>20.25001</v>
      </c>
      <c r="U335" s="315">
        <f t="shared" si="212"/>
        <v>20.643366444250002</v>
      </c>
      <c r="V335" s="315">
        <f t="shared" si="213"/>
        <v>21</v>
      </c>
      <c r="W335" s="316">
        <f t="shared" si="214"/>
        <v>0</v>
      </c>
    </row>
    <row r="336" spans="1:23" x14ac:dyDescent="0.25">
      <c r="A336" s="200" t="s">
        <v>14901</v>
      </c>
      <c r="B336" s="313" t="s">
        <v>14902</v>
      </c>
      <c r="C336" s="248"/>
      <c r="D336" s="247" t="s">
        <v>11</v>
      </c>
      <c r="E336" s="249">
        <f t="shared" si="202"/>
        <v>9.3959526013000012</v>
      </c>
      <c r="F336" s="258">
        <v>0.2</v>
      </c>
      <c r="G336" s="258">
        <f t="shared" si="203"/>
        <v>0.2</v>
      </c>
      <c r="H336" s="249">
        <f t="shared" si="204"/>
        <v>31.476441214355003</v>
      </c>
      <c r="I336" s="258">
        <v>0.67</v>
      </c>
      <c r="J336" s="258">
        <f t="shared" si="205"/>
        <v>0.67</v>
      </c>
      <c r="K336" s="249">
        <f t="shared" si="206"/>
        <v>4.9328751156825001</v>
      </c>
      <c r="L336" s="258">
        <v>0.105</v>
      </c>
      <c r="M336" s="258">
        <f t="shared" si="207"/>
        <v>0.105</v>
      </c>
      <c r="N336" s="251">
        <f t="shared" si="208"/>
        <v>1.1744940751625002</v>
      </c>
      <c r="O336" s="314">
        <v>2.5000000000000001E-2</v>
      </c>
      <c r="P336" s="258">
        <f t="shared" si="209"/>
        <v>2.5000000000000001E-2</v>
      </c>
      <c r="Q336" s="249">
        <v>46.090899999999998</v>
      </c>
      <c r="R336" s="249">
        <f t="shared" si="210"/>
        <v>46.979763006500001</v>
      </c>
      <c r="S336" s="258">
        <v>0.1</v>
      </c>
      <c r="T336" s="169">
        <f t="shared" si="211"/>
        <v>50.69999</v>
      </c>
      <c r="U336" s="315">
        <f t="shared" si="212"/>
        <v>51.677739307149999</v>
      </c>
      <c r="V336" s="315">
        <f t="shared" si="213"/>
        <v>52</v>
      </c>
      <c r="W336" s="316">
        <f t="shared" si="214"/>
        <v>0</v>
      </c>
    </row>
    <row r="337" spans="1:23" x14ac:dyDescent="0.25">
      <c r="A337" s="200" t="s">
        <v>14903</v>
      </c>
      <c r="B337" s="313" t="s">
        <v>18925</v>
      </c>
      <c r="C337" s="248"/>
      <c r="D337" s="247" t="s">
        <v>2</v>
      </c>
      <c r="E337" s="249">
        <f t="shared" si="202"/>
        <v>0.35212219610000006</v>
      </c>
      <c r="F337" s="258">
        <v>0.2</v>
      </c>
      <c r="G337" s="258">
        <f t="shared" si="203"/>
        <v>0.2</v>
      </c>
      <c r="H337" s="249">
        <f t="shared" si="204"/>
        <v>1.1796093569350004</v>
      </c>
      <c r="I337" s="258">
        <v>0.67</v>
      </c>
      <c r="J337" s="258">
        <f t="shared" si="205"/>
        <v>0.67</v>
      </c>
      <c r="K337" s="249">
        <f t="shared" si="206"/>
        <v>0.18486415295250003</v>
      </c>
      <c r="L337" s="258">
        <v>0.105</v>
      </c>
      <c r="M337" s="258">
        <f t="shared" si="207"/>
        <v>0.105</v>
      </c>
      <c r="N337" s="251">
        <f t="shared" si="208"/>
        <v>4.4015274512500008E-2</v>
      </c>
      <c r="O337" s="314">
        <v>2.5000000000000001E-2</v>
      </c>
      <c r="P337" s="258">
        <f t="shared" si="209"/>
        <v>2.5000000000000001E-2</v>
      </c>
      <c r="Q337" s="249">
        <v>1.7273000000000001</v>
      </c>
      <c r="R337" s="249">
        <f t="shared" si="210"/>
        <v>1.7606109805000003</v>
      </c>
      <c r="S337" s="258">
        <v>0.1</v>
      </c>
      <c r="T337" s="169">
        <f t="shared" si="211"/>
        <v>1.9000300000000001</v>
      </c>
      <c r="U337" s="315">
        <f t="shared" si="212"/>
        <v>1.9366720785500005</v>
      </c>
      <c r="V337" s="315">
        <f t="shared" si="213"/>
        <v>2</v>
      </c>
      <c r="W337" s="316">
        <f t="shared" si="214"/>
        <v>0</v>
      </c>
    </row>
    <row r="338" spans="1:23" x14ac:dyDescent="0.25">
      <c r="A338" s="200" t="s">
        <v>14904</v>
      </c>
      <c r="B338" s="313" t="s">
        <v>14905</v>
      </c>
      <c r="C338" s="248"/>
      <c r="D338" s="247" t="s">
        <v>11</v>
      </c>
      <c r="E338" s="249">
        <f t="shared" si="202"/>
        <v>3.9294144394999999</v>
      </c>
      <c r="F338" s="258">
        <v>0.2</v>
      </c>
      <c r="G338" s="258">
        <f t="shared" si="203"/>
        <v>0.2</v>
      </c>
      <c r="H338" s="249">
        <f t="shared" si="204"/>
        <v>12.770596928374999</v>
      </c>
      <c r="I338" s="258">
        <v>0.65</v>
      </c>
      <c r="J338" s="258">
        <f t="shared" si="205"/>
        <v>0.65</v>
      </c>
      <c r="K338" s="249">
        <f t="shared" si="206"/>
        <v>2.4558840246874998</v>
      </c>
      <c r="L338" s="258">
        <v>0.125</v>
      </c>
      <c r="M338" s="258">
        <f t="shared" si="207"/>
        <v>0.125</v>
      </c>
      <c r="N338" s="251">
        <f t="shared" si="208"/>
        <v>0.49117680493749999</v>
      </c>
      <c r="O338" s="314">
        <v>2.5000000000000001E-2</v>
      </c>
      <c r="P338" s="258">
        <f t="shared" si="209"/>
        <v>2.5000000000000001E-2</v>
      </c>
      <c r="Q338" s="249">
        <v>19.2727</v>
      </c>
      <c r="R338" s="249">
        <f t="shared" si="210"/>
        <v>19.647072197499998</v>
      </c>
      <c r="S338" s="258">
        <v>0.1</v>
      </c>
      <c r="T338" s="169">
        <f t="shared" si="211"/>
        <v>21.19997</v>
      </c>
      <c r="U338" s="315">
        <f t="shared" si="212"/>
        <v>21.611779417249998</v>
      </c>
      <c r="V338" s="315">
        <f t="shared" si="213"/>
        <v>22</v>
      </c>
      <c r="W338" s="316">
        <f t="shared" si="214"/>
        <v>0</v>
      </c>
    </row>
    <row r="339" spans="1:23" ht="21" x14ac:dyDescent="0.25">
      <c r="A339" s="200" t="s">
        <v>14906</v>
      </c>
      <c r="B339" s="255" t="s">
        <v>14907</v>
      </c>
      <c r="C339" s="248"/>
      <c r="D339" s="247" t="s">
        <v>1</v>
      </c>
      <c r="E339" s="249">
        <f t="shared" si="202"/>
        <v>0.27801758599999998</v>
      </c>
      <c r="F339" s="258">
        <v>0.2</v>
      </c>
      <c r="G339" s="258">
        <f t="shared" si="203"/>
        <v>0.2</v>
      </c>
      <c r="H339" s="249">
        <f t="shared" si="204"/>
        <v>0.90355715449999996</v>
      </c>
      <c r="I339" s="258">
        <v>0.65</v>
      </c>
      <c r="J339" s="258">
        <f t="shared" si="205"/>
        <v>0.65</v>
      </c>
      <c r="K339" s="249">
        <f t="shared" si="206"/>
        <v>0.17376099125</v>
      </c>
      <c r="L339" s="258">
        <v>0.125</v>
      </c>
      <c r="M339" s="258">
        <f t="shared" si="207"/>
        <v>0.125</v>
      </c>
      <c r="N339" s="251">
        <f t="shared" si="208"/>
        <v>3.4752198249999998E-2</v>
      </c>
      <c r="O339" s="314">
        <v>2.5000000000000001E-2</v>
      </c>
      <c r="P339" s="258">
        <f t="shared" si="209"/>
        <v>2.5000000000000001E-2</v>
      </c>
      <c r="Q339" s="249">
        <v>1.3635999999999999</v>
      </c>
      <c r="R339" s="249">
        <f t="shared" si="210"/>
        <v>1.39008793</v>
      </c>
      <c r="S339" s="258">
        <v>0.1</v>
      </c>
      <c r="T339" s="169">
        <f t="shared" si="211"/>
        <v>1.49996</v>
      </c>
      <c r="U339" s="315">
        <f t="shared" si="212"/>
        <v>1.5290967229999999</v>
      </c>
      <c r="V339" s="315">
        <f t="shared" si="213"/>
        <v>2</v>
      </c>
      <c r="W339" s="316">
        <f t="shared" si="214"/>
        <v>0</v>
      </c>
    </row>
    <row r="340" spans="1:23" x14ac:dyDescent="0.25">
      <c r="A340" s="200" t="s">
        <v>14908</v>
      </c>
      <c r="B340" s="313" t="s">
        <v>14909</v>
      </c>
      <c r="C340" s="248"/>
      <c r="D340" s="247" t="s">
        <v>14910</v>
      </c>
      <c r="E340" s="249">
        <f t="shared" si="202"/>
        <v>8.8019295735200007</v>
      </c>
      <c r="F340" s="258">
        <v>0.28999999999999998</v>
      </c>
      <c r="G340" s="258">
        <f t="shared" si="203"/>
        <v>0.28999999999999998</v>
      </c>
      <c r="H340" s="249">
        <f t="shared" si="204"/>
        <v>19.273190617880001</v>
      </c>
      <c r="I340" s="258">
        <v>0.63500000000000001</v>
      </c>
      <c r="J340" s="258">
        <f t="shared" si="205"/>
        <v>0.63500000000000001</v>
      </c>
      <c r="K340" s="249">
        <f t="shared" si="206"/>
        <v>1.5175740644000002</v>
      </c>
      <c r="L340" s="258">
        <v>0.05</v>
      </c>
      <c r="M340" s="258">
        <f t="shared" si="207"/>
        <v>0.05</v>
      </c>
      <c r="N340" s="251">
        <f t="shared" si="208"/>
        <v>0.7587870322000001</v>
      </c>
      <c r="O340" s="314">
        <v>2.5000000000000001E-2</v>
      </c>
      <c r="P340" s="258">
        <f t="shared" si="209"/>
        <v>2.5000000000000001E-2</v>
      </c>
      <c r="Q340" s="249">
        <v>29.7727</v>
      </c>
      <c r="R340" s="249">
        <f t="shared" si="210"/>
        <v>30.351481288000002</v>
      </c>
      <c r="S340" s="258">
        <v>0.1</v>
      </c>
      <c r="T340" s="169">
        <f t="shared" si="211"/>
        <v>32.749969999999998</v>
      </c>
      <c r="U340" s="315">
        <f t="shared" si="212"/>
        <v>33.386629416800005</v>
      </c>
      <c r="V340" s="315">
        <f t="shared" si="213"/>
        <v>34</v>
      </c>
      <c r="W340" s="316">
        <f t="shared" si="214"/>
        <v>0</v>
      </c>
    </row>
    <row r="341" spans="1:23" ht="21" x14ac:dyDescent="0.25">
      <c r="A341" s="200" t="s">
        <v>14911</v>
      </c>
      <c r="B341" s="255" t="s">
        <v>20196</v>
      </c>
      <c r="C341" s="248"/>
      <c r="D341" s="247" t="s">
        <v>14912</v>
      </c>
      <c r="E341" s="249">
        <f t="shared" si="202"/>
        <v>971.55689923125033</v>
      </c>
      <c r="F341" s="258">
        <v>0.45</v>
      </c>
      <c r="G341" s="258">
        <f t="shared" si="203"/>
        <v>0.45</v>
      </c>
      <c r="H341" s="249">
        <f t="shared" si="204"/>
        <v>863.60613265000029</v>
      </c>
      <c r="I341" s="258">
        <v>0.4</v>
      </c>
      <c r="J341" s="258">
        <f t="shared" si="205"/>
        <v>0.4</v>
      </c>
      <c r="K341" s="249">
        <f t="shared" si="206"/>
        <v>323.85229974375011</v>
      </c>
      <c r="L341" s="258">
        <v>0.15</v>
      </c>
      <c r="M341" s="258">
        <f t="shared" si="207"/>
        <v>0.15</v>
      </c>
      <c r="N341" s="251">
        <f t="shared" si="208"/>
        <v>0</v>
      </c>
      <c r="O341" s="314"/>
      <c r="P341" s="258">
        <f t="shared" si="209"/>
        <v>0</v>
      </c>
      <c r="Q341" s="249">
        <v>2114.0909000000001</v>
      </c>
      <c r="R341" s="249">
        <f t="shared" si="210"/>
        <v>2159.0153316250007</v>
      </c>
      <c r="S341" s="258">
        <v>0.1</v>
      </c>
      <c r="T341" s="169">
        <f t="shared" si="211"/>
        <v>2325.4999900000003</v>
      </c>
      <c r="U341" s="315">
        <f t="shared" si="212"/>
        <v>2374.9168647875008</v>
      </c>
      <c r="V341" s="315">
        <f t="shared" si="213"/>
        <v>2375</v>
      </c>
      <c r="W341" s="316">
        <f t="shared" si="214"/>
        <v>0</v>
      </c>
    </row>
    <row r="342" spans="1:23" x14ac:dyDescent="0.25">
      <c r="A342" s="200" t="s">
        <v>14913</v>
      </c>
      <c r="B342" s="313" t="s">
        <v>14914</v>
      </c>
      <c r="C342" s="248"/>
      <c r="D342" s="247" t="s">
        <v>14915</v>
      </c>
      <c r="E342" s="249">
        <f t="shared" si="202"/>
        <v>0.53383230000000004</v>
      </c>
      <c r="F342" s="258">
        <v>0.5</v>
      </c>
      <c r="G342" s="258">
        <f t="shared" si="203"/>
        <v>0.5</v>
      </c>
      <c r="H342" s="249">
        <f t="shared" si="204"/>
        <v>0.42706584000000003</v>
      </c>
      <c r="I342" s="258">
        <v>0.4</v>
      </c>
      <c r="J342" s="258">
        <f t="shared" si="205"/>
        <v>0.4</v>
      </c>
      <c r="K342" s="249">
        <f t="shared" si="206"/>
        <v>0.10676646000000001</v>
      </c>
      <c r="L342" s="258">
        <v>0.1</v>
      </c>
      <c r="M342" s="258">
        <f t="shared" si="207"/>
        <v>0.1</v>
      </c>
      <c r="N342" s="251">
        <f t="shared" si="208"/>
        <v>0</v>
      </c>
      <c r="O342" s="314"/>
      <c r="P342" s="258">
        <f t="shared" si="209"/>
        <v>0</v>
      </c>
      <c r="Q342" s="249">
        <v>1.0455000000000001</v>
      </c>
      <c r="R342" s="249">
        <f t="shared" si="210"/>
        <v>1.0676646000000001</v>
      </c>
      <c r="S342" s="258">
        <v>0.1</v>
      </c>
      <c r="T342" s="169">
        <f t="shared" si="211"/>
        <v>1.15005</v>
      </c>
      <c r="U342" s="315">
        <f t="shared" si="212"/>
        <v>1.1744310600000001</v>
      </c>
      <c r="V342" s="315">
        <f t="shared" si="213"/>
        <v>2</v>
      </c>
      <c r="W342" s="316">
        <f t="shared" si="214"/>
        <v>0</v>
      </c>
    </row>
    <row r="343" spans="1:23" x14ac:dyDescent="0.25">
      <c r="A343" s="200" t="s">
        <v>14916</v>
      </c>
      <c r="B343" s="313" t="s">
        <v>14917</v>
      </c>
      <c r="C343" s="248"/>
      <c r="D343" s="247" t="s">
        <v>14912</v>
      </c>
      <c r="E343" s="249">
        <f t="shared" si="202"/>
        <v>28.922293400000001</v>
      </c>
      <c r="F343" s="258">
        <v>0.55000000000000004</v>
      </c>
      <c r="G343" s="258">
        <f t="shared" si="203"/>
        <v>0.55000000000000004</v>
      </c>
      <c r="H343" s="249">
        <f t="shared" si="204"/>
        <v>0</v>
      </c>
      <c r="I343" s="314"/>
      <c r="J343" s="258">
        <f t="shared" si="205"/>
        <v>0</v>
      </c>
      <c r="K343" s="249">
        <f t="shared" si="206"/>
        <v>15.775796399999999</v>
      </c>
      <c r="L343" s="258">
        <v>0.3</v>
      </c>
      <c r="M343" s="258">
        <f t="shared" si="207"/>
        <v>0.3</v>
      </c>
      <c r="N343" s="251">
        <f t="shared" si="208"/>
        <v>7.8878981999999995</v>
      </c>
      <c r="O343" s="314">
        <v>0.15</v>
      </c>
      <c r="P343" s="258">
        <f t="shared" si="209"/>
        <v>0.15</v>
      </c>
      <c r="Q343" s="249">
        <v>51.454000000000001</v>
      </c>
      <c r="R343" s="249">
        <f t="shared" si="210"/>
        <v>52.585988</v>
      </c>
      <c r="S343" s="258">
        <v>0.1</v>
      </c>
      <c r="T343" s="169">
        <f t="shared" si="211"/>
        <v>56.599400000000003</v>
      </c>
      <c r="U343" s="315">
        <f t="shared" si="212"/>
        <v>57.844586800000002</v>
      </c>
      <c r="V343" s="315">
        <f t="shared" si="213"/>
        <v>58</v>
      </c>
      <c r="W343" s="316">
        <f t="shared" si="214"/>
        <v>0</v>
      </c>
    </row>
    <row r="344" spans="1:23" x14ac:dyDescent="0.25">
      <c r="A344" s="200" t="s">
        <v>14918</v>
      </c>
      <c r="B344" s="313" t="s">
        <v>14919</v>
      </c>
      <c r="C344" s="248"/>
      <c r="D344" s="247" t="s">
        <v>14912</v>
      </c>
      <c r="E344" s="249">
        <f t="shared" si="202"/>
        <v>34.325391945</v>
      </c>
      <c r="F344" s="258">
        <v>0.6</v>
      </c>
      <c r="G344" s="258">
        <f t="shared" si="203"/>
        <v>0.6</v>
      </c>
      <c r="H344" s="249">
        <f t="shared" si="204"/>
        <v>0</v>
      </c>
      <c r="I344" s="314"/>
      <c r="J344" s="258">
        <f t="shared" si="205"/>
        <v>0</v>
      </c>
      <c r="K344" s="249">
        <f t="shared" si="206"/>
        <v>20.023145301249997</v>
      </c>
      <c r="L344" s="258">
        <v>0.35</v>
      </c>
      <c r="M344" s="258">
        <f t="shared" si="207"/>
        <v>0.35</v>
      </c>
      <c r="N344" s="251">
        <f t="shared" si="208"/>
        <v>2.8604493287500001</v>
      </c>
      <c r="O344" s="314">
        <v>0.05</v>
      </c>
      <c r="P344" s="258">
        <f t="shared" si="209"/>
        <v>0.05</v>
      </c>
      <c r="Q344" s="249">
        <v>55.909100000000002</v>
      </c>
      <c r="R344" s="249">
        <f t="shared" si="210"/>
        <v>57.208986574999997</v>
      </c>
      <c r="S344" s="258">
        <v>0.1</v>
      </c>
      <c r="T344" s="169">
        <f t="shared" si="211"/>
        <v>61.500010000000003</v>
      </c>
      <c r="U344" s="315">
        <f t="shared" si="212"/>
        <v>62.929885232499998</v>
      </c>
      <c r="V344" s="315">
        <f t="shared" si="213"/>
        <v>63</v>
      </c>
      <c r="W344" s="316">
        <f t="shared" si="214"/>
        <v>0</v>
      </c>
    </row>
    <row r="345" spans="1:23" x14ac:dyDescent="0.25">
      <c r="A345" s="200" t="s">
        <v>14920</v>
      </c>
      <c r="B345" s="313" t="s">
        <v>14921</v>
      </c>
      <c r="C345" s="248"/>
      <c r="D345" s="247" t="s">
        <v>3</v>
      </c>
      <c r="E345" s="249">
        <f t="shared" si="202"/>
        <v>0</v>
      </c>
      <c r="F345" s="314"/>
      <c r="G345" s="258">
        <f t="shared" si="203"/>
        <v>0</v>
      </c>
      <c r="H345" s="249">
        <f t="shared" si="204"/>
        <v>107.62101200500001</v>
      </c>
      <c r="I345" s="258">
        <v>0.85</v>
      </c>
      <c r="J345" s="258">
        <f t="shared" si="205"/>
        <v>0.85</v>
      </c>
      <c r="K345" s="249">
        <f t="shared" si="206"/>
        <v>0</v>
      </c>
      <c r="L345" s="314"/>
      <c r="M345" s="258">
        <f t="shared" si="207"/>
        <v>0</v>
      </c>
      <c r="N345" s="251">
        <f t="shared" si="208"/>
        <v>18.991943295000002</v>
      </c>
      <c r="O345" s="314">
        <v>0.15</v>
      </c>
      <c r="P345" s="258">
        <f t="shared" si="209"/>
        <v>0.15</v>
      </c>
      <c r="Q345" s="249">
        <v>124.5455</v>
      </c>
      <c r="R345" s="249">
        <f t="shared" si="210"/>
        <v>126.61295530000001</v>
      </c>
      <c r="S345" s="258">
        <v>0.1</v>
      </c>
      <c r="T345" s="169">
        <f t="shared" si="211"/>
        <v>137.00005000000002</v>
      </c>
      <c r="U345" s="315">
        <f t="shared" si="212"/>
        <v>139.27425083</v>
      </c>
      <c r="V345" s="315">
        <f t="shared" si="213"/>
        <v>140</v>
      </c>
      <c r="W345" s="316">
        <f t="shared" si="214"/>
        <v>0</v>
      </c>
    </row>
    <row r="346" spans="1:23" x14ac:dyDescent="0.25">
      <c r="A346" s="200" t="s">
        <v>14922</v>
      </c>
      <c r="B346" s="313" t="s">
        <v>14923</v>
      </c>
      <c r="C346" s="248"/>
      <c r="D346" s="247" t="s">
        <v>3</v>
      </c>
      <c r="E346" s="249">
        <f t="shared" si="202"/>
        <v>0</v>
      </c>
      <c r="F346" s="314"/>
      <c r="G346" s="258">
        <f t="shared" si="203"/>
        <v>0</v>
      </c>
      <c r="H346" s="249">
        <f t="shared" si="204"/>
        <v>109.97761279700002</v>
      </c>
      <c r="I346" s="258">
        <v>0.85</v>
      </c>
      <c r="J346" s="258">
        <f t="shared" si="205"/>
        <v>0.85</v>
      </c>
      <c r="K346" s="249">
        <f t="shared" si="206"/>
        <v>0</v>
      </c>
      <c r="L346" s="314"/>
      <c r="M346" s="258">
        <f t="shared" si="207"/>
        <v>0</v>
      </c>
      <c r="N346" s="251">
        <f t="shared" si="208"/>
        <v>19.407814023000004</v>
      </c>
      <c r="O346" s="314">
        <v>0.15</v>
      </c>
      <c r="P346" s="258">
        <f t="shared" si="209"/>
        <v>0.15</v>
      </c>
      <c r="Q346" s="249">
        <v>127.2727</v>
      </c>
      <c r="R346" s="249">
        <f t="shared" si="210"/>
        <v>129.38542682000002</v>
      </c>
      <c r="S346" s="258">
        <v>0.1</v>
      </c>
      <c r="T346" s="169">
        <f t="shared" si="211"/>
        <v>139.99996999999999</v>
      </c>
      <c r="U346" s="315">
        <f t="shared" si="212"/>
        <v>142.32396950200001</v>
      </c>
      <c r="V346" s="315">
        <f t="shared" si="213"/>
        <v>145</v>
      </c>
      <c r="W346" s="316">
        <f t="shared" si="214"/>
        <v>0</v>
      </c>
    </row>
    <row r="347" spans="1:23" x14ac:dyDescent="0.25">
      <c r="A347" s="200" t="s">
        <v>14924</v>
      </c>
      <c r="B347" s="313" t="s">
        <v>20197</v>
      </c>
      <c r="C347" s="248"/>
      <c r="D347" s="247" t="s">
        <v>3</v>
      </c>
      <c r="E347" s="249">
        <f t="shared" si="202"/>
        <v>0</v>
      </c>
      <c r="F347" s="314"/>
      <c r="G347" s="258">
        <f t="shared" si="203"/>
        <v>0</v>
      </c>
      <c r="H347" s="249">
        <f t="shared" si="204"/>
        <v>112.569942797</v>
      </c>
      <c r="I347" s="258">
        <v>0.85</v>
      </c>
      <c r="J347" s="258">
        <f t="shared" si="205"/>
        <v>0.85</v>
      </c>
      <c r="K347" s="249">
        <f t="shared" si="206"/>
        <v>0</v>
      </c>
      <c r="L347" s="314"/>
      <c r="M347" s="258">
        <f t="shared" si="207"/>
        <v>0</v>
      </c>
      <c r="N347" s="251">
        <f t="shared" si="208"/>
        <v>19.865284022999997</v>
      </c>
      <c r="O347" s="314">
        <v>0.15</v>
      </c>
      <c r="P347" s="258">
        <f t="shared" si="209"/>
        <v>0.15</v>
      </c>
      <c r="Q347" s="249">
        <v>130.27269999999999</v>
      </c>
      <c r="R347" s="249">
        <f t="shared" si="210"/>
        <v>132.43522682</v>
      </c>
      <c r="S347" s="258">
        <v>0.1</v>
      </c>
      <c r="T347" s="169">
        <f t="shared" si="211"/>
        <v>143.29996999999997</v>
      </c>
      <c r="U347" s="315">
        <f t="shared" si="212"/>
        <v>145.67874950199999</v>
      </c>
      <c r="V347" s="315">
        <f t="shared" si="213"/>
        <v>150</v>
      </c>
      <c r="W347" s="316">
        <f t="shared" si="214"/>
        <v>0</v>
      </c>
    </row>
    <row r="348" spans="1:23" x14ac:dyDescent="0.25">
      <c r="A348" s="200" t="s">
        <v>14925</v>
      </c>
      <c r="B348" s="313" t="s">
        <v>20198</v>
      </c>
      <c r="C348" s="248"/>
      <c r="D348" s="247" t="s">
        <v>3</v>
      </c>
      <c r="E348" s="249">
        <f t="shared" si="202"/>
        <v>0</v>
      </c>
      <c r="F348" s="314"/>
      <c r="G348" s="258">
        <f t="shared" si="203"/>
        <v>0</v>
      </c>
      <c r="H348" s="249">
        <f t="shared" si="204"/>
        <v>116.26211200500001</v>
      </c>
      <c r="I348" s="258">
        <v>0.85</v>
      </c>
      <c r="J348" s="258">
        <f t="shared" si="205"/>
        <v>0.85</v>
      </c>
      <c r="K348" s="249">
        <f t="shared" si="206"/>
        <v>0</v>
      </c>
      <c r="L348" s="314"/>
      <c r="M348" s="258">
        <f t="shared" si="207"/>
        <v>0</v>
      </c>
      <c r="N348" s="251">
        <f t="shared" si="208"/>
        <v>20.516843295000001</v>
      </c>
      <c r="O348" s="314">
        <v>0.15</v>
      </c>
      <c r="P348" s="258">
        <f t="shared" si="209"/>
        <v>0.15</v>
      </c>
      <c r="Q348" s="249">
        <v>134.5455</v>
      </c>
      <c r="R348" s="249">
        <f t="shared" si="210"/>
        <v>136.77895530000001</v>
      </c>
      <c r="S348" s="258">
        <v>0.1</v>
      </c>
      <c r="T348" s="169">
        <f t="shared" si="211"/>
        <v>148.00005000000002</v>
      </c>
      <c r="U348" s="315">
        <f t="shared" si="212"/>
        <v>150.45685083000001</v>
      </c>
      <c r="V348" s="315">
        <f t="shared" si="213"/>
        <v>155</v>
      </c>
      <c r="W348" s="316">
        <f t="shared" si="214"/>
        <v>0</v>
      </c>
    </row>
    <row r="349" spans="1:23" x14ac:dyDescent="0.25">
      <c r="A349" s="200" t="s">
        <v>14926</v>
      </c>
      <c r="B349" s="313" t="s">
        <v>14927</v>
      </c>
      <c r="C349" s="248"/>
      <c r="D349" s="247" t="s">
        <v>3</v>
      </c>
      <c r="E349" s="249">
        <f t="shared" si="202"/>
        <v>17.968567500000002</v>
      </c>
      <c r="F349" s="258">
        <v>0.65</v>
      </c>
      <c r="G349" s="258">
        <f t="shared" si="203"/>
        <v>0.65</v>
      </c>
      <c r="H349" s="249">
        <f t="shared" si="204"/>
        <v>0</v>
      </c>
      <c r="I349" s="314"/>
      <c r="J349" s="258">
        <f t="shared" si="205"/>
        <v>0</v>
      </c>
      <c r="K349" s="249">
        <f t="shared" si="206"/>
        <v>9.6753825000000013</v>
      </c>
      <c r="L349" s="258">
        <v>0.35</v>
      </c>
      <c r="M349" s="258">
        <f t="shared" si="207"/>
        <v>0.35</v>
      </c>
      <c r="N349" s="251">
        <f t="shared" si="208"/>
        <v>0</v>
      </c>
      <c r="O349" s="314"/>
      <c r="P349" s="258">
        <f t="shared" si="209"/>
        <v>0</v>
      </c>
      <c r="Q349" s="249">
        <v>27</v>
      </c>
      <c r="R349" s="249">
        <f t="shared" si="210"/>
        <v>27.643950000000004</v>
      </c>
      <c r="S349" s="258">
        <v>0.1</v>
      </c>
      <c r="T349" s="169">
        <f t="shared" si="211"/>
        <v>29.7</v>
      </c>
      <c r="U349" s="315">
        <f t="shared" si="212"/>
        <v>30.408345000000004</v>
      </c>
      <c r="V349" s="315">
        <f t="shared" si="213"/>
        <v>31</v>
      </c>
      <c r="W349" s="316">
        <f t="shared" si="214"/>
        <v>0</v>
      </c>
    </row>
    <row r="350" spans="1:23" x14ac:dyDescent="0.25">
      <c r="A350" s="200" t="s">
        <v>14928</v>
      </c>
      <c r="B350" s="313" t="s">
        <v>20199</v>
      </c>
      <c r="C350" s="248"/>
      <c r="D350" s="247" t="s">
        <v>3</v>
      </c>
      <c r="E350" s="249">
        <f t="shared" si="202"/>
        <v>27.557859572750004</v>
      </c>
      <c r="F350" s="258">
        <v>0.65</v>
      </c>
      <c r="G350" s="258">
        <f t="shared" si="203"/>
        <v>0.65</v>
      </c>
      <c r="H350" s="249">
        <f t="shared" si="204"/>
        <v>0</v>
      </c>
      <c r="I350" s="314"/>
      <c r="J350" s="258">
        <f t="shared" si="205"/>
        <v>0</v>
      </c>
      <c r="K350" s="249">
        <f t="shared" si="206"/>
        <v>14.838847462250001</v>
      </c>
      <c r="L350" s="258">
        <v>0.35</v>
      </c>
      <c r="M350" s="258">
        <f t="shared" si="207"/>
        <v>0.35</v>
      </c>
      <c r="N350" s="251">
        <f t="shared" si="208"/>
        <v>0</v>
      </c>
      <c r="O350" s="314"/>
      <c r="P350" s="258">
        <f t="shared" si="209"/>
        <v>0</v>
      </c>
      <c r="Q350" s="249">
        <v>41.409100000000002</v>
      </c>
      <c r="R350" s="249">
        <f t="shared" si="210"/>
        <v>42.396707035000006</v>
      </c>
      <c r="S350" s="258">
        <v>0.1</v>
      </c>
      <c r="T350" s="169">
        <f t="shared" si="211"/>
        <v>45.55001</v>
      </c>
      <c r="U350" s="315">
        <f t="shared" si="212"/>
        <v>46.636377738500009</v>
      </c>
      <c r="V350" s="315">
        <f t="shared" si="213"/>
        <v>47</v>
      </c>
      <c r="W350" s="316">
        <f t="shared" si="214"/>
        <v>0</v>
      </c>
    </row>
    <row r="351" spans="1:23" x14ac:dyDescent="0.25">
      <c r="A351" s="200" t="s">
        <v>14928</v>
      </c>
      <c r="B351" s="313" t="s">
        <v>14929</v>
      </c>
      <c r="C351" s="248"/>
      <c r="D351" s="247" t="s">
        <v>3</v>
      </c>
      <c r="E351" s="249">
        <f t="shared" si="202"/>
        <v>23.625338750000004</v>
      </c>
      <c r="F351" s="258">
        <v>0.65</v>
      </c>
      <c r="G351" s="258">
        <f t="shared" si="203"/>
        <v>0.65</v>
      </c>
      <c r="H351" s="249">
        <f t="shared" si="204"/>
        <v>0</v>
      </c>
      <c r="I351" s="314"/>
      <c r="J351" s="258">
        <f t="shared" si="205"/>
        <v>0</v>
      </c>
      <c r="K351" s="249">
        <f t="shared" si="206"/>
        <v>12.72133625</v>
      </c>
      <c r="L351" s="258">
        <v>0.35</v>
      </c>
      <c r="M351" s="258">
        <f t="shared" si="207"/>
        <v>0.35</v>
      </c>
      <c r="N351" s="251">
        <f t="shared" si="208"/>
        <v>0</v>
      </c>
      <c r="O351" s="314"/>
      <c r="P351" s="258">
        <f t="shared" si="209"/>
        <v>0</v>
      </c>
      <c r="Q351" s="249">
        <v>35.5</v>
      </c>
      <c r="R351" s="249">
        <f t="shared" si="210"/>
        <v>36.346675000000005</v>
      </c>
      <c r="S351" s="258">
        <v>0.1</v>
      </c>
      <c r="T351" s="169">
        <f t="shared" si="211"/>
        <v>39.049999999999997</v>
      </c>
      <c r="U351" s="315">
        <f t="shared" si="212"/>
        <v>39.981342500000004</v>
      </c>
      <c r="V351" s="315">
        <f t="shared" si="213"/>
        <v>40</v>
      </c>
      <c r="W351" s="316">
        <f t="shared" si="214"/>
        <v>0</v>
      </c>
    </row>
    <row r="352" spans="1:23" x14ac:dyDescent="0.25">
      <c r="A352" s="200" t="s">
        <v>14930</v>
      </c>
      <c r="B352" s="313" t="s">
        <v>18926</v>
      </c>
      <c r="C352" s="248"/>
      <c r="D352" s="247" t="s">
        <v>1</v>
      </c>
      <c r="E352" s="249">
        <f t="shared" si="202"/>
        <v>0.41817181500000006</v>
      </c>
      <c r="F352" s="258">
        <v>0.9</v>
      </c>
      <c r="G352" s="258">
        <f t="shared" si="203"/>
        <v>0.9</v>
      </c>
      <c r="H352" s="249">
        <f t="shared" si="204"/>
        <v>0</v>
      </c>
      <c r="I352" s="314"/>
      <c r="J352" s="258">
        <f t="shared" si="205"/>
        <v>0</v>
      </c>
      <c r="K352" s="249">
        <f t="shared" si="206"/>
        <v>0</v>
      </c>
      <c r="L352" s="314"/>
      <c r="M352" s="258">
        <f t="shared" si="207"/>
        <v>0</v>
      </c>
      <c r="N352" s="251">
        <f t="shared" si="208"/>
        <v>4.6463535000000007E-2</v>
      </c>
      <c r="O352" s="314">
        <v>0.1</v>
      </c>
      <c r="P352" s="258">
        <f t="shared" si="209"/>
        <v>0.1</v>
      </c>
      <c r="Q352" s="249">
        <v>0.45450000000000002</v>
      </c>
      <c r="R352" s="249">
        <f t="shared" si="210"/>
        <v>0.46463535000000006</v>
      </c>
      <c r="S352" s="258">
        <v>0.1</v>
      </c>
      <c r="T352" s="169">
        <f t="shared" si="211"/>
        <v>0.49995000000000001</v>
      </c>
      <c r="U352" s="315">
        <f t="shared" si="212"/>
        <v>0.51109888500000011</v>
      </c>
      <c r="V352" s="315">
        <f t="shared" si="213"/>
        <v>1</v>
      </c>
      <c r="W352" s="316">
        <f t="shared" si="214"/>
        <v>0</v>
      </c>
    </row>
    <row r="353" spans="1:23" x14ac:dyDescent="0.25">
      <c r="A353" s="200" t="s">
        <v>14931</v>
      </c>
      <c r="B353" s="313" t="s">
        <v>18927</v>
      </c>
      <c r="C353" s="248"/>
      <c r="D353" s="247" t="s">
        <v>1</v>
      </c>
      <c r="E353" s="249">
        <f t="shared" si="202"/>
        <v>0.54291462000000013</v>
      </c>
      <c r="F353" s="258">
        <v>0.5</v>
      </c>
      <c r="G353" s="258">
        <f t="shared" si="203"/>
        <v>0.5</v>
      </c>
      <c r="H353" s="249">
        <f t="shared" si="204"/>
        <v>0.38004023400000009</v>
      </c>
      <c r="I353" s="258">
        <v>0.35</v>
      </c>
      <c r="J353" s="258">
        <f t="shared" si="205"/>
        <v>0.35</v>
      </c>
      <c r="K353" s="249">
        <f t="shared" si="206"/>
        <v>0.10858292400000003</v>
      </c>
      <c r="L353" s="258">
        <v>0.1</v>
      </c>
      <c r="M353" s="258">
        <f t="shared" si="207"/>
        <v>0.1</v>
      </c>
      <c r="N353" s="251">
        <f t="shared" si="208"/>
        <v>5.4291462000000013E-2</v>
      </c>
      <c r="O353" s="314">
        <v>0.05</v>
      </c>
      <c r="P353" s="258">
        <f t="shared" si="209"/>
        <v>0.05</v>
      </c>
      <c r="Q353" s="249">
        <v>1.0636000000000001</v>
      </c>
      <c r="R353" s="249">
        <f t="shared" si="210"/>
        <v>1.0858292400000003</v>
      </c>
      <c r="S353" s="258">
        <v>0.1</v>
      </c>
      <c r="T353" s="169">
        <f t="shared" si="211"/>
        <v>1.1699600000000001</v>
      </c>
      <c r="U353" s="315">
        <f t="shared" si="212"/>
        <v>1.1944121640000003</v>
      </c>
      <c r="V353" s="315">
        <f t="shared" si="213"/>
        <v>2</v>
      </c>
      <c r="W353" s="316">
        <f t="shared" si="214"/>
        <v>0</v>
      </c>
    </row>
    <row r="354" spans="1:23" x14ac:dyDescent="0.25">
      <c r="A354" s="200" t="s">
        <v>14932</v>
      </c>
      <c r="B354" s="313" t="s">
        <v>18928</v>
      </c>
      <c r="C354" s="248"/>
      <c r="D354" s="247" t="s">
        <v>1</v>
      </c>
      <c r="E354" s="249">
        <f t="shared" si="202"/>
        <v>0.55684990499999998</v>
      </c>
      <c r="F354" s="258">
        <v>0.5</v>
      </c>
      <c r="G354" s="258">
        <f t="shared" si="203"/>
        <v>0.5</v>
      </c>
      <c r="H354" s="249">
        <f t="shared" si="204"/>
        <v>0.38979493349999994</v>
      </c>
      <c r="I354" s="258">
        <v>0.35</v>
      </c>
      <c r="J354" s="258">
        <f t="shared" si="205"/>
        <v>0.35</v>
      </c>
      <c r="K354" s="249">
        <f t="shared" si="206"/>
        <v>0.11136998100000001</v>
      </c>
      <c r="L354" s="258">
        <v>0.1</v>
      </c>
      <c r="M354" s="258">
        <f t="shared" si="207"/>
        <v>0.1</v>
      </c>
      <c r="N354" s="251">
        <f t="shared" si="208"/>
        <v>5.5684990500000003E-2</v>
      </c>
      <c r="O354" s="314">
        <v>0.05</v>
      </c>
      <c r="P354" s="258">
        <f t="shared" si="209"/>
        <v>0.05</v>
      </c>
      <c r="Q354" s="249">
        <v>1.0909</v>
      </c>
      <c r="R354" s="249">
        <f t="shared" si="210"/>
        <v>1.11369981</v>
      </c>
      <c r="S354" s="258">
        <v>0.1</v>
      </c>
      <c r="T354" s="169">
        <f t="shared" si="211"/>
        <v>1.1999899999999999</v>
      </c>
      <c r="U354" s="315">
        <f t="shared" si="212"/>
        <v>1.2250697909999999</v>
      </c>
      <c r="V354" s="315">
        <f t="shared" si="213"/>
        <v>2</v>
      </c>
      <c r="W354" s="316">
        <f t="shared" si="214"/>
        <v>0</v>
      </c>
    </row>
    <row r="355" spans="1:23" x14ac:dyDescent="0.25">
      <c r="A355" s="200" t="s">
        <v>14933</v>
      </c>
      <c r="B355" s="313" t="s">
        <v>14934</v>
      </c>
      <c r="C355" s="248"/>
      <c r="D355" s="247" t="s">
        <v>1</v>
      </c>
      <c r="E355" s="249">
        <f t="shared" si="202"/>
        <v>0.55684990499999998</v>
      </c>
      <c r="F355" s="258">
        <v>0.5</v>
      </c>
      <c r="G355" s="258">
        <f t="shared" si="203"/>
        <v>0.5</v>
      </c>
      <c r="H355" s="249">
        <f t="shared" si="204"/>
        <v>0.38979493349999994</v>
      </c>
      <c r="I355" s="258">
        <v>0.35</v>
      </c>
      <c r="J355" s="258">
        <f t="shared" si="205"/>
        <v>0.35</v>
      </c>
      <c r="K355" s="249">
        <f t="shared" si="206"/>
        <v>0.11136998100000001</v>
      </c>
      <c r="L355" s="258">
        <v>0.1</v>
      </c>
      <c r="M355" s="258">
        <f t="shared" si="207"/>
        <v>0.1</v>
      </c>
      <c r="N355" s="251">
        <f t="shared" si="208"/>
        <v>5.5684990500000003E-2</v>
      </c>
      <c r="O355" s="314">
        <v>0.05</v>
      </c>
      <c r="P355" s="258">
        <f t="shared" si="209"/>
        <v>0.05</v>
      </c>
      <c r="Q355" s="249">
        <v>1.0909</v>
      </c>
      <c r="R355" s="249">
        <f t="shared" si="210"/>
        <v>1.11369981</v>
      </c>
      <c r="S355" s="258">
        <v>0.1</v>
      </c>
      <c r="T355" s="169">
        <f t="shared" si="211"/>
        <v>1.1999899999999999</v>
      </c>
      <c r="U355" s="315">
        <f t="shared" si="212"/>
        <v>1.2250697909999999</v>
      </c>
      <c r="V355" s="315">
        <f t="shared" si="213"/>
        <v>2</v>
      </c>
      <c r="W355" s="316">
        <f t="shared" si="214"/>
        <v>0</v>
      </c>
    </row>
    <row r="356" spans="1:23" x14ac:dyDescent="0.25">
      <c r="A356" s="200" t="s">
        <v>14935</v>
      </c>
      <c r="B356" s="313" t="s">
        <v>18929</v>
      </c>
      <c r="C356" s="248"/>
      <c r="D356" s="247" t="s">
        <v>1</v>
      </c>
      <c r="E356" s="249">
        <f t="shared" si="202"/>
        <v>1.2320624992500002</v>
      </c>
      <c r="F356" s="258">
        <v>0.45</v>
      </c>
      <c r="G356" s="258">
        <f t="shared" si="203"/>
        <v>0.45</v>
      </c>
      <c r="H356" s="249">
        <f t="shared" si="204"/>
        <v>1.0951666660000003</v>
      </c>
      <c r="I356" s="258">
        <v>0.4</v>
      </c>
      <c r="J356" s="258">
        <f t="shared" si="205"/>
        <v>0.4</v>
      </c>
      <c r="K356" s="249">
        <f t="shared" si="206"/>
        <v>0.34223958312500008</v>
      </c>
      <c r="L356" s="258">
        <v>0.125</v>
      </c>
      <c r="M356" s="258">
        <f t="shared" si="207"/>
        <v>0.125</v>
      </c>
      <c r="N356" s="251">
        <f t="shared" si="208"/>
        <v>6.8447916625000021E-2</v>
      </c>
      <c r="O356" s="314">
        <v>2.5000000000000001E-2</v>
      </c>
      <c r="P356" s="258">
        <f t="shared" si="209"/>
        <v>2.5000000000000001E-2</v>
      </c>
      <c r="Q356" s="249">
        <v>2.6818</v>
      </c>
      <c r="R356" s="249">
        <f t="shared" si="210"/>
        <v>2.7379166650000006</v>
      </c>
      <c r="S356" s="258">
        <v>0.1</v>
      </c>
      <c r="T356" s="169">
        <f t="shared" si="211"/>
        <v>2.94998</v>
      </c>
      <c r="U356" s="315">
        <f t="shared" si="212"/>
        <v>3.0117083315000008</v>
      </c>
      <c r="V356" s="315">
        <f t="shared" si="213"/>
        <v>4</v>
      </c>
      <c r="W356" s="316">
        <f t="shared" si="214"/>
        <v>0</v>
      </c>
    </row>
    <row r="357" spans="1:23" x14ac:dyDescent="0.25">
      <c r="A357" s="199" t="s">
        <v>14936</v>
      </c>
      <c r="B357" s="307" t="s">
        <v>14937</v>
      </c>
      <c r="C357" s="308"/>
      <c r="D357" s="309"/>
      <c r="E357" s="310"/>
      <c r="F357" s="311"/>
      <c r="G357" s="311"/>
      <c r="H357" s="310"/>
      <c r="I357" s="311"/>
      <c r="J357" s="311"/>
      <c r="K357" s="310"/>
      <c r="L357" s="311"/>
      <c r="M357" s="311"/>
      <c r="N357" s="310"/>
      <c r="O357" s="311"/>
      <c r="P357" s="311"/>
      <c r="Q357" s="310"/>
      <c r="R357" s="310"/>
      <c r="S357" s="309"/>
      <c r="T357" s="309"/>
      <c r="U357" s="309"/>
      <c r="V357" s="309"/>
      <c r="W357" s="312"/>
    </row>
    <row r="358" spans="1:23" x14ac:dyDescent="0.25">
      <c r="A358" s="200" t="s">
        <v>14938</v>
      </c>
      <c r="B358" s="313" t="s">
        <v>20200</v>
      </c>
      <c r="C358" s="248"/>
      <c r="D358" s="247" t="s">
        <v>11</v>
      </c>
      <c r="E358" s="249">
        <f t="shared" si="202"/>
        <v>13.77348375</v>
      </c>
      <c r="F358" s="258">
        <v>0.75</v>
      </c>
      <c r="G358" s="258">
        <f t="shared" si="203"/>
        <v>0.75</v>
      </c>
      <c r="H358" s="249">
        <f t="shared" si="204"/>
        <v>0</v>
      </c>
      <c r="I358" s="314"/>
      <c r="J358" s="258">
        <f t="shared" si="205"/>
        <v>0</v>
      </c>
      <c r="K358" s="249">
        <f t="shared" si="206"/>
        <v>3.6729289999999999</v>
      </c>
      <c r="L358" s="258">
        <v>0.2</v>
      </c>
      <c r="M358" s="258">
        <f t="shared" si="207"/>
        <v>0.2</v>
      </c>
      <c r="N358" s="251">
        <f t="shared" si="208"/>
        <v>0.91823224999999997</v>
      </c>
      <c r="O358" s="314">
        <v>0.05</v>
      </c>
      <c r="P358" s="258">
        <f t="shared" si="209"/>
        <v>0.05</v>
      </c>
      <c r="Q358" s="249">
        <v>17.95</v>
      </c>
      <c r="R358" s="249">
        <f t="shared" si="210"/>
        <v>18.364644999999999</v>
      </c>
      <c r="S358" s="258">
        <v>0.1</v>
      </c>
      <c r="T358" s="169">
        <f t="shared" ref="T358:T369" si="215">Q358+Q358*S358</f>
        <v>19.744999999999997</v>
      </c>
      <c r="U358" s="315">
        <f t="shared" si="212"/>
        <v>20.201109500000001</v>
      </c>
      <c r="V358" s="315">
        <f t="shared" si="213"/>
        <v>21</v>
      </c>
      <c r="W358" s="316">
        <f t="shared" ref="W358:W421" si="216">C358*V358</f>
        <v>0</v>
      </c>
    </row>
    <row r="359" spans="1:23" ht="21" x14ac:dyDescent="0.25">
      <c r="A359" s="200" t="s">
        <v>14939</v>
      </c>
      <c r="B359" s="255" t="s">
        <v>14940</v>
      </c>
      <c r="C359" s="248"/>
      <c r="D359" s="247" t="s">
        <v>11</v>
      </c>
      <c r="E359" s="249">
        <f t="shared" si="202"/>
        <v>1135.1143571372552</v>
      </c>
      <c r="F359" s="258">
        <v>0.33</v>
      </c>
      <c r="G359" s="258">
        <f t="shared" si="203"/>
        <v>0.33</v>
      </c>
      <c r="H359" s="249">
        <f t="shared" si="204"/>
        <v>1616.6780238015449</v>
      </c>
      <c r="I359" s="258">
        <v>0.47</v>
      </c>
      <c r="J359" s="258">
        <f t="shared" si="205"/>
        <v>0.47</v>
      </c>
      <c r="K359" s="249">
        <f t="shared" si="206"/>
        <v>429.96755952168752</v>
      </c>
      <c r="L359" s="258">
        <v>0.125</v>
      </c>
      <c r="M359" s="258">
        <f t="shared" si="207"/>
        <v>0.125</v>
      </c>
      <c r="N359" s="251">
        <f t="shared" si="208"/>
        <v>257.9805357130125</v>
      </c>
      <c r="O359" s="314">
        <v>7.4999999999999997E-2</v>
      </c>
      <c r="P359" s="258">
        <f t="shared" si="209"/>
        <v>7.4999999999999997E-2</v>
      </c>
      <c r="Q359" s="249">
        <v>3372.6087000000002</v>
      </c>
      <c r="R359" s="249">
        <f t="shared" si="210"/>
        <v>3439.7404761735002</v>
      </c>
      <c r="S359" s="258">
        <v>0.15</v>
      </c>
      <c r="T359" s="169">
        <f t="shared" si="215"/>
        <v>3878.5000050000003</v>
      </c>
      <c r="U359" s="315">
        <f t="shared" si="212"/>
        <v>3955.7015475995249</v>
      </c>
      <c r="V359" s="315">
        <f t="shared" si="213"/>
        <v>3975</v>
      </c>
      <c r="W359" s="316">
        <f t="shared" si="216"/>
        <v>0</v>
      </c>
    </row>
    <row r="360" spans="1:23" ht="21" x14ac:dyDescent="0.25">
      <c r="A360" s="200" t="s">
        <v>14941</v>
      </c>
      <c r="B360" s="255" t="s">
        <v>14942</v>
      </c>
      <c r="C360" s="248"/>
      <c r="D360" s="247" t="s">
        <v>11</v>
      </c>
      <c r="E360" s="249">
        <f t="shared" si="202"/>
        <v>1248.2307050098052</v>
      </c>
      <c r="F360" s="258">
        <v>0.33</v>
      </c>
      <c r="G360" s="258">
        <f t="shared" si="203"/>
        <v>0.33</v>
      </c>
      <c r="H360" s="249">
        <f t="shared" si="204"/>
        <v>1777.783125316995</v>
      </c>
      <c r="I360" s="258">
        <v>0.47</v>
      </c>
      <c r="J360" s="258">
        <f t="shared" si="205"/>
        <v>0.47</v>
      </c>
      <c r="K360" s="249">
        <f t="shared" si="206"/>
        <v>472.81466098856254</v>
      </c>
      <c r="L360" s="258">
        <v>0.125</v>
      </c>
      <c r="M360" s="258">
        <f t="shared" si="207"/>
        <v>0.125</v>
      </c>
      <c r="N360" s="251">
        <f t="shared" si="208"/>
        <v>283.68879659313751</v>
      </c>
      <c r="O360" s="314">
        <v>7.4999999999999997E-2</v>
      </c>
      <c r="P360" s="258">
        <f t="shared" si="209"/>
        <v>7.4999999999999997E-2</v>
      </c>
      <c r="Q360" s="249">
        <v>3708.6957000000002</v>
      </c>
      <c r="R360" s="249">
        <f t="shared" si="210"/>
        <v>3782.5172879085003</v>
      </c>
      <c r="S360" s="258">
        <v>0.15</v>
      </c>
      <c r="T360" s="169">
        <f t="shared" si="215"/>
        <v>4265.0000550000004</v>
      </c>
      <c r="U360" s="315">
        <f t="shared" si="212"/>
        <v>4349.894881094775</v>
      </c>
      <c r="V360" s="315">
        <f t="shared" si="213"/>
        <v>4350</v>
      </c>
      <c r="W360" s="316">
        <f t="shared" si="216"/>
        <v>0</v>
      </c>
    </row>
    <row r="361" spans="1:23" ht="21" x14ac:dyDescent="0.25">
      <c r="A361" s="200" t="s">
        <v>14943</v>
      </c>
      <c r="B361" s="255" t="s">
        <v>14944</v>
      </c>
      <c r="C361" s="248"/>
      <c r="D361" s="247" t="s">
        <v>11</v>
      </c>
      <c r="E361" s="249">
        <f t="shared" si="202"/>
        <v>1355.2009727647048</v>
      </c>
      <c r="F361" s="258">
        <v>0.33</v>
      </c>
      <c r="G361" s="258">
        <f t="shared" si="203"/>
        <v>0.33</v>
      </c>
      <c r="H361" s="249">
        <f t="shared" si="204"/>
        <v>1930.1347187860947</v>
      </c>
      <c r="I361" s="258">
        <v>0.47</v>
      </c>
      <c r="J361" s="258">
        <f t="shared" si="205"/>
        <v>0.47</v>
      </c>
      <c r="K361" s="249">
        <f t="shared" si="206"/>
        <v>513.33370180481245</v>
      </c>
      <c r="L361" s="258">
        <v>0.125</v>
      </c>
      <c r="M361" s="258">
        <f t="shared" si="207"/>
        <v>0.125</v>
      </c>
      <c r="N361" s="251">
        <f t="shared" si="208"/>
        <v>308.00022108288744</v>
      </c>
      <c r="O361" s="314">
        <v>7.4999999999999997E-2</v>
      </c>
      <c r="P361" s="258">
        <f t="shared" si="209"/>
        <v>7.4999999999999997E-2</v>
      </c>
      <c r="Q361" s="249">
        <v>4026.5216999999998</v>
      </c>
      <c r="R361" s="249">
        <f t="shared" si="210"/>
        <v>4106.6696144384996</v>
      </c>
      <c r="S361" s="258">
        <v>0.15</v>
      </c>
      <c r="T361" s="169">
        <f t="shared" si="215"/>
        <v>4630.4999549999993</v>
      </c>
      <c r="U361" s="315">
        <f t="shared" si="212"/>
        <v>4722.6700566042746</v>
      </c>
      <c r="V361" s="315">
        <f t="shared" si="213"/>
        <v>4725</v>
      </c>
      <c r="W361" s="316">
        <f t="shared" si="216"/>
        <v>0</v>
      </c>
    </row>
    <row r="362" spans="1:23" ht="21" x14ac:dyDescent="0.25">
      <c r="A362" s="200" t="s">
        <v>14945</v>
      </c>
      <c r="B362" s="255" t="s">
        <v>14946</v>
      </c>
      <c r="C362" s="248"/>
      <c r="D362" s="247" t="s">
        <v>11</v>
      </c>
      <c r="E362" s="249">
        <f t="shared" si="202"/>
        <v>1936.0014040882352</v>
      </c>
      <c r="F362" s="258">
        <v>0.33</v>
      </c>
      <c r="G362" s="258">
        <f t="shared" si="203"/>
        <v>0.33</v>
      </c>
      <c r="H362" s="249">
        <f t="shared" si="204"/>
        <v>2757.3353330953651</v>
      </c>
      <c r="I362" s="258">
        <v>0.47</v>
      </c>
      <c r="J362" s="258">
        <f t="shared" si="205"/>
        <v>0.47</v>
      </c>
      <c r="K362" s="249">
        <f t="shared" si="206"/>
        <v>733.33386518493751</v>
      </c>
      <c r="L362" s="258">
        <v>0.125</v>
      </c>
      <c r="M362" s="258">
        <f t="shared" si="207"/>
        <v>0.125</v>
      </c>
      <c r="N362" s="251">
        <f t="shared" si="208"/>
        <v>440.00031911096249</v>
      </c>
      <c r="O362" s="314">
        <v>7.4999999999999997E-2</v>
      </c>
      <c r="P362" s="258">
        <f t="shared" si="209"/>
        <v>7.4999999999999997E-2</v>
      </c>
      <c r="Q362" s="249">
        <v>5752.1738999999998</v>
      </c>
      <c r="R362" s="249">
        <f t="shared" si="210"/>
        <v>5866.6709214795001</v>
      </c>
      <c r="S362" s="258">
        <v>0.15</v>
      </c>
      <c r="T362" s="169">
        <f t="shared" si="215"/>
        <v>6614.9999849999995</v>
      </c>
      <c r="U362" s="315">
        <f t="shared" si="212"/>
        <v>6746.6715597014254</v>
      </c>
      <c r="V362" s="315">
        <f t="shared" si="213"/>
        <v>6750</v>
      </c>
      <c r="W362" s="316">
        <f t="shared" si="216"/>
        <v>0</v>
      </c>
    </row>
    <row r="363" spans="1:23" ht="21" x14ac:dyDescent="0.25">
      <c r="A363" s="200" t="s">
        <v>14947</v>
      </c>
      <c r="B363" s="255" t="s">
        <v>14948</v>
      </c>
      <c r="C363" s="248"/>
      <c r="D363" s="247" t="s">
        <v>11</v>
      </c>
      <c r="E363" s="249">
        <f t="shared" si="202"/>
        <v>2234.6694959509805</v>
      </c>
      <c r="F363" s="258">
        <v>0.33</v>
      </c>
      <c r="G363" s="258">
        <f t="shared" si="203"/>
        <v>0.33</v>
      </c>
      <c r="H363" s="249">
        <f t="shared" si="204"/>
        <v>3182.7111002938204</v>
      </c>
      <c r="I363" s="258">
        <v>0.47</v>
      </c>
      <c r="J363" s="258">
        <f t="shared" si="205"/>
        <v>0.47</v>
      </c>
      <c r="K363" s="249">
        <f t="shared" si="206"/>
        <v>846.46571816325013</v>
      </c>
      <c r="L363" s="258">
        <v>0.125</v>
      </c>
      <c r="M363" s="258">
        <f t="shared" si="207"/>
        <v>0.125</v>
      </c>
      <c r="N363" s="251">
        <f t="shared" si="208"/>
        <v>507.87943089795004</v>
      </c>
      <c r="O363" s="314">
        <v>7.4999999999999997E-2</v>
      </c>
      <c r="P363" s="258">
        <f t="shared" si="209"/>
        <v>7.4999999999999997E-2</v>
      </c>
      <c r="Q363" s="249">
        <v>6639.5652</v>
      </c>
      <c r="R363" s="249">
        <f t="shared" si="210"/>
        <v>6771.725745306001</v>
      </c>
      <c r="S363" s="258">
        <v>0.15</v>
      </c>
      <c r="T363" s="169">
        <f t="shared" si="215"/>
        <v>7635.4999799999996</v>
      </c>
      <c r="U363" s="315">
        <f t="shared" si="212"/>
        <v>7787.484607101901</v>
      </c>
      <c r="V363" s="315">
        <f t="shared" si="213"/>
        <v>7800</v>
      </c>
      <c r="W363" s="316">
        <f t="shared" si="216"/>
        <v>0</v>
      </c>
    </row>
    <row r="364" spans="1:23" ht="21" x14ac:dyDescent="0.25">
      <c r="A364" s="200" t="s">
        <v>14949</v>
      </c>
      <c r="B364" s="255" t="s">
        <v>20201</v>
      </c>
      <c r="C364" s="248"/>
      <c r="D364" s="247" t="s">
        <v>11</v>
      </c>
      <c r="E364" s="249">
        <f t="shared" si="202"/>
        <v>1500.0718323137251</v>
      </c>
      <c r="F364" s="258">
        <v>0.33</v>
      </c>
      <c r="G364" s="258">
        <f t="shared" si="203"/>
        <v>0.33</v>
      </c>
      <c r="H364" s="249">
        <f t="shared" si="204"/>
        <v>2136.4659429922749</v>
      </c>
      <c r="I364" s="258">
        <v>0.47</v>
      </c>
      <c r="J364" s="258">
        <f t="shared" si="205"/>
        <v>0.47</v>
      </c>
      <c r="K364" s="249">
        <f t="shared" si="206"/>
        <v>568.20902739156247</v>
      </c>
      <c r="L364" s="258">
        <v>0.125</v>
      </c>
      <c r="M364" s="258">
        <f t="shared" si="207"/>
        <v>0.125</v>
      </c>
      <c r="N364" s="251">
        <f t="shared" si="208"/>
        <v>340.92541643493746</v>
      </c>
      <c r="O364" s="314">
        <v>7.4999999999999997E-2</v>
      </c>
      <c r="P364" s="258">
        <f t="shared" si="209"/>
        <v>7.4999999999999997E-2</v>
      </c>
      <c r="Q364" s="249">
        <v>4456.9565000000002</v>
      </c>
      <c r="R364" s="249">
        <f t="shared" si="210"/>
        <v>4545.6722191324998</v>
      </c>
      <c r="S364" s="258">
        <v>0.15</v>
      </c>
      <c r="T364" s="169">
        <f t="shared" si="215"/>
        <v>5125.4999750000006</v>
      </c>
      <c r="U364" s="315">
        <f t="shared" si="212"/>
        <v>5227.5230520023742</v>
      </c>
      <c r="V364" s="315">
        <f t="shared" si="213"/>
        <v>5250</v>
      </c>
      <c r="W364" s="316">
        <f t="shared" si="216"/>
        <v>0</v>
      </c>
    </row>
    <row r="365" spans="1:23" ht="21.6" thickBot="1" x14ac:dyDescent="0.3">
      <c r="A365" s="263" t="s">
        <v>14950</v>
      </c>
      <c r="B365" s="327" t="s">
        <v>20202</v>
      </c>
      <c r="C365" s="265"/>
      <c r="D365" s="264" t="s">
        <v>11</v>
      </c>
      <c r="E365" s="266">
        <f t="shared" si="202"/>
        <v>1982.9746750392153</v>
      </c>
      <c r="F365" s="322">
        <v>0.33</v>
      </c>
      <c r="G365" s="322">
        <f t="shared" si="203"/>
        <v>0.33</v>
      </c>
      <c r="H365" s="266">
        <f t="shared" si="204"/>
        <v>2824.2366583891849</v>
      </c>
      <c r="I365" s="322">
        <v>0.47</v>
      </c>
      <c r="J365" s="322">
        <f t="shared" si="205"/>
        <v>0.47</v>
      </c>
      <c r="K365" s="266">
        <f t="shared" si="206"/>
        <v>751.12677084818756</v>
      </c>
      <c r="L365" s="322">
        <v>0.125</v>
      </c>
      <c r="M365" s="322">
        <f t="shared" si="207"/>
        <v>0.125</v>
      </c>
      <c r="N365" s="270">
        <f t="shared" si="208"/>
        <v>450.67606250891254</v>
      </c>
      <c r="O365" s="323">
        <v>7.4999999999999997E-2</v>
      </c>
      <c r="P365" s="322">
        <f t="shared" si="209"/>
        <v>7.4999999999999997E-2</v>
      </c>
      <c r="Q365" s="266">
        <v>5891.7390999999998</v>
      </c>
      <c r="R365" s="266">
        <f t="shared" si="210"/>
        <v>6009.0141667855005</v>
      </c>
      <c r="S365" s="322">
        <v>0.15</v>
      </c>
      <c r="T365" s="291">
        <f t="shared" si="215"/>
        <v>6775.499965</v>
      </c>
      <c r="U365" s="324">
        <f t="shared" si="212"/>
        <v>6910.366291803326</v>
      </c>
      <c r="V365" s="324">
        <f t="shared" si="213"/>
        <v>6925</v>
      </c>
      <c r="W365" s="325">
        <f t="shared" si="216"/>
        <v>0</v>
      </c>
    </row>
    <row r="366" spans="1:23" ht="21" x14ac:dyDescent="0.25">
      <c r="A366" s="200" t="s">
        <v>14951</v>
      </c>
      <c r="B366" s="255" t="s">
        <v>20203</v>
      </c>
      <c r="C366" s="248"/>
      <c r="D366" s="247" t="s">
        <v>11</v>
      </c>
      <c r="E366" s="249">
        <f t="shared" si="202"/>
        <v>2385.247381813725</v>
      </c>
      <c r="F366" s="258">
        <v>0.33</v>
      </c>
      <c r="G366" s="258">
        <f t="shared" si="203"/>
        <v>0.33</v>
      </c>
      <c r="H366" s="249">
        <f t="shared" si="204"/>
        <v>3397.1705134922749</v>
      </c>
      <c r="I366" s="258">
        <v>0.47</v>
      </c>
      <c r="J366" s="258">
        <f t="shared" si="205"/>
        <v>0.47</v>
      </c>
      <c r="K366" s="249">
        <f t="shared" si="206"/>
        <v>903.5027961415625</v>
      </c>
      <c r="L366" s="258">
        <v>0.125</v>
      </c>
      <c r="M366" s="258">
        <f t="shared" si="207"/>
        <v>0.125</v>
      </c>
      <c r="N366" s="251">
        <f t="shared" si="208"/>
        <v>542.1016776849375</v>
      </c>
      <c r="O366" s="314">
        <v>7.4999999999999997E-2</v>
      </c>
      <c r="P366" s="258">
        <f t="shared" si="209"/>
        <v>7.4999999999999997E-2</v>
      </c>
      <c r="Q366" s="249">
        <v>7086.9565000000002</v>
      </c>
      <c r="R366" s="249">
        <f t="shared" si="210"/>
        <v>7228.0223691325</v>
      </c>
      <c r="S366" s="258">
        <v>0.15</v>
      </c>
      <c r="T366" s="169">
        <f t="shared" si="215"/>
        <v>8149.9999750000006</v>
      </c>
      <c r="U366" s="315">
        <f t="shared" si="212"/>
        <v>8312.2257245023757</v>
      </c>
      <c r="V366" s="315">
        <f t="shared" si="213"/>
        <v>8325</v>
      </c>
      <c r="W366" s="316">
        <f t="shared" si="216"/>
        <v>0</v>
      </c>
    </row>
    <row r="367" spans="1:23" ht="21" x14ac:dyDescent="0.25">
      <c r="A367" s="200" t="s">
        <v>14952</v>
      </c>
      <c r="B367" s="255" t="s">
        <v>20204</v>
      </c>
      <c r="C367" s="248"/>
      <c r="D367" s="247" t="s">
        <v>11</v>
      </c>
      <c r="E367" s="249">
        <f t="shared" si="202"/>
        <v>2565.3847795882352</v>
      </c>
      <c r="F367" s="258">
        <v>0.33</v>
      </c>
      <c r="G367" s="258">
        <f t="shared" si="203"/>
        <v>0.33</v>
      </c>
      <c r="H367" s="249">
        <f t="shared" si="204"/>
        <v>3653.7298375953646</v>
      </c>
      <c r="I367" s="258">
        <v>0.47</v>
      </c>
      <c r="J367" s="258">
        <f t="shared" si="205"/>
        <v>0.47</v>
      </c>
      <c r="K367" s="249">
        <f t="shared" si="206"/>
        <v>971.73665893493751</v>
      </c>
      <c r="L367" s="258">
        <v>0.125</v>
      </c>
      <c r="M367" s="258">
        <f t="shared" si="207"/>
        <v>0.125</v>
      </c>
      <c r="N367" s="251">
        <f t="shared" si="208"/>
        <v>583.04199536096246</v>
      </c>
      <c r="O367" s="314">
        <v>7.4999999999999997E-2</v>
      </c>
      <c r="P367" s="258">
        <f t="shared" si="209"/>
        <v>7.4999999999999997E-2</v>
      </c>
      <c r="Q367" s="249">
        <v>7622.1738999999998</v>
      </c>
      <c r="R367" s="249">
        <f t="shared" si="210"/>
        <v>7773.8932714795001</v>
      </c>
      <c r="S367" s="258">
        <v>0.15</v>
      </c>
      <c r="T367" s="169">
        <f t="shared" si="215"/>
        <v>8765.4999850000004</v>
      </c>
      <c r="U367" s="315">
        <f t="shared" si="212"/>
        <v>8939.9772622014243</v>
      </c>
      <c r="V367" s="315">
        <f t="shared" si="213"/>
        <v>8950</v>
      </c>
      <c r="W367" s="316">
        <f t="shared" si="216"/>
        <v>0</v>
      </c>
    </row>
    <row r="368" spans="1:23" ht="21" x14ac:dyDescent="0.25">
      <c r="A368" s="200" t="s">
        <v>14953</v>
      </c>
      <c r="B368" s="255" t="s">
        <v>20205</v>
      </c>
      <c r="C368" s="248"/>
      <c r="D368" s="247" t="s">
        <v>11</v>
      </c>
      <c r="E368" s="249">
        <f t="shared" si="202"/>
        <v>4294.9086540980406</v>
      </c>
      <c r="F368" s="258">
        <v>0.33</v>
      </c>
      <c r="G368" s="258">
        <f t="shared" si="203"/>
        <v>0.33</v>
      </c>
      <c r="H368" s="249">
        <f t="shared" si="204"/>
        <v>6116.9911134123604</v>
      </c>
      <c r="I368" s="258">
        <v>0.47</v>
      </c>
      <c r="J368" s="258">
        <f t="shared" si="205"/>
        <v>0.47</v>
      </c>
      <c r="K368" s="249">
        <f t="shared" si="206"/>
        <v>1626.8593386735001</v>
      </c>
      <c r="L368" s="258">
        <v>0.125</v>
      </c>
      <c r="M368" s="258">
        <f t="shared" si="207"/>
        <v>0.125</v>
      </c>
      <c r="N368" s="251">
        <f t="shared" si="208"/>
        <v>976.11560320410001</v>
      </c>
      <c r="O368" s="314">
        <v>7.4999999999999997E-2</v>
      </c>
      <c r="P368" s="258">
        <f t="shared" si="209"/>
        <v>7.4999999999999997E-2</v>
      </c>
      <c r="Q368" s="249">
        <v>12760.8696</v>
      </c>
      <c r="R368" s="249">
        <f t="shared" si="210"/>
        <v>13014.874709388001</v>
      </c>
      <c r="S368" s="258">
        <v>0.15</v>
      </c>
      <c r="T368" s="169">
        <f t="shared" si="215"/>
        <v>14675.000039999999</v>
      </c>
      <c r="U368" s="315">
        <f t="shared" si="212"/>
        <v>14967.105915796201</v>
      </c>
      <c r="V368" s="315">
        <f t="shared" si="213"/>
        <v>15000</v>
      </c>
      <c r="W368" s="316">
        <f t="shared" si="216"/>
        <v>0</v>
      </c>
    </row>
    <row r="369" spans="1:23" ht="21" x14ac:dyDescent="0.25">
      <c r="A369" s="200" t="s">
        <v>14954</v>
      </c>
      <c r="B369" s="255" t="s">
        <v>20206</v>
      </c>
      <c r="C369" s="248"/>
      <c r="D369" s="247" t="s">
        <v>11</v>
      </c>
      <c r="E369" s="249">
        <f t="shared" si="202"/>
        <v>4154.5741341274497</v>
      </c>
      <c r="F369" s="258">
        <v>0.33</v>
      </c>
      <c r="G369" s="258">
        <f t="shared" si="203"/>
        <v>0.33</v>
      </c>
      <c r="H369" s="249">
        <f t="shared" si="204"/>
        <v>5917.1207364845495</v>
      </c>
      <c r="I369" s="258">
        <v>0.47</v>
      </c>
      <c r="J369" s="258">
        <f t="shared" si="205"/>
        <v>0.47</v>
      </c>
      <c r="K369" s="249">
        <f t="shared" si="206"/>
        <v>1573.7023235331249</v>
      </c>
      <c r="L369" s="258">
        <v>0.125</v>
      </c>
      <c r="M369" s="258">
        <f t="shared" si="207"/>
        <v>0.125</v>
      </c>
      <c r="N369" s="251">
        <f t="shared" si="208"/>
        <v>944.22139411987484</v>
      </c>
      <c r="O369" s="314">
        <v>7.4999999999999997E-2</v>
      </c>
      <c r="P369" s="258">
        <f t="shared" si="209"/>
        <v>7.4999999999999997E-2</v>
      </c>
      <c r="Q369" s="249">
        <v>12343.913</v>
      </c>
      <c r="R369" s="249">
        <f t="shared" si="210"/>
        <v>12589.618588264999</v>
      </c>
      <c r="S369" s="258">
        <v>0.15</v>
      </c>
      <c r="T369" s="169">
        <f t="shared" si="215"/>
        <v>14195.499950000001</v>
      </c>
      <c r="U369" s="315">
        <f t="shared" si="212"/>
        <v>14478.061376504749</v>
      </c>
      <c r="V369" s="315">
        <f t="shared" si="213"/>
        <v>14500</v>
      </c>
      <c r="W369" s="316">
        <f t="shared" si="216"/>
        <v>0</v>
      </c>
    </row>
    <row r="370" spans="1:23" x14ac:dyDescent="0.25">
      <c r="A370" s="200" t="s">
        <v>16232</v>
      </c>
      <c r="B370" s="313" t="s">
        <v>20207</v>
      </c>
      <c r="C370" s="248"/>
      <c r="D370" s="247" t="s">
        <v>11</v>
      </c>
      <c r="E370" s="249">
        <f t="shared" si="202"/>
        <v>427</v>
      </c>
      <c r="F370" s="258">
        <f>427/1031</f>
        <v>0.41416100872938894</v>
      </c>
      <c r="G370" s="258">
        <f t="shared" si="203"/>
        <v>0.41416100872938894</v>
      </c>
      <c r="H370" s="249">
        <f t="shared" si="204"/>
        <v>467</v>
      </c>
      <c r="I370" s="258">
        <f>467/1031</f>
        <v>0.45295829291949563</v>
      </c>
      <c r="J370" s="258">
        <f t="shared" si="205"/>
        <v>0.45295829291949563</v>
      </c>
      <c r="K370" s="249">
        <f t="shared" si="206"/>
        <v>137</v>
      </c>
      <c r="L370" s="258">
        <f>137/1031</f>
        <v>0.13288069835111543</v>
      </c>
      <c r="M370" s="258">
        <f t="shared" si="207"/>
        <v>0.13288069835111543</v>
      </c>
      <c r="N370" s="251">
        <f t="shared" si="208"/>
        <v>0</v>
      </c>
      <c r="O370" s="314"/>
      <c r="P370" s="258">
        <f t="shared" si="209"/>
        <v>0</v>
      </c>
      <c r="Q370" s="249"/>
      <c r="R370" s="249">
        <v>1031</v>
      </c>
      <c r="S370" s="258">
        <v>0.2</v>
      </c>
      <c r="T370" s="169">
        <f>Q370+Q370*S370</f>
        <v>0</v>
      </c>
      <c r="U370" s="315">
        <f>(R370*S370)+R370</f>
        <v>1237.2</v>
      </c>
      <c r="V370" s="315">
        <f>IF(U370=0, 0, IF(U370&lt;10, _xlfn.CEILING.MATH(U370,1), IF(U370&lt;100, _xlfn.CEILING.MATH(U370,1),IF(U370&lt;1000, _xlfn.CEILING.MATH(U370,5), IF(U370&lt;10000, _xlfn.CEILING.MATH(U370, 25), IF(U370&lt;100000, _xlfn.CEILING.MATH(U370,250), IF(U370&lt;1000000, _xlfn.CEILING.MATH(U370,500), 0)))))))</f>
        <v>1250</v>
      </c>
      <c r="W370" s="316">
        <f t="shared" si="216"/>
        <v>0</v>
      </c>
    </row>
    <row r="371" spans="1:23" x14ac:dyDescent="0.25">
      <c r="A371" s="200" t="s">
        <v>14965</v>
      </c>
      <c r="B371" s="313" t="s">
        <v>20208</v>
      </c>
      <c r="C371" s="248"/>
      <c r="D371" s="247" t="s">
        <v>11</v>
      </c>
      <c r="E371" s="249">
        <f t="shared" si="202"/>
        <v>427</v>
      </c>
      <c r="F371" s="258">
        <f>427/1147</f>
        <v>0.37227550130775938</v>
      </c>
      <c r="G371" s="258">
        <f t="shared" si="203"/>
        <v>0.37227550130775938</v>
      </c>
      <c r="H371" s="249">
        <f t="shared" si="204"/>
        <v>582.99999999999989</v>
      </c>
      <c r="I371" s="258">
        <f>583/1147</f>
        <v>0.50828247602441146</v>
      </c>
      <c r="J371" s="258">
        <f t="shared" si="205"/>
        <v>0.50828247602441146</v>
      </c>
      <c r="K371" s="249">
        <f t="shared" si="206"/>
        <v>137</v>
      </c>
      <c r="L371" s="258">
        <f>137/1147</f>
        <v>0.11944202266782912</v>
      </c>
      <c r="M371" s="258">
        <f t="shared" si="207"/>
        <v>0.11944202266782912</v>
      </c>
      <c r="N371" s="251">
        <f t="shared" si="208"/>
        <v>0</v>
      </c>
      <c r="O371" s="314"/>
      <c r="P371" s="258">
        <f t="shared" si="209"/>
        <v>0</v>
      </c>
      <c r="Q371" s="249"/>
      <c r="R371" s="249">
        <v>1147</v>
      </c>
      <c r="S371" s="258">
        <v>0.2</v>
      </c>
      <c r="T371" s="169">
        <f>Q371+Q371*S371</f>
        <v>0</v>
      </c>
      <c r="U371" s="315">
        <f>(R371*S371)+R371</f>
        <v>1376.4</v>
      </c>
      <c r="V371" s="315">
        <f>IF(U371=0, 0, IF(U371&lt;10, _xlfn.CEILING.MATH(U371,1), IF(U371&lt;100, _xlfn.CEILING.MATH(U371,1),IF(U371&lt;1000, _xlfn.CEILING.MATH(U371,5), IF(U371&lt;10000, _xlfn.CEILING.MATH(U371, 25), IF(U371&lt;100000, _xlfn.CEILING.MATH(U371,250), IF(U371&lt;1000000, _xlfn.CEILING.MATH(U371,500), 0)))))))</f>
        <v>1400</v>
      </c>
      <c r="W371" s="316">
        <f t="shared" si="216"/>
        <v>0</v>
      </c>
    </row>
    <row r="372" spans="1:23" x14ac:dyDescent="0.25">
      <c r="A372" s="200" t="s">
        <v>16233</v>
      </c>
      <c r="B372" s="313" t="s">
        <v>20209</v>
      </c>
      <c r="C372" s="248"/>
      <c r="D372" s="247" t="s">
        <v>11</v>
      </c>
      <c r="E372" s="249">
        <f t="shared" si="202"/>
        <v>895</v>
      </c>
      <c r="F372" s="258">
        <v>0.4</v>
      </c>
      <c r="G372" s="258">
        <f t="shared" si="203"/>
        <v>0.4</v>
      </c>
      <c r="H372" s="249">
        <f t="shared" si="204"/>
        <v>1118.75</v>
      </c>
      <c r="I372" s="258">
        <v>0.5</v>
      </c>
      <c r="J372" s="258">
        <f t="shared" si="205"/>
        <v>0.5</v>
      </c>
      <c r="K372" s="249">
        <f t="shared" si="206"/>
        <v>223.75</v>
      </c>
      <c r="L372" s="258">
        <v>0.1</v>
      </c>
      <c r="M372" s="258">
        <f t="shared" si="207"/>
        <v>0.1</v>
      </c>
      <c r="N372" s="251">
        <f t="shared" si="208"/>
        <v>0</v>
      </c>
      <c r="O372" s="314"/>
      <c r="P372" s="258">
        <f t="shared" si="209"/>
        <v>0</v>
      </c>
      <c r="Q372" s="249"/>
      <c r="R372" s="249">
        <f>2685/1.2</f>
        <v>2237.5</v>
      </c>
      <c r="S372" s="258">
        <v>0.2</v>
      </c>
      <c r="T372" s="169">
        <f>Q372+Q372*S372</f>
        <v>0</v>
      </c>
      <c r="U372" s="315">
        <f>(R372*S372)+R372</f>
        <v>2685</v>
      </c>
      <c r="V372" s="315">
        <f>IF(U372=0, 0, IF(U372&lt;10, _xlfn.CEILING.MATH(U372,1), IF(U372&lt;100, _xlfn.CEILING.MATH(U372,1),IF(U372&lt;1000, _xlfn.CEILING.MATH(U372,5), IF(U372&lt;10000, _xlfn.CEILING.MATH(U372, 5), IF(U372&lt;100000, _xlfn.CEILING.MATH(U372,250), IF(U372&lt;1000000, _xlfn.CEILING.MATH(U372,500), 0)))))))</f>
        <v>2685</v>
      </c>
      <c r="W372" s="316">
        <f t="shared" si="216"/>
        <v>0</v>
      </c>
    </row>
    <row r="373" spans="1:23" ht="21" x14ac:dyDescent="0.25">
      <c r="A373" s="200" t="s">
        <v>14955</v>
      </c>
      <c r="B373" s="255" t="s">
        <v>14956</v>
      </c>
      <c r="C373" s="248"/>
      <c r="D373" s="247" t="s">
        <v>11</v>
      </c>
      <c r="E373" s="249">
        <f t="shared" si="202"/>
        <v>6836.0458501500007</v>
      </c>
      <c r="F373" s="258">
        <v>0.33</v>
      </c>
      <c r="G373" s="258">
        <f t="shared" si="203"/>
        <v>0.33</v>
      </c>
      <c r="H373" s="249">
        <f t="shared" si="204"/>
        <v>9736.1865138499998</v>
      </c>
      <c r="I373" s="258">
        <v>0.47</v>
      </c>
      <c r="J373" s="258">
        <f t="shared" si="205"/>
        <v>0.47</v>
      </c>
      <c r="K373" s="249">
        <f t="shared" si="206"/>
        <v>2589.4113068750003</v>
      </c>
      <c r="L373" s="258">
        <v>0.125</v>
      </c>
      <c r="M373" s="258">
        <f t="shared" si="207"/>
        <v>0.125</v>
      </c>
      <c r="N373" s="251">
        <f t="shared" si="208"/>
        <v>1553.6467841250001</v>
      </c>
      <c r="O373" s="314">
        <v>7.4999999999999997E-2</v>
      </c>
      <c r="P373" s="258">
        <f t="shared" si="209"/>
        <v>7.4999999999999997E-2</v>
      </c>
      <c r="Q373" s="249">
        <v>20311</v>
      </c>
      <c r="R373" s="249">
        <f t="shared" si="210"/>
        <v>20715.290455000002</v>
      </c>
      <c r="S373" s="258">
        <v>0.15</v>
      </c>
      <c r="T373" s="169">
        <f>Q373+Q373*S373-7.65</f>
        <v>23350</v>
      </c>
      <c r="U373" s="315">
        <f t="shared" si="212"/>
        <v>23822.584023250001</v>
      </c>
      <c r="V373" s="315">
        <f t="shared" si="213"/>
        <v>24000</v>
      </c>
      <c r="W373" s="316">
        <f t="shared" si="216"/>
        <v>0</v>
      </c>
    </row>
    <row r="374" spans="1:23" ht="21" x14ac:dyDescent="0.25">
      <c r="A374" s="200" t="s">
        <v>14957</v>
      </c>
      <c r="B374" s="255" t="s">
        <v>14958</v>
      </c>
      <c r="C374" s="248"/>
      <c r="D374" s="247" t="s">
        <v>11</v>
      </c>
      <c r="E374" s="249">
        <f t="shared" si="202"/>
        <v>8595.9633210000011</v>
      </c>
      <c r="F374" s="258">
        <v>0.33</v>
      </c>
      <c r="G374" s="258">
        <f t="shared" si="203"/>
        <v>0.33</v>
      </c>
      <c r="H374" s="249">
        <f t="shared" si="204"/>
        <v>12242.735639</v>
      </c>
      <c r="I374" s="258">
        <v>0.47</v>
      </c>
      <c r="J374" s="258">
        <f t="shared" si="205"/>
        <v>0.47</v>
      </c>
      <c r="K374" s="249">
        <f t="shared" si="206"/>
        <v>3256.0467125000005</v>
      </c>
      <c r="L374" s="258">
        <v>0.125</v>
      </c>
      <c r="M374" s="258">
        <f t="shared" si="207"/>
        <v>0.125</v>
      </c>
      <c r="N374" s="251">
        <f t="shared" si="208"/>
        <v>1953.6280275000001</v>
      </c>
      <c r="O374" s="314">
        <v>7.4999999999999997E-2</v>
      </c>
      <c r="P374" s="258">
        <f t="shared" si="209"/>
        <v>7.4999999999999997E-2</v>
      </c>
      <c r="Q374" s="249">
        <v>25540</v>
      </c>
      <c r="R374" s="249">
        <f t="shared" si="210"/>
        <v>26048.373700000004</v>
      </c>
      <c r="S374" s="258">
        <v>0.15</v>
      </c>
      <c r="T374" s="169">
        <f>Q374+Q374*S374-11</f>
        <v>29360</v>
      </c>
      <c r="U374" s="315">
        <f t="shared" si="212"/>
        <v>29955.629755000005</v>
      </c>
      <c r="V374" s="315">
        <f t="shared" si="213"/>
        <v>30000</v>
      </c>
      <c r="W374" s="316">
        <f t="shared" si="216"/>
        <v>0</v>
      </c>
    </row>
    <row r="375" spans="1:23" ht="21" x14ac:dyDescent="0.25">
      <c r="A375" s="200" t="s">
        <v>14959</v>
      </c>
      <c r="B375" s="255" t="s">
        <v>14960</v>
      </c>
      <c r="C375" s="248"/>
      <c r="D375" s="247" t="s">
        <v>11</v>
      </c>
      <c r="E375" s="249">
        <f t="shared" si="202"/>
        <v>7862.5802326500007</v>
      </c>
      <c r="F375" s="258">
        <v>0.33</v>
      </c>
      <c r="G375" s="258">
        <f t="shared" si="203"/>
        <v>0.33</v>
      </c>
      <c r="H375" s="249">
        <f t="shared" si="204"/>
        <v>11198.220331350001</v>
      </c>
      <c r="I375" s="258">
        <v>0.47</v>
      </c>
      <c r="J375" s="258">
        <f t="shared" si="205"/>
        <v>0.47</v>
      </c>
      <c r="K375" s="249">
        <f t="shared" si="206"/>
        <v>2978.2500881250003</v>
      </c>
      <c r="L375" s="258">
        <v>0.125</v>
      </c>
      <c r="M375" s="258">
        <f t="shared" si="207"/>
        <v>0.125</v>
      </c>
      <c r="N375" s="251">
        <f t="shared" si="208"/>
        <v>1786.9500528750002</v>
      </c>
      <c r="O375" s="314">
        <v>7.4999999999999997E-2</v>
      </c>
      <c r="P375" s="258">
        <f t="shared" si="209"/>
        <v>7.4999999999999997E-2</v>
      </c>
      <c r="Q375" s="249">
        <v>23361</v>
      </c>
      <c r="R375" s="249">
        <f t="shared" si="210"/>
        <v>23826.000705000002</v>
      </c>
      <c r="S375" s="258">
        <v>0.15</v>
      </c>
      <c r="T375" s="169">
        <f>Q375+Q375*S375-15.15</f>
        <v>26850</v>
      </c>
      <c r="U375" s="315">
        <f t="shared" si="212"/>
        <v>27399.900810750001</v>
      </c>
      <c r="V375" s="315">
        <f t="shared" si="213"/>
        <v>27500</v>
      </c>
      <c r="W375" s="316">
        <f t="shared" si="216"/>
        <v>0</v>
      </c>
    </row>
    <row r="376" spans="1:23" ht="21" x14ac:dyDescent="0.25">
      <c r="A376" s="200" t="s">
        <v>14961</v>
      </c>
      <c r="B376" s="255" t="s">
        <v>14962</v>
      </c>
      <c r="C376" s="248"/>
      <c r="D376" s="247" t="s">
        <v>11</v>
      </c>
      <c r="E376" s="249">
        <f t="shared" si="202"/>
        <v>10364.631576750002</v>
      </c>
      <c r="F376" s="258">
        <v>0.33</v>
      </c>
      <c r="G376" s="258">
        <f t="shared" si="203"/>
        <v>0.33</v>
      </c>
      <c r="H376" s="249">
        <f t="shared" si="204"/>
        <v>14761.748003250001</v>
      </c>
      <c r="I376" s="258">
        <v>0.47</v>
      </c>
      <c r="J376" s="258">
        <f t="shared" si="205"/>
        <v>0.47</v>
      </c>
      <c r="K376" s="249">
        <f t="shared" si="206"/>
        <v>3925.9968093750003</v>
      </c>
      <c r="L376" s="258">
        <v>0.125</v>
      </c>
      <c r="M376" s="258">
        <f t="shared" si="207"/>
        <v>0.125</v>
      </c>
      <c r="N376" s="251">
        <f t="shared" si="208"/>
        <v>2355.5980856250003</v>
      </c>
      <c r="O376" s="314">
        <v>7.4999999999999997E-2</v>
      </c>
      <c r="P376" s="258">
        <f t="shared" si="209"/>
        <v>7.4999999999999997E-2</v>
      </c>
      <c r="Q376" s="249">
        <v>30795</v>
      </c>
      <c r="R376" s="249">
        <f t="shared" si="210"/>
        <v>31407.974475000003</v>
      </c>
      <c r="S376" s="258">
        <v>0.15</v>
      </c>
      <c r="T376" s="169">
        <f>Q376+Q376*S376-14.25</f>
        <v>35400</v>
      </c>
      <c r="U376" s="315">
        <f t="shared" si="212"/>
        <v>36119.170646250001</v>
      </c>
      <c r="V376" s="315">
        <f t="shared" si="213"/>
        <v>36250</v>
      </c>
      <c r="W376" s="316">
        <f t="shared" si="216"/>
        <v>0</v>
      </c>
    </row>
    <row r="377" spans="1:23" ht="21" x14ac:dyDescent="0.25">
      <c r="A377" s="200" t="s">
        <v>14963</v>
      </c>
      <c r="B377" s="255" t="s">
        <v>14964</v>
      </c>
      <c r="C377" s="248"/>
      <c r="D377" s="247" t="s">
        <v>11</v>
      </c>
      <c r="E377" s="249">
        <f t="shared" si="202"/>
        <v>13074.00920925</v>
      </c>
      <c r="F377" s="258">
        <v>0.33</v>
      </c>
      <c r="G377" s="258">
        <f t="shared" si="203"/>
        <v>0.33</v>
      </c>
      <c r="H377" s="249">
        <f t="shared" si="204"/>
        <v>18620.558570749999</v>
      </c>
      <c r="I377" s="258">
        <v>0.47</v>
      </c>
      <c r="J377" s="258">
        <f t="shared" si="205"/>
        <v>0.47</v>
      </c>
      <c r="K377" s="249">
        <f t="shared" si="206"/>
        <v>4952.2762156250001</v>
      </c>
      <c r="L377" s="258">
        <v>0.125</v>
      </c>
      <c r="M377" s="258">
        <f t="shared" si="207"/>
        <v>0.125</v>
      </c>
      <c r="N377" s="251">
        <f t="shared" si="208"/>
        <v>2971.3657293749998</v>
      </c>
      <c r="O377" s="314">
        <v>7.4999999999999997E-2</v>
      </c>
      <c r="P377" s="258">
        <f t="shared" si="209"/>
        <v>7.4999999999999997E-2</v>
      </c>
      <c r="Q377" s="249">
        <v>38845</v>
      </c>
      <c r="R377" s="249">
        <f t="shared" si="210"/>
        <v>39618.209725000001</v>
      </c>
      <c r="S377" s="258">
        <v>0.15</v>
      </c>
      <c r="T377" s="169">
        <f>Q377+Q377*S377-21.75</f>
        <v>44650</v>
      </c>
      <c r="U377" s="315">
        <f t="shared" si="212"/>
        <v>45560.941183750001</v>
      </c>
      <c r="V377" s="315">
        <f t="shared" si="213"/>
        <v>45750</v>
      </c>
      <c r="W377" s="316">
        <f t="shared" si="216"/>
        <v>0</v>
      </c>
    </row>
    <row r="378" spans="1:23" x14ac:dyDescent="0.25">
      <c r="A378" s="200" t="s">
        <v>14965</v>
      </c>
      <c r="B378" s="313" t="s">
        <v>20210</v>
      </c>
      <c r="C378" s="248"/>
      <c r="D378" s="247" t="s">
        <v>11</v>
      </c>
      <c r="E378" s="249">
        <f t="shared" si="202"/>
        <v>25.668199535439999</v>
      </c>
      <c r="F378" s="258">
        <v>0.44</v>
      </c>
      <c r="G378" s="258">
        <f t="shared" si="203"/>
        <v>0.44</v>
      </c>
      <c r="H378" s="249">
        <f t="shared" si="204"/>
        <v>28.293356306109999</v>
      </c>
      <c r="I378" s="258">
        <v>0.48499999999999999</v>
      </c>
      <c r="J378" s="258">
        <f t="shared" si="205"/>
        <v>0.48499999999999999</v>
      </c>
      <c r="K378" s="249">
        <f t="shared" si="206"/>
        <v>2.9168408563000003</v>
      </c>
      <c r="L378" s="258">
        <v>0.05</v>
      </c>
      <c r="M378" s="258">
        <f t="shared" si="207"/>
        <v>0.05</v>
      </c>
      <c r="N378" s="251">
        <f t="shared" si="208"/>
        <v>1.4584204281500002</v>
      </c>
      <c r="O378" s="314">
        <v>2.5000000000000001E-2</v>
      </c>
      <c r="P378" s="258">
        <f t="shared" si="209"/>
        <v>2.5000000000000001E-2</v>
      </c>
      <c r="Q378" s="249">
        <v>57.173900000000003</v>
      </c>
      <c r="R378" s="249">
        <f t="shared" si="210"/>
        <v>58.336817126</v>
      </c>
      <c r="S378" s="258">
        <v>0.15</v>
      </c>
      <c r="T378" s="169">
        <f>Q378+Q378*S378</f>
        <v>65.749985000000009</v>
      </c>
      <c r="U378" s="315">
        <f t="shared" si="212"/>
        <v>67.087339694899995</v>
      </c>
      <c r="V378" s="315">
        <f t="shared" si="213"/>
        <v>68</v>
      </c>
      <c r="W378" s="316">
        <f t="shared" si="216"/>
        <v>0</v>
      </c>
    </row>
    <row r="379" spans="1:23" x14ac:dyDescent="0.25">
      <c r="A379" s="200" t="s">
        <v>14966</v>
      </c>
      <c r="B379" s="313" t="s">
        <v>20211</v>
      </c>
      <c r="C379" s="248"/>
      <c r="D379" s="247" t="s">
        <v>11</v>
      </c>
      <c r="E379" s="249">
        <f t="shared" si="202"/>
        <v>22.057073427840002</v>
      </c>
      <c r="F379" s="258">
        <v>0.44</v>
      </c>
      <c r="G379" s="258">
        <f t="shared" si="203"/>
        <v>0.44</v>
      </c>
      <c r="H379" s="249">
        <f t="shared" si="204"/>
        <v>24.312910482960003</v>
      </c>
      <c r="I379" s="258">
        <v>0.48499999999999999</v>
      </c>
      <c r="J379" s="258">
        <f t="shared" si="205"/>
        <v>0.48499999999999999</v>
      </c>
      <c r="K379" s="249">
        <f t="shared" si="206"/>
        <v>2.5064856168000005</v>
      </c>
      <c r="L379" s="258">
        <v>0.05</v>
      </c>
      <c r="M379" s="258">
        <f t="shared" si="207"/>
        <v>0.05</v>
      </c>
      <c r="N379" s="251">
        <f t="shared" si="208"/>
        <v>1.2532428084000002</v>
      </c>
      <c r="O379" s="314">
        <v>2.5000000000000001E-2</v>
      </c>
      <c r="P379" s="258">
        <f t="shared" si="209"/>
        <v>2.5000000000000001E-2</v>
      </c>
      <c r="Q379" s="249">
        <v>49.130400000000002</v>
      </c>
      <c r="R379" s="249">
        <f t="shared" si="210"/>
        <v>50.129712336000004</v>
      </c>
      <c r="S379" s="258">
        <v>0.15</v>
      </c>
      <c r="T379" s="169">
        <f>Q379+Q379*S379</f>
        <v>56.499960000000002</v>
      </c>
      <c r="U379" s="315">
        <f t="shared" si="212"/>
        <v>57.649169186400002</v>
      </c>
      <c r="V379" s="315">
        <f t="shared" si="213"/>
        <v>58</v>
      </c>
      <c r="W379" s="316">
        <f t="shared" si="216"/>
        <v>0</v>
      </c>
    </row>
    <row r="380" spans="1:23" ht="20.399999999999999" x14ac:dyDescent="0.25">
      <c r="A380" s="179" t="s">
        <v>16234</v>
      </c>
      <c r="B380" s="333" t="s">
        <v>20212</v>
      </c>
      <c r="C380" s="334"/>
      <c r="D380" s="335" t="s">
        <v>3</v>
      </c>
      <c r="E380" s="249">
        <f t="shared" si="202"/>
        <v>68.253749999999997</v>
      </c>
      <c r="F380" s="336">
        <v>0.60670000000000002</v>
      </c>
      <c r="G380" s="258">
        <f t="shared" si="203"/>
        <v>0.60670000000000002</v>
      </c>
      <c r="H380" s="249">
        <f t="shared" si="204"/>
        <v>33.896250000000002</v>
      </c>
      <c r="I380" s="336">
        <v>0.30130000000000001</v>
      </c>
      <c r="J380" s="258">
        <f t="shared" si="205"/>
        <v>0.30130000000000001</v>
      </c>
      <c r="K380" s="249">
        <f t="shared" si="206"/>
        <v>5.0962500000000004</v>
      </c>
      <c r="L380" s="336">
        <v>4.53E-2</v>
      </c>
      <c r="M380" s="258">
        <f t="shared" si="207"/>
        <v>4.53E-2</v>
      </c>
      <c r="N380" s="251">
        <f t="shared" si="208"/>
        <v>5.2537500000000001</v>
      </c>
      <c r="O380" s="336">
        <v>4.6699999999999998E-2</v>
      </c>
      <c r="P380" s="258">
        <f t="shared" si="209"/>
        <v>4.6699999999999998E-2</v>
      </c>
      <c r="Q380" s="337"/>
      <c r="R380" s="249">
        <v>112.5</v>
      </c>
      <c r="S380" s="338">
        <v>0.2</v>
      </c>
      <c r="T380" s="338"/>
      <c r="U380" s="315">
        <f t="shared" si="212"/>
        <v>135</v>
      </c>
      <c r="V380" s="315">
        <f t="shared" si="213"/>
        <v>135</v>
      </c>
      <c r="W380" s="316">
        <f t="shared" si="216"/>
        <v>0</v>
      </c>
    </row>
    <row r="381" spans="1:23" ht="20.399999999999999" x14ac:dyDescent="0.25">
      <c r="A381" s="179" t="s">
        <v>16235</v>
      </c>
      <c r="B381" s="333" t="s">
        <v>20213</v>
      </c>
      <c r="C381" s="334"/>
      <c r="D381" s="335" t="s">
        <v>3</v>
      </c>
      <c r="E381" s="249">
        <f t="shared" si="202"/>
        <v>61.345712999999996</v>
      </c>
      <c r="F381" s="336">
        <v>0.58889999999999998</v>
      </c>
      <c r="G381" s="258">
        <f t="shared" si="203"/>
        <v>0.58889999999999998</v>
      </c>
      <c r="H381" s="249">
        <f t="shared" si="204"/>
        <v>33.896917999999999</v>
      </c>
      <c r="I381" s="336">
        <v>0.32540000000000002</v>
      </c>
      <c r="J381" s="258">
        <f t="shared" si="205"/>
        <v>0.32540000000000002</v>
      </c>
      <c r="K381" s="249">
        <f t="shared" si="206"/>
        <v>4.7501519999999999</v>
      </c>
      <c r="L381" s="336">
        <v>4.5600000000000002E-2</v>
      </c>
      <c r="M381" s="258">
        <f t="shared" si="207"/>
        <v>4.5600000000000002E-2</v>
      </c>
      <c r="N381" s="251">
        <f t="shared" si="208"/>
        <v>4.1772169999999997</v>
      </c>
      <c r="O381" s="336">
        <v>4.0099999999999997E-2</v>
      </c>
      <c r="P381" s="258">
        <f t="shared" si="209"/>
        <v>4.0099999999999997E-2</v>
      </c>
      <c r="Q381" s="337"/>
      <c r="R381" s="249">
        <v>104.17</v>
      </c>
      <c r="S381" s="338">
        <v>0.2</v>
      </c>
      <c r="T381" s="338"/>
      <c r="U381" s="315">
        <f t="shared" si="212"/>
        <v>125.004</v>
      </c>
      <c r="V381" s="315">
        <f t="shared" si="213"/>
        <v>130</v>
      </c>
      <c r="W381" s="316">
        <f t="shared" si="216"/>
        <v>0</v>
      </c>
    </row>
    <row r="382" spans="1:23" ht="20.399999999999999" x14ac:dyDescent="0.25">
      <c r="A382" s="179" t="s">
        <v>16236</v>
      </c>
      <c r="B382" s="333" t="s">
        <v>20214</v>
      </c>
      <c r="C382" s="334"/>
      <c r="D382" s="335" t="s">
        <v>3</v>
      </c>
      <c r="E382" s="249">
        <f t="shared" si="202"/>
        <v>55.247499999999995</v>
      </c>
      <c r="F382" s="336">
        <v>0.57399999999999995</v>
      </c>
      <c r="G382" s="258">
        <f t="shared" si="203"/>
        <v>0.57399999999999995</v>
      </c>
      <c r="H382" s="249">
        <f t="shared" si="204"/>
        <v>33.899250000000002</v>
      </c>
      <c r="I382" s="336">
        <v>0.35220000000000001</v>
      </c>
      <c r="J382" s="258">
        <f t="shared" si="205"/>
        <v>0.35220000000000001</v>
      </c>
      <c r="K382" s="249">
        <f t="shared" si="206"/>
        <v>4.7547499999999996</v>
      </c>
      <c r="L382" s="336">
        <v>4.9399999999999999E-2</v>
      </c>
      <c r="M382" s="258">
        <f t="shared" si="207"/>
        <v>4.9399999999999999E-2</v>
      </c>
      <c r="N382" s="251">
        <f t="shared" si="208"/>
        <v>2.3485</v>
      </c>
      <c r="O382" s="336">
        <v>2.4400000000000002E-2</v>
      </c>
      <c r="P382" s="258">
        <f t="shared" si="209"/>
        <v>2.4400000000000002E-2</v>
      </c>
      <c r="Q382" s="337"/>
      <c r="R382" s="249">
        <v>96.25</v>
      </c>
      <c r="S382" s="338">
        <v>0.2</v>
      </c>
      <c r="T382" s="338"/>
      <c r="U382" s="315">
        <f t="shared" si="212"/>
        <v>115.5</v>
      </c>
      <c r="V382" s="315">
        <f t="shared" si="213"/>
        <v>120</v>
      </c>
      <c r="W382" s="316">
        <f t="shared" si="216"/>
        <v>0</v>
      </c>
    </row>
    <row r="383" spans="1:23" x14ac:dyDescent="0.25">
      <c r="A383" s="199" t="s">
        <v>14936</v>
      </c>
      <c r="B383" s="307" t="s">
        <v>14967</v>
      </c>
      <c r="C383" s="308"/>
      <c r="D383" s="309"/>
      <c r="E383" s="310"/>
      <c r="F383" s="311"/>
      <c r="G383" s="311"/>
      <c r="H383" s="310"/>
      <c r="I383" s="311"/>
      <c r="J383" s="311"/>
      <c r="K383" s="310"/>
      <c r="L383" s="311"/>
      <c r="M383" s="311"/>
      <c r="N383" s="310"/>
      <c r="O383" s="311"/>
      <c r="P383" s="311"/>
      <c r="Q383" s="310"/>
      <c r="R383" s="310"/>
      <c r="S383" s="309"/>
      <c r="T383" s="309"/>
      <c r="U383" s="309"/>
      <c r="V383" s="309"/>
      <c r="W383" s="312"/>
    </row>
    <row r="384" spans="1:23" x14ac:dyDescent="0.25">
      <c r="A384" s="200">
        <v>814024</v>
      </c>
      <c r="B384" s="313" t="s">
        <v>20215</v>
      </c>
      <c r="C384" s="248"/>
      <c r="D384" s="247" t="s">
        <v>11</v>
      </c>
      <c r="E384" s="249">
        <f t="shared" ref="E384:E447" si="217">R384*G384</f>
        <v>510.15000000000003</v>
      </c>
      <c r="F384" s="258">
        <v>0.4</v>
      </c>
      <c r="G384" s="258">
        <f t="shared" ref="G384:G447" si="218">F384</f>
        <v>0.4</v>
      </c>
      <c r="H384" s="249">
        <f t="shared" ref="H384:H447" si="219">R384*J384</f>
        <v>573.91875000000005</v>
      </c>
      <c r="I384" s="258">
        <v>0.45</v>
      </c>
      <c r="J384" s="258">
        <f t="shared" ref="J384:J447" si="220">I384</f>
        <v>0.45</v>
      </c>
      <c r="K384" s="249">
        <f t="shared" ref="K384:K447" si="221">R384*M384</f>
        <v>127.53750000000001</v>
      </c>
      <c r="L384" s="258">
        <v>0.1</v>
      </c>
      <c r="M384" s="258">
        <f t="shared" ref="M384:M447" si="222">L384</f>
        <v>0.1</v>
      </c>
      <c r="N384" s="251">
        <f t="shared" ref="N384:N447" si="223">P384*R384</f>
        <v>63.768750000000004</v>
      </c>
      <c r="O384" s="258">
        <v>0.05</v>
      </c>
      <c r="P384" s="258">
        <f t="shared" ref="P384:P447" si="224">O384</f>
        <v>0.05</v>
      </c>
      <c r="Q384" s="249">
        <v>1250</v>
      </c>
      <c r="R384" s="249">
        <f t="shared" ref="R384:R447" si="225">SUM(F384*Q384*1.0235,I384*Q384*1.0175,L384*Q384*1.0245,O384*Q384*1.0115)</f>
        <v>1275.375</v>
      </c>
      <c r="S384" s="258">
        <v>0.2</v>
      </c>
      <c r="T384" s="169">
        <f>Q384</f>
        <v>1250</v>
      </c>
      <c r="U384" s="315">
        <f t="shared" ref="U384:U450" si="226">(R384*S384)+R384</f>
        <v>1530.45</v>
      </c>
      <c r="V384" s="315">
        <f t="shared" ref="V384:V450" si="227">IF(U384=0, 0, IF(U384&lt;10, _xlfn.CEILING.MATH(U384,1), IF(U384&lt;100, _xlfn.CEILING.MATH(U384,1),IF(U384&lt;1000, _xlfn.CEILING.MATH(U384,5), IF(U384&lt;10000, _xlfn.CEILING.MATH(U384, 25), IF(U384&lt;100000, _xlfn.CEILING.MATH(U384,250), IF(U384&lt;1000000, _xlfn.CEILING.MATH(U384,500), 0)))))))</f>
        <v>1550</v>
      </c>
      <c r="W384" s="316">
        <f t="shared" si="216"/>
        <v>0</v>
      </c>
    </row>
    <row r="385" spans="1:23" x14ac:dyDescent="0.25">
      <c r="A385" s="200">
        <v>814025</v>
      </c>
      <c r="B385" s="313" t="s">
        <v>20216</v>
      </c>
      <c r="C385" s="248"/>
      <c r="D385" s="247" t="s">
        <v>11</v>
      </c>
      <c r="E385" s="249">
        <f t="shared" si="217"/>
        <v>442.12986396000008</v>
      </c>
      <c r="F385" s="258">
        <v>0.4</v>
      </c>
      <c r="G385" s="258">
        <f t="shared" si="218"/>
        <v>0.4</v>
      </c>
      <c r="H385" s="249">
        <f t="shared" si="219"/>
        <v>497.39609695500008</v>
      </c>
      <c r="I385" s="258">
        <v>0.45</v>
      </c>
      <c r="J385" s="258">
        <f t="shared" si="220"/>
        <v>0.45</v>
      </c>
      <c r="K385" s="249">
        <f t="shared" si="221"/>
        <v>110.53246599000002</v>
      </c>
      <c r="L385" s="258">
        <v>0.1</v>
      </c>
      <c r="M385" s="258">
        <f t="shared" si="222"/>
        <v>0.1</v>
      </c>
      <c r="N385" s="251">
        <f t="shared" si="223"/>
        <v>55.26623299500001</v>
      </c>
      <c r="O385" s="258">
        <v>0.05</v>
      </c>
      <c r="P385" s="258">
        <f t="shared" si="224"/>
        <v>0.05</v>
      </c>
      <c r="Q385" s="249">
        <v>1083.3330000000001</v>
      </c>
      <c r="R385" s="249">
        <f t="shared" si="225"/>
        <v>1105.3246599000001</v>
      </c>
      <c r="S385" s="258">
        <v>0.2</v>
      </c>
      <c r="T385" s="169">
        <f t="shared" ref="T385:T390" si="228">Q385+Q385*S385</f>
        <v>1299.9996000000001</v>
      </c>
      <c r="U385" s="315">
        <f t="shared" si="226"/>
        <v>1326.3895918800001</v>
      </c>
      <c r="V385" s="315">
        <f t="shared" si="227"/>
        <v>1350</v>
      </c>
      <c r="W385" s="316">
        <f t="shared" si="216"/>
        <v>0</v>
      </c>
    </row>
    <row r="386" spans="1:23" x14ac:dyDescent="0.25">
      <c r="A386" s="200">
        <v>814005</v>
      </c>
      <c r="B386" s="313" t="s">
        <v>20217</v>
      </c>
      <c r="C386" s="248"/>
      <c r="D386" s="247" t="s">
        <v>7</v>
      </c>
      <c r="E386" s="249">
        <f t="shared" si="217"/>
        <v>23.805639600000006</v>
      </c>
      <c r="F386" s="258">
        <v>0.4</v>
      </c>
      <c r="G386" s="258">
        <f t="shared" si="218"/>
        <v>0.4</v>
      </c>
      <c r="H386" s="249">
        <f t="shared" si="219"/>
        <v>26.781344550000004</v>
      </c>
      <c r="I386" s="258">
        <v>0.45</v>
      </c>
      <c r="J386" s="258">
        <f t="shared" si="220"/>
        <v>0.45</v>
      </c>
      <c r="K386" s="249">
        <f t="shared" si="221"/>
        <v>5.9514099000000016</v>
      </c>
      <c r="L386" s="258">
        <v>0.1</v>
      </c>
      <c r="M386" s="258">
        <f t="shared" si="222"/>
        <v>0.1</v>
      </c>
      <c r="N386" s="251">
        <f t="shared" si="223"/>
        <v>2.9757049500000008</v>
      </c>
      <c r="O386" s="258">
        <v>0.05</v>
      </c>
      <c r="P386" s="258">
        <f t="shared" si="224"/>
        <v>0.05</v>
      </c>
      <c r="Q386" s="249">
        <v>58.33</v>
      </c>
      <c r="R386" s="249">
        <f t="shared" si="225"/>
        <v>59.514099000000009</v>
      </c>
      <c r="S386" s="258">
        <v>0.2</v>
      </c>
      <c r="T386" s="169">
        <f t="shared" si="228"/>
        <v>69.995999999999995</v>
      </c>
      <c r="U386" s="315">
        <f t="shared" si="226"/>
        <v>71.416918800000019</v>
      </c>
      <c r="V386" s="315">
        <f t="shared" si="227"/>
        <v>72</v>
      </c>
      <c r="W386" s="316">
        <f t="shared" si="216"/>
        <v>0</v>
      </c>
    </row>
    <row r="387" spans="1:23" x14ac:dyDescent="0.25">
      <c r="A387" s="200">
        <v>814005</v>
      </c>
      <c r="B387" s="313" t="s">
        <v>20218</v>
      </c>
      <c r="C387" s="248"/>
      <c r="D387" s="247" t="s">
        <v>7</v>
      </c>
      <c r="E387" s="249">
        <f t="shared" si="217"/>
        <v>28.907139600000008</v>
      </c>
      <c r="F387" s="258">
        <v>0.4</v>
      </c>
      <c r="G387" s="258">
        <f t="shared" si="218"/>
        <v>0.4</v>
      </c>
      <c r="H387" s="249">
        <f t="shared" si="219"/>
        <v>32.520532050000007</v>
      </c>
      <c r="I387" s="258">
        <v>0.45</v>
      </c>
      <c r="J387" s="258">
        <f t="shared" si="220"/>
        <v>0.45</v>
      </c>
      <c r="K387" s="249">
        <f t="shared" si="221"/>
        <v>7.226784900000002</v>
      </c>
      <c r="L387" s="258">
        <v>0.1</v>
      </c>
      <c r="M387" s="258">
        <f t="shared" si="222"/>
        <v>0.1</v>
      </c>
      <c r="N387" s="251">
        <f t="shared" si="223"/>
        <v>3.613392450000001</v>
      </c>
      <c r="O387" s="258">
        <v>0.05</v>
      </c>
      <c r="P387" s="258">
        <f t="shared" si="224"/>
        <v>0.05</v>
      </c>
      <c r="Q387" s="249">
        <v>70.83</v>
      </c>
      <c r="R387" s="249">
        <f t="shared" si="225"/>
        <v>72.267849000000012</v>
      </c>
      <c r="S387" s="258">
        <v>0.2</v>
      </c>
      <c r="T387" s="169">
        <f t="shared" si="228"/>
        <v>84.995999999999995</v>
      </c>
      <c r="U387" s="315">
        <f t="shared" si="226"/>
        <v>86.721418800000009</v>
      </c>
      <c r="V387" s="315">
        <f t="shared" si="227"/>
        <v>87</v>
      </c>
      <c r="W387" s="316">
        <f t="shared" si="216"/>
        <v>0</v>
      </c>
    </row>
    <row r="388" spans="1:23" x14ac:dyDescent="0.25">
      <c r="A388" s="201" t="s">
        <v>14968</v>
      </c>
      <c r="B388" s="313" t="s">
        <v>20219</v>
      </c>
      <c r="C388" s="248"/>
      <c r="D388" s="339" t="s">
        <v>11</v>
      </c>
      <c r="E388" s="249">
        <f t="shared" si="217"/>
        <v>497.25000000000011</v>
      </c>
      <c r="F388" s="258">
        <v>0.32500000000000001</v>
      </c>
      <c r="G388" s="258">
        <f t="shared" si="218"/>
        <v>0.32500000000000001</v>
      </c>
      <c r="H388" s="249">
        <f t="shared" si="219"/>
        <v>841.50000000000023</v>
      </c>
      <c r="I388" s="258">
        <v>0.55000000000000004</v>
      </c>
      <c r="J388" s="258">
        <f t="shared" si="220"/>
        <v>0.55000000000000004</v>
      </c>
      <c r="K388" s="249">
        <f t="shared" si="221"/>
        <v>153.00000000000003</v>
      </c>
      <c r="L388" s="258">
        <v>0.1</v>
      </c>
      <c r="M388" s="258">
        <f t="shared" si="222"/>
        <v>0.1</v>
      </c>
      <c r="N388" s="251">
        <f t="shared" si="223"/>
        <v>38.250000000000007</v>
      </c>
      <c r="O388" s="340">
        <v>2.5000000000000001E-2</v>
      </c>
      <c r="P388" s="258">
        <f t="shared" si="224"/>
        <v>2.5000000000000001E-2</v>
      </c>
      <c r="Q388" s="249">
        <v>1500</v>
      </c>
      <c r="R388" s="249">
        <f t="shared" si="225"/>
        <v>1530.0000000000002</v>
      </c>
      <c r="S388" s="250">
        <v>0.1</v>
      </c>
      <c r="T388" s="290">
        <f t="shared" si="228"/>
        <v>1650</v>
      </c>
      <c r="U388" s="315">
        <f t="shared" si="226"/>
        <v>1683.0000000000002</v>
      </c>
      <c r="V388" s="315">
        <f t="shared" si="227"/>
        <v>1700</v>
      </c>
      <c r="W388" s="316">
        <f t="shared" si="216"/>
        <v>0</v>
      </c>
    </row>
    <row r="389" spans="1:23" x14ac:dyDescent="0.25">
      <c r="A389" s="200" t="s">
        <v>14969</v>
      </c>
      <c r="B389" s="313" t="s">
        <v>20220</v>
      </c>
      <c r="C389" s="248"/>
      <c r="D389" s="339" t="s">
        <v>11</v>
      </c>
      <c r="E389" s="249">
        <f t="shared" si="217"/>
        <v>527.38636665000013</v>
      </c>
      <c r="F389" s="258">
        <v>0.32500000000000001</v>
      </c>
      <c r="G389" s="258">
        <f t="shared" si="218"/>
        <v>0.32500000000000001</v>
      </c>
      <c r="H389" s="249">
        <f t="shared" si="219"/>
        <v>892.50000510000018</v>
      </c>
      <c r="I389" s="258">
        <v>0.55000000000000004</v>
      </c>
      <c r="J389" s="258">
        <f t="shared" si="220"/>
        <v>0.55000000000000004</v>
      </c>
      <c r="K389" s="249">
        <f t="shared" si="221"/>
        <v>162.27272820000005</v>
      </c>
      <c r="L389" s="258">
        <v>0.1</v>
      </c>
      <c r="M389" s="258">
        <f t="shared" si="222"/>
        <v>0.1</v>
      </c>
      <c r="N389" s="251">
        <f t="shared" si="223"/>
        <v>40.568182050000011</v>
      </c>
      <c r="O389" s="340">
        <v>2.5000000000000001E-2</v>
      </c>
      <c r="P389" s="258">
        <f t="shared" si="224"/>
        <v>2.5000000000000001E-2</v>
      </c>
      <c r="Q389" s="249">
        <v>1590.9091000000001</v>
      </c>
      <c r="R389" s="249">
        <f t="shared" si="225"/>
        <v>1622.7272820000003</v>
      </c>
      <c r="S389" s="250">
        <v>0.1</v>
      </c>
      <c r="T389" s="290">
        <f t="shared" si="228"/>
        <v>1750.0000100000002</v>
      </c>
      <c r="U389" s="315">
        <f t="shared" si="226"/>
        <v>1785.0000102000004</v>
      </c>
      <c r="V389" s="315">
        <f t="shared" si="227"/>
        <v>1800</v>
      </c>
      <c r="W389" s="316">
        <f t="shared" si="216"/>
        <v>0</v>
      </c>
    </row>
    <row r="390" spans="1:23" x14ac:dyDescent="0.25">
      <c r="A390" s="200" t="s">
        <v>14970</v>
      </c>
      <c r="B390" s="313" t="s">
        <v>20221</v>
      </c>
      <c r="C390" s="248"/>
      <c r="D390" s="339" t="s">
        <v>11</v>
      </c>
      <c r="E390" s="249">
        <f t="shared" si="217"/>
        <v>632.8636333500001</v>
      </c>
      <c r="F390" s="258">
        <v>0.32500000000000001</v>
      </c>
      <c r="G390" s="258">
        <f t="shared" si="218"/>
        <v>0.32500000000000001</v>
      </c>
      <c r="H390" s="249">
        <f t="shared" si="219"/>
        <v>1070.9999949000003</v>
      </c>
      <c r="I390" s="258">
        <v>0.55000000000000004</v>
      </c>
      <c r="J390" s="258">
        <f t="shared" si="220"/>
        <v>0.55000000000000004</v>
      </c>
      <c r="K390" s="249">
        <f t="shared" si="221"/>
        <v>194.72727180000004</v>
      </c>
      <c r="L390" s="258">
        <v>0.1</v>
      </c>
      <c r="M390" s="258">
        <f t="shared" si="222"/>
        <v>0.1</v>
      </c>
      <c r="N390" s="251">
        <f t="shared" si="223"/>
        <v>48.68181795000001</v>
      </c>
      <c r="O390" s="340">
        <v>2.5000000000000001E-2</v>
      </c>
      <c r="P390" s="258">
        <f t="shared" si="224"/>
        <v>2.5000000000000001E-2</v>
      </c>
      <c r="Q390" s="249">
        <v>1909.0908999999999</v>
      </c>
      <c r="R390" s="249">
        <f t="shared" si="225"/>
        <v>1947.2727180000002</v>
      </c>
      <c r="S390" s="250">
        <v>0.1</v>
      </c>
      <c r="T390" s="290">
        <f t="shared" si="228"/>
        <v>2099.9999899999998</v>
      </c>
      <c r="U390" s="315">
        <f t="shared" si="226"/>
        <v>2141.9999898000001</v>
      </c>
      <c r="V390" s="315">
        <f t="shared" si="227"/>
        <v>2150</v>
      </c>
      <c r="W390" s="316">
        <f t="shared" si="216"/>
        <v>0</v>
      </c>
    </row>
    <row r="391" spans="1:23" x14ac:dyDescent="0.25">
      <c r="A391" s="195" t="s">
        <v>14971</v>
      </c>
      <c r="B391" s="317" t="s">
        <v>14972</v>
      </c>
      <c r="C391" s="318"/>
      <c r="D391" s="319"/>
      <c r="E391" s="319"/>
      <c r="F391" s="319"/>
      <c r="G391" s="319"/>
      <c r="H391" s="319"/>
      <c r="I391" s="319"/>
      <c r="J391" s="319"/>
      <c r="K391" s="319"/>
      <c r="L391" s="319"/>
      <c r="M391" s="319"/>
      <c r="N391" s="319"/>
      <c r="O391" s="319"/>
      <c r="P391" s="319"/>
      <c r="Q391" s="319"/>
      <c r="R391" s="319"/>
      <c r="S391" s="319"/>
      <c r="T391" s="319"/>
      <c r="U391" s="320"/>
      <c r="V391" s="320"/>
      <c r="W391" s="306"/>
    </row>
    <row r="392" spans="1:23" ht="20.399999999999999" x14ac:dyDescent="0.25">
      <c r="A392" s="179" t="s">
        <v>16237</v>
      </c>
      <c r="B392" s="333" t="s">
        <v>20222</v>
      </c>
      <c r="C392" s="334"/>
      <c r="D392" s="335" t="s">
        <v>1</v>
      </c>
      <c r="E392" s="249">
        <f t="shared" si="217"/>
        <v>18.5</v>
      </c>
      <c r="F392" s="341">
        <f>18.5/18.97</f>
        <v>0.97522403795466528</v>
      </c>
      <c r="G392" s="258">
        <f t="shared" si="218"/>
        <v>0.97522403795466528</v>
      </c>
      <c r="H392" s="249">
        <f t="shared" si="219"/>
        <v>0.15</v>
      </c>
      <c r="I392" s="336">
        <f>0.15/18.97</f>
        <v>7.9072219293621505E-3</v>
      </c>
      <c r="J392" s="258">
        <f t="shared" si="220"/>
        <v>7.9072219293621505E-3</v>
      </c>
      <c r="K392" s="249">
        <f t="shared" si="221"/>
        <v>0.27</v>
      </c>
      <c r="L392" s="336">
        <f>0.27/18.97</f>
        <v>1.4232999472851874E-2</v>
      </c>
      <c r="M392" s="258">
        <f t="shared" si="222"/>
        <v>1.4232999472851874E-2</v>
      </c>
      <c r="N392" s="251">
        <f t="shared" si="223"/>
        <v>0.05</v>
      </c>
      <c r="O392" s="336">
        <f>0.05/18.97</f>
        <v>2.6357406431207174E-3</v>
      </c>
      <c r="P392" s="258">
        <f t="shared" si="224"/>
        <v>2.6357406431207174E-3</v>
      </c>
      <c r="Q392" s="337"/>
      <c r="R392" s="249">
        <v>18.97</v>
      </c>
      <c r="S392" s="338">
        <v>0.2</v>
      </c>
      <c r="T392" s="338"/>
      <c r="U392" s="315">
        <f t="shared" si="226"/>
        <v>22.763999999999999</v>
      </c>
      <c r="V392" s="315">
        <f t="shared" si="227"/>
        <v>23</v>
      </c>
      <c r="W392" s="316">
        <f t="shared" si="216"/>
        <v>0</v>
      </c>
    </row>
    <row r="393" spans="1:23" ht="20.399999999999999" x14ac:dyDescent="0.25">
      <c r="A393" s="179" t="s">
        <v>16238</v>
      </c>
      <c r="B393" s="333" t="s">
        <v>20223</v>
      </c>
      <c r="C393" s="334"/>
      <c r="D393" s="335" t="s">
        <v>1</v>
      </c>
      <c r="E393" s="249">
        <f t="shared" si="217"/>
        <v>27.33</v>
      </c>
      <c r="F393" s="336">
        <f>27.33/27.92</f>
        <v>0.97886819484240672</v>
      </c>
      <c r="G393" s="258">
        <f t="shared" si="218"/>
        <v>0.97886819484240672</v>
      </c>
      <c r="H393" s="249">
        <f t="shared" si="219"/>
        <v>0.15</v>
      </c>
      <c r="I393" s="336">
        <f>0.15/27.92</f>
        <v>5.3724928366762174E-3</v>
      </c>
      <c r="J393" s="258">
        <f t="shared" si="220"/>
        <v>5.3724928366762174E-3</v>
      </c>
      <c r="K393" s="249">
        <f t="shared" si="221"/>
        <v>0.39</v>
      </c>
      <c r="L393" s="336">
        <f>0.39/27.92</f>
        <v>1.3968481375358166E-2</v>
      </c>
      <c r="M393" s="258">
        <f t="shared" si="222"/>
        <v>1.3968481375358166E-2</v>
      </c>
      <c r="N393" s="251">
        <f t="shared" si="223"/>
        <v>0.05</v>
      </c>
      <c r="O393" s="336">
        <f>0.05/27.92</f>
        <v>1.7908309455587391E-3</v>
      </c>
      <c r="P393" s="258">
        <f t="shared" si="224"/>
        <v>1.7908309455587391E-3</v>
      </c>
      <c r="Q393" s="337"/>
      <c r="R393" s="249">
        <v>27.92</v>
      </c>
      <c r="S393" s="338">
        <v>0.2</v>
      </c>
      <c r="T393" s="338"/>
      <c r="U393" s="315">
        <f t="shared" si="226"/>
        <v>33.504000000000005</v>
      </c>
      <c r="V393" s="315">
        <f t="shared" si="227"/>
        <v>34</v>
      </c>
      <c r="W393" s="316">
        <f t="shared" si="216"/>
        <v>0</v>
      </c>
    </row>
    <row r="394" spans="1:23" ht="30.6" x14ac:dyDescent="0.25">
      <c r="A394" s="179" t="s">
        <v>16239</v>
      </c>
      <c r="B394" s="342" t="s">
        <v>20224</v>
      </c>
      <c r="C394" s="334"/>
      <c r="D394" s="335" t="s">
        <v>1</v>
      </c>
      <c r="E394" s="249">
        <f t="shared" si="217"/>
        <v>34.5</v>
      </c>
      <c r="F394" s="336">
        <f>34.5/38.21</f>
        <v>0.90290499869144203</v>
      </c>
      <c r="G394" s="258">
        <f t="shared" si="218"/>
        <v>0.90290499869144203</v>
      </c>
      <c r="H394" s="249">
        <f t="shared" si="219"/>
        <v>0.11</v>
      </c>
      <c r="I394" s="336">
        <f>0.11/38.21</f>
        <v>2.8788275320596702E-3</v>
      </c>
      <c r="J394" s="258">
        <f t="shared" si="220"/>
        <v>2.8788275320596702E-3</v>
      </c>
      <c r="K394" s="249">
        <f t="shared" si="221"/>
        <v>3.55</v>
      </c>
      <c r="L394" s="336">
        <f>3.55/38.21</f>
        <v>9.2907615807380259E-2</v>
      </c>
      <c r="M394" s="258">
        <f t="shared" si="222"/>
        <v>9.2907615807380259E-2</v>
      </c>
      <c r="N394" s="251">
        <f t="shared" si="223"/>
        <v>0.05</v>
      </c>
      <c r="O394" s="336">
        <f>0.05/38.21</f>
        <v>1.308557969118032E-3</v>
      </c>
      <c r="P394" s="258">
        <f t="shared" si="224"/>
        <v>1.308557969118032E-3</v>
      </c>
      <c r="Q394" s="337"/>
      <c r="R394" s="249">
        <v>38.21</v>
      </c>
      <c r="S394" s="338">
        <v>0.2</v>
      </c>
      <c r="T394" s="338"/>
      <c r="U394" s="315">
        <f t="shared" si="226"/>
        <v>45.852000000000004</v>
      </c>
      <c r="V394" s="315">
        <f t="shared" si="227"/>
        <v>46</v>
      </c>
      <c r="W394" s="316">
        <f t="shared" si="216"/>
        <v>0</v>
      </c>
    </row>
    <row r="395" spans="1:23" ht="20.399999999999999" x14ac:dyDescent="0.25">
      <c r="A395" s="179" t="s">
        <v>16240</v>
      </c>
      <c r="B395" s="333" t="s">
        <v>20225</v>
      </c>
      <c r="C395" s="334"/>
      <c r="D395" s="335" t="s">
        <v>1</v>
      </c>
      <c r="E395" s="249">
        <f t="shared" si="217"/>
        <v>43.21</v>
      </c>
      <c r="F395" s="336">
        <f>43.21/47.92</f>
        <v>0.90171118530884808</v>
      </c>
      <c r="G395" s="258">
        <f t="shared" si="218"/>
        <v>0.90171118530884808</v>
      </c>
      <c r="H395" s="249">
        <f t="shared" si="219"/>
        <v>0.11</v>
      </c>
      <c r="I395" s="336">
        <f>0.11/47.92</f>
        <v>2.2954924874791318E-3</v>
      </c>
      <c r="J395" s="258">
        <f t="shared" si="220"/>
        <v>2.2954924874791318E-3</v>
      </c>
      <c r="K395" s="249">
        <f t="shared" si="221"/>
        <v>4.55</v>
      </c>
      <c r="L395" s="336">
        <f>4.55/47.92</f>
        <v>9.4949916527545905E-2</v>
      </c>
      <c r="M395" s="258">
        <f t="shared" si="222"/>
        <v>9.4949916527545905E-2</v>
      </c>
      <c r="N395" s="251">
        <f t="shared" si="223"/>
        <v>0.05</v>
      </c>
      <c r="O395" s="336">
        <f>0.05/47.92</f>
        <v>1.0434056761268781E-3</v>
      </c>
      <c r="P395" s="258">
        <f t="shared" si="224"/>
        <v>1.0434056761268781E-3</v>
      </c>
      <c r="Q395" s="337"/>
      <c r="R395" s="249">
        <v>47.92</v>
      </c>
      <c r="S395" s="338">
        <v>0.2</v>
      </c>
      <c r="T395" s="338"/>
      <c r="U395" s="315">
        <f t="shared" si="226"/>
        <v>57.504000000000005</v>
      </c>
      <c r="V395" s="315">
        <f t="shared" si="227"/>
        <v>58</v>
      </c>
      <c r="W395" s="316">
        <f t="shared" si="216"/>
        <v>0</v>
      </c>
    </row>
    <row r="396" spans="1:23" ht="20.399999999999999" x14ac:dyDescent="0.25">
      <c r="A396" s="179" t="s">
        <v>16241</v>
      </c>
      <c r="B396" s="342" t="s">
        <v>20226</v>
      </c>
      <c r="C396" s="334"/>
      <c r="D396" s="335" t="s">
        <v>11</v>
      </c>
      <c r="E396" s="249">
        <f t="shared" si="217"/>
        <v>202.42</v>
      </c>
      <c r="F396" s="336">
        <f>202.42/212.92</f>
        <v>0.95068570355062931</v>
      </c>
      <c r="G396" s="258">
        <f t="shared" si="218"/>
        <v>0.95068570355062931</v>
      </c>
      <c r="H396" s="249">
        <f t="shared" si="219"/>
        <v>7.1499999999999995</v>
      </c>
      <c r="I396" s="336">
        <f>7.15/212.92</f>
        <v>3.3580687582190495E-2</v>
      </c>
      <c r="J396" s="258">
        <f t="shared" si="220"/>
        <v>3.3580687582190495E-2</v>
      </c>
      <c r="K396" s="249">
        <f t="shared" si="221"/>
        <v>2.25</v>
      </c>
      <c r="L396" s="336">
        <f>2.25/212.92</f>
        <v>1.0567349239150856E-2</v>
      </c>
      <c r="M396" s="258">
        <f t="shared" si="222"/>
        <v>1.0567349239150856E-2</v>
      </c>
      <c r="N396" s="251">
        <f t="shared" si="223"/>
        <v>1.1000000000000001</v>
      </c>
      <c r="O396" s="336">
        <f>1.1/212.92</f>
        <v>5.1662596280293077E-3</v>
      </c>
      <c r="P396" s="258">
        <f t="shared" si="224"/>
        <v>5.1662596280293077E-3</v>
      </c>
      <c r="Q396" s="337"/>
      <c r="R396" s="249">
        <v>212.92</v>
      </c>
      <c r="S396" s="338">
        <v>0.2</v>
      </c>
      <c r="T396" s="338"/>
      <c r="U396" s="315">
        <f t="shared" si="226"/>
        <v>255.50399999999999</v>
      </c>
      <c r="V396" s="315">
        <f t="shared" si="227"/>
        <v>260</v>
      </c>
      <c r="W396" s="316">
        <f t="shared" si="216"/>
        <v>0</v>
      </c>
    </row>
    <row r="397" spans="1:23" ht="20.399999999999999" x14ac:dyDescent="0.25">
      <c r="A397" s="179" t="s">
        <v>16242</v>
      </c>
      <c r="B397" s="342" t="s">
        <v>20227</v>
      </c>
      <c r="C397" s="334"/>
      <c r="D397" s="335" t="s">
        <v>11</v>
      </c>
      <c r="E397" s="249">
        <f t="shared" si="217"/>
        <v>324.2</v>
      </c>
      <c r="F397" s="336">
        <f>324.2/335.1</f>
        <v>0.9674723962996119</v>
      </c>
      <c r="G397" s="258">
        <f t="shared" si="218"/>
        <v>0.9674723962996119</v>
      </c>
      <c r="H397" s="249">
        <f t="shared" si="219"/>
        <v>7.15</v>
      </c>
      <c r="I397" s="336">
        <f>7.15/335.1</f>
        <v>2.1336914353924201E-2</v>
      </c>
      <c r="J397" s="258">
        <f t="shared" si="220"/>
        <v>2.1336914353924201E-2</v>
      </c>
      <c r="K397" s="249">
        <f t="shared" si="221"/>
        <v>2.5</v>
      </c>
      <c r="L397" s="336">
        <f>2.5/335.1</f>
        <v>7.460459564309161E-3</v>
      </c>
      <c r="M397" s="258">
        <f t="shared" si="222"/>
        <v>7.460459564309161E-3</v>
      </c>
      <c r="N397" s="251">
        <f t="shared" si="223"/>
        <v>1.25</v>
      </c>
      <c r="O397" s="336">
        <f>1.25/335.1</f>
        <v>3.7302297821545805E-3</v>
      </c>
      <c r="P397" s="258">
        <f t="shared" si="224"/>
        <v>3.7302297821545805E-3</v>
      </c>
      <c r="Q397" s="337"/>
      <c r="R397" s="249">
        <v>335.1</v>
      </c>
      <c r="S397" s="338">
        <v>0.2</v>
      </c>
      <c r="T397" s="338"/>
      <c r="U397" s="315">
        <f t="shared" si="226"/>
        <v>402.12</v>
      </c>
      <c r="V397" s="315">
        <f>IF(U397=0, 0, IF(U397&lt;10, _xlfn.CEILING.MATH(U397,1), IF(U397&lt;100, _xlfn.CEILING.MATH(U397,1),IF(U397&lt;1000, _xlfn.CEILING.MATH(U397,1), IF(U397&lt;10000, _xlfn.CEILING.MATH(U397, 25), IF(U397&lt;100000, _xlfn.CEILING.MATH(U397,250), IF(U397&lt;1000000, _xlfn.CEILING.MATH(U397,500), 0)))))))</f>
        <v>403</v>
      </c>
      <c r="W397" s="316">
        <f t="shared" si="216"/>
        <v>0</v>
      </c>
    </row>
    <row r="398" spans="1:23" x14ac:dyDescent="0.25">
      <c r="A398" s="200" t="s">
        <v>14973</v>
      </c>
      <c r="B398" s="313" t="s">
        <v>14974</v>
      </c>
      <c r="C398" s="248"/>
      <c r="D398" s="247" t="s">
        <v>14975</v>
      </c>
      <c r="E398" s="249">
        <f t="shared" si="217"/>
        <v>32.649207253162501</v>
      </c>
      <c r="F398" s="258">
        <v>0.65</v>
      </c>
      <c r="G398" s="258">
        <f t="shared" si="218"/>
        <v>0.65</v>
      </c>
      <c r="H398" s="249">
        <f t="shared" si="219"/>
        <v>12.557387405062501</v>
      </c>
      <c r="I398" s="258">
        <v>0.25</v>
      </c>
      <c r="J398" s="258">
        <f t="shared" si="220"/>
        <v>0.25</v>
      </c>
      <c r="K398" s="249">
        <f t="shared" si="221"/>
        <v>3.7672162215187504</v>
      </c>
      <c r="L398" s="258">
        <v>7.4999999999999997E-2</v>
      </c>
      <c r="M398" s="258">
        <f t="shared" si="222"/>
        <v>7.4999999999999997E-2</v>
      </c>
      <c r="N398" s="251">
        <f t="shared" si="223"/>
        <v>1.2557387405062501</v>
      </c>
      <c r="O398" s="314">
        <v>2.5000000000000001E-2</v>
      </c>
      <c r="P398" s="258">
        <f t="shared" si="224"/>
        <v>2.5000000000000001E-2</v>
      </c>
      <c r="Q398" s="249">
        <v>49.159109999999998</v>
      </c>
      <c r="R398" s="249">
        <f t="shared" si="225"/>
        <v>50.229549620250005</v>
      </c>
      <c r="S398" s="258">
        <v>0.1</v>
      </c>
      <c r="T398" s="169">
        <f>Q398+Q398*S398+0.02</f>
        <v>54.095021000000003</v>
      </c>
      <c r="U398" s="315">
        <f t="shared" si="226"/>
        <v>55.252504582275009</v>
      </c>
      <c r="V398" s="315">
        <f t="shared" si="227"/>
        <v>56</v>
      </c>
      <c r="W398" s="316">
        <f t="shared" si="216"/>
        <v>0</v>
      </c>
    </row>
    <row r="399" spans="1:23" x14ac:dyDescent="0.25">
      <c r="A399" s="200" t="s">
        <v>14976</v>
      </c>
      <c r="B399" s="313" t="s">
        <v>14977</v>
      </c>
      <c r="C399" s="248"/>
      <c r="D399" s="247" t="s">
        <v>14975</v>
      </c>
      <c r="E399" s="249">
        <f t="shared" si="217"/>
        <v>44.219061126581252</v>
      </c>
      <c r="F399" s="258">
        <v>0.65</v>
      </c>
      <c r="G399" s="258">
        <f t="shared" si="218"/>
        <v>0.65</v>
      </c>
      <c r="H399" s="249">
        <f t="shared" si="219"/>
        <v>17.007331202531251</v>
      </c>
      <c r="I399" s="258">
        <v>0.25</v>
      </c>
      <c r="J399" s="258">
        <f t="shared" si="220"/>
        <v>0.25</v>
      </c>
      <c r="K399" s="249">
        <f t="shared" si="221"/>
        <v>5.102199360759375</v>
      </c>
      <c r="L399" s="258">
        <v>7.4999999999999997E-2</v>
      </c>
      <c r="M399" s="258">
        <f t="shared" si="222"/>
        <v>7.4999999999999997E-2</v>
      </c>
      <c r="N399" s="251">
        <f t="shared" si="223"/>
        <v>1.7007331202531253</v>
      </c>
      <c r="O399" s="314">
        <v>2.5000000000000001E-2</v>
      </c>
      <c r="P399" s="258">
        <f t="shared" si="224"/>
        <v>2.5000000000000001E-2</v>
      </c>
      <c r="Q399" s="249">
        <v>66.579554999999999</v>
      </c>
      <c r="R399" s="249">
        <f t="shared" si="225"/>
        <v>68.029324810125004</v>
      </c>
      <c r="S399" s="258">
        <v>0.1</v>
      </c>
      <c r="T399" s="169">
        <f>Q399+Q399*S399+0.06</f>
        <v>73.297510500000001</v>
      </c>
      <c r="U399" s="315">
        <f t="shared" si="226"/>
        <v>74.832257291137509</v>
      </c>
      <c r="V399" s="315">
        <f t="shared" si="227"/>
        <v>75</v>
      </c>
      <c r="W399" s="316">
        <f t="shared" si="216"/>
        <v>0</v>
      </c>
    </row>
    <row r="400" spans="1:23" x14ac:dyDescent="0.25">
      <c r="A400" s="200" t="s">
        <v>14976</v>
      </c>
      <c r="B400" s="313" t="s">
        <v>20228</v>
      </c>
      <c r="C400" s="248"/>
      <c r="D400" s="247" t="s">
        <v>14978</v>
      </c>
      <c r="E400" s="249">
        <f t="shared" si="217"/>
        <v>7.1637848390062517</v>
      </c>
      <c r="F400" s="258">
        <v>0.65</v>
      </c>
      <c r="G400" s="258">
        <f t="shared" si="218"/>
        <v>0.65</v>
      </c>
      <c r="H400" s="249">
        <f t="shared" si="219"/>
        <v>2.7553018611562505</v>
      </c>
      <c r="I400" s="258">
        <v>0.25</v>
      </c>
      <c r="J400" s="258">
        <f t="shared" si="220"/>
        <v>0.25</v>
      </c>
      <c r="K400" s="249">
        <f t="shared" si="221"/>
        <v>0.82659055834687511</v>
      </c>
      <c r="L400" s="258">
        <v>7.4999999999999997E-2</v>
      </c>
      <c r="M400" s="258">
        <f t="shared" si="222"/>
        <v>7.4999999999999997E-2</v>
      </c>
      <c r="N400" s="251">
        <f t="shared" si="223"/>
        <v>0.27553018611562508</v>
      </c>
      <c r="O400" s="314">
        <v>2.5000000000000001E-2</v>
      </c>
      <c r="P400" s="258">
        <f t="shared" si="224"/>
        <v>2.5000000000000001E-2</v>
      </c>
      <c r="Q400" s="249">
        <v>10.786335000000001</v>
      </c>
      <c r="R400" s="249">
        <f t="shared" si="225"/>
        <v>11.021207444625002</v>
      </c>
      <c r="S400" s="258">
        <v>0.1</v>
      </c>
      <c r="T400" s="169">
        <f>Q400+Q400*S400+0.04</f>
        <v>11.904968500000001</v>
      </c>
      <c r="U400" s="315">
        <f t="shared" si="226"/>
        <v>12.123328189087502</v>
      </c>
      <c r="V400" s="315">
        <f t="shared" si="227"/>
        <v>13</v>
      </c>
      <c r="W400" s="316">
        <f t="shared" si="216"/>
        <v>0</v>
      </c>
    </row>
    <row r="401" spans="1:23" x14ac:dyDescent="0.25">
      <c r="A401" s="200" t="s">
        <v>14979</v>
      </c>
      <c r="B401" s="313" t="s">
        <v>14980</v>
      </c>
      <c r="C401" s="248"/>
      <c r="D401" s="247" t="s">
        <v>11</v>
      </c>
      <c r="E401" s="249">
        <f t="shared" si="217"/>
        <v>5.8060320412499991</v>
      </c>
      <c r="F401" s="258">
        <v>0.56999999999999995</v>
      </c>
      <c r="G401" s="258">
        <f t="shared" si="218"/>
        <v>0.56999999999999995</v>
      </c>
      <c r="H401" s="249">
        <f t="shared" si="219"/>
        <v>3.5651073937499995</v>
      </c>
      <c r="I401" s="258">
        <v>0.35</v>
      </c>
      <c r="J401" s="258">
        <f t="shared" si="220"/>
        <v>0.35</v>
      </c>
      <c r="K401" s="249">
        <f t="shared" si="221"/>
        <v>0.56023116187499999</v>
      </c>
      <c r="L401" s="258">
        <v>5.5E-2</v>
      </c>
      <c r="M401" s="258">
        <f t="shared" si="222"/>
        <v>5.5E-2</v>
      </c>
      <c r="N401" s="251">
        <f t="shared" si="223"/>
        <v>0.254650528125</v>
      </c>
      <c r="O401" s="314">
        <v>2.5000000000000001E-2</v>
      </c>
      <c r="P401" s="258">
        <f t="shared" si="224"/>
        <v>2.5000000000000001E-2</v>
      </c>
      <c r="Q401" s="249">
        <v>9.9749999999999996</v>
      </c>
      <c r="R401" s="249">
        <f t="shared" si="225"/>
        <v>10.186021125</v>
      </c>
      <c r="S401" s="258">
        <v>0.1</v>
      </c>
      <c r="T401" s="169">
        <f>Q401+Q401*S401+0.03</f>
        <v>11.0025</v>
      </c>
      <c r="U401" s="315">
        <f t="shared" si="226"/>
        <v>11.2046232375</v>
      </c>
      <c r="V401" s="315">
        <f t="shared" si="227"/>
        <v>12</v>
      </c>
      <c r="W401" s="316">
        <f t="shared" si="216"/>
        <v>0</v>
      </c>
    </row>
    <row r="402" spans="1:23" ht="14.4" thickBot="1" x14ac:dyDescent="0.3">
      <c r="A402" s="263" t="s">
        <v>14981</v>
      </c>
      <c r="B402" s="321" t="s">
        <v>20229</v>
      </c>
      <c r="C402" s="265"/>
      <c r="D402" s="264" t="s">
        <v>14915</v>
      </c>
      <c r="E402" s="266">
        <f t="shared" si="217"/>
        <v>1.02323655</v>
      </c>
      <c r="F402" s="322">
        <v>0.6</v>
      </c>
      <c r="G402" s="322">
        <f t="shared" si="218"/>
        <v>0.6</v>
      </c>
      <c r="H402" s="266">
        <f t="shared" si="219"/>
        <v>0.42634856250000003</v>
      </c>
      <c r="I402" s="322">
        <v>0.25</v>
      </c>
      <c r="J402" s="322">
        <f t="shared" si="220"/>
        <v>0.25</v>
      </c>
      <c r="K402" s="266">
        <f t="shared" si="221"/>
        <v>0.17053942500000002</v>
      </c>
      <c r="L402" s="322">
        <v>0.1</v>
      </c>
      <c r="M402" s="322">
        <f t="shared" si="222"/>
        <v>0.1</v>
      </c>
      <c r="N402" s="270">
        <f t="shared" si="223"/>
        <v>8.5269712500000011E-2</v>
      </c>
      <c r="O402" s="323">
        <v>0.05</v>
      </c>
      <c r="P402" s="322">
        <f t="shared" si="224"/>
        <v>0.05</v>
      </c>
      <c r="Q402" s="266">
        <v>1.6695000000000002</v>
      </c>
      <c r="R402" s="266">
        <f t="shared" si="225"/>
        <v>1.7053942500000001</v>
      </c>
      <c r="S402" s="322">
        <v>0.1</v>
      </c>
      <c r="T402" s="291">
        <f>Q402+Q402*S402+0.06</f>
        <v>1.8964500000000002</v>
      </c>
      <c r="U402" s="324">
        <f t="shared" si="226"/>
        <v>1.8759336750000002</v>
      </c>
      <c r="V402" s="324">
        <f t="shared" si="227"/>
        <v>2</v>
      </c>
      <c r="W402" s="325">
        <f t="shared" si="216"/>
        <v>0</v>
      </c>
    </row>
    <row r="403" spans="1:23" x14ac:dyDescent="0.25">
      <c r="A403" s="200" t="s">
        <v>14982</v>
      </c>
      <c r="B403" s="313" t="s">
        <v>14983</v>
      </c>
      <c r="C403" s="248"/>
      <c r="D403" s="247" t="s">
        <v>14915</v>
      </c>
      <c r="E403" s="249">
        <f t="shared" si="217"/>
        <v>1.3163712975000001</v>
      </c>
      <c r="F403" s="258">
        <v>0.6</v>
      </c>
      <c r="G403" s="258">
        <f t="shared" si="218"/>
        <v>0.6</v>
      </c>
      <c r="H403" s="249">
        <f t="shared" si="219"/>
        <v>0.54848804062500012</v>
      </c>
      <c r="I403" s="258">
        <v>0.25</v>
      </c>
      <c r="J403" s="258">
        <f t="shared" si="220"/>
        <v>0.25</v>
      </c>
      <c r="K403" s="249">
        <f t="shared" si="221"/>
        <v>0.21939521625000005</v>
      </c>
      <c r="L403" s="258">
        <v>0.1</v>
      </c>
      <c r="M403" s="258">
        <f t="shared" si="222"/>
        <v>0.1</v>
      </c>
      <c r="N403" s="251">
        <f t="shared" si="223"/>
        <v>0.10969760812500003</v>
      </c>
      <c r="O403" s="314">
        <v>0.05</v>
      </c>
      <c r="P403" s="258">
        <f t="shared" si="224"/>
        <v>0.05</v>
      </c>
      <c r="Q403" s="249">
        <v>2.1477750000000002</v>
      </c>
      <c r="R403" s="249">
        <f t="shared" si="225"/>
        <v>2.1939521625000005</v>
      </c>
      <c r="S403" s="258">
        <v>0.1</v>
      </c>
      <c r="T403" s="169">
        <f>Q403+Q403*S403+0.04</f>
        <v>2.4025525000000001</v>
      </c>
      <c r="U403" s="315">
        <f t="shared" si="226"/>
        <v>2.4133473787500006</v>
      </c>
      <c r="V403" s="315">
        <f t="shared" si="227"/>
        <v>3</v>
      </c>
      <c r="W403" s="316">
        <f t="shared" si="216"/>
        <v>0</v>
      </c>
    </row>
    <row r="404" spans="1:23" x14ac:dyDescent="0.25">
      <c r="A404" s="200" t="s">
        <v>14984</v>
      </c>
      <c r="B404" s="313" t="s">
        <v>14985</v>
      </c>
      <c r="C404" s="248"/>
      <c r="D404" s="247" t="s">
        <v>1</v>
      </c>
      <c r="E404" s="249">
        <f t="shared" si="217"/>
        <v>0.80388000000000015</v>
      </c>
      <c r="F404" s="258">
        <v>0.75</v>
      </c>
      <c r="G404" s="258">
        <f t="shared" si="218"/>
        <v>0.75</v>
      </c>
      <c r="H404" s="249">
        <f t="shared" si="219"/>
        <v>5.3592000000000008E-2</v>
      </c>
      <c r="I404" s="258">
        <v>0.05</v>
      </c>
      <c r="J404" s="258">
        <f t="shared" si="220"/>
        <v>0.05</v>
      </c>
      <c r="K404" s="249">
        <f t="shared" si="221"/>
        <v>0</v>
      </c>
      <c r="L404" s="314"/>
      <c r="M404" s="258">
        <f t="shared" si="222"/>
        <v>0</v>
      </c>
      <c r="N404" s="251">
        <f t="shared" si="223"/>
        <v>0.21436800000000003</v>
      </c>
      <c r="O404" s="314">
        <v>0.2</v>
      </c>
      <c r="P404" s="258">
        <f t="shared" si="224"/>
        <v>0.2</v>
      </c>
      <c r="Q404" s="249">
        <v>1.05</v>
      </c>
      <c r="R404" s="249">
        <f t="shared" si="225"/>
        <v>1.0718400000000001</v>
      </c>
      <c r="S404" s="258">
        <v>0.1</v>
      </c>
      <c r="T404" s="169">
        <f>Q404+Q404*S404+0.04</f>
        <v>1.1950000000000001</v>
      </c>
      <c r="U404" s="315">
        <f t="shared" si="226"/>
        <v>1.1790240000000001</v>
      </c>
      <c r="V404" s="315">
        <f t="shared" si="227"/>
        <v>2</v>
      </c>
      <c r="W404" s="316">
        <f t="shared" si="216"/>
        <v>0</v>
      </c>
    </row>
    <row r="405" spans="1:23" x14ac:dyDescent="0.25">
      <c r="A405" s="200" t="s">
        <v>14986</v>
      </c>
      <c r="B405" s="313" t="s">
        <v>14987</v>
      </c>
      <c r="C405" s="248"/>
      <c r="D405" s="247" t="s">
        <v>1</v>
      </c>
      <c r="E405" s="249">
        <f t="shared" si="217"/>
        <v>6.5653630003500005</v>
      </c>
      <c r="F405" s="258">
        <v>0.55000000000000004</v>
      </c>
      <c r="G405" s="258">
        <f t="shared" si="218"/>
        <v>0.55000000000000004</v>
      </c>
      <c r="H405" s="249">
        <f t="shared" si="219"/>
        <v>4.1779582729499998</v>
      </c>
      <c r="I405" s="258">
        <v>0.35</v>
      </c>
      <c r="J405" s="258">
        <f t="shared" si="220"/>
        <v>0.35</v>
      </c>
      <c r="K405" s="249">
        <f t="shared" si="221"/>
        <v>0.59685118184999997</v>
      </c>
      <c r="L405" s="258">
        <v>0.05</v>
      </c>
      <c r="M405" s="258">
        <f t="shared" si="222"/>
        <v>0.05</v>
      </c>
      <c r="N405" s="251">
        <f t="shared" si="223"/>
        <v>0.59685118184999997</v>
      </c>
      <c r="O405" s="314">
        <v>0.05</v>
      </c>
      <c r="P405" s="258">
        <f t="shared" si="224"/>
        <v>0.05</v>
      </c>
      <c r="Q405" s="249">
        <v>11.69322</v>
      </c>
      <c r="R405" s="249">
        <f t="shared" si="225"/>
        <v>11.937023636999999</v>
      </c>
      <c r="S405" s="258">
        <v>0.1</v>
      </c>
      <c r="T405" s="169">
        <f>Q405+Q405*S405+0.04</f>
        <v>12.902541999999999</v>
      </c>
      <c r="U405" s="315">
        <f t="shared" si="226"/>
        <v>13.130726000699999</v>
      </c>
      <c r="V405" s="315">
        <f t="shared" si="227"/>
        <v>14</v>
      </c>
      <c r="W405" s="316">
        <f t="shared" si="216"/>
        <v>0</v>
      </c>
    </row>
    <row r="406" spans="1:23" ht="21" x14ac:dyDescent="0.25">
      <c r="A406" s="200" t="s">
        <v>14988</v>
      </c>
      <c r="B406" s="255" t="s">
        <v>20230</v>
      </c>
      <c r="C406" s="248"/>
      <c r="D406" s="247" t="s">
        <v>2</v>
      </c>
      <c r="E406" s="249">
        <f t="shared" si="217"/>
        <v>27.476657138700006</v>
      </c>
      <c r="F406" s="258">
        <v>0.55000000000000004</v>
      </c>
      <c r="G406" s="258">
        <f t="shared" si="218"/>
        <v>0.55000000000000004</v>
      </c>
      <c r="H406" s="249">
        <f t="shared" si="219"/>
        <v>14.9872675302</v>
      </c>
      <c r="I406" s="258">
        <v>0.3</v>
      </c>
      <c r="J406" s="258">
        <f t="shared" si="220"/>
        <v>0.3</v>
      </c>
      <c r="K406" s="249">
        <f t="shared" si="221"/>
        <v>4.9957558434000013</v>
      </c>
      <c r="L406" s="258">
        <v>0.1</v>
      </c>
      <c r="M406" s="258">
        <f t="shared" si="222"/>
        <v>0.1</v>
      </c>
      <c r="N406" s="251">
        <f t="shared" si="223"/>
        <v>2.4978779217000007</v>
      </c>
      <c r="O406" s="314">
        <v>0.05</v>
      </c>
      <c r="P406" s="258">
        <f t="shared" si="224"/>
        <v>0.05</v>
      </c>
      <c r="Q406" s="249">
        <v>48.920445000000001</v>
      </c>
      <c r="R406" s="249">
        <f t="shared" si="225"/>
        <v>49.957558434000006</v>
      </c>
      <c r="S406" s="258">
        <v>0.1</v>
      </c>
      <c r="T406" s="169">
        <f>Q406+Q406*S406-0.01</f>
        <v>53.8024895</v>
      </c>
      <c r="U406" s="315">
        <f t="shared" si="226"/>
        <v>54.953314277400011</v>
      </c>
      <c r="V406" s="315">
        <f t="shared" si="227"/>
        <v>55</v>
      </c>
      <c r="W406" s="316">
        <f t="shared" si="216"/>
        <v>0</v>
      </c>
    </row>
    <row r="407" spans="1:23" ht="21" x14ac:dyDescent="0.25">
      <c r="A407" s="200" t="s">
        <v>14989</v>
      </c>
      <c r="B407" s="255" t="s">
        <v>20231</v>
      </c>
      <c r="C407" s="248"/>
      <c r="D407" s="247" t="s">
        <v>2</v>
      </c>
      <c r="E407" s="249">
        <f t="shared" si="217"/>
        <v>20.330843332800004</v>
      </c>
      <c r="F407" s="258">
        <v>0.65</v>
      </c>
      <c r="G407" s="258">
        <f t="shared" si="218"/>
        <v>0.65</v>
      </c>
      <c r="H407" s="249">
        <f t="shared" si="219"/>
        <v>7.8195551280000011</v>
      </c>
      <c r="I407" s="258">
        <v>0.25</v>
      </c>
      <c r="J407" s="258">
        <f t="shared" si="220"/>
        <v>0.25</v>
      </c>
      <c r="K407" s="249">
        <f t="shared" si="221"/>
        <v>0</v>
      </c>
      <c r="L407" s="314"/>
      <c r="M407" s="258">
        <f t="shared" si="222"/>
        <v>0</v>
      </c>
      <c r="N407" s="251">
        <f t="shared" si="223"/>
        <v>3.1278220512000008</v>
      </c>
      <c r="O407" s="314">
        <v>0.1</v>
      </c>
      <c r="P407" s="258">
        <f t="shared" si="224"/>
        <v>0.1</v>
      </c>
      <c r="Q407" s="249">
        <v>30.640889999999999</v>
      </c>
      <c r="R407" s="249">
        <f t="shared" si="225"/>
        <v>31.278220512000004</v>
      </c>
      <c r="S407" s="258">
        <v>0.1</v>
      </c>
      <c r="T407" s="169">
        <f>Q407+Q407*S407</f>
        <v>33.704979000000002</v>
      </c>
      <c r="U407" s="315">
        <f t="shared" si="226"/>
        <v>34.406042563200003</v>
      </c>
      <c r="V407" s="315">
        <f t="shared" si="227"/>
        <v>35</v>
      </c>
      <c r="W407" s="316">
        <f t="shared" si="216"/>
        <v>0</v>
      </c>
    </row>
    <row r="408" spans="1:23" x14ac:dyDescent="0.25">
      <c r="A408" s="200" t="s">
        <v>14990</v>
      </c>
      <c r="B408" s="313" t="s">
        <v>16243</v>
      </c>
      <c r="C408" s="248"/>
      <c r="D408" s="247" t="s">
        <v>1</v>
      </c>
      <c r="E408" s="249">
        <f t="shared" si="217"/>
        <v>0.20791218577500001</v>
      </c>
      <c r="F408" s="258">
        <v>0.22500000000000001</v>
      </c>
      <c r="G408" s="258">
        <f t="shared" si="218"/>
        <v>0.22500000000000001</v>
      </c>
      <c r="H408" s="249">
        <f t="shared" si="219"/>
        <v>0.6468379112999999</v>
      </c>
      <c r="I408" s="258">
        <v>0.7</v>
      </c>
      <c r="J408" s="258">
        <f t="shared" si="220"/>
        <v>0.7</v>
      </c>
      <c r="K408" s="249">
        <f t="shared" si="221"/>
        <v>4.6202707950000005E-2</v>
      </c>
      <c r="L408" s="258">
        <v>0.05</v>
      </c>
      <c r="M408" s="258">
        <f t="shared" si="222"/>
        <v>0.05</v>
      </c>
      <c r="N408" s="251">
        <f t="shared" si="223"/>
        <v>2.3101353975000002E-2</v>
      </c>
      <c r="O408" s="258">
        <v>2.5000000000000001E-2</v>
      </c>
      <c r="P408" s="258">
        <f t="shared" si="224"/>
        <v>2.5000000000000001E-2</v>
      </c>
      <c r="Q408" s="249">
        <v>0.90678000000000003</v>
      </c>
      <c r="R408" s="249">
        <f t="shared" si="225"/>
        <v>0.92405415899999999</v>
      </c>
      <c r="S408" s="258">
        <v>0.1</v>
      </c>
      <c r="T408" s="169">
        <f>Q408+Q408*S408</f>
        <v>0.99745800000000007</v>
      </c>
      <c r="U408" s="315">
        <f t="shared" si="226"/>
        <v>1.0164595749000001</v>
      </c>
      <c r="V408" s="315">
        <f t="shared" si="227"/>
        <v>2</v>
      </c>
      <c r="W408" s="316">
        <f t="shared" si="216"/>
        <v>0</v>
      </c>
    </row>
    <row r="409" spans="1:23" x14ac:dyDescent="0.25">
      <c r="A409" s="200" t="s">
        <v>14991</v>
      </c>
      <c r="B409" s="313" t="s">
        <v>20232</v>
      </c>
      <c r="C409" s="248"/>
      <c r="D409" s="247" t="s">
        <v>2</v>
      </c>
      <c r="E409" s="249">
        <f t="shared" si="217"/>
        <v>2.6366280895500003</v>
      </c>
      <c r="F409" s="258">
        <v>0.47499999999999998</v>
      </c>
      <c r="G409" s="258">
        <f t="shared" si="218"/>
        <v>0.47499999999999998</v>
      </c>
      <c r="H409" s="249">
        <f t="shared" si="219"/>
        <v>2.7753979890000005</v>
      </c>
      <c r="I409" s="258">
        <v>0.5</v>
      </c>
      <c r="J409" s="258">
        <f t="shared" si="220"/>
        <v>0.5</v>
      </c>
      <c r="K409" s="249">
        <f t="shared" si="221"/>
        <v>0</v>
      </c>
      <c r="L409" s="314"/>
      <c r="M409" s="258">
        <f t="shared" si="222"/>
        <v>0</v>
      </c>
      <c r="N409" s="251">
        <f t="shared" si="223"/>
        <v>0.13876989945000004</v>
      </c>
      <c r="O409" s="258">
        <v>2.5000000000000001E-2</v>
      </c>
      <c r="P409" s="258">
        <f t="shared" si="224"/>
        <v>2.5000000000000001E-2</v>
      </c>
      <c r="Q409" s="249">
        <v>5.4408900000000004</v>
      </c>
      <c r="R409" s="249">
        <f t="shared" si="225"/>
        <v>5.5507959780000009</v>
      </c>
      <c r="S409" s="258">
        <v>0.1</v>
      </c>
      <c r="T409" s="169">
        <f>Q409+Q409*S409+0.02</f>
        <v>6.0049790000000005</v>
      </c>
      <c r="U409" s="315">
        <f t="shared" si="226"/>
        <v>6.1058755758000007</v>
      </c>
      <c r="V409" s="315">
        <f t="shared" si="227"/>
        <v>7</v>
      </c>
      <c r="W409" s="316">
        <f t="shared" si="216"/>
        <v>0</v>
      </c>
    </row>
    <row r="410" spans="1:23" x14ac:dyDescent="0.25">
      <c r="A410" s="200" t="s">
        <v>14992</v>
      </c>
      <c r="B410" s="313" t="s">
        <v>14993</v>
      </c>
      <c r="C410" s="248"/>
      <c r="D410" s="247" t="s">
        <v>2</v>
      </c>
      <c r="E410" s="249">
        <f t="shared" si="217"/>
        <v>4.7181792593249998</v>
      </c>
      <c r="F410" s="258">
        <v>0.47499999999999998</v>
      </c>
      <c r="G410" s="258">
        <f t="shared" si="218"/>
        <v>0.47499999999999998</v>
      </c>
      <c r="H410" s="249">
        <f t="shared" si="219"/>
        <v>4.9665044834999996</v>
      </c>
      <c r="I410" s="258">
        <v>0.5</v>
      </c>
      <c r="J410" s="258">
        <f t="shared" si="220"/>
        <v>0.5</v>
      </c>
      <c r="K410" s="249">
        <f t="shared" si="221"/>
        <v>0</v>
      </c>
      <c r="L410" s="314"/>
      <c r="M410" s="258">
        <f t="shared" si="222"/>
        <v>0</v>
      </c>
      <c r="N410" s="251">
        <f t="shared" si="223"/>
        <v>0.248325224175</v>
      </c>
      <c r="O410" s="258">
        <v>2.5000000000000001E-2</v>
      </c>
      <c r="P410" s="258">
        <f t="shared" si="224"/>
        <v>2.5000000000000001E-2</v>
      </c>
      <c r="Q410" s="249">
        <v>9.7363350000000004</v>
      </c>
      <c r="R410" s="249">
        <f t="shared" si="225"/>
        <v>9.9330089669999992</v>
      </c>
      <c r="S410" s="258">
        <v>0.1</v>
      </c>
      <c r="T410" s="169">
        <f>Q410+Q410*S410-0.01</f>
        <v>10.699968500000001</v>
      </c>
      <c r="U410" s="315">
        <f t="shared" si="226"/>
        <v>10.926309863699998</v>
      </c>
      <c r="V410" s="315">
        <f t="shared" si="227"/>
        <v>11</v>
      </c>
      <c r="W410" s="316">
        <f t="shared" si="216"/>
        <v>0</v>
      </c>
    </row>
    <row r="411" spans="1:23" x14ac:dyDescent="0.25">
      <c r="A411" s="195" t="s">
        <v>14994</v>
      </c>
      <c r="B411" s="317" t="s">
        <v>14995</v>
      </c>
      <c r="C411" s="318"/>
      <c r="D411" s="319"/>
      <c r="E411" s="319"/>
      <c r="F411" s="319"/>
      <c r="G411" s="319"/>
      <c r="H411" s="319"/>
      <c r="I411" s="319"/>
      <c r="J411" s="319"/>
      <c r="K411" s="319"/>
      <c r="L411" s="319"/>
      <c r="M411" s="319"/>
      <c r="N411" s="319"/>
      <c r="O411" s="319"/>
      <c r="P411" s="319"/>
      <c r="Q411" s="319"/>
      <c r="R411" s="319"/>
      <c r="S411" s="319"/>
      <c r="T411" s="319"/>
      <c r="U411" s="320"/>
      <c r="V411" s="320"/>
      <c r="W411" s="306"/>
    </row>
    <row r="412" spans="1:23" x14ac:dyDescent="0.25">
      <c r="A412" s="202" t="s">
        <v>14996</v>
      </c>
      <c r="B412" s="313" t="s">
        <v>20233</v>
      </c>
      <c r="C412" s="248"/>
      <c r="D412" s="247" t="s">
        <v>2</v>
      </c>
      <c r="E412" s="249">
        <f t="shared" si="217"/>
        <v>11.882485534500002</v>
      </c>
      <c r="F412" s="258">
        <v>0.7</v>
      </c>
      <c r="G412" s="258">
        <f t="shared" si="218"/>
        <v>0.7</v>
      </c>
      <c r="H412" s="249">
        <f t="shared" si="219"/>
        <v>0</v>
      </c>
      <c r="I412" s="314"/>
      <c r="J412" s="258">
        <f t="shared" si="220"/>
        <v>0</v>
      </c>
      <c r="K412" s="249">
        <f t="shared" si="221"/>
        <v>4.243744833750001</v>
      </c>
      <c r="L412" s="258">
        <v>0.25</v>
      </c>
      <c r="M412" s="258">
        <f t="shared" si="222"/>
        <v>0.25</v>
      </c>
      <c r="N412" s="251">
        <f t="shared" si="223"/>
        <v>0.84874896675000022</v>
      </c>
      <c r="O412" s="258">
        <v>0.05</v>
      </c>
      <c r="P412" s="258">
        <f t="shared" si="224"/>
        <v>0.05</v>
      </c>
      <c r="Q412" s="249">
        <v>16.590900000000001</v>
      </c>
      <c r="R412" s="249">
        <f t="shared" si="225"/>
        <v>16.974979335000004</v>
      </c>
      <c r="S412" s="258">
        <v>0.1</v>
      </c>
      <c r="T412" s="169">
        <f t="shared" ref="T412:T475" si="229">Q412+Q412*S412</f>
        <v>18.24999</v>
      </c>
      <c r="U412" s="315">
        <f t="shared" si="226"/>
        <v>18.672477268500003</v>
      </c>
      <c r="V412" s="315">
        <f t="shared" si="227"/>
        <v>19</v>
      </c>
      <c r="W412" s="316">
        <f t="shared" si="216"/>
        <v>0</v>
      </c>
    </row>
    <row r="413" spans="1:23" x14ac:dyDescent="0.25">
      <c r="A413" s="202" t="s">
        <v>14997</v>
      </c>
      <c r="B413" s="313" t="s">
        <v>20234</v>
      </c>
      <c r="C413" s="248"/>
      <c r="D413" s="247" t="s">
        <v>2</v>
      </c>
      <c r="E413" s="249">
        <f t="shared" si="217"/>
        <v>12.045278931</v>
      </c>
      <c r="F413" s="258">
        <v>0.7</v>
      </c>
      <c r="G413" s="258">
        <f t="shared" si="218"/>
        <v>0.7</v>
      </c>
      <c r="H413" s="249">
        <f t="shared" si="219"/>
        <v>0</v>
      </c>
      <c r="I413" s="314"/>
      <c r="J413" s="258">
        <f t="shared" si="220"/>
        <v>0</v>
      </c>
      <c r="K413" s="249">
        <f t="shared" si="221"/>
        <v>4.3018853325000004</v>
      </c>
      <c r="L413" s="258">
        <v>0.25</v>
      </c>
      <c r="M413" s="258">
        <f t="shared" si="222"/>
        <v>0.25</v>
      </c>
      <c r="N413" s="251">
        <f t="shared" si="223"/>
        <v>0.86037706650000012</v>
      </c>
      <c r="O413" s="258">
        <v>0.05</v>
      </c>
      <c r="P413" s="258">
        <f t="shared" si="224"/>
        <v>0.05</v>
      </c>
      <c r="Q413" s="249">
        <v>16.818200000000001</v>
      </c>
      <c r="R413" s="249">
        <f t="shared" si="225"/>
        <v>17.207541330000002</v>
      </c>
      <c r="S413" s="258">
        <v>0.1</v>
      </c>
      <c r="T413" s="169">
        <f t="shared" si="229"/>
        <v>18.500019999999999</v>
      </c>
      <c r="U413" s="315">
        <f t="shared" si="226"/>
        <v>18.928295463000001</v>
      </c>
      <c r="V413" s="315">
        <f t="shared" si="227"/>
        <v>19</v>
      </c>
      <c r="W413" s="316">
        <f t="shared" si="216"/>
        <v>0</v>
      </c>
    </row>
    <row r="414" spans="1:23" x14ac:dyDescent="0.25">
      <c r="A414" s="202" t="s">
        <v>14998</v>
      </c>
      <c r="B414" s="313" t="s">
        <v>20235</v>
      </c>
      <c r="C414" s="248"/>
      <c r="D414" s="247" t="s">
        <v>2</v>
      </c>
      <c r="E414" s="249">
        <f t="shared" si="217"/>
        <v>12.435897138</v>
      </c>
      <c r="F414" s="258">
        <v>0.7</v>
      </c>
      <c r="G414" s="258">
        <f t="shared" si="218"/>
        <v>0.7</v>
      </c>
      <c r="H414" s="249">
        <f t="shared" si="219"/>
        <v>0</v>
      </c>
      <c r="I414" s="314"/>
      <c r="J414" s="258">
        <f t="shared" si="220"/>
        <v>0</v>
      </c>
      <c r="K414" s="249">
        <f t="shared" si="221"/>
        <v>4.4413918350000001</v>
      </c>
      <c r="L414" s="258">
        <v>0.25</v>
      </c>
      <c r="M414" s="258">
        <f t="shared" si="222"/>
        <v>0.25</v>
      </c>
      <c r="N414" s="251">
        <f t="shared" si="223"/>
        <v>0.88827836700000007</v>
      </c>
      <c r="O414" s="258">
        <v>0.05</v>
      </c>
      <c r="P414" s="258">
        <f t="shared" si="224"/>
        <v>0.05</v>
      </c>
      <c r="Q414" s="249">
        <v>17.363600000000002</v>
      </c>
      <c r="R414" s="249">
        <f t="shared" si="225"/>
        <v>17.76556734</v>
      </c>
      <c r="S414" s="258">
        <v>0.1</v>
      </c>
      <c r="T414" s="169">
        <f t="shared" si="229"/>
        <v>19.099960000000003</v>
      </c>
      <c r="U414" s="315">
        <f t="shared" si="226"/>
        <v>19.542124074</v>
      </c>
      <c r="V414" s="315">
        <f t="shared" si="227"/>
        <v>20</v>
      </c>
      <c r="W414" s="316">
        <f t="shared" si="216"/>
        <v>0</v>
      </c>
    </row>
    <row r="415" spans="1:23" x14ac:dyDescent="0.25">
      <c r="A415" s="202" t="s">
        <v>14999</v>
      </c>
      <c r="B415" s="313" t="s">
        <v>15000</v>
      </c>
      <c r="C415" s="248"/>
      <c r="D415" s="247" t="s">
        <v>2</v>
      </c>
      <c r="E415" s="249">
        <f t="shared" si="217"/>
        <v>5.5343308964999993</v>
      </c>
      <c r="F415" s="258">
        <v>0.7</v>
      </c>
      <c r="G415" s="258">
        <f t="shared" si="218"/>
        <v>0.7</v>
      </c>
      <c r="H415" s="249">
        <f t="shared" si="219"/>
        <v>0</v>
      </c>
      <c r="I415" s="314"/>
      <c r="J415" s="258">
        <f t="shared" si="220"/>
        <v>0</v>
      </c>
      <c r="K415" s="249">
        <f t="shared" si="221"/>
        <v>1.9765467487499999</v>
      </c>
      <c r="L415" s="258">
        <v>0.25</v>
      </c>
      <c r="M415" s="258">
        <f t="shared" si="222"/>
        <v>0.25</v>
      </c>
      <c r="N415" s="251">
        <f t="shared" si="223"/>
        <v>0.39530934974999998</v>
      </c>
      <c r="O415" s="258">
        <v>0.05</v>
      </c>
      <c r="P415" s="258">
        <f t="shared" si="224"/>
        <v>0.05</v>
      </c>
      <c r="Q415" s="249">
        <v>7.7272999999999996</v>
      </c>
      <c r="R415" s="249">
        <f t="shared" si="225"/>
        <v>7.9061869949999997</v>
      </c>
      <c r="S415" s="258">
        <v>0.1</v>
      </c>
      <c r="T415" s="169">
        <f t="shared" si="229"/>
        <v>8.5000299999999989</v>
      </c>
      <c r="U415" s="315">
        <f t="shared" si="226"/>
        <v>8.6968056945000001</v>
      </c>
      <c r="V415" s="315">
        <f t="shared" si="227"/>
        <v>9</v>
      </c>
      <c r="W415" s="316">
        <f t="shared" si="216"/>
        <v>0</v>
      </c>
    </row>
    <row r="416" spans="1:23" x14ac:dyDescent="0.25">
      <c r="A416" s="202" t="s">
        <v>15001</v>
      </c>
      <c r="B416" s="313" t="s">
        <v>15002</v>
      </c>
      <c r="C416" s="248"/>
      <c r="D416" s="247" t="s">
        <v>2</v>
      </c>
      <c r="E416" s="249">
        <f t="shared" si="217"/>
        <v>7.8131519654999995</v>
      </c>
      <c r="F416" s="258">
        <v>0.7</v>
      </c>
      <c r="G416" s="258">
        <f t="shared" si="218"/>
        <v>0.7</v>
      </c>
      <c r="H416" s="249">
        <f t="shared" si="219"/>
        <v>0</v>
      </c>
      <c r="I416" s="314"/>
      <c r="J416" s="258">
        <f t="shared" si="220"/>
        <v>0</v>
      </c>
      <c r="K416" s="249">
        <f t="shared" si="221"/>
        <v>2.79041141625</v>
      </c>
      <c r="L416" s="258">
        <v>0.25</v>
      </c>
      <c r="M416" s="258">
        <f t="shared" si="222"/>
        <v>0.25</v>
      </c>
      <c r="N416" s="251">
        <f t="shared" si="223"/>
        <v>0.55808228324999998</v>
      </c>
      <c r="O416" s="258">
        <v>0.05</v>
      </c>
      <c r="P416" s="258">
        <f t="shared" si="224"/>
        <v>0.05</v>
      </c>
      <c r="Q416" s="249">
        <v>10.9091</v>
      </c>
      <c r="R416" s="249">
        <f t="shared" si="225"/>
        <v>11.161645665</v>
      </c>
      <c r="S416" s="258">
        <v>0.1</v>
      </c>
      <c r="T416" s="169">
        <f t="shared" si="229"/>
        <v>12.00001</v>
      </c>
      <c r="U416" s="315">
        <f t="shared" si="226"/>
        <v>12.2778102315</v>
      </c>
      <c r="V416" s="315">
        <f t="shared" si="227"/>
        <v>13</v>
      </c>
      <c r="W416" s="316">
        <f t="shared" si="216"/>
        <v>0</v>
      </c>
    </row>
    <row r="417" spans="1:23" x14ac:dyDescent="0.25">
      <c r="A417" s="202" t="s">
        <v>15003</v>
      </c>
      <c r="B417" s="313" t="s">
        <v>15004</v>
      </c>
      <c r="C417" s="248"/>
      <c r="D417" s="247" t="s">
        <v>2</v>
      </c>
      <c r="E417" s="249">
        <f t="shared" si="217"/>
        <v>11.068590172499999</v>
      </c>
      <c r="F417" s="258">
        <v>0.7</v>
      </c>
      <c r="G417" s="258">
        <f t="shared" si="218"/>
        <v>0.7</v>
      </c>
      <c r="H417" s="249">
        <f t="shared" si="219"/>
        <v>0</v>
      </c>
      <c r="I417" s="314"/>
      <c r="J417" s="258">
        <f t="shared" si="220"/>
        <v>0</v>
      </c>
      <c r="K417" s="249">
        <f t="shared" si="221"/>
        <v>3.9530679187499995</v>
      </c>
      <c r="L417" s="258">
        <v>0.25</v>
      </c>
      <c r="M417" s="258">
        <f t="shared" si="222"/>
        <v>0.25</v>
      </c>
      <c r="N417" s="251">
        <f t="shared" si="223"/>
        <v>0.7906135837499999</v>
      </c>
      <c r="O417" s="258">
        <v>0.05</v>
      </c>
      <c r="P417" s="258">
        <f t="shared" si="224"/>
        <v>0.05</v>
      </c>
      <c r="Q417" s="249">
        <v>15.454499999999999</v>
      </c>
      <c r="R417" s="249">
        <f t="shared" si="225"/>
        <v>15.812271674999998</v>
      </c>
      <c r="S417" s="258">
        <v>0.1</v>
      </c>
      <c r="T417" s="169">
        <f t="shared" si="229"/>
        <v>16.999949999999998</v>
      </c>
      <c r="U417" s="315">
        <f t="shared" si="226"/>
        <v>17.393498842499998</v>
      </c>
      <c r="V417" s="315">
        <f t="shared" si="227"/>
        <v>18</v>
      </c>
      <c r="W417" s="316">
        <f t="shared" si="216"/>
        <v>0</v>
      </c>
    </row>
    <row r="418" spans="1:23" x14ac:dyDescent="0.25">
      <c r="A418" s="202" t="s">
        <v>15005</v>
      </c>
      <c r="B418" s="313" t="s">
        <v>15006</v>
      </c>
      <c r="C418" s="248"/>
      <c r="D418" s="247" t="s">
        <v>2</v>
      </c>
      <c r="E418" s="249">
        <f t="shared" si="217"/>
        <v>11.882485534500002</v>
      </c>
      <c r="F418" s="258">
        <v>0.7</v>
      </c>
      <c r="G418" s="258">
        <f t="shared" si="218"/>
        <v>0.7</v>
      </c>
      <c r="H418" s="249">
        <f t="shared" si="219"/>
        <v>0</v>
      </c>
      <c r="I418" s="314"/>
      <c r="J418" s="258">
        <f t="shared" si="220"/>
        <v>0</v>
      </c>
      <c r="K418" s="249">
        <f t="shared" si="221"/>
        <v>4.243744833750001</v>
      </c>
      <c r="L418" s="258">
        <v>0.25</v>
      </c>
      <c r="M418" s="258">
        <f t="shared" si="222"/>
        <v>0.25</v>
      </c>
      <c r="N418" s="251">
        <f t="shared" si="223"/>
        <v>0.84874896675000022</v>
      </c>
      <c r="O418" s="258">
        <v>0.05</v>
      </c>
      <c r="P418" s="258">
        <f t="shared" si="224"/>
        <v>0.05</v>
      </c>
      <c r="Q418" s="249">
        <v>16.590900000000001</v>
      </c>
      <c r="R418" s="249">
        <f t="shared" si="225"/>
        <v>16.974979335000004</v>
      </c>
      <c r="S418" s="258">
        <v>0.1</v>
      </c>
      <c r="T418" s="169">
        <f t="shared" si="229"/>
        <v>18.24999</v>
      </c>
      <c r="U418" s="315">
        <f t="shared" si="226"/>
        <v>18.672477268500003</v>
      </c>
      <c r="V418" s="315">
        <f t="shared" si="227"/>
        <v>19</v>
      </c>
      <c r="W418" s="316">
        <f t="shared" si="216"/>
        <v>0</v>
      </c>
    </row>
    <row r="419" spans="1:23" x14ac:dyDescent="0.25">
      <c r="A419" s="202" t="s">
        <v>15007</v>
      </c>
      <c r="B419" s="313" t="s">
        <v>20236</v>
      </c>
      <c r="C419" s="248"/>
      <c r="D419" s="247" t="s">
        <v>2</v>
      </c>
      <c r="E419" s="249">
        <f t="shared" si="217"/>
        <v>12.631277861999996</v>
      </c>
      <c r="F419" s="258">
        <v>0.7</v>
      </c>
      <c r="G419" s="258">
        <f t="shared" si="218"/>
        <v>0.7</v>
      </c>
      <c r="H419" s="249">
        <f t="shared" si="219"/>
        <v>0</v>
      </c>
      <c r="I419" s="314"/>
      <c r="J419" s="258">
        <f t="shared" si="220"/>
        <v>0</v>
      </c>
      <c r="K419" s="249">
        <f t="shared" si="221"/>
        <v>4.511170664999999</v>
      </c>
      <c r="L419" s="258">
        <v>0.25</v>
      </c>
      <c r="M419" s="258">
        <f t="shared" si="222"/>
        <v>0.25</v>
      </c>
      <c r="N419" s="251">
        <f t="shared" si="223"/>
        <v>0.90223413299999988</v>
      </c>
      <c r="O419" s="258">
        <v>0.05</v>
      </c>
      <c r="P419" s="258">
        <f t="shared" si="224"/>
        <v>0.05</v>
      </c>
      <c r="Q419" s="249">
        <v>17.636399999999998</v>
      </c>
      <c r="R419" s="249">
        <f t="shared" si="225"/>
        <v>18.044682659999996</v>
      </c>
      <c r="S419" s="258">
        <v>0.1</v>
      </c>
      <c r="T419" s="169">
        <f t="shared" si="229"/>
        <v>19.400039999999997</v>
      </c>
      <c r="U419" s="315">
        <f t="shared" si="226"/>
        <v>19.849150925999997</v>
      </c>
      <c r="V419" s="315">
        <f t="shared" si="227"/>
        <v>20</v>
      </c>
      <c r="W419" s="316">
        <f t="shared" si="216"/>
        <v>0</v>
      </c>
    </row>
    <row r="420" spans="1:23" x14ac:dyDescent="0.25">
      <c r="A420" s="202" t="s">
        <v>15008</v>
      </c>
      <c r="B420" s="313" t="s">
        <v>20237</v>
      </c>
      <c r="C420" s="248"/>
      <c r="D420" s="247" t="s">
        <v>2</v>
      </c>
      <c r="E420" s="249">
        <f t="shared" si="217"/>
        <v>14.519409103499999</v>
      </c>
      <c r="F420" s="258">
        <v>0.7</v>
      </c>
      <c r="G420" s="258">
        <f t="shared" si="218"/>
        <v>0.7</v>
      </c>
      <c r="H420" s="249">
        <f t="shared" si="219"/>
        <v>0</v>
      </c>
      <c r="I420" s="314"/>
      <c r="J420" s="258">
        <f t="shared" si="220"/>
        <v>0</v>
      </c>
      <c r="K420" s="249">
        <f t="shared" si="221"/>
        <v>5.1855032512500001</v>
      </c>
      <c r="L420" s="258">
        <v>0.25</v>
      </c>
      <c r="M420" s="258">
        <f t="shared" si="222"/>
        <v>0.25</v>
      </c>
      <c r="N420" s="251">
        <f t="shared" si="223"/>
        <v>1.03710065025</v>
      </c>
      <c r="O420" s="258">
        <v>0.05</v>
      </c>
      <c r="P420" s="258">
        <f t="shared" si="224"/>
        <v>0.05</v>
      </c>
      <c r="Q420" s="249">
        <v>20.2727</v>
      </c>
      <c r="R420" s="249">
        <f t="shared" si="225"/>
        <v>20.742013005</v>
      </c>
      <c r="S420" s="258">
        <v>0.1</v>
      </c>
      <c r="T420" s="169">
        <f t="shared" si="229"/>
        <v>22.299970000000002</v>
      </c>
      <c r="U420" s="315">
        <f t="shared" si="226"/>
        <v>22.816214305500001</v>
      </c>
      <c r="V420" s="315">
        <f t="shared" si="227"/>
        <v>23</v>
      </c>
      <c r="W420" s="316">
        <f t="shared" si="216"/>
        <v>0</v>
      </c>
    </row>
    <row r="421" spans="1:23" x14ac:dyDescent="0.25">
      <c r="A421" s="202" t="s">
        <v>15009</v>
      </c>
      <c r="B421" s="313" t="s">
        <v>20238</v>
      </c>
      <c r="C421" s="248"/>
      <c r="D421" s="247" t="s">
        <v>2</v>
      </c>
      <c r="E421" s="249">
        <f t="shared" si="217"/>
        <v>13.672998034499999</v>
      </c>
      <c r="F421" s="258">
        <v>0.7</v>
      </c>
      <c r="G421" s="258">
        <f t="shared" si="218"/>
        <v>0.7</v>
      </c>
      <c r="H421" s="249">
        <f t="shared" si="219"/>
        <v>0</v>
      </c>
      <c r="I421" s="314"/>
      <c r="J421" s="258">
        <f t="shared" si="220"/>
        <v>0</v>
      </c>
      <c r="K421" s="249">
        <f t="shared" si="221"/>
        <v>4.8832135837499999</v>
      </c>
      <c r="L421" s="258">
        <v>0.25</v>
      </c>
      <c r="M421" s="258">
        <f t="shared" si="222"/>
        <v>0.25</v>
      </c>
      <c r="N421" s="251">
        <f t="shared" si="223"/>
        <v>0.97664271675000003</v>
      </c>
      <c r="O421" s="258">
        <v>0.05</v>
      </c>
      <c r="P421" s="258">
        <f t="shared" si="224"/>
        <v>0.05</v>
      </c>
      <c r="Q421" s="249">
        <v>19.090900000000001</v>
      </c>
      <c r="R421" s="249">
        <f t="shared" si="225"/>
        <v>19.532854335</v>
      </c>
      <c r="S421" s="258">
        <v>0.1</v>
      </c>
      <c r="T421" s="169">
        <f t="shared" si="229"/>
        <v>20.99999</v>
      </c>
      <c r="U421" s="315">
        <f t="shared" si="226"/>
        <v>21.486139768499999</v>
      </c>
      <c r="V421" s="315">
        <f t="shared" si="227"/>
        <v>22</v>
      </c>
      <c r="W421" s="316">
        <f t="shared" si="216"/>
        <v>0</v>
      </c>
    </row>
    <row r="422" spans="1:23" x14ac:dyDescent="0.25">
      <c r="A422" s="202" t="s">
        <v>15010</v>
      </c>
      <c r="B422" s="313" t="s">
        <v>20239</v>
      </c>
      <c r="C422" s="248"/>
      <c r="D422" s="247" t="s">
        <v>2</v>
      </c>
      <c r="E422" s="249">
        <f t="shared" si="217"/>
        <v>13.9985848275</v>
      </c>
      <c r="F422" s="258">
        <v>0.7</v>
      </c>
      <c r="G422" s="258">
        <f t="shared" si="218"/>
        <v>0.7</v>
      </c>
      <c r="H422" s="249">
        <f t="shared" si="219"/>
        <v>0</v>
      </c>
      <c r="I422" s="314"/>
      <c r="J422" s="258">
        <f t="shared" si="220"/>
        <v>0</v>
      </c>
      <c r="K422" s="249">
        <f t="shared" si="221"/>
        <v>4.9994945812500005</v>
      </c>
      <c r="L422" s="258">
        <v>0.25</v>
      </c>
      <c r="M422" s="258">
        <f t="shared" si="222"/>
        <v>0.25</v>
      </c>
      <c r="N422" s="251">
        <f t="shared" si="223"/>
        <v>0.99989891625000016</v>
      </c>
      <c r="O422" s="258">
        <v>0.05</v>
      </c>
      <c r="P422" s="258">
        <f t="shared" si="224"/>
        <v>0.05</v>
      </c>
      <c r="Q422" s="249">
        <v>19.545500000000001</v>
      </c>
      <c r="R422" s="249">
        <f t="shared" si="225"/>
        <v>19.997978325000002</v>
      </c>
      <c r="S422" s="258">
        <v>0.1</v>
      </c>
      <c r="T422" s="169">
        <f t="shared" si="229"/>
        <v>21.500050000000002</v>
      </c>
      <c r="U422" s="315">
        <f t="shared" si="226"/>
        <v>21.997776157500002</v>
      </c>
      <c r="V422" s="315">
        <f t="shared" si="227"/>
        <v>22</v>
      </c>
      <c r="W422" s="316">
        <f t="shared" ref="W422:W486" si="230">C422*V422</f>
        <v>0</v>
      </c>
    </row>
    <row r="423" spans="1:23" x14ac:dyDescent="0.25">
      <c r="A423" s="202" t="s">
        <v>15011</v>
      </c>
      <c r="B423" s="313" t="s">
        <v>20240</v>
      </c>
      <c r="C423" s="248"/>
      <c r="D423" s="247" t="s">
        <v>2</v>
      </c>
      <c r="E423" s="249">
        <f t="shared" si="217"/>
        <v>14.3241</v>
      </c>
      <c r="F423" s="258">
        <v>0.7</v>
      </c>
      <c r="G423" s="258">
        <f t="shared" si="218"/>
        <v>0.7</v>
      </c>
      <c r="H423" s="249">
        <f t="shared" si="219"/>
        <v>0</v>
      </c>
      <c r="I423" s="314"/>
      <c r="J423" s="258">
        <f t="shared" si="220"/>
        <v>0</v>
      </c>
      <c r="K423" s="249">
        <f t="shared" si="221"/>
        <v>5.1157500000000002</v>
      </c>
      <c r="L423" s="258">
        <v>0.25</v>
      </c>
      <c r="M423" s="258">
        <f t="shared" si="222"/>
        <v>0.25</v>
      </c>
      <c r="N423" s="251">
        <f t="shared" si="223"/>
        <v>1.02315</v>
      </c>
      <c r="O423" s="258">
        <v>0.05</v>
      </c>
      <c r="P423" s="258">
        <f t="shared" si="224"/>
        <v>0.05</v>
      </c>
      <c r="Q423" s="249">
        <v>20</v>
      </c>
      <c r="R423" s="249">
        <f t="shared" si="225"/>
        <v>20.463000000000001</v>
      </c>
      <c r="S423" s="258">
        <v>0.1</v>
      </c>
      <c r="T423" s="169">
        <f t="shared" si="229"/>
        <v>22</v>
      </c>
      <c r="U423" s="315">
        <f t="shared" si="226"/>
        <v>22.5093</v>
      </c>
      <c r="V423" s="315">
        <f t="shared" si="227"/>
        <v>23</v>
      </c>
      <c r="W423" s="316">
        <f t="shared" si="230"/>
        <v>0</v>
      </c>
    </row>
    <row r="424" spans="1:23" x14ac:dyDescent="0.25">
      <c r="A424" s="202" t="s">
        <v>15012</v>
      </c>
      <c r="B424" s="313" t="s">
        <v>20241</v>
      </c>
      <c r="C424" s="248"/>
      <c r="D424" s="247" t="s">
        <v>2</v>
      </c>
      <c r="E424" s="249">
        <f t="shared" si="217"/>
        <v>14.649615172499999</v>
      </c>
      <c r="F424" s="258">
        <v>0.7</v>
      </c>
      <c r="G424" s="258">
        <f t="shared" si="218"/>
        <v>0.7</v>
      </c>
      <c r="H424" s="249">
        <f t="shared" si="219"/>
        <v>0</v>
      </c>
      <c r="I424" s="314"/>
      <c r="J424" s="258">
        <f t="shared" si="220"/>
        <v>0</v>
      </c>
      <c r="K424" s="249">
        <f t="shared" si="221"/>
        <v>5.23200541875</v>
      </c>
      <c r="L424" s="258">
        <v>0.25</v>
      </c>
      <c r="M424" s="258">
        <f t="shared" si="222"/>
        <v>0.25</v>
      </c>
      <c r="N424" s="251">
        <f t="shared" si="223"/>
        <v>1.04640108375</v>
      </c>
      <c r="O424" s="258">
        <v>0.05</v>
      </c>
      <c r="P424" s="258">
        <f t="shared" si="224"/>
        <v>0.05</v>
      </c>
      <c r="Q424" s="249">
        <v>20.454499999999999</v>
      </c>
      <c r="R424" s="249">
        <f t="shared" si="225"/>
        <v>20.928021675</v>
      </c>
      <c r="S424" s="258">
        <v>0.1</v>
      </c>
      <c r="T424" s="169">
        <f t="shared" si="229"/>
        <v>22.499949999999998</v>
      </c>
      <c r="U424" s="315">
        <f t="shared" si="226"/>
        <v>23.0208238425</v>
      </c>
      <c r="V424" s="315">
        <f t="shared" si="227"/>
        <v>24</v>
      </c>
      <c r="W424" s="316">
        <f t="shared" si="230"/>
        <v>0</v>
      </c>
    </row>
    <row r="425" spans="1:23" x14ac:dyDescent="0.25">
      <c r="A425" s="202" t="s">
        <v>15013</v>
      </c>
      <c r="B425" s="313" t="s">
        <v>15014</v>
      </c>
      <c r="C425" s="248"/>
      <c r="D425" s="247" t="s">
        <v>2</v>
      </c>
      <c r="E425" s="249">
        <f t="shared" si="217"/>
        <v>1.9538072400000002</v>
      </c>
      <c r="F425" s="258">
        <v>0.7</v>
      </c>
      <c r="G425" s="258">
        <f t="shared" si="218"/>
        <v>0.7</v>
      </c>
      <c r="H425" s="249">
        <f t="shared" si="219"/>
        <v>0</v>
      </c>
      <c r="I425" s="314"/>
      <c r="J425" s="258">
        <f t="shared" si="220"/>
        <v>0</v>
      </c>
      <c r="K425" s="249">
        <f t="shared" si="221"/>
        <v>0.69778830000000014</v>
      </c>
      <c r="L425" s="258">
        <v>0.25</v>
      </c>
      <c r="M425" s="258">
        <f t="shared" si="222"/>
        <v>0.25</v>
      </c>
      <c r="N425" s="251">
        <f t="shared" si="223"/>
        <v>0.13955766000000003</v>
      </c>
      <c r="O425" s="258">
        <v>0.05</v>
      </c>
      <c r="P425" s="258">
        <f t="shared" si="224"/>
        <v>0.05</v>
      </c>
      <c r="Q425" s="249">
        <v>2.7280000000000002</v>
      </c>
      <c r="R425" s="249">
        <f t="shared" si="225"/>
        <v>2.7911532000000006</v>
      </c>
      <c r="S425" s="258">
        <v>0.1</v>
      </c>
      <c r="T425" s="169">
        <f t="shared" si="229"/>
        <v>3.0008000000000004</v>
      </c>
      <c r="U425" s="315">
        <f t="shared" si="226"/>
        <v>3.0702685200000008</v>
      </c>
      <c r="V425" s="315">
        <f t="shared" si="227"/>
        <v>4</v>
      </c>
      <c r="W425" s="316">
        <f t="shared" si="230"/>
        <v>0</v>
      </c>
    </row>
    <row r="426" spans="1:23" x14ac:dyDescent="0.25">
      <c r="A426" s="202" t="s">
        <v>15013</v>
      </c>
      <c r="B426" s="313" t="s">
        <v>15015</v>
      </c>
      <c r="C426" s="248"/>
      <c r="D426" s="247" t="s">
        <v>2</v>
      </c>
      <c r="E426" s="249">
        <f t="shared" si="217"/>
        <v>1.627933965</v>
      </c>
      <c r="F426" s="258">
        <v>0.7</v>
      </c>
      <c r="G426" s="258">
        <f t="shared" si="218"/>
        <v>0.7</v>
      </c>
      <c r="H426" s="249">
        <f t="shared" si="219"/>
        <v>0</v>
      </c>
      <c r="I426" s="314"/>
      <c r="J426" s="258">
        <f t="shared" si="220"/>
        <v>0</v>
      </c>
      <c r="K426" s="249">
        <f t="shared" si="221"/>
        <v>0.58140498750000003</v>
      </c>
      <c r="L426" s="258">
        <v>0.25</v>
      </c>
      <c r="M426" s="258">
        <f t="shared" si="222"/>
        <v>0.25</v>
      </c>
      <c r="N426" s="251">
        <f t="shared" si="223"/>
        <v>0.11628099750000001</v>
      </c>
      <c r="O426" s="258">
        <v>0.05</v>
      </c>
      <c r="P426" s="258">
        <f t="shared" si="224"/>
        <v>0.05</v>
      </c>
      <c r="Q426" s="249">
        <v>2.2730000000000001</v>
      </c>
      <c r="R426" s="249">
        <f t="shared" si="225"/>
        <v>2.3256199500000001</v>
      </c>
      <c r="S426" s="258">
        <v>0.1</v>
      </c>
      <c r="T426" s="169">
        <f t="shared" si="229"/>
        <v>2.5003000000000002</v>
      </c>
      <c r="U426" s="315">
        <f t="shared" si="226"/>
        <v>2.5581819450000003</v>
      </c>
      <c r="V426" s="315">
        <f t="shared" si="227"/>
        <v>3</v>
      </c>
      <c r="W426" s="316">
        <f t="shared" si="230"/>
        <v>0</v>
      </c>
    </row>
    <row r="427" spans="1:23" ht="21" x14ac:dyDescent="0.25">
      <c r="A427" s="202" t="s">
        <v>15016</v>
      </c>
      <c r="B427" s="255" t="s">
        <v>15017</v>
      </c>
      <c r="C427" s="248"/>
      <c r="D427" s="247" t="s">
        <v>11</v>
      </c>
      <c r="E427" s="249">
        <f t="shared" si="217"/>
        <v>5.0599114500000004</v>
      </c>
      <c r="F427" s="258">
        <v>0.85</v>
      </c>
      <c r="G427" s="258">
        <f t="shared" si="218"/>
        <v>0.85</v>
      </c>
      <c r="H427" s="249">
        <f t="shared" si="219"/>
        <v>0</v>
      </c>
      <c r="I427" s="314"/>
      <c r="J427" s="258">
        <f t="shared" si="220"/>
        <v>0</v>
      </c>
      <c r="K427" s="249">
        <f t="shared" si="221"/>
        <v>0.59528370000000008</v>
      </c>
      <c r="L427" s="258">
        <v>0.1</v>
      </c>
      <c r="M427" s="258">
        <f t="shared" si="222"/>
        <v>0.1</v>
      </c>
      <c r="N427" s="251">
        <f t="shared" si="223"/>
        <v>0.29764185000000004</v>
      </c>
      <c r="O427" s="258">
        <v>0.05</v>
      </c>
      <c r="P427" s="258">
        <f t="shared" si="224"/>
        <v>0.05</v>
      </c>
      <c r="Q427" s="249">
        <v>5.819</v>
      </c>
      <c r="R427" s="249">
        <f t="shared" si="225"/>
        <v>5.9528370000000006</v>
      </c>
      <c r="S427" s="258">
        <v>0.1</v>
      </c>
      <c r="T427" s="169">
        <f t="shared" si="229"/>
        <v>6.4009</v>
      </c>
      <c r="U427" s="315">
        <f t="shared" si="226"/>
        <v>6.548120700000001</v>
      </c>
      <c r="V427" s="315">
        <f t="shared" si="227"/>
        <v>7</v>
      </c>
      <c r="W427" s="316">
        <f t="shared" si="230"/>
        <v>0</v>
      </c>
    </row>
    <row r="428" spans="1:23" x14ac:dyDescent="0.25">
      <c r="A428" s="202" t="s">
        <v>15018</v>
      </c>
      <c r="B428" s="313" t="s">
        <v>15019</v>
      </c>
      <c r="C428" s="248"/>
      <c r="D428" s="247" t="s">
        <v>11</v>
      </c>
      <c r="E428" s="249">
        <f t="shared" si="217"/>
        <v>12.648474299999998</v>
      </c>
      <c r="F428" s="258">
        <v>0.85</v>
      </c>
      <c r="G428" s="258">
        <f t="shared" si="218"/>
        <v>0.85</v>
      </c>
      <c r="H428" s="249">
        <f t="shared" si="219"/>
        <v>0</v>
      </c>
      <c r="I428" s="314"/>
      <c r="J428" s="258">
        <f t="shared" si="220"/>
        <v>0</v>
      </c>
      <c r="K428" s="249">
        <f t="shared" si="221"/>
        <v>1.4880557999999999</v>
      </c>
      <c r="L428" s="258">
        <v>0.1</v>
      </c>
      <c r="M428" s="258">
        <f t="shared" si="222"/>
        <v>0.1</v>
      </c>
      <c r="N428" s="251">
        <f t="shared" si="223"/>
        <v>0.74402789999999996</v>
      </c>
      <c r="O428" s="258">
        <v>0.05</v>
      </c>
      <c r="P428" s="258">
        <f t="shared" si="224"/>
        <v>0.05</v>
      </c>
      <c r="Q428" s="249">
        <v>14.545999999999999</v>
      </c>
      <c r="R428" s="249">
        <f t="shared" si="225"/>
        <v>14.880557999999999</v>
      </c>
      <c r="S428" s="258">
        <v>0.1</v>
      </c>
      <c r="T428" s="169">
        <f t="shared" si="229"/>
        <v>16.000599999999999</v>
      </c>
      <c r="U428" s="315">
        <f t="shared" si="226"/>
        <v>16.368613799999999</v>
      </c>
      <c r="V428" s="315">
        <f t="shared" si="227"/>
        <v>17</v>
      </c>
      <c r="W428" s="316">
        <f t="shared" si="230"/>
        <v>0</v>
      </c>
    </row>
    <row r="429" spans="1:23" x14ac:dyDescent="0.25">
      <c r="A429" s="202" t="s">
        <v>15018</v>
      </c>
      <c r="B429" s="313" t="s">
        <v>15020</v>
      </c>
      <c r="C429" s="248"/>
      <c r="D429" s="247" t="s">
        <v>11</v>
      </c>
      <c r="E429" s="249">
        <f t="shared" si="217"/>
        <v>17.430999299999996</v>
      </c>
      <c r="F429" s="258">
        <v>0.85</v>
      </c>
      <c r="G429" s="258">
        <f t="shared" si="218"/>
        <v>0.85</v>
      </c>
      <c r="H429" s="249">
        <f t="shared" si="219"/>
        <v>0</v>
      </c>
      <c r="I429" s="314"/>
      <c r="J429" s="258">
        <f t="shared" si="220"/>
        <v>0</v>
      </c>
      <c r="K429" s="249">
        <f t="shared" si="221"/>
        <v>2.0507057999999998</v>
      </c>
      <c r="L429" s="258">
        <v>0.1</v>
      </c>
      <c r="M429" s="258">
        <f t="shared" si="222"/>
        <v>0.1</v>
      </c>
      <c r="N429" s="251">
        <f t="shared" si="223"/>
        <v>1.0253528999999999</v>
      </c>
      <c r="O429" s="258">
        <v>0.05</v>
      </c>
      <c r="P429" s="258">
        <f t="shared" si="224"/>
        <v>0.05</v>
      </c>
      <c r="Q429" s="249">
        <v>20.045999999999999</v>
      </c>
      <c r="R429" s="249">
        <f t="shared" si="225"/>
        <v>20.507057999999997</v>
      </c>
      <c r="S429" s="258">
        <v>0.1</v>
      </c>
      <c r="T429" s="169">
        <f t="shared" si="229"/>
        <v>22.050599999999999</v>
      </c>
      <c r="U429" s="315">
        <f t="shared" si="226"/>
        <v>22.557763799999996</v>
      </c>
      <c r="V429" s="315">
        <f t="shared" si="227"/>
        <v>23</v>
      </c>
      <c r="W429" s="316">
        <f t="shared" si="230"/>
        <v>0</v>
      </c>
    </row>
    <row r="430" spans="1:23" ht="21" x14ac:dyDescent="0.25">
      <c r="A430" s="202" t="s">
        <v>15021</v>
      </c>
      <c r="B430" s="255" t="s">
        <v>20242</v>
      </c>
      <c r="C430" s="248"/>
      <c r="D430" s="247" t="s">
        <v>1</v>
      </c>
      <c r="E430" s="249">
        <f t="shared" si="217"/>
        <v>3.5572420949999999</v>
      </c>
      <c r="F430" s="258">
        <v>0.85</v>
      </c>
      <c r="G430" s="258">
        <f t="shared" si="218"/>
        <v>0.85</v>
      </c>
      <c r="H430" s="249">
        <f t="shared" si="219"/>
        <v>0</v>
      </c>
      <c r="I430" s="314"/>
      <c r="J430" s="258">
        <f t="shared" si="220"/>
        <v>0</v>
      </c>
      <c r="K430" s="249">
        <f t="shared" si="221"/>
        <v>0.41849907000000003</v>
      </c>
      <c r="L430" s="258">
        <v>0.1</v>
      </c>
      <c r="M430" s="258">
        <f t="shared" si="222"/>
        <v>0.1</v>
      </c>
      <c r="N430" s="251">
        <f t="shared" si="223"/>
        <v>0.20924953500000001</v>
      </c>
      <c r="O430" s="258">
        <v>0.05</v>
      </c>
      <c r="P430" s="258">
        <f t="shared" si="224"/>
        <v>0.05</v>
      </c>
      <c r="Q430" s="249">
        <v>4.0909000000000004</v>
      </c>
      <c r="R430" s="249">
        <f t="shared" si="225"/>
        <v>4.1849907000000002</v>
      </c>
      <c r="S430" s="258">
        <v>0.1</v>
      </c>
      <c r="T430" s="169">
        <f t="shared" si="229"/>
        <v>4.4999900000000004</v>
      </c>
      <c r="U430" s="315">
        <f t="shared" si="226"/>
        <v>4.6034897700000004</v>
      </c>
      <c r="V430" s="315">
        <f t="shared" si="227"/>
        <v>5</v>
      </c>
      <c r="W430" s="316">
        <f t="shared" si="230"/>
        <v>0</v>
      </c>
    </row>
    <row r="431" spans="1:23" x14ac:dyDescent="0.25">
      <c r="A431" s="202" t="s">
        <v>15021</v>
      </c>
      <c r="B431" s="313" t="s">
        <v>15022</v>
      </c>
      <c r="C431" s="248"/>
      <c r="D431" s="247" t="s">
        <v>1</v>
      </c>
      <c r="E431" s="249">
        <f t="shared" si="217"/>
        <v>5.0221730250000007</v>
      </c>
      <c r="F431" s="258">
        <v>0.9</v>
      </c>
      <c r="G431" s="258">
        <f t="shared" si="218"/>
        <v>0.9</v>
      </c>
      <c r="H431" s="249">
        <f t="shared" si="219"/>
        <v>0</v>
      </c>
      <c r="I431" s="314"/>
      <c r="J431" s="258">
        <f t="shared" si="220"/>
        <v>0</v>
      </c>
      <c r="K431" s="249">
        <f t="shared" si="221"/>
        <v>0.27900961250000006</v>
      </c>
      <c r="L431" s="258">
        <v>0.05</v>
      </c>
      <c r="M431" s="258">
        <f t="shared" si="222"/>
        <v>0.05</v>
      </c>
      <c r="N431" s="251">
        <f t="shared" si="223"/>
        <v>0.27900961250000006</v>
      </c>
      <c r="O431" s="258">
        <v>0.05</v>
      </c>
      <c r="P431" s="258">
        <f t="shared" si="224"/>
        <v>0.05</v>
      </c>
      <c r="Q431" s="249">
        <v>5.4550000000000001</v>
      </c>
      <c r="R431" s="249">
        <f t="shared" si="225"/>
        <v>5.5801922500000005</v>
      </c>
      <c r="S431" s="258">
        <v>0.1</v>
      </c>
      <c r="T431" s="169">
        <f t="shared" si="229"/>
        <v>6.0004999999999997</v>
      </c>
      <c r="U431" s="315">
        <f t="shared" si="226"/>
        <v>6.1382114750000003</v>
      </c>
      <c r="V431" s="315">
        <f t="shared" si="227"/>
        <v>7</v>
      </c>
      <c r="W431" s="316">
        <f t="shared" si="230"/>
        <v>0</v>
      </c>
    </row>
    <row r="432" spans="1:23" x14ac:dyDescent="0.25">
      <c r="A432" s="202" t="s">
        <v>15023</v>
      </c>
      <c r="B432" s="313" t="s">
        <v>15024</v>
      </c>
      <c r="C432" s="248"/>
      <c r="D432" s="247" t="s">
        <v>15025</v>
      </c>
      <c r="E432" s="249">
        <f t="shared" si="217"/>
        <v>37.786295249999995</v>
      </c>
      <c r="F432" s="258">
        <v>0.85</v>
      </c>
      <c r="G432" s="258">
        <f t="shared" si="218"/>
        <v>0.85</v>
      </c>
      <c r="H432" s="249">
        <f t="shared" si="219"/>
        <v>0</v>
      </c>
      <c r="I432" s="314"/>
      <c r="J432" s="258">
        <f t="shared" si="220"/>
        <v>0</v>
      </c>
      <c r="K432" s="249">
        <f t="shared" si="221"/>
        <v>4.4454465000000001</v>
      </c>
      <c r="L432" s="258">
        <v>0.1</v>
      </c>
      <c r="M432" s="258">
        <f t="shared" si="222"/>
        <v>0.1</v>
      </c>
      <c r="N432" s="251">
        <f t="shared" si="223"/>
        <v>2.22272325</v>
      </c>
      <c r="O432" s="258">
        <v>0.05</v>
      </c>
      <c r="P432" s="258">
        <f t="shared" si="224"/>
        <v>0.05</v>
      </c>
      <c r="Q432" s="249">
        <v>43.454999999999998</v>
      </c>
      <c r="R432" s="249">
        <f t="shared" si="225"/>
        <v>44.454464999999999</v>
      </c>
      <c r="S432" s="258">
        <v>0.1</v>
      </c>
      <c r="T432" s="169">
        <f t="shared" si="229"/>
        <v>47.8005</v>
      </c>
      <c r="U432" s="315">
        <f t="shared" si="226"/>
        <v>48.899911500000002</v>
      </c>
      <c r="V432" s="315">
        <f t="shared" si="227"/>
        <v>49</v>
      </c>
      <c r="W432" s="316">
        <f t="shared" si="230"/>
        <v>0</v>
      </c>
    </row>
    <row r="433" spans="1:23" x14ac:dyDescent="0.25">
      <c r="A433" s="202" t="s">
        <v>15026</v>
      </c>
      <c r="B433" s="313" t="s">
        <v>15027</v>
      </c>
      <c r="C433" s="248"/>
      <c r="D433" s="247" t="s">
        <v>15025</v>
      </c>
      <c r="E433" s="249">
        <f t="shared" si="217"/>
        <v>43.477500000000006</v>
      </c>
      <c r="F433" s="258">
        <v>0.85</v>
      </c>
      <c r="G433" s="258">
        <f t="shared" si="218"/>
        <v>0.85</v>
      </c>
      <c r="H433" s="249">
        <f t="shared" si="219"/>
        <v>0</v>
      </c>
      <c r="I433" s="314"/>
      <c r="J433" s="258">
        <f t="shared" si="220"/>
        <v>0</v>
      </c>
      <c r="K433" s="249">
        <f t="shared" si="221"/>
        <v>5.1150000000000011</v>
      </c>
      <c r="L433" s="258">
        <v>0.1</v>
      </c>
      <c r="M433" s="258">
        <f t="shared" si="222"/>
        <v>0.1</v>
      </c>
      <c r="N433" s="251">
        <f t="shared" si="223"/>
        <v>2.5575000000000006</v>
      </c>
      <c r="O433" s="258">
        <v>0.05</v>
      </c>
      <c r="P433" s="258">
        <f t="shared" si="224"/>
        <v>0.05</v>
      </c>
      <c r="Q433" s="249">
        <v>50</v>
      </c>
      <c r="R433" s="249">
        <f t="shared" si="225"/>
        <v>51.150000000000006</v>
      </c>
      <c r="S433" s="258">
        <v>0.1</v>
      </c>
      <c r="T433" s="169">
        <f t="shared" si="229"/>
        <v>55</v>
      </c>
      <c r="U433" s="315">
        <f t="shared" si="226"/>
        <v>56.265000000000008</v>
      </c>
      <c r="V433" s="315">
        <f t="shared" si="227"/>
        <v>57</v>
      </c>
      <c r="W433" s="316">
        <f t="shared" si="230"/>
        <v>0</v>
      </c>
    </row>
    <row r="434" spans="1:23" x14ac:dyDescent="0.25">
      <c r="A434" s="202" t="s">
        <v>15028</v>
      </c>
      <c r="B434" s="313" t="s">
        <v>15029</v>
      </c>
      <c r="C434" s="248"/>
      <c r="D434" s="247" t="s">
        <v>15025</v>
      </c>
      <c r="E434" s="249">
        <f t="shared" si="217"/>
        <v>50.987803350000007</v>
      </c>
      <c r="F434" s="258">
        <v>0.85</v>
      </c>
      <c r="G434" s="258">
        <f t="shared" si="218"/>
        <v>0.85</v>
      </c>
      <c r="H434" s="249">
        <f t="shared" si="219"/>
        <v>0</v>
      </c>
      <c r="I434" s="314"/>
      <c r="J434" s="258">
        <f t="shared" si="220"/>
        <v>0</v>
      </c>
      <c r="K434" s="249">
        <f t="shared" si="221"/>
        <v>5.9985651000000013</v>
      </c>
      <c r="L434" s="258">
        <v>0.1</v>
      </c>
      <c r="M434" s="258">
        <f t="shared" si="222"/>
        <v>0.1</v>
      </c>
      <c r="N434" s="251">
        <f t="shared" si="223"/>
        <v>2.9992825500000007</v>
      </c>
      <c r="O434" s="258">
        <v>0.05</v>
      </c>
      <c r="P434" s="258">
        <f t="shared" si="224"/>
        <v>0.05</v>
      </c>
      <c r="Q434" s="249">
        <v>58.637</v>
      </c>
      <c r="R434" s="249">
        <f t="shared" si="225"/>
        <v>59.985651000000011</v>
      </c>
      <c r="S434" s="258">
        <v>0.1</v>
      </c>
      <c r="T434" s="169">
        <f t="shared" si="229"/>
        <v>64.500699999999995</v>
      </c>
      <c r="U434" s="315">
        <f t="shared" si="226"/>
        <v>65.984216100000012</v>
      </c>
      <c r="V434" s="315">
        <f t="shared" si="227"/>
        <v>66</v>
      </c>
      <c r="W434" s="316">
        <f t="shared" si="230"/>
        <v>0</v>
      </c>
    </row>
    <row r="435" spans="1:23" x14ac:dyDescent="0.25">
      <c r="A435" s="202" t="s">
        <v>15030</v>
      </c>
      <c r="B435" s="313" t="s">
        <v>15031</v>
      </c>
      <c r="C435" s="248"/>
      <c r="D435" s="247" t="s">
        <v>1</v>
      </c>
      <c r="E435" s="249">
        <f t="shared" si="217"/>
        <v>1.0678074000000002</v>
      </c>
      <c r="F435" s="258">
        <v>0.85</v>
      </c>
      <c r="G435" s="258">
        <f t="shared" si="218"/>
        <v>0.85</v>
      </c>
      <c r="H435" s="249">
        <f t="shared" si="219"/>
        <v>0</v>
      </c>
      <c r="I435" s="314"/>
      <c r="J435" s="258">
        <f t="shared" si="220"/>
        <v>0</v>
      </c>
      <c r="K435" s="249">
        <f t="shared" si="221"/>
        <v>0.12562440000000002</v>
      </c>
      <c r="L435" s="258">
        <v>0.1</v>
      </c>
      <c r="M435" s="258">
        <f t="shared" si="222"/>
        <v>0.1</v>
      </c>
      <c r="N435" s="251">
        <f t="shared" si="223"/>
        <v>6.2812200000000012E-2</v>
      </c>
      <c r="O435" s="258">
        <v>0.05</v>
      </c>
      <c r="P435" s="258">
        <f t="shared" si="224"/>
        <v>0.05</v>
      </c>
      <c r="Q435" s="249">
        <v>1.228</v>
      </c>
      <c r="R435" s="249">
        <f t="shared" si="225"/>
        <v>1.2562440000000001</v>
      </c>
      <c r="S435" s="258">
        <v>0.1</v>
      </c>
      <c r="T435" s="169">
        <f t="shared" si="229"/>
        <v>1.3508</v>
      </c>
      <c r="U435" s="315">
        <f t="shared" si="226"/>
        <v>1.3818684000000001</v>
      </c>
      <c r="V435" s="315">
        <f t="shared" si="227"/>
        <v>2</v>
      </c>
      <c r="W435" s="316">
        <f t="shared" si="230"/>
        <v>0</v>
      </c>
    </row>
    <row r="436" spans="1:23" x14ac:dyDescent="0.25">
      <c r="A436" s="202" t="s">
        <v>15032</v>
      </c>
      <c r="B436" s="313" t="s">
        <v>15033</v>
      </c>
      <c r="C436" s="248"/>
      <c r="D436" s="247" t="s">
        <v>1</v>
      </c>
      <c r="E436" s="249">
        <f t="shared" si="217"/>
        <v>1.304325</v>
      </c>
      <c r="F436" s="258">
        <v>0.85</v>
      </c>
      <c r="G436" s="258">
        <f t="shared" si="218"/>
        <v>0.85</v>
      </c>
      <c r="H436" s="249">
        <f t="shared" si="219"/>
        <v>0</v>
      </c>
      <c r="I436" s="314"/>
      <c r="J436" s="258">
        <f t="shared" si="220"/>
        <v>0</v>
      </c>
      <c r="K436" s="249">
        <f t="shared" si="221"/>
        <v>0.15345</v>
      </c>
      <c r="L436" s="258">
        <v>0.1</v>
      </c>
      <c r="M436" s="258">
        <f t="shared" si="222"/>
        <v>0.1</v>
      </c>
      <c r="N436" s="251">
        <f t="shared" si="223"/>
        <v>7.6725000000000002E-2</v>
      </c>
      <c r="O436" s="258">
        <v>0.05</v>
      </c>
      <c r="P436" s="258">
        <f t="shared" si="224"/>
        <v>0.05</v>
      </c>
      <c r="Q436" s="249">
        <v>1.5</v>
      </c>
      <c r="R436" s="249">
        <f t="shared" si="225"/>
        <v>1.5345</v>
      </c>
      <c r="S436" s="258">
        <v>0.1</v>
      </c>
      <c r="T436" s="169">
        <f t="shared" si="229"/>
        <v>1.65</v>
      </c>
      <c r="U436" s="315">
        <f t="shared" si="226"/>
        <v>1.6879500000000001</v>
      </c>
      <c r="V436" s="315">
        <f t="shared" si="227"/>
        <v>2</v>
      </c>
      <c r="W436" s="316">
        <f t="shared" si="230"/>
        <v>0</v>
      </c>
    </row>
    <row r="437" spans="1:23" x14ac:dyDescent="0.25">
      <c r="A437" s="202" t="s">
        <v>15034</v>
      </c>
      <c r="B437" s="313" t="s">
        <v>18939</v>
      </c>
      <c r="C437" s="248"/>
      <c r="D437" s="247" t="s">
        <v>2</v>
      </c>
      <c r="E437" s="249">
        <f t="shared" si="217"/>
        <v>0</v>
      </c>
      <c r="F437" s="314"/>
      <c r="G437" s="258">
        <f t="shared" si="218"/>
        <v>0</v>
      </c>
      <c r="H437" s="249">
        <f t="shared" si="219"/>
        <v>26.283314926000003</v>
      </c>
      <c r="I437" s="258">
        <v>0.55000000000000004</v>
      </c>
      <c r="J437" s="258">
        <f t="shared" si="220"/>
        <v>0.55000000000000004</v>
      </c>
      <c r="K437" s="249">
        <f t="shared" si="221"/>
        <v>0</v>
      </c>
      <c r="L437" s="314"/>
      <c r="M437" s="258">
        <f t="shared" si="222"/>
        <v>0</v>
      </c>
      <c r="N437" s="251">
        <f t="shared" si="223"/>
        <v>21.504530394000003</v>
      </c>
      <c r="O437" s="258">
        <v>0.45</v>
      </c>
      <c r="P437" s="258">
        <f t="shared" si="224"/>
        <v>0.45</v>
      </c>
      <c r="Q437" s="249">
        <v>47.090899999999998</v>
      </c>
      <c r="R437" s="249">
        <f t="shared" si="225"/>
        <v>47.787845320000002</v>
      </c>
      <c r="S437" s="258">
        <v>0.1</v>
      </c>
      <c r="T437" s="169">
        <f t="shared" si="229"/>
        <v>51.799989999999994</v>
      </c>
      <c r="U437" s="315">
        <f t="shared" si="226"/>
        <v>52.566629852000005</v>
      </c>
      <c r="V437" s="315">
        <f t="shared" si="227"/>
        <v>53</v>
      </c>
      <c r="W437" s="316">
        <f t="shared" si="230"/>
        <v>0</v>
      </c>
    </row>
    <row r="438" spans="1:23" x14ac:dyDescent="0.25">
      <c r="A438" s="200" t="s">
        <v>15035</v>
      </c>
      <c r="B438" s="313" t="s">
        <v>18940</v>
      </c>
      <c r="C438" s="248"/>
      <c r="D438" s="247" t="s">
        <v>2</v>
      </c>
      <c r="E438" s="249">
        <f t="shared" si="217"/>
        <v>0</v>
      </c>
      <c r="F438" s="314"/>
      <c r="G438" s="258">
        <f t="shared" si="218"/>
        <v>0</v>
      </c>
      <c r="H438" s="249">
        <f t="shared" si="219"/>
        <v>28.921810148000006</v>
      </c>
      <c r="I438" s="258">
        <v>0.55000000000000004</v>
      </c>
      <c r="J438" s="258">
        <f t="shared" si="220"/>
        <v>0.55000000000000004</v>
      </c>
      <c r="K438" s="249">
        <f t="shared" si="221"/>
        <v>0</v>
      </c>
      <c r="L438" s="314"/>
      <c r="M438" s="258">
        <f t="shared" si="222"/>
        <v>0</v>
      </c>
      <c r="N438" s="251">
        <f t="shared" si="223"/>
        <v>23.663299212000002</v>
      </c>
      <c r="O438" s="258">
        <v>0.45</v>
      </c>
      <c r="P438" s="258">
        <f t="shared" si="224"/>
        <v>0.45</v>
      </c>
      <c r="Q438" s="249">
        <v>51.818199999999997</v>
      </c>
      <c r="R438" s="249">
        <f t="shared" si="225"/>
        <v>52.585109360000004</v>
      </c>
      <c r="S438" s="258">
        <v>0.1</v>
      </c>
      <c r="T438" s="169">
        <f t="shared" si="229"/>
        <v>57.000019999999999</v>
      </c>
      <c r="U438" s="315">
        <f t="shared" si="226"/>
        <v>57.843620296000005</v>
      </c>
      <c r="V438" s="315">
        <f t="shared" si="227"/>
        <v>58</v>
      </c>
      <c r="W438" s="316">
        <f t="shared" si="230"/>
        <v>0</v>
      </c>
    </row>
    <row r="439" spans="1:23" ht="21" x14ac:dyDescent="0.25">
      <c r="A439" s="200" t="s">
        <v>15036</v>
      </c>
      <c r="B439" s="255" t="s">
        <v>20243</v>
      </c>
      <c r="C439" s="248"/>
      <c r="D439" s="247" t="s">
        <v>2</v>
      </c>
      <c r="E439" s="249">
        <f t="shared" si="217"/>
        <v>0</v>
      </c>
      <c r="F439" s="258"/>
      <c r="G439" s="258">
        <f t="shared" si="218"/>
        <v>0</v>
      </c>
      <c r="H439" s="249">
        <f t="shared" si="219"/>
        <v>77.936574927200013</v>
      </c>
      <c r="I439" s="258">
        <v>0.67</v>
      </c>
      <c r="J439" s="258">
        <f t="shared" si="220"/>
        <v>0.67</v>
      </c>
      <c r="K439" s="249">
        <f t="shared" si="221"/>
        <v>0</v>
      </c>
      <c r="L439" s="314"/>
      <c r="M439" s="258">
        <f t="shared" si="222"/>
        <v>0</v>
      </c>
      <c r="N439" s="251">
        <f t="shared" si="223"/>
        <v>38.386671232800005</v>
      </c>
      <c r="O439" s="258">
        <v>0.33</v>
      </c>
      <c r="P439" s="258">
        <f t="shared" si="224"/>
        <v>0.33</v>
      </c>
      <c r="Q439" s="249">
        <v>114.5455</v>
      </c>
      <c r="R439" s="249">
        <f t="shared" si="225"/>
        <v>116.32324616000001</v>
      </c>
      <c r="S439" s="258">
        <v>0.1</v>
      </c>
      <c r="T439" s="169">
        <f t="shared" si="229"/>
        <v>126.00005</v>
      </c>
      <c r="U439" s="315">
        <f t="shared" si="226"/>
        <v>127.95557077600002</v>
      </c>
      <c r="V439" s="315">
        <f t="shared" si="227"/>
        <v>130</v>
      </c>
      <c r="W439" s="316">
        <f t="shared" si="230"/>
        <v>0</v>
      </c>
    </row>
    <row r="440" spans="1:23" ht="21" x14ac:dyDescent="0.25">
      <c r="A440" s="200" t="s">
        <v>15037</v>
      </c>
      <c r="B440" s="255" t="s">
        <v>20244</v>
      </c>
      <c r="C440" s="248"/>
      <c r="D440" s="247" t="s">
        <v>2</v>
      </c>
      <c r="E440" s="249">
        <f t="shared" si="217"/>
        <v>0</v>
      </c>
      <c r="F440" s="258"/>
      <c r="G440" s="258">
        <f t="shared" si="218"/>
        <v>0</v>
      </c>
      <c r="H440" s="249">
        <f t="shared" si="219"/>
        <v>91.544542927200013</v>
      </c>
      <c r="I440" s="258">
        <v>0.67</v>
      </c>
      <c r="J440" s="258">
        <f t="shared" si="220"/>
        <v>0.67</v>
      </c>
      <c r="K440" s="249">
        <f t="shared" si="221"/>
        <v>0</v>
      </c>
      <c r="L440" s="314"/>
      <c r="M440" s="258">
        <f t="shared" si="222"/>
        <v>0</v>
      </c>
      <c r="N440" s="251">
        <f t="shared" si="223"/>
        <v>45.089103232800007</v>
      </c>
      <c r="O440" s="258">
        <v>0.33</v>
      </c>
      <c r="P440" s="258">
        <f t="shared" si="224"/>
        <v>0.33</v>
      </c>
      <c r="Q440" s="249">
        <v>134.5455</v>
      </c>
      <c r="R440" s="249">
        <f t="shared" si="225"/>
        <v>136.63364616000001</v>
      </c>
      <c r="S440" s="258">
        <v>0.1</v>
      </c>
      <c r="T440" s="169">
        <f t="shared" si="229"/>
        <v>148.00005000000002</v>
      </c>
      <c r="U440" s="315">
        <f t="shared" si="226"/>
        <v>150.29701077600001</v>
      </c>
      <c r="V440" s="315">
        <f t="shared" si="227"/>
        <v>155</v>
      </c>
      <c r="W440" s="316">
        <f t="shared" si="230"/>
        <v>0</v>
      </c>
    </row>
    <row r="441" spans="1:23" x14ac:dyDescent="0.25">
      <c r="A441" s="200" t="s">
        <v>16244</v>
      </c>
      <c r="B441" s="313" t="s">
        <v>20245</v>
      </c>
      <c r="C441" s="248"/>
      <c r="D441" s="247" t="s">
        <v>2</v>
      </c>
      <c r="E441" s="249">
        <f t="shared" si="217"/>
        <v>17.3</v>
      </c>
      <c r="F441" s="258">
        <f>17.3/76.23</f>
        <v>0.22694477239931785</v>
      </c>
      <c r="G441" s="258">
        <f t="shared" si="218"/>
        <v>0.22694477239931785</v>
      </c>
      <c r="H441" s="249">
        <f t="shared" si="219"/>
        <v>54.3</v>
      </c>
      <c r="I441" s="258">
        <f>54.3/76.23</f>
        <v>0.71231798504525767</v>
      </c>
      <c r="J441" s="258">
        <f t="shared" si="220"/>
        <v>0.71231798504525767</v>
      </c>
      <c r="K441" s="249">
        <f t="shared" si="221"/>
        <v>3.63</v>
      </c>
      <c r="L441" s="314">
        <f>3.63/76.23</f>
        <v>4.7619047619047616E-2</v>
      </c>
      <c r="M441" s="258">
        <f t="shared" si="222"/>
        <v>4.7619047619047616E-2</v>
      </c>
      <c r="N441" s="251">
        <f t="shared" si="223"/>
        <v>1</v>
      </c>
      <c r="O441" s="258">
        <f>1/76.23</f>
        <v>1.3118194936376754E-2</v>
      </c>
      <c r="P441" s="258">
        <f t="shared" si="224"/>
        <v>1.3118194936376754E-2</v>
      </c>
      <c r="Q441" s="249"/>
      <c r="R441" s="249">
        <v>76.23</v>
      </c>
      <c r="S441" s="258">
        <v>0.15</v>
      </c>
      <c r="T441" s="169">
        <f t="shared" si="229"/>
        <v>0</v>
      </c>
      <c r="U441" s="315">
        <f t="shared" si="226"/>
        <v>87.664500000000004</v>
      </c>
      <c r="V441" s="315">
        <f t="shared" si="227"/>
        <v>88</v>
      </c>
      <c r="W441" s="316">
        <f t="shared" si="230"/>
        <v>0</v>
      </c>
    </row>
    <row r="442" spans="1:23" x14ac:dyDescent="0.25">
      <c r="A442" s="200" t="s">
        <v>16245</v>
      </c>
      <c r="B442" s="313" t="s">
        <v>20246</v>
      </c>
      <c r="C442" s="248"/>
      <c r="D442" s="247" t="s">
        <v>2</v>
      </c>
      <c r="E442" s="249">
        <f t="shared" si="217"/>
        <v>17.47</v>
      </c>
      <c r="F442" s="258">
        <f>17.47/81.32</f>
        <v>0.21483030004918841</v>
      </c>
      <c r="G442" s="258">
        <f t="shared" si="218"/>
        <v>0.21483030004918841</v>
      </c>
      <c r="H442" s="249">
        <f t="shared" si="219"/>
        <v>59.170000000000009</v>
      </c>
      <c r="I442" s="258">
        <f>59.17/81.32</f>
        <v>0.72761928184948366</v>
      </c>
      <c r="J442" s="258">
        <f t="shared" si="220"/>
        <v>0.72761928184948366</v>
      </c>
      <c r="K442" s="249">
        <f t="shared" si="221"/>
        <v>3.68</v>
      </c>
      <c r="L442" s="314">
        <f>3.68/81.32</f>
        <v>4.525332021642893E-2</v>
      </c>
      <c r="M442" s="258">
        <f t="shared" si="222"/>
        <v>4.525332021642893E-2</v>
      </c>
      <c r="N442" s="251">
        <f t="shared" si="223"/>
        <v>1</v>
      </c>
      <c r="O442" s="258">
        <f>1/81.32</f>
        <v>1.2297097884899164E-2</v>
      </c>
      <c r="P442" s="258">
        <f t="shared" si="224"/>
        <v>1.2297097884899164E-2</v>
      </c>
      <c r="Q442" s="249"/>
      <c r="R442" s="249">
        <v>81.319999999999993</v>
      </c>
      <c r="S442" s="258">
        <v>0.15</v>
      </c>
      <c r="T442" s="169">
        <f t="shared" si="229"/>
        <v>0</v>
      </c>
      <c r="U442" s="315">
        <f>(R442*S442)+R442-0.52</f>
        <v>92.99799999999999</v>
      </c>
      <c r="V442" s="315">
        <f t="shared" si="227"/>
        <v>93</v>
      </c>
      <c r="W442" s="316">
        <f t="shared" si="230"/>
        <v>0</v>
      </c>
    </row>
    <row r="443" spans="1:23" ht="21" x14ac:dyDescent="0.25">
      <c r="A443" s="200" t="s">
        <v>16246</v>
      </c>
      <c r="B443" s="255" t="s">
        <v>20247</v>
      </c>
      <c r="C443" s="248"/>
      <c r="D443" s="247" t="s">
        <v>2</v>
      </c>
      <c r="E443" s="249">
        <f t="shared" si="217"/>
        <v>36.5</v>
      </c>
      <c r="F443" s="258">
        <f>36.5/124.63</f>
        <v>0.29286688598250826</v>
      </c>
      <c r="G443" s="258">
        <f t="shared" si="218"/>
        <v>0.29286688598250826</v>
      </c>
      <c r="H443" s="249">
        <f t="shared" si="219"/>
        <v>78.45</v>
      </c>
      <c r="I443" s="258">
        <f>78.45/124.63</f>
        <v>0.62946321110487047</v>
      </c>
      <c r="J443" s="258">
        <f t="shared" si="220"/>
        <v>0.62946321110487047</v>
      </c>
      <c r="K443" s="249">
        <f t="shared" si="221"/>
        <v>7.68</v>
      </c>
      <c r="L443" s="314">
        <f>7.68/124.63</f>
        <v>6.162240231084009E-2</v>
      </c>
      <c r="M443" s="258">
        <f t="shared" si="222"/>
        <v>6.162240231084009E-2</v>
      </c>
      <c r="N443" s="251">
        <f t="shared" si="223"/>
        <v>2</v>
      </c>
      <c r="O443" s="258">
        <f>2/124.63</f>
        <v>1.6047500601781273E-2</v>
      </c>
      <c r="P443" s="258">
        <f t="shared" si="224"/>
        <v>1.6047500601781273E-2</v>
      </c>
      <c r="Q443" s="249"/>
      <c r="R443" s="249">
        <v>124.63</v>
      </c>
      <c r="S443" s="258">
        <v>0.15</v>
      </c>
      <c r="T443" s="169">
        <f t="shared" si="229"/>
        <v>0</v>
      </c>
      <c r="U443" s="315">
        <f>(R443*S443)+R443-0.33</f>
        <v>142.99449999999999</v>
      </c>
      <c r="V443" s="315">
        <f>IF(U443=0, 0, IF(U443&lt;10, _xlfn.CEILING.MATH(U443,1), IF(U443&lt;100, _xlfn.CEILING.MATH(U443,1),IF(U443&lt;1000, _xlfn.CEILING.MATH(U443,1), IF(U443&lt;10000, _xlfn.CEILING.MATH(U443, 25), IF(U443&lt;100000, _xlfn.CEILING.MATH(U443,250), IF(U443&lt;1000000, _xlfn.CEILING.MATH(U443,500), 0)))))))</f>
        <v>143</v>
      </c>
      <c r="W443" s="316">
        <f t="shared" si="230"/>
        <v>0</v>
      </c>
    </row>
    <row r="444" spans="1:23" ht="21.6" thickBot="1" x14ac:dyDescent="0.3">
      <c r="A444" s="263" t="s">
        <v>16247</v>
      </c>
      <c r="B444" s="327" t="s">
        <v>20248</v>
      </c>
      <c r="C444" s="265"/>
      <c r="D444" s="264" t="s">
        <v>2</v>
      </c>
      <c r="E444" s="266">
        <f t="shared" si="217"/>
        <v>59.69</v>
      </c>
      <c r="F444" s="322">
        <f>59.69/194.19</f>
        <v>0.30737937071939853</v>
      </c>
      <c r="G444" s="322">
        <f t="shared" si="218"/>
        <v>0.30737937071939853</v>
      </c>
      <c r="H444" s="266">
        <f t="shared" si="219"/>
        <v>120.82000000000001</v>
      </c>
      <c r="I444" s="322">
        <f>120.82/194.19</f>
        <v>0.62217415932849274</v>
      </c>
      <c r="J444" s="322">
        <f t="shared" si="220"/>
        <v>0.62217415932849274</v>
      </c>
      <c r="K444" s="266">
        <f t="shared" si="221"/>
        <v>11.68</v>
      </c>
      <c r="L444" s="323">
        <f>11.68/194.19</f>
        <v>6.0147278438642565E-2</v>
      </c>
      <c r="M444" s="322">
        <f t="shared" si="222"/>
        <v>6.0147278438642565E-2</v>
      </c>
      <c r="N444" s="270">
        <f t="shared" si="223"/>
        <v>1.9999999999999998</v>
      </c>
      <c r="O444" s="322">
        <f>2/194.19</f>
        <v>1.0299191513466192E-2</v>
      </c>
      <c r="P444" s="322">
        <f t="shared" si="224"/>
        <v>1.0299191513466192E-2</v>
      </c>
      <c r="Q444" s="266"/>
      <c r="R444" s="266">
        <v>194.19</v>
      </c>
      <c r="S444" s="322">
        <v>0.15</v>
      </c>
      <c r="T444" s="291">
        <f t="shared" si="229"/>
        <v>0</v>
      </c>
      <c r="U444" s="324">
        <f>(R444*S444)+R444-0.32</f>
        <v>222.99850000000001</v>
      </c>
      <c r="V444" s="324">
        <f>IF(U444=0, 0, IF(U444&lt;10, _xlfn.CEILING.MATH(U444,1), IF(U444&lt;100, _xlfn.CEILING.MATH(U444,1),IF(U444&lt;1000, _xlfn.CEILING.MATH(U444,1), IF(U444&lt;10000, _xlfn.CEILING.MATH(U444, 25), IF(U444&lt;100000, _xlfn.CEILING.MATH(U444,250), IF(U444&lt;1000000, _xlfn.CEILING.MATH(U444,500), 0)))))))</f>
        <v>223</v>
      </c>
      <c r="W444" s="325">
        <f t="shared" si="230"/>
        <v>0</v>
      </c>
    </row>
    <row r="445" spans="1:23" ht="21" x14ac:dyDescent="0.25">
      <c r="A445" s="200" t="s">
        <v>16248</v>
      </c>
      <c r="B445" s="255" t="s">
        <v>20249</v>
      </c>
      <c r="C445" s="248"/>
      <c r="D445" s="247" t="s">
        <v>2</v>
      </c>
      <c r="E445" s="249">
        <f t="shared" si="217"/>
        <v>53.56</v>
      </c>
      <c r="F445" s="258">
        <f>53.56/164.26</f>
        <v>0.32606842810178988</v>
      </c>
      <c r="G445" s="258">
        <f t="shared" si="218"/>
        <v>0.32606842810178988</v>
      </c>
      <c r="H445" s="249">
        <f t="shared" si="219"/>
        <v>98.410000000000011</v>
      </c>
      <c r="I445" s="258">
        <f>98.41/164.26</f>
        <v>0.5991111652258615</v>
      </c>
      <c r="J445" s="258">
        <f t="shared" si="220"/>
        <v>0.5991111652258615</v>
      </c>
      <c r="K445" s="249">
        <f t="shared" si="221"/>
        <v>10.29</v>
      </c>
      <c r="L445" s="314">
        <f>10.29/164.26</f>
        <v>6.2644587848532815E-2</v>
      </c>
      <c r="M445" s="258">
        <f t="shared" si="222"/>
        <v>6.2644587848532815E-2</v>
      </c>
      <c r="N445" s="251">
        <f t="shared" si="223"/>
        <v>2</v>
      </c>
      <c r="O445" s="258">
        <f>2/164.26</f>
        <v>1.2175818823815902E-2</v>
      </c>
      <c r="P445" s="258">
        <f t="shared" si="224"/>
        <v>1.2175818823815902E-2</v>
      </c>
      <c r="Q445" s="249"/>
      <c r="R445" s="249">
        <v>164.26</v>
      </c>
      <c r="S445" s="258">
        <v>0.15</v>
      </c>
      <c r="T445" s="169">
        <f t="shared" si="229"/>
        <v>0</v>
      </c>
      <c r="U445" s="315">
        <f>(R445*S445)+R445-0.9</f>
        <v>187.999</v>
      </c>
      <c r="V445" s="315">
        <f>IF(U445=0, 0, IF(U445&lt;10, _xlfn.CEILING.MATH(U445,1), IF(U445&lt;100, _xlfn.CEILING.MATH(U445,1),IF(U445&lt;1000, _xlfn.CEILING.MATH(U445,1), IF(U445&lt;10000, _xlfn.CEILING.MATH(U445, 25), IF(U445&lt;100000, _xlfn.CEILING.MATH(U445,250), IF(U445&lt;1000000, _xlfn.CEILING.MATH(U445,500), 0)))))))</f>
        <v>188</v>
      </c>
      <c r="W445" s="316">
        <f t="shared" si="230"/>
        <v>0</v>
      </c>
    </row>
    <row r="446" spans="1:23" ht="21" x14ac:dyDescent="0.25">
      <c r="A446" s="200" t="s">
        <v>15038</v>
      </c>
      <c r="B446" s="255" t="s">
        <v>20250</v>
      </c>
      <c r="C446" s="248"/>
      <c r="D446" s="247" t="s">
        <v>2</v>
      </c>
      <c r="E446" s="249">
        <f t="shared" si="217"/>
        <v>0</v>
      </c>
      <c r="F446" s="314"/>
      <c r="G446" s="258">
        <f t="shared" si="218"/>
        <v>0</v>
      </c>
      <c r="H446" s="249">
        <f t="shared" si="219"/>
        <v>33.775117770000001</v>
      </c>
      <c r="I446" s="258">
        <v>0.6</v>
      </c>
      <c r="J446" s="258">
        <f t="shared" si="220"/>
        <v>0.6</v>
      </c>
      <c r="K446" s="249">
        <f t="shared" si="221"/>
        <v>0</v>
      </c>
      <c r="L446" s="314"/>
      <c r="M446" s="258">
        <f t="shared" si="222"/>
        <v>0</v>
      </c>
      <c r="N446" s="251">
        <f t="shared" si="223"/>
        <v>22.516745180000004</v>
      </c>
      <c r="O446" s="258">
        <v>0.4</v>
      </c>
      <c r="P446" s="258">
        <f t="shared" si="224"/>
        <v>0.4</v>
      </c>
      <c r="Q446" s="249">
        <v>55.454500000000003</v>
      </c>
      <c r="R446" s="249">
        <f t="shared" si="225"/>
        <v>56.291862950000009</v>
      </c>
      <c r="S446" s="258">
        <v>0.1</v>
      </c>
      <c r="T446" s="169">
        <f t="shared" si="229"/>
        <v>60.999950000000005</v>
      </c>
      <c r="U446" s="315">
        <f t="shared" si="226"/>
        <v>61.921049245000013</v>
      </c>
      <c r="V446" s="315">
        <f t="shared" si="227"/>
        <v>62</v>
      </c>
      <c r="W446" s="316">
        <f t="shared" si="230"/>
        <v>0</v>
      </c>
    </row>
    <row r="447" spans="1:23" ht="21" x14ac:dyDescent="0.25">
      <c r="A447" s="200" t="s">
        <v>15039</v>
      </c>
      <c r="B447" s="255" t="s">
        <v>20251</v>
      </c>
      <c r="C447" s="248"/>
      <c r="D447" s="247" t="s">
        <v>2</v>
      </c>
      <c r="E447" s="249">
        <f t="shared" si="217"/>
        <v>0</v>
      </c>
      <c r="F447" s="314"/>
      <c r="G447" s="258">
        <f t="shared" si="218"/>
        <v>0</v>
      </c>
      <c r="H447" s="249">
        <f t="shared" si="219"/>
        <v>37.235735783999999</v>
      </c>
      <c r="I447" s="258">
        <v>0.6</v>
      </c>
      <c r="J447" s="258">
        <f t="shared" si="220"/>
        <v>0.6</v>
      </c>
      <c r="K447" s="249">
        <f t="shared" si="221"/>
        <v>0</v>
      </c>
      <c r="L447" s="314"/>
      <c r="M447" s="258">
        <f t="shared" si="222"/>
        <v>0</v>
      </c>
      <c r="N447" s="251">
        <f t="shared" si="223"/>
        <v>24.823823856000004</v>
      </c>
      <c r="O447" s="258">
        <v>0.4</v>
      </c>
      <c r="P447" s="258">
        <f t="shared" si="224"/>
        <v>0.4</v>
      </c>
      <c r="Q447" s="249">
        <v>61.136400000000002</v>
      </c>
      <c r="R447" s="249">
        <f t="shared" si="225"/>
        <v>62.059559640000003</v>
      </c>
      <c r="S447" s="258">
        <v>0.1</v>
      </c>
      <c r="T447" s="169">
        <f t="shared" si="229"/>
        <v>67.250039999999998</v>
      </c>
      <c r="U447" s="315">
        <f t="shared" si="226"/>
        <v>68.265515604000001</v>
      </c>
      <c r="V447" s="315">
        <f t="shared" si="227"/>
        <v>69</v>
      </c>
      <c r="W447" s="316">
        <f t="shared" si="230"/>
        <v>0</v>
      </c>
    </row>
    <row r="448" spans="1:23" ht="21" x14ac:dyDescent="0.25">
      <c r="A448" s="200" t="s">
        <v>15040</v>
      </c>
      <c r="B448" s="255" t="s">
        <v>20252</v>
      </c>
      <c r="C448" s="248"/>
      <c r="D448" s="247" t="s">
        <v>2</v>
      </c>
      <c r="E448" s="249">
        <f t="shared" ref="E448:E512" si="231">R448*G448</f>
        <v>0</v>
      </c>
      <c r="F448" s="314"/>
      <c r="G448" s="258">
        <f t="shared" ref="G448:G512" si="232">F448</f>
        <v>0</v>
      </c>
      <c r="H448" s="249">
        <f t="shared" ref="H448:H512" si="233">R448*J448</f>
        <v>45.600684909000002</v>
      </c>
      <c r="I448" s="258">
        <v>0.65</v>
      </c>
      <c r="J448" s="258">
        <f t="shared" ref="J448:J512" si="234">I448</f>
        <v>0.65</v>
      </c>
      <c r="K448" s="249">
        <f t="shared" ref="K448:K512" si="235">R448*M448</f>
        <v>0</v>
      </c>
      <c r="L448" s="314"/>
      <c r="M448" s="258">
        <f t="shared" ref="M448:M512" si="236">L448</f>
        <v>0</v>
      </c>
      <c r="N448" s="251">
        <f t="shared" ref="N448:N512" si="237">P448*R448</f>
        <v>24.554214950999999</v>
      </c>
      <c r="O448" s="258">
        <v>0.35</v>
      </c>
      <c r="P448" s="258">
        <f t="shared" ref="P448:P512" si="238">O448</f>
        <v>0.35</v>
      </c>
      <c r="Q448" s="249">
        <v>69.090900000000005</v>
      </c>
      <c r="R448" s="249">
        <f t="shared" ref="R448:R512" si="239">SUM(F448*Q448*1.0235,I448*Q448*1.0175,L448*Q448*1.0245,O448*Q448*1.0115)</f>
        <v>70.15489986</v>
      </c>
      <c r="S448" s="258">
        <v>0.1</v>
      </c>
      <c r="T448" s="169">
        <f t="shared" si="229"/>
        <v>75.999990000000011</v>
      </c>
      <c r="U448" s="315">
        <f t="shared" si="226"/>
        <v>77.170389846000006</v>
      </c>
      <c r="V448" s="315">
        <f t="shared" si="227"/>
        <v>78</v>
      </c>
      <c r="W448" s="316">
        <f t="shared" si="230"/>
        <v>0</v>
      </c>
    </row>
    <row r="449" spans="1:23" ht="21" x14ac:dyDescent="0.25">
      <c r="A449" s="200" t="s">
        <v>15041</v>
      </c>
      <c r="B449" s="255" t="s">
        <v>20253</v>
      </c>
      <c r="C449" s="248"/>
      <c r="D449" s="247" t="s">
        <v>2</v>
      </c>
      <c r="E449" s="249">
        <f t="shared" si="231"/>
        <v>0</v>
      </c>
      <c r="F449" s="314"/>
      <c r="G449" s="258">
        <f t="shared" si="232"/>
        <v>0</v>
      </c>
      <c r="H449" s="249">
        <f t="shared" si="233"/>
        <v>27.019055074000008</v>
      </c>
      <c r="I449" s="258">
        <v>0.55000000000000004</v>
      </c>
      <c r="J449" s="258">
        <f t="shared" si="234"/>
        <v>0.55000000000000004</v>
      </c>
      <c r="K449" s="249">
        <f t="shared" si="235"/>
        <v>0</v>
      </c>
      <c r="L449" s="314"/>
      <c r="M449" s="258">
        <f t="shared" si="236"/>
        <v>0</v>
      </c>
      <c r="N449" s="251">
        <f t="shared" si="237"/>
        <v>22.106499606000003</v>
      </c>
      <c r="O449" s="258">
        <v>0.45</v>
      </c>
      <c r="P449" s="258">
        <f t="shared" si="238"/>
        <v>0.45</v>
      </c>
      <c r="Q449" s="249">
        <v>48.409100000000002</v>
      </c>
      <c r="R449" s="249">
        <f t="shared" si="239"/>
        <v>49.125554680000008</v>
      </c>
      <c r="S449" s="258">
        <v>0.1</v>
      </c>
      <c r="T449" s="169">
        <f t="shared" si="229"/>
        <v>53.250010000000003</v>
      </c>
      <c r="U449" s="315">
        <f t="shared" si="226"/>
        <v>54.038110148000008</v>
      </c>
      <c r="V449" s="315">
        <f t="shared" si="227"/>
        <v>55</v>
      </c>
      <c r="W449" s="316">
        <f t="shared" si="230"/>
        <v>0</v>
      </c>
    </row>
    <row r="450" spans="1:23" ht="21" x14ac:dyDescent="0.25">
      <c r="A450" s="200" t="s">
        <v>15042</v>
      </c>
      <c r="B450" s="255" t="s">
        <v>20254</v>
      </c>
      <c r="C450" s="248"/>
      <c r="D450" s="247" t="s">
        <v>2</v>
      </c>
      <c r="E450" s="249">
        <f t="shared" si="231"/>
        <v>0</v>
      </c>
      <c r="F450" s="314"/>
      <c r="G450" s="258">
        <f t="shared" si="232"/>
        <v>0</v>
      </c>
      <c r="H450" s="249">
        <f t="shared" si="233"/>
        <v>20.635843050000005</v>
      </c>
      <c r="I450" s="258">
        <v>0.5</v>
      </c>
      <c r="J450" s="258">
        <f t="shared" si="234"/>
        <v>0.5</v>
      </c>
      <c r="K450" s="249">
        <f t="shared" si="235"/>
        <v>0</v>
      </c>
      <c r="L450" s="314"/>
      <c r="M450" s="258">
        <f t="shared" si="236"/>
        <v>0</v>
      </c>
      <c r="N450" s="251">
        <f t="shared" si="237"/>
        <v>20.635843050000005</v>
      </c>
      <c r="O450" s="258">
        <v>0.5</v>
      </c>
      <c r="P450" s="258">
        <f t="shared" si="238"/>
        <v>0.5</v>
      </c>
      <c r="Q450" s="249">
        <v>40.681800000000003</v>
      </c>
      <c r="R450" s="249">
        <f t="shared" si="239"/>
        <v>41.271686100000011</v>
      </c>
      <c r="S450" s="258">
        <v>0.1</v>
      </c>
      <c r="T450" s="169">
        <f t="shared" si="229"/>
        <v>44.749980000000001</v>
      </c>
      <c r="U450" s="315">
        <f t="shared" si="226"/>
        <v>45.398854710000009</v>
      </c>
      <c r="V450" s="315">
        <f t="shared" si="227"/>
        <v>46</v>
      </c>
      <c r="W450" s="316">
        <f t="shared" si="230"/>
        <v>0</v>
      </c>
    </row>
    <row r="451" spans="1:23" ht="21" x14ac:dyDescent="0.25">
      <c r="A451" s="200" t="s">
        <v>15043</v>
      </c>
      <c r="B451" s="255" t="s">
        <v>20255</v>
      </c>
      <c r="C451" s="248"/>
      <c r="D451" s="247" t="s">
        <v>2</v>
      </c>
      <c r="E451" s="249">
        <f t="shared" si="231"/>
        <v>0</v>
      </c>
      <c r="F451" s="314"/>
      <c r="G451" s="258">
        <f t="shared" si="232"/>
        <v>0</v>
      </c>
      <c r="H451" s="249">
        <f t="shared" si="233"/>
        <v>23.262464658159999</v>
      </c>
      <c r="I451" s="258">
        <v>0.52</v>
      </c>
      <c r="J451" s="258">
        <f t="shared" si="234"/>
        <v>0.52</v>
      </c>
      <c r="K451" s="249">
        <f t="shared" si="235"/>
        <v>0</v>
      </c>
      <c r="L451" s="314"/>
      <c r="M451" s="258">
        <f t="shared" si="236"/>
        <v>0</v>
      </c>
      <c r="N451" s="251">
        <f t="shared" si="237"/>
        <v>21.473044299839998</v>
      </c>
      <c r="O451" s="258">
        <v>0.48</v>
      </c>
      <c r="P451" s="258">
        <f t="shared" si="238"/>
        <v>0.48</v>
      </c>
      <c r="Q451" s="249">
        <v>44.090899999999998</v>
      </c>
      <c r="R451" s="249">
        <f t="shared" si="239"/>
        <v>44.735508957999997</v>
      </c>
      <c r="S451" s="258">
        <v>0.1</v>
      </c>
      <c r="T451" s="169">
        <f t="shared" si="229"/>
        <v>48.499989999999997</v>
      </c>
      <c r="U451" s="315">
        <f t="shared" ref="U451:U515" si="240">(R451*S451)+R451</f>
        <v>49.209059853799999</v>
      </c>
      <c r="V451" s="315">
        <f t="shared" ref="V451:V515" si="241">IF(U451=0, 0, IF(U451&lt;10, _xlfn.CEILING.MATH(U451,1), IF(U451&lt;100, _xlfn.CEILING.MATH(U451,1),IF(U451&lt;1000, _xlfn.CEILING.MATH(U451,5), IF(U451&lt;10000, _xlfn.CEILING.MATH(U451, 25), IF(U451&lt;100000, _xlfn.CEILING.MATH(U451,250), IF(U451&lt;1000000, _xlfn.CEILING.MATH(U451,500), 0)))))))</f>
        <v>50</v>
      </c>
      <c r="W451" s="316">
        <f t="shared" si="230"/>
        <v>0</v>
      </c>
    </row>
    <row r="452" spans="1:23" ht="21" x14ac:dyDescent="0.25">
      <c r="A452" s="200" t="s">
        <v>15044</v>
      </c>
      <c r="B452" s="255" t="s">
        <v>20256</v>
      </c>
      <c r="C452" s="248"/>
      <c r="D452" s="247" t="s">
        <v>2</v>
      </c>
      <c r="E452" s="249">
        <f t="shared" si="231"/>
        <v>0</v>
      </c>
      <c r="F452" s="314"/>
      <c r="G452" s="258">
        <f t="shared" si="232"/>
        <v>0</v>
      </c>
      <c r="H452" s="249">
        <f t="shared" si="233"/>
        <v>28.643327782920007</v>
      </c>
      <c r="I452" s="258">
        <v>0.54</v>
      </c>
      <c r="J452" s="258">
        <f t="shared" si="234"/>
        <v>0.54</v>
      </c>
      <c r="K452" s="249">
        <f t="shared" si="235"/>
        <v>0</v>
      </c>
      <c r="L452" s="314"/>
      <c r="M452" s="258">
        <f t="shared" si="236"/>
        <v>0</v>
      </c>
      <c r="N452" s="251">
        <f t="shared" si="237"/>
        <v>24.399871815080004</v>
      </c>
      <c r="O452" s="258">
        <v>0.46</v>
      </c>
      <c r="P452" s="258">
        <f t="shared" si="238"/>
        <v>0.46</v>
      </c>
      <c r="Q452" s="249">
        <v>52.2727</v>
      </c>
      <c r="R452" s="249">
        <f t="shared" si="239"/>
        <v>53.043199598000008</v>
      </c>
      <c r="S452" s="258">
        <v>0.1</v>
      </c>
      <c r="T452" s="169">
        <f t="shared" si="229"/>
        <v>57.499970000000005</v>
      </c>
      <c r="U452" s="315">
        <f t="shared" si="240"/>
        <v>58.347519557800013</v>
      </c>
      <c r="V452" s="315">
        <f t="shared" si="241"/>
        <v>59</v>
      </c>
      <c r="W452" s="316">
        <f t="shared" si="230"/>
        <v>0</v>
      </c>
    </row>
    <row r="453" spans="1:23" ht="21" x14ac:dyDescent="0.25">
      <c r="A453" s="200" t="s">
        <v>15045</v>
      </c>
      <c r="B453" s="255" t="s">
        <v>20257</v>
      </c>
      <c r="C453" s="248"/>
      <c r="D453" s="247" t="s">
        <v>2</v>
      </c>
      <c r="E453" s="249">
        <f t="shared" si="231"/>
        <v>0</v>
      </c>
      <c r="F453" s="314"/>
      <c r="G453" s="258">
        <f t="shared" si="232"/>
        <v>0</v>
      </c>
      <c r="H453" s="249">
        <f t="shared" si="233"/>
        <v>18.410239338</v>
      </c>
      <c r="I453" s="258">
        <v>0.6</v>
      </c>
      <c r="J453" s="258">
        <f t="shared" si="234"/>
        <v>0.6</v>
      </c>
      <c r="K453" s="249">
        <f t="shared" si="235"/>
        <v>0</v>
      </c>
      <c r="L453" s="314"/>
      <c r="M453" s="258">
        <f t="shared" si="236"/>
        <v>0</v>
      </c>
      <c r="N453" s="251">
        <f t="shared" si="237"/>
        <v>12.273492892</v>
      </c>
      <c r="O453" s="258">
        <v>0.4</v>
      </c>
      <c r="P453" s="258">
        <f t="shared" si="238"/>
        <v>0.4</v>
      </c>
      <c r="Q453" s="249">
        <v>30.2273</v>
      </c>
      <c r="R453" s="249">
        <f t="shared" si="239"/>
        <v>30.68373223</v>
      </c>
      <c r="S453" s="258">
        <v>0.1</v>
      </c>
      <c r="T453" s="169">
        <f t="shared" si="229"/>
        <v>33.250030000000002</v>
      </c>
      <c r="U453" s="315">
        <f t="shared" si="240"/>
        <v>33.752105452999999</v>
      </c>
      <c r="V453" s="315">
        <f t="shared" si="241"/>
        <v>34</v>
      </c>
      <c r="W453" s="316">
        <f t="shared" si="230"/>
        <v>0</v>
      </c>
    </row>
    <row r="454" spans="1:23" ht="21" x14ac:dyDescent="0.25">
      <c r="A454" s="200" t="s">
        <v>15046</v>
      </c>
      <c r="B454" s="255" t="s">
        <v>20258</v>
      </c>
      <c r="C454" s="248"/>
      <c r="D454" s="247" t="s">
        <v>2</v>
      </c>
      <c r="E454" s="249">
        <f t="shared" si="231"/>
        <v>0</v>
      </c>
      <c r="F454" s="314"/>
      <c r="G454" s="258">
        <f t="shared" si="232"/>
        <v>0</v>
      </c>
      <c r="H454" s="249">
        <f t="shared" si="233"/>
        <v>16.997874630000005</v>
      </c>
      <c r="I454" s="258">
        <v>0.55000000000000004</v>
      </c>
      <c r="J454" s="258">
        <f t="shared" si="234"/>
        <v>0.55000000000000004</v>
      </c>
      <c r="K454" s="249">
        <f t="shared" si="235"/>
        <v>0</v>
      </c>
      <c r="L454" s="314"/>
      <c r="M454" s="258">
        <f t="shared" si="236"/>
        <v>0</v>
      </c>
      <c r="N454" s="251">
        <f t="shared" si="237"/>
        <v>13.907351970000002</v>
      </c>
      <c r="O454" s="258">
        <v>0.45</v>
      </c>
      <c r="P454" s="258">
        <f t="shared" si="238"/>
        <v>0.45</v>
      </c>
      <c r="Q454" s="249">
        <v>30.454499999999999</v>
      </c>
      <c r="R454" s="249">
        <f t="shared" si="239"/>
        <v>30.905226600000006</v>
      </c>
      <c r="S454" s="258">
        <v>0.1</v>
      </c>
      <c r="T454" s="169">
        <f t="shared" si="229"/>
        <v>33.499949999999998</v>
      </c>
      <c r="U454" s="315">
        <f t="shared" si="240"/>
        <v>33.995749260000004</v>
      </c>
      <c r="V454" s="315">
        <f t="shared" si="241"/>
        <v>34</v>
      </c>
      <c r="W454" s="316">
        <f t="shared" si="230"/>
        <v>0</v>
      </c>
    </row>
    <row r="455" spans="1:23" ht="21" x14ac:dyDescent="0.25">
      <c r="A455" s="200" t="s">
        <v>15047</v>
      </c>
      <c r="B455" s="255" t="s">
        <v>20259</v>
      </c>
      <c r="C455" s="248"/>
      <c r="D455" s="247" t="s">
        <v>2</v>
      </c>
      <c r="E455" s="249">
        <f t="shared" si="231"/>
        <v>0</v>
      </c>
      <c r="F455" s="314"/>
      <c r="G455" s="258">
        <f t="shared" si="232"/>
        <v>0</v>
      </c>
      <c r="H455" s="249">
        <f t="shared" si="233"/>
        <v>31.283514216</v>
      </c>
      <c r="I455" s="258">
        <v>0.6</v>
      </c>
      <c r="J455" s="258">
        <f t="shared" si="234"/>
        <v>0.6</v>
      </c>
      <c r="K455" s="249">
        <f t="shared" si="235"/>
        <v>0</v>
      </c>
      <c r="L455" s="314"/>
      <c r="M455" s="258">
        <f t="shared" si="236"/>
        <v>0</v>
      </c>
      <c r="N455" s="251">
        <f t="shared" si="237"/>
        <v>20.855676144</v>
      </c>
      <c r="O455" s="258">
        <v>0.4</v>
      </c>
      <c r="P455" s="258">
        <f t="shared" si="238"/>
        <v>0.4</v>
      </c>
      <c r="Q455" s="249">
        <v>51.363599999999998</v>
      </c>
      <c r="R455" s="249">
        <f t="shared" si="239"/>
        <v>52.139190360000001</v>
      </c>
      <c r="S455" s="258">
        <v>0.1</v>
      </c>
      <c r="T455" s="169">
        <f t="shared" si="229"/>
        <v>56.499960000000002</v>
      </c>
      <c r="U455" s="315">
        <f t="shared" si="240"/>
        <v>57.353109396000001</v>
      </c>
      <c r="V455" s="315">
        <f t="shared" si="241"/>
        <v>58</v>
      </c>
      <c r="W455" s="316">
        <f t="shared" si="230"/>
        <v>0</v>
      </c>
    </row>
    <row r="456" spans="1:23" ht="21" x14ac:dyDescent="0.25">
      <c r="A456" s="200" t="s">
        <v>15048</v>
      </c>
      <c r="B456" s="255" t="s">
        <v>20260</v>
      </c>
      <c r="C456" s="248"/>
      <c r="D456" s="247" t="s">
        <v>2</v>
      </c>
      <c r="E456" s="249">
        <f t="shared" si="231"/>
        <v>0</v>
      </c>
      <c r="F456" s="314"/>
      <c r="G456" s="258">
        <f t="shared" si="232"/>
        <v>0</v>
      </c>
      <c r="H456" s="249">
        <f t="shared" si="233"/>
        <v>38.400569818000008</v>
      </c>
      <c r="I456" s="258">
        <v>0.65</v>
      </c>
      <c r="J456" s="258">
        <f t="shared" si="234"/>
        <v>0.65</v>
      </c>
      <c r="K456" s="249">
        <f t="shared" si="235"/>
        <v>0</v>
      </c>
      <c r="L456" s="314"/>
      <c r="M456" s="258">
        <f t="shared" si="236"/>
        <v>0</v>
      </c>
      <c r="N456" s="251">
        <f t="shared" si="237"/>
        <v>20.677229902000001</v>
      </c>
      <c r="O456" s="258">
        <v>0.35</v>
      </c>
      <c r="P456" s="258">
        <f t="shared" si="238"/>
        <v>0.35</v>
      </c>
      <c r="Q456" s="249">
        <v>58.181800000000003</v>
      </c>
      <c r="R456" s="249">
        <f t="shared" si="239"/>
        <v>59.077799720000009</v>
      </c>
      <c r="S456" s="258">
        <v>0.1</v>
      </c>
      <c r="T456" s="169">
        <f t="shared" si="229"/>
        <v>63.999980000000001</v>
      </c>
      <c r="U456" s="315">
        <f t="shared" si="240"/>
        <v>64.985579692000016</v>
      </c>
      <c r="V456" s="315">
        <f t="shared" si="241"/>
        <v>65</v>
      </c>
      <c r="W456" s="316">
        <f t="shared" si="230"/>
        <v>0</v>
      </c>
    </row>
    <row r="457" spans="1:23" ht="21" x14ac:dyDescent="0.25">
      <c r="A457" s="200" t="s">
        <v>15049</v>
      </c>
      <c r="B457" s="255" t="s">
        <v>20261</v>
      </c>
      <c r="C457" s="248"/>
      <c r="D457" s="247" t="s">
        <v>2</v>
      </c>
      <c r="E457" s="249">
        <f t="shared" si="231"/>
        <v>0</v>
      </c>
      <c r="F457" s="314"/>
      <c r="G457" s="258">
        <f t="shared" si="232"/>
        <v>0</v>
      </c>
      <c r="H457" s="249">
        <f t="shared" si="233"/>
        <v>41.400645273000002</v>
      </c>
      <c r="I457" s="258">
        <v>0.65</v>
      </c>
      <c r="J457" s="258">
        <f t="shared" si="234"/>
        <v>0.65</v>
      </c>
      <c r="K457" s="249">
        <f t="shared" si="235"/>
        <v>0</v>
      </c>
      <c r="L457" s="314"/>
      <c r="M457" s="258">
        <f t="shared" si="236"/>
        <v>0</v>
      </c>
      <c r="N457" s="251">
        <f t="shared" si="237"/>
        <v>22.292655146999998</v>
      </c>
      <c r="O457" s="258">
        <v>0.35</v>
      </c>
      <c r="P457" s="258">
        <f t="shared" si="238"/>
        <v>0.35</v>
      </c>
      <c r="Q457" s="249">
        <v>62.7273</v>
      </c>
      <c r="R457" s="249">
        <f t="shared" si="239"/>
        <v>63.69330042</v>
      </c>
      <c r="S457" s="258">
        <v>0.1</v>
      </c>
      <c r="T457" s="169">
        <f t="shared" si="229"/>
        <v>69.000029999999995</v>
      </c>
      <c r="U457" s="315">
        <f t="shared" si="240"/>
        <v>70.062630462000001</v>
      </c>
      <c r="V457" s="315">
        <f t="shared" si="241"/>
        <v>71</v>
      </c>
      <c r="W457" s="316">
        <f t="shared" si="230"/>
        <v>0</v>
      </c>
    </row>
    <row r="458" spans="1:23" ht="21" x14ac:dyDescent="0.25">
      <c r="A458" s="200" t="s">
        <v>15050</v>
      </c>
      <c r="B458" s="255" t="s">
        <v>20262</v>
      </c>
      <c r="C458" s="248"/>
      <c r="D458" s="247" t="s">
        <v>2</v>
      </c>
      <c r="E458" s="249">
        <f t="shared" si="231"/>
        <v>0</v>
      </c>
      <c r="F458" s="314"/>
      <c r="G458" s="258">
        <f t="shared" si="232"/>
        <v>0</v>
      </c>
      <c r="H458" s="249">
        <f t="shared" si="233"/>
        <v>54.619732630960016</v>
      </c>
      <c r="I458" s="258">
        <v>0.68</v>
      </c>
      <c r="J458" s="258">
        <f t="shared" si="234"/>
        <v>0.68</v>
      </c>
      <c r="K458" s="249">
        <f t="shared" si="235"/>
        <v>0</v>
      </c>
      <c r="L458" s="314"/>
      <c r="M458" s="258">
        <f t="shared" si="236"/>
        <v>0</v>
      </c>
      <c r="N458" s="251">
        <f t="shared" si="237"/>
        <v>25.703403591040004</v>
      </c>
      <c r="O458" s="258">
        <v>0.32</v>
      </c>
      <c r="P458" s="258">
        <f t="shared" si="238"/>
        <v>0.32</v>
      </c>
      <c r="Q458" s="249">
        <v>79.090900000000005</v>
      </c>
      <c r="R458" s="249">
        <f t="shared" si="239"/>
        <v>80.323136222000016</v>
      </c>
      <c r="S458" s="258">
        <v>0.1</v>
      </c>
      <c r="T458" s="169">
        <f t="shared" si="229"/>
        <v>86.999990000000011</v>
      </c>
      <c r="U458" s="315">
        <f t="shared" si="240"/>
        <v>88.355449844200024</v>
      </c>
      <c r="V458" s="315">
        <f t="shared" si="241"/>
        <v>89</v>
      </c>
      <c r="W458" s="316">
        <f t="shared" si="230"/>
        <v>0</v>
      </c>
    </row>
    <row r="459" spans="1:23" ht="21" x14ac:dyDescent="0.25">
      <c r="A459" s="200" t="s">
        <v>15051</v>
      </c>
      <c r="B459" s="255" t="s">
        <v>20263</v>
      </c>
      <c r="C459" s="248"/>
      <c r="D459" s="247" t="s">
        <v>2</v>
      </c>
      <c r="E459" s="249">
        <f t="shared" si="231"/>
        <v>0</v>
      </c>
      <c r="F459" s="314"/>
      <c r="G459" s="258">
        <f t="shared" si="232"/>
        <v>0</v>
      </c>
      <c r="H459" s="249">
        <f t="shared" si="233"/>
        <v>25.900476658160002</v>
      </c>
      <c r="I459" s="258">
        <v>0.52</v>
      </c>
      <c r="J459" s="258">
        <f t="shared" si="234"/>
        <v>0.52</v>
      </c>
      <c r="K459" s="249">
        <f t="shared" si="235"/>
        <v>0</v>
      </c>
      <c r="L459" s="314"/>
      <c r="M459" s="258">
        <f t="shared" si="236"/>
        <v>0</v>
      </c>
      <c r="N459" s="251">
        <f t="shared" si="237"/>
        <v>23.908132299839998</v>
      </c>
      <c r="O459" s="258">
        <v>0.48</v>
      </c>
      <c r="P459" s="258">
        <f t="shared" si="238"/>
        <v>0.48</v>
      </c>
      <c r="Q459" s="249">
        <v>49.090899999999998</v>
      </c>
      <c r="R459" s="249">
        <f t="shared" si="239"/>
        <v>49.808608958000001</v>
      </c>
      <c r="S459" s="258">
        <v>0.1</v>
      </c>
      <c r="T459" s="169">
        <f t="shared" si="229"/>
        <v>53.999989999999997</v>
      </c>
      <c r="U459" s="315">
        <f t="shared" si="240"/>
        <v>54.7894698538</v>
      </c>
      <c r="V459" s="315">
        <f t="shared" si="241"/>
        <v>55</v>
      </c>
      <c r="W459" s="316">
        <f t="shared" si="230"/>
        <v>0</v>
      </c>
    </row>
    <row r="460" spans="1:23" ht="21" x14ac:dyDescent="0.25">
      <c r="A460" s="200" t="s">
        <v>15052</v>
      </c>
      <c r="B460" s="255" t="s">
        <v>20264</v>
      </c>
      <c r="C460" s="248"/>
      <c r="D460" s="247" t="s">
        <v>2</v>
      </c>
      <c r="E460" s="249">
        <f t="shared" si="231"/>
        <v>0</v>
      </c>
      <c r="F460" s="314"/>
      <c r="G460" s="258">
        <f t="shared" si="232"/>
        <v>0</v>
      </c>
      <c r="H460" s="249">
        <f t="shared" si="233"/>
        <v>27.579201974480004</v>
      </c>
      <c r="I460" s="258">
        <v>0.52</v>
      </c>
      <c r="J460" s="258">
        <f t="shared" si="234"/>
        <v>0.52</v>
      </c>
      <c r="K460" s="249">
        <f t="shared" si="235"/>
        <v>0</v>
      </c>
      <c r="L460" s="314"/>
      <c r="M460" s="258">
        <f t="shared" si="236"/>
        <v>0</v>
      </c>
      <c r="N460" s="251">
        <f t="shared" si="237"/>
        <v>25.457724899519999</v>
      </c>
      <c r="O460" s="258">
        <v>0.48</v>
      </c>
      <c r="P460" s="258">
        <f t="shared" si="238"/>
        <v>0.48</v>
      </c>
      <c r="Q460" s="249">
        <v>52.2727</v>
      </c>
      <c r="R460" s="249">
        <f t="shared" si="239"/>
        <v>53.036926874000002</v>
      </c>
      <c r="S460" s="258">
        <v>0.1</v>
      </c>
      <c r="T460" s="169">
        <f t="shared" si="229"/>
        <v>57.499970000000005</v>
      </c>
      <c r="U460" s="315">
        <f t="shared" si="240"/>
        <v>58.340619561400004</v>
      </c>
      <c r="V460" s="315">
        <f t="shared" si="241"/>
        <v>59</v>
      </c>
      <c r="W460" s="316">
        <f t="shared" si="230"/>
        <v>0</v>
      </c>
    </row>
    <row r="461" spans="1:23" ht="21" x14ac:dyDescent="0.25">
      <c r="A461" s="200" t="s">
        <v>15053</v>
      </c>
      <c r="B461" s="255" t="s">
        <v>20265</v>
      </c>
      <c r="C461" s="248"/>
      <c r="D461" s="247" t="s">
        <v>2</v>
      </c>
      <c r="E461" s="249">
        <f t="shared" si="231"/>
        <v>0</v>
      </c>
      <c r="F461" s="314"/>
      <c r="G461" s="258">
        <f t="shared" si="232"/>
        <v>0</v>
      </c>
      <c r="H461" s="249">
        <f t="shared" si="233"/>
        <v>33.998427361800005</v>
      </c>
      <c r="I461" s="258">
        <v>0.54</v>
      </c>
      <c r="J461" s="258">
        <f t="shared" si="234"/>
        <v>0.54</v>
      </c>
      <c r="K461" s="249">
        <f t="shared" si="235"/>
        <v>0</v>
      </c>
      <c r="L461" s="314"/>
      <c r="M461" s="258">
        <f t="shared" si="236"/>
        <v>0</v>
      </c>
      <c r="N461" s="251">
        <f t="shared" si="237"/>
        <v>28.961623308200004</v>
      </c>
      <c r="O461" s="258">
        <v>0.46</v>
      </c>
      <c r="P461" s="258">
        <f t="shared" si="238"/>
        <v>0.46</v>
      </c>
      <c r="Q461" s="249">
        <v>62.045499999999997</v>
      </c>
      <c r="R461" s="249">
        <f t="shared" si="239"/>
        <v>62.960050670000008</v>
      </c>
      <c r="S461" s="258">
        <v>0.1</v>
      </c>
      <c r="T461" s="169">
        <f t="shared" si="229"/>
        <v>68.250050000000002</v>
      </c>
      <c r="U461" s="315">
        <f t="shared" si="240"/>
        <v>69.256055737000011</v>
      </c>
      <c r="V461" s="315">
        <f t="shared" si="241"/>
        <v>70</v>
      </c>
      <c r="W461" s="316">
        <f t="shared" si="230"/>
        <v>0</v>
      </c>
    </row>
    <row r="462" spans="1:23" ht="21" x14ac:dyDescent="0.25">
      <c r="A462" s="200" t="s">
        <v>15053</v>
      </c>
      <c r="B462" s="255" t="s">
        <v>20266</v>
      </c>
      <c r="C462" s="248"/>
      <c r="D462" s="247" t="s">
        <v>2</v>
      </c>
      <c r="E462" s="249">
        <f t="shared" si="231"/>
        <v>0</v>
      </c>
      <c r="F462" s="314"/>
      <c r="G462" s="258">
        <f t="shared" si="232"/>
        <v>0</v>
      </c>
      <c r="H462" s="249">
        <f t="shared" si="233"/>
        <v>40.592015222000015</v>
      </c>
      <c r="I462" s="258">
        <v>0.55000000000000004</v>
      </c>
      <c r="J462" s="258">
        <f t="shared" si="234"/>
        <v>0.55000000000000004</v>
      </c>
      <c r="K462" s="249">
        <f t="shared" si="235"/>
        <v>0</v>
      </c>
      <c r="L462" s="314"/>
      <c r="M462" s="258">
        <f t="shared" si="236"/>
        <v>0</v>
      </c>
      <c r="N462" s="251">
        <f t="shared" si="237"/>
        <v>33.211648818000008</v>
      </c>
      <c r="O462" s="258">
        <v>0.45</v>
      </c>
      <c r="P462" s="258">
        <f t="shared" si="238"/>
        <v>0.45</v>
      </c>
      <c r="Q462" s="249">
        <v>72.7273</v>
      </c>
      <c r="R462" s="249">
        <f t="shared" si="239"/>
        <v>73.803664040000015</v>
      </c>
      <c r="S462" s="258">
        <v>0.1</v>
      </c>
      <c r="T462" s="169">
        <f t="shared" si="229"/>
        <v>80.000029999999995</v>
      </c>
      <c r="U462" s="315">
        <f t="shared" si="240"/>
        <v>81.184030444000015</v>
      </c>
      <c r="V462" s="315">
        <f t="shared" si="241"/>
        <v>82</v>
      </c>
      <c r="W462" s="316">
        <f t="shared" si="230"/>
        <v>0</v>
      </c>
    </row>
    <row r="463" spans="1:23" x14ac:dyDescent="0.25">
      <c r="A463" s="200" t="s">
        <v>15054</v>
      </c>
      <c r="B463" s="313" t="s">
        <v>15055</v>
      </c>
      <c r="C463" s="248"/>
      <c r="D463" s="247" t="s">
        <v>2</v>
      </c>
      <c r="E463" s="249">
        <f t="shared" si="231"/>
        <v>0</v>
      </c>
      <c r="F463" s="314"/>
      <c r="G463" s="258">
        <f t="shared" si="232"/>
        <v>0</v>
      </c>
      <c r="H463" s="249">
        <f t="shared" si="233"/>
        <v>6.4694007400000002</v>
      </c>
      <c r="I463" s="258">
        <v>0.55000000000000004</v>
      </c>
      <c r="J463" s="258">
        <f t="shared" si="234"/>
        <v>0.55000000000000004</v>
      </c>
      <c r="K463" s="249">
        <f t="shared" si="235"/>
        <v>0</v>
      </c>
      <c r="L463" s="314"/>
      <c r="M463" s="258">
        <f t="shared" si="236"/>
        <v>0</v>
      </c>
      <c r="N463" s="251">
        <f t="shared" si="237"/>
        <v>5.2931460599999998</v>
      </c>
      <c r="O463" s="258">
        <v>0.45</v>
      </c>
      <c r="P463" s="258">
        <f t="shared" si="238"/>
        <v>0.45</v>
      </c>
      <c r="Q463" s="249">
        <v>11.590999999999999</v>
      </c>
      <c r="R463" s="249">
        <f t="shared" si="239"/>
        <v>11.762546799999999</v>
      </c>
      <c r="S463" s="258">
        <v>0.1</v>
      </c>
      <c r="T463" s="169">
        <f t="shared" si="229"/>
        <v>12.7501</v>
      </c>
      <c r="U463" s="315">
        <f t="shared" si="240"/>
        <v>12.938801479999999</v>
      </c>
      <c r="V463" s="315">
        <f t="shared" si="241"/>
        <v>13</v>
      </c>
      <c r="W463" s="316">
        <f t="shared" si="230"/>
        <v>0</v>
      </c>
    </row>
    <row r="464" spans="1:23" x14ac:dyDescent="0.25">
      <c r="A464" s="200" t="s">
        <v>15056</v>
      </c>
      <c r="B464" s="313" t="s">
        <v>15057</v>
      </c>
      <c r="C464" s="248"/>
      <c r="D464" s="247" t="s">
        <v>2</v>
      </c>
      <c r="E464" s="249">
        <f t="shared" si="231"/>
        <v>0</v>
      </c>
      <c r="F464" s="314"/>
      <c r="G464" s="258">
        <f t="shared" si="232"/>
        <v>0</v>
      </c>
      <c r="H464" s="249">
        <f t="shared" si="233"/>
        <v>5.70865592</v>
      </c>
      <c r="I464" s="258">
        <v>0.55000000000000004</v>
      </c>
      <c r="J464" s="258">
        <f t="shared" si="234"/>
        <v>0.55000000000000004</v>
      </c>
      <c r="K464" s="249">
        <f t="shared" si="235"/>
        <v>0</v>
      </c>
      <c r="L464" s="314"/>
      <c r="M464" s="258">
        <f t="shared" si="236"/>
        <v>0</v>
      </c>
      <c r="N464" s="251">
        <f t="shared" si="237"/>
        <v>4.6707184799999997</v>
      </c>
      <c r="O464" s="258">
        <v>0.45</v>
      </c>
      <c r="P464" s="258">
        <f t="shared" si="238"/>
        <v>0.45</v>
      </c>
      <c r="Q464" s="249">
        <v>10.228</v>
      </c>
      <c r="R464" s="249">
        <f t="shared" si="239"/>
        <v>10.3793744</v>
      </c>
      <c r="S464" s="258">
        <v>0.1</v>
      </c>
      <c r="T464" s="169">
        <f t="shared" si="229"/>
        <v>11.2508</v>
      </c>
      <c r="U464" s="315">
        <f t="shared" si="240"/>
        <v>11.41731184</v>
      </c>
      <c r="V464" s="315">
        <f t="shared" si="241"/>
        <v>12</v>
      </c>
      <c r="W464" s="316">
        <f t="shared" si="230"/>
        <v>0</v>
      </c>
    </row>
    <row r="465" spans="1:23" x14ac:dyDescent="0.25">
      <c r="A465" s="200" t="s">
        <v>15058</v>
      </c>
      <c r="B465" s="313" t="s">
        <v>15059</v>
      </c>
      <c r="C465" s="248"/>
      <c r="D465" s="247" t="s">
        <v>11</v>
      </c>
      <c r="E465" s="249">
        <f t="shared" si="231"/>
        <v>0</v>
      </c>
      <c r="F465" s="314"/>
      <c r="G465" s="258">
        <f t="shared" si="232"/>
        <v>0</v>
      </c>
      <c r="H465" s="249">
        <f t="shared" si="233"/>
        <v>113.27191976</v>
      </c>
      <c r="I465" s="258">
        <v>0.8</v>
      </c>
      <c r="J465" s="258">
        <f t="shared" si="234"/>
        <v>0.8</v>
      </c>
      <c r="K465" s="249">
        <f t="shared" si="235"/>
        <v>0</v>
      </c>
      <c r="L465" s="314"/>
      <c r="M465" s="258">
        <f t="shared" si="236"/>
        <v>0</v>
      </c>
      <c r="N465" s="251">
        <f t="shared" si="237"/>
        <v>28.317979940000001</v>
      </c>
      <c r="O465" s="258">
        <v>0.2</v>
      </c>
      <c r="P465" s="258">
        <f t="shared" si="238"/>
        <v>0.2</v>
      </c>
      <c r="Q465" s="249">
        <v>139.31899999999999</v>
      </c>
      <c r="R465" s="249">
        <f t="shared" si="239"/>
        <v>141.58989969999999</v>
      </c>
      <c r="S465" s="258">
        <v>0.1</v>
      </c>
      <c r="T465" s="169">
        <f t="shared" si="229"/>
        <v>153.2509</v>
      </c>
      <c r="U465" s="315">
        <f t="shared" si="240"/>
        <v>155.74888966999998</v>
      </c>
      <c r="V465" s="315">
        <f t="shared" si="241"/>
        <v>160</v>
      </c>
      <c r="W465" s="316">
        <f t="shared" si="230"/>
        <v>0</v>
      </c>
    </row>
    <row r="466" spans="1:23" x14ac:dyDescent="0.25">
      <c r="A466" s="200" t="s">
        <v>15060</v>
      </c>
      <c r="B466" s="313" t="s">
        <v>15061</v>
      </c>
      <c r="C466" s="248"/>
      <c r="D466" s="247" t="s">
        <v>11</v>
      </c>
      <c r="E466" s="249">
        <f t="shared" si="231"/>
        <v>0</v>
      </c>
      <c r="F466" s="314"/>
      <c r="G466" s="258">
        <f t="shared" si="232"/>
        <v>0</v>
      </c>
      <c r="H466" s="249">
        <f t="shared" si="233"/>
        <v>194.39054664000005</v>
      </c>
      <c r="I466" s="258">
        <v>0.8</v>
      </c>
      <c r="J466" s="258">
        <f t="shared" si="234"/>
        <v>0.8</v>
      </c>
      <c r="K466" s="249">
        <f t="shared" si="235"/>
        <v>0</v>
      </c>
      <c r="L466" s="314"/>
      <c r="M466" s="258">
        <f t="shared" si="236"/>
        <v>0</v>
      </c>
      <c r="N466" s="251">
        <f t="shared" si="237"/>
        <v>48.597636660000013</v>
      </c>
      <c r="O466" s="258">
        <v>0.2</v>
      </c>
      <c r="P466" s="258">
        <f t="shared" si="238"/>
        <v>0.2</v>
      </c>
      <c r="Q466" s="249">
        <v>239.09100000000001</v>
      </c>
      <c r="R466" s="249">
        <f t="shared" si="239"/>
        <v>242.98818330000006</v>
      </c>
      <c r="S466" s="258">
        <v>0.1</v>
      </c>
      <c r="T466" s="169">
        <f t="shared" si="229"/>
        <v>263.00010000000003</v>
      </c>
      <c r="U466" s="315">
        <f t="shared" si="240"/>
        <v>267.28700163000008</v>
      </c>
      <c r="V466" s="315">
        <f t="shared" si="241"/>
        <v>270</v>
      </c>
      <c r="W466" s="316">
        <f t="shared" si="230"/>
        <v>0</v>
      </c>
    </row>
    <row r="467" spans="1:23" x14ac:dyDescent="0.25">
      <c r="A467" s="200" t="s">
        <v>15062</v>
      </c>
      <c r="B467" s="313" t="s">
        <v>15063</v>
      </c>
      <c r="C467" s="248"/>
      <c r="D467" s="247" t="s">
        <v>11</v>
      </c>
      <c r="E467" s="249">
        <f t="shared" si="231"/>
        <v>0</v>
      </c>
      <c r="F467" s="314"/>
      <c r="G467" s="258">
        <f t="shared" si="232"/>
        <v>0</v>
      </c>
      <c r="H467" s="249">
        <f t="shared" si="233"/>
        <v>246.12997312000007</v>
      </c>
      <c r="I467" s="258">
        <v>0.8</v>
      </c>
      <c r="J467" s="258">
        <f t="shared" si="234"/>
        <v>0.8</v>
      </c>
      <c r="K467" s="249">
        <f t="shared" si="235"/>
        <v>0</v>
      </c>
      <c r="L467" s="314"/>
      <c r="M467" s="258">
        <f t="shared" si="236"/>
        <v>0</v>
      </c>
      <c r="N467" s="251">
        <f t="shared" si="237"/>
        <v>61.532493280000018</v>
      </c>
      <c r="O467" s="258">
        <v>0.2</v>
      </c>
      <c r="P467" s="258">
        <f t="shared" si="238"/>
        <v>0.2</v>
      </c>
      <c r="Q467" s="249">
        <v>302.72800000000001</v>
      </c>
      <c r="R467" s="249">
        <f t="shared" si="239"/>
        <v>307.66246640000008</v>
      </c>
      <c r="S467" s="258">
        <v>0.1</v>
      </c>
      <c r="T467" s="169">
        <f t="shared" si="229"/>
        <v>333.00080000000003</v>
      </c>
      <c r="U467" s="315">
        <f t="shared" si="240"/>
        <v>338.4287130400001</v>
      </c>
      <c r="V467" s="315">
        <f t="shared" si="241"/>
        <v>340</v>
      </c>
      <c r="W467" s="316">
        <f t="shared" si="230"/>
        <v>0</v>
      </c>
    </row>
    <row r="468" spans="1:23" x14ac:dyDescent="0.25">
      <c r="A468" s="200" t="s">
        <v>15064</v>
      </c>
      <c r="B468" s="313" t="s">
        <v>18941</v>
      </c>
      <c r="C468" s="248"/>
      <c r="D468" s="247" t="s">
        <v>1</v>
      </c>
      <c r="E468" s="249">
        <f t="shared" si="231"/>
        <v>0</v>
      </c>
      <c r="F468" s="314"/>
      <c r="G468" s="258">
        <f t="shared" si="232"/>
        <v>0</v>
      </c>
      <c r="H468" s="249">
        <f t="shared" si="233"/>
        <v>4.0123764072000005</v>
      </c>
      <c r="I468" s="258">
        <v>0.63</v>
      </c>
      <c r="J468" s="258">
        <f t="shared" si="234"/>
        <v>0.63</v>
      </c>
      <c r="K468" s="249">
        <f t="shared" si="235"/>
        <v>0</v>
      </c>
      <c r="L468" s="314"/>
      <c r="M468" s="258">
        <f t="shared" si="236"/>
        <v>0</v>
      </c>
      <c r="N468" s="251">
        <f t="shared" si="237"/>
        <v>2.3564750328000001</v>
      </c>
      <c r="O468" s="258">
        <v>0.37</v>
      </c>
      <c r="P468" s="258">
        <f t="shared" si="238"/>
        <v>0.37</v>
      </c>
      <c r="Q468" s="249">
        <v>6.2729999999999997</v>
      </c>
      <c r="R468" s="249">
        <f t="shared" si="239"/>
        <v>6.3688514400000003</v>
      </c>
      <c r="S468" s="258">
        <v>0.1</v>
      </c>
      <c r="T468" s="169">
        <f t="shared" si="229"/>
        <v>6.9002999999999997</v>
      </c>
      <c r="U468" s="315">
        <f t="shared" si="240"/>
        <v>7.0057365840000001</v>
      </c>
      <c r="V468" s="315">
        <f t="shared" si="241"/>
        <v>8</v>
      </c>
      <c r="W468" s="316">
        <f t="shared" si="230"/>
        <v>0</v>
      </c>
    </row>
    <row r="469" spans="1:23" x14ac:dyDescent="0.25">
      <c r="A469" s="200" t="s">
        <v>15065</v>
      </c>
      <c r="B469" s="313" t="s">
        <v>18942</v>
      </c>
      <c r="C469" s="248"/>
      <c r="D469" s="247" t="s">
        <v>1</v>
      </c>
      <c r="E469" s="249">
        <f t="shared" si="231"/>
        <v>0</v>
      </c>
      <c r="F469" s="314"/>
      <c r="G469" s="258">
        <f t="shared" si="232"/>
        <v>0</v>
      </c>
      <c r="H469" s="249">
        <f t="shared" si="233"/>
        <v>3.3727500072000005</v>
      </c>
      <c r="I469" s="258">
        <v>0.63</v>
      </c>
      <c r="J469" s="258">
        <f t="shared" si="234"/>
        <v>0.63</v>
      </c>
      <c r="K469" s="249">
        <f t="shared" si="235"/>
        <v>0</v>
      </c>
      <c r="L469" s="314"/>
      <c r="M469" s="258">
        <f t="shared" si="236"/>
        <v>0</v>
      </c>
      <c r="N469" s="251">
        <f t="shared" si="237"/>
        <v>1.9808214328000002</v>
      </c>
      <c r="O469" s="258">
        <v>0.37</v>
      </c>
      <c r="P469" s="258">
        <f t="shared" si="238"/>
        <v>0.37</v>
      </c>
      <c r="Q469" s="249">
        <v>5.2729999999999997</v>
      </c>
      <c r="R469" s="249">
        <f t="shared" si="239"/>
        <v>5.3535714400000005</v>
      </c>
      <c r="S469" s="258">
        <v>0.1</v>
      </c>
      <c r="T469" s="169">
        <f t="shared" si="229"/>
        <v>5.8003</v>
      </c>
      <c r="U469" s="315">
        <f t="shared" si="240"/>
        <v>5.8889285840000003</v>
      </c>
      <c r="V469" s="315">
        <f t="shared" si="241"/>
        <v>6</v>
      </c>
      <c r="W469" s="316">
        <f t="shared" si="230"/>
        <v>0</v>
      </c>
    </row>
    <row r="470" spans="1:23" ht="21" x14ac:dyDescent="0.25">
      <c r="A470" s="200" t="s">
        <v>15066</v>
      </c>
      <c r="B470" s="255" t="s">
        <v>18943</v>
      </c>
      <c r="C470" s="248"/>
      <c r="D470" s="247" t="s">
        <v>1</v>
      </c>
      <c r="E470" s="249">
        <f t="shared" si="231"/>
        <v>0</v>
      </c>
      <c r="F470" s="314"/>
      <c r="G470" s="258">
        <f t="shared" si="232"/>
        <v>0</v>
      </c>
      <c r="H470" s="249">
        <f t="shared" si="233"/>
        <v>3.0241536192000003</v>
      </c>
      <c r="I470" s="258">
        <v>0.63</v>
      </c>
      <c r="J470" s="258">
        <f t="shared" si="234"/>
        <v>0.63</v>
      </c>
      <c r="K470" s="249">
        <f t="shared" si="235"/>
        <v>0</v>
      </c>
      <c r="L470" s="314"/>
      <c r="M470" s="258">
        <f t="shared" si="236"/>
        <v>0</v>
      </c>
      <c r="N470" s="251">
        <f t="shared" si="237"/>
        <v>1.7760902208</v>
      </c>
      <c r="O470" s="258">
        <v>0.37</v>
      </c>
      <c r="P470" s="258">
        <f t="shared" si="238"/>
        <v>0.37</v>
      </c>
      <c r="Q470" s="249">
        <v>4.7279999999999998</v>
      </c>
      <c r="R470" s="249">
        <f t="shared" si="239"/>
        <v>4.8002438400000003</v>
      </c>
      <c r="S470" s="258">
        <v>0.1</v>
      </c>
      <c r="T470" s="169">
        <f t="shared" si="229"/>
        <v>5.2008000000000001</v>
      </c>
      <c r="U470" s="315">
        <f t="shared" si="240"/>
        <v>5.2802682240000003</v>
      </c>
      <c r="V470" s="315">
        <f t="shared" si="241"/>
        <v>6</v>
      </c>
      <c r="W470" s="316">
        <f t="shared" si="230"/>
        <v>0</v>
      </c>
    </row>
    <row r="471" spans="1:23" x14ac:dyDescent="0.25">
      <c r="A471" s="200" t="s">
        <v>15067</v>
      </c>
      <c r="B471" s="313" t="s">
        <v>20267</v>
      </c>
      <c r="C471" s="248"/>
      <c r="D471" s="247" t="s">
        <v>1</v>
      </c>
      <c r="E471" s="249">
        <f t="shared" si="231"/>
        <v>0</v>
      </c>
      <c r="F471" s="314"/>
      <c r="G471" s="258">
        <f t="shared" si="232"/>
        <v>0</v>
      </c>
      <c r="H471" s="249">
        <f t="shared" si="233"/>
        <v>8.6061732119999999</v>
      </c>
      <c r="I471" s="258">
        <v>0.63</v>
      </c>
      <c r="J471" s="258">
        <f t="shared" si="234"/>
        <v>0.63</v>
      </c>
      <c r="K471" s="249">
        <f t="shared" si="235"/>
        <v>0</v>
      </c>
      <c r="L471" s="314"/>
      <c r="M471" s="258">
        <f t="shared" si="236"/>
        <v>0</v>
      </c>
      <c r="N471" s="251">
        <f t="shared" si="237"/>
        <v>5.0544191879999998</v>
      </c>
      <c r="O471" s="258">
        <v>0.37</v>
      </c>
      <c r="P471" s="258">
        <f t="shared" si="238"/>
        <v>0.37</v>
      </c>
      <c r="Q471" s="249">
        <v>13.455</v>
      </c>
      <c r="R471" s="249">
        <f t="shared" si="239"/>
        <v>13.660592400000001</v>
      </c>
      <c r="S471" s="258">
        <v>0.1</v>
      </c>
      <c r="T471" s="169">
        <f t="shared" si="229"/>
        <v>14.8005</v>
      </c>
      <c r="U471" s="315">
        <f t="shared" si="240"/>
        <v>15.026651640000001</v>
      </c>
      <c r="V471" s="315">
        <f t="shared" si="241"/>
        <v>16</v>
      </c>
      <c r="W471" s="316">
        <f t="shared" si="230"/>
        <v>0</v>
      </c>
    </row>
    <row r="472" spans="1:23" x14ac:dyDescent="0.25">
      <c r="A472" s="200" t="s">
        <v>15068</v>
      </c>
      <c r="B472" s="313" t="s">
        <v>18944</v>
      </c>
      <c r="C472" s="248"/>
      <c r="D472" s="247" t="s">
        <v>1</v>
      </c>
      <c r="E472" s="249">
        <f t="shared" si="231"/>
        <v>0</v>
      </c>
      <c r="F472" s="314"/>
      <c r="G472" s="258">
        <f t="shared" si="232"/>
        <v>0</v>
      </c>
      <c r="H472" s="249">
        <f t="shared" si="233"/>
        <v>7.4369361528000013</v>
      </c>
      <c r="I472" s="258">
        <v>0.63</v>
      </c>
      <c r="J472" s="258">
        <f t="shared" si="234"/>
        <v>0.63</v>
      </c>
      <c r="K472" s="249">
        <f t="shared" si="235"/>
        <v>0</v>
      </c>
      <c r="L472" s="314"/>
      <c r="M472" s="258">
        <f t="shared" si="236"/>
        <v>0</v>
      </c>
      <c r="N472" s="251">
        <f t="shared" si="237"/>
        <v>4.3677244072000008</v>
      </c>
      <c r="O472" s="258">
        <v>0.37</v>
      </c>
      <c r="P472" s="258">
        <f t="shared" si="238"/>
        <v>0.37</v>
      </c>
      <c r="Q472" s="249">
        <v>11.627000000000001</v>
      </c>
      <c r="R472" s="249">
        <f t="shared" si="239"/>
        <v>11.804660560000002</v>
      </c>
      <c r="S472" s="258">
        <v>0.1</v>
      </c>
      <c r="T472" s="169">
        <f t="shared" si="229"/>
        <v>12.7897</v>
      </c>
      <c r="U472" s="315">
        <f t="shared" si="240"/>
        <v>12.985126616000002</v>
      </c>
      <c r="V472" s="315">
        <f t="shared" si="241"/>
        <v>13</v>
      </c>
      <c r="W472" s="316">
        <f t="shared" si="230"/>
        <v>0</v>
      </c>
    </row>
    <row r="473" spans="1:23" x14ac:dyDescent="0.25">
      <c r="A473" s="200" t="s">
        <v>15069</v>
      </c>
      <c r="B473" s="313" t="s">
        <v>18945</v>
      </c>
      <c r="C473" s="248"/>
      <c r="D473" s="247" t="s">
        <v>1</v>
      </c>
      <c r="E473" s="249">
        <f t="shared" si="231"/>
        <v>0</v>
      </c>
      <c r="F473" s="314"/>
      <c r="G473" s="258">
        <f t="shared" si="232"/>
        <v>0</v>
      </c>
      <c r="H473" s="249">
        <f t="shared" si="233"/>
        <v>6.745500014400001</v>
      </c>
      <c r="I473" s="258">
        <v>0.63</v>
      </c>
      <c r="J473" s="258">
        <f t="shared" si="234"/>
        <v>0.63</v>
      </c>
      <c r="K473" s="249">
        <f t="shared" si="235"/>
        <v>0</v>
      </c>
      <c r="L473" s="314"/>
      <c r="M473" s="258">
        <f t="shared" si="236"/>
        <v>0</v>
      </c>
      <c r="N473" s="251">
        <f t="shared" si="237"/>
        <v>3.9616428656000005</v>
      </c>
      <c r="O473" s="258">
        <v>0.37</v>
      </c>
      <c r="P473" s="258">
        <f t="shared" si="238"/>
        <v>0.37</v>
      </c>
      <c r="Q473" s="249">
        <v>10.545999999999999</v>
      </c>
      <c r="R473" s="249">
        <f t="shared" si="239"/>
        <v>10.707142880000001</v>
      </c>
      <c r="S473" s="258">
        <v>0.1</v>
      </c>
      <c r="T473" s="169">
        <f t="shared" si="229"/>
        <v>11.6006</v>
      </c>
      <c r="U473" s="315">
        <f t="shared" si="240"/>
        <v>11.777857168000001</v>
      </c>
      <c r="V473" s="315">
        <f t="shared" si="241"/>
        <v>12</v>
      </c>
      <c r="W473" s="316">
        <f t="shared" si="230"/>
        <v>0</v>
      </c>
    </row>
    <row r="474" spans="1:23" x14ac:dyDescent="0.25">
      <c r="A474" s="200" t="s">
        <v>18930</v>
      </c>
      <c r="B474" s="343" t="s">
        <v>20268</v>
      </c>
      <c r="C474" s="248"/>
      <c r="D474" s="247" t="s">
        <v>1</v>
      </c>
      <c r="E474" s="249">
        <f>R474*G474</f>
        <v>0</v>
      </c>
      <c r="F474" s="314"/>
      <c r="G474" s="258">
        <f>F474</f>
        <v>0</v>
      </c>
      <c r="H474" s="249">
        <f>R474*J474</f>
        <v>7.4132699759999996</v>
      </c>
      <c r="I474" s="258">
        <v>0.63</v>
      </c>
      <c r="J474" s="258">
        <f>I474</f>
        <v>0.63</v>
      </c>
      <c r="K474" s="249">
        <f>R474*M474</f>
        <v>0</v>
      </c>
      <c r="L474" s="314"/>
      <c r="M474" s="258">
        <f>L474</f>
        <v>0</v>
      </c>
      <c r="N474" s="251">
        <f>P474*R474</f>
        <v>4.3538252240000004</v>
      </c>
      <c r="O474" s="258">
        <v>0.37</v>
      </c>
      <c r="P474" s="258">
        <f>O474</f>
        <v>0.37</v>
      </c>
      <c r="Q474" s="249">
        <v>11.59</v>
      </c>
      <c r="R474" s="249">
        <f>SUM(F474*Q474*1.0235,I474*Q474*1.0175,L474*Q474*1.0245,O474*Q474*1.0115)</f>
        <v>11.7670952</v>
      </c>
      <c r="S474" s="258">
        <v>0.1</v>
      </c>
      <c r="T474" s="169">
        <f>Q474+Q474*S474</f>
        <v>12.749000000000001</v>
      </c>
      <c r="U474" s="315">
        <f>(R474*S474)+R474</f>
        <v>12.943804719999999</v>
      </c>
      <c r="V474" s="315">
        <f>IF(U474=0, 0, IF(U474&lt;10, _xlfn.CEILING.MATH(U474,1), IF(U474&lt;100, _xlfn.CEILING.MATH(U474,1),IF(U474&lt;1000, _xlfn.CEILING.MATH(U474,5), IF(U474&lt;10000, _xlfn.CEILING.MATH(U474, 25), IF(U474&lt;100000, _xlfn.CEILING.MATH(U474,250), IF(U474&lt;1000000, _xlfn.CEILING.MATH(U474,500), 0)))))))</f>
        <v>13</v>
      </c>
      <c r="W474" s="316">
        <f>C474*V474</f>
        <v>0</v>
      </c>
    </row>
    <row r="475" spans="1:23" x14ac:dyDescent="0.25">
      <c r="A475" s="200" t="s">
        <v>15070</v>
      </c>
      <c r="B475" s="313" t="s">
        <v>20269</v>
      </c>
      <c r="C475" s="248"/>
      <c r="D475" s="247" t="s">
        <v>1</v>
      </c>
      <c r="E475" s="249">
        <f t="shared" si="231"/>
        <v>0</v>
      </c>
      <c r="F475" s="314"/>
      <c r="G475" s="258">
        <f t="shared" si="232"/>
        <v>0</v>
      </c>
      <c r="H475" s="249">
        <f t="shared" si="233"/>
        <v>6.5420988192000005</v>
      </c>
      <c r="I475" s="258">
        <v>0.63</v>
      </c>
      <c r="J475" s="258">
        <f t="shared" si="234"/>
        <v>0.63</v>
      </c>
      <c r="K475" s="249">
        <f t="shared" si="235"/>
        <v>0</v>
      </c>
      <c r="L475" s="314"/>
      <c r="M475" s="258">
        <f t="shared" si="236"/>
        <v>0</v>
      </c>
      <c r="N475" s="251">
        <f t="shared" si="237"/>
        <v>3.8421850208000001</v>
      </c>
      <c r="O475" s="258">
        <v>0.37</v>
      </c>
      <c r="P475" s="258">
        <f t="shared" si="238"/>
        <v>0.37</v>
      </c>
      <c r="Q475" s="249">
        <v>10.228</v>
      </c>
      <c r="R475" s="249">
        <f t="shared" si="239"/>
        <v>10.38428384</v>
      </c>
      <c r="S475" s="258">
        <v>0.1</v>
      </c>
      <c r="T475" s="169">
        <f t="shared" si="229"/>
        <v>11.2508</v>
      </c>
      <c r="U475" s="315">
        <f t="shared" si="240"/>
        <v>11.422712224</v>
      </c>
      <c r="V475" s="315">
        <f t="shared" si="241"/>
        <v>12</v>
      </c>
      <c r="W475" s="316">
        <f t="shared" si="230"/>
        <v>0</v>
      </c>
    </row>
    <row r="476" spans="1:23" x14ac:dyDescent="0.25">
      <c r="A476" s="200" t="s">
        <v>15071</v>
      </c>
      <c r="B476" s="313" t="s">
        <v>18946</v>
      </c>
      <c r="C476" s="248"/>
      <c r="D476" s="247" t="s">
        <v>1</v>
      </c>
      <c r="E476" s="249">
        <f t="shared" si="231"/>
        <v>0</v>
      </c>
      <c r="F476" s="314"/>
      <c r="G476" s="258">
        <f t="shared" si="232"/>
        <v>0</v>
      </c>
      <c r="H476" s="249">
        <f t="shared" si="233"/>
        <v>5.8730496048000012</v>
      </c>
      <c r="I476" s="258">
        <v>0.63</v>
      </c>
      <c r="J476" s="258">
        <f t="shared" si="234"/>
        <v>0.63</v>
      </c>
      <c r="K476" s="249">
        <f t="shared" si="235"/>
        <v>0</v>
      </c>
      <c r="L476" s="314"/>
      <c r="M476" s="258">
        <f t="shared" si="236"/>
        <v>0</v>
      </c>
      <c r="N476" s="251">
        <f t="shared" si="237"/>
        <v>3.4492513552000004</v>
      </c>
      <c r="O476" s="258">
        <v>0.37</v>
      </c>
      <c r="P476" s="258">
        <f t="shared" si="238"/>
        <v>0.37</v>
      </c>
      <c r="Q476" s="249">
        <v>9.1820000000000004</v>
      </c>
      <c r="R476" s="249">
        <f t="shared" si="239"/>
        <v>9.3223009600000015</v>
      </c>
      <c r="S476" s="258">
        <v>0.1</v>
      </c>
      <c r="T476" s="169">
        <f t="shared" ref="T476:T495" si="242">Q476+Q476*S476</f>
        <v>10.100200000000001</v>
      </c>
      <c r="U476" s="315">
        <f t="shared" si="240"/>
        <v>10.254531056000001</v>
      </c>
      <c r="V476" s="315">
        <f t="shared" si="241"/>
        <v>11</v>
      </c>
      <c r="W476" s="316">
        <f t="shared" si="230"/>
        <v>0</v>
      </c>
    </row>
    <row r="477" spans="1:23" x14ac:dyDescent="0.25">
      <c r="A477" s="200" t="s">
        <v>15072</v>
      </c>
      <c r="B477" s="313" t="s">
        <v>20270</v>
      </c>
      <c r="C477" s="248"/>
      <c r="D477" s="247" t="s">
        <v>1</v>
      </c>
      <c r="E477" s="249">
        <f t="shared" si="231"/>
        <v>0</v>
      </c>
      <c r="F477" s="314"/>
      <c r="G477" s="258">
        <f t="shared" si="232"/>
        <v>0</v>
      </c>
      <c r="H477" s="249">
        <f t="shared" si="233"/>
        <v>6.6872940120000006</v>
      </c>
      <c r="I477" s="258">
        <v>0.63</v>
      </c>
      <c r="J477" s="258">
        <f t="shared" si="234"/>
        <v>0.63</v>
      </c>
      <c r="K477" s="249">
        <f t="shared" si="235"/>
        <v>0</v>
      </c>
      <c r="L477" s="314"/>
      <c r="M477" s="258">
        <f t="shared" si="236"/>
        <v>0</v>
      </c>
      <c r="N477" s="251">
        <f t="shared" si="237"/>
        <v>3.9274583880000002</v>
      </c>
      <c r="O477" s="258">
        <v>0.37</v>
      </c>
      <c r="P477" s="258">
        <f t="shared" si="238"/>
        <v>0.37</v>
      </c>
      <c r="Q477" s="249">
        <v>10.455</v>
      </c>
      <c r="R477" s="249">
        <f t="shared" si="239"/>
        <v>10.6147524</v>
      </c>
      <c r="S477" s="258">
        <v>0.1</v>
      </c>
      <c r="T477" s="169">
        <f t="shared" si="242"/>
        <v>11.500500000000001</v>
      </c>
      <c r="U477" s="315">
        <f t="shared" si="240"/>
        <v>11.67622764</v>
      </c>
      <c r="V477" s="315">
        <f t="shared" si="241"/>
        <v>12</v>
      </c>
      <c r="W477" s="316">
        <f t="shared" si="230"/>
        <v>0</v>
      </c>
    </row>
    <row r="478" spans="1:23" x14ac:dyDescent="0.25">
      <c r="A478" s="200" t="s">
        <v>15073</v>
      </c>
      <c r="B478" s="313" t="s">
        <v>18947</v>
      </c>
      <c r="C478" s="248"/>
      <c r="D478" s="247" t="s">
        <v>1</v>
      </c>
      <c r="E478" s="249">
        <f t="shared" si="231"/>
        <v>0</v>
      </c>
      <c r="F478" s="314"/>
      <c r="G478" s="258">
        <f t="shared" si="232"/>
        <v>0</v>
      </c>
      <c r="H478" s="249">
        <f t="shared" si="233"/>
        <v>5.6696484096000015</v>
      </c>
      <c r="I478" s="258">
        <v>0.63</v>
      </c>
      <c r="J478" s="258">
        <f t="shared" si="234"/>
        <v>0.63</v>
      </c>
      <c r="K478" s="249">
        <f t="shared" si="235"/>
        <v>0</v>
      </c>
      <c r="L478" s="314"/>
      <c r="M478" s="258">
        <f t="shared" si="236"/>
        <v>0</v>
      </c>
      <c r="N478" s="251">
        <f t="shared" si="237"/>
        <v>3.3297935104000009</v>
      </c>
      <c r="O478" s="258">
        <v>0.37</v>
      </c>
      <c r="P478" s="258">
        <f t="shared" si="238"/>
        <v>0.37</v>
      </c>
      <c r="Q478" s="249">
        <v>8.8640000000000008</v>
      </c>
      <c r="R478" s="249">
        <f t="shared" si="239"/>
        <v>8.9994419200000024</v>
      </c>
      <c r="S478" s="258">
        <v>0.1</v>
      </c>
      <c r="T478" s="169">
        <f t="shared" si="242"/>
        <v>9.7504000000000008</v>
      </c>
      <c r="U478" s="315">
        <f t="shared" si="240"/>
        <v>9.899386112000002</v>
      </c>
      <c r="V478" s="315">
        <f t="shared" si="241"/>
        <v>10</v>
      </c>
      <c r="W478" s="316">
        <f t="shared" si="230"/>
        <v>0</v>
      </c>
    </row>
    <row r="479" spans="1:23" ht="21" x14ac:dyDescent="0.25">
      <c r="A479" s="200" t="s">
        <v>15074</v>
      </c>
      <c r="B479" s="255" t="s">
        <v>18948</v>
      </c>
      <c r="C479" s="248"/>
      <c r="D479" s="247" t="s">
        <v>1</v>
      </c>
      <c r="E479" s="249">
        <f t="shared" si="231"/>
        <v>0</v>
      </c>
      <c r="F479" s="314"/>
      <c r="G479" s="258">
        <f t="shared" si="232"/>
        <v>0</v>
      </c>
      <c r="H479" s="249">
        <f t="shared" si="233"/>
        <v>5.1170112000000012</v>
      </c>
      <c r="I479" s="258">
        <v>0.63</v>
      </c>
      <c r="J479" s="258">
        <f t="shared" si="234"/>
        <v>0.63</v>
      </c>
      <c r="K479" s="249">
        <f t="shared" si="235"/>
        <v>0</v>
      </c>
      <c r="L479" s="314"/>
      <c r="M479" s="258">
        <f t="shared" si="236"/>
        <v>0</v>
      </c>
      <c r="N479" s="251">
        <f t="shared" si="237"/>
        <v>3.0052288000000007</v>
      </c>
      <c r="O479" s="258">
        <v>0.37</v>
      </c>
      <c r="P479" s="258">
        <f t="shared" si="238"/>
        <v>0.37</v>
      </c>
      <c r="Q479" s="249">
        <v>8</v>
      </c>
      <c r="R479" s="249">
        <f t="shared" si="239"/>
        <v>8.1222400000000015</v>
      </c>
      <c r="S479" s="258">
        <v>0.1</v>
      </c>
      <c r="T479" s="169">
        <f t="shared" si="242"/>
        <v>8.8000000000000007</v>
      </c>
      <c r="U479" s="315">
        <f t="shared" si="240"/>
        <v>8.934464000000002</v>
      </c>
      <c r="V479" s="315">
        <f t="shared" si="241"/>
        <v>9</v>
      </c>
      <c r="W479" s="316">
        <f t="shared" si="230"/>
        <v>0</v>
      </c>
    </row>
    <row r="480" spans="1:23" ht="14.4" thickBot="1" x14ac:dyDescent="0.3">
      <c r="A480" s="263" t="s">
        <v>15075</v>
      </c>
      <c r="B480" s="321" t="s">
        <v>20271</v>
      </c>
      <c r="C480" s="265"/>
      <c r="D480" s="264" t="s">
        <v>1</v>
      </c>
      <c r="E480" s="266">
        <f t="shared" si="231"/>
        <v>0</v>
      </c>
      <c r="F480" s="323"/>
      <c r="G480" s="322">
        <f t="shared" si="232"/>
        <v>0</v>
      </c>
      <c r="H480" s="266">
        <f t="shared" si="233"/>
        <v>11.920717216800002</v>
      </c>
      <c r="I480" s="322">
        <v>0.63</v>
      </c>
      <c r="J480" s="322">
        <f t="shared" si="234"/>
        <v>0.63</v>
      </c>
      <c r="K480" s="266">
        <f t="shared" si="235"/>
        <v>0</v>
      </c>
      <c r="L480" s="323"/>
      <c r="M480" s="322">
        <f t="shared" si="236"/>
        <v>0</v>
      </c>
      <c r="N480" s="270">
        <f t="shared" si="237"/>
        <v>7.0010561432000014</v>
      </c>
      <c r="O480" s="322">
        <v>0.37</v>
      </c>
      <c r="P480" s="322">
        <f t="shared" si="238"/>
        <v>0.37</v>
      </c>
      <c r="Q480" s="266">
        <v>18.637</v>
      </c>
      <c r="R480" s="266">
        <f t="shared" si="239"/>
        <v>18.921773360000003</v>
      </c>
      <c r="S480" s="322">
        <v>0.1</v>
      </c>
      <c r="T480" s="291">
        <f t="shared" si="242"/>
        <v>20.500700000000002</v>
      </c>
      <c r="U480" s="324">
        <f t="shared" si="240"/>
        <v>20.813950696000003</v>
      </c>
      <c r="V480" s="324">
        <f t="shared" si="241"/>
        <v>21</v>
      </c>
      <c r="W480" s="325">
        <f t="shared" si="230"/>
        <v>0</v>
      </c>
    </row>
    <row r="481" spans="1:23" x14ac:dyDescent="0.25">
      <c r="A481" s="200" t="s">
        <v>15076</v>
      </c>
      <c r="B481" s="313" t="s">
        <v>18949</v>
      </c>
      <c r="C481" s="248"/>
      <c r="D481" s="247" t="s">
        <v>1</v>
      </c>
      <c r="E481" s="249">
        <f t="shared" si="231"/>
        <v>0</v>
      </c>
      <c r="F481" s="314"/>
      <c r="G481" s="258">
        <f t="shared" si="232"/>
        <v>0</v>
      </c>
      <c r="H481" s="249">
        <f t="shared" si="233"/>
        <v>10.641464416800002</v>
      </c>
      <c r="I481" s="258">
        <v>0.63</v>
      </c>
      <c r="J481" s="258">
        <f t="shared" si="234"/>
        <v>0.63</v>
      </c>
      <c r="K481" s="249">
        <f t="shared" si="235"/>
        <v>0</v>
      </c>
      <c r="L481" s="314"/>
      <c r="M481" s="258">
        <f t="shared" si="236"/>
        <v>0</v>
      </c>
      <c r="N481" s="251">
        <f t="shared" si="237"/>
        <v>6.2497489432000002</v>
      </c>
      <c r="O481" s="258">
        <v>0.37</v>
      </c>
      <c r="P481" s="258">
        <f t="shared" si="238"/>
        <v>0.37</v>
      </c>
      <c r="Q481" s="249">
        <v>16.637</v>
      </c>
      <c r="R481" s="249">
        <f t="shared" si="239"/>
        <v>16.891213360000002</v>
      </c>
      <c r="S481" s="258">
        <v>0.1</v>
      </c>
      <c r="T481" s="169">
        <f t="shared" si="242"/>
        <v>18.300699999999999</v>
      </c>
      <c r="U481" s="315">
        <f t="shared" si="240"/>
        <v>18.580334696000001</v>
      </c>
      <c r="V481" s="315">
        <f t="shared" si="241"/>
        <v>19</v>
      </c>
      <c r="W481" s="316">
        <f t="shared" si="230"/>
        <v>0</v>
      </c>
    </row>
    <row r="482" spans="1:23" x14ac:dyDescent="0.25">
      <c r="A482" s="200" t="s">
        <v>15076</v>
      </c>
      <c r="B482" s="313" t="s">
        <v>18950</v>
      </c>
      <c r="C482" s="248"/>
      <c r="D482" s="247" t="s">
        <v>1</v>
      </c>
      <c r="E482" s="249">
        <f t="shared" si="231"/>
        <v>0</v>
      </c>
      <c r="F482" s="314"/>
      <c r="G482" s="258">
        <f t="shared" si="232"/>
        <v>0</v>
      </c>
      <c r="H482" s="249">
        <f t="shared" si="233"/>
        <v>9.6526020024000001</v>
      </c>
      <c r="I482" s="258">
        <v>0.63</v>
      </c>
      <c r="J482" s="258">
        <f t="shared" si="234"/>
        <v>0.63</v>
      </c>
      <c r="K482" s="249">
        <f t="shared" si="235"/>
        <v>0</v>
      </c>
      <c r="L482" s="314"/>
      <c r="M482" s="258">
        <f t="shared" si="236"/>
        <v>0</v>
      </c>
      <c r="N482" s="251">
        <f t="shared" si="237"/>
        <v>5.6689884776000001</v>
      </c>
      <c r="O482" s="258">
        <v>0.37</v>
      </c>
      <c r="P482" s="258">
        <f t="shared" si="238"/>
        <v>0.37</v>
      </c>
      <c r="Q482" s="249">
        <v>15.090999999999999</v>
      </c>
      <c r="R482" s="249">
        <f t="shared" si="239"/>
        <v>15.321590480000001</v>
      </c>
      <c r="S482" s="258">
        <v>0.1</v>
      </c>
      <c r="T482" s="169">
        <f t="shared" si="242"/>
        <v>16.600099999999998</v>
      </c>
      <c r="U482" s="315">
        <f t="shared" si="240"/>
        <v>16.853749528000002</v>
      </c>
      <c r="V482" s="315">
        <f t="shared" si="241"/>
        <v>17</v>
      </c>
      <c r="W482" s="316">
        <f t="shared" si="230"/>
        <v>0</v>
      </c>
    </row>
    <row r="483" spans="1:23" x14ac:dyDescent="0.25">
      <c r="A483" s="200" t="s">
        <v>15077</v>
      </c>
      <c r="B483" s="313" t="s">
        <v>15078</v>
      </c>
      <c r="C483" s="248"/>
      <c r="D483" s="247" t="s">
        <v>11</v>
      </c>
      <c r="E483" s="249">
        <f t="shared" si="231"/>
        <v>469.33800000000014</v>
      </c>
      <c r="F483" s="258">
        <v>0.4</v>
      </c>
      <c r="G483" s="258">
        <f t="shared" si="232"/>
        <v>0.4</v>
      </c>
      <c r="H483" s="249">
        <f t="shared" si="233"/>
        <v>528.00525000000016</v>
      </c>
      <c r="I483" s="258">
        <v>0.45</v>
      </c>
      <c r="J483" s="258">
        <f t="shared" si="234"/>
        <v>0.45</v>
      </c>
      <c r="K483" s="249">
        <f t="shared" si="235"/>
        <v>117.33450000000003</v>
      </c>
      <c r="L483" s="258">
        <v>0.1</v>
      </c>
      <c r="M483" s="258">
        <f t="shared" si="236"/>
        <v>0.1</v>
      </c>
      <c r="N483" s="251">
        <f t="shared" si="237"/>
        <v>58.667250000000017</v>
      </c>
      <c r="O483" s="258">
        <v>0.05</v>
      </c>
      <c r="P483" s="258">
        <f t="shared" si="238"/>
        <v>0.05</v>
      </c>
      <c r="Q483" s="249">
        <v>1150</v>
      </c>
      <c r="R483" s="249">
        <f t="shared" si="239"/>
        <v>1173.3450000000003</v>
      </c>
      <c r="S483" s="258">
        <v>0.1</v>
      </c>
      <c r="T483" s="169">
        <f t="shared" si="242"/>
        <v>1265</v>
      </c>
      <c r="U483" s="315">
        <f t="shared" si="240"/>
        <v>1290.6795000000002</v>
      </c>
      <c r="V483" s="315">
        <f t="shared" si="241"/>
        <v>1300</v>
      </c>
      <c r="W483" s="316">
        <f t="shared" si="230"/>
        <v>0</v>
      </c>
    </row>
    <row r="484" spans="1:23" x14ac:dyDescent="0.25">
      <c r="A484" s="200" t="s">
        <v>15079</v>
      </c>
      <c r="B484" s="313" t="s">
        <v>15080</v>
      </c>
      <c r="C484" s="248"/>
      <c r="D484" s="247" t="s">
        <v>11</v>
      </c>
      <c r="E484" s="249">
        <f t="shared" si="231"/>
        <v>463.77271243199993</v>
      </c>
      <c r="F484" s="258">
        <v>0.4</v>
      </c>
      <c r="G484" s="258">
        <f t="shared" si="232"/>
        <v>0.4</v>
      </c>
      <c r="H484" s="249">
        <f t="shared" si="233"/>
        <v>521.74430148599993</v>
      </c>
      <c r="I484" s="258">
        <v>0.45</v>
      </c>
      <c r="J484" s="258">
        <f t="shared" si="234"/>
        <v>0.45</v>
      </c>
      <c r="K484" s="249">
        <f t="shared" si="235"/>
        <v>115.94317810799998</v>
      </c>
      <c r="L484" s="258">
        <v>0.1</v>
      </c>
      <c r="M484" s="258">
        <f t="shared" si="236"/>
        <v>0.1</v>
      </c>
      <c r="N484" s="251">
        <f t="shared" si="237"/>
        <v>57.971589053999992</v>
      </c>
      <c r="O484" s="258">
        <v>0.05</v>
      </c>
      <c r="P484" s="258">
        <f t="shared" si="238"/>
        <v>0.05</v>
      </c>
      <c r="Q484" s="249">
        <v>1136.3635999999999</v>
      </c>
      <c r="R484" s="249">
        <f t="shared" si="239"/>
        <v>1159.4317810799998</v>
      </c>
      <c r="S484" s="258">
        <v>0.1</v>
      </c>
      <c r="T484" s="169">
        <f t="shared" si="242"/>
        <v>1249.9999599999999</v>
      </c>
      <c r="U484" s="315">
        <f t="shared" si="240"/>
        <v>1275.3749591879998</v>
      </c>
      <c r="V484" s="315">
        <f t="shared" si="241"/>
        <v>1300</v>
      </c>
      <c r="W484" s="316">
        <f t="shared" si="230"/>
        <v>0</v>
      </c>
    </row>
    <row r="485" spans="1:23" x14ac:dyDescent="0.25">
      <c r="A485" s="200" t="s">
        <v>15081</v>
      </c>
      <c r="B485" s="313" t="s">
        <v>15082</v>
      </c>
      <c r="C485" s="248"/>
      <c r="D485" s="247" t="s">
        <v>11</v>
      </c>
      <c r="E485" s="249">
        <f t="shared" si="231"/>
        <v>1122.3300000000004</v>
      </c>
      <c r="F485" s="258">
        <v>0.4</v>
      </c>
      <c r="G485" s="258">
        <f t="shared" si="232"/>
        <v>0.4</v>
      </c>
      <c r="H485" s="249">
        <f t="shared" si="233"/>
        <v>1262.6212500000004</v>
      </c>
      <c r="I485" s="258">
        <v>0.45</v>
      </c>
      <c r="J485" s="258">
        <f t="shared" si="234"/>
        <v>0.45</v>
      </c>
      <c r="K485" s="249">
        <f t="shared" si="235"/>
        <v>280.5825000000001</v>
      </c>
      <c r="L485" s="314">
        <v>0.1</v>
      </c>
      <c r="M485" s="258">
        <f t="shared" si="236"/>
        <v>0.1</v>
      </c>
      <c r="N485" s="251">
        <f t="shared" si="237"/>
        <v>140.29125000000005</v>
      </c>
      <c r="O485" s="314">
        <v>0.05</v>
      </c>
      <c r="P485" s="258">
        <f t="shared" si="238"/>
        <v>0.05</v>
      </c>
      <c r="Q485" s="249">
        <v>2750</v>
      </c>
      <c r="R485" s="249">
        <f t="shared" si="239"/>
        <v>2805.8250000000007</v>
      </c>
      <c r="S485" s="258">
        <v>0.1</v>
      </c>
      <c r="T485" s="169">
        <f t="shared" si="242"/>
        <v>3025</v>
      </c>
      <c r="U485" s="315">
        <f t="shared" si="240"/>
        <v>3086.4075000000007</v>
      </c>
      <c r="V485" s="315">
        <f t="shared" si="241"/>
        <v>3100</v>
      </c>
      <c r="W485" s="316">
        <f t="shared" si="230"/>
        <v>0</v>
      </c>
    </row>
    <row r="486" spans="1:23" x14ac:dyDescent="0.25">
      <c r="A486" s="200">
        <v>4013023</v>
      </c>
      <c r="B486" s="313" t="s">
        <v>15083</v>
      </c>
      <c r="C486" s="248"/>
      <c r="D486" s="247" t="s">
        <v>11</v>
      </c>
      <c r="E486" s="249">
        <f t="shared" si="231"/>
        <v>686.38364378400013</v>
      </c>
      <c r="F486" s="258">
        <v>0.4</v>
      </c>
      <c r="G486" s="258">
        <f t="shared" si="232"/>
        <v>0.4</v>
      </c>
      <c r="H486" s="249">
        <f t="shared" si="233"/>
        <v>772.18159925700013</v>
      </c>
      <c r="I486" s="258">
        <v>0.45</v>
      </c>
      <c r="J486" s="258">
        <f t="shared" si="234"/>
        <v>0.45</v>
      </c>
      <c r="K486" s="249">
        <f t="shared" si="235"/>
        <v>171.59591094600003</v>
      </c>
      <c r="L486" s="258">
        <v>0.1</v>
      </c>
      <c r="M486" s="258">
        <f t="shared" si="236"/>
        <v>0.1</v>
      </c>
      <c r="N486" s="251">
        <f t="shared" si="237"/>
        <v>85.797955473000016</v>
      </c>
      <c r="O486" s="314">
        <v>0.05</v>
      </c>
      <c r="P486" s="258">
        <f t="shared" si="238"/>
        <v>0.05</v>
      </c>
      <c r="Q486" s="249">
        <v>1681.8181999999999</v>
      </c>
      <c r="R486" s="249">
        <f t="shared" si="239"/>
        <v>1715.9591094600003</v>
      </c>
      <c r="S486" s="258">
        <v>0.1</v>
      </c>
      <c r="T486" s="169">
        <f t="shared" si="242"/>
        <v>1850.0000199999999</v>
      </c>
      <c r="U486" s="315">
        <f t="shared" si="240"/>
        <v>1887.5550204060003</v>
      </c>
      <c r="V486" s="315">
        <f t="shared" si="241"/>
        <v>1900</v>
      </c>
      <c r="W486" s="316">
        <f t="shared" si="230"/>
        <v>0</v>
      </c>
    </row>
    <row r="487" spans="1:23" x14ac:dyDescent="0.25">
      <c r="A487" s="200" t="s">
        <v>15084</v>
      </c>
      <c r="B487" s="313" t="s">
        <v>15085</v>
      </c>
      <c r="C487" s="248"/>
      <c r="D487" s="247" t="s">
        <v>11</v>
      </c>
      <c r="E487" s="249">
        <f t="shared" si="231"/>
        <v>1261.4618218920002</v>
      </c>
      <c r="F487" s="258">
        <v>0.4</v>
      </c>
      <c r="G487" s="258">
        <f t="shared" si="232"/>
        <v>0.4</v>
      </c>
      <c r="H487" s="249">
        <f t="shared" si="233"/>
        <v>1419.1445496285</v>
      </c>
      <c r="I487" s="258">
        <v>0.45</v>
      </c>
      <c r="J487" s="258">
        <f t="shared" si="234"/>
        <v>0.45</v>
      </c>
      <c r="K487" s="249">
        <f t="shared" si="235"/>
        <v>315.36545547300005</v>
      </c>
      <c r="L487" s="258">
        <v>0.1</v>
      </c>
      <c r="M487" s="258">
        <f t="shared" si="236"/>
        <v>0.1</v>
      </c>
      <c r="N487" s="251">
        <f t="shared" si="237"/>
        <v>157.68272773650003</v>
      </c>
      <c r="O487" s="258">
        <v>0.05</v>
      </c>
      <c r="P487" s="258">
        <f t="shared" si="238"/>
        <v>0.05</v>
      </c>
      <c r="Q487" s="249">
        <v>3090.9090999999999</v>
      </c>
      <c r="R487" s="249">
        <f t="shared" si="239"/>
        <v>3153.6545547300002</v>
      </c>
      <c r="S487" s="258">
        <v>0.1</v>
      </c>
      <c r="T487" s="169">
        <f t="shared" si="242"/>
        <v>3400.0000099999997</v>
      </c>
      <c r="U487" s="315">
        <f t="shared" si="240"/>
        <v>3469.0200102030003</v>
      </c>
      <c r="V487" s="315">
        <f t="shared" si="241"/>
        <v>3475</v>
      </c>
      <c r="W487" s="316">
        <f t="shared" ref="W487:W526" si="243">C487*V487</f>
        <v>0</v>
      </c>
    </row>
    <row r="488" spans="1:23" x14ac:dyDescent="0.25">
      <c r="A488" s="200" t="s">
        <v>15086</v>
      </c>
      <c r="B488" s="313" t="s">
        <v>15087</v>
      </c>
      <c r="C488" s="248"/>
      <c r="D488" s="247" t="s">
        <v>11</v>
      </c>
      <c r="E488" s="249">
        <f t="shared" si="231"/>
        <v>769.86271243200008</v>
      </c>
      <c r="F488" s="258">
        <v>0.4</v>
      </c>
      <c r="G488" s="258">
        <f t="shared" si="232"/>
        <v>0.4</v>
      </c>
      <c r="H488" s="249">
        <f t="shared" si="233"/>
        <v>866.09555148599998</v>
      </c>
      <c r="I488" s="258">
        <v>0.45</v>
      </c>
      <c r="J488" s="258">
        <f t="shared" si="234"/>
        <v>0.45</v>
      </c>
      <c r="K488" s="249">
        <f t="shared" si="235"/>
        <v>192.46567810800002</v>
      </c>
      <c r="L488" s="258">
        <v>0.1</v>
      </c>
      <c r="M488" s="258">
        <f t="shared" si="236"/>
        <v>0.1</v>
      </c>
      <c r="N488" s="251">
        <f t="shared" si="237"/>
        <v>96.23283905400001</v>
      </c>
      <c r="O488" s="258">
        <v>0.05</v>
      </c>
      <c r="P488" s="258">
        <f t="shared" si="238"/>
        <v>0.05</v>
      </c>
      <c r="Q488" s="249">
        <v>1886.3635999999999</v>
      </c>
      <c r="R488" s="249">
        <f t="shared" si="239"/>
        <v>1924.65678108</v>
      </c>
      <c r="S488" s="258">
        <v>0.1</v>
      </c>
      <c r="T488" s="169">
        <f t="shared" si="242"/>
        <v>2074.9999600000001</v>
      </c>
      <c r="U488" s="315">
        <f t="shared" si="240"/>
        <v>2117.122459188</v>
      </c>
      <c r="V488" s="315">
        <f t="shared" si="241"/>
        <v>2125</v>
      </c>
      <c r="W488" s="316">
        <f t="shared" si="243"/>
        <v>0</v>
      </c>
    </row>
    <row r="489" spans="1:23" x14ac:dyDescent="0.25">
      <c r="A489" s="200" t="s">
        <v>15088</v>
      </c>
      <c r="B489" s="313" t="s">
        <v>15089</v>
      </c>
      <c r="C489" s="248"/>
      <c r="D489" s="247" t="s">
        <v>11</v>
      </c>
      <c r="E489" s="249">
        <f t="shared" si="231"/>
        <v>75.153289428000022</v>
      </c>
      <c r="F489" s="258">
        <v>0.45</v>
      </c>
      <c r="G489" s="258">
        <f t="shared" si="232"/>
        <v>0.45</v>
      </c>
      <c r="H489" s="249">
        <f t="shared" si="233"/>
        <v>66.802923936000013</v>
      </c>
      <c r="I489" s="258">
        <v>0.4</v>
      </c>
      <c r="J489" s="258">
        <f t="shared" si="234"/>
        <v>0.4</v>
      </c>
      <c r="K489" s="249">
        <f t="shared" si="235"/>
        <v>16.700730984000003</v>
      </c>
      <c r="L489" s="258">
        <v>0.1</v>
      </c>
      <c r="M489" s="258">
        <f t="shared" si="236"/>
        <v>0.1</v>
      </c>
      <c r="N489" s="251">
        <f t="shared" si="237"/>
        <v>8.3503654920000017</v>
      </c>
      <c r="O489" s="258">
        <v>0.05</v>
      </c>
      <c r="P489" s="258">
        <f t="shared" si="238"/>
        <v>0.05</v>
      </c>
      <c r="Q489" s="249">
        <v>163.63640000000001</v>
      </c>
      <c r="R489" s="249">
        <f t="shared" si="239"/>
        <v>167.00730984000003</v>
      </c>
      <c r="S489" s="258">
        <v>0.1</v>
      </c>
      <c r="T489" s="169">
        <f t="shared" si="242"/>
        <v>180.00004000000001</v>
      </c>
      <c r="U489" s="315">
        <f t="shared" si="240"/>
        <v>183.70804082400002</v>
      </c>
      <c r="V489" s="315">
        <f t="shared" si="241"/>
        <v>185</v>
      </c>
      <c r="W489" s="316">
        <f t="shared" si="243"/>
        <v>0</v>
      </c>
    </row>
    <row r="490" spans="1:23" x14ac:dyDescent="0.25">
      <c r="A490" s="200" t="s">
        <v>15088</v>
      </c>
      <c r="B490" s="313" t="s">
        <v>15090</v>
      </c>
      <c r="C490" s="248"/>
      <c r="D490" s="247" t="s">
        <v>11</v>
      </c>
      <c r="E490" s="249">
        <f t="shared" si="231"/>
        <v>87.678822357000016</v>
      </c>
      <c r="F490" s="258">
        <v>0.45</v>
      </c>
      <c r="G490" s="258">
        <f t="shared" si="232"/>
        <v>0.45</v>
      </c>
      <c r="H490" s="249">
        <f t="shared" si="233"/>
        <v>77.936730984000008</v>
      </c>
      <c r="I490" s="258">
        <v>0.4</v>
      </c>
      <c r="J490" s="258">
        <f t="shared" si="234"/>
        <v>0.4</v>
      </c>
      <c r="K490" s="249">
        <f t="shared" si="235"/>
        <v>19.484182746000002</v>
      </c>
      <c r="L490" s="258">
        <v>0.1</v>
      </c>
      <c r="M490" s="258">
        <f t="shared" si="236"/>
        <v>0.1</v>
      </c>
      <c r="N490" s="251">
        <f t="shared" si="237"/>
        <v>9.7420913730000009</v>
      </c>
      <c r="O490" s="258">
        <v>0.05</v>
      </c>
      <c r="P490" s="258">
        <f t="shared" si="238"/>
        <v>0.05</v>
      </c>
      <c r="Q490" s="249">
        <v>190.9091</v>
      </c>
      <c r="R490" s="249">
        <f t="shared" si="239"/>
        <v>194.84182746000002</v>
      </c>
      <c r="S490" s="258">
        <v>0.1</v>
      </c>
      <c r="T490" s="169">
        <f t="shared" si="242"/>
        <v>210.00001</v>
      </c>
      <c r="U490" s="315">
        <f t="shared" si="240"/>
        <v>214.32601020600003</v>
      </c>
      <c r="V490" s="315">
        <f t="shared" si="241"/>
        <v>215</v>
      </c>
      <c r="W490" s="316">
        <f t="shared" si="243"/>
        <v>0</v>
      </c>
    </row>
    <row r="491" spans="1:23" x14ac:dyDescent="0.25">
      <c r="A491" s="200" t="s">
        <v>15091</v>
      </c>
      <c r="B491" s="313" t="s">
        <v>15092</v>
      </c>
      <c r="C491" s="248"/>
      <c r="D491" s="247" t="s">
        <v>11</v>
      </c>
      <c r="E491" s="249">
        <f t="shared" si="231"/>
        <v>91.854000000000013</v>
      </c>
      <c r="F491" s="258">
        <v>0.45</v>
      </c>
      <c r="G491" s="258">
        <f t="shared" si="232"/>
        <v>0.45</v>
      </c>
      <c r="H491" s="249">
        <f t="shared" si="233"/>
        <v>81.648000000000025</v>
      </c>
      <c r="I491" s="258">
        <v>0.4</v>
      </c>
      <c r="J491" s="258">
        <f t="shared" si="234"/>
        <v>0.4</v>
      </c>
      <c r="K491" s="249">
        <f t="shared" si="235"/>
        <v>20.412000000000006</v>
      </c>
      <c r="L491" s="258">
        <v>0.1</v>
      </c>
      <c r="M491" s="258">
        <f t="shared" si="236"/>
        <v>0.1</v>
      </c>
      <c r="N491" s="251">
        <f t="shared" si="237"/>
        <v>10.206000000000003</v>
      </c>
      <c r="O491" s="258">
        <v>0.05</v>
      </c>
      <c r="P491" s="258">
        <f t="shared" si="238"/>
        <v>0.05</v>
      </c>
      <c r="Q491" s="249">
        <v>200</v>
      </c>
      <c r="R491" s="249">
        <f t="shared" si="239"/>
        <v>204.12000000000003</v>
      </c>
      <c r="S491" s="258">
        <v>0.1</v>
      </c>
      <c r="T491" s="169">
        <f t="shared" si="242"/>
        <v>220</v>
      </c>
      <c r="U491" s="315">
        <f t="shared" si="240"/>
        <v>224.53200000000004</v>
      </c>
      <c r="V491" s="315">
        <f t="shared" si="241"/>
        <v>225</v>
      </c>
      <c r="W491" s="316">
        <f t="shared" si="243"/>
        <v>0</v>
      </c>
    </row>
    <row r="492" spans="1:23" x14ac:dyDescent="0.25">
      <c r="A492" s="200" t="s">
        <v>15093</v>
      </c>
      <c r="B492" s="313" t="s">
        <v>15094</v>
      </c>
      <c r="C492" s="248"/>
      <c r="D492" s="247" t="s">
        <v>14869</v>
      </c>
      <c r="E492" s="249">
        <f t="shared" si="231"/>
        <v>41.104351668000007</v>
      </c>
      <c r="F492" s="258">
        <v>0.4</v>
      </c>
      <c r="G492" s="258">
        <f t="shared" si="232"/>
        <v>0.4</v>
      </c>
      <c r="H492" s="249">
        <f t="shared" si="233"/>
        <v>41.104351668000007</v>
      </c>
      <c r="I492" s="258">
        <v>0.4</v>
      </c>
      <c r="J492" s="258">
        <f t="shared" si="234"/>
        <v>0.4</v>
      </c>
      <c r="K492" s="249">
        <f t="shared" si="235"/>
        <v>15.414131875500001</v>
      </c>
      <c r="L492" s="258">
        <v>0.15</v>
      </c>
      <c r="M492" s="258">
        <f t="shared" si="236"/>
        <v>0.15</v>
      </c>
      <c r="N492" s="251">
        <f t="shared" si="237"/>
        <v>5.1380439585000008</v>
      </c>
      <c r="O492" s="258">
        <v>0.05</v>
      </c>
      <c r="P492" s="258">
        <f t="shared" si="238"/>
        <v>0.05</v>
      </c>
      <c r="Q492" s="249">
        <v>100.6818</v>
      </c>
      <c r="R492" s="249">
        <f t="shared" si="239"/>
        <v>102.76087917000001</v>
      </c>
      <c r="S492" s="258">
        <v>0.1</v>
      </c>
      <c r="T492" s="169">
        <f t="shared" si="242"/>
        <v>110.74997999999999</v>
      </c>
      <c r="U492" s="315">
        <f t="shared" si="240"/>
        <v>113.03696708700001</v>
      </c>
      <c r="V492" s="315">
        <f t="shared" si="241"/>
        <v>115</v>
      </c>
      <c r="W492" s="316">
        <f t="shared" si="243"/>
        <v>0</v>
      </c>
    </row>
    <row r="493" spans="1:23" x14ac:dyDescent="0.25">
      <c r="A493" s="200" t="s">
        <v>15095</v>
      </c>
      <c r="B493" s="313" t="s">
        <v>20272</v>
      </c>
      <c r="C493" s="248"/>
      <c r="D493" s="247" t="s">
        <v>11</v>
      </c>
      <c r="E493" s="249">
        <f t="shared" si="231"/>
        <v>259.05954582999999</v>
      </c>
      <c r="F493" s="258">
        <v>0.4</v>
      </c>
      <c r="G493" s="258">
        <f t="shared" si="232"/>
        <v>0.4</v>
      </c>
      <c r="H493" s="249">
        <f t="shared" si="233"/>
        <v>259.05954582999999</v>
      </c>
      <c r="I493" s="258">
        <v>0.4</v>
      </c>
      <c r="J493" s="258">
        <f t="shared" si="234"/>
        <v>0.4</v>
      </c>
      <c r="K493" s="249">
        <f t="shared" si="235"/>
        <v>97.147329686249989</v>
      </c>
      <c r="L493" s="258">
        <v>0.15</v>
      </c>
      <c r="M493" s="258">
        <f t="shared" si="236"/>
        <v>0.15</v>
      </c>
      <c r="N493" s="251">
        <f t="shared" si="237"/>
        <v>32.382443228749999</v>
      </c>
      <c r="O493" s="258">
        <v>0.05</v>
      </c>
      <c r="P493" s="258">
        <f t="shared" si="238"/>
        <v>0.05</v>
      </c>
      <c r="Q493" s="249">
        <v>634.54549999999995</v>
      </c>
      <c r="R493" s="249">
        <f t="shared" si="239"/>
        <v>647.64886457499995</v>
      </c>
      <c r="S493" s="258">
        <v>0.1</v>
      </c>
      <c r="T493" s="169">
        <f t="shared" si="242"/>
        <v>698.00004999999999</v>
      </c>
      <c r="U493" s="315">
        <f t="shared" si="240"/>
        <v>712.41375103249993</v>
      </c>
      <c r="V493" s="315">
        <f t="shared" si="241"/>
        <v>715</v>
      </c>
      <c r="W493" s="316">
        <f t="shared" si="243"/>
        <v>0</v>
      </c>
    </row>
    <row r="494" spans="1:23" x14ac:dyDescent="0.25">
      <c r="A494" s="200" t="s">
        <v>15096</v>
      </c>
      <c r="B494" s="313" t="s">
        <v>20273</v>
      </c>
      <c r="C494" s="248"/>
      <c r="D494" s="247" t="s">
        <v>11</v>
      </c>
      <c r="E494" s="249">
        <f t="shared" si="231"/>
        <v>287.63774583000003</v>
      </c>
      <c r="F494" s="258">
        <v>0.4</v>
      </c>
      <c r="G494" s="258">
        <f t="shared" si="232"/>
        <v>0.4</v>
      </c>
      <c r="H494" s="249">
        <f t="shared" si="233"/>
        <v>287.63774583000003</v>
      </c>
      <c r="I494" s="258">
        <v>0.4</v>
      </c>
      <c r="J494" s="258">
        <f t="shared" si="234"/>
        <v>0.4</v>
      </c>
      <c r="K494" s="249">
        <f t="shared" si="235"/>
        <v>107.86415468625002</v>
      </c>
      <c r="L494" s="258">
        <v>0.15</v>
      </c>
      <c r="M494" s="258">
        <f t="shared" si="236"/>
        <v>0.15</v>
      </c>
      <c r="N494" s="251">
        <f t="shared" si="237"/>
        <v>35.954718228750004</v>
      </c>
      <c r="O494" s="258">
        <v>0.05</v>
      </c>
      <c r="P494" s="258">
        <f t="shared" si="238"/>
        <v>0.05</v>
      </c>
      <c r="Q494" s="249">
        <v>704.54549999999995</v>
      </c>
      <c r="R494" s="249">
        <f t="shared" si="239"/>
        <v>719.0943645750001</v>
      </c>
      <c r="S494" s="258">
        <v>0.1</v>
      </c>
      <c r="T494" s="169">
        <f t="shared" si="242"/>
        <v>775.00004999999999</v>
      </c>
      <c r="U494" s="315">
        <f t="shared" si="240"/>
        <v>791.00380103250006</v>
      </c>
      <c r="V494" s="315">
        <f t="shared" si="241"/>
        <v>795</v>
      </c>
      <c r="W494" s="316">
        <f t="shared" si="243"/>
        <v>0</v>
      </c>
    </row>
    <row r="495" spans="1:23" ht="21" x14ac:dyDescent="0.25">
      <c r="A495" s="200" t="s">
        <v>15097</v>
      </c>
      <c r="B495" s="255" t="s">
        <v>20274</v>
      </c>
      <c r="C495" s="248"/>
      <c r="D495" s="247" t="s">
        <v>2</v>
      </c>
      <c r="E495" s="249">
        <f t="shared" si="231"/>
        <v>23.734603360000005</v>
      </c>
      <c r="F495" s="258">
        <v>0.4</v>
      </c>
      <c r="G495" s="258">
        <f t="shared" si="232"/>
        <v>0.4</v>
      </c>
      <c r="H495" s="249">
        <f t="shared" si="233"/>
        <v>23.734603360000005</v>
      </c>
      <c r="I495" s="258">
        <v>0.4</v>
      </c>
      <c r="J495" s="258">
        <f t="shared" si="234"/>
        <v>0.4</v>
      </c>
      <c r="K495" s="249">
        <f t="shared" si="235"/>
        <v>8.9004762600000014</v>
      </c>
      <c r="L495" s="258">
        <v>0.15</v>
      </c>
      <c r="M495" s="258">
        <f t="shared" si="236"/>
        <v>0.15</v>
      </c>
      <c r="N495" s="251">
        <f t="shared" si="237"/>
        <v>2.9668254200000006</v>
      </c>
      <c r="O495" s="258">
        <v>0.05</v>
      </c>
      <c r="P495" s="258">
        <f t="shared" si="238"/>
        <v>0.05</v>
      </c>
      <c r="Q495" s="249">
        <v>58.136000000000003</v>
      </c>
      <c r="R495" s="249">
        <f t="shared" si="239"/>
        <v>59.336508400000007</v>
      </c>
      <c r="S495" s="258">
        <v>0.1</v>
      </c>
      <c r="T495" s="169">
        <f t="shared" si="242"/>
        <v>63.949600000000004</v>
      </c>
      <c r="U495" s="315">
        <f t="shared" si="240"/>
        <v>65.270159240000012</v>
      </c>
      <c r="V495" s="315">
        <f t="shared" si="241"/>
        <v>66</v>
      </c>
      <c r="W495" s="316">
        <f t="shared" si="243"/>
        <v>0</v>
      </c>
    </row>
    <row r="496" spans="1:23" ht="21" x14ac:dyDescent="0.25">
      <c r="A496" s="200" t="s">
        <v>15098</v>
      </c>
      <c r="B496" s="255" t="s">
        <v>20275</v>
      </c>
      <c r="C496" s="248"/>
      <c r="D496" s="247" t="s">
        <v>2</v>
      </c>
      <c r="E496" s="249">
        <f t="shared" si="231"/>
        <v>49.586580000000012</v>
      </c>
      <c r="F496" s="258">
        <v>0.4</v>
      </c>
      <c r="G496" s="258">
        <f t="shared" si="232"/>
        <v>0.4</v>
      </c>
      <c r="H496" s="249">
        <f t="shared" si="233"/>
        <v>55.784902500000008</v>
      </c>
      <c r="I496" s="258">
        <v>0.45</v>
      </c>
      <c r="J496" s="258">
        <f t="shared" si="234"/>
        <v>0.45</v>
      </c>
      <c r="K496" s="249">
        <f t="shared" si="235"/>
        <v>12.396645000000003</v>
      </c>
      <c r="L496" s="258">
        <v>0.1</v>
      </c>
      <c r="M496" s="258">
        <f t="shared" si="236"/>
        <v>0.1</v>
      </c>
      <c r="N496" s="251">
        <f t="shared" si="237"/>
        <v>6.1983225000000015</v>
      </c>
      <c r="O496" s="258">
        <v>0.05</v>
      </c>
      <c r="P496" s="258">
        <f t="shared" si="238"/>
        <v>0.05</v>
      </c>
      <c r="Q496" s="249">
        <v>121.5</v>
      </c>
      <c r="R496" s="249">
        <f t="shared" si="239"/>
        <v>123.96645000000002</v>
      </c>
      <c r="S496" s="258">
        <v>0.1</v>
      </c>
      <c r="T496" s="169">
        <f>Q496+Q496*S496+0.35</f>
        <v>134</v>
      </c>
      <c r="U496" s="315">
        <f t="shared" si="240"/>
        <v>136.36309500000002</v>
      </c>
      <c r="V496" s="315">
        <f t="shared" si="241"/>
        <v>140</v>
      </c>
      <c r="W496" s="316">
        <f t="shared" si="243"/>
        <v>0</v>
      </c>
    </row>
    <row r="497" spans="1:23" ht="21" x14ac:dyDescent="0.25">
      <c r="A497" s="200" t="s">
        <v>15099</v>
      </c>
      <c r="B497" s="255" t="s">
        <v>15100</v>
      </c>
      <c r="C497" s="248"/>
      <c r="D497" s="247" t="s">
        <v>15025</v>
      </c>
      <c r="E497" s="249">
        <f t="shared" si="231"/>
        <v>139.73625250200004</v>
      </c>
      <c r="F497" s="258">
        <v>0.4</v>
      </c>
      <c r="G497" s="258">
        <f t="shared" si="232"/>
        <v>0.4</v>
      </c>
      <c r="H497" s="249">
        <f t="shared" si="233"/>
        <v>139.73625250200004</v>
      </c>
      <c r="I497" s="258">
        <v>0.4</v>
      </c>
      <c r="J497" s="258">
        <f t="shared" si="234"/>
        <v>0.4</v>
      </c>
      <c r="K497" s="249">
        <f t="shared" si="235"/>
        <v>52.401094688250005</v>
      </c>
      <c r="L497" s="258">
        <v>0.15</v>
      </c>
      <c r="M497" s="258">
        <f t="shared" si="236"/>
        <v>0.15</v>
      </c>
      <c r="N497" s="251">
        <f t="shared" si="237"/>
        <v>17.467031562750005</v>
      </c>
      <c r="O497" s="258">
        <v>0.05</v>
      </c>
      <c r="P497" s="258">
        <f t="shared" si="238"/>
        <v>0.05</v>
      </c>
      <c r="Q497" s="249">
        <v>342.27269999999999</v>
      </c>
      <c r="R497" s="249">
        <f t="shared" si="239"/>
        <v>349.34063125500006</v>
      </c>
      <c r="S497" s="258">
        <v>0.1</v>
      </c>
      <c r="T497" s="169">
        <f t="shared" ref="T497:T522" si="244">Q497+Q497*S497</f>
        <v>376.49996999999996</v>
      </c>
      <c r="U497" s="315">
        <f t="shared" si="240"/>
        <v>384.27469438050008</v>
      </c>
      <c r="V497" s="315">
        <f t="shared" si="241"/>
        <v>385</v>
      </c>
      <c r="W497" s="316">
        <f t="shared" si="243"/>
        <v>0</v>
      </c>
    </row>
    <row r="498" spans="1:23" x14ac:dyDescent="0.25">
      <c r="A498" s="200" t="s">
        <v>15101</v>
      </c>
      <c r="B498" s="313" t="s">
        <v>15102</v>
      </c>
      <c r="C498" s="248"/>
      <c r="D498" s="247" t="s">
        <v>1</v>
      </c>
      <c r="E498" s="249">
        <f t="shared" si="231"/>
        <v>0</v>
      </c>
      <c r="F498" s="314"/>
      <c r="G498" s="258">
        <f t="shared" si="232"/>
        <v>0</v>
      </c>
      <c r="H498" s="249">
        <f t="shared" si="233"/>
        <v>42.357686760000007</v>
      </c>
      <c r="I498" s="258">
        <v>0.6</v>
      </c>
      <c r="J498" s="258">
        <f t="shared" si="234"/>
        <v>0.6</v>
      </c>
      <c r="K498" s="249">
        <f t="shared" si="235"/>
        <v>0</v>
      </c>
      <c r="L498" s="314"/>
      <c r="M498" s="258">
        <f t="shared" si="236"/>
        <v>0</v>
      </c>
      <c r="N498" s="251">
        <f t="shared" si="237"/>
        <v>28.238457840000009</v>
      </c>
      <c r="O498" s="258">
        <v>0.4</v>
      </c>
      <c r="P498" s="258">
        <f t="shared" si="238"/>
        <v>0.4</v>
      </c>
      <c r="Q498" s="249">
        <v>69.546000000000006</v>
      </c>
      <c r="R498" s="249">
        <f t="shared" si="239"/>
        <v>70.596144600000017</v>
      </c>
      <c r="S498" s="258">
        <v>0.1</v>
      </c>
      <c r="T498" s="169">
        <f t="shared" si="244"/>
        <v>76.500600000000006</v>
      </c>
      <c r="U498" s="315">
        <f t="shared" si="240"/>
        <v>77.655759060000022</v>
      </c>
      <c r="V498" s="315">
        <f t="shared" si="241"/>
        <v>78</v>
      </c>
      <c r="W498" s="316">
        <f t="shared" si="243"/>
        <v>0</v>
      </c>
    </row>
    <row r="499" spans="1:23" x14ac:dyDescent="0.25">
      <c r="A499" s="200" t="s">
        <v>15103</v>
      </c>
      <c r="B499" s="313" t="s">
        <v>20276</v>
      </c>
      <c r="C499" s="248"/>
      <c r="D499" s="247" t="s">
        <v>15025</v>
      </c>
      <c r="E499" s="249">
        <f t="shared" si="231"/>
        <v>0</v>
      </c>
      <c r="F499" s="314"/>
      <c r="G499" s="258">
        <f t="shared" si="232"/>
        <v>0</v>
      </c>
      <c r="H499" s="249">
        <f t="shared" si="233"/>
        <v>241.92402546000002</v>
      </c>
      <c r="I499" s="258">
        <v>0.65</v>
      </c>
      <c r="J499" s="258">
        <f t="shared" si="234"/>
        <v>0.65</v>
      </c>
      <c r="K499" s="249">
        <f t="shared" si="235"/>
        <v>0</v>
      </c>
      <c r="L499" s="314"/>
      <c r="M499" s="258">
        <f t="shared" si="236"/>
        <v>0</v>
      </c>
      <c r="N499" s="251">
        <f t="shared" si="237"/>
        <v>130.26678294000001</v>
      </c>
      <c r="O499" s="258">
        <v>0.35</v>
      </c>
      <c r="P499" s="258">
        <f t="shared" si="238"/>
        <v>0.35</v>
      </c>
      <c r="Q499" s="249">
        <v>366.54599999999999</v>
      </c>
      <c r="R499" s="249">
        <f t="shared" si="239"/>
        <v>372.19080840000004</v>
      </c>
      <c r="S499" s="258">
        <v>0.1</v>
      </c>
      <c r="T499" s="169">
        <f t="shared" si="244"/>
        <v>403.20060000000001</v>
      </c>
      <c r="U499" s="315">
        <f t="shared" si="240"/>
        <v>409.40988924000004</v>
      </c>
      <c r="V499" s="315">
        <f t="shared" si="241"/>
        <v>410</v>
      </c>
      <c r="W499" s="316">
        <f t="shared" si="243"/>
        <v>0</v>
      </c>
    </row>
    <row r="500" spans="1:23" x14ac:dyDescent="0.25">
      <c r="A500" s="200" t="s">
        <v>15104</v>
      </c>
      <c r="B500" s="313" t="s">
        <v>20277</v>
      </c>
      <c r="C500" s="248"/>
      <c r="D500" s="247" t="s">
        <v>15025</v>
      </c>
      <c r="E500" s="249">
        <f t="shared" si="231"/>
        <v>0</v>
      </c>
      <c r="F500" s="314"/>
      <c r="G500" s="258">
        <f t="shared" si="232"/>
        <v>0</v>
      </c>
      <c r="H500" s="249">
        <f t="shared" si="233"/>
        <v>270.00415091000002</v>
      </c>
      <c r="I500" s="258">
        <v>0.65</v>
      </c>
      <c r="J500" s="258">
        <f t="shared" si="234"/>
        <v>0.65</v>
      </c>
      <c r="K500" s="249">
        <f t="shared" si="235"/>
        <v>0</v>
      </c>
      <c r="L500" s="314"/>
      <c r="M500" s="258">
        <f t="shared" si="236"/>
        <v>0</v>
      </c>
      <c r="N500" s="251">
        <f t="shared" si="237"/>
        <v>145.38685049</v>
      </c>
      <c r="O500" s="258">
        <v>0.35</v>
      </c>
      <c r="P500" s="258">
        <f t="shared" si="238"/>
        <v>0.35</v>
      </c>
      <c r="Q500" s="249">
        <v>409.09100000000001</v>
      </c>
      <c r="R500" s="249">
        <f t="shared" si="239"/>
        <v>415.39100140000005</v>
      </c>
      <c r="S500" s="258">
        <v>0.1</v>
      </c>
      <c r="T500" s="169">
        <f t="shared" si="244"/>
        <v>450.00010000000003</v>
      </c>
      <c r="U500" s="315">
        <f t="shared" si="240"/>
        <v>456.93010154000007</v>
      </c>
      <c r="V500" s="315">
        <f t="shared" si="241"/>
        <v>460</v>
      </c>
      <c r="W500" s="316">
        <f t="shared" si="243"/>
        <v>0</v>
      </c>
    </row>
    <row r="501" spans="1:23" x14ac:dyDescent="0.25">
      <c r="A501" s="200" t="s">
        <v>15105</v>
      </c>
      <c r="B501" s="313" t="s">
        <v>20278</v>
      </c>
      <c r="C501" s="248"/>
      <c r="D501" s="247" t="s">
        <v>15025</v>
      </c>
      <c r="E501" s="249">
        <f t="shared" si="231"/>
        <v>0</v>
      </c>
      <c r="F501" s="314"/>
      <c r="G501" s="258">
        <f t="shared" si="232"/>
        <v>0</v>
      </c>
      <c r="H501" s="249">
        <f t="shared" si="233"/>
        <v>288.00460363999997</v>
      </c>
      <c r="I501" s="258">
        <v>0.65</v>
      </c>
      <c r="J501" s="258">
        <f t="shared" si="234"/>
        <v>0.65</v>
      </c>
      <c r="K501" s="249">
        <f t="shared" si="235"/>
        <v>0</v>
      </c>
      <c r="L501" s="314"/>
      <c r="M501" s="258">
        <f t="shared" si="236"/>
        <v>0</v>
      </c>
      <c r="N501" s="251">
        <f t="shared" si="237"/>
        <v>155.07940195999998</v>
      </c>
      <c r="O501" s="258">
        <v>0.35</v>
      </c>
      <c r="P501" s="258">
        <f t="shared" si="238"/>
        <v>0.35</v>
      </c>
      <c r="Q501" s="249">
        <v>436.36399999999998</v>
      </c>
      <c r="R501" s="249">
        <f t="shared" si="239"/>
        <v>443.08400559999995</v>
      </c>
      <c r="S501" s="258">
        <v>0.1</v>
      </c>
      <c r="T501" s="169">
        <f t="shared" si="244"/>
        <v>480.00039999999996</v>
      </c>
      <c r="U501" s="315">
        <f t="shared" si="240"/>
        <v>487.39240615999995</v>
      </c>
      <c r="V501" s="315">
        <f t="shared" si="241"/>
        <v>490</v>
      </c>
      <c r="W501" s="316">
        <f t="shared" si="243"/>
        <v>0</v>
      </c>
    </row>
    <row r="502" spans="1:23" x14ac:dyDescent="0.25">
      <c r="A502" s="200" t="s">
        <v>15106</v>
      </c>
      <c r="B502" s="313" t="s">
        <v>20279</v>
      </c>
      <c r="C502" s="248"/>
      <c r="D502" s="247" t="s">
        <v>15025</v>
      </c>
      <c r="E502" s="249">
        <f t="shared" si="231"/>
        <v>0</v>
      </c>
      <c r="F502" s="314"/>
      <c r="G502" s="258">
        <f t="shared" si="232"/>
        <v>0</v>
      </c>
      <c r="H502" s="249">
        <f t="shared" si="233"/>
        <v>259.50405182000003</v>
      </c>
      <c r="I502" s="258">
        <v>0.65</v>
      </c>
      <c r="J502" s="258">
        <f t="shared" si="234"/>
        <v>0.65</v>
      </c>
      <c r="K502" s="249">
        <f t="shared" si="235"/>
        <v>0</v>
      </c>
      <c r="L502" s="314"/>
      <c r="M502" s="258">
        <f t="shared" si="236"/>
        <v>0</v>
      </c>
      <c r="N502" s="251">
        <f t="shared" si="237"/>
        <v>139.73295098</v>
      </c>
      <c r="O502" s="258">
        <v>0.35</v>
      </c>
      <c r="P502" s="258">
        <f t="shared" si="238"/>
        <v>0.35</v>
      </c>
      <c r="Q502" s="249">
        <v>393.18200000000002</v>
      </c>
      <c r="R502" s="249">
        <f t="shared" si="239"/>
        <v>399.23700280000003</v>
      </c>
      <c r="S502" s="258">
        <v>0.1</v>
      </c>
      <c r="T502" s="169">
        <f t="shared" si="244"/>
        <v>432.50020000000001</v>
      </c>
      <c r="U502" s="315">
        <f t="shared" si="240"/>
        <v>439.16070308000002</v>
      </c>
      <c r="V502" s="315">
        <f t="shared" si="241"/>
        <v>440</v>
      </c>
      <c r="W502" s="316">
        <f t="shared" si="243"/>
        <v>0</v>
      </c>
    </row>
    <row r="503" spans="1:23" x14ac:dyDescent="0.25">
      <c r="A503" s="200" t="s">
        <v>15106</v>
      </c>
      <c r="B503" s="313" t="s">
        <v>20280</v>
      </c>
      <c r="C503" s="248"/>
      <c r="D503" s="247" t="s">
        <v>15025</v>
      </c>
      <c r="E503" s="249">
        <f t="shared" si="231"/>
        <v>0</v>
      </c>
      <c r="F503" s="314"/>
      <c r="G503" s="258">
        <f t="shared" si="232"/>
        <v>0</v>
      </c>
      <c r="H503" s="249">
        <f t="shared" si="233"/>
        <v>289.5048063700001</v>
      </c>
      <c r="I503" s="258">
        <v>0.65</v>
      </c>
      <c r="J503" s="258">
        <f t="shared" si="234"/>
        <v>0.65</v>
      </c>
      <c r="K503" s="249">
        <f t="shared" si="235"/>
        <v>0</v>
      </c>
      <c r="L503" s="314"/>
      <c r="M503" s="258">
        <f t="shared" si="236"/>
        <v>0</v>
      </c>
      <c r="N503" s="251">
        <f t="shared" si="237"/>
        <v>155.88720343000003</v>
      </c>
      <c r="O503" s="258">
        <v>0.35</v>
      </c>
      <c r="P503" s="258">
        <f t="shared" si="238"/>
        <v>0.35</v>
      </c>
      <c r="Q503" s="249">
        <v>438.637</v>
      </c>
      <c r="R503" s="249">
        <f t="shared" si="239"/>
        <v>445.3920098000001</v>
      </c>
      <c r="S503" s="258">
        <v>0.1</v>
      </c>
      <c r="T503" s="169">
        <f t="shared" si="244"/>
        <v>482.50069999999999</v>
      </c>
      <c r="U503" s="315">
        <f t="shared" si="240"/>
        <v>489.93121078000013</v>
      </c>
      <c r="V503" s="315">
        <f t="shared" si="241"/>
        <v>490</v>
      </c>
      <c r="W503" s="316">
        <f t="shared" si="243"/>
        <v>0</v>
      </c>
    </row>
    <row r="504" spans="1:23" x14ac:dyDescent="0.25">
      <c r="A504" s="200" t="s">
        <v>15107</v>
      </c>
      <c r="B504" s="313" t="s">
        <v>20281</v>
      </c>
      <c r="C504" s="248"/>
      <c r="D504" s="247" t="s">
        <v>15025</v>
      </c>
      <c r="E504" s="249">
        <f t="shared" si="231"/>
        <v>0</v>
      </c>
      <c r="F504" s="314"/>
      <c r="G504" s="258">
        <f t="shared" si="232"/>
        <v>0</v>
      </c>
      <c r="H504" s="249">
        <f t="shared" si="233"/>
        <v>307.89466500000003</v>
      </c>
      <c r="I504" s="258">
        <v>0.65</v>
      </c>
      <c r="J504" s="258">
        <f t="shared" si="234"/>
        <v>0.65</v>
      </c>
      <c r="K504" s="249">
        <f t="shared" si="235"/>
        <v>0</v>
      </c>
      <c r="L504" s="314"/>
      <c r="M504" s="258">
        <f t="shared" si="236"/>
        <v>0</v>
      </c>
      <c r="N504" s="251">
        <f t="shared" si="237"/>
        <v>165.789435</v>
      </c>
      <c r="O504" s="258">
        <v>0.35</v>
      </c>
      <c r="P504" s="258">
        <f t="shared" si="238"/>
        <v>0.35</v>
      </c>
      <c r="Q504" s="249">
        <v>466.5</v>
      </c>
      <c r="R504" s="249">
        <f t="shared" si="239"/>
        <v>473.68410000000006</v>
      </c>
      <c r="S504" s="258">
        <v>0.1</v>
      </c>
      <c r="T504" s="169">
        <f t="shared" si="244"/>
        <v>513.15</v>
      </c>
      <c r="U504" s="315">
        <f t="shared" si="240"/>
        <v>521.0525100000001</v>
      </c>
      <c r="V504" s="315">
        <f t="shared" si="241"/>
        <v>525</v>
      </c>
      <c r="W504" s="316">
        <f t="shared" si="243"/>
        <v>0</v>
      </c>
    </row>
    <row r="505" spans="1:23" x14ac:dyDescent="0.25">
      <c r="A505" s="200" t="s">
        <v>15108</v>
      </c>
      <c r="B505" s="313" t="s">
        <v>20282</v>
      </c>
      <c r="C505" s="248"/>
      <c r="D505" s="247" t="s">
        <v>15025</v>
      </c>
      <c r="E505" s="249">
        <f t="shared" si="231"/>
        <v>0</v>
      </c>
      <c r="F505" s="314"/>
      <c r="G505" s="258">
        <f t="shared" si="232"/>
        <v>0</v>
      </c>
      <c r="H505" s="249">
        <f t="shared" si="233"/>
        <v>288.60455273000002</v>
      </c>
      <c r="I505" s="258">
        <v>0.65</v>
      </c>
      <c r="J505" s="258">
        <f t="shared" si="234"/>
        <v>0.65</v>
      </c>
      <c r="K505" s="249">
        <f t="shared" si="235"/>
        <v>0</v>
      </c>
      <c r="L505" s="314"/>
      <c r="M505" s="258">
        <f t="shared" si="236"/>
        <v>0</v>
      </c>
      <c r="N505" s="251">
        <f t="shared" si="237"/>
        <v>155.40245147000002</v>
      </c>
      <c r="O505" s="258">
        <v>0.35</v>
      </c>
      <c r="P505" s="258">
        <f t="shared" si="238"/>
        <v>0.35</v>
      </c>
      <c r="Q505" s="249">
        <v>437.27300000000002</v>
      </c>
      <c r="R505" s="249">
        <f t="shared" si="239"/>
        <v>444.00700420000004</v>
      </c>
      <c r="S505" s="258">
        <v>0.1</v>
      </c>
      <c r="T505" s="169">
        <f t="shared" si="244"/>
        <v>481.00030000000004</v>
      </c>
      <c r="U505" s="315">
        <f t="shared" si="240"/>
        <v>488.40770462000006</v>
      </c>
      <c r="V505" s="315">
        <f t="shared" si="241"/>
        <v>490</v>
      </c>
      <c r="W505" s="316">
        <f t="shared" si="243"/>
        <v>0</v>
      </c>
    </row>
    <row r="506" spans="1:23" x14ac:dyDescent="0.25">
      <c r="A506" s="200" t="s">
        <v>15108</v>
      </c>
      <c r="B506" s="313" t="s">
        <v>20283</v>
      </c>
      <c r="C506" s="248"/>
      <c r="D506" s="247" t="s">
        <v>15025</v>
      </c>
      <c r="E506" s="249">
        <f t="shared" si="231"/>
        <v>0</v>
      </c>
      <c r="F506" s="314"/>
      <c r="G506" s="258">
        <f t="shared" si="232"/>
        <v>0</v>
      </c>
      <c r="H506" s="249">
        <f t="shared" si="233"/>
        <v>321.84529637000003</v>
      </c>
      <c r="I506" s="258">
        <v>0.65</v>
      </c>
      <c r="J506" s="258">
        <f t="shared" si="234"/>
        <v>0.65</v>
      </c>
      <c r="K506" s="249">
        <f t="shared" si="235"/>
        <v>0</v>
      </c>
      <c r="L506" s="314"/>
      <c r="M506" s="258">
        <f t="shared" si="236"/>
        <v>0</v>
      </c>
      <c r="N506" s="251">
        <f t="shared" si="237"/>
        <v>173.30131342999999</v>
      </c>
      <c r="O506" s="258">
        <v>0.35</v>
      </c>
      <c r="P506" s="258">
        <f t="shared" si="238"/>
        <v>0.35</v>
      </c>
      <c r="Q506" s="249">
        <v>487.637</v>
      </c>
      <c r="R506" s="249">
        <f t="shared" si="239"/>
        <v>495.14660980000002</v>
      </c>
      <c r="S506" s="258">
        <v>0.1</v>
      </c>
      <c r="T506" s="169">
        <f t="shared" si="244"/>
        <v>536.40070000000003</v>
      </c>
      <c r="U506" s="315">
        <f t="shared" si="240"/>
        <v>544.66127078</v>
      </c>
      <c r="V506" s="315">
        <f t="shared" si="241"/>
        <v>545</v>
      </c>
      <c r="W506" s="316">
        <f t="shared" si="243"/>
        <v>0</v>
      </c>
    </row>
    <row r="507" spans="1:23" x14ac:dyDescent="0.25">
      <c r="A507" s="200" t="s">
        <v>15108</v>
      </c>
      <c r="B507" s="313" t="s">
        <v>20284</v>
      </c>
      <c r="C507" s="248"/>
      <c r="D507" s="247" t="s">
        <v>15025</v>
      </c>
      <c r="E507" s="249">
        <f t="shared" si="231"/>
        <v>0</v>
      </c>
      <c r="F507" s="314"/>
      <c r="G507" s="258">
        <f t="shared" si="232"/>
        <v>0</v>
      </c>
      <c r="H507" s="249">
        <f t="shared" si="233"/>
        <v>341.2555304600001</v>
      </c>
      <c r="I507" s="258">
        <v>0.65</v>
      </c>
      <c r="J507" s="258">
        <f t="shared" si="234"/>
        <v>0.65</v>
      </c>
      <c r="K507" s="249">
        <f t="shared" si="235"/>
        <v>0</v>
      </c>
      <c r="L507" s="314"/>
      <c r="M507" s="258">
        <f t="shared" si="236"/>
        <v>0</v>
      </c>
      <c r="N507" s="251">
        <f t="shared" si="237"/>
        <v>183.75297794000002</v>
      </c>
      <c r="O507" s="258">
        <v>0.35</v>
      </c>
      <c r="P507" s="258">
        <f t="shared" si="238"/>
        <v>0.35</v>
      </c>
      <c r="Q507" s="249">
        <v>517.04600000000005</v>
      </c>
      <c r="R507" s="249">
        <f t="shared" si="239"/>
        <v>525.0085084000001</v>
      </c>
      <c r="S507" s="258">
        <v>0.1</v>
      </c>
      <c r="T507" s="169">
        <f t="shared" si="244"/>
        <v>568.75060000000008</v>
      </c>
      <c r="U507" s="315">
        <f t="shared" si="240"/>
        <v>577.50935924000009</v>
      </c>
      <c r="V507" s="315">
        <f t="shared" si="241"/>
        <v>580</v>
      </c>
      <c r="W507" s="316">
        <f t="shared" si="243"/>
        <v>0</v>
      </c>
    </row>
    <row r="508" spans="1:23" ht="21" x14ac:dyDescent="0.25">
      <c r="A508" s="200" t="s">
        <v>15109</v>
      </c>
      <c r="B508" s="255" t="s">
        <v>20285</v>
      </c>
      <c r="C508" s="248"/>
      <c r="D508" s="247" t="s">
        <v>1</v>
      </c>
      <c r="E508" s="249">
        <f t="shared" si="231"/>
        <v>0</v>
      </c>
      <c r="F508" s="314"/>
      <c r="G508" s="258">
        <f t="shared" si="232"/>
        <v>0</v>
      </c>
      <c r="H508" s="249">
        <f t="shared" si="233"/>
        <v>6.836853360000001</v>
      </c>
      <c r="I508" s="258">
        <v>0.8</v>
      </c>
      <c r="J508" s="258">
        <f t="shared" si="234"/>
        <v>0.8</v>
      </c>
      <c r="K508" s="249">
        <f t="shared" si="235"/>
        <v>0</v>
      </c>
      <c r="L508" s="314"/>
      <c r="M508" s="258">
        <f t="shared" si="236"/>
        <v>0</v>
      </c>
      <c r="N508" s="251">
        <f t="shared" si="237"/>
        <v>1.7092133400000002</v>
      </c>
      <c r="O508" s="258">
        <v>0.2</v>
      </c>
      <c r="P508" s="258">
        <f t="shared" si="238"/>
        <v>0.2</v>
      </c>
      <c r="Q508" s="249">
        <v>8.4090000000000007</v>
      </c>
      <c r="R508" s="249">
        <f t="shared" si="239"/>
        <v>8.5460667000000008</v>
      </c>
      <c r="S508" s="258">
        <v>0.1</v>
      </c>
      <c r="T508" s="169">
        <f t="shared" si="244"/>
        <v>9.2499000000000002</v>
      </c>
      <c r="U508" s="315">
        <f t="shared" si="240"/>
        <v>9.4006733700000016</v>
      </c>
      <c r="V508" s="315">
        <f t="shared" si="241"/>
        <v>10</v>
      </c>
      <c r="W508" s="316">
        <f t="shared" si="243"/>
        <v>0</v>
      </c>
    </row>
    <row r="509" spans="1:23" x14ac:dyDescent="0.25">
      <c r="A509" s="200" t="s">
        <v>15110</v>
      </c>
      <c r="B509" s="313" t="s">
        <v>18951</v>
      </c>
      <c r="C509" s="248"/>
      <c r="D509" s="247" t="s">
        <v>1</v>
      </c>
      <c r="E509" s="249">
        <f t="shared" si="231"/>
        <v>0</v>
      </c>
      <c r="F509" s="314"/>
      <c r="G509" s="258">
        <f t="shared" si="232"/>
        <v>0</v>
      </c>
      <c r="H509" s="249">
        <f t="shared" si="233"/>
        <v>8.3157731200000011</v>
      </c>
      <c r="I509" s="258">
        <v>0.8</v>
      </c>
      <c r="J509" s="258">
        <f t="shared" si="234"/>
        <v>0.8</v>
      </c>
      <c r="K509" s="249">
        <f t="shared" si="235"/>
        <v>0</v>
      </c>
      <c r="L509" s="314"/>
      <c r="M509" s="258">
        <f t="shared" si="236"/>
        <v>0</v>
      </c>
      <c r="N509" s="251">
        <f t="shared" si="237"/>
        <v>2.0789432800000003</v>
      </c>
      <c r="O509" s="258">
        <v>0.2</v>
      </c>
      <c r="P509" s="258">
        <f t="shared" si="238"/>
        <v>0.2</v>
      </c>
      <c r="Q509" s="249">
        <v>10.228</v>
      </c>
      <c r="R509" s="249">
        <f t="shared" si="239"/>
        <v>10.3947164</v>
      </c>
      <c r="S509" s="258">
        <v>0.1</v>
      </c>
      <c r="T509" s="169">
        <f t="shared" si="244"/>
        <v>11.2508</v>
      </c>
      <c r="U509" s="315">
        <f t="shared" si="240"/>
        <v>11.43418804</v>
      </c>
      <c r="V509" s="315">
        <f t="shared" si="241"/>
        <v>12</v>
      </c>
      <c r="W509" s="316">
        <f t="shared" si="243"/>
        <v>0</v>
      </c>
    </row>
    <row r="510" spans="1:23" x14ac:dyDescent="0.25">
      <c r="A510" s="200" t="s">
        <v>15111</v>
      </c>
      <c r="B510" s="313" t="s">
        <v>20286</v>
      </c>
      <c r="C510" s="248"/>
      <c r="D510" s="247" t="s">
        <v>1</v>
      </c>
      <c r="E510" s="249">
        <f t="shared" si="231"/>
        <v>0</v>
      </c>
      <c r="F510" s="314"/>
      <c r="G510" s="258">
        <f t="shared" si="232"/>
        <v>0</v>
      </c>
      <c r="H510" s="249">
        <f t="shared" si="233"/>
        <v>8.9808398400000016</v>
      </c>
      <c r="I510" s="258">
        <v>0.8</v>
      </c>
      <c r="J510" s="258">
        <f t="shared" si="234"/>
        <v>0.8</v>
      </c>
      <c r="K510" s="249">
        <f t="shared" si="235"/>
        <v>0</v>
      </c>
      <c r="L510" s="314"/>
      <c r="M510" s="258">
        <f t="shared" si="236"/>
        <v>0</v>
      </c>
      <c r="N510" s="251">
        <f t="shared" si="237"/>
        <v>2.2452099600000004</v>
      </c>
      <c r="O510" s="258">
        <v>0.2</v>
      </c>
      <c r="P510" s="258">
        <f t="shared" si="238"/>
        <v>0.2</v>
      </c>
      <c r="Q510" s="249">
        <v>11.045999999999999</v>
      </c>
      <c r="R510" s="249">
        <f t="shared" si="239"/>
        <v>11.226049800000002</v>
      </c>
      <c r="S510" s="258">
        <v>0.1</v>
      </c>
      <c r="T510" s="169">
        <f t="shared" si="244"/>
        <v>12.150599999999999</v>
      </c>
      <c r="U510" s="315">
        <f t="shared" si="240"/>
        <v>12.348654780000002</v>
      </c>
      <c r="V510" s="315">
        <f t="shared" si="241"/>
        <v>13</v>
      </c>
      <c r="W510" s="316">
        <f t="shared" si="243"/>
        <v>0</v>
      </c>
    </row>
    <row r="511" spans="1:23" x14ac:dyDescent="0.25">
      <c r="A511" s="200" t="s">
        <v>15112</v>
      </c>
      <c r="B511" s="313" t="s">
        <v>20287</v>
      </c>
      <c r="C511" s="248"/>
      <c r="D511" s="247" t="s">
        <v>1</v>
      </c>
      <c r="E511" s="249">
        <f t="shared" si="231"/>
        <v>0</v>
      </c>
      <c r="F511" s="314"/>
      <c r="G511" s="258">
        <f t="shared" si="232"/>
        <v>0</v>
      </c>
      <c r="H511" s="249">
        <f t="shared" si="233"/>
        <v>10.126413200000002</v>
      </c>
      <c r="I511" s="258">
        <v>0.8</v>
      </c>
      <c r="J511" s="258">
        <f t="shared" si="234"/>
        <v>0.8</v>
      </c>
      <c r="K511" s="249">
        <f t="shared" si="235"/>
        <v>0</v>
      </c>
      <c r="L511" s="314"/>
      <c r="M511" s="258">
        <f t="shared" si="236"/>
        <v>0</v>
      </c>
      <c r="N511" s="251">
        <f t="shared" si="237"/>
        <v>2.5316033000000004</v>
      </c>
      <c r="O511" s="258">
        <v>0.2</v>
      </c>
      <c r="P511" s="258">
        <f t="shared" si="238"/>
        <v>0.2</v>
      </c>
      <c r="Q511" s="249">
        <v>12.455</v>
      </c>
      <c r="R511" s="249">
        <f t="shared" si="239"/>
        <v>12.658016500000002</v>
      </c>
      <c r="S511" s="258">
        <v>0.1</v>
      </c>
      <c r="T511" s="169">
        <f t="shared" si="244"/>
        <v>13.7005</v>
      </c>
      <c r="U511" s="315">
        <f t="shared" si="240"/>
        <v>13.923818150000002</v>
      </c>
      <c r="V511" s="315">
        <f t="shared" si="241"/>
        <v>14</v>
      </c>
      <c r="W511" s="316">
        <f t="shared" si="243"/>
        <v>0</v>
      </c>
    </row>
    <row r="512" spans="1:23" x14ac:dyDescent="0.25">
      <c r="A512" s="200" t="s">
        <v>15113</v>
      </c>
      <c r="B512" s="313" t="s">
        <v>20288</v>
      </c>
      <c r="C512" s="248"/>
      <c r="D512" s="247" t="s">
        <v>1</v>
      </c>
      <c r="E512" s="249">
        <f t="shared" si="231"/>
        <v>0</v>
      </c>
      <c r="F512" s="314"/>
      <c r="G512" s="258">
        <f t="shared" si="232"/>
        <v>0</v>
      </c>
      <c r="H512" s="249">
        <f t="shared" si="233"/>
        <v>22.728533200000005</v>
      </c>
      <c r="I512" s="258">
        <v>0.8</v>
      </c>
      <c r="J512" s="258">
        <f t="shared" si="234"/>
        <v>0.8</v>
      </c>
      <c r="K512" s="249">
        <f t="shared" si="235"/>
        <v>0</v>
      </c>
      <c r="L512" s="314"/>
      <c r="M512" s="258">
        <f t="shared" si="236"/>
        <v>0</v>
      </c>
      <c r="N512" s="251">
        <f t="shared" si="237"/>
        <v>5.6821333000000012</v>
      </c>
      <c r="O512" s="258">
        <v>0.2</v>
      </c>
      <c r="P512" s="258">
        <f t="shared" si="238"/>
        <v>0.2</v>
      </c>
      <c r="Q512" s="249">
        <v>27.954999999999998</v>
      </c>
      <c r="R512" s="249">
        <f t="shared" si="239"/>
        <v>28.410666500000005</v>
      </c>
      <c r="S512" s="258">
        <v>0.1</v>
      </c>
      <c r="T512" s="169">
        <f t="shared" si="244"/>
        <v>30.750499999999999</v>
      </c>
      <c r="U512" s="315">
        <f t="shared" si="240"/>
        <v>31.251733150000007</v>
      </c>
      <c r="V512" s="315">
        <f t="shared" si="241"/>
        <v>32</v>
      </c>
      <c r="W512" s="316">
        <f t="shared" si="243"/>
        <v>0</v>
      </c>
    </row>
    <row r="513" spans="1:23" ht="21" x14ac:dyDescent="0.25">
      <c r="A513" s="200" t="s">
        <v>18931</v>
      </c>
      <c r="B513" s="344" t="s">
        <v>20289</v>
      </c>
      <c r="C513" s="248"/>
      <c r="D513" s="247" t="s">
        <v>1</v>
      </c>
      <c r="E513" s="249">
        <f>R513*G513</f>
        <v>0</v>
      </c>
      <c r="F513" s="314"/>
      <c r="G513" s="258">
        <f>F513</f>
        <v>0</v>
      </c>
      <c r="H513" s="249">
        <f>R513*J513</f>
        <v>8.4230944000000001</v>
      </c>
      <c r="I513" s="258">
        <v>0.8</v>
      </c>
      <c r="J513" s="258">
        <f>I513</f>
        <v>0.8</v>
      </c>
      <c r="K513" s="249">
        <f>R513*M513</f>
        <v>0</v>
      </c>
      <c r="L513" s="314"/>
      <c r="M513" s="258">
        <f>L513</f>
        <v>0</v>
      </c>
      <c r="N513" s="251">
        <f>P513*R513</f>
        <v>2.1057736</v>
      </c>
      <c r="O513" s="258">
        <v>0.2</v>
      </c>
      <c r="P513" s="258">
        <f>O513</f>
        <v>0.2</v>
      </c>
      <c r="Q513" s="249">
        <v>10.36</v>
      </c>
      <c r="R513" s="249">
        <f>SUM(F513*Q513*1.0235,I513*Q513*1.0175,L513*Q513*1.0245,O513*Q513*1.0115)</f>
        <v>10.528867999999999</v>
      </c>
      <c r="S513" s="258">
        <v>0.1</v>
      </c>
      <c r="T513" s="169">
        <f>Q513+Q513*S513</f>
        <v>11.395999999999999</v>
      </c>
      <c r="U513" s="315">
        <f>(R513*S513)+R513</f>
        <v>11.581754799999999</v>
      </c>
      <c r="V513" s="315">
        <f>IF(U513=0, 0, IF(U513&lt;10, _xlfn.CEILING.MATH(U513,1), IF(U513&lt;100, _xlfn.CEILING.MATH(U513,1),IF(U513&lt;1000, _xlfn.CEILING.MATH(U513,5), IF(U513&lt;10000, _xlfn.CEILING.MATH(U513, 25), IF(U513&lt;100000, _xlfn.CEILING.MATH(U513,250), IF(U513&lt;1000000, _xlfn.CEILING.MATH(U513,500), 0)))))))</f>
        <v>12</v>
      </c>
      <c r="W513" s="316">
        <f>C513*V513</f>
        <v>0</v>
      </c>
    </row>
    <row r="514" spans="1:23" x14ac:dyDescent="0.25">
      <c r="A514" s="200" t="s">
        <v>15114</v>
      </c>
      <c r="B514" s="313" t="s">
        <v>20290</v>
      </c>
      <c r="C514" s="248"/>
      <c r="D514" s="247" t="s">
        <v>1</v>
      </c>
      <c r="E514" s="249">
        <f t="shared" ref="E514:E578" si="245">R514*G514</f>
        <v>0</v>
      </c>
      <c r="F514" s="314"/>
      <c r="G514" s="258">
        <f t="shared" ref="G514:G578" si="246">F514</f>
        <v>0</v>
      </c>
      <c r="H514" s="249">
        <f t="shared" ref="H514:H578" si="247">R514*J514</f>
        <v>9.9784399200000014</v>
      </c>
      <c r="I514" s="258">
        <v>0.8</v>
      </c>
      <c r="J514" s="258">
        <f t="shared" ref="J514:J578" si="248">I514</f>
        <v>0.8</v>
      </c>
      <c r="K514" s="249">
        <f t="shared" ref="K514:K578" si="249">R514*M514</f>
        <v>0</v>
      </c>
      <c r="L514" s="314"/>
      <c r="M514" s="258">
        <f t="shared" ref="M514:M578" si="250">L514</f>
        <v>0</v>
      </c>
      <c r="N514" s="251">
        <f t="shared" ref="N514:N578" si="251">P514*R514</f>
        <v>2.4946099800000003</v>
      </c>
      <c r="O514" s="258">
        <v>0.2</v>
      </c>
      <c r="P514" s="258">
        <f t="shared" ref="P514:P578" si="252">O514</f>
        <v>0.2</v>
      </c>
      <c r="Q514" s="249">
        <v>12.273</v>
      </c>
      <c r="R514" s="249">
        <f t="shared" ref="R514:R578" si="253">SUM(F514*Q514*1.0235,I514*Q514*1.0175,L514*Q514*1.0245,O514*Q514*1.0115)</f>
        <v>12.473049900000001</v>
      </c>
      <c r="S514" s="258">
        <v>0.1</v>
      </c>
      <c r="T514" s="169">
        <f t="shared" si="244"/>
        <v>13.500299999999999</v>
      </c>
      <c r="U514" s="315">
        <f t="shared" si="240"/>
        <v>13.720354890000001</v>
      </c>
      <c r="V514" s="315">
        <f t="shared" si="241"/>
        <v>14</v>
      </c>
      <c r="W514" s="316">
        <f t="shared" si="243"/>
        <v>0</v>
      </c>
    </row>
    <row r="515" spans="1:23" x14ac:dyDescent="0.25">
      <c r="A515" s="200" t="s">
        <v>15115</v>
      </c>
      <c r="B515" s="313" t="s">
        <v>20291</v>
      </c>
      <c r="C515" s="248"/>
      <c r="D515" s="247" t="s">
        <v>1</v>
      </c>
      <c r="E515" s="249">
        <f t="shared" si="245"/>
        <v>0</v>
      </c>
      <c r="F515" s="314"/>
      <c r="G515" s="258">
        <f t="shared" si="246"/>
        <v>0</v>
      </c>
      <c r="H515" s="249">
        <f t="shared" si="247"/>
        <v>10.163000000000002</v>
      </c>
      <c r="I515" s="258">
        <v>0.8</v>
      </c>
      <c r="J515" s="258">
        <f t="shared" si="248"/>
        <v>0.8</v>
      </c>
      <c r="K515" s="249">
        <f t="shared" si="249"/>
        <v>0</v>
      </c>
      <c r="L515" s="314"/>
      <c r="M515" s="258">
        <f t="shared" si="250"/>
        <v>0</v>
      </c>
      <c r="N515" s="251">
        <f t="shared" si="251"/>
        <v>2.5407500000000005</v>
      </c>
      <c r="O515" s="258">
        <v>0.2</v>
      </c>
      <c r="P515" s="258">
        <f t="shared" si="252"/>
        <v>0.2</v>
      </c>
      <c r="Q515" s="249">
        <v>12.5</v>
      </c>
      <c r="R515" s="249">
        <f t="shared" si="253"/>
        <v>12.703750000000001</v>
      </c>
      <c r="S515" s="258">
        <v>0.1</v>
      </c>
      <c r="T515" s="169">
        <f t="shared" si="244"/>
        <v>13.75</v>
      </c>
      <c r="U515" s="315">
        <f t="shared" si="240"/>
        <v>13.974125000000001</v>
      </c>
      <c r="V515" s="315">
        <f t="shared" si="241"/>
        <v>14</v>
      </c>
      <c r="W515" s="316">
        <f t="shared" si="243"/>
        <v>0</v>
      </c>
    </row>
    <row r="516" spans="1:23" x14ac:dyDescent="0.25">
      <c r="A516" s="200" t="s">
        <v>15116</v>
      </c>
      <c r="B516" s="313" t="s">
        <v>20292</v>
      </c>
      <c r="C516" s="248"/>
      <c r="D516" s="247" t="s">
        <v>1</v>
      </c>
      <c r="E516" s="249">
        <f t="shared" si="245"/>
        <v>0</v>
      </c>
      <c r="F516" s="314"/>
      <c r="G516" s="258">
        <f t="shared" si="246"/>
        <v>0</v>
      </c>
      <c r="H516" s="249">
        <f t="shared" si="247"/>
        <v>11.271986560000002</v>
      </c>
      <c r="I516" s="258">
        <v>0.8</v>
      </c>
      <c r="J516" s="258">
        <f t="shared" si="248"/>
        <v>0.8</v>
      </c>
      <c r="K516" s="249">
        <f t="shared" si="249"/>
        <v>0</v>
      </c>
      <c r="L516" s="314"/>
      <c r="M516" s="258">
        <f t="shared" si="250"/>
        <v>0</v>
      </c>
      <c r="N516" s="251">
        <f t="shared" si="251"/>
        <v>2.8179966400000005</v>
      </c>
      <c r="O516" s="258">
        <v>0.2</v>
      </c>
      <c r="P516" s="258">
        <f t="shared" si="252"/>
        <v>0.2</v>
      </c>
      <c r="Q516" s="249">
        <v>13.864000000000001</v>
      </c>
      <c r="R516" s="249">
        <f t="shared" si="253"/>
        <v>14.089983200000001</v>
      </c>
      <c r="S516" s="258">
        <v>0.1</v>
      </c>
      <c r="T516" s="169">
        <f t="shared" si="244"/>
        <v>15.250400000000001</v>
      </c>
      <c r="U516" s="315">
        <f t="shared" ref="U516:U548" si="254">(R516*S516)+R516</f>
        <v>15.498981520000001</v>
      </c>
      <c r="V516" s="315">
        <f t="shared" ref="V516:V548" si="255">IF(U516=0, 0, IF(U516&lt;10, _xlfn.CEILING.MATH(U516,1), IF(U516&lt;100, _xlfn.CEILING.MATH(U516,1),IF(U516&lt;1000, _xlfn.CEILING.MATH(U516,5), IF(U516&lt;10000, _xlfn.CEILING.MATH(U516, 25), IF(U516&lt;100000, _xlfn.CEILING.MATH(U516,250), IF(U516&lt;1000000, _xlfn.CEILING.MATH(U516,500), 0)))))))</f>
        <v>16</v>
      </c>
      <c r="W516" s="316">
        <f t="shared" si="243"/>
        <v>0</v>
      </c>
    </row>
    <row r="517" spans="1:23" x14ac:dyDescent="0.25">
      <c r="A517" s="200" t="s">
        <v>15116</v>
      </c>
      <c r="B517" s="313" t="s">
        <v>20293</v>
      </c>
      <c r="C517" s="248"/>
      <c r="D517" s="247" t="s">
        <v>1</v>
      </c>
      <c r="E517" s="249">
        <f t="shared" si="245"/>
        <v>0</v>
      </c>
      <c r="F517" s="314"/>
      <c r="G517" s="258">
        <f t="shared" si="246"/>
        <v>0</v>
      </c>
      <c r="H517" s="249">
        <f t="shared" si="247"/>
        <v>12.343573280000005</v>
      </c>
      <c r="I517" s="258">
        <v>0.8</v>
      </c>
      <c r="J517" s="258">
        <f t="shared" si="248"/>
        <v>0.8</v>
      </c>
      <c r="K517" s="249">
        <f t="shared" si="249"/>
        <v>0</v>
      </c>
      <c r="L517" s="314"/>
      <c r="M517" s="258">
        <f t="shared" si="250"/>
        <v>0</v>
      </c>
      <c r="N517" s="251">
        <f t="shared" si="251"/>
        <v>3.0858933200000012</v>
      </c>
      <c r="O517" s="258">
        <v>0.2</v>
      </c>
      <c r="P517" s="258">
        <f t="shared" si="252"/>
        <v>0.2</v>
      </c>
      <c r="Q517" s="249">
        <v>15.182</v>
      </c>
      <c r="R517" s="249">
        <f t="shared" si="253"/>
        <v>15.429466600000005</v>
      </c>
      <c r="S517" s="258">
        <v>0.1</v>
      </c>
      <c r="T517" s="169">
        <f t="shared" si="244"/>
        <v>16.700200000000002</v>
      </c>
      <c r="U517" s="315">
        <f t="shared" si="254"/>
        <v>16.972413260000007</v>
      </c>
      <c r="V517" s="315">
        <f t="shared" si="255"/>
        <v>17</v>
      </c>
      <c r="W517" s="316">
        <f t="shared" si="243"/>
        <v>0</v>
      </c>
    </row>
    <row r="518" spans="1:23" x14ac:dyDescent="0.25">
      <c r="A518" s="200" t="s">
        <v>15116</v>
      </c>
      <c r="B518" s="313" t="s">
        <v>20294</v>
      </c>
      <c r="C518" s="248"/>
      <c r="D518" s="247" t="s">
        <v>1</v>
      </c>
      <c r="E518" s="249">
        <f t="shared" si="245"/>
        <v>0</v>
      </c>
      <c r="F518" s="314"/>
      <c r="G518" s="258">
        <f t="shared" si="246"/>
        <v>0</v>
      </c>
      <c r="H518" s="249">
        <f t="shared" si="247"/>
        <v>35.699773360000009</v>
      </c>
      <c r="I518" s="258">
        <v>0.8</v>
      </c>
      <c r="J518" s="258">
        <f t="shared" si="248"/>
        <v>0.8</v>
      </c>
      <c r="K518" s="249">
        <f t="shared" si="249"/>
        <v>0</v>
      </c>
      <c r="L518" s="314"/>
      <c r="M518" s="258">
        <f t="shared" si="250"/>
        <v>0</v>
      </c>
      <c r="N518" s="251">
        <f t="shared" si="251"/>
        <v>8.9249433400000022</v>
      </c>
      <c r="O518" s="258">
        <v>0.2</v>
      </c>
      <c r="P518" s="258">
        <f t="shared" si="252"/>
        <v>0.2</v>
      </c>
      <c r="Q518" s="249">
        <v>43.908999999999999</v>
      </c>
      <c r="R518" s="249">
        <f t="shared" si="253"/>
        <v>44.624716700000008</v>
      </c>
      <c r="S518" s="258">
        <v>0.1</v>
      </c>
      <c r="T518" s="169">
        <f t="shared" si="244"/>
        <v>48.299900000000001</v>
      </c>
      <c r="U518" s="315">
        <f t="shared" si="254"/>
        <v>49.087188370000007</v>
      </c>
      <c r="V518" s="315">
        <f t="shared" si="255"/>
        <v>50</v>
      </c>
      <c r="W518" s="316">
        <f t="shared" si="243"/>
        <v>0</v>
      </c>
    </row>
    <row r="519" spans="1:23" x14ac:dyDescent="0.25">
      <c r="A519" s="200" t="s">
        <v>15117</v>
      </c>
      <c r="B519" s="313" t="s">
        <v>20295</v>
      </c>
      <c r="C519" s="248"/>
      <c r="D519" s="247" t="s">
        <v>11</v>
      </c>
      <c r="E519" s="249">
        <f t="shared" si="245"/>
        <v>0</v>
      </c>
      <c r="F519" s="314"/>
      <c r="G519" s="258">
        <f t="shared" si="246"/>
        <v>0</v>
      </c>
      <c r="H519" s="249">
        <f t="shared" si="247"/>
        <v>2.6944457639999997</v>
      </c>
      <c r="I519" s="258">
        <v>0.3</v>
      </c>
      <c r="J519" s="258">
        <f t="shared" si="248"/>
        <v>0.3</v>
      </c>
      <c r="K519" s="249">
        <f t="shared" si="249"/>
        <v>0</v>
      </c>
      <c r="L519" s="314"/>
      <c r="M519" s="258">
        <f t="shared" si="250"/>
        <v>0</v>
      </c>
      <c r="N519" s="251">
        <f t="shared" si="251"/>
        <v>6.2870401159999991</v>
      </c>
      <c r="O519" s="258">
        <v>0.7</v>
      </c>
      <c r="P519" s="258">
        <f t="shared" si="252"/>
        <v>0.7</v>
      </c>
      <c r="Q519" s="249">
        <v>8.8635999999999999</v>
      </c>
      <c r="R519" s="249">
        <f t="shared" si="253"/>
        <v>8.9814858799999993</v>
      </c>
      <c r="S519" s="258">
        <v>0.1</v>
      </c>
      <c r="T519" s="169">
        <f t="shared" si="244"/>
        <v>9.7499599999999997</v>
      </c>
      <c r="U519" s="315">
        <f t="shared" si="254"/>
        <v>9.879634467999999</v>
      </c>
      <c r="V519" s="315">
        <f t="shared" si="255"/>
        <v>10</v>
      </c>
      <c r="W519" s="316">
        <f t="shared" si="243"/>
        <v>0</v>
      </c>
    </row>
    <row r="520" spans="1:23" x14ac:dyDescent="0.25">
      <c r="A520" s="200" t="s">
        <v>15118</v>
      </c>
      <c r="B520" s="313" t="s">
        <v>15119</v>
      </c>
      <c r="C520" s="248"/>
      <c r="D520" s="247" t="s">
        <v>15120</v>
      </c>
      <c r="E520" s="249">
        <f t="shared" si="245"/>
        <v>0</v>
      </c>
      <c r="F520" s="314"/>
      <c r="G520" s="258">
        <f t="shared" si="246"/>
        <v>0</v>
      </c>
      <c r="H520" s="249">
        <f t="shared" si="247"/>
        <v>1131.1204610089999</v>
      </c>
      <c r="I520" s="258">
        <v>0.7</v>
      </c>
      <c r="J520" s="258">
        <f t="shared" si="248"/>
        <v>0.7</v>
      </c>
      <c r="K520" s="249">
        <f t="shared" si="249"/>
        <v>0</v>
      </c>
      <c r="L520" s="314"/>
      <c r="M520" s="258">
        <f t="shared" si="250"/>
        <v>0</v>
      </c>
      <c r="N520" s="251">
        <f t="shared" si="251"/>
        <v>484.76591186100001</v>
      </c>
      <c r="O520" s="258">
        <v>0.3</v>
      </c>
      <c r="P520" s="258">
        <f t="shared" si="252"/>
        <v>0.3</v>
      </c>
      <c r="Q520" s="249">
        <v>1590.9091000000001</v>
      </c>
      <c r="R520" s="249">
        <f t="shared" si="253"/>
        <v>1615.8863728700001</v>
      </c>
      <c r="S520" s="258">
        <v>0.1</v>
      </c>
      <c r="T520" s="169">
        <f t="shared" si="244"/>
        <v>1750.0000100000002</v>
      </c>
      <c r="U520" s="315">
        <f t="shared" si="254"/>
        <v>1777.475010157</v>
      </c>
      <c r="V520" s="315">
        <f t="shared" si="255"/>
        <v>1800</v>
      </c>
      <c r="W520" s="316">
        <f t="shared" si="243"/>
        <v>0</v>
      </c>
    </row>
    <row r="521" spans="1:23" x14ac:dyDescent="0.25">
      <c r="A521" s="200" t="s">
        <v>15121</v>
      </c>
      <c r="B521" s="313" t="s">
        <v>16249</v>
      </c>
      <c r="C521" s="248"/>
      <c r="D521" s="247" t="s">
        <v>14915</v>
      </c>
      <c r="E521" s="249">
        <f t="shared" si="245"/>
        <v>0</v>
      </c>
      <c r="F521" s="314"/>
      <c r="G521" s="258">
        <f t="shared" si="246"/>
        <v>0</v>
      </c>
      <c r="H521" s="249">
        <f t="shared" si="247"/>
        <v>1.3896299549999998</v>
      </c>
      <c r="I521" s="258">
        <v>0.7</v>
      </c>
      <c r="J521" s="258">
        <f t="shared" si="248"/>
        <v>0.7</v>
      </c>
      <c r="K521" s="249">
        <f t="shared" si="249"/>
        <v>0</v>
      </c>
      <c r="L521" s="314"/>
      <c r="M521" s="258">
        <f t="shared" si="250"/>
        <v>0</v>
      </c>
      <c r="N521" s="251">
        <f t="shared" si="251"/>
        <v>0.59555569499999994</v>
      </c>
      <c r="O521" s="258">
        <v>0.3</v>
      </c>
      <c r="P521" s="258">
        <f t="shared" si="252"/>
        <v>0.3</v>
      </c>
      <c r="Q521" s="249">
        <v>1.9544999999999999</v>
      </c>
      <c r="R521" s="249">
        <f t="shared" si="253"/>
        <v>1.9851856499999998</v>
      </c>
      <c r="S521" s="258">
        <v>0.1</v>
      </c>
      <c r="T521" s="169">
        <f t="shared" si="244"/>
        <v>2.14995</v>
      </c>
      <c r="U521" s="315">
        <f t="shared" si="254"/>
        <v>2.1837042149999997</v>
      </c>
      <c r="V521" s="315">
        <f t="shared" si="255"/>
        <v>3</v>
      </c>
      <c r="W521" s="316">
        <f t="shared" si="243"/>
        <v>0</v>
      </c>
    </row>
    <row r="522" spans="1:23" x14ac:dyDescent="0.25">
      <c r="A522" s="200" t="s">
        <v>15122</v>
      </c>
      <c r="B522" s="313" t="s">
        <v>15123</v>
      </c>
      <c r="C522" s="248"/>
      <c r="D522" s="247" t="s">
        <v>1</v>
      </c>
      <c r="E522" s="249">
        <f t="shared" si="245"/>
        <v>0</v>
      </c>
      <c r="F522" s="314"/>
      <c r="G522" s="258">
        <f t="shared" si="246"/>
        <v>0</v>
      </c>
      <c r="H522" s="249">
        <f t="shared" si="247"/>
        <v>0.27412305200000003</v>
      </c>
      <c r="I522" s="258">
        <v>0.35</v>
      </c>
      <c r="J522" s="258">
        <f t="shared" si="248"/>
        <v>0.35</v>
      </c>
      <c r="K522" s="249">
        <f t="shared" si="249"/>
        <v>0</v>
      </c>
      <c r="L522" s="258"/>
      <c r="M522" s="258">
        <f t="shared" si="250"/>
        <v>0</v>
      </c>
      <c r="N522" s="251">
        <f t="shared" si="251"/>
        <v>0.5090856680000001</v>
      </c>
      <c r="O522" s="258">
        <v>0.65</v>
      </c>
      <c r="P522" s="258">
        <f t="shared" si="252"/>
        <v>0.65</v>
      </c>
      <c r="Q522" s="249">
        <v>0.77270000000000005</v>
      </c>
      <c r="R522" s="249">
        <f t="shared" si="253"/>
        <v>0.78320872000000008</v>
      </c>
      <c r="S522" s="258">
        <v>0.1</v>
      </c>
      <c r="T522" s="169">
        <f t="shared" si="244"/>
        <v>0.84997000000000011</v>
      </c>
      <c r="U522" s="315">
        <f t="shared" si="254"/>
        <v>0.86152959200000012</v>
      </c>
      <c r="V522" s="315">
        <f t="shared" si="255"/>
        <v>1</v>
      </c>
      <c r="W522" s="316">
        <f t="shared" si="243"/>
        <v>0</v>
      </c>
    </row>
    <row r="523" spans="1:23" x14ac:dyDescent="0.25">
      <c r="A523" s="200">
        <v>550100</v>
      </c>
      <c r="B523" s="313" t="s">
        <v>20296</v>
      </c>
      <c r="C523" s="248"/>
      <c r="D523" s="247" t="s">
        <v>1</v>
      </c>
      <c r="E523" s="249">
        <f t="shared" si="245"/>
        <v>10.790499999999998</v>
      </c>
      <c r="F523" s="314">
        <v>0.35</v>
      </c>
      <c r="G523" s="258">
        <f t="shared" si="246"/>
        <v>0.35</v>
      </c>
      <c r="H523" s="249">
        <f t="shared" si="247"/>
        <v>15.414999999999999</v>
      </c>
      <c r="I523" s="258">
        <v>0.5</v>
      </c>
      <c r="J523" s="258">
        <f t="shared" si="248"/>
        <v>0.5</v>
      </c>
      <c r="K523" s="249">
        <f t="shared" si="249"/>
        <v>3.0830000000000002</v>
      </c>
      <c r="L523" s="258">
        <v>0.1</v>
      </c>
      <c r="M523" s="258">
        <f t="shared" si="250"/>
        <v>0.1</v>
      </c>
      <c r="N523" s="251">
        <f t="shared" si="251"/>
        <v>1.5415000000000001</v>
      </c>
      <c r="O523" s="258">
        <v>0.05</v>
      </c>
      <c r="P523" s="258">
        <f t="shared" si="252"/>
        <v>0.05</v>
      </c>
      <c r="Q523" s="249"/>
      <c r="R523" s="249">
        <v>30.83</v>
      </c>
      <c r="S523" s="258">
        <v>0.2</v>
      </c>
      <c r="T523" s="169">
        <f>Q523+Q523*S523</f>
        <v>0</v>
      </c>
      <c r="U523" s="315">
        <f>(R523*S523)+R523</f>
        <v>36.995999999999995</v>
      </c>
      <c r="V523" s="315">
        <f>IF(U523=0, 0, IF(U523&lt;10, _xlfn.CEILING.MATH(U523,1), IF(U523&lt;100, _xlfn.CEILING.MATH(U523,1),IF(U523&lt;1000, _xlfn.CEILING.MATH(U523,5), IF(U523&lt;10000, _xlfn.CEILING.MATH(U523, 25), IF(U523&lt;100000, _xlfn.CEILING.MATH(U523,250), IF(U523&lt;1000000, _xlfn.CEILING.MATH(U523,500), 0)))))))</f>
        <v>37</v>
      </c>
      <c r="W523" s="316">
        <f t="shared" si="243"/>
        <v>0</v>
      </c>
    </row>
    <row r="524" spans="1:23" ht="14.4" thickBot="1" x14ac:dyDescent="0.3">
      <c r="A524" s="263">
        <v>550150</v>
      </c>
      <c r="B524" s="321" t="s">
        <v>20297</v>
      </c>
      <c r="C524" s="265"/>
      <c r="D524" s="264" t="s">
        <v>1</v>
      </c>
      <c r="E524" s="266">
        <f t="shared" si="245"/>
        <v>12.25</v>
      </c>
      <c r="F524" s="323">
        <v>0.35</v>
      </c>
      <c r="G524" s="322">
        <f t="shared" si="246"/>
        <v>0.35</v>
      </c>
      <c r="H524" s="266">
        <f t="shared" si="247"/>
        <v>17.5</v>
      </c>
      <c r="I524" s="322">
        <v>0.5</v>
      </c>
      <c r="J524" s="322">
        <f t="shared" si="248"/>
        <v>0.5</v>
      </c>
      <c r="K524" s="266">
        <f t="shared" si="249"/>
        <v>3.5</v>
      </c>
      <c r="L524" s="322">
        <v>0.1</v>
      </c>
      <c r="M524" s="322">
        <f t="shared" si="250"/>
        <v>0.1</v>
      </c>
      <c r="N524" s="270">
        <f t="shared" si="251"/>
        <v>1.75</v>
      </c>
      <c r="O524" s="322">
        <v>0.05</v>
      </c>
      <c r="P524" s="322">
        <f t="shared" si="252"/>
        <v>0.05</v>
      </c>
      <c r="Q524" s="266"/>
      <c r="R524" s="266">
        <v>35</v>
      </c>
      <c r="S524" s="322">
        <v>0.2</v>
      </c>
      <c r="T524" s="291">
        <f>Q524+Q524*S524</f>
        <v>0</v>
      </c>
      <c r="U524" s="324">
        <f>(R524*S524)+R524</f>
        <v>42</v>
      </c>
      <c r="V524" s="324">
        <f>IF(U524=0, 0, IF(U524&lt;10, _xlfn.CEILING.MATH(U524,1), IF(U524&lt;100, _xlfn.CEILING.MATH(U524,1),IF(U524&lt;1000, _xlfn.CEILING.MATH(U524,5), IF(U524&lt;10000, _xlfn.CEILING.MATH(U524, 25), IF(U524&lt;100000, _xlfn.CEILING.MATH(U524,250), IF(U524&lt;1000000, _xlfn.CEILING.MATH(U524,500), 0)))))))</f>
        <v>42</v>
      </c>
      <c r="W524" s="325">
        <f t="shared" si="243"/>
        <v>0</v>
      </c>
    </row>
    <row r="525" spans="1:23" x14ac:dyDescent="0.25">
      <c r="A525" s="200">
        <v>550200</v>
      </c>
      <c r="B525" s="313" t="s">
        <v>20298</v>
      </c>
      <c r="C525" s="248"/>
      <c r="D525" s="247" t="s">
        <v>1</v>
      </c>
      <c r="E525" s="249">
        <f t="shared" si="245"/>
        <v>15.749999999999998</v>
      </c>
      <c r="F525" s="314">
        <v>0.35</v>
      </c>
      <c r="G525" s="258">
        <f t="shared" si="246"/>
        <v>0.35</v>
      </c>
      <c r="H525" s="249">
        <f t="shared" si="247"/>
        <v>22.5</v>
      </c>
      <c r="I525" s="258">
        <v>0.5</v>
      </c>
      <c r="J525" s="258">
        <f t="shared" si="248"/>
        <v>0.5</v>
      </c>
      <c r="K525" s="249">
        <f t="shared" si="249"/>
        <v>4.5</v>
      </c>
      <c r="L525" s="258">
        <v>0.1</v>
      </c>
      <c r="M525" s="258">
        <f t="shared" si="250"/>
        <v>0.1</v>
      </c>
      <c r="N525" s="251">
        <f t="shared" si="251"/>
        <v>2.25</v>
      </c>
      <c r="O525" s="258">
        <v>0.05</v>
      </c>
      <c r="P525" s="258">
        <f t="shared" si="252"/>
        <v>0.05</v>
      </c>
      <c r="Q525" s="249"/>
      <c r="R525" s="249">
        <v>45</v>
      </c>
      <c r="S525" s="258">
        <v>0.2</v>
      </c>
      <c r="T525" s="169">
        <f>Q525+Q525*S525</f>
        <v>0</v>
      </c>
      <c r="U525" s="315">
        <f>(R525*S525)+R525</f>
        <v>54</v>
      </c>
      <c r="V525" s="315">
        <f>IF(U525=0, 0, IF(U525&lt;10, _xlfn.CEILING.MATH(U525,1), IF(U525&lt;100, _xlfn.CEILING.MATH(U525,1),IF(U525&lt;1000, _xlfn.CEILING.MATH(U525,5), IF(U525&lt;10000, _xlfn.CEILING.MATH(U525, 25), IF(U525&lt;100000, _xlfn.CEILING.MATH(U525,250), IF(U525&lt;1000000, _xlfn.CEILING.MATH(U525,500), 0)))))))</f>
        <v>54</v>
      </c>
      <c r="W525" s="316">
        <f t="shared" si="243"/>
        <v>0</v>
      </c>
    </row>
    <row r="526" spans="1:23" x14ac:dyDescent="0.25">
      <c r="A526" s="200">
        <v>550250</v>
      </c>
      <c r="B526" s="313" t="s">
        <v>20299</v>
      </c>
      <c r="C526" s="248"/>
      <c r="D526" s="247" t="s">
        <v>16250</v>
      </c>
      <c r="E526" s="249">
        <f t="shared" si="245"/>
        <v>19.832749999999997</v>
      </c>
      <c r="F526" s="314">
        <v>0.35</v>
      </c>
      <c r="G526" s="258">
        <f t="shared" si="246"/>
        <v>0.35</v>
      </c>
      <c r="H526" s="249">
        <f t="shared" si="247"/>
        <v>25.49925</v>
      </c>
      <c r="I526" s="258">
        <v>0.45</v>
      </c>
      <c r="J526" s="258">
        <f t="shared" si="248"/>
        <v>0.45</v>
      </c>
      <c r="K526" s="249">
        <f t="shared" si="249"/>
        <v>8.4997499999999988</v>
      </c>
      <c r="L526" s="258">
        <v>0.15</v>
      </c>
      <c r="M526" s="258">
        <f t="shared" si="250"/>
        <v>0.15</v>
      </c>
      <c r="N526" s="251">
        <f t="shared" si="251"/>
        <v>2.83325</v>
      </c>
      <c r="O526" s="258">
        <v>0.05</v>
      </c>
      <c r="P526" s="258">
        <f t="shared" si="252"/>
        <v>0.05</v>
      </c>
      <c r="Q526" s="249"/>
      <c r="R526" s="249">
        <v>56.664999999999999</v>
      </c>
      <c r="S526" s="258">
        <v>0.2</v>
      </c>
      <c r="T526" s="169">
        <f>Q526+Q526*S526</f>
        <v>0</v>
      </c>
      <c r="U526" s="315">
        <f>(R526*S526)+R526</f>
        <v>67.998000000000005</v>
      </c>
      <c r="V526" s="315">
        <f>IF(U526=0, 0, IF(U526&lt;10, _xlfn.CEILING.MATH(U526,1), IF(U526&lt;100, _xlfn.CEILING.MATH(U526,1),IF(U526&lt;1000, _xlfn.CEILING.MATH(U526,5), IF(U526&lt;10000, _xlfn.CEILING.MATH(U526, 25), IF(U526&lt;100000, _xlfn.CEILING.MATH(U526,250), IF(U526&lt;1000000, _xlfn.CEILING.MATH(U526,500), 0)))))))</f>
        <v>68</v>
      </c>
      <c r="W526" s="316">
        <f t="shared" si="243"/>
        <v>0</v>
      </c>
    </row>
    <row r="527" spans="1:23" x14ac:dyDescent="0.25">
      <c r="A527" s="195" t="s">
        <v>15124</v>
      </c>
      <c r="B527" s="317" t="s">
        <v>15125</v>
      </c>
      <c r="C527" s="318"/>
      <c r="D527" s="319"/>
      <c r="E527" s="319"/>
      <c r="F527" s="319"/>
      <c r="G527" s="319"/>
      <c r="H527" s="319"/>
      <c r="I527" s="319"/>
      <c r="J527" s="319"/>
      <c r="K527" s="319"/>
      <c r="L527" s="319"/>
      <c r="M527" s="319"/>
      <c r="N527" s="319"/>
      <c r="O527" s="319"/>
      <c r="P527" s="319"/>
      <c r="Q527" s="319"/>
      <c r="R527" s="319"/>
      <c r="S527" s="319"/>
      <c r="T527" s="319"/>
      <c r="U527" s="320"/>
      <c r="V527" s="320"/>
      <c r="W527" s="306"/>
    </row>
    <row r="528" spans="1:23" x14ac:dyDescent="0.25">
      <c r="A528" s="200" t="s">
        <v>15126</v>
      </c>
      <c r="B528" s="313" t="s">
        <v>20300</v>
      </c>
      <c r="C528" s="248"/>
      <c r="D528" s="247" t="s">
        <v>2</v>
      </c>
      <c r="E528" s="249">
        <f t="shared" si="245"/>
        <v>1.9043318385000001</v>
      </c>
      <c r="F528" s="258">
        <v>0.75</v>
      </c>
      <c r="G528" s="258">
        <f t="shared" si="246"/>
        <v>0.75</v>
      </c>
      <c r="H528" s="249">
        <f t="shared" si="247"/>
        <v>0</v>
      </c>
      <c r="I528" s="258"/>
      <c r="J528" s="258">
        <f t="shared" si="248"/>
        <v>0</v>
      </c>
      <c r="K528" s="249">
        <f t="shared" si="249"/>
        <v>0.50782182360000006</v>
      </c>
      <c r="L528" s="258">
        <v>0.2</v>
      </c>
      <c r="M528" s="258">
        <f t="shared" si="250"/>
        <v>0.2</v>
      </c>
      <c r="N528" s="251">
        <f t="shared" si="251"/>
        <v>0.12695545590000001</v>
      </c>
      <c r="O528" s="258">
        <v>0.05</v>
      </c>
      <c r="P528" s="258">
        <f t="shared" si="252"/>
        <v>0.05</v>
      </c>
      <c r="Q528" s="249">
        <v>2.4817800000000001</v>
      </c>
      <c r="R528" s="249">
        <f t="shared" si="253"/>
        <v>2.5391091180000003</v>
      </c>
      <c r="S528" s="258">
        <v>0.1</v>
      </c>
      <c r="T528" s="169">
        <f>Q528+Q528*S528+0.02</f>
        <v>2.7499579999999999</v>
      </c>
      <c r="U528" s="315">
        <f t="shared" si="254"/>
        <v>2.7930200298000001</v>
      </c>
      <c r="V528" s="315">
        <f t="shared" si="255"/>
        <v>3</v>
      </c>
      <c r="W528" s="316">
        <f t="shared" ref="W528:W548" si="256">C528*V528</f>
        <v>0</v>
      </c>
    </row>
    <row r="529" spans="1:23" x14ac:dyDescent="0.25">
      <c r="A529" s="200" t="s">
        <v>15127</v>
      </c>
      <c r="B529" s="313" t="s">
        <v>15128</v>
      </c>
      <c r="C529" s="248"/>
      <c r="D529" s="247" t="s">
        <v>2</v>
      </c>
      <c r="E529" s="249">
        <f t="shared" si="245"/>
        <v>2.050887076875</v>
      </c>
      <c r="F529" s="258">
        <v>0.75</v>
      </c>
      <c r="G529" s="258">
        <f t="shared" si="246"/>
        <v>0.75</v>
      </c>
      <c r="H529" s="249">
        <f t="shared" si="247"/>
        <v>0</v>
      </c>
      <c r="I529" s="258"/>
      <c r="J529" s="258">
        <f t="shared" si="248"/>
        <v>0</v>
      </c>
      <c r="K529" s="249">
        <f t="shared" si="249"/>
        <v>0.54690322050000006</v>
      </c>
      <c r="L529" s="258">
        <v>0.2</v>
      </c>
      <c r="M529" s="258">
        <f t="shared" si="250"/>
        <v>0.2</v>
      </c>
      <c r="N529" s="251">
        <f t="shared" si="251"/>
        <v>0.13672580512500002</v>
      </c>
      <c r="O529" s="258">
        <v>0.05</v>
      </c>
      <c r="P529" s="258">
        <f t="shared" si="252"/>
        <v>0.05</v>
      </c>
      <c r="Q529" s="249">
        <v>2.6727750000000001</v>
      </c>
      <c r="R529" s="249">
        <f t="shared" si="253"/>
        <v>2.7345161025000002</v>
      </c>
      <c r="S529" s="258">
        <v>0.1</v>
      </c>
      <c r="T529" s="169">
        <f>Q529+Q529*S529+0.01</f>
        <v>2.9500525</v>
      </c>
      <c r="U529" s="315">
        <f t="shared" si="254"/>
        <v>3.0079677127500002</v>
      </c>
      <c r="V529" s="315">
        <f t="shared" si="255"/>
        <v>4</v>
      </c>
      <c r="W529" s="316">
        <f t="shared" si="256"/>
        <v>0</v>
      </c>
    </row>
    <row r="530" spans="1:23" x14ac:dyDescent="0.25">
      <c r="A530" s="200" t="s">
        <v>15129</v>
      </c>
      <c r="B530" s="313" t="s">
        <v>16251</v>
      </c>
      <c r="C530" s="248"/>
      <c r="D530" s="247" t="s">
        <v>2</v>
      </c>
      <c r="E530" s="249">
        <f t="shared" si="245"/>
        <v>2.3071774635000004</v>
      </c>
      <c r="F530" s="258">
        <v>0.75</v>
      </c>
      <c r="G530" s="258">
        <f t="shared" si="246"/>
        <v>0.75</v>
      </c>
      <c r="H530" s="249">
        <f t="shared" si="247"/>
        <v>0</v>
      </c>
      <c r="I530" s="258"/>
      <c r="J530" s="258">
        <f t="shared" si="248"/>
        <v>0</v>
      </c>
      <c r="K530" s="249">
        <f t="shared" si="249"/>
        <v>0.61524732360000012</v>
      </c>
      <c r="L530" s="258">
        <v>0.2</v>
      </c>
      <c r="M530" s="258">
        <f t="shared" si="250"/>
        <v>0.2</v>
      </c>
      <c r="N530" s="251">
        <f t="shared" si="251"/>
        <v>0.15381183090000003</v>
      </c>
      <c r="O530" s="258">
        <v>0.05</v>
      </c>
      <c r="P530" s="258">
        <f t="shared" si="252"/>
        <v>0.05</v>
      </c>
      <c r="Q530" s="249">
        <v>3.00678</v>
      </c>
      <c r="R530" s="249">
        <f t="shared" si="253"/>
        <v>3.0762366180000003</v>
      </c>
      <c r="S530" s="258">
        <v>0.1</v>
      </c>
      <c r="T530" s="169">
        <f>Q530+Q530*S530-0.01</f>
        <v>3.2974580000000002</v>
      </c>
      <c r="U530" s="315">
        <f t="shared" si="254"/>
        <v>3.3838602798000004</v>
      </c>
      <c r="V530" s="315">
        <f t="shared" si="255"/>
        <v>4</v>
      </c>
      <c r="W530" s="316">
        <f t="shared" si="256"/>
        <v>0</v>
      </c>
    </row>
    <row r="531" spans="1:23" x14ac:dyDescent="0.25">
      <c r="A531" s="200" t="s">
        <v>15130</v>
      </c>
      <c r="B531" s="313" t="s">
        <v>20301</v>
      </c>
      <c r="C531" s="248"/>
      <c r="D531" s="247" t="s">
        <v>2</v>
      </c>
      <c r="E531" s="249">
        <f t="shared" si="245"/>
        <v>3.8245055341500005</v>
      </c>
      <c r="F531" s="258">
        <v>0.7</v>
      </c>
      <c r="G531" s="258">
        <f t="shared" si="246"/>
        <v>0.7</v>
      </c>
      <c r="H531" s="249">
        <f t="shared" si="247"/>
        <v>0.81953690017500014</v>
      </c>
      <c r="I531" s="258">
        <v>0.15</v>
      </c>
      <c r="J531" s="258">
        <f t="shared" si="248"/>
        <v>0.15</v>
      </c>
      <c r="K531" s="249">
        <f t="shared" si="249"/>
        <v>0.54635793345000017</v>
      </c>
      <c r="L531" s="258">
        <v>0.1</v>
      </c>
      <c r="M531" s="258">
        <f t="shared" si="250"/>
        <v>0.1</v>
      </c>
      <c r="N531" s="251">
        <f t="shared" si="251"/>
        <v>0.27317896672500008</v>
      </c>
      <c r="O531" s="258">
        <v>0.05</v>
      </c>
      <c r="P531" s="258">
        <f t="shared" si="252"/>
        <v>0.05</v>
      </c>
      <c r="Q531" s="249">
        <v>5.3454450000000007</v>
      </c>
      <c r="R531" s="249">
        <f t="shared" si="253"/>
        <v>5.4635793345000012</v>
      </c>
      <c r="S531" s="258">
        <v>0.1</v>
      </c>
      <c r="T531" s="169">
        <f>Q531+Q531*S531+0.02</f>
        <v>5.8999895000000002</v>
      </c>
      <c r="U531" s="315">
        <f t="shared" si="254"/>
        <v>6.0099372679500016</v>
      </c>
      <c r="V531" s="315">
        <f t="shared" si="255"/>
        <v>7</v>
      </c>
      <c r="W531" s="316">
        <f t="shared" si="256"/>
        <v>0</v>
      </c>
    </row>
    <row r="532" spans="1:23" x14ac:dyDescent="0.25">
      <c r="A532" s="200" t="s">
        <v>15131</v>
      </c>
      <c r="B532" s="313" t="s">
        <v>15132</v>
      </c>
      <c r="C532" s="248"/>
      <c r="D532" s="247" t="s">
        <v>2</v>
      </c>
      <c r="E532" s="249">
        <f t="shared" si="245"/>
        <v>4.3118331608520011</v>
      </c>
      <c r="F532" s="258">
        <v>0.68</v>
      </c>
      <c r="G532" s="258">
        <f t="shared" si="246"/>
        <v>0.68</v>
      </c>
      <c r="H532" s="249">
        <f t="shared" si="247"/>
        <v>1.0779582902130003</v>
      </c>
      <c r="I532" s="258">
        <v>0.17</v>
      </c>
      <c r="J532" s="258">
        <f t="shared" si="248"/>
        <v>0.17</v>
      </c>
      <c r="K532" s="249">
        <f t="shared" si="249"/>
        <v>0.63409311189000017</v>
      </c>
      <c r="L532" s="258">
        <v>0.1</v>
      </c>
      <c r="M532" s="258">
        <f t="shared" si="250"/>
        <v>0.1</v>
      </c>
      <c r="N532" s="251">
        <f t="shared" si="251"/>
        <v>0.31704655594500009</v>
      </c>
      <c r="O532" s="258">
        <v>0.05</v>
      </c>
      <c r="P532" s="258">
        <f t="shared" si="252"/>
        <v>0.05</v>
      </c>
      <c r="Q532" s="249">
        <v>6.204555</v>
      </c>
      <c r="R532" s="249">
        <f t="shared" si="253"/>
        <v>6.3409311189000013</v>
      </c>
      <c r="S532" s="258">
        <v>0.1</v>
      </c>
      <c r="T532" s="169">
        <f>Q532+Q532*S532+0.02</f>
        <v>6.8450104999999999</v>
      </c>
      <c r="U532" s="315">
        <f t="shared" si="254"/>
        <v>6.9750242307900017</v>
      </c>
      <c r="V532" s="315">
        <f t="shared" si="255"/>
        <v>7</v>
      </c>
      <c r="W532" s="316">
        <f t="shared" si="256"/>
        <v>0</v>
      </c>
    </row>
    <row r="533" spans="1:23" x14ac:dyDescent="0.25">
      <c r="A533" s="200" t="s">
        <v>15133</v>
      </c>
      <c r="B533" s="313" t="s">
        <v>15134</v>
      </c>
      <c r="C533" s="248"/>
      <c r="D533" s="247" t="s">
        <v>2</v>
      </c>
      <c r="E533" s="249">
        <f t="shared" si="245"/>
        <v>4.8093383391480016</v>
      </c>
      <c r="F533" s="258">
        <v>0.68</v>
      </c>
      <c r="G533" s="258">
        <f t="shared" si="246"/>
        <v>0.68</v>
      </c>
      <c r="H533" s="249">
        <f t="shared" si="247"/>
        <v>1.2023345847870004</v>
      </c>
      <c r="I533" s="258">
        <v>0.17</v>
      </c>
      <c r="J533" s="258">
        <f t="shared" si="248"/>
        <v>0.17</v>
      </c>
      <c r="K533" s="249">
        <f t="shared" si="249"/>
        <v>0.70725563811000025</v>
      </c>
      <c r="L533" s="258">
        <v>0.1</v>
      </c>
      <c r="M533" s="258">
        <f t="shared" si="250"/>
        <v>0.1</v>
      </c>
      <c r="N533" s="251">
        <f t="shared" si="251"/>
        <v>0.35362781905500013</v>
      </c>
      <c r="O533" s="258">
        <v>0.05</v>
      </c>
      <c r="P533" s="258">
        <f t="shared" si="252"/>
        <v>0.05</v>
      </c>
      <c r="Q533" s="249">
        <v>6.9204450000000008</v>
      </c>
      <c r="R533" s="249">
        <f t="shared" si="253"/>
        <v>7.0725563811000018</v>
      </c>
      <c r="S533" s="258">
        <v>0.1</v>
      </c>
      <c r="T533" s="169">
        <f>Q533+Q533*S533-0.01</f>
        <v>7.6024895000000008</v>
      </c>
      <c r="U533" s="315">
        <f t="shared" si="254"/>
        <v>7.7798120192100022</v>
      </c>
      <c r="V533" s="315">
        <f t="shared" si="255"/>
        <v>8</v>
      </c>
      <c r="W533" s="316">
        <f t="shared" si="256"/>
        <v>0</v>
      </c>
    </row>
    <row r="534" spans="1:23" x14ac:dyDescent="0.25">
      <c r="A534" s="200" t="s">
        <v>15133</v>
      </c>
      <c r="B534" s="313" t="s">
        <v>15135</v>
      </c>
      <c r="C534" s="248"/>
      <c r="D534" s="247" t="s">
        <v>2</v>
      </c>
      <c r="E534" s="249">
        <f t="shared" si="245"/>
        <v>4.8756674982960018</v>
      </c>
      <c r="F534" s="258">
        <v>0.68</v>
      </c>
      <c r="G534" s="258">
        <f t="shared" si="246"/>
        <v>0.68</v>
      </c>
      <c r="H534" s="249">
        <f t="shared" si="247"/>
        <v>1.2189168745740004</v>
      </c>
      <c r="I534" s="258">
        <v>0.17</v>
      </c>
      <c r="J534" s="258">
        <f t="shared" si="248"/>
        <v>0.17</v>
      </c>
      <c r="K534" s="249">
        <f t="shared" si="249"/>
        <v>0.71700992622000026</v>
      </c>
      <c r="L534" s="258">
        <v>0.1</v>
      </c>
      <c r="M534" s="258">
        <f t="shared" si="250"/>
        <v>0.1</v>
      </c>
      <c r="N534" s="251">
        <f t="shared" si="251"/>
        <v>0.35850496311000013</v>
      </c>
      <c r="O534" s="258">
        <v>0.05</v>
      </c>
      <c r="P534" s="258">
        <f t="shared" si="252"/>
        <v>0.05</v>
      </c>
      <c r="Q534" s="249">
        <v>7.0158900000000006</v>
      </c>
      <c r="R534" s="249">
        <f t="shared" si="253"/>
        <v>7.1700992622000017</v>
      </c>
      <c r="S534" s="258">
        <v>0.1</v>
      </c>
      <c r="T534" s="169">
        <f>Q534+Q534*S534-0.02</f>
        <v>7.6974790000000013</v>
      </c>
      <c r="U534" s="315">
        <f t="shared" si="254"/>
        <v>7.887109188420002</v>
      </c>
      <c r="V534" s="315">
        <f t="shared" si="255"/>
        <v>8</v>
      </c>
      <c r="W534" s="316">
        <f t="shared" si="256"/>
        <v>0</v>
      </c>
    </row>
    <row r="535" spans="1:23" x14ac:dyDescent="0.25">
      <c r="A535" s="200" t="s">
        <v>15136</v>
      </c>
      <c r="B535" s="313" t="s">
        <v>15137</v>
      </c>
      <c r="C535" s="248"/>
      <c r="D535" s="247" t="s">
        <v>2</v>
      </c>
      <c r="E535" s="249">
        <f t="shared" si="245"/>
        <v>4.0674391821000002</v>
      </c>
      <c r="F535" s="258">
        <v>0.6</v>
      </c>
      <c r="G535" s="258">
        <f t="shared" si="246"/>
        <v>0.6</v>
      </c>
      <c r="H535" s="249">
        <f t="shared" si="247"/>
        <v>1.3558130607000001</v>
      </c>
      <c r="I535" s="258">
        <v>0.2</v>
      </c>
      <c r="J535" s="258">
        <f t="shared" si="248"/>
        <v>0.2</v>
      </c>
      <c r="K535" s="249">
        <f t="shared" si="249"/>
        <v>1.0168597955250001</v>
      </c>
      <c r="L535" s="258">
        <v>0.15</v>
      </c>
      <c r="M535" s="258">
        <f t="shared" si="250"/>
        <v>0.15</v>
      </c>
      <c r="N535" s="251">
        <f t="shared" si="251"/>
        <v>0.33895326517500002</v>
      </c>
      <c r="O535" s="258">
        <v>0.05</v>
      </c>
      <c r="P535" s="258">
        <f t="shared" si="252"/>
        <v>0.05</v>
      </c>
      <c r="Q535" s="249">
        <v>6.6341100000000006</v>
      </c>
      <c r="R535" s="249">
        <f t="shared" si="253"/>
        <v>6.7790653035000004</v>
      </c>
      <c r="S535" s="258">
        <v>0.1</v>
      </c>
      <c r="T535" s="169">
        <f>Q535+Q535*S535</f>
        <v>7.2975210000000006</v>
      </c>
      <c r="U535" s="315">
        <f t="shared" si="254"/>
        <v>7.45697183385</v>
      </c>
      <c r="V535" s="315">
        <f t="shared" si="255"/>
        <v>8</v>
      </c>
      <c r="W535" s="316">
        <f t="shared" si="256"/>
        <v>0</v>
      </c>
    </row>
    <row r="536" spans="1:23" x14ac:dyDescent="0.25">
      <c r="A536" s="200" t="s">
        <v>15138</v>
      </c>
      <c r="B536" s="313" t="s">
        <v>15139</v>
      </c>
      <c r="C536" s="248"/>
      <c r="D536" s="247" t="s">
        <v>2</v>
      </c>
      <c r="E536" s="249">
        <f t="shared" si="245"/>
        <v>4.6526863981499993</v>
      </c>
      <c r="F536" s="258">
        <v>0.6</v>
      </c>
      <c r="G536" s="258">
        <f t="shared" si="246"/>
        <v>0.6</v>
      </c>
      <c r="H536" s="249">
        <f t="shared" si="247"/>
        <v>1.5508954660500001</v>
      </c>
      <c r="I536" s="258">
        <v>0.2</v>
      </c>
      <c r="J536" s="258">
        <f t="shared" si="248"/>
        <v>0.2</v>
      </c>
      <c r="K536" s="249">
        <f t="shared" si="249"/>
        <v>1.1631715995374998</v>
      </c>
      <c r="L536" s="258">
        <v>0.15</v>
      </c>
      <c r="M536" s="258">
        <f t="shared" si="250"/>
        <v>0.15</v>
      </c>
      <c r="N536" s="251">
        <f t="shared" si="251"/>
        <v>0.38772386651250001</v>
      </c>
      <c r="O536" s="258">
        <v>0.05</v>
      </c>
      <c r="P536" s="258">
        <f t="shared" si="252"/>
        <v>0.05</v>
      </c>
      <c r="Q536" s="249">
        <v>7.5886649999999998</v>
      </c>
      <c r="R536" s="249">
        <f t="shared" si="253"/>
        <v>7.7544773302499994</v>
      </c>
      <c r="S536" s="258">
        <v>0.1</v>
      </c>
      <c r="T536" s="169">
        <f>Q536+Q536*S536</f>
        <v>8.3475315000000005</v>
      </c>
      <c r="U536" s="315">
        <f t="shared" si="254"/>
        <v>8.5299250632749999</v>
      </c>
      <c r="V536" s="315">
        <f t="shared" si="255"/>
        <v>9</v>
      </c>
      <c r="W536" s="316">
        <f t="shared" si="256"/>
        <v>0</v>
      </c>
    </row>
    <row r="537" spans="1:23" x14ac:dyDescent="0.25">
      <c r="A537" s="195" t="s">
        <v>15140</v>
      </c>
      <c r="B537" s="317" t="s">
        <v>15141</v>
      </c>
      <c r="C537" s="318"/>
      <c r="D537" s="319"/>
      <c r="E537" s="319"/>
      <c r="F537" s="319"/>
      <c r="G537" s="319"/>
      <c r="H537" s="319"/>
      <c r="I537" s="319"/>
      <c r="J537" s="319"/>
      <c r="K537" s="319"/>
      <c r="L537" s="319"/>
      <c r="M537" s="319"/>
      <c r="N537" s="319"/>
      <c r="O537" s="319"/>
      <c r="P537" s="319"/>
      <c r="Q537" s="319"/>
      <c r="R537" s="319"/>
      <c r="S537" s="319"/>
      <c r="T537" s="319"/>
      <c r="U537" s="320"/>
      <c r="V537" s="320"/>
      <c r="W537" s="306"/>
    </row>
    <row r="538" spans="1:23" ht="21" x14ac:dyDescent="0.25">
      <c r="A538" s="200" t="s">
        <v>15142</v>
      </c>
      <c r="B538" s="255" t="s">
        <v>15143</v>
      </c>
      <c r="C538" s="248"/>
      <c r="D538" s="247" t="s">
        <v>1</v>
      </c>
      <c r="E538" s="249">
        <f t="shared" si="245"/>
        <v>0.2797679587500001</v>
      </c>
      <c r="F538" s="258">
        <v>0.25</v>
      </c>
      <c r="G538" s="258">
        <f t="shared" si="246"/>
        <v>0.25</v>
      </c>
      <c r="H538" s="249">
        <f t="shared" si="247"/>
        <v>0.67144310100000026</v>
      </c>
      <c r="I538" s="258">
        <v>0.6</v>
      </c>
      <c r="J538" s="258">
        <f t="shared" si="248"/>
        <v>0.6</v>
      </c>
      <c r="K538" s="249">
        <f t="shared" si="249"/>
        <v>0.11190718350000005</v>
      </c>
      <c r="L538" s="258">
        <v>0.1</v>
      </c>
      <c r="M538" s="258">
        <f t="shared" si="250"/>
        <v>0.1</v>
      </c>
      <c r="N538" s="251">
        <f t="shared" si="251"/>
        <v>5.5953591750000024E-2</v>
      </c>
      <c r="O538" s="258">
        <v>0.05</v>
      </c>
      <c r="P538" s="258">
        <f t="shared" si="252"/>
        <v>0.05</v>
      </c>
      <c r="Q538" s="249">
        <v>1.0977750000000002</v>
      </c>
      <c r="R538" s="249">
        <f t="shared" si="253"/>
        <v>1.1190718350000004</v>
      </c>
      <c r="S538" s="258">
        <v>0.1</v>
      </c>
      <c r="T538" s="169">
        <f>Q538+Q538*S538-0.01</f>
        <v>1.1975525000000002</v>
      </c>
      <c r="U538" s="315">
        <f t="shared" si="254"/>
        <v>1.2309790185000005</v>
      </c>
      <c r="V538" s="315">
        <f t="shared" si="255"/>
        <v>2</v>
      </c>
      <c r="W538" s="316">
        <f t="shared" si="256"/>
        <v>0</v>
      </c>
    </row>
    <row r="539" spans="1:23" x14ac:dyDescent="0.25">
      <c r="A539" s="200" t="s">
        <v>15144</v>
      </c>
      <c r="B539" s="313" t="s">
        <v>20302</v>
      </c>
      <c r="C539" s="248"/>
      <c r="D539" s="247" t="s">
        <v>1</v>
      </c>
      <c r="E539" s="249">
        <f t="shared" si="245"/>
        <v>5.736607083900001</v>
      </c>
      <c r="F539" s="258">
        <v>0.55000000000000004</v>
      </c>
      <c r="G539" s="258">
        <f t="shared" si="246"/>
        <v>0.55000000000000004</v>
      </c>
      <c r="H539" s="249">
        <f t="shared" si="247"/>
        <v>3.1290584094000002</v>
      </c>
      <c r="I539" s="258">
        <v>0.3</v>
      </c>
      <c r="J539" s="258">
        <f t="shared" si="248"/>
        <v>0.3</v>
      </c>
      <c r="K539" s="249">
        <f t="shared" si="249"/>
        <v>1.0430194698000002</v>
      </c>
      <c r="L539" s="258">
        <v>0.1</v>
      </c>
      <c r="M539" s="258">
        <f t="shared" si="250"/>
        <v>0.1</v>
      </c>
      <c r="N539" s="251">
        <f t="shared" si="251"/>
        <v>0.52150973490000008</v>
      </c>
      <c r="O539" s="258">
        <v>0.05</v>
      </c>
      <c r="P539" s="258">
        <f t="shared" si="252"/>
        <v>0.05</v>
      </c>
      <c r="Q539" s="249">
        <v>10.213665000000001</v>
      </c>
      <c r="R539" s="249">
        <f t="shared" si="253"/>
        <v>10.430194698000001</v>
      </c>
      <c r="S539" s="258">
        <v>0.1</v>
      </c>
      <c r="T539" s="169">
        <f>Q539+Q539*S539+0.01</f>
        <v>11.245031500000001</v>
      </c>
      <c r="U539" s="315">
        <f t="shared" si="254"/>
        <v>11.473214167800002</v>
      </c>
      <c r="V539" s="315">
        <f t="shared" si="255"/>
        <v>12</v>
      </c>
      <c r="W539" s="316">
        <f t="shared" si="256"/>
        <v>0</v>
      </c>
    </row>
    <row r="540" spans="1:23" x14ac:dyDescent="0.25">
      <c r="A540" s="200" t="s">
        <v>15145</v>
      </c>
      <c r="B540" s="313" t="s">
        <v>20303</v>
      </c>
      <c r="C540" s="248"/>
      <c r="D540" s="247" t="s">
        <v>1</v>
      </c>
      <c r="E540" s="249">
        <f t="shared" si="245"/>
        <v>7.2377389161000014</v>
      </c>
      <c r="F540" s="258">
        <v>0.55000000000000004</v>
      </c>
      <c r="G540" s="258">
        <f t="shared" si="246"/>
        <v>0.55000000000000004</v>
      </c>
      <c r="H540" s="249">
        <f t="shared" si="247"/>
        <v>3.9478575906000004</v>
      </c>
      <c r="I540" s="258">
        <v>0.3</v>
      </c>
      <c r="J540" s="258">
        <f t="shared" si="248"/>
        <v>0.3</v>
      </c>
      <c r="K540" s="249">
        <f t="shared" si="249"/>
        <v>1.3159525302000004</v>
      </c>
      <c r="L540" s="258">
        <v>0.1</v>
      </c>
      <c r="M540" s="258">
        <f t="shared" si="250"/>
        <v>0.1</v>
      </c>
      <c r="N540" s="251">
        <f t="shared" si="251"/>
        <v>0.65797626510000018</v>
      </c>
      <c r="O540" s="258">
        <v>0.05</v>
      </c>
      <c r="P540" s="258">
        <f t="shared" si="252"/>
        <v>0.05</v>
      </c>
      <c r="Q540" s="249">
        <v>12.886335000000001</v>
      </c>
      <c r="R540" s="249">
        <f t="shared" si="253"/>
        <v>13.159525302000002</v>
      </c>
      <c r="S540" s="258">
        <v>0.1</v>
      </c>
      <c r="T540" s="169">
        <f>Q540+Q540*S540+0.03</f>
        <v>14.2049685</v>
      </c>
      <c r="U540" s="315">
        <f t="shared" si="254"/>
        <v>14.475477832200003</v>
      </c>
      <c r="V540" s="315">
        <f t="shared" si="255"/>
        <v>15</v>
      </c>
      <c r="W540" s="316">
        <f t="shared" si="256"/>
        <v>0</v>
      </c>
    </row>
    <row r="541" spans="1:23" x14ac:dyDescent="0.25">
      <c r="A541" s="200" t="s">
        <v>15146</v>
      </c>
      <c r="B541" s="313" t="s">
        <v>20304</v>
      </c>
      <c r="C541" s="248"/>
      <c r="D541" s="247" t="s">
        <v>1</v>
      </c>
      <c r="E541" s="249">
        <f t="shared" si="245"/>
        <v>11.794860000000003</v>
      </c>
      <c r="F541" s="258">
        <v>0.55000000000000004</v>
      </c>
      <c r="G541" s="258">
        <f t="shared" si="246"/>
        <v>0.55000000000000004</v>
      </c>
      <c r="H541" s="249">
        <f t="shared" si="247"/>
        <v>6.4335600000000008</v>
      </c>
      <c r="I541" s="258">
        <v>0.3</v>
      </c>
      <c r="J541" s="258">
        <f t="shared" si="248"/>
        <v>0.3</v>
      </c>
      <c r="K541" s="249">
        <f t="shared" si="249"/>
        <v>2.1445200000000004</v>
      </c>
      <c r="L541" s="258">
        <v>0.1</v>
      </c>
      <c r="M541" s="258">
        <f t="shared" si="250"/>
        <v>0.1</v>
      </c>
      <c r="N541" s="251">
        <f t="shared" si="251"/>
        <v>1.0722600000000002</v>
      </c>
      <c r="O541" s="258">
        <v>0.05</v>
      </c>
      <c r="P541" s="258">
        <f t="shared" si="252"/>
        <v>0.05</v>
      </c>
      <c r="Q541" s="249">
        <v>21</v>
      </c>
      <c r="R541" s="249">
        <f t="shared" si="253"/>
        <v>21.445200000000003</v>
      </c>
      <c r="S541" s="258">
        <v>0.1</v>
      </c>
      <c r="T541" s="169">
        <f>Q541+Q541*S541</f>
        <v>23.1</v>
      </c>
      <c r="U541" s="315">
        <f t="shared" si="254"/>
        <v>23.589720000000003</v>
      </c>
      <c r="V541" s="315">
        <f t="shared" si="255"/>
        <v>24</v>
      </c>
      <c r="W541" s="316">
        <f t="shared" si="256"/>
        <v>0</v>
      </c>
    </row>
    <row r="542" spans="1:23" x14ac:dyDescent="0.25">
      <c r="A542" s="200" t="s">
        <v>15147</v>
      </c>
      <c r="B542" s="313" t="s">
        <v>15148</v>
      </c>
      <c r="C542" s="248"/>
      <c r="D542" s="247" t="s">
        <v>1</v>
      </c>
      <c r="E542" s="249">
        <f t="shared" si="245"/>
        <v>13.014893311874999</v>
      </c>
      <c r="F542" s="258">
        <v>0.625</v>
      </c>
      <c r="G542" s="258">
        <f t="shared" si="246"/>
        <v>0.625</v>
      </c>
      <c r="H542" s="249">
        <f t="shared" si="247"/>
        <v>5.2059573247499999</v>
      </c>
      <c r="I542" s="258">
        <v>0.25</v>
      </c>
      <c r="J542" s="258">
        <f t="shared" si="248"/>
        <v>0.25</v>
      </c>
      <c r="K542" s="249">
        <f t="shared" si="249"/>
        <v>2.0823829299000001</v>
      </c>
      <c r="L542" s="258">
        <v>0.1</v>
      </c>
      <c r="M542" s="258">
        <f t="shared" si="250"/>
        <v>0.1</v>
      </c>
      <c r="N542" s="251">
        <f t="shared" si="251"/>
        <v>0.52059573247500002</v>
      </c>
      <c r="O542" s="258">
        <v>2.5000000000000001E-2</v>
      </c>
      <c r="P542" s="258">
        <f t="shared" si="252"/>
        <v>2.5000000000000001E-2</v>
      </c>
      <c r="Q542" s="249">
        <v>20.379555</v>
      </c>
      <c r="R542" s="249">
        <f t="shared" si="253"/>
        <v>20.823829299</v>
      </c>
      <c r="S542" s="258">
        <v>0.1</v>
      </c>
      <c r="T542" s="169">
        <f>Q542+Q542*S542-0.02</f>
        <v>22.397510499999999</v>
      </c>
      <c r="U542" s="315">
        <f t="shared" si="254"/>
        <v>22.906212228899999</v>
      </c>
      <c r="V542" s="315">
        <f t="shared" si="255"/>
        <v>23</v>
      </c>
      <c r="W542" s="316">
        <f t="shared" si="256"/>
        <v>0</v>
      </c>
    </row>
    <row r="543" spans="1:23" ht="21" x14ac:dyDescent="0.25">
      <c r="A543" s="200" t="s">
        <v>15149</v>
      </c>
      <c r="B543" s="255" t="s">
        <v>20305</v>
      </c>
      <c r="C543" s="248"/>
      <c r="D543" s="247" t="s">
        <v>1</v>
      </c>
      <c r="E543" s="249">
        <f t="shared" si="245"/>
        <v>1.8612458746875005</v>
      </c>
      <c r="F543" s="258">
        <v>0.25</v>
      </c>
      <c r="G543" s="258">
        <f t="shared" si="246"/>
        <v>0.25</v>
      </c>
      <c r="H543" s="249">
        <f t="shared" si="247"/>
        <v>4.6531146867187516</v>
      </c>
      <c r="I543" s="258">
        <v>0.625</v>
      </c>
      <c r="J543" s="258">
        <f t="shared" si="248"/>
        <v>0.625</v>
      </c>
      <c r="K543" s="249">
        <f t="shared" si="249"/>
        <v>0.74449834987500019</v>
      </c>
      <c r="L543" s="258">
        <v>0.1</v>
      </c>
      <c r="M543" s="258">
        <f t="shared" si="250"/>
        <v>0.1</v>
      </c>
      <c r="N543" s="251">
        <f t="shared" si="251"/>
        <v>0.18612458746875005</v>
      </c>
      <c r="O543" s="258">
        <v>2.5000000000000001E-2</v>
      </c>
      <c r="P543" s="258">
        <f t="shared" si="252"/>
        <v>2.5000000000000001E-2</v>
      </c>
      <c r="Q543" s="249">
        <v>7.3022250000000009</v>
      </c>
      <c r="R543" s="249">
        <f t="shared" si="253"/>
        <v>7.4449834987500019</v>
      </c>
      <c r="S543" s="258">
        <v>0.1</v>
      </c>
      <c r="T543" s="169">
        <f>Q543+Q543*S543+0.02</f>
        <v>8.0524475000000013</v>
      </c>
      <c r="U543" s="315">
        <f t="shared" si="254"/>
        <v>8.1894818486250021</v>
      </c>
      <c r="V543" s="315">
        <f t="shared" si="255"/>
        <v>9</v>
      </c>
      <c r="W543" s="316">
        <f t="shared" si="256"/>
        <v>0</v>
      </c>
    </row>
    <row r="544" spans="1:23" x14ac:dyDescent="0.25">
      <c r="A544" s="200" t="s">
        <v>15150</v>
      </c>
      <c r="B544" s="313" t="s">
        <v>20306</v>
      </c>
      <c r="C544" s="248"/>
      <c r="D544" s="247" t="s">
        <v>1</v>
      </c>
      <c r="E544" s="249">
        <f t="shared" si="245"/>
        <v>4.0776423384375011</v>
      </c>
      <c r="F544" s="258">
        <v>0.45</v>
      </c>
      <c r="G544" s="258">
        <f t="shared" si="246"/>
        <v>0.45</v>
      </c>
      <c r="H544" s="249">
        <f t="shared" si="247"/>
        <v>3.8511066529687508</v>
      </c>
      <c r="I544" s="258">
        <v>0.42499999999999999</v>
      </c>
      <c r="J544" s="258">
        <f t="shared" si="248"/>
        <v>0.42499999999999999</v>
      </c>
      <c r="K544" s="249">
        <f t="shared" si="249"/>
        <v>0.90614274187500021</v>
      </c>
      <c r="L544" s="258">
        <v>0.1</v>
      </c>
      <c r="M544" s="258">
        <f t="shared" si="250"/>
        <v>0.1</v>
      </c>
      <c r="N544" s="251">
        <f t="shared" si="251"/>
        <v>0.22653568546875005</v>
      </c>
      <c r="O544" s="258">
        <v>2.5000000000000001E-2</v>
      </c>
      <c r="P544" s="258">
        <f t="shared" si="252"/>
        <v>2.5000000000000001E-2</v>
      </c>
      <c r="Q544" s="249">
        <v>8.8772249999999993</v>
      </c>
      <c r="R544" s="249">
        <f t="shared" si="253"/>
        <v>9.0614274187500019</v>
      </c>
      <c r="S544" s="258">
        <v>0.1</v>
      </c>
      <c r="T544" s="169">
        <f>Q544+Q544*S544+0.04</f>
        <v>9.804947499999999</v>
      </c>
      <c r="U544" s="315">
        <f t="shared" si="254"/>
        <v>9.9675701606250016</v>
      </c>
      <c r="V544" s="315">
        <f t="shared" si="255"/>
        <v>10</v>
      </c>
      <c r="W544" s="316">
        <f t="shared" si="256"/>
        <v>0</v>
      </c>
    </row>
    <row r="545" spans="1:23" x14ac:dyDescent="0.25">
      <c r="A545" s="200" t="s">
        <v>15151</v>
      </c>
      <c r="B545" s="313" t="s">
        <v>15152</v>
      </c>
      <c r="C545" s="248"/>
      <c r="D545" s="247" t="s">
        <v>2</v>
      </c>
      <c r="E545" s="249">
        <f t="shared" si="245"/>
        <v>4.3350131973749999</v>
      </c>
      <c r="F545" s="258">
        <v>0.5</v>
      </c>
      <c r="G545" s="258">
        <f t="shared" si="246"/>
        <v>0.5</v>
      </c>
      <c r="H545" s="249">
        <f t="shared" si="247"/>
        <v>3.4680105579</v>
      </c>
      <c r="I545" s="258">
        <v>0.4</v>
      </c>
      <c r="J545" s="258">
        <f t="shared" si="248"/>
        <v>0.4</v>
      </c>
      <c r="K545" s="249">
        <f t="shared" si="249"/>
        <v>0.4335013197375</v>
      </c>
      <c r="L545" s="258">
        <v>0.05</v>
      </c>
      <c r="M545" s="258">
        <f t="shared" si="250"/>
        <v>0.05</v>
      </c>
      <c r="N545" s="251">
        <f t="shared" si="251"/>
        <v>0.4335013197375</v>
      </c>
      <c r="O545" s="258">
        <v>0.05</v>
      </c>
      <c r="P545" s="258">
        <f t="shared" si="252"/>
        <v>0.05</v>
      </c>
      <c r="Q545" s="249">
        <v>8.4954450000000001</v>
      </c>
      <c r="R545" s="249">
        <f t="shared" si="253"/>
        <v>8.6700263947499998</v>
      </c>
      <c r="S545" s="258">
        <v>0.1</v>
      </c>
      <c r="T545" s="169">
        <f>Q545+Q545*S545+0.01</f>
        <v>9.3549895000000003</v>
      </c>
      <c r="U545" s="315">
        <f t="shared" si="254"/>
        <v>9.5370290342250001</v>
      </c>
      <c r="V545" s="315">
        <f t="shared" si="255"/>
        <v>10</v>
      </c>
      <c r="W545" s="316">
        <f t="shared" si="256"/>
        <v>0</v>
      </c>
    </row>
    <row r="546" spans="1:23" ht="21" x14ac:dyDescent="0.25">
      <c r="A546" s="200" t="s">
        <v>15153</v>
      </c>
      <c r="B546" s="255" t="s">
        <v>20307</v>
      </c>
      <c r="C546" s="248"/>
      <c r="D546" s="247" t="s">
        <v>1</v>
      </c>
      <c r="E546" s="249">
        <f t="shared" si="245"/>
        <v>1.7778542302500002</v>
      </c>
      <c r="F546" s="258">
        <v>0.5</v>
      </c>
      <c r="G546" s="258">
        <f t="shared" si="246"/>
        <v>0.5</v>
      </c>
      <c r="H546" s="249">
        <f t="shared" si="247"/>
        <v>1.4222833842000002</v>
      </c>
      <c r="I546" s="258">
        <v>0.4</v>
      </c>
      <c r="J546" s="258">
        <f t="shared" si="248"/>
        <v>0.4</v>
      </c>
      <c r="K546" s="249">
        <f t="shared" si="249"/>
        <v>0.17778542302500003</v>
      </c>
      <c r="L546" s="258">
        <v>0.05</v>
      </c>
      <c r="M546" s="258">
        <f t="shared" si="250"/>
        <v>0.05</v>
      </c>
      <c r="N546" s="251">
        <f t="shared" si="251"/>
        <v>0.17778542302500003</v>
      </c>
      <c r="O546" s="258">
        <v>0.05</v>
      </c>
      <c r="P546" s="258">
        <f t="shared" si="252"/>
        <v>0.05</v>
      </c>
      <c r="Q546" s="249">
        <v>3.4841100000000003</v>
      </c>
      <c r="R546" s="249">
        <f t="shared" si="253"/>
        <v>3.5557084605000004</v>
      </c>
      <c r="S546" s="258">
        <v>0.1</v>
      </c>
      <c r="T546" s="169">
        <f>Q546+Q546*S546+0.02</f>
        <v>3.8525210000000003</v>
      </c>
      <c r="U546" s="315">
        <f t="shared" si="254"/>
        <v>3.9112793065500004</v>
      </c>
      <c r="V546" s="315">
        <f t="shared" si="255"/>
        <v>4</v>
      </c>
      <c r="W546" s="316">
        <f t="shared" si="256"/>
        <v>0</v>
      </c>
    </row>
    <row r="547" spans="1:23" ht="21" x14ac:dyDescent="0.25">
      <c r="A547" s="200" t="s">
        <v>15154</v>
      </c>
      <c r="B547" s="255" t="s">
        <v>20308</v>
      </c>
      <c r="C547" s="248"/>
      <c r="D547" s="247" t="s">
        <v>1</v>
      </c>
      <c r="E547" s="249">
        <f t="shared" si="245"/>
        <v>5.2647949374999996</v>
      </c>
      <c r="F547" s="258">
        <v>0.35</v>
      </c>
      <c r="G547" s="258">
        <f t="shared" si="246"/>
        <v>0.35</v>
      </c>
      <c r="H547" s="249">
        <f t="shared" si="247"/>
        <v>8.6869116468750001</v>
      </c>
      <c r="I547" s="258">
        <v>0.57750000000000001</v>
      </c>
      <c r="J547" s="258">
        <f t="shared" si="248"/>
        <v>0.57750000000000001</v>
      </c>
      <c r="K547" s="249">
        <f t="shared" si="249"/>
        <v>0.75211356249999994</v>
      </c>
      <c r="L547" s="258">
        <v>0.05</v>
      </c>
      <c r="M547" s="258">
        <f t="shared" si="250"/>
        <v>0.05</v>
      </c>
      <c r="N547" s="251">
        <f t="shared" si="251"/>
        <v>0.33845110312499999</v>
      </c>
      <c r="O547" s="258">
        <v>2.2499999999999999E-2</v>
      </c>
      <c r="P547" s="258">
        <f t="shared" si="252"/>
        <v>2.2499999999999999E-2</v>
      </c>
      <c r="Q547" s="249">
        <v>14.75</v>
      </c>
      <c r="R547" s="249">
        <f t="shared" si="253"/>
        <v>15.042271249999999</v>
      </c>
      <c r="S547" s="258">
        <v>0.1</v>
      </c>
      <c r="T547" s="169">
        <f>Q547+Q547*S547+0.27</f>
        <v>16.495000000000001</v>
      </c>
      <c r="U547" s="315">
        <f t="shared" si="254"/>
        <v>16.546498374999999</v>
      </c>
      <c r="V547" s="315">
        <f t="shared" si="255"/>
        <v>17</v>
      </c>
      <c r="W547" s="316">
        <f t="shared" si="256"/>
        <v>0</v>
      </c>
    </row>
    <row r="548" spans="1:23" x14ac:dyDescent="0.25">
      <c r="A548" s="200" t="s">
        <v>15155</v>
      </c>
      <c r="B548" s="313" t="s">
        <v>15156</v>
      </c>
      <c r="C548" s="248"/>
      <c r="D548" s="247" t="s">
        <v>1</v>
      </c>
      <c r="E548" s="249">
        <f t="shared" si="245"/>
        <v>10.7105114875</v>
      </c>
      <c r="F548" s="258">
        <v>0.21249999999999999</v>
      </c>
      <c r="G548" s="258">
        <f t="shared" si="246"/>
        <v>0.21249999999999999</v>
      </c>
      <c r="H548" s="249">
        <f t="shared" si="247"/>
        <v>35.029672865000002</v>
      </c>
      <c r="I548" s="258">
        <v>0.69499999999999995</v>
      </c>
      <c r="J548" s="258">
        <f t="shared" si="248"/>
        <v>0.69499999999999995</v>
      </c>
      <c r="K548" s="249">
        <f t="shared" si="249"/>
        <v>4.0321925600000004</v>
      </c>
      <c r="L548" s="258">
        <v>0.08</v>
      </c>
      <c r="M548" s="258">
        <f t="shared" si="250"/>
        <v>0.08</v>
      </c>
      <c r="N548" s="251">
        <f t="shared" si="251"/>
        <v>0.63003008750000011</v>
      </c>
      <c r="O548" s="258">
        <v>1.2500000000000001E-2</v>
      </c>
      <c r="P548" s="258">
        <f t="shared" si="252"/>
        <v>1.2500000000000001E-2</v>
      </c>
      <c r="Q548" s="249">
        <v>49.45</v>
      </c>
      <c r="R548" s="249">
        <f t="shared" si="253"/>
        <v>50.402407000000004</v>
      </c>
      <c r="S548" s="258">
        <v>0.1</v>
      </c>
      <c r="T548" s="169">
        <f>Q548+Q548*S548</f>
        <v>54.395000000000003</v>
      </c>
      <c r="U548" s="315">
        <f t="shared" si="254"/>
        <v>55.442647700000002</v>
      </c>
      <c r="V548" s="315">
        <f t="shared" si="255"/>
        <v>56</v>
      </c>
      <c r="W548" s="316">
        <f t="shared" si="256"/>
        <v>0</v>
      </c>
    </row>
    <row r="549" spans="1:23" x14ac:dyDescent="0.25">
      <c r="A549" s="195" t="s">
        <v>15157</v>
      </c>
      <c r="B549" s="317" t="s">
        <v>15158</v>
      </c>
      <c r="C549" s="318"/>
      <c r="D549" s="319"/>
      <c r="E549" s="319"/>
      <c r="F549" s="319"/>
      <c r="G549" s="319"/>
      <c r="H549" s="319"/>
      <c r="I549" s="319"/>
      <c r="J549" s="319"/>
      <c r="K549" s="319"/>
      <c r="L549" s="319"/>
      <c r="M549" s="319"/>
      <c r="N549" s="319"/>
      <c r="O549" s="319"/>
      <c r="P549" s="319"/>
      <c r="Q549" s="319"/>
      <c r="R549" s="319"/>
      <c r="S549" s="319"/>
      <c r="T549" s="319"/>
      <c r="U549" s="320"/>
      <c r="V549" s="320"/>
      <c r="W549" s="306"/>
    </row>
    <row r="550" spans="1:23" ht="21" x14ac:dyDescent="0.25">
      <c r="A550" s="200" t="s">
        <v>15159</v>
      </c>
      <c r="B550" s="255" t="s">
        <v>15160</v>
      </c>
      <c r="C550" s="248"/>
      <c r="D550" s="247" t="s">
        <v>11</v>
      </c>
      <c r="E550" s="249">
        <f t="shared" si="245"/>
        <v>109.86728161500002</v>
      </c>
      <c r="F550" s="258">
        <v>0.75</v>
      </c>
      <c r="G550" s="258">
        <f t="shared" si="246"/>
        <v>0.75</v>
      </c>
      <c r="H550" s="249">
        <f t="shared" si="247"/>
        <v>0</v>
      </c>
      <c r="I550" s="258"/>
      <c r="J550" s="258">
        <f t="shared" si="248"/>
        <v>0</v>
      </c>
      <c r="K550" s="249">
        <f t="shared" si="249"/>
        <v>29.297941764000008</v>
      </c>
      <c r="L550" s="258">
        <v>0.2</v>
      </c>
      <c r="M550" s="258">
        <f t="shared" si="250"/>
        <v>0.2</v>
      </c>
      <c r="N550" s="251">
        <f t="shared" si="251"/>
        <v>7.324485441000002</v>
      </c>
      <c r="O550" s="258">
        <v>0.05</v>
      </c>
      <c r="P550" s="258">
        <f t="shared" si="252"/>
        <v>0.05</v>
      </c>
      <c r="Q550" s="249">
        <v>143.18220000000002</v>
      </c>
      <c r="R550" s="249">
        <f t="shared" si="253"/>
        <v>146.48970882000003</v>
      </c>
      <c r="S550" s="258">
        <v>0.1</v>
      </c>
      <c r="T550" s="169">
        <f>Q550+Q550*S550+0.5</f>
        <v>158.00042000000002</v>
      </c>
      <c r="U550" s="315">
        <f t="shared" ref="U550:U613" si="257">(R550*S550)+R550</f>
        <v>161.13867970200005</v>
      </c>
      <c r="V550" s="315">
        <f t="shared" ref="V550:V613" si="258">IF(U550=0, 0, IF(U550&lt;10, _xlfn.CEILING.MATH(U550,1), IF(U550&lt;100, _xlfn.CEILING.MATH(U550,1),IF(U550&lt;1000, _xlfn.CEILING.MATH(U550,5), IF(U550&lt;10000, _xlfn.CEILING.MATH(U550, 25), IF(U550&lt;100000, _xlfn.CEILING.MATH(U550,250), IF(U550&lt;1000000, _xlfn.CEILING.MATH(U550,500), 0)))))))</f>
        <v>165</v>
      </c>
      <c r="W550" s="316">
        <f t="shared" ref="W550:W613" si="259">C550*V550</f>
        <v>0</v>
      </c>
    </row>
    <row r="551" spans="1:23" ht="21" x14ac:dyDescent="0.25">
      <c r="A551" s="200" t="s">
        <v>15161</v>
      </c>
      <c r="B551" s="255" t="s">
        <v>15162</v>
      </c>
      <c r="C551" s="248"/>
      <c r="D551" s="247" t="s">
        <v>11</v>
      </c>
      <c r="E551" s="249">
        <f t="shared" si="245"/>
        <v>86.063133633750013</v>
      </c>
      <c r="F551" s="258">
        <v>0.75</v>
      </c>
      <c r="G551" s="258">
        <f t="shared" si="246"/>
        <v>0.75</v>
      </c>
      <c r="H551" s="249">
        <f t="shared" si="247"/>
        <v>0</v>
      </c>
      <c r="I551" s="258"/>
      <c r="J551" s="258">
        <f t="shared" si="248"/>
        <v>0</v>
      </c>
      <c r="K551" s="249">
        <f t="shared" si="249"/>
        <v>22.950168969000003</v>
      </c>
      <c r="L551" s="258">
        <v>0.2</v>
      </c>
      <c r="M551" s="258">
        <f t="shared" si="250"/>
        <v>0.2</v>
      </c>
      <c r="N551" s="251">
        <f t="shared" si="251"/>
        <v>5.7375422422500009</v>
      </c>
      <c r="O551" s="258">
        <v>0.05</v>
      </c>
      <c r="P551" s="258">
        <f t="shared" si="252"/>
        <v>0.05</v>
      </c>
      <c r="Q551" s="249">
        <v>112.15995000000001</v>
      </c>
      <c r="R551" s="249">
        <f t="shared" si="253"/>
        <v>114.75084484500002</v>
      </c>
      <c r="S551" s="258">
        <v>0.1</v>
      </c>
      <c r="T551" s="169">
        <f>Q551+Q551*S551+0.62</f>
        <v>123.99594500000002</v>
      </c>
      <c r="U551" s="315">
        <f t="shared" si="257"/>
        <v>126.22592932950002</v>
      </c>
      <c r="V551" s="315">
        <f t="shared" si="258"/>
        <v>130</v>
      </c>
      <c r="W551" s="316">
        <f t="shared" si="259"/>
        <v>0</v>
      </c>
    </row>
    <row r="552" spans="1:23" x14ac:dyDescent="0.25">
      <c r="A552" s="200" t="s">
        <v>15163</v>
      </c>
      <c r="B552" s="313" t="s">
        <v>15164</v>
      </c>
      <c r="C552" s="248"/>
      <c r="D552" s="247" t="s">
        <v>11</v>
      </c>
      <c r="E552" s="249">
        <f t="shared" si="245"/>
        <v>39.551383462500013</v>
      </c>
      <c r="F552" s="258">
        <v>0.75</v>
      </c>
      <c r="G552" s="258">
        <f t="shared" si="246"/>
        <v>0.75</v>
      </c>
      <c r="H552" s="249">
        <f t="shared" si="247"/>
        <v>0</v>
      </c>
      <c r="I552" s="258"/>
      <c r="J552" s="258">
        <f t="shared" si="248"/>
        <v>0</v>
      </c>
      <c r="K552" s="249">
        <f t="shared" si="249"/>
        <v>10.547035590000004</v>
      </c>
      <c r="L552" s="258">
        <v>0.2</v>
      </c>
      <c r="M552" s="258">
        <f t="shared" si="250"/>
        <v>0.2</v>
      </c>
      <c r="N552" s="251">
        <f t="shared" si="251"/>
        <v>2.6367588975000009</v>
      </c>
      <c r="O552" s="258">
        <v>0.05</v>
      </c>
      <c r="P552" s="258">
        <f t="shared" si="252"/>
        <v>0.05</v>
      </c>
      <c r="Q552" s="249">
        <v>51.544500000000006</v>
      </c>
      <c r="R552" s="249">
        <f t="shared" si="253"/>
        <v>52.735177950000015</v>
      </c>
      <c r="S552" s="258">
        <v>0.1</v>
      </c>
      <c r="T552" s="169">
        <f>Q552+Q552*S552+0.3</f>
        <v>56.998950000000008</v>
      </c>
      <c r="U552" s="315">
        <f t="shared" si="257"/>
        <v>58.008695745000018</v>
      </c>
      <c r="V552" s="315">
        <f t="shared" si="258"/>
        <v>59</v>
      </c>
      <c r="W552" s="316">
        <f t="shared" si="259"/>
        <v>0</v>
      </c>
    </row>
    <row r="553" spans="1:23" x14ac:dyDescent="0.25">
      <c r="A553" s="200" t="s">
        <v>15165</v>
      </c>
      <c r="B553" s="313" t="s">
        <v>15166</v>
      </c>
      <c r="C553" s="248"/>
      <c r="D553" s="247" t="s">
        <v>11</v>
      </c>
      <c r="E553" s="249">
        <f t="shared" si="245"/>
        <v>42.665380143749999</v>
      </c>
      <c r="F553" s="258">
        <v>0.75</v>
      </c>
      <c r="G553" s="258">
        <f t="shared" si="246"/>
        <v>0.75</v>
      </c>
      <c r="H553" s="249">
        <f t="shared" si="247"/>
        <v>0</v>
      </c>
      <c r="I553" s="258"/>
      <c r="J553" s="258">
        <f t="shared" si="248"/>
        <v>0</v>
      </c>
      <c r="K553" s="249">
        <f t="shared" si="249"/>
        <v>11.377434705000001</v>
      </c>
      <c r="L553" s="258">
        <v>0.2</v>
      </c>
      <c r="M553" s="258">
        <f t="shared" si="250"/>
        <v>0.2</v>
      </c>
      <c r="N553" s="251">
        <f t="shared" si="251"/>
        <v>2.8443586762500002</v>
      </c>
      <c r="O553" s="258">
        <v>0.05</v>
      </c>
      <c r="P553" s="258">
        <f t="shared" si="252"/>
        <v>0.05</v>
      </c>
      <c r="Q553" s="249">
        <v>55.60275</v>
      </c>
      <c r="R553" s="249">
        <f t="shared" si="253"/>
        <v>56.887173525000001</v>
      </c>
      <c r="S553" s="258">
        <v>0.1</v>
      </c>
      <c r="T553" s="169">
        <f>Q553+Q553*S553-0.16</f>
        <v>61.003025000000008</v>
      </c>
      <c r="U553" s="315">
        <f t="shared" si="257"/>
        <v>62.575890877500001</v>
      </c>
      <c r="V553" s="315">
        <f t="shared" si="258"/>
        <v>63</v>
      </c>
      <c r="W553" s="316">
        <f t="shared" si="259"/>
        <v>0</v>
      </c>
    </row>
    <row r="554" spans="1:23" x14ac:dyDescent="0.25">
      <c r="A554" s="200" t="s">
        <v>15167</v>
      </c>
      <c r="B554" s="313" t="s">
        <v>15168</v>
      </c>
      <c r="C554" s="248"/>
      <c r="D554" s="247" t="s">
        <v>11</v>
      </c>
      <c r="E554" s="249">
        <f t="shared" si="245"/>
        <v>40.2845625</v>
      </c>
      <c r="F554" s="258">
        <v>0.75</v>
      </c>
      <c r="G554" s="258">
        <f t="shared" si="246"/>
        <v>0.75</v>
      </c>
      <c r="H554" s="249">
        <f t="shared" si="247"/>
        <v>0</v>
      </c>
      <c r="I554" s="258"/>
      <c r="J554" s="258">
        <f t="shared" si="248"/>
        <v>0</v>
      </c>
      <c r="K554" s="249">
        <f t="shared" si="249"/>
        <v>10.742550000000001</v>
      </c>
      <c r="L554" s="258">
        <v>0.2</v>
      </c>
      <c r="M554" s="258">
        <f t="shared" si="250"/>
        <v>0.2</v>
      </c>
      <c r="N554" s="251">
        <f t="shared" si="251"/>
        <v>2.6856375000000003</v>
      </c>
      <c r="O554" s="258">
        <v>0.05</v>
      </c>
      <c r="P554" s="258">
        <f t="shared" si="252"/>
        <v>0.05</v>
      </c>
      <c r="Q554" s="249">
        <v>52.5</v>
      </c>
      <c r="R554" s="249">
        <f t="shared" si="253"/>
        <v>53.71275</v>
      </c>
      <c r="S554" s="258">
        <v>0.1</v>
      </c>
      <c r="T554" s="169">
        <f>Q554+Q554*S554+0.25</f>
        <v>58</v>
      </c>
      <c r="U554" s="315">
        <f t="shared" si="257"/>
        <v>59.084024999999997</v>
      </c>
      <c r="V554" s="315">
        <f t="shared" si="258"/>
        <v>60</v>
      </c>
      <c r="W554" s="316">
        <f t="shared" si="259"/>
        <v>0</v>
      </c>
    </row>
    <row r="555" spans="1:23" x14ac:dyDescent="0.25">
      <c r="A555" s="200" t="s">
        <v>15169</v>
      </c>
      <c r="B555" s="313" t="s">
        <v>15170</v>
      </c>
      <c r="C555" s="248"/>
      <c r="D555" s="247" t="s">
        <v>11</v>
      </c>
      <c r="E555" s="249">
        <f t="shared" si="245"/>
        <v>46.144354961250002</v>
      </c>
      <c r="F555" s="258">
        <v>0.75</v>
      </c>
      <c r="G555" s="258">
        <f t="shared" si="246"/>
        <v>0.75</v>
      </c>
      <c r="H555" s="249">
        <f t="shared" si="247"/>
        <v>0</v>
      </c>
      <c r="I555" s="258"/>
      <c r="J555" s="258">
        <f t="shared" si="248"/>
        <v>0</v>
      </c>
      <c r="K555" s="249">
        <f t="shared" si="249"/>
        <v>12.305161323000002</v>
      </c>
      <c r="L555" s="258">
        <v>0.2</v>
      </c>
      <c r="M555" s="258">
        <f t="shared" si="250"/>
        <v>0.2</v>
      </c>
      <c r="N555" s="251">
        <f t="shared" si="251"/>
        <v>3.0762903307500005</v>
      </c>
      <c r="O555" s="258">
        <v>0.05</v>
      </c>
      <c r="P555" s="258">
        <f t="shared" si="252"/>
        <v>0.05</v>
      </c>
      <c r="Q555" s="249">
        <v>60.136650000000003</v>
      </c>
      <c r="R555" s="249">
        <f t="shared" si="253"/>
        <v>61.525806615000008</v>
      </c>
      <c r="S555" s="258">
        <v>0.1</v>
      </c>
      <c r="T555" s="169">
        <f>Q555+Q555*S555-0.15</f>
        <v>66.000315000000001</v>
      </c>
      <c r="U555" s="315">
        <f t="shared" si="257"/>
        <v>67.678387276500004</v>
      </c>
      <c r="V555" s="315">
        <f t="shared" si="258"/>
        <v>68</v>
      </c>
      <c r="W555" s="316">
        <f t="shared" si="259"/>
        <v>0</v>
      </c>
    </row>
    <row r="556" spans="1:23" ht="21" x14ac:dyDescent="0.25">
      <c r="A556" s="200" t="s">
        <v>15171</v>
      </c>
      <c r="B556" s="255" t="s">
        <v>15172</v>
      </c>
      <c r="C556" s="248"/>
      <c r="D556" s="247" t="s">
        <v>15173</v>
      </c>
      <c r="E556" s="249">
        <f t="shared" si="245"/>
        <v>74.710138229999998</v>
      </c>
      <c r="F556" s="258">
        <v>0.75</v>
      </c>
      <c r="G556" s="258">
        <f t="shared" si="246"/>
        <v>0.75</v>
      </c>
      <c r="H556" s="249">
        <f t="shared" si="247"/>
        <v>0</v>
      </c>
      <c r="I556" s="258"/>
      <c r="J556" s="258">
        <f t="shared" si="248"/>
        <v>0</v>
      </c>
      <c r="K556" s="249">
        <f t="shared" si="249"/>
        <v>19.922703528</v>
      </c>
      <c r="L556" s="258">
        <v>0.2</v>
      </c>
      <c r="M556" s="258">
        <f t="shared" si="250"/>
        <v>0.2</v>
      </c>
      <c r="N556" s="251">
        <f t="shared" si="251"/>
        <v>4.9806758819999999</v>
      </c>
      <c r="O556" s="258">
        <v>0.05</v>
      </c>
      <c r="P556" s="258">
        <f t="shared" si="252"/>
        <v>0.05</v>
      </c>
      <c r="Q556" s="249">
        <v>97.364400000000003</v>
      </c>
      <c r="R556" s="249">
        <f t="shared" si="253"/>
        <v>99.613517639999998</v>
      </c>
      <c r="S556" s="258">
        <v>0.1</v>
      </c>
      <c r="T556" s="169">
        <f>Q556+Q556*S556-0.1</f>
        <v>107.00084000000001</v>
      </c>
      <c r="U556" s="315">
        <f t="shared" si="257"/>
        <v>109.574869404</v>
      </c>
      <c r="V556" s="315">
        <f t="shared" si="258"/>
        <v>110</v>
      </c>
      <c r="W556" s="316">
        <f t="shared" si="259"/>
        <v>0</v>
      </c>
    </row>
    <row r="557" spans="1:23" x14ac:dyDescent="0.25">
      <c r="A557" s="200" t="s">
        <v>15174</v>
      </c>
      <c r="B557" s="313" t="s">
        <v>15175</v>
      </c>
      <c r="C557" s="248"/>
      <c r="D557" s="247" t="s">
        <v>15173</v>
      </c>
      <c r="E557" s="249">
        <f t="shared" si="245"/>
        <v>81.30149834625</v>
      </c>
      <c r="F557" s="258">
        <v>0.75</v>
      </c>
      <c r="G557" s="258">
        <f t="shared" si="246"/>
        <v>0.75</v>
      </c>
      <c r="H557" s="249">
        <f t="shared" si="247"/>
        <v>0</v>
      </c>
      <c r="I557" s="258"/>
      <c r="J557" s="258">
        <f t="shared" si="248"/>
        <v>0</v>
      </c>
      <c r="K557" s="249">
        <f t="shared" si="249"/>
        <v>21.680399559000001</v>
      </c>
      <c r="L557" s="258">
        <v>0.2</v>
      </c>
      <c r="M557" s="258">
        <f t="shared" si="250"/>
        <v>0.2</v>
      </c>
      <c r="N557" s="251">
        <f t="shared" si="251"/>
        <v>5.4200998897500003</v>
      </c>
      <c r="O557" s="258">
        <v>0.05</v>
      </c>
      <c r="P557" s="258">
        <f t="shared" si="252"/>
        <v>0.05</v>
      </c>
      <c r="Q557" s="249">
        <v>105.95445000000001</v>
      </c>
      <c r="R557" s="249">
        <f t="shared" si="253"/>
        <v>108.401997795</v>
      </c>
      <c r="S557" s="258">
        <v>0.1</v>
      </c>
      <c r="T557" s="169">
        <f>Q557+Q557*S557+0.45</f>
        <v>116.99989500000001</v>
      </c>
      <c r="U557" s="315">
        <f t="shared" si="257"/>
        <v>119.2421975745</v>
      </c>
      <c r="V557" s="315">
        <f t="shared" si="258"/>
        <v>120</v>
      </c>
      <c r="W557" s="316">
        <f t="shared" si="259"/>
        <v>0</v>
      </c>
    </row>
    <row r="558" spans="1:23" x14ac:dyDescent="0.25">
      <c r="A558" s="200" t="s">
        <v>15176</v>
      </c>
      <c r="B558" s="313" t="s">
        <v>15177</v>
      </c>
      <c r="C558" s="248"/>
      <c r="D558" s="247" t="s">
        <v>15173</v>
      </c>
      <c r="E558" s="249">
        <f t="shared" si="245"/>
        <v>67.019009557500013</v>
      </c>
      <c r="F558" s="258">
        <v>0.75</v>
      </c>
      <c r="G558" s="258">
        <f t="shared" si="246"/>
        <v>0.75</v>
      </c>
      <c r="H558" s="249">
        <f t="shared" si="247"/>
        <v>0</v>
      </c>
      <c r="I558" s="258"/>
      <c r="J558" s="258">
        <f t="shared" si="248"/>
        <v>0</v>
      </c>
      <c r="K558" s="249">
        <f t="shared" si="249"/>
        <v>17.871735882000007</v>
      </c>
      <c r="L558" s="258">
        <v>0.2</v>
      </c>
      <c r="M558" s="258">
        <f t="shared" si="250"/>
        <v>0.2</v>
      </c>
      <c r="N558" s="251">
        <f t="shared" si="251"/>
        <v>4.4679339705000016</v>
      </c>
      <c r="O558" s="258">
        <v>0.05</v>
      </c>
      <c r="P558" s="258">
        <f t="shared" si="252"/>
        <v>0.05</v>
      </c>
      <c r="Q558" s="249">
        <v>87.341100000000012</v>
      </c>
      <c r="R558" s="249">
        <f t="shared" si="253"/>
        <v>89.358679410000022</v>
      </c>
      <c r="S558" s="258">
        <v>0.1</v>
      </c>
      <c r="T558" s="169">
        <f>Q558+Q558*S558-0.08</f>
        <v>95.995210000000014</v>
      </c>
      <c r="U558" s="315">
        <f t="shared" si="257"/>
        <v>98.29454735100002</v>
      </c>
      <c r="V558" s="315">
        <f t="shared" si="258"/>
        <v>99</v>
      </c>
      <c r="W558" s="316">
        <f t="shared" si="259"/>
        <v>0</v>
      </c>
    </row>
    <row r="559" spans="1:23" ht="21" x14ac:dyDescent="0.25">
      <c r="A559" s="200" t="s">
        <v>15178</v>
      </c>
      <c r="B559" s="255" t="s">
        <v>20309</v>
      </c>
      <c r="C559" s="248"/>
      <c r="D559" s="247" t="s">
        <v>1</v>
      </c>
      <c r="E559" s="249">
        <f t="shared" si="245"/>
        <v>4.9806221692500001</v>
      </c>
      <c r="F559" s="258">
        <v>0.75</v>
      </c>
      <c r="G559" s="258">
        <f t="shared" si="246"/>
        <v>0.75</v>
      </c>
      <c r="H559" s="249">
        <f t="shared" si="247"/>
        <v>0</v>
      </c>
      <c r="I559" s="258"/>
      <c r="J559" s="258">
        <f t="shared" si="248"/>
        <v>0</v>
      </c>
      <c r="K559" s="249">
        <f t="shared" si="249"/>
        <v>1.3281659118000002</v>
      </c>
      <c r="L559" s="258">
        <v>0.2</v>
      </c>
      <c r="M559" s="258">
        <f t="shared" si="250"/>
        <v>0.2</v>
      </c>
      <c r="N559" s="251">
        <f t="shared" si="251"/>
        <v>0.33204147795000005</v>
      </c>
      <c r="O559" s="258">
        <v>0.05</v>
      </c>
      <c r="P559" s="258">
        <f t="shared" si="252"/>
        <v>0.05</v>
      </c>
      <c r="Q559" s="249">
        <v>6.4908900000000003</v>
      </c>
      <c r="R559" s="249">
        <f t="shared" si="253"/>
        <v>6.6408295590000002</v>
      </c>
      <c r="S559" s="258">
        <v>0.1</v>
      </c>
      <c r="T559" s="169">
        <f>Q559+Q559*S559-0.14</f>
        <v>6.9999790000000006</v>
      </c>
      <c r="U559" s="315">
        <f t="shared" si="257"/>
        <v>7.3049125148999998</v>
      </c>
      <c r="V559" s="315">
        <f t="shared" si="258"/>
        <v>8</v>
      </c>
      <c r="W559" s="316">
        <f t="shared" si="259"/>
        <v>0</v>
      </c>
    </row>
    <row r="560" spans="1:23" ht="21" x14ac:dyDescent="0.25">
      <c r="A560" s="200" t="s">
        <v>15179</v>
      </c>
      <c r="B560" s="255" t="s">
        <v>20310</v>
      </c>
      <c r="C560" s="248"/>
      <c r="D560" s="247" t="s">
        <v>11</v>
      </c>
      <c r="E560" s="249">
        <f t="shared" si="245"/>
        <v>92.142503796750006</v>
      </c>
      <c r="F560" s="258">
        <v>0.15</v>
      </c>
      <c r="G560" s="258">
        <f t="shared" si="246"/>
        <v>0.15</v>
      </c>
      <c r="H560" s="249">
        <f t="shared" si="247"/>
        <v>476.06960294987505</v>
      </c>
      <c r="I560" s="258">
        <v>0.77500000000000002</v>
      </c>
      <c r="J560" s="258">
        <f t="shared" si="248"/>
        <v>0.77500000000000002</v>
      </c>
      <c r="K560" s="249">
        <f t="shared" si="249"/>
        <v>30.714167932250003</v>
      </c>
      <c r="L560" s="258">
        <v>0.05</v>
      </c>
      <c r="M560" s="258">
        <f t="shared" si="250"/>
        <v>0.05</v>
      </c>
      <c r="N560" s="251">
        <f t="shared" si="251"/>
        <v>15.357083966125002</v>
      </c>
      <c r="O560" s="258">
        <v>2.5000000000000001E-2</v>
      </c>
      <c r="P560" s="258">
        <f t="shared" si="252"/>
        <v>2.5000000000000001E-2</v>
      </c>
      <c r="Q560" s="249">
        <v>603.06632499999989</v>
      </c>
      <c r="R560" s="249">
        <f t="shared" si="253"/>
        <v>614.28335864500002</v>
      </c>
      <c r="S560" s="258">
        <v>0.1</v>
      </c>
      <c r="T560" s="169">
        <f>Q560+Q560*S560+0.63</f>
        <v>664.00295749999987</v>
      </c>
      <c r="U560" s="315">
        <f t="shared" si="257"/>
        <v>675.71169450950003</v>
      </c>
      <c r="V560" s="315">
        <f t="shared" si="258"/>
        <v>680</v>
      </c>
      <c r="W560" s="316">
        <f t="shared" si="259"/>
        <v>0</v>
      </c>
    </row>
    <row r="561" spans="1:23" ht="21" x14ac:dyDescent="0.25">
      <c r="A561" s="200" t="s">
        <v>15180</v>
      </c>
      <c r="B561" s="255" t="s">
        <v>15181</v>
      </c>
      <c r="C561" s="248"/>
      <c r="D561" s="247" t="s">
        <v>11</v>
      </c>
      <c r="E561" s="249">
        <f t="shared" si="245"/>
        <v>149.08831083300001</v>
      </c>
      <c r="F561" s="258">
        <v>0.15</v>
      </c>
      <c r="G561" s="258">
        <f t="shared" si="246"/>
        <v>0.15</v>
      </c>
      <c r="H561" s="249">
        <f t="shared" si="247"/>
        <v>770.28960597050013</v>
      </c>
      <c r="I561" s="258">
        <v>0.77500000000000002</v>
      </c>
      <c r="J561" s="258">
        <f t="shared" si="248"/>
        <v>0.77500000000000002</v>
      </c>
      <c r="K561" s="249">
        <f t="shared" si="249"/>
        <v>49.696103611000012</v>
      </c>
      <c r="L561" s="258">
        <v>0.05</v>
      </c>
      <c r="M561" s="258">
        <f t="shared" si="250"/>
        <v>0.05</v>
      </c>
      <c r="N561" s="251">
        <f t="shared" si="251"/>
        <v>24.848051805500006</v>
      </c>
      <c r="O561" s="258">
        <v>2.5000000000000001E-2</v>
      </c>
      <c r="P561" s="258">
        <f t="shared" si="252"/>
        <v>2.5000000000000001E-2</v>
      </c>
      <c r="Q561" s="249">
        <v>975.77269999999999</v>
      </c>
      <c r="R561" s="249">
        <f t="shared" si="253"/>
        <v>993.92207222000013</v>
      </c>
      <c r="S561" s="258">
        <v>0.1</v>
      </c>
      <c r="T561" s="169">
        <f>Q561+Q561*S561+0.65</f>
        <v>1073.9999700000001</v>
      </c>
      <c r="U561" s="315">
        <f t="shared" si="257"/>
        <v>1093.314279442</v>
      </c>
      <c r="V561" s="315">
        <f t="shared" si="258"/>
        <v>1100</v>
      </c>
      <c r="W561" s="316">
        <f t="shared" si="259"/>
        <v>0</v>
      </c>
    </row>
    <row r="562" spans="1:23" ht="21" x14ac:dyDescent="0.25">
      <c r="A562" s="200" t="s">
        <v>15182</v>
      </c>
      <c r="B562" s="255" t="s">
        <v>15183</v>
      </c>
      <c r="C562" s="248"/>
      <c r="D562" s="247" t="s">
        <v>11</v>
      </c>
      <c r="E562" s="249">
        <f t="shared" si="245"/>
        <v>265.21495337925001</v>
      </c>
      <c r="F562" s="258">
        <v>0.45</v>
      </c>
      <c r="G562" s="258">
        <f t="shared" si="246"/>
        <v>0.45</v>
      </c>
      <c r="H562" s="249">
        <f t="shared" si="247"/>
        <v>206.27829707275001</v>
      </c>
      <c r="I562" s="258">
        <v>0.35</v>
      </c>
      <c r="J562" s="258">
        <f t="shared" si="248"/>
        <v>0.35</v>
      </c>
      <c r="K562" s="249">
        <f t="shared" si="249"/>
        <v>88.404984459749997</v>
      </c>
      <c r="L562" s="258">
        <v>0.15</v>
      </c>
      <c r="M562" s="258">
        <f t="shared" si="250"/>
        <v>0.15</v>
      </c>
      <c r="N562" s="251">
        <f t="shared" si="251"/>
        <v>29.468328153250003</v>
      </c>
      <c r="O562" s="258">
        <v>0.05</v>
      </c>
      <c r="P562" s="258">
        <f t="shared" si="252"/>
        <v>0.05</v>
      </c>
      <c r="Q562" s="249">
        <v>577.27269999999999</v>
      </c>
      <c r="R562" s="249">
        <f t="shared" si="253"/>
        <v>589.36656306500004</v>
      </c>
      <c r="S562" s="258">
        <v>0.1</v>
      </c>
      <c r="T562" s="169">
        <f>Q562+Q562*S562</f>
        <v>634.99996999999996</v>
      </c>
      <c r="U562" s="315">
        <f t="shared" si="257"/>
        <v>648.30321937150006</v>
      </c>
      <c r="V562" s="315">
        <f t="shared" si="258"/>
        <v>650</v>
      </c>
      <c r="W562" s="316">
        <f t="shared" si="259"/>
        <v>0</v>
      </c>
    </row>
    <row r="563" spans="1:23" ht="21" x14ac:dyDescent="0.25">
      <c r="A563" s="200" t="s">
        <v>15184</v>
      </c>
      <c r="B563" s="255" t="s">
        <v>20311</v>
      </c>
      <c r="C563" s="248"/>
      <c r="D563" s="247" t="s">
        <v>11</v>
      </c>
      <c r="E563" s="249">
        <f t="shared" si="245"/>
        <v>123.05632500000002</v>
      </c>
      <c r="F563" s="258">
        <v>0.2</v>
      </c>
      <c r="G563" s="258">
        <f t="shared" si="246"/>
        <v>0.2</v>
      </c>
      <c r="H563" s="249">
        <f t="shared" si="247"/>
        <v>399.93305625000005</v>
      </c>
      <c r="I563" s="258">
        <v>0.65</v>
      </c>
      <c r="J563" s="258">
        <f t="shared" si="248"/>
        <v>0.65</v>
      </c>
      <c r="K563" s="249">
        <f t="shared" si="249"/>
        <v>61.528162500000008</v>
      </c>
      <c r="L563" s="258">
        <v>0.1</v>
      </c>
      <c r="M563" s="258">
        <f t="shared" si="250"/>
        <v>0.1</v>
      </c>
      <c r="N563" s="251">
        <f t="shared" si="251"/>
        <v>30.764081250000004</v>
      </c>
      <c r="O563" s="258">
        <v>0.05</v>
      </c>
      <c r="P563" s="258">
        <f t="shared" si="252"/>
        <v>0.05</v>
      </c>
      <c r="Q563" s="249">
        <v>603.75</v>
      </c>
      <c r="R563" s="249">
        <f t="shared" si="253"/>
        <v>615.28162500000008</v>
      </c>
      <c r="S563" s="258">
        <v>0.1</v>
      </c>
      <c r="T563" s="169">
        <f>Q563+Q563*S563+0.87</f>
        <v>664.995</v>
      </c>
      <c r="U563" s="315">
        <f t="shared" si="257"/>
        <v>676.80978750000008</v>
      </c>
      <c r="V563" s="315">
        <f t="shared" si="258"/>
        <v>680</v>
      </c>
      <c r="W563" s="316">
        <f t="shared" si="259"/>
        <v>0</v>
      </c>
    </row>
    <row r="564" spans="1:23" ht="21.6" thickBot="1" x14ac:dyDescent="0.3">
      <c r="A564" s="263" t="s">
        <v>15185</v>
      </c>
      <c r="B564" s="327" t="s">
        <v>20312</v>
      </c>
      <c r="C564" s="265"/>
      <c r="D564" s="264" t="s">
        <v>11</v>
      </c>
      <c r="E564" s="266">
        <f t="shared" si="245"/>
        <v>120.91621500000002</v>
      </c>
      <c r="F564" s="322">
        <v>0.2</v>
      </c>
      <c r="G564" s="322">
        <f t="shared" si="246"/>
        <v>0.2</v>
      </c>
      <c r="H564" s="266">
        <f t="shared" si="247"/>
        <v>392.97769875000006</v>
      </c>
      <c r="I564" s="322">
        <v>0.65</v>
      </c>
      <c r="J564" s="322">
        <f t="shared" si="248"/>
        <v>0.65</v>
      </c>
      <c r="K564" s="266">
        <f t="shared" si="249"/>
        <v>60.458107500000011</v>
      </c>
      <c r="L564" s="322">
        <v>0.1</v>
      </c>
      <c r="M564" s="322">
        <f t="shared" si="250"/>
        <v>0.1</v>
      </c>
      <c r="N564" s="270">
        <f t="shared" si="251"/>
        <v>30.229053750000006</v>
      </c>
      <c r="O564" s="322">
        <v>0.05</v>
      </c>
      <c r="P564" s="322">
        <f t="shared" si="252"/>
        <v>0.05</v>
      </c>
      <c r="Q564" s="266">
        <v>593.25</v>
      </c>
      <c r="R564" s="266">
        <f t="shared" si="253"/>
        <v>604.58107500000006</v>
      </c>
      <c r="S564" s="322">
        <v>0.1</v>
      </c>
      <c r="T564" s="291">
        <f>Q564+Q564*S564+0.42</f>
        <v>652.995</v>
      </c>
      <c r="U564" s="324">
        <f t="shared" si="257"/>
        <v>665.03918250000004</v>
      </c>
      <c r="V564" s="324">
        <f t="shared" si="258"/>
        <v>670</v>
      </c>
      <c r="W564" s="325">
        <f t="shared" si="259"/>
        <v>0</v>
      </c>
    </row>
    <row r="565" spans="1:23" ht="21" x14ac:dyDescent="0.25">
      <c r="A565" s="200" t="s">
        <v>15186</v>
      </c>
      <c r="B565" s="255" t="s">
        <v>20313</v>
      </c>
      <c r="C565" s="248"/>
      <c r="D565" s="247" t="s">
        <v>11</v>
      </c>
      <c r="E565" s="249">
        <f t="shared" si="245"/>
        <v>130.54671000000005</v>
      </c>
      <c r="F565" s="258">
        <v>0.2</v>
      </c>
      <c r="G565" s="258">
        <f t="shared" si="246"/>
        <v>0.2</v>
      </c>
      <c r="H565" s="249">
        <f t="shared" si="247"/>
        <v>424.27680750000013</v>
      </c>
      <c r="I565" s="258">
        <v>0.65</v>
      </c>
      <c r="J565" s="258">
        <f t="shared" si="248"/>
        <v>0.65</v>
      </c>
      <c r="K565" s="249">
        <f t="shared" si="249"/>
        <v>65.273355000000024</v>
      </c>
      <c r="L565" s="258">
        <v>0.1</v>
      </c>
      <c r="M565" s="258">
        <f t="shared" si="250"/>
        <v>0.1</v>
      </c>
      <c r="N565" s="251">
        <f t="shared" si="251"/>
        <v>32.636677500000012</v>
      </c>
      <c r="O565" s="258">
        <v>0.05</v>
      </c>
      <c r="P565" s="258">
        <f t="shared" si="252"/>
        <v>0.05</v>
      </c>
      <c r="Q565" s="249">
        <v>640.5</v>
      </c>
      <c r="R565" s="249">
        <f t="shared" si="253"/>
        <v>652.73355000000015</v>
      </c>
      <c r="S565" s="258">
        <v>0.1</v>
      </c>
      <c r="T565" s="169">
        <f>Q565+Q565*S565+0.45</f>
        <v>705</v>
      </c>
      <c r="U565" s="315">
        <f t="shared" si="257"/>
        <v>718.00690500000019</v>
      </c>
      <c r="V565" s="315">
        <f t="shared" si="258"/>
        <v>720</v>
      </c>
      <c r="W565" s="316">
        <f t="shared" si="259"/>
        <v>0</v>
      </c>
    </row>
    <row r="566" spans="1:23" ht="21" x14ac:dyDescent="0.25">
      <c r="A566" s="200" t="s">
        <v>15187</v>
      </c>
      <c r="B566" s="255" t="s">
        <v>20314</v>
      </c>
      <c r="C566" s="248"/>
      <c r="D566" s="247" t="s">
        <v>11</v>
      </c>
      <c r="E566" s="249">
        <f t="shared" si="245"/>
        <v>138.03709499999999</v>
      </c>
      <c r="F566" s="258">
        <v>0.2</v>
      </c>
      <c r="G566" s="258">
        <f t="shared" si="246"/>
        <v>0.2</v>
      </c>
      <c r="H566" s="249">
        <f t="shared" si="247"/>
        <v>448.62055874999999</v>
      </c>
      <c r="I566" s="258">
        <v>0.65</v>
      </c>
      <c r="J566" s="258">
        <f t="shared" si="248"/>
        <v>0.65</v>
      </c>
      <c r="K566" s="249">
        <f t="shared" si="249"/>
        <v>69.018547499999997</v>
      </c>
      <c r="L566" s="258">
        <v>0.1</v>
      </c>
      <c r="M566" s="258">
        <f t="shared" si="250"/>
        <v>0.1</v>
      </c>
      <c r="N566" s="251">
        <f t="shared" si="251"/>
        <v>34.509273749999998</v>
      </c>
      <c r="O566" s="258">
        <v>0.05</v>
      </c>
      <c r="P566" s="258">
        <f t="shared" si="252"/>
        <v>0.05</v>
      </c>
      <c r="Q566" s="249">
        <v>677.25</v>
      </c>
      <c r="R566" s="249">
        <f t="shared" si="253"/>
        <v>690.185475</v>
      </c>
      <c r="S566" s="258">
        <v>0.1</v>
      </c>
      <c r="T566" s="169">
        <f>Q566+Q566*S566+0.02</f>
        <v>744.995</v>
      </c>
      <c r="U566" s="315">
        <f t="shared" si="257"/>
        <v>759.20402249999995</v>
      </c>
      <c r="V566" s="315">
        <f t="shared" si="258"/>
        <v>760</v>
      </c>
      <c r="W566" s="316">
        <f t="shared" si="259"/>
        <v>0</v>
      </c>
    </row>
    <row r="567" spans="1:23" ht="21" x14ac:dyDescent="0.25">
      <c r="A567" s="200" t="s">
        <v>15188</v>
      </c>
      <c r="B567" s="255" t="s">
        <v>20315</v>
      </c>
      <c r="C567" s="248"/>
      <c r="D567" s="247" t="s">
        <v>11</v>
      </c>
      <c r="E567" s="249">
        <f t="shared" si="245"/>
        <v>147.66759000000002</v>
      </c>
      <c r="F567" s="258">
        <v>0.2</v>
      </c>
      <c r="G567" s="258">
        <f t="shared" si="246"/>
        <v>0.2</v>
      </c>
      <c r="H567" s="249">
        <f t="shared" si="247"/>
        <v>479.91966750000006</v>
      </c>
      <c r="I567" s="258">
        <v>0.65</v>
      </c>
      <c r="J567" s="258">
        <f t="shared" si="248"/>
        <v>0.65</v>
      </c>
      <c r="K567" s="249">
        <f t="shared" si="249"/>
        <v>73.833795000000009</v>
      </c>
      <c r="L567" s="258">
        <v>0.1</v>
      </c>
      <c r="M567" s="258">
        <f t="shared" si="250"/>
        <v>0.1</v>
      </c>
      <c r="N567" s="251">
        <f t="shared" si="251"/>
        <v>36.916897500000005</v>
      </c>
      <c r="O567" s="258">
        <v>0.05</v>
      </c>
      <c r="P567" s="258">
        <f t="shared" si="252"/>
        <v>0.05</v>
      </c>
      <c r="Q567" s="249">
        <v>724.5</v>
      </c>
      <c r="R567" s="249">
        <f t="shared" si="253"/>
        <v>738.33795000000009</v>
      </c>
      <c r="S567" s="258">
        <v>0.1</v>
      </c>
      <c r="T567" s="169">
        <f>Q567+Q567*S567+0.05</f>
        <v>797</v>
      </c>
      <c r="U567" s="315">
        <f t="shared" si="257"/>
        <v>812.1717450000001</v>
      </c>
      <c r="V567" s="315">
        <f t="shared" si="258"/>
        <v>815</v>
      </c>
      <c r="W567" s="316">
        <f t="shared" si="259"/>
        <v>0</v>
      </c>
    </row>
    <row r="568" spans="1:23" ht="21" x14ac:dyDescent="0.25">
      <c r="A568" s="200" t="s">
        <v>15189</v>
      </c>
      <c r="B568" s="255" t="s">
        <v>20316</v>
      </c>
      <c r="C568" s="248"/>
      <c r="D568" s="247" t="s">
        <v>11</v>
      </c>
      <c r="E568" s="249">
        <f t="shared" si="245"/>
        <v>140.17720500000001</v>
      </c>
      <c r="F568" s="258">
        <v>0.2</v>
      </c>
      <c r="G568" s="258">
        <f t="shared" si="246"/>
        <v>0.2</v>
      </c>
      <c r="H568" s="249">
        <f t="shared" si="247"/>
        <v>455.57591625000003</v>
      </c>
      <c r="I568" s="258">
        <v>0.65</v>
      </c>
      <c r="J568" s="258">
        <f t="shared" si="248"/>
        <v>0.65</v>
      </c>
      <c r="K568" s="249">
        <f t="shared" si="249"/>
        <v>70.088602500000007</v>
      </c>
      <c r="L568" s="258">
        <v>0.1</v>
      </c>
      <c r="M568" s="258">
        <f t="shared" si="250"/>
        <v>0.1</v>
      </c>
      <c r="N568" s="251">
        <f t="shared" si="251"/>
        <v>35.044301250000004</v>
      </c>
      <c r="O568" s="258">
        <v>0.05</v>
      </c>
      <c r="P568" s="258">
        <f t="shared" si="252"/>
        <v>0.05</v>
      </c>
      <c r="Q568" s="249">
        <v>687.75</v>
      </c>
      <c r="R568" s="249">
        <f t="shared" si="253"/>
        <v>700.88602500000002</v>
      </c>
      <c r="S568" s="258">
        <v>0.1</v>
      </c>
      <c r="T568" s="169">
        <f>Q568+Q568*S568+0.47</f>
        <v>756.995</v>
      </c>
      <c r="U568" s="315">
        <f t="shared" si="257"/>
        <v>770.9746275</v>
      </c>
      <c r="V568" s="315">
        <f t="shared" si="258"/>
        <v>775</v>
      </c>
      <c r="W568" s="316">
        <f t="shared" si="259"/>
        <v>0</v>
      </c>
    </row>
    <row r="569" spans="1:23" ht="21" x14ac:dyDescent="0.25">
      <c r="A569" s="200" t="s">
        <v>15190</v>
      </c>
      <c r="B569" s="255" t="s">
        <v>20317</v>
      </c>
      <c r="C569" s="248"/>
      <c r="D569" s="247" t="s">
        <v>11</v>
      </c>
      <c r="E569" s="249">
        <f t="shared" si="245"/>
        <v>157.29808500000004</v>
      </c>
      <c r="F569" s="258">
        <v>0.2</v>
      </c>
      <c r="G569" s="258">
        <f t="shared" si="246"/>
        <v>0.2</v>
      </c>
      <c r="H569" s="249">
        <f t="shared" si="247"/>
        <v>511.21877625000013</v>
      </c>
      <c r="I569" s="258">
        <v>0.65</v>
      </c>
      <c r="J569" s="258">
        <f t="shared" si="248"/>
        <v>0.65</v>
      </c>
      <c r="K569" s="249">
        <f t="shared" si="249"/>
        <v>78.649042500000022</v>
      </c>
      <c r="L569" s="258">
        <v>0.1</v>
      </c>
      <c r="M569" s="258">
        <f t="shared" si="250"/>
        <v>0.1</v>
      </c>
      <c r="N569" s="251">
        <f t="shared" si="251"/>
        <v>39.324521250000011</v>
      </c>
      <c r="O569" s="258">
        <v>0.05</v>
      </c>
      <c r="P569" s="258">
        <f t="shared" si="252"/>
        <v>0.05</v>
      </c>
      <c r="Q569" s="249">
        <v>771.75</v>
      </c>
      <c r="R569" s="249">
        <f t="shared" si="253"/>
        <v>786.49042500000019</v>
      </c>
      <c r="S569" s="258">
        <v>0.1</v>
      </c>
      <c r="T569" s="169">
        <f>Q569+Q569*S569+0.07</f>
        <v>848.995</v>
      </c>
      <c r="U569" s="315">
        <f t="shared" si="257"/>
        <v>865.13946750000025</v>
      </c>
      <c r="V569" s="315">
        <f t="shared" si="258"/>
        <v>870</v>
      </c>
      <c r="W569" s="316">
        <f t="shared" si="259"/>
        <v>0</v>
      </c>
    </row>
    <row r="570" spans="1:23" ht="21" x14ac:dyDescent="0.25">
      <c r="A570" s="200" t="s">
        <v>15191</v>
      </c>
      <c r="B570" s="255" t="s">
        <v>20318</v>
      </c>
      <c r="C570" s="248"/>
      <c r="D570" s="247" t="s">
        <v>15173</v>
      </c>
      <c r="E570" s="249">
        <f t="shared" si="245"/>
        <v>148.78872750000002</v>
      </c>
      <c r="F570" s="258">
        <v>0.2</v>
      </c>
      <c r="G570" s="258">
        <f t="shared" si="246"/>
        <v>0.2</v>
      </c>
      <c r="H570" s="249">
        <f t="shared" si="247"/>
        <v>446.36618249999998</v>
      </c>
      <c r="I570" s="258">
        <v>0.6</v>
      </c>
      <c r="J570" s="258">
        <f t="shared" si="248"/>
        <v>0.6</v>
      </c>
      <c r="K570" s="249">
        <f t="shared" si="249"/>
        <v>111.59154562499999</v>
      </c>
      <c r="L570" s="258">
        <v>0.15</v>
      </c>
      <c r="M570" s="258">
        <f t="shared" si="250"/>
        <v>0.15</v>
      </c>
      <c r="N570" s="251">
        <f t="shared" si="251"/>
        <v>37.197181875000005</v>
      </c>
      <c r="O570" s="258">
        <v>0.05</v>
      </c>
      <c r="P570" s="258">
        <f t="shared" si="252"/>
        <v>0.05</v>
      </c>
      <c r="Q570" s="249">
        <v>729.75</v>
      </c>
      <c r="R570" s="249">
        <f t="shared" si="253"/>
        <v>743.94363750000002</v>
      </c>
      <c r="S570" s="258">
        <v>0.1</v>
      </c>
      <c r="T570" s="169">
        <f>Q570+Q570*S570+0.27</f>
        <v>802.995</v>
      </c>
      <c r="U570" s="315">
        <f t="shared" si="257"/>
        <v>818.33800125000005</v>
      </c>
      <c r="V570" s="315">
        <f t="shared" si="258"/>
        <v>820</v>
      </c>
      <c r="W570" s="316">
        <f t="shared" si="259"/>
        <v>0</v>
      </c>
    </row>
    <row r="571" spans="1:23" ht="21" x14ac:dyDescent="0.25">
      <c r="A571" s="200" t="s">
        <v>15192</v>
      </c>
      <c r="B571" s="255" t="s">
        <v>20319</v>
      </c>
      <c r="C571" s="248"/>
      <c r="D571" s="247" t="s">
        <v>15173</v>
      </c>
      <c r="E571" s="249">
        <f t="shared" si="245"/>
        <v>144.5070375</v>
      </c>
      <c r="F571" s="258">
        <v>0.2</v>
      </c>
      <c r="G571" s="258">
        <f t="shared" si="246"/>
        <v>0.2</v>
      </c>
      <c r="H571" s="249">
        <f t="shared" si="247"/>
        <v>433.52111250000002</v>
      </c>
      <c r="I571" s="258">
        <v>0.6</v>
      </c>
      <c r="J571" s="258">
        <f t="shared" si="248"/>
        <v>0.6</v>
      </c>
      <c r="K571" s="249">
        <f t="shared" si="249"/>
        <v>108.380278125</v>
      </c>
      <c r="L571" s="258">
        <v>0.15</v>
      </c>
      <c r="M571" s="258">
        <f t="shared" si="250"/>
        <v>0.15</v>
      </c>
      <c r="N571" s="251">
        <f t="shared" si="251"/>
        <v>36.126759374999999</v>
      </c>
      <c r="O571" s="258">
        <v>0.05</v>
      </c>
      <c r="P571" s="258">
        <f t="shared" si="252"/>
        <v>0.05</v>
      </c>
      <c r="Q571" s="249">
        <v>708.75</v>
      </c>
      <c r="R571" s="249">
        <f t="shared" si="253"/>
        <v>722.53518750000001</v>
      </c>
      <c r="S571" s="258">
        <v>0.1</v>
      </c>
      <c r="T571" s="169">
        <f>Q571+Q571*S571+0.37</f>
        <v>779.995</v>
      </c>
      <c r="U571" s="315">
        <f t="shared" si="257"/>
        <v>794.78870625000002</v>
      </c>
      <c r="V571" s="315">
        <f t="shared" si="258"/>
        <v>795</v>
      </c>
      <c r="W571" s="316">
        <f t="shared" si="259"/>
        <v>0</v>
      </c>
    </row>
    <row r="572" spans="1:23" ht="21" x14ac:dyDescent="0.25">
      <c r="A572" s="200" t="s">
        <v>15193</v>
      </c>
      <c r="B572" s="255" t="s">
        <v>20320</v>
      </c>
      <c r="C572" s="248"/>
      <c r="D572" s="247" t="s">
        <v>15173</v>
      </c>
      <c r="E572" s="249">
        <f t="shared" si="245"/>
        <v>168.0563325</v>
      </c>
      <c r="F572" s="258">
        <v>0.2</v>
      </c>
      <c r="G572" s="258">
        <f t="shared" si="246"/>
        <v>0.2</v>
      </c>
      <c r="H572" s="249">
        <f t="shared" si="247"/>
        <v>504.16899749999993</v>
      </c>
      <c r="I572" s="258">
        <v>0.6</v>
      </c>
      <c r="J572" s="258">
        <f t="shared" si="248"/>
        <v>0.6</v>
      </c>
      <c r="K572" s="249">
        <f t="shared" si="249"/>
        <v>126.04224937499998</v>
      </c>
      <c r="L572" s="258">
        <v>0.15</v>
      </c>
      <c r="M572" s="258">
        <f t="shared" si="250"/>
        <v>0.15</v>
      </c>
      <c r="N572" s="251">
        <f t="shared" si="251"/>
        <v>42.014083124999999</v>
      </c>
      <c r="O572" s="258">
        <v>0.05</v>
      </c>
      <c r="P572" s="258">
        <f t="shared" si="252"/>
        <v>0.05</v>
      </c>
      <c r="Q572" s="249">
        <v>824.25</v>
      </c>
      <c r="R572" s="249">
        <f t="shared" si="253"/>
        <v>840.28166249999992</v>
      </c>
      <c r="S572" s="258">
        <v>0.2</v>
      </c>
      <c r="T572" s="169">
        <f>Q572+Q572*S572-0.1</f>
        <v>989</v>
      </c>
      <c r="U572" s="315">
        <f t="shared" si="257"/>
        <v>1008.3379949999999</v>
      </c>
      <c r="V572" s="315">
        <f t="shared" si="258"/>
        <v>1025</v>
      </c>
      <c r="W572" s="316">
        <f t="shared" si="259"/>
        <v>0</v>
      </c>
    </row>
    <row r="573" spans="1:23" ht="21" x14ac:dyDescent="0.25">
      <c r="A573" s="200" t="s">
        <v>15194</v>
      </c>
      <c r="B573" s="255" t="s">
        <v>20321</v>
      </c>
      <c r="C573" s="248"/>
      <c r="D573" s="247" t="s">
        <v>15173</v>
      </c>
      <c r="E573" s="249">
        <f t="shared" si="245"/>
        <v>161.63379750000001</v>
      </c>
      <c r="F573" s="258">
        <v>0.2</v>
      </c>
      <c r="G573" s="258">
        <f t="shared" si="246"/>
        <v>0.2</v>
      </c>
      <c r="H573" s="249">
        <f t="shared" si="247"/>
        <v>484.90139250000004</v>
      </c>
      <c r="I573" s="258">
        <v>0.6</v>
      </c>
      <c r="J573" s="258">
        <f t="shared" si="248"/>
        <v>0.6</v>
      </c>
      <c r="K573" s="249">
        <f t="shared" si="249"/>
        <v>121.22534812500001</v>
      </c>
      <c r="L573" s="258">
        <v>0.15</v>
      </c>
      <c r="M573" s="258">
        <f t="shared" si="250"/>
        <v>0.15</v>
      </c>
      <c r="N573" s="251">
        <f t="shared" si="251"/>
        <v>40.408449375000004</v>
      </c>
      <c r="O573" s="258">
        <v>0.05</v>
      </c>
      <c r="P573" s="258">
        <f t="shared" si="252"/>
        <v>0.05</v>
      </c>
      <c r="Q573" s="249">
        <v>792.75</v>
      </c>
      <c r="R573" s="249">
        <f t="shared" si="253"/>
        <v>808.16898750000007</v>
      </c>
      <c r="S573" s="258">
        <v>0.1</v>
      </c>
      <c r="T573" s="169">
        <f>Q573+Q573*S573-0.03</f>
        <v>871.995</v>
      </c>
      <c r="U573" s="315">
        <f t="shared" si="257"/>
        <v>888.98588625000002</v>
      </c>
      <c r="V573" s="315">
        <f t="shared" si="258"/>
        <v>890</v>
      </c>
      <c r="W573" s="316">
        <f t="shared" si="259"/>
        <v>0</v>
      </c>
    </row>
    <row r="574" spans="1:23" ht="21" x14ac:dyDescent="0.25">
      <c r="A574" s="200" t="s">
        <v>15195</v>
      </c>
      <c r="B574" s="255" t="s">
        <v>20322</v>
      </c>
      <c r="C574" s="248"/>
      <c r="D574" s="247" t="s">
        <v>11</v>
      </c>
      <c r="E574" s="249">
        <f t="shared" si="245"/>
        <v>1761.1151184000003</v>
      </c>
      <c r="F574" s="258">
        <v>0.22</v>
      </c>
      <c r="G574" s="258">
        <f t="shared" si="246"/>
        <v>0.22</v>
      </c>
      <c r="H574" s="249">
        <f t="shared" si="247"/>
        <v>5583.5354322000012</v>
      </c>
      <c r="I574" s="258">
        <v>0.69750000000000001</v>
      </c>
      <c r="J574" s="258">
        <f t="shared" si="248"/>
        <v>0.69750000000000001</v>
      </c>
      <c r="K574" s="249">
        <f t="shared" si="249"/>
        <v>440.27877960000006</v>
      </c>
      <c r="L574" s="258">
        <v>5.5E-2</v>
      </c>
      <c r="M574" s="258">
        <f t="shared" si="250"/>
        <v>5.5E-2</v>
      </c>
      <c r="N574" s="251">
        <f t="shared" si="251"/>
        <v>220.13938980000003</v>
      </c>
      <c r="O574" s="258">
        <v>2.75E-2</v>
      </c>
      <c r="P574" s="258">
        <f t="shared" si="252"/>
        <v>2.75E-2</v>
      </c>
      <c r="Q574" s="249">
        <v>7855.5</v>
      </c>
      <c r="R574" s="249">
        <f t="shared" si="253"/>
        <v>8005.0687200000011</v>
      </c>
      <c r="S574" s="258">
        <v>0.15</v>
      </c>
      <c r="T574" s="169">
        <f>Q574+Q574*S574+16.17</f>
        <v>9049.9950000000008</v>
      </c>
      <c r="U574" s="315">
        <f t="shared" si="257"/>
        <v>9205.8290280000019</v>
      </c>
      <c r="V574" s="315">
        <f t="shared" si="258"/>
        <v>9225</v>
      </c>
      <c r="W574" s="316">
        <f t="shared" si="259"/>
        <v>0</v>
      </c>
    </row>
    <row r="575" spans="1:23" ht="21" x14ac:dyDescent="0.25">
      <c r="A575" s="200" t="s">
        <v>15196</v>
      </c>
      <c r="B575" s="255" t="s">
        <v>20323</v>
      </c>
      <c r="C575" s="248"/>
      <c r="D575" s="247" t="s">
        <v>11</v>
      </c>
      <c r="E575" s="249">
        <f t="shared" si="245"/>
        <v>2051.3275200000003</v>
      </c>
      <c r="F575" s="258">
        <v>0.22</v>
      </c>
      <c r="G575" s="258">
        <f t="shared" si="246"/>
        <v>0.22</v>
      </c>
      <c r="H575" s="249">
        <f t="shared" si="247"/>
        <v>6503.64066</v>
      </c>
      <c r="I575" s="258">
        <v>0.69750000000000001</v>
      </c>
      <c r="J575" s="258">
        <f t="shared" si="248"/>
        <v>0.69750000000000001</v>
      </c>
      <c r="K575" s="249">
        <f t="shared" si="249"/>
        <v>512.83188000000007</v>
      </c>
      <c r="L575" s="258">
        <v>5.5E-2</v>
      </c>
      <c r="M575" s="258">
        <f t="shared" si="250"/>
        <v>5.5E-2</v>
      </c>
      <c r="N575" s="251">
        <f t="shared" si="251"/>
        <v>256.41594000000003</v>
      </c>
      <c r="O575" s="258">
        <v>2.75E-2</v>
      </c>
      <c r="P575" s="258">
        <f t="shared" si="252"/>
        <v>2.75E-2</v>
      </c>
      <c r="Q575" s="249">
        <v>9150</v>
      </c>
      <c r="R575" s="249">
        <f t="shared" si="253"/>
        <v>9324.2160000000003</v>
      </c>
      <c r="S575" s="258">
        <v>0.15</v>
      </c>
      <c r="T575" s="169">
        <f>Q575+Q575*S575+7.5</f>
        <v>10530</v>
      </c>
      <c r="U575" s="315">
        <f t="shared" si="257"/>
        <v>10722.848400000001</v>
      </c>
      <c r="V575" s="315">
        <f t="shared" si="258"/>
        <v>10750</v>
      </c>
      <c r="W575" s="316">
        <f t="shared" si="259"/>
        <v>0</v>
      </c>
    </row>
    <row r="576" spans="1:23" ht="21" x14ac:dyDescent="0.25">
      <c r="A576" s="200" t="s">
        <v>15197</v>
      </c>
      <c r="B576" s="255" t="s">
        <v>20324</v>
      </c>
      <c r="C576" s="248"/>
      <c r="D576" s="247" t="s">
        <v>1</v>
      </c>
      <c r="E576" s="249">
        <f t="shared" si="245"/>
        <v>9.8522741835000005</v>
      </c>
      <c r="F576" s="258">
        <v>0.25</v>
      </c>
      <c r="G576" s="258">
        <f t="shared" si="246"/>
        <v>0.25</v>
      </c>
      <c r="H576" s="249">
        <f t="shared" si="247"/>
        <v>23.645458040400001</v>
      </c>
      <c r="I576" s="258">
        <v>0.6</v>
      </c>
      <c r="J576" s="258">
        <f t="shared" si="248"/>
        <v>0.6</v>
      </c>
      <c r="K576" s="249">
        <f t="shared" si="249"/>
        <v>3.9409096734000002</v>
      </c>
      <c r="L576" s="258">
        <v>0.1</v>
      </c>
      <c r="M576" s="258">
        <f t="shared" si="250"/>
        <v>0.1</v>
      </c>
      <c r="N576" s="251">
        <f t="shared" si="251"/>
        <v>1.9704548367000001</v>
      </c>
      <c r="O576" s="258">
        <v>0.05</v>
      </c>
      <c r="P576" s="258">
        <f t="shared" si="252"/>
        <v>0.05</v>
      </c>
      <c r="Q576" s="249">
        <v>38.659109999999998</v>
      </c>
      <c r="R576" s="249">
        <f t="shared" si="253"/>
        <v>39.409096734000002</v>
      </c>
      <c r="S576" s="258">
        <v>0.1</v>
      </c>
      <c r="T576" s="169">
        <f>Q576+Q576*S576+0.47</f>
        <v>42.995020999999994</v>
      </c>
      <c r="U576" s="315">
        <f t="shared" si="257"/>
        <v>43.350006407400002</v>
      </c>
      <c r="V576" s="315">
        <f t="shared" si="258"/>
        <v>44</v>
      </c>
      <c r="W576" s="316">
        <f t="shared" si="259"/>
        <v>0</v>
      </c>
    </row>
    <row r="577" spans="1:23" ht="21" x14ac:dyDescent="0.25">
      <c r="A577" s="200" t="s">
        <v>15198</v>
      </c>
      <c r="B577" s="255" t="s">
        <v>20325</v>
      </c>
      <c r="C577" s="248"/>
      <c r="D577" s="247" t="s">
        <v>1</v>
      </c>
      <c r="E577" s="249">
        <f t="shared" si="245"/>
        <v>10.241487474749999</v>
      </c>
      <c r="F577" s="258">
        <v>0.25</v>
      </c>
      <c r="G577" s="258">
        <f t="shared" si="246"/>
        <v>0.25</v>
      </c>
      <c r="H577" s="249">
        <f t="shared" si="247"/>
        <v>24.579569939399995</v>
      </c>
      <c r="I577" s="258">
        <v>0.6</v>
      </c>
      <c r="J577" s="258">
        <f t="shared" si="248"/>
        <v>0.6</v>
      </c>
      <c r="K577" s="249">
        <f t="shared" si="249"/>
        <v>4.0965949898999998</v>
      </c>
      <c r="L577" s="258">
        <v>0.1</v>
      </c>
      <c r="M577" s="258">
        <f t="shared" si="250"/>
        <v>0.1</v>
      </c>
      <c r="N577" s="251">
        <f t="shared" si="251"/>
        <v>2.0482974949499999</v>
      </c>
      <c r="O577" s="258">
        <v>0.05</v>
      </c>
      <c r="P577" s="258">
        <f t="shared" si="252"/>
        <v>0.05</v>
      </c>
      <c r="Q577" s="249">
        <v>40.186335</v>
      </c>
      <c r="R577" s="249">
        <f t="shared" si="253"/>
        <v>40.965949898999995</v>
      </c>
      <c r="S577" s="258">
        <v>0.1</v>
      </c>
      <c r="T577" s="169">
        <f>Q577+Q577*S577+0.8</f>
        <v>45.004968499999997</v>
      </c>
      <c r="U577" s="315">
        <f t="shared" si="257"/>
        <v>45.062544888899993</v>
      </c>
      <c r="V577" s="315">
        <f t="shared" si="258"/>
        <v>46</v>
      </c>
      <c r="W577" s="316">
        <f t="shared" si="259"/>
        <v>0</v>
      </c>
    </row>
    <row r="578" spans="1:23" ht="21" x14ac:dyDescent="0.25">
      <c r="A578" s="200" t="s">
        <v>15199</v>
      </c>
      <c r="B578" s="255" t="s">
        <v>20326</v>
      </c>
      <c r="C578" s="248"/>
      <c r="D578" s="247" t="s">
        <v>1</v>
      </c>
      <c r="E578" s="249">
        <f t="shared" si="245"/>
        <v>10.971292500000002</v>
      </c>
      <c r="F578" s="258">
        <v>0.25</v>
      </c>
      <c r="G578" s="258">
        <f t="shared" si="246"/>
        <v>0.25</v>
      </c>
      <c r="H578" s="249">
        <f t="shared" si="247"/>
        <v>26.331102000000005</v>
      </c>
      <c r="I578" s="258">
        <v>0.6</v>
      </c>
      <c r="J578" s="258">
        <f t="shared" si="248"/>
        <v>0.6</v>
      </c>
      <c r="K578" s="249">
        <f t="shared" si="249"/>
        <v>4.3885170000000011</v>
      </c>
      <c r="L578" s="258">
        <v>0.1</v>
      </c>
      <c r="M578" s="258">
        <f t="shared" si="250"/>
        <v>0.1</v>
      </c>
      <c r="N578" s="251">
        <f t="shared" si="251"/>
        <v>2.1942585000000006</v>
      </c>
      <c r="O578" s="258">
        <v>0.05</v>
      </c>
      <c r="P578" s="258">
        <f t="shared" si="252"/>
        <v>0.05</v>
      </c>
      <c r="Q578" s="249">
        <v>43.050000000000004</v>
      </c>
      <c r="R578" s="249">
        <f t="shared" si="253"/>
        <v>43.885170000000009</v>
      </c>
      <c r="S578" s="258">
        <v>0.1</v>
      </c>
      <c r="T578" s="169">
        <f>Q578+Q578*S578+0.64</f>
        <v>47.995000000000005</v>
      </c>
      <c r="U578" s="315">
        <f t="shared" si="257"/>
        <v>48.27368700000001</v>
      </c>
      <c r="V578" s="315">
        <f t="shared" si="258"/>
        <v>49</v>
      </c>
      <c r="W578" s="316">
        <f t="shared" si="259"/>
        <v>0</v>
      </c>
    </row>
    <row r="579" spans="1:23" ht="21" x14ac:dyDescent="0.25">
      <c r="A579" s="200" t="s">
        <v>15200</v>
      </c>
      <c r="B579" s="255" t="s">
        <v>20327</v>
      </c>
      <c r="C579" s="248"/>
      <c r="D579" s="247" t="s">
        <v>1</v>
      </c>
      <c r="E579" s="249">
        <f t="shared" ref="E579:E642" si="260">R579*G579</f>
        <v>12.102486275250001</v>
      </c>
      <c r="F579" s="258">
        <v>0.25</v>
      </c>
      <c r="G579" s="258">
        <f t="shared" ref="G579:G642" si="261">F579</f>
        <v>0.25</v>
      </c>
      <c r="H579" s="249">
        <f t="shared" ref="H579:H642" si="262">R579*J579</f>
        <v>29.045967060600002</v>
      </c>
      <c r="I579" s="258">
        <v>0.6</v>
      </c>
      <c r="J579" s="258">
        <f t="shared" ref="J579:J642" si="263">I579</f>
        <v>0.6</v>
      </c>
      <c r="K579" s="249">
        <f t="shared" ref="K579:K642" si="264">R579*M579</f>
        <v>4.8409945101000007</v>
      </c>
      <c r="L579" s="258">
        <v>0.1</v>
      </c>
      <c r="M579" s="258">
        <f t="shared" ref="M579:M642" si="265">L579</f>
        <v>0.1</v>
      </c>
      <c r="N579" s="251">
        <f t="shared" ref="N579:N642" si="266">P579*R579</f>
        <v>2.4204972550500004</v>
      </c>
      <c r="O579" s="258">
        <v>0.05</v>
      </c>
      <c r="P579" s="258">
        <f t="shared" ref="P579:P642" si="267">O579</f>
        <v>0.05</v>
      </c>
      <c r="Q579" s="249">
        <v>47.488665000000005</v>
      </c>
      <c r="R579" s="249">
        <f t="shared" ref="R579:R642" si="268">SUM(F579*Q579*1.0235,I579*Q579*1.0175,L579*Q579*1.0245,O579*Q579*1.0115)</f>
        <v>48.409945101000005</v>
      </c>
      <c r="S579" s="258">
        <v>0.1</v>
      </c>
      <c r="T579" s="169">
        <f>Q579+Q579*S579+0.76</f>
        <v>52.997531500000001</v>
      </c>
      <c r="U579" s="315">
        <f t="shared" si="257"/>
        <v>53.250939611100009</v>
      </c>
      <c r="V579" s="315">
        <f t="shared" si="258"/>
        <v>54</v>
      </c>
      <c r="W579" s="316">
        <f t="shared" si="259"/>
        <v>0</v>
      </c>
    </row>
    <row r="580" spans="1:23" ht="21" x14ac:dyDescent="0.25">
      <c r="A580" s="200" t="s">
        <v>15201</v>
      </c>
      <c r="B580" s="255" t="s">
        <v>20328</v>
      </c>
      <c r="C580" s="248"/>
      <c r="D580" s="247" t="s">
        <v>1</v>
      </c>
      <c r="E580" s="249">
        <f t="shared" si="260"/>
        <v>17.320540025250004</v>
      </c>
      <c r="F580" s="258">
        <v>0.25</v>
      </c>
      <c r="G580" s="258">
        <f t="shared" si="261"/>
        <v>0.25</v>
      </c>
      <c r="H580" s="249">
        <f t="shared" si="262"/>
        <v>41.56929606060001</v>
      </c>
      <c r="I580" s="258">
        <v>0.6</v>
      </c>
      <c r="J580" s="258">
        <f t="shared" si="263"/>
        <v>0.6</v>
      </c>
      <c r="K580" s="249">
        <f t="shared" si="264"/>
        <v>6.9282160101000017</v>
      </c>
      <c r="L580" s="258">
        <v>0.1</v>
      </c>
      <c r="M580" s="258">
        <f t="shared" si="265"/>
        <v>0.1</v>
      </c>
      <c r="N580" s="251">
        <f t="shared" si="266"/>
        <v>3.4641080050500008</v>
      </c>
      <c r="O580" s="258">
        <v>0.05</v>
      </c>
      <c r="P580" s="258">
        <f t="shared" si="267"/>
        <v>0.05</v>
      </c>
      <c r="Q580" s="249">
        <v>67.963665000000006</v>
      </c>
      <c r="R580" s="249">
        <f t="shared" si="268"/>
        <v>69.282160101000017</v>
      </c>
      <c r="S580" s="258">
        <v>0.1</v>
      </c>
      <c r="T580" s="169">
        <f>Q580+Q580*S580+0.24</f>
        <v>75.000031500000006</v>
      </c>
      <c r="U580" s="315">
        <f t="shared" si="257"/>
        <v>76.210376111100018</v>
      </c>
      <c r="V580" s="315">
        <f t="shared" si="258"/>
        <v>77</v>
      </c>
      <c r="W580" s="316">
        <f t="shared" si="259"/>
        <v>0</v>
      </c>
    </row>
    <row r="581" spans="1:23" ht="21" x14ac:dyDescent="0.25">
      <c r="A581" s="200" t="s">
        <v>15202</v>
      </c>
      <c r="B581" s="255" t="s">
        <v>20329</v>
      </c>
      <c r="C581" s="248"/>
      <c r="D581" s="247" t="s">
        <v>1</v>
      </c>
      <c r="E581" s="249">
        <f t="shared" si="260"/>
        <v>7.8818032912500007</v>
      </c>
      <c r="F581" s="258">
        <v>0.25</v>
      </c>
      <c r="G581" s="258">
        <f t="shared" si="261"/>
        <v>0.25</v>
      </c>
      <c r="H581" s="249">
        <f t="shared" si="262"/>
        <v>18.916327899000002</v>
      </c>
      <c r="I581" s="258">
        <v>0.6</v>
      </c>
      <c r="J581" s="258">
        <f t="shared" si="263"/>
        <v>0.6</v>
      </c>
      <c r="K581" s="249">
        <f t="shared" si="264"/>
        <v>3.1527213165000005</v>
      </c>
      <c r="L581" s="258">
        <v>0.1</v>
      </c>
      <c r="M581" s="258">
        <f t="shared" si="265"/>
        <v>0.1</v>
      </c>
      <c r="N581" s="251">
        <f t="shared" si="266"/>
        <v>1.5763606582500003</v>
      </c>
      <c r="O581" s="258">
        <v>0.05</v>
      </c>
      <c r="P581" s="258">
        <f t="shared" si="267"/>
        <v>0.05</v>
      </c>
      <c r="Q581" s="249">
        <v>30.927225</v>
      </c>
      <c r="R581" s="249">
        <f t="shared" si="268"/>
        <v>31.527213165000003</v>
      </c>
      <c r="S581" s="258">
        <v>0.1</v>
      </c>
      <c r="T581" s="169">
        <f>Q581+Q581*S581-0.02</f>
        <v>33.999947499999998</v>
      </c>
      <c r="U581" s="315">
        <f t="shared" si="257"/>
        <v>34.679934481500005</v>
      </c>
      <c r="V581" s="315">
        <f t="shared" si="258"/>
        <v>35</v>
      </c>
      <c r="W581" s="316">
        <f t="shared" si="259"/>
        <v>0</v>
      </c>
    </row>
    <row r="582" spans="1:23" ht="21" x14ac:dyDescent="0.25">
      <c r="A582" s="200" t="s">
        <v>15203</v>
      </c>
      <c r="B582" s="255" t="s">
        <v>20330</v>
      </c>
      <c r="C582" s="248"/>
      <c r="D582" s="247" t="s">
        <v>1</v>
      </c>
      <c r="E582" s="249">
        <f t="shared" si="260"/>
        <v>8.1493957912500008</v>
      </c>
      <c r="F582" s="258">
        <v>0.25</v>
      </c>
      <c r="G582" s="258">
        <f t="shared" si="261"/>
        <v>0.25</v>
      </c>
      <c r="H582" s="249">
        <f t="shared" si="262"/>
        <v>19.558549899000003</v>
      </c>
      <c r="I582" s="258">
        <v>0.6</v>
      </c>
      <c r="J582" s="258">
        <f t="shared" si="263"/>
        <v>0.6</v>
      </c>
      <c r="K582" s="249">
        <f t="shared" si="264"/>
        <v>3.2597583165000006</v>
      </c>
      <c r="L582" s="258">
        <v>0.1</v>
      </c>
      <c r="M582" s="258">
        <f t="shared" si="265"/>
        <v>0.1</v>
      </c>
      <c r="N582" s="251">
        <f t="shared" si="266"/>
        <v>1.6298791582500003</v>
      </c>
      <c r="O582" s="258">
        <v>0.05</v>
      </c>
      <c r="P582" s="258">
        <f t="shared" si="267"/>
        <v>0.05</v>
      </c>
      <c r="Q582" s="249">
        <v>31.977225000000001</v>
      </c>
      <c r="R582" s="249">
        <f t="shared" si="268"/>
        <v>32.597583165000003</v>
      </c>
      <c r="S582" s="258">
        <v>0.1</v>
      </c>
      <c r="T582" s="169">
        <f>Q582+Q582*S582+0.33</f>
        <v>35.5049475</v>
      </c>
      <c r="U582" s="315">
        <f t="shared" si="257"/>
        <v>35.857341481500001</v>
      </c>
      <c r="V582" s="315">
        <f t="shared" si="258"/>
        <v>36</v>
      </c>
      <c r="W582" s="316">
        <f t="shared" si="259"/>
        <v>0</v>
      </c>
    </row>
    <row r="583" spans="1:23" ht="21" x14ac:dyDescent="0.25">
      <c r="A583" s="200" t="s">
        <v>15204</v>
      </c>
      <c r="B583" s="255" t="s">
        <v>20331</v>
      </c>
      <c r="C583" s="248"/>
      <c r="D583" s="247" t="s">
        <v>1</v>
      </c>
      <c r="E583" s="249">
        <f t="shared" si="260"/>
        <v>9.5360333670000017</v>
      </c>
      <c r="F583" s="258">
        <v>0.25</v>
      </c>
      <c r="G583" s="258">
        <f t="shared" si="261"/>
        <v>0.25</v>
      </c>
      <c r="H583" s="249">
        <f t="shared" si="262"/>
        <v>22.886480080800002</v>
      </c>
      <c r="I583" s="258">
        <v>0.6</v>
      </c>
      <c r="J583" s="258">
        <f t="shared" si="263"/>
        <v>0.6</v>
      </c>
      <c r="K583" s="249">
        <f t="shared" si="264"/>
        <v>3.8144133468000008</v>
      </c>
      <c r="L583" s="258">
        <v>0.1</v>
      </c>
      <c r="M583" s="258">
        <f t="shared" si="265"/>
        <v>0.1</v>
      </c>
      <c r="N583" s="251">
        <f t="shared" si="266"/>
        <v>1.9072066734000004</v>
      </c>
      <c r="O583" s="258">
        <v>0.05</v>
      </c>
      <c r="P583" s="258">
        <f t="shared" si="267"/>
        <v>0.05</v>
      </c>
      <c r="Q583" s="249">
        <v>37.418220000000005</v>
      </c>
      <c r="R583" s="249">
        <f t="shared" si="268"/>
        <v>38.144133468000007</v>
      </c>
      <c r="S583" s="258">
        <v>0.1</v>
      </c>
      <c r="T583" s="169">
        <f>Q583+Q583*S583+0.34</f>
        <v>41.500042000000008</v>
      </c>
      <c r="U583" s="315">
        <f t="shared" si="257"/>
        <v>41.958546814800009</v>
      </c>
      <c r="V583" s="315">
        <f t="shared" si="258"/>
        <v>42</v>
      </c>
      <c r="W583" s="316">
        <f t="shared" si="259"/>
        <v>0</v>
      </c>
    </row>
    <row r="584" spans="1:23" ht="21" x14ac:dyDescent="0.25">
      <c r="A584" s="200" t="s">
        <v>15205</v>
      </c>
      <c r="B584" s="255" t="s">
        <v>20332</v>
      </c>
      <c r="C584" s="248"/>
      <c r="D584" s="247" t="s">
        <v>1</v>
      </c>
      <c r="E584" s="249">
        <f t="shared" si="260"/>
        <v>13.379625000000001</v>
      </c>
      <c r="F584" s="258">
        <v>0.25</v>
      </c>
      <c r="G584" s="258">
        <f t="shared" si="261"/>
        <v>0.25</v>
      </c>
      <c r="H584" s="249">
        <f t="shared" si="262"/>
        <v>32.1111</v>
      </c>
      <c r="I584" s="258">
        <v>0.6</v>
      </c>
      <c r="J584" s="258">
        <f t="shared" si="263"/>
        <v>0.6</v>
      </c>
      <c r="K584" s="249">
        <f t="shared" si="264"/>
        <v>5.3518500000000007</v>
      </c>
      <c r="L584" s="258">
        <v>0.1</v>
      </c>
      <c r="M584" s="258">
        <f t="shared" si="265"/>
        <v>0.1</v>
      </c>
      <c r="N584" s="251">
        <f t="shared" si="266"/>
        <v>2.6759250000000003</v>
      </c>
      <c r="O584" s="258">
        <v>0.05</v>
      </c>
      <c r="P584" s="258">
        <f t="shared" si="267"/>
        <v>0.05</v>
      </c>
      <c r="Q584" s="249">
        <v>52.5</v>
      </c>
      <c r="R584" s="249">
        <f t="shared" si="268"/>
        <v>53.518500000000003</v>
      </c>
      <c r="S584" s="258">
        <v>0.1</v>
      </c>
      <c r="T584" s="169">
        <f>Q584+Q584*S584+0.25</f>
        <v>58</v>
      </c>
      <c r="U584" s="315">
        <f t="shared" si="257"/>
        <v>58.870350000000002</v>
      </c>
      <c r="V584" s="315">
        <f t="shared" si="258"/>
        <v>59</v>
      </c>
      <c r="W584" s="316">
        <f t="shared" si="259"/>
        <v>0</v>
      </c>
    </row>
    <row r="585" spans="1:23" ht="21" x14ac:dyDescent="0.25">
      <c r="A585" s="200" t="s">
        <v>15206</v>
      </c>
      <c r="B585" s="255" t="s">
        <v>15207</v>
      </c>
      <c r="C585" s="248"/>
      <c r="D585" s="247" t="s">
        <v>15208</v>
      </c>
      <c r="E585" s="249">
        <f t="shared" si="260"/>
        <v>568.02590502525004</v>
      </c>
      <c r="F585" s="258">
        <v>0.25</v>
      </c>
      <c r="G585" s="258">
        <f t="shared" si="261"/>
        <v>0.25</v>
      </c>
      <c r="H585" s="249">
        <f t="shared" si="262"/>
        <v>1363.2621720606001</v>
      </c>
      <c r="I585" s="258">
        <v>0.6</v>
      </c>
      <c r="J585" s="258">
        <f t="shared" si="263"/>
        <v>0.6</v>
      </c>
      <c r="K585" s="249">
        <f t="shared" si="264"/>
        <v>227.21036201010003</v>
      </c>
      <c r="L585" s="258">
        <v>0.1</v>
      </c>
      <c r="M585" s="258">
        <f t="shared" si="265"/>
        <v>0.1</v>
      </c>
      <c r="N585" s="251">
        <f t="shared" si="266"/>
        <v>113.60518100505001</v>
      </c>
      <c r="O585" s="258">
        <v>0.05</v>
      </c>
      <c r="P585" s="258">
        <f t="shared" si="267"/>
        <v>0.05</v>
      </c>
      <c r="Q585" s="249">
        <v>2228.8636650000003</v>
      </c>
      <c r="R585" s="249">
        <f t="shared" si="268"/>
        <v>2272.1036201010002</v>
      </c>
      <c r="S585" s="258">
        <v>0.1</v>
      </c>
      <c r="T585" s="169">
        <f>Q585+Q585*S585+0.25</f>
        <v>2452.0000315000002</v>
      </c>
      <c r="U585" s="315">
        <f t="shared" si="257"/>
        <v>2499.3139821111004</v>
      </c>
      <c r="V585" s="315">
        <f t="shared" si="258"/>
        <v>2500</v>
      </c>
      <c r="W585" s="316">
        <f t="shared" si="259"/>
        <v>0</v>
      </c>
    </row>
    <row r="586" spans="1:23" x14ac:dyDescent="0.25">
      <c r="A586" s="195" t="s">
        <v>15209</v>
      </c>
      <c r="B586" s="317" t="s">
        <v>15210</v>
      </c>
      <c r="C586" s="318"/>
      <c r="D586" s="319"/>
      <c r="E586" s="319"/>
      <c r="F586" s="319"/>
      <c r="G586" s="319"/>
      <c r="H586" s="319"/>
      <c r="I586" s="319"/>
      <c r="J586" s="319"/>
      <c r="K586" s="319"/>
      <c r="L586" s="319"/>
      <c r="M586" s="319"/>
      <c r="N586" s="319"/>
      <c r="O586" s="319"/>
      <c r="P586" s="319"/>
      <c r="Q586" s="319"/>
      <c r="R586" s="319"/>
      <c r="S586" s="319"/>
      <c r="T586" s="319"/>
      <c r="U586" s="320"/>
      <c r="V586" s="320"/>
      <c r="W586" s="306"/>
    </row>
    <row r="587" spans="1:23" x14ac:dyDescent="0.25">
      <c r="A587" s="200" t="s">
        <v>15211</v>
      </c>
      <c r="B587" s="313" t="s">
        <v>20333</v>
      </c>
      <c r="C587" s="248"/>
      <c r="D587" s="247" t="s">
        <v>1</v>
      </c>
      <c r="E587" s="249">
        <f t="shared" si="260"/>
        <v>0.69581099000000002</v>
      </c>
      <c r="F587" s="258">
        <v>0.5</v>
      </c>
      <c r="G587" s="258">
        <f t="shared" si="261"/>
        <v>0.5</v>
      </c>
      <c r="H587" s="249">
        <f t="shared" si="262"/>
        <v>0.55664879200000006</v>
      </c>
      <c r="I587" s="258">
        <v>0.4</v>
      </c>
      <c r="J587" s="258">
        <f t="shared" si="263"/>
        <v>0.4</v>
      </c>
      <c r="K587" s="249">
        <f t="shared" si="264"/>
        <v>6.9581099000000007E-2</v>
      </c>
      <c r="L587" s="258">
        <v>0.05</v>
      </c>
      <c r="M587" s="258">
        <f t="shared" si="265"/>
        <v>0.05</v>
      </c>
      <c r="N587" s="251">
        <f t="shared" si="266"/>
        <v>6.9581099000000007E-2</v>
      </c>
      <c r="O587" s="258">
        <v>0.05</v>
      </c>
      <c r="P587" s="258">
        <f t="shared" si="267"/>
        <v>0.05</v>
      </c>
      <c r="Q587" s="249">
        <v>1.3635999999999999</v>
      </c>
      <c r="R587" s="249">
        <f t="shared" si="268"/>
        <v>1.39162198</v>
      </c>
      <c r="S587" s="250">
        <v>0.1</v>
      </c>
      <c r="T587" s="169">
        <f t="shared" ref="T587:T618" si="269">Q587+Q587*S587</f>
        <v>1.49996</v>
      </c>
      <c r="U587" s="315">
        <f t="shared" si="257"/>
        <v>1.530784178</v>
      </c>
      <c r="V587" s="315">
        <f t="shared" si="258"/>
        <v>2</v>
      </c>
      <c r="W587" s="316">
        <f t="shared" si="259"/>
        <v>0</v>
      </c>
    </row>
    <row r="588" spans="1:23" x14ac:dyDescent="0.25">
      <c r="A588" s="200" t="s">
        <v>15211</v>
      </c>
      <c r="B588" s="313" t="s">
        <v>15212</v>
      </c>
      <c r="C588" s="248"/>
      <c r="D588" s="247" t="s">
        <v>15213</v>
      </c>
      <c r="E588" s="249">
        <f t="shared" si="260"/>
        <v>71.160144987500004</v>
      </c>
      <c r="F588" s="258">
        <v>0.5</v>
      </c>
      <c r="G588" s="258">
        <f t="shared" si="261"/>
        <v>0.5</v>
      </c>
      <c r="H588" s="249">
        <f t="shared" si="262"/>
        <v>56.928115990000009</v>
      </c>
      <c r="I588" s="258">
        <v>0.4</v>
      </c>
      <c r="J588" s="258">
        <f t="shared" si="263"/>
        <v>0.4</v>
      </c>
      <c r="K588" s="249">
        <f t="shared" si="264"/>
        <v>7.1160144987500011</v>
      </c>
      <c r="L588" s="258">
        <v>0.05</v>
      </c>
      <c r="M588" s="258">
        <f t="shared" si="265"/>
        <v>0.05</v>
      </c>
      <c r="N588" s="251">
        <f t="shared" si="266"/>
        <v>7.1160144987500011</v>
      </c>
      <c r="O588" s="258">
        <v>0.05</v>
      </c>
      <c r="P588" s="258">
        <f t="shared" si="267"/>
        <v>0.05</v>
      </c>
      <c r="Q588" s="249">
        <v>139.4545</v>
      </c>
      <c r="R588" s="249">
        <f t="shared" si="268"/>
        <v>142.32028997500001</v>
      </c>
      <c r="S588" s="250">
        <v>0.1</v>
      </c>
      <c r="T588" s="169">
        <f t="shared" si="269"/>
        <v>153.39994999999999</v>
      </c>
      <c r="U588" s="315">
        <f t="shared" si="257"/>
        <v>156.55231897250002</v>
      </c>
      <c r="V588" s="315">
        <f t="shared" si="258"/>
        <v>160</v>
      </c>
      <c r="W588" s="316">
        <f t="shared" si="259"/>
        <v>0</v>
      </c>
    </row>
    <row r="589" spans="1:23" ht="21" x14ac:dyDescent="0.25">
      <c r="A589" s="200" t="s">
        <v>15214</v>
      </c>
      <c r="B589" s="255" t="s">
        <v>20334</v>
      </c>
      <c r="C589" s="248"/>
      <c r="D589" s="247" t="s">
        <v>1</v>
      </c>
      <c r="E589" s="249">
        <f t="shared" si="260"/>
        <v>0.74219498750000001</v>
      </c>
      <c r="F589" s="258">
        <v>0.5</v>
      </c>
      <c r="G589" s="258">
        <f t="shared" si="261"/>
        <v>0.5</v>
      </c>
      <c r="H589" s="249">
        <f t="shared" si="262"/>
        <v>0.59375599000000001</v>
      </c>
      <c r="I589" s="258">
        <v>0.4</v>
      </c>
      <c r="J589" s="258">
        <f t="shared" si="263"/>
        <v>0.4</v>
      </c>
      <c r="K589" s="249">
        <f t="shared" si="264"/>
        <v>7.4219498750000001E-2</v>
      </c>
      <c r="L589" s="258">
        <v>0.05</v>
      </c>
      <c r="M589" s="258">
        <f t="shared" si="265"/>
        <v>0.05</v>
      </c>
      <c r="N589" s="251">
        <f t="shared" si="266"/>
        <v>7.4219498750000001E-2</v>
      </c>
      <c r="O589" s="258">
        <v>0.05</v>
      </c>
      <c r="P589" s="258">
        <f t="shared" si="267"/>
        <v>0.05</v>
      </c>
      <c r="Q589" s="249">
        <v>1.4544999999999999</v>
      </c>
      <c r="R589" s="249">
        <f t="shared" si="268"/>
        <v>1.484389975</v>
      </c>
      <c r="S589" s="250">
        <v>0.1</v>
      </c>
      <c r="T589" s="169">
        <f t="shared" si="269"/>
        <v>1.59995</v>
      </c>
      <c r="U589" s="315">
        <f t="shared" si="257"/>
        <v>1.6328289725</v>
      </c>
      <c r="V589" s="315">
        <f t="shared" si="258"/>
        <v>2</v>
      </c>
      <c r="W589" s="316">
        <f t="shared" si="259"/>
        <v>0</v>
      </c>
    </row>
    <row r="590" spans="1:23" x14ac:dyDescent="0.25">
      <c r="A590" s="200" t="s">
        <v>15215</v>
      </c>
      <c r="B590" s="313" t="s">
        <v>15216</v>
      </c>
      <c r="C590" s="248"/>
      <c r="D590" s="247" t="s">
        <v>1</v>
      </c>
      <c r="E590" s="249">
        <f t="shared" si="260"/>
        <v>0.71902850250000017</v>
      </c>
      <c r="F590" s="258">
        <v>0.5</v>
      </c>
      <c r="G590" s="258">
        <f t="shared" si="261"/>
        <v>0.5</v>
      </c>
      <c r="H590" s="249">
        <f t="shared" si="262"/>
        <v>0.5752228020000002</v>
      </c>
      <c r="I590" s="258">
        <v>0.4</v>
      </c>
      <c r="J590" s="258">
        <f t="shared" si="263"/>
        <v>0.4</v>
      </c>
      <c r="K590" s="249">
        <f t="shared" si="264"/>
        <v>7.1902850250000025E-2</v>
      </c>
      <c r="L590" s="258">
        <v>0.05</v>
      </c>
      <c r="M590" s="258">
        <f t="shared" si="265"/>
        <v>0.05</v>
      </c>
      <c r="N590" s="251">
        <f t="shared" si="266"/>
        <v>7.1902850250000025E-2</v>
      </c>
      <c r="O590" s="258">
        <v>0.05</v>
      </c>
      <c r="P590" s="258">
        <f t="shared" si="267"/>
        <v>0.05</v>
      </c>
      <c r="Q590" s="249">
        <v>1.4091</v>
      </c>
      <c r="R590" s="249">
        <f t="shared" si="268"/>
        <v>1.4380570050000003</v>
      </c>
      <c r="S590" s="250">
        <v>0.1</v>
      </c>
      <c r="T590" s="169">
        <f t="shared" si="269"/>
        <v>1.5500100000000001</v>
      </c>
      <c r="U590" s="315">
        <f t="shared" si="257"/>
        <v>1.5818627055000003</v>
      </c>
      <c r="V590" s="315">
        <f t="shared" si="258"/>
        <v>2</v>
      </c>
      <c r="W590" s="316">
        <f t="shared" si="259"/>
        <v>0</v>
      </c>
    </row>
    <row r="591" spans="1:23" x14ac:dyDescent="0.25">
      <c r="A591" s="200" t="s">
        <v>15217</v>
      </c>
      <c r="B591" s="313" t="s">
        <v>20335</v>
      </c>
      <c r="C591" s="248"/>
      <c r="D591" s="247" t="s">
        <v>1</v>
      </c>
      <c r="E591" s="249">
        <f t="shared" si="260"/>
        <v>0.78863001250000009</v>
      </c>
      <c r="F591" s="258">
        <v>0.5</v>
      </c>
      <c r="G591" s="258">
        <f t="shared" si="261"/>
        <v>0.5</v>
      </c>
      <c r="H591" s="249">
        <f t="shared" si="262"/>
        <v>0.63090401000000007</v>
      </c>
      <c r="I591" s="258">
        <v>0.4</v>
      </c>
      <c r="J591" s="258">
        <f t="shared" si="263"/>
        <v>0.4</v>
      </c>
      <c r="K591" s="249">
        <f t="shared" si="264"/>
        <v>7.8863001250000009E-2</v>
      </c>
      <c r="L591" s="258">
        <v>0.05</v>
      </c>
      <c r="M591" s="258">
        <f t="shared" si="265"/>
        <v>0.05</v>
      </c>
      <c r="N591" s="251">
        <f t="shared" si="266"/>
        <v>7.8863001250000009E-2</v>
      </c>
      <c r="O591" s="258">
        <v>0.05</v>
      </c>
      <c r="P591" s="258">
        <f t="shared" si="267"/>
        <v>0.05</v>
      </c>
      <c r="Q591" s="249">
        <v>1.5455000000000001</v>
      </c>
      <c r="R591" s="249">
        <f t="shared" si="268"/>
        <v>1.5772600250000002</v>
      </c>
      <c r="S591" s="250">
        <v>0.1</v>
      </c>
      <c r="T591" s="169">
        <f t="shared" si="269"/>
        <v>1.7000500000000001</v>
      </c>
      <c r="U591" s="315">
        <f t="shared" si="257"/>
        <v>1.7349860275000002</v>
      </c>
      <c r="V591" s="315">
        <f t="shared" si="258"/>
        <v>2</v>
      </c>
      <c r="W591" s="316">
        <f t="shared" si="259"/>
        <v>0</v>
      </c>
    </row>
    <row r="592" spans="1:23" x14ac:dyDescent="0.25">
      <c r="A592" s="200" t="s">
        <v>15218</v>
      </c>
      <c r="B592" s="313" t="s">
        <v>15219</v>
      </c>
      <c r="C592" s="248"/>
      <c r="D592" s="247" t="s">
        <v>1</v>
      </c>
      <c r="E592" s="249">
        <f t="shared" si="260"/>
        <v>1.5076074875000001</v>
      </c>
      <c r="F592" s="258">
        <v>0.5</v>
      </c>
      <c r="G592" s="258">
        <f t="shared" si="261"/>
        <v>0.5</v>
      </c>
      <c r="H592" s="249">
        <f t="shared" si="262"/>
        <v>1.2060859900000001</v>
      </c>
      <c r="I592" s="258">
        <v>0.4</v>
      </c>
      <c r="J592" s="258">
        <f t="shared" si="263"/>
        <v>0.4</v>
      </c>
      <c r="K592" s="249">
        <f t="shared" si="264"/>
        <v>0.15076074875000001</v>
      </c>
      <c r="L592" s="258">
        <v>0.05</v>
      </c>
      <c r="M592" s="258">
        <f t="shared" si="265"/>
        <v>0.05</v>
      </c>
      <c r="N592" s="251">
        <f t="shared" si="266"/>
        <v>0.15076074875000001</v>
      </c>
      <c r="O592" s="258">
        <v>0.05</v>
      </c>
      <c r="P592" s="258">
        <f t="shared" si="267"/>
        <v>0.05</v>
      </c>
      <c r="Q592" s="249">
        <v>2.9544999999999999</v>
      </c>
      <c r="R592" s="249">
        <f t="shared" si="268"/>
        <v>3.0152149750000001</v>
      </c>
      <c r="S592" s="250">
        <v>0.1</v>
      </c>
      <c r="T592" s="169">
        <f t="shared" si="269"/>
        <v>3.2499500000000001</v>
      </c>
      <c r="U592" s="315">
        <f t="shared" si="257"/>
        <v>3.3167364725000001</v>
      </c>
      <c r="V592" s="315">
        <f t="shared" si="258"/>
        <v>4</v>
      </c>
      <c r="W592" s="316">
        <f t="shared" si="259"/>
        <v>0</v>
      </c>
    </row>
    <row r="593" spans="1:23" ht="21" x14ac:dyDescent="0.25">
      <c r="A593" s="200" t="s">
        <v>15220</v>
      </c>
      <c r="B593" s="255" t="s">
        <v>20336</v>
      </c>
      <c r="C593" s="248"/>
      <c r="D593" s="247" t="s">
        <v>1</v>
      </c>
      <c r="E593" s="249">
        <f t="shared" si="260"/>
        <v>0.67494074250000002</v>
      </c>
      <c r="F593" s="258">
        <v>0.5</v>
      </c>
      <c r="G593" s="258">
        <f t="shared" si="261"/>
        <v>0.5</v>
      </c>
      <c r="H593" s="249">
        <f t="shared" si="262"/>
        <v>0.53995259400000006</v>
      </c>
      <c r="I593" s="258">
        <v>0.4</v>
      </c>
      <c r="J593" s="258">
        <f t="shared" si="263"/>
        <v>0.4</v>
      </c>
      <c r="K593" s="249">
        <f t="shared" si="264"/>
        <v>6.7494074250000008E-2</v>
      </c>
      <c r="L593" s="258">
        <v>0.05</v>
      </c>
      <c r="M593" s="258">
        <f t="shared" si="265"/>
        <v>0.05</v>
      </c>
      <c r="N593" s="251">
        <f t="shared" si="266"/>
        <v>6.7494074250000008E-2</v>
      </c>
      <c r="O593" s="258">
        <v>0.05</v>
      </c>
      <c r="P593" s="258">
        <f t="shared" si="267"/>
        <v>0.05</v>
      </c>
      <c r="Q593" s="249">
        <v>1.3227</v>
      </c>
      <c r="R593" s="249">
        <f t="shared" si="268"/>
        <v>1.349881485</v>
      </c>
      <c r="S593" s="250">
        <v>0.1</v>
      </c>
      <c r="T593" s="169">
        <f t="shared" si="269"/>
        <v>1.4549699999999999</v>
      </c>
      <c r="U593" s="315">
        <f t="shared" si="257"/>
        <v>1.4848696335</v>
      </c>
      <c r="V593" s="315">
        <f t="shared" si="258"/>
        <v>2</v>
      </c>
      <c r="W593" s="316">
        <f t="shared" si="259"/>
        <v>0</v>
      </c>
    </row>
    <row r="594" spans="1:23" x14ac:dyDescent="0.25">
      <c r="A594" s="200" t="s">
        <v>15221</v>
      </c>
      <c r="B594" s="313" t="s">
        <v>20337</v>
      </c>
      <c r="C594" s="248"/>
      <c r="D594" s="247" t="s">
        <v>1</v>
      </c>
      <c r="E594" s="249">
        <f t="shared" si="260"/>
        <v>0.81179649750000016</v>
      </c>
      <c r="F594" s="258">
        <v>0.5</v>
      </c>
      <c r="G594" s="258">
        <f t="shared" si="261"/>
        <v>0.5</v>
      </c>
      <c r="H594" s="249">
        <f t="shared" si="262"/>
        <v>0.64943719800000022</v>
      </c>
      <c r="I594" s="258">
        <v>0.4</v>
      </c>
      <c r="J594" s="258">
        <f t="shared" si="263"/>
        <v>0.4</v>
      </c>
      <c r="K594" s="249">
        <f t="shared" si="264"/>
        <v>8.1179649750000027E-2</v>
      </c>
      <c r="L594" s="258">
        <v>0.05</v>
      </c>
      <c r="M594" s="258">
        <f t="shared" si="265"/>
        <v>0.05</v>
      </c>
      <c r="N594" s="251">
        <f t="shared" si="266"/>
        <v>8.1179649750000027E-2</v>
      </c>
      <c r="O594" s="258">
        <v>0.05</v>
      </c>
      <c r="P594" s="258">
        <f t="shared" si="267"/>
        <v>0.05</v>
      </c>
      <c r="Q594" s="249">
        <v>1.5909</v>
      </c>
      <c r="R594" s="249">
        <f t="shared" si="268"/>
        <v>1.6235929950000003</v>
      </c>
      <c r="S594" s="250">
        <v>0.1</v>
      </c>
      <c r="T594" s="169">
        <f t="shared" si="269"/>
        <v>1.7499899999999999</v>
      </c>
      <c r="U594" s="315">
        <f t="shared" si="257"/>
        <v>1.7859522945000004</v>
      </c>
      <c r="V594" s="315">
        <f t="shared" si="258"/>
        <v>2</v>
      </c>
      <c r="W594" s="316">
        <f t="shared" si="259"/>
        <v>0</v>
      </c>
    </row>
    <row r="595" spans="1:23" x14ac:dyDescent="0.25">
      <c r="A595" s="200" t="s">
        <v>15222</v>
      </c>
      <c r="B595" s="313" t="s">
        <v>20338</v>
      </c>
      <c r="C595" s="248"/>
      <c r="D595" s="247" t="s">
        <v>1</v>
      </c>
      <c r="E595" s="249">
        <f t="shared" si="260"/>
        <v>0.69581099000000002</v>
      </c>
      <c r="F595" s="258">
        <v>0.5</v>
      </c>
      <c r="G595" s="258">
        <f t="shared" si="261"/>
        <v>0.5</v>
      </c>
      <c r="H595" s="249">
        <f t="shared" si="262"/>
        <v>0.55664879200000006</v>
      </c>
      <c r="I595" s="258">
        <v>0.4</v>
      </c>
      <c r="J595" s="258">
        <f t="shared" si="263"/>
        <v>0.4</v>
      </c>
      <c r="K595" s="249">
        <f t="shared" si="264"/>
        <v>6.9581099000000007E-2</v>
      </c>
      <c r="L595" s="258">
        <v>0.05</v>
      </c>
      <c r="M595" s="258">
        <f t="shared" si="265"/>
        <v>0.05</v>
      </c>
      <c r="N595" s="251">
        <f t="shared" si="266"/>
        <v>6.9581099000000007E-2</v>
      </c>
      <c r="O595" s="258">
        <v>0.05</v>
      </c>
      <c r="P595" s="258">
        <f t="shared" si="267"/>
        <v>0.05</v>
      </c>
      <c r="Q595" s="249">
        <v>1.3635999999999999</v>
      </c>
      <c r="R595" s="249">
        <f t="shared" si="268"/>
        <v>1.39162198</v>
      </c>
      <c r="S595" s="250">
        <v>0.1</v>
      </c>
      <c r="T595" s="169">
        <f t="shared" si="269"/>
        <v>1.49996</v>
      </c>
      <c r="U595" s="315">
        <f t="shared" si="257"/>
        <v>1.530784178</v>
      </c>
      <c r="V595" s="315">
        <f t="shared" si="258"/>
        <v>2</v>
      </c>
      <c r="W595" s="316">
        <f t="shared" si="259"/>
        <v>0</v>
      </c>
    </row>
    <row r="596" spans="1:23" ht="21" x14ac:dyDescent="0.25">
      <c r="A596" s="200" t="s">
        <v>15223</v>
      </c>
      <c r="B596" s="255" t="s">
        <v>15224</v>
      </c>
      <c r="C596" s="248"/>
      <c r="D596" s="247" t="s">
        <v>15213</v>
      </c>
      <c r="E596" s="249">
        <f t="shared" si="260"/>
        <v>110.17301600250001</v>
      </c>
      <c r="F596" s="258">
        <v>0.5</v>
      </c>
      <c r="G596" s="258">
        <f t="shared" si="261"/>
        <v>0.5</v>
      </c>
      <c r="H596" s="249">
        <f t="shared" si="262"/>
        <v>88.138412802000005</v>
      </c>
      <c r="I596" s="258">
        <v>0.4</v>
      </c>
      <c r="J596" s="258">
        <f t="shared" si="263"/>
        <v>0.4</v>
      </c>
      <c r="K596" s="249">
        <f t="shared" si="264"/>
        <v>11.017301600250001</v>
      </c>
      <c r="L596" s="258">
        <v>0.05</v>
      </c>
      <c r="M596" s="258">
        <f t="shared" si="265"/>
        <v>0.05</v>
      </c>
      <c r="N596" s="251">
        <f t="shared" si="266"/>
        <v>11.017301600250001</v>
      </c>
      <c r="O596" s="258">
        <v>0.05</v>
      </c>
      <c r="P596" s="258">
        <f t="shared" si="267"/>
        <v>0.05</v>
      </c>
      <c r="Q596" s="249">
        <v>215.9091</v>
      </c>
      <c r="R596" s="249">
        <f t="shared" si="268"/>
        <v>220.34603200500001</v>
      </c>
      <c r="S596" s="250">
        <v>0.1</v>
      </c>
      <c r="T596" s="169">
        <f t="shared" si="269"/>
        <v>237.50001</v>
      </c>
      <c r="U596" s="315">
        <f t="shared" si="257"/>
        <v>242.38063520550003</v>
      </c>
      <c r="V596" s="315">
        <f t="shared" si="258"/>
        <v>245</v>
      </c>
      <c r="W596" s="316">
        <f t="shared" si="259"/>
        <v>0</v>
      </c>
    </row>
    <row r="597" spans="1:23" x14ac:dyDescent="0.25">
      <c r="A597" s="200" t="s">
        <v>15225</v>
      </c>
      <c r="B597" s="313" t="s">
        <v>20339</v>
      </c>
      <c r="C597" s="248"/>
      <c r="D597" s="247" t="s">
        <v>15226</v>
      </c>
      <c r="E597" s="249">
        <f t="shared" si="260"/>
        <v>51.342579750000006</v>
      </c>
      <c r="F597" s="258">
        <v>0.85</v>
      </c>
      <c r="G597" s="258">
        <f t="shared" si="261"/>
        <v>0.85</v>
      </c>
      <c r="H597" s="249">
        <f t="shared" si="262"/>
        <v>0</v>
      </c>
      <c r="I597" s="314"/>
      <c r="J597" s="258">
        <f t="shared" si="263"/>
        <v>0</v>
      </c>
      <c r="K597" s="249">
        <f t="shared" si="264"/>
        <v>6.0403035000000012</v>
      </c>
      <c r="L597" s="258">
        <v>0.1</v>
      </c>
      <c r="M597" s="258">
        <f t="shared" si="265"/>
        <v>0.1</v>
      </c>
      <c r="N597" s="251">
        <f t="shared" si="266"/>
        <v>3.0201517500000006</v>
      </c>
      <c r="O597" s="258">
        <v>0.05</v>
      </c>
      <c r="P597" s="258">
        <f t="shared" si="267"/>
        <v>0.05</v>
      </c>
      <c r="Q597" s="249">
        <v>59.045000000000002</v>
      </c>
      <c r="R597" s="249">
        <f t="shared" si="268"/>
        <v>60.40303500000001</v>
      </c>
      <c r="S597" s="250">
        <v>0.1</v>
      </c>
      <c r="T597" s="169">
        <f t="shared" si="269"/>
        <v>64.9495</v>
      </c>
      <c r="U597" s="315">
        <f t="shared" si="257"/>
        <v>66.44333850000001</v>
      </c>
      <c r="V597" s="315">
        <f t="shared" si="258"/>
        <v>67</v>
      </c>
      <c r="W597" s="316">
        <f t="shared" si="259"/>
        <v>0</v>
      </c>
    </row>
    <row r="598" spans="1:23" ht="14.4" thickBot="1" x14ac:dyDescent="0.3">
      <c r="A598" s="263" t="s">
        <v>15227</v>
      </c>
      <c r="B598" s="321" t="s">
        <v>20340</v>
      </c>
      <c r="C598" s="265"/>
      <c r="D598" s="264" t="s">
        <v>1</v>
      </c>
      <c r="E598" s="266">
        <f t="shared" si="260"/>
        <v>0.80274796874999998</v>
      </c>
      <c r="F598" s="322">
        <v>0.75</v>
      </c>
      <c r="G598" s="322">
        <f t="shared" si="261"/>
        <v>0.75</v>
      </c>
      <c r="H598" s="266">
        <f t="shared" si="262"/>
        <v>0</v>
      </c>
      <c r="I598" s="323"/>
      <c r="J598" s="322">
        <f t="shared" si="263"/>
        <v>0</v>
      </c>
      <c r="K598" s="266">
        <f t="shared" si="264"/>
        <v>0.26758265624999999</v>
      </c>
      <c r="L598" s="322">
        <v>0.25</v>
      </c>
      <c r="M598" s="322">
        <f t="shared" si="265"/>
        <v>0.25</v>
      </c>
      <c r="N598" s="270">
        <f t="shared" si="266"/>
        <v>0</v>
      </c>
      <c r="O598" s="323"/>
      <c r="P598" s="322">
        <f t="shared" si="267"/>
        <v>0</v>
      </c>
      <c r="Q598" s="266">
        <v>1.0455000000000001</v>
      </c>
      <c r="R598" s="266">
        <f t="shared" si="268"/>
        <v>1.070330625</v>
      </c>
      <c r="S598" s="322">
        <v>0.1</v>
      </c>
      <c r="T598" s="291">
        <f t="shared" si="269"/>
        <v>1.15005</v>
      </c>
      <c r="U598" s="324">
        <f t="shared" si="257"/>
        <v>1.1773636875</v>
      </c>
      <c r="V598" s="324">
        <f t="shared" si="258"/>
        <v>2</v>
      </c>
      <c r="W598" s="325">
        <f t="shared" si="259"/>
        <v>0</v>
      </c>
    </row>
    <row r="599" spans="1:23" ht="21" x14ac:dyDescent="0.25">
      <c r="A599" s="200" t="s">
        <v>15228</v>
      </c>
      <c r="B599" s="255" t="s">
        <v>20341</v>
      </c>
      <c r="C599" s="248"/>
      <c r="D599" s="247" t="s">
        <v>1</v>
      </c>
      <c r="E599" s="249">
        <f t="shared" si="260"/>
        <v>5.6364829290000005</v>
      </c>
      <c r="F599" s="258">
        <v>0.45</v>
      </c>
      <c r="G599" s="258">
        <f t="shared" si="261"/>
        <v>0.45</v>
      </c>
      <c r="H599" s="249">
        <f t="shared" si="262"/>
        <v>5.0102070480000007</v>
      </c>
      <c r="I599" s="258">
        <v>0.4</v>
      </c>
      <c r="J599" s="258">
        <f t="shared" si="263"/>
        <v>0.4</v>
      </c>
      <c r="K599" s="249">
        <f t="shared" si="264"/>
        <v>1.2525517620000002</v>
      </c>
      <c r="L599" s="258">
        <v>0.1</v>
      </c>
      <c r="M599" s="258">
        <f t="shared" si="265"/>
        <v>0.1</v>
      </c>
      <c r="N599" s="251">
        <f t="shared" si="266"/>
        <v>0.62627588100000009</v>
      </c>
      <c r="O599" s="258">
        <v>0.05</v>
      </c>
      <c r="P599" s="258">
        <f t="shared" si="267"/>
        <v>0.05</v>
      </c>
      <c r="Q599" s="249">
        <v>12.2727</v>
      </c>
      <c r="R599" s="249">
        <f t="shared" si="268"/>
        <v>12.52551762</v>
      </c>
      <c r="S599" s="258">
        <v>0.1</v>
      </c>
      <c r="T599" s="169">
        <f t="shared" si="269"/>
        <v>13.499970000000001</v>
      </c>
      <c r="U599" s="315">
        <f t="shared" si="257"/>
        <v>13.778069382</v>
      </c>
      <c r="V599" s="315">
        <f t="shared" si="258"/>
        <v>14</v>
      </c>
      <c r="W599" s="316">
        <f t="shared" si="259"/>
        <v>0</v>
      </c>
    </row>
    <row r="600" spans="1:23" ht="21" x14ac:dyDescent="0.25">
      <c r="A600" s="200" t="s">
        <v>15229</v>
      </c>
      <c r="B600" s="255" t="s">
        <v>20342</v>
      </c>
      <c r="C600" s="248"/>
      <c r="D600" s="247" t="s">
        <v>1</v>
      </c>
      <c r="E600" s="249">
        <f t="shared" si="260"/>
        <v>5.97051</v>
      </c>
      <c r="F600" s="258">
        <v>0.45</v>
      </c>
      <c r="G600" s="258">
        <f t="shared" si="261"/>
        <v>0.45</v>
      </c>
      <c r="H600" s="249">
        <f t="shared" si="262"/>
        <v>5.3071200000000003</v>
      </c>
      <c r="I600" s="258">
        <v>0.4</v>
      </c>
      <c r="J600" s="258">
        <f t="shared" si="263"/>
        <v>0.4</v>
      </c>
      <c r="K600" s="249">
        <f t="shared" si="264"/>
        <v>1.3267800000000001</v>
      </c>
      <c r="L600" s="258">
        <v>0.1</v>
      </c>
      <c r="M600" s="258">
        <f t="shared" si="265"/>
        <v>0.1</v>
      </c>
      <c r="N600" s="251">
        <f t="shared" si="266"/>
        <v>0.66339000000000004</v>
      </c>
      <c r="O600" s="258">
        <v>0.05</v>
      </c>
      <c r="P600" s="258">
        <f t="shared" si="267"/>
        <v>0.05</v>
      </c>
      <c r="Q600" s="249">
        <v>13</v>
      </c>
      <c r="R600" s="249">
        <f t="shared" si="268"/>
        <v>13.267799999999999</v>
      </c>
      <c r="S600" s="258">
        <v>0.1</v>
      </c>
      <c r="T600" s="169">
        <f t="shared" si="269"/>
        <v>14.3</v>
      </c>
      <c r="U600" s="315">
        <f t="shared" si="257"/>
        <v>14.594579999999999</v>
      </c>
      <c r="V600" s="315">
        <f t="shared" si="258"/>
        <v>15</v>
      </c>
      <c r="W600" s="316">
        <f t="shared" si="259"/>
        <v>0</v>
      </c>
    </row>
    <row r="601" spans="1:23" ht="21" x14ac:dyDescent="0.25">
      <c r="A601" s="200" t="s">
        <v>15230</v>
      </c>
      <c r="B601" s="255" t="s">
        <v>20343</v>
      </c>
      <c r="C601" s="248"/>
      <c r="D601" s="247" t="s">
        <v>1</v>
      </c>
      <c r="E601" s="249">
        <f t="shared" si="260"/>
        <v>7.7240947140000022</v>
      </c>
      <c r="F601" s="258">
        <v>0.45</v>
      </c>
      <c r="G601" s="258">
        <f t="shared" si="261"/>
        <v>0.45</v>
      </c>
      <c r="H601" s="249">
        <f t="shared" si="262"/>
        <v>6.8658619680000017</v>
      </c>
      <c r="I601" s="258">
        <v>0.4</v>
      </c>
      <c r="J601" s="258">
        <f t="shared" si="263"/>
        <v>0.4</v>
      </c>
      <c r="K601" s="249">
        <f t="shared" si="264"/>
        <v>1.7164654920000004</v>
      </c>
      <c r="L601" s="258">
        <v>0.1</v>
      </c>
      <c r="M601" s="258">
        <f t="shared" si="265"/>
        <v>0.1</v>
      </c>
      <c r="N601" s="251">
        <f t="shared" si="266"/>
        <v>0.85823274600000021</v>
      </c>
      <c r="O601" s="258">
        <v>0.05</v>
      </c>
      <c r="P601" s="258">
        <f t="shared" si="267"/>
        <v>0.05</v>
      </c>
      <c r="Q601" s="249">
        <v>16.818200000000001</v>
      </c>
      <c r="R601" s="249">
        <f t="shared" si="268"/>
        <v>17.164654920000004</v>
      </c>
      <c r="S601" s="258">
        <v>0.1</v>
      </c>
      <c r="T601" s="169">
        <f t="shared" si="269"/>
        <v>18.500019999999999</v>
      </c>
      <c r="U601" s="315">
        <f t="shared" si="257"/>
        <v>18.881120412000005</v>
      </c>
      <c r="V601" s="315">
        <f t="shared" si="258"/>
        <v>19</v>
      </c>
      <c r="W601" s="316">
        <f t="shared" si="259"/>
        <v>0</v>
      </c>
    </row>
    <row r="602" spans="1:23" ht="21" x14ac:dyDescent="0.25">
      <c r="A602" s="200" t="s">
        <v>15231</v>
      </c>
      <c r="B602" s="255" t="s">
        <v>20344</v>
      </c>
      <c r="C602" s="248"/>
      <c r="D602" s="247" t="s">
        <v>1</v>
      </c>
      <c r="E602" s="249">
        <f t="shared" si="260"/>
        <v>6.7220594280000014</v>
      </c>
      <c r="F602" s="258">
        <v>0.45</v>
      </c>
      <c r="G602" s="258">
        <f t="shared" si="261"/>
        <v>0.45</v>
      </c>
      <c r="H602" s="249">
        <f t="shared" si="262"/>
        <v>5.9751639360000013</v>
      </c>
      <c r="I602" s="258">
        <v>0.4</v>
      </c>
      <c r="J602" s="258">
        <f t="shared" si="263"/>
        <v>0.4</v>
      </c>
      <c r="K602" s="249">
        <f t="shared" si="264"/>
        <v>1.4937909840000003</v>
      </c>
      <c r="L602" s="258">
        <v>0.1</v>
      </c>
      <c r="M602" s="258">
        <f t="shared" si="265"/>
        <v>0.1</v>
      </c>
      <c r="N602" s="251">
        <f t="shared" si="266"/>
        <v>0.74689549200000016</v>
      </c>
      <c r="O602" s="258">
        <v>0.05</v>
      </c>
      <c r="P602" s="258">
        <f t="shared" si="267"/>
        <v>0.05</v>
      </c>
      <c r="Q602" s="249">
        <v>14.6364</v>
      </c>
      <c r="R602" s="249">
        <f t="shared" si="268"/>
        <v>14.937909840000003</v>
      </c>
      <c r="S602" s="258">
        <v>0.1</v>
      </c>
      <c r="T602" s="169">
        <f t="shared" si="269"/>
        <v>16.10004</v>
      </c>
      <c r="U602" s="315">
        <f t="shared" si="257"/>
        <v>16.431700824000004</v>
      </c>
      <c r="V602" s="315">
        <f t="shared" si="258"/>
        <v>17</v>
      </c>
      <c r="W602" s="316">
        <f t="shared" si="259"/>
        <v>0</v>
      </c>
    </row>
    <row r="603" spans="1:23" x14ac:dyDescent="0.25">
      <c r="A603" s="200" t="s">
        <v>15232</v>
      </c>
      <c r="B603" s="313" t="s">
        <v>20345</v>
      </c>
      <c r="C603" s="248"/>
      <c r="D603" s="247" t="s">
        <v>1</v>
      </c>
      <c r="E603" s="249">
        <f t="shared" si="260"/>
        <v>0.33433695000000002</v>
      </c>
      <c r="F603" s="258">
        <v>0.6</v>
      </c>
      <c r="G603" s="258">
        <f t="shared" si="261"/>
        <v>0.6</v>
      </c>
      <c r="H603" s="249">
        <f t="shared" si="262"/>
        <v>0.13930706250000002</v>
      </c>
      <c r="I603" s="258">
        <v>0.25</v>
      </c>
      <c r="J603" s="258">
        <f t="shared" si="263"/>
        <v>0.25</v>
      </c>
      <c r="K603" s="249">
        <f t="shared" si="264"/>
        <v>5.5722825000000011E-2</v>
      </c>
      <c r="L603" s="258">
        <v>0.1</v>
      </c>
      <c r="M603" s="258">
        <f t="shared" si="265"/>
        <v>0.1</v>
      </c>
      <c r="N603" s="251">
        <f t="shared" si="266"/>
        <v>2.7861412500000005E-2</v>
      </c>
      <c r="O603" s="258">
        <v>0.05</v>
      </c>
      <c r="P603" s="258">
        <f t="shared" si="267"/>
        <v>0.05</v>
      </c>
      <c r="Q603" s="249">
        <v>0.54549999999999998</v>
      </c>
      <c r="R603" s="249">
        <f t="shared" si="268"/>
        <v>0.55722825000000009</v>
      </c>
      <c r="S603" s="258">
        <v>0.1</v>
      </c>
      <c r="T603" s="169">
        <f t="shared" si="269"/>
        <v>0.60004999999999997</v>
      </c>
      <c r="U603" s="315">
        <f t="shared" si="257"/>
        <v>0.61295107500000012</v>
      </c>
      <c r="V603" s="315">
        <f t="shared" si="258"/>
        <v>1</v>
      </c>
      <c r="W603" s="316">
        <f t="shared" si="259"/>
        <v>0</v>
      </c>
    </row>
    <row r="604" spans="1:23" x14ac:dyDescent="0.25">
      <c r="A604" s="200" t="s">
        <v>16252</v>
      </c>
      <c r="B604" s="313" t="s">
        <v>20346</v>
      </c>
      <c r="C604" s="248"/>
      <c r="D604" s="247" t="s">
        <v>1</v>
      </c>
      <c r="E604" s="249">
        <f t="shared" si="260"/>
        <v>0.90708587099999982</v>
      </c>
      <c r="F604" s="258">
        <v>0.6</v>
      </c>
      <c r="G604" s="258">
        <f t="shared" si="261"/>
        <v>0.6</v>
      </c>
      <c r="H604" s="249">
        <f t="shared" si="262"/>
        <v>0.37795244624999996</v>
      </c>
      <c r="I604" s="258">
        <v>0.25</v>
      </c>
      <c r="J604" s="258">
        <f t="shared" si="263"/>
        <v>0.25</v>
      </c>
      <c r="K604" s="249">
        <f t="shared" si="264"/>
        <v>0.15118097850000001</v>
      </c>
      <c r="L604" s="258">
        <v>0.1</v>
      </c>
      <c r="M604" s="258">
        <f t="shared" si="265"/>
        <v>0.1</v>
      </c>
      <c r="N604" s="251">
        <f t="shared" si="266"/>
        <v>7.5590489250000004E-2</v>
      </c>
      <c r="O604" s="258">
        <v>0.05</v>
      </c>
      <c r="P604" s="258">
        <f t="shared" si="267"/>
        <v>0.05</v>
      </c>
      <c r="Q604" s="249">
        <v>1.4799899999999999</v>
      </c>
      <c r="R604" s="249">
        <f t="shared" si="268"/>
        <v>1.5118097849999999</v>
      </c>
      <c r="S604" s="258">
        <v>0.1</v>
      </c>
      <c r="T604" s="169">
        <f>Q604+Q604*S604</f>
        <v>1.6279889999999999</v>
      </c>
      <c r="U604" s="315">
        <f t="shared" si="257"/>
        <v>1.6629907634999999</v>
      </c>
      <c r="V604" s="315">
        <f t="shared" si="258"/>
        <v>2</v>
      </c>
      <c r="W604" s="316">
        <f t="shared" si="259"/>
        <v>0</v>
      </c>
    </row>
    <row r="605" spans="1:23" ht="21" x14ac:dyDescent="0.25">
      <c r="A605" s="200" t="s">
        <v>16253</v>
      </c>
      <c r="B605" s="255" t="s">
        <v>16254</v>
      </c>
      <c r="C605" s="248"/>
      <c r="D605" s="247" t="s">
        <v>1</v>
      </c>
      <c r="E605" s="249">
        <f t="shared" si="260"/>
        <v>1.4689516270320002</v>
      </c>
      <c r="F605" s="258">
        <v>0.51300000000000001</v>
      </c>
      <c r="G605" s="258">
        <f t="shared" si="261"/>
        <v>0.51300000000000001</v>
      </c>
      <c r="H605" s="249">
        <f t="shared" si="262"/>
        <v>0.60132522744000005</v>
      </c>
      <c r="I605" s="258">
        <v>0.21</v>
      </c>
      <c r="J605" s="258">
        <f t="shared" si="263"/>
        <v>0.21</v>
      </c>
      <c r="K605" s="249">
        <f t="shared" si="264"/>
        <v>0.66432120364800018</v>
      </c>
      <c r="L605" s="258">
        <v>0.23200000000000001</v>
      </c>
      <c r="M605" s="258">
        <f t="shared" si="265"/>
        <v>0.23200000000000001</v>
      </c>
      <c r="N605" s="251">
        <f t="shared" si="266"/>
        <v>0.12885540588000002</v>
      </c>
      <c r="O605" s="258">
        <v>4.4999999999999998E-2</v>
      </c>
      <c r="P605" s="258">
        <f t="shared" si="267"/>
        <v>4.4999999999999998E-2</v>
      </c>
      <c r="Q605" s="249">
        <v>2.802</v>
      </c>
      <c r="R605" s="249">
        <f t="shared" si="268"/>
        <v>2.8634534640000004</v>
      </c>
      <c r="S605" s="258">
        <v>0.1</v>
      </c>
      <c r="T605" s="169">
        <f>Q605+Q605*S605</f>
        <v>3.0822000000000003</v>
      </c>
      <c r="U605" s="315">
        <f t="shared" si="257"/>
        <v>3.1497988104000005</v>
      </c>
      <c r="V605" s="315">
        <f t="shared" si="258"/>
        <v>4</v>
      </c>
      <c r="W605" s="316">
        <f t="shared" si="259"/>
        <v>0</v>
      </c>
    </row>
    <row r="606" spans="1:23" ht="21" x14ac:dyDescent="0.25">
      <c r="A606" s="200" t="s">
        <v>16255</v>
      </c>
      <c r="B606" s="255" t="s">
        <v>16256</v>
      </c>
      <c r="C606" s="248"/>
      <c r="D606" s="247" t="s">
        <v>1</v>
      </c>
      <c r="E606" s="249">
        <f t="shared" si="260"/>
        <v>0.91528064962949995</v>
      </c>
      <c r="F606" s="258">
        <v>0.60499999999999998</v>
      </c>
      <c r="G606" s="258">
        <f t="shared" si="261"/>
        <v>0.60499999999999998</v>
      </c>
      <c r="H606" s="249">
        <f t="shared" si="262"/>
        <v>0.27987920691149998</v>
      </c>
      <c r="I606" s="258">
        <v>0.185</v>
      </c>
      <c r="J606" s="258">
        <f t="shared" si="263"/>
        <v>0.185</v>
      </c>
      <c r="K606" s="249">
        <f t="shared" si="264"/>
        <v>0.27231490402199998</v>
      </c>
      <c r="L606" s="258">
        <v>0.18</v>
      </c>
      <c r="M606" s="258">
        <f t="shared" si="265"/>
        <v>0.18</v>
      </c>
      <c r="N606" s="251">
        <f t="shared" si="266"/>
        <v>4.5385817336999999E-2</v>
      </c>
      <c r="O606" s="258">
        <v>0.03</v>
      </c>
      <c r="P606" s="258">
        <f t="shared" si="267"/>
        <v>0.03</v>
      </c>
      <c r="Q606" s="249">
        <v>1.4799899999999999</v>
      </c>
      <c r="R606" s="249">
        <f t="shared" si="268"/>
        <v>1.5128605778999999</v>
      </c>
      <c r="S606" s="258">
        <v>0.1</v>
      </c>
      <c r="T606" s="169">
        <f>Q606+Q606*S606</f>
        <v>1.6279889999999999</v>
      </c>
      <c r="U606" s="315">
        <f t="shared" si="257"/>
        <v>1.6641466356899999</v>
      </c>
      <c r="V606" s="315">
        <f t="shared" si="258"/>
        <v>2</v>
      </c>
      <c r="W606" s="316">
        <f t="shared" si="259"/>
        <v>0</v>
      </c>
    </row>
    <row r="607" spans="1:23" x14ac:dyDescent="0.25">
      <c r="A607" s="200" t="s">
        <v>15233</v>
      </c>
      <c r="B607" s="313" t="s">
        <v>20347</v>
      </c>
      <c r="C607" s="248"/>
      <c r="D607" s="247" t="s">
        <v>1</v>
      </c>
      <c r="E607" s="249">
        <f t="shared" si="260"/>
        <v>3.5659747799999999</v>
      </c>
      <c r="F607" s="258">
        <v>0.6</v>
      </c>
      <c r="G607" s="258">
        <f t="shared" si="261"/>
        <v>0.6</v>
      </c>
      <c r="H607" s="249">
        <f t="shared" si="262"/>
        <v>1.4858228250000001</v>
      </c>
      <c r="I607" s="258">
        <v>0.25</v>
      </c>
      <c r="J607" s="258">
        <f t="shared" si="263"/>
        <v>0.25</v>
      </c>
      <c r="K607" s="249">
        <f t="shared" si="264"/>
        <v>0.59432913000000009</v>
      </c>
      <c r="L607" s="258">
        <v>0.1</v>
      </c>
      <c r="M607" s="258">
        <f t="shared" si="265"/>
        <v>0.1</v>
      </c>
      <c r="N607" s="251">
        <f t="shared" si="266"/>
        <v>0.29716456500000005</v>
      </c>
      <c r="O607" s="258">
        <v>0.05</v>
      </c>
      <c r="P607" s="258">
        <f t="shared" si="267"/>
        <v>0.05</v>
      </c>
      <c r="Q607" s="249">
        <v>5.8182</v>
      </c>
      <c r="R607" s="249">
        <f t="shared" si="268"/>
        <v>5.9432913000000003</v>
      </c>
      <c r="S607" s="258">
        <v>0.1</v>
      </c>
      <c r="T607" s="169">
        <f t="shared" si="269"/>
        <v>6.4000199999999996</v>
      </c>
      <c r="U607" s="315">
        <f t="shared" si="257"/>
        <v>6.5376204300000005</v>
      </c>
      <c r="V607" s="315">
        <f t="shared" si="258"/>
        <v>7</v>
      </c>
      <c r="W607" s="316">
        <f t="shared" si="259"/>
        <v>0</v>
      </c>
    </row>
    <row r="608" spans="1:23" x14ac:dyDescent="0.25">
      <c r="A608" s="200" t="s">
        <v>15234</v>
      </c>
      <c r="B608" s="313" t="s">
        <v>15235</v>
      </c>
      <c r="C608" s="248"/>
      <c r="D608" s="247" t="s">
        <v>1</v>
      </c>
      <c r="E608" s="249">
        <f t="shared" si="260"/>
        <v>0.22955625000000002</v>
      </c>
      <c r="F608" s="258">
        <v>0.45</v>
      </c>
      <c r="G608" s="258">
        <f t="shared" si="261"/>
        <v>0.45</v>
      </c>
      <c r="H608" s="249">
        <f t="shared" si="262"/>
        <v>0.22955625000000002</v>
      </c>
      <c r="I608" s="258">
        <v>0.45</v>
      </c>
      <c r="J608" s="258">
        <f t="shared" si="263"/>
        <v>0.45</v>
      </c>
      <c r="K608" s="249">
        <f t="shared" si="264"/>
        <v>2.5506250000000005E-2</v>
      </c>
      <c r="L608" s="258">
        <v>0.05</v>
      </c>
      <c r="M608" s="258">
        <f t="shared" si="265"/>
        <v>0.05</v>
      </c>
      <c r="N608" s="251">
        <f t="shared" si="266"/>
        <v>2.5506250000000005E-2</v>
      </c>
      <c r="O608" s="258">
        <v>0.05</v>
      </c>
      <c r="P608" s="258">
        <f t="shared" si="267"/>
        <v>0.05</v>
      </c>
      <c r="Q608" s="249">
        <v>0.5</v>
      </c>
      <c r="R608" s="249">
        <f t="shared" si="268"/>
        <v>0.51012500000000005</v>
      </c>
      <c r="S608" s="258">
        <v>0.1</v>
      </c>
      <c r="T608" s="169">
        <f t="shared" si="269"/>
        <v>0.55000000000000004</v>
      </c>
      <c r="U608" s="315">
        <f t="shared" si="257"/>
        <v>0.56113750000000007</v>
      </c>
      <c r="V608" s="315">
        <f t="shared" si="258"/>
        <v>1</v>
      </c>
      <c r="W608" s="316">
        <f t="shared" si="259"/>
        <v>0</v>
      </c>
    </row>
    <row r="609" spans="1:23" x14ac:dyDescent="0.25">
      <c r="A609" s="200" t="s">
        <v>15236</v>
      </c>
      <c r="B609" s="313" t="s">
        <v>20348</v>
      </c>
      <c r="C609" s="248"/>
      <c r="D609" s="247" t="s">
        <v>1</v>
      </c>
      <c r="E609" s="249">
        <f t="shared" si="260"/>
        <v>0.85560205500000008</v>
      </c>
      <c r="F609" s="258">
        <v>0.45</v>
      </c>
      <c r="G609" s="258">
        <f t="shared" si="261"/>
        <v>0.45</v>
      </c>
      <c r="H609" s="249">
        <f t="shared" si="262"/>
        <v>0.85560205500000008</v>
      </c>
      <c r="I609" s="258">
        <v>0.45</v>
      </c>
      <c r="J609" s="258">
        <f t="shared" si="263"/>
        <v>0.45</v>
      </c>
      <c r="K609" s="249">
        <f t="shared" si="264"/>
        <v>9.5066895000000012E-2</v>
      </c>
      <c r="L609" s="258">
        <v>0.05</v>
      </c>
      <c r="M609" s="258">
        <f t="shared" si="265"/>
        <v>0.05</v>
      </c>
      <c r="N609" s="251">
        <f t="shared" si="266"/>
        <v>9.5066895000000012E-2</v>
      </c>
      <c r="O609" s="258">
        <v>0.05</v>
      </c>
      <c r="P609" s="258">
        <f t="shared" si="267"/>
        <v>0.05</v>
      </c>
      <c r="Q609" s="249">
        <v>1.8635999999999999</v>
      </c>
      <c r="R609" s="249">
        <f t="shared" si="268"/>
        <v>1.9013379000000001</v>
      </c>
      <c r="S609" s="258">
        <v>0.1</v>
      </c>
      <c r="T609" s="169">
        <f t="shared" si="269"/>
        <v>2.04996</v>
      </c>
      <c r="U609" s="315">
        <f t="shared" si="257"/>
        <v>2.0914716900000001</v>
      </c>
      <c r="V609" s="315">
        <f t="shared" si="258"/>
        <v>3</v>
      </c>
      <c r="W609" s="316">
        <f t="shared" si="259"/>
        <v>0</v>
      </c>
    </row>
    <row r="610" spans="1:23" x14ac:dyDescent="0.25">
      <c r="A610" s="200" t="s">
        <v>15237</v>
      </c>
      <c r="B610" s="313" t="s">
        <v>20349</v>
      </c>
      <c r="C610" s="248"/>
      <c r="D610" s="247" t="s">
        <v>1</v>
      </c>
      <c r="E610" s="249">
        <f t="shared" si="260"/>
        <v>0.73040207625000009</v>
      </c>
      <c r="F610" s="258">
        <v>0.45</v>
      </c>
      <c r="G610" s="258">
        <f t="shared" si="261"/>
        <v>0.45</v>
      </c>
      <c r="H610" s="249">
        <f t="shared" si="262"/>
        <v>0.73040207625000009</v>
      </c>
      <c r="I610" s="258">
        <v>0.45</v>
      </c>
      <c r="J610" s="258">
        <f t="shared" si="263"/>
        <v>0.45</v>
      </c>
      <c r="K610" s="249">
        <f t="shared" si="264"/>
        <v>8.1155786250000014E-2</v>
      </c>
      <c r="L610" s="258">
        <v>0.05</v>
      </c>
      <c r="M610" s="258">
        <f t="shared" si="265"/>
        <v>0.05</v>
      </c>
      <c r="N610" s="251">
        <f t="shared" si="266"/>
        <v>8.1155786250000014E-2</v>
      </c>
      <c r="O610" s="258">
        <v>0.05</v>
      </c>
      <c r="P610" s="258">
        <f t="shared" si="267"/>
        <v>0.05</v>
      </c>
      <c r="Q610" s="249">
        <v>1.5909</v>
      </c>
      <c r="R610" s="249">
        <f t="shared" si="268"/>
        <v>1.6231157250000001</v>
      </c>
      <c r="S610" s="258">
        <v>0.1</v>
      </c>
      <c r="T610" s="169">
        <f t="shared" si="269"/>
        <v>1.7499899999999999</v>
      </c>
      <c r="U610" s="315">
        <f t="shared" si="257"/>
        <v>1.7854272975000001</v>
      </c>
      <c r="V610" s="315">
        <f t="shared" si="258"/>
        <v>2</v>
      </c>
      <c r="W610" s="316">
        <f t="shared" si="259"/>
        <v>0</v>
      </c>
    </row>
    <row r="611" spans="1:23" x14ac:dyDescent="0.25">
      <c r="A611" s="200" t="s">
        <v>15238</v>
      </c>
      <c r="B611" s="313" t="s">
        <v>20350</v>
      </c>
      <c r="C611" s="248"/>
      <c r="D611" s="247" t="s">
        <v>1</v>
      </c>
      <c r="E611" s="249">
        <f t="shared" si="260"/>
        <v>0.64693542375000024</v>
      </c>
      <c r="F611" s="258">
        <v>0.45</v>
      </c>
      <c r="G611" s="258">
        <f t="shared" si="261"/>
        <v>0.45</v>
      </c>
      <c r="H611" s="249">
        <f t="shared" si="262"/>
        <v>0.64693542375000024</v>
      </c>
      <c r="I611" s="258">
        <v>0.45</v>
      </c>
      <c r="J611" s="258">
        <f t="shared" si="263"/>
        <v>0.45</v>
      </c>
      <c r="K611" s="249">
        <f t="shared" si="264"/>
        <v>7.188171375000002E-2</v>
      </c>
      <c r="L611" s="258">
        <v>0.05</v>
      </c>
      <c r="M611" s="258">
        <f t="shared" si="265"/>
        <v>0.05</v>
      </c>
      <c r="N611" s="251">
        <f t="shared" si="266"/>
        <v>7.188171375000002E-2</v>
      </c>
      <c r="O611" s="258">
        <v>0.05</v>
      </c>
      <c r="P611" s="258">
        <f t="shared" si="267"/>
        <v>0.05</v>
      </c>
      <c r="Q611" s="249">
        <v>1.4091</v>
      </c>
      <c r="R611" s="249">
        <f t="shared" si="268"/>
        <v>1.4376342750000004</v>
      </c>
      <c r="S611" s="258">
        <v>0.1</v>
      </c>
      <c r="T611" s="169">
        <f t="shared" si="269"/>
        <v>1.5500100000000001</v>
      </c>
      <c r="U611" s="315">
        <f t="shared" si="257"/>
        <v>1.5813977025000003</v>
      </c>
      <c r="V611" s="315">
        <f t="shared" si="258"/>
        <v>2</v>
      </c>
      <c r="W611" s="316">
        <f t="shared" si="259"/>
        <v>0</v>
      </c>
    </row>
    <row r="612" spans="1:23" x14ac:dyDescent="0.25">
      <c r="A612" s="200" t="s">
        <v>15239</v>
      </c>
      <c r="B612" s="313" t="s">
        <v>20351</v>
      </c>
      <c r="C612" s="248"/>
      <c r="D612" s="247" t="s">
        <v>1</v>
      </c>
      <c r="E612" s="249">
        <f t="shared" si="260"/>
        <v>5.38415002125</v>
      </c>
      <c r="F612" s="258">
        <v>0.45</v>
      </c>
      <c r="G612" s="258">
        <f t="shared" si="261"/>
        <v>0.45</v>
      </c>
      <c r="H612" s="249">
        <f t="shared" si="262"/>
        <v>5.38415002125</v>
      </c>
      <c r="I612" s="258">
        <v>0.45</v>
      </c>
      <c r="J612" s="258">
        <f t="shared" si="263"/>
        <v>0.45</v>
      </c>
      <c r="K612" s="249">
        <f t="shared" si="264"/>
        <v>0.59823889125000007</v>
      </c>
      <c r="L612" s="258">
        <v>0.05</v>
      </c>
      <c r="M612" s="258">
        <f t="shared" si="265"/>
        <v>0.05</v>
      </c>
      <c r="N612" s="251">
        <f t="shared" si="266"/>
        <v>0.59823889125000007</v>
      </c>
      <c r="O612" s="258">
        <v>0.05</v>
      </c>
      <c r="P612" s="258">
        <f t="shared" si="267"/>
        <v>0.05</v>
      </c>
      <c r="Q612" s="249">
        <v>11.7273</v>
      </c>
      <c r="R612" s="249">
        <f t="shared" si="268"/>
        <v>11.964777825000001</v>
      </c>
      <c r="S612" s="258">
        <v>0.1</v>
      </c>
      <c r="T612" s="169">
        <f t="shared" si="269"/>
        <v>12.900029999999999</v>
      </c>
      <c r="U612" s="315">
        <f t="shared" si="257"/>
        <v>13.161255607500001</v>
      </c>
      <c r="V612" s="315">
        <f t="shared" si="258"/>
        <v>14</v>
      </c>
      <c r="W612" s="316">
        <f t="shared" si="259"/>
        <v>0</v>
      </c>
    </row>
    <row r="613" spans="1:23" x14ac:dyDescent="0.25">
      <c r="A613" s="200" t="s">
        <v>15240</v>
      </c>
      <c r="B613" s="313" t="s">
        <v>20352</v>
      </c>
      <c r="C613" s="248"/>
      <c r="D613" s="247" t="s">
        <v>1</v>
      </c>
      <c r="E613" s="249">
        <f t="shared" si="260"/>
        <v>2.1912062287500009</v>
      </c>
      <c r="F613" s="258">
        <v>0.45</v>
      </c>
      <c r="G613" s="258">
        <f t="shared" si="261"/>
        <v>0.45</v>
      </c>
      <c r="H613" s="249">
        <f t="shared" si="262"/>
        <v>2.1912062287500009</v>
      </c>
      <c r="I613" s="258">
        <v>0.45</v>
      </c>
      <c r="J613" s="258">
        <f t="shared" si="263"/>
        <v>0.45</v>
      </c>
      <c r="K613" s="249">
        <f t="shared" si="264"/>
        <v>0.24346735875000008</v>
      </c>
      <c r="L613" s="258">
        <v>0.05</v>
      </c>
      <c r="M613" s="258">
        <f t="shared" si="265"/>
        <v>0.05</v>
      </c>
      <c r="N613" s="251">
        <f t="shared" si="266"/>
        <v>0.24346735875000008</v>
      </c>
      <c r="O613" s="258">
        <v>0.05</v>
      </c>
      <c r="P613" s="258">
        <f t="shared" si="267"/>
        <v>0.05</v>
      </c>
      <c r="Q613" s="249">
        <v>4.7727000000000004</v>
      </c>
      <c r="R613" s="249">
        <f t="shared" si="268"/>
        <v>4.8693471750000015</v>
      </c>
      <c r="S613" s="258">
        <v>0.1</v>
      </c>
      <c r="T613" s="169">
        <f t="shared" si="269"/>
        <v>5.2499700000000002</v>
      </c>
      <c r="U613" s="315">
        <f t="shared" si="257"/>
        <v>5.356281892500002</v>
      </c>
      <c r="V613" s="315">
        <f t="shared" si="258"/>
        <v>6</v>
      </c>
      <c r="W613" s="316">
        <f t="shared" si="259"/>
        <v>0</v>
      </c>
    </row>
    <row r="614" spans="1:23" x14ac:dyDescent="0.25">
      <c r="A614" s="200" t="s">
        <v>15241</v>
      </c>
      <c r="B614" s="313" t="s">
        <v>20353</v>
      </c>
      <c r="C614" s="248"/>
      <c r="D614" s="247" t="s">
        <v>1</v>
      </c>
      <c r="E614" s="249">
        <f t="shared" si="260"/>
        <v>1.0225812712500002</v>
      </c>
      <c r="F614" s="258">
        <v>0.45</v>
      </c>
      <c r="G614" s="258">
        <f t="shared" si="261"/>
        <v>0.45</v>
      </c>
      <c r="H614" s="249">
        <f t="shared" si="262"/>
        <v>1.0225812712500002</v>
      </c>
      <c r="I614" s="258">
        <v>0.45</v>
      </c>
      <c r="J614" s="258">
        <f t="shared" si="263"/>
        <v>0.45</v>
      </c>
      <c r="K614" s="249">
        <f t="shared" si="264"/>
        <v>0.11362014125000003</v>
      </c>
      <c r="L614" s="258">
        <v>0.05</v>
      </c>
      <c r="M614" s="258">
        <f t="shared" si="265"/>
        <v>0.05</v>
      </c>
      <c r="N614" s="251">
        <f t="shared" si="266"/>
        <v>0.11362014125000003</v>
      </c>
      <c r="O614" s="258">
        <v>0.05</v>
      </c>
      <c r="P614" s="258">
        <f t="shared" si="267"/>
        <v>0.05</v>
      </c>
      <c r="Q614" s="249">
        <v>2.2273000000000001</v>
      </c>
      <c r="R614" s="249">
        <f t="shared" si="268"/>
        <v>2.2724028250000003</v>
      </c>
      <c r="S614" s="258">
        <v>0.1</v>
      </c>
      <c r="T614" s="169">
        <f t="shared" si="269"/>
        <v>2.4500299999999999</v>
      </c>
      <c r="U614" s="315">
        <f t="shared" ref="U614:U677" si="270">(R614*S614)+R614</f>
        <v>2.4996431075000003</v>
      </c>
      <c r="V614" s="315">
        <f t="shared" ref="V614:V677" si="271">IF(U614=0, 0, IF(U614&lt;10, _xlfn.CEILING.MATH(U614,1), IF(U614&lt;100, _xlfn.CEILING.MATH(U614,1),IF(U614&lt;1000, _xlfn.CEILING.MATH(U614,5), IF(U614&lt;10000, _xlfn.CEILING.MATH(U614, 25), IF(U614&lt;100000, _xlfn.CEILING.MATH(U614,250), IF(U614&lt;1000000, _xlfn.CEILING.MATH(U614,500), 0)))))))</f>
        <v>3</v>
      </c>
      <c r="W614" s="316">
        <f t="shared" ref="W614:W618" si="272">C614*V614</f>
        <v>0</v>
      </c>
    </row>
    <row r="615" spans="1:23" x14ac:dyDescent="0.25">
      <c r="A615" s="200" t="s">
        <v>15242</v>
      </c>
      <c r="B615" s="313" t="s">
        <v>20354</v>
      </c>
      <c r="C615" s="248"/>
      <c r="D615" s="247" t="s">
        <v>1</v>
      </c>
      <c r="E615" s="249">
        <f t="shared" si="260"/>
        <v>0.91822500000000007</v>
      </c>
      <c r="F615" s="258">
        <v>0.45</v>
      </c>
      <c r="G615" s="258">
        <f t="shared" si="261"/>
        <v>0.45</v>
      </c>
      <c r="H615" s="249">
        <f t="shared" si="262"/>
        <v>0.91822500000000007</v>
      </c>
      <c r="I615" s="258">
        <v>0.45</v>
      </c>
      <c r="J615" s="258">
        <f t="shared" si="263"/>
        <v>0.45</v>
      </c>
      <c r="K615" s="249">
        <f t="shared" si="264"/>
        <v>0.10202500000000002</v>
      </c>
      <c r="L615" s="258">
        <v>0.05</v>
      </c>
      <c r="M615" s="258">
        <f t="shared" si="265"/>
        <v>0.05</v>
      </c>
      <c r="N615" s="251">
        <f t="shared" si="266"/>
        <v>0.10202500000000002</v>
      </c>
      <c r="O615" s="258">
        <v>0.05</v>
      </c>
      <c r="P615" s="258">
        <f t="shared" si="267"/>
        <v>0.05</v>
      </c>
      <c r="Q615" s="249">
        <v>2</v>
      </c>
      <c r="R615" s="249">
        <f t="shared" si="268"/>
        <v>2.0405000000000002</v>
      </c>
      <c r="S615" s="258">
        <v>0.1</v>
      </c>
      <c r="T615" s="169">
        <f t="shared" si="269"/>
        <v>2.2000000000000002</v>
      </c>
      <c r="U615" s="315">
        <f t="shared" si="270"/>
        <v>2.2445500000000003</v>
      </c>
      <c r="V615" s="315">
        <f t="shared" si="271"/>
        <v>3</v>
      </c>
      <c r="W615" s="316">
        <f t="shared" si="272"/>
        <v>0</v>
      </c>
    </row>
    <row r="616" spans="1:23" x14ac:dyDescent="0.25">
      <c r="A616" s="200" t="s">
        <v>15243</v>
      </c>
      <c r="B616" s="313" t="s">
        <v>20355</v>
      </c>
      <c r="C616" s="248"/>
      <c r="D616" s="247" t="s">
        <v>1</v>
      </c>
      <c r="E616" s="249">
        <f t="shared" si="260"/>
        <v>4.9667708475000003</v>
      </c>
      <c r="F616" s="258">
        <v>0.45</v>
      </c>
      <c r="G616" s="258">
        <f t="shared" si="261"/>
        <v>0.45</v>
      </c>
      <c r="H616" s="249">
        <f t="shared" si="262"/>
        <v>4.9667708475000003</v>
      </c>
      <c r="I616" s="258">
        <v>0.45</v>
      </c>
      <c r="J616" s="258">
        <f t="shared" si="263"/>
        <v>0.45</v>
      </c>
      <c r="K616" s="249">
        <f t="shared" si="264"/>
        <v>0.55186342750000006</v>
      </c>
      <c r="L616" s="258">
        <v>0.05</v>
      </c>
      <c r="M616" s="258">
        <f t="shared" si="265"/>
        <v>0.05</v>
      </c>
      <c r="N616" s="251">
        <f t="shared" si="266"/>
        <v>0.55186342750000006</v>
      </c>
      <c r="O616" s="258">
        <v>0.05</v>
      </c>
      <c r="P616" s="258">
        <f t="shared" si="267"/>
        <v>0.05</v>
      </c>
      <c r="Q616" s="249">
        <v>10.818199999999999</v>
      </c>
      <c r="R616" s="249">
        <f t="shared" si="268"/>
        <v>11.03726855</v>
      </c>
      <c r="S616" s="258">
        <v>0.1</v>
      </c>
      <c r="T616" s="169">
        <f t="shared" si="269"/>
        <v>11.90002</v>
      </c>
      <c r="U616" s="315">
        <f t="shared" si="270"/>
        <v>12.140995405</v>
      </c>
      <c r="V616" s="315">
        <f t="shared" si="271"/>
        <v>13</v>
      </c>
      <c r="W616" s="316">
        <f t="shared" si="272"/>
        <v>0</v>
      </c>
    </row>
    <row r="617" spans="1:23" x14ac:dyDescent="0.25">
      <c r="A617" s="200" t="s">
        <v>15244</v>
      </c>
      <c r="B617" s="313" t="s">
        <v>20356</v>
      </c>
      <c r="C617" s="248"/>
      <c r="D617" s="247" t="s">
        <v>1</v>
      </c>
      <c r="E617" s="249">
        <f t="shared" si="260"/>
        <v>2.0242729237500003</v>
      </c>
      <c r="F617" s="258">
        <v>0.45</v>
      </c>
      <c r="G617" s="258">
        <f t="shared" si="261"/>
        <v>0.45</v>
      </c>
      <c r="H617" s="249">
        <f t="shared" si="262"/>
        <v>2.0242729237500003</v>
      </c>
      <c r="I617" s="258">
        <v>0.45</v>
      </c>
      <c r="J617" s="258">
        <f t="shared" si="263"/>
        <v>0.45</v>
      </c>
      <c r="K617" s="249">
        <f t="shared" si="264"/>
        <v>0.22491921375000001</v>
      </c>
      <c r="L617" s="258">
        <v>0.05</v>
      </c>
      <c r="M617" s="258">
        <f t="shared" si="265"/>
        <v>0.05</v>
      </c>
      <c r="N617" s="251">
        <f t="shared" si="266"/>
        <v>0.22491921375000001</v>
      </c>
      <c r="O617" s="258">
        <v>0.05</v>
      </c>
      <c r="P617" s="258">
        <f t="shared" si="267"/>
        <v>0.05</v>
      </c>
      <c r="Q617" s="249">
        <v>4.4090999999999996</v>
      </c>
      <c r="R617" s="249">
        <f t="shared" si="268"/>
        <v>4.4983842750000003</v>
      </c>
      <c r="S617" s="258">
        <v>0.1</v>
      </c>
      <c r="T617" s="169">
        <f t="shared" si="269"/>
        <v>4.8500099999999993</v>
      </c>
      <c r="U617" s="315">
        <f t="shared" si="270"/>
        <v>4.9482227025000007</v>
      </c>
      <c r="V617" s="315">
        <f t="shared" si="271"/>
        <v>5</v>
      </c>
      <c r="W617" s="316">
        <f t="shared" si="272"/>
        <v>0</v>
      </c>
    </row>
    <row r="618" spans="1:23" x14ac:dyDescent="0.25">
      <c r="A618" s="200" t="s">
        <v>15245</v>
      </c>
      <c r="B618" s="313" t="s">
        <v>20357</v>
      </c>
      <c r="C618" s="248"/>
      <c r="D618" s="247" t="s">
        <v>1</v>
      </c>
      <c r="E618" s="249">
        <f t="shared" si="260"/>
        <v>0.93911461875000013</v>
      </c>
      <c r="F618" s="258">
        <v>0.45</v>
      </c>
      <c r="G618" s="258">
        <f t="shared" si="261"/>
        <v>0.45</v>
      </c>
      <c r="H618" s="249">
        <f t="shared" si="262"/>
        <v>0.93911461875000013</v>
      </c>
      <c r="I618" s="258">
        <v>0.45</v>
      </c>
      <c r="J618" s="258">
        <f t="shared" si="263"/>
        <v>0.45</v>
      </c>
      <c r="K618" s="249">
        <f t="shared" si="264"/>
        <v>0.10434606875000002</v>
      </c>
      <c r="L618" s="258">
        <v>0.05</v>
      </c>
      <c r="M618" s="258">
        <f t="shared" si="265"/>
        <v>0.05</v>
      </c>
      <c r="N618" s="251">
        <f t="shared" si="266"/>
        <v>0.10434606875000002</v>
      </c>
      <c r="O618" s="258">
        <v>0.05</v>
      </c>
      <c r="P618" s="258">
        <f t="shared" si="267"/>
        <v>0.05</v>
      </c>
      <c r="Q618" s="249">
        <v>2.0455000000000001</v>
      </c>
      <c r="R618" s="249">
        <f t="shared" si="268"/>
        <v>2.0869213750000002</v>
      </c>
      <c r="S618" s="258">
        <v>0.1</v>
      </c>
      <c r="T618" s="169">
        <f t="shared" si="269"/>
        <v>2.2500499999999999</v>
      </c>
      <c r="U618" s="315">
        <f t="shared" si="270"/>
        <v>2.2956135125000001</v>
      </c>
      <c r="V618" s="315">
        <f t="shared" si="271"/>
        <v>3</v>
      </c>
      <c r="W618" s="316">
        <f t="shared" si="272"/>
        <v>0</v>
      </c>
    </row>
    <row r="619" spans="1:23" x14ac:dyDescent="0.25">
      <c r="A619" s="195" t="s">
        <v>15246</v>
      </c>
      <c r="B619" s="317" t="s">
        <v>15247</v>
      </c>
      <c r="C619" s="318"/>
      <c r="D619" s="319"/>
      <c r="E619" s="319"/>
      <c r="F619" s="319"/>
      <c r="G619" s="319"/>
      <c r="H619" s="319"/>
      <c r="I619" s="319"/>
      <c r="J619" s="319"/>
      <c r="K619" s="319"/>
      <c r="L619" s="319"/>
      <c r="M619" s="319"/>
      <c r="N619" s="319"/>
      <c r="O619" s="319"/>
      <c r="P619" s="319"/>
      <c r="Q619" s="319"/>
      <c r="R619" s="319"/>
      <c r="S619" s="319"/>
      <c r="T619" s="319"/>
      <c r="U619" s="320"/>
      <c r="V619" s="320"/>
      <c r="W619" s="306"/>
    </row>
    <row r="620" spans="1:23" x14ac:dyDescent="0.25">
      <c r="A620" s="199" t="s">
        <v>18932</v>
      </c>
      <c r="B620" s="307" t="s">
        <v>16257</v>
      </c>
      <c r="C620" s="308"/>
      <c r="D620" s="309"/>
      <c r="E620" s="310"/>
      <c r="F620" s="311"/>
      <c r="G620" s="311"/>
      <c r="H620" s="310"/>
      <c r="I620" s="311"/>
      <c r="J620" s="311"/>
      <c r="K620" s="310"/>
      <c r="L620" s="311"/>
      <c r="M620" s="311"/>
      <c r="N620" s="310"/>
      <c r="O620" s="311"/>
      <c r="P620" s="311"/>
      <c r="Q620" s="310"/>
      <c r="R620" s="310"/>
      <c r="S620" s="309"/>
      <c r="T620" s="309"/>
      <c r="U620" s="309"/>
      <c r="V620" s="309"/>
      <c r="W620" s="312"/>
    </row>
    <row r="621" spans="1:23" x14ac:dyDescent="0.25">
      <c r="A621" s="203" t="s">
        <v>18933</v>
      </c>
      <c r="B621" s="345" t="s">
        <v>16258</v>
      </c>
      <c r="C621" s="346"/>
      <c r="D621" s="347"/>
      <c r="E621" s="347"/>
      <c r="F621" s="347"/>
      <c r="G621" s="347"/>
      <c r="H621" s="347"/>
      <c r="I621" s="347"/>
      <c r="J621" s="347"/>
      <c r="K621" s="347"/>
      <c r="L621" s="347"/>
      <c r="M621" s="347"/>
      <c r="N621" s="347"/>
      <c r="O621" s="347"/>
      <c r="P621" s="347"/>
      <c r="Q621" s="347"/>
      <c r="R621" s="347"/>
      <c r="S621" s="347"/>
      <c r="T621" s="348"/>
      <c r="U621" s="349"/>
      <c r="V621" s="349"/>
      <c r="W621" s="350"/>
    </row>
    <row r="622" spans="1:23" x14ac:dyDescent="0.25">
      <c r="A622" s="204" t="s">
        <v>16259</v>
      </c>
      <c r="B622" s="351" t="s">
        <v>20358</v>
      </c>
      <c r="C622" s="352"/>
      <c r="D622" s="353" t="s">
        <v>14859</v>
      </c>
      <c r="E622" s="249">
        <f t="shared" si="260"/>
        <v>0</v>
      </c>
      <c r="F622" s="336">
        <v>0</v>
      </c>
      <c r="G622" s="258">
        <f t="shared" si="261"/>
        <v>0</v>
      </c>
      <c r="H622" s="249">
        <f t="shared" si="262"/>
        <v>10.969701751790534</v>
      </c>
      <c r="I622" s="336">
        <v>8.5442981170233776E-3</v>
      </c>
      <c r="J622" s="258">
        <f t="shared" si="263"/>
        <v>8.5442981170233776E-3</v>
      </c>
      <c r="K622" s="249">
        <f t="shared" si="264"/>
        <v>1253.9644291715906</v>
      </c>
      <c r="L622" s="336">
        <v>0.97671259924968135</v>
      </c>
      <c r="M622" s="258">
        <f t="shared" si="265"/>
        <v>0.97671259924968135</v>
      </c>
      <c r="N622" s="251">
        <f t="shared" si="266"/>
        <v>18.92811282661896</v>
      </c>
      <c r="O622" s="336">
        <v>1.474310263329524E-2</v>
      </c>
      <c r="P622" s="258">
        <f t="shared" si="267"/>
        <v>1.474310263329524E-2</v>
      </c>
      <c r="Q622" s="354">
        <v>1253.4675</v>
      </c>
      <c r="R622" s="249">
        <f t="shared" si="268"/>
        <v>1283.8622437500001</v>
      </c>
      <c r="S622" s="355">
        <v>0.1</v>
      </c>
      <c r="T622" s="355"/>
      <c r="U622" s="315">
        <f t="shared" si="270"/>
        <v>1412.248468125</v>
      </c>
      <c r="V622" s="315">
        <f t="shared" si="271"/>
        <v>1425</v>
      </c>
      <c r="W622" s="316">
        <f t="shared" ref="W622:W685" si="273">C622*V622</f>
        <v>0</v>
      </c>
    </row>
    <row r="623" spans="1:23" x14ac:dyDescent="0.25">
      <c r="A623" s="204" t="s">
        <v>16260</v>
      </c>
      <c r="B623" s="351" t="s">
        <v>20359</v>
      </c>
      <c r="C623" s="352"/>
      <c r="D623" s="353" t="s">
        <v>5</v>
      </c>
      <c r="E623" s="249">
        <f t="shared" si="260"/>
        <v>0</v>
      </c>
      <c r="F623" s="336">
        <v>0</v>
      </c>
      <c r="G623" s="258">
        <f t="shared" si="261"/>
        <v>0</v>
      </c>
      <c r="H623" s="249">
        <f t="shared" si="262"/>
        <v>6.3776826834048395E-2</v>
      </c>
      <c r="I623" s="336">
        <v>8.5442981170233776E-3</v>
      </c>
      <c r="J623" s="258">
        <f t="shared" si="263"/>
        <v>8.5442981170233776E-3</v>
      </c>
      <c r="K623" s="249">
        <f t="shared" si="264"/>
        <v>7.2903731415549329</v>
      </c>
      <c r="L623" s="336">
        <v>0.97670462138029102</v>
      </c>
      <c r="M623" s="258">
        <f t="shared" si="265"/>
        <v>0.97670462138029102</v>
      </c>
      <c r="N623" s="251">
        <f t="shared" si="266"/>
        <v>0.11004628943914231</v>
      </c>
      <c r="O623" s="336">
        <v>1.4743102633295238E-2</v>
      </c>
      <c r="P623" s="258">
        <f t="shared" si="267"/>
        <v>1.4743102633295238E-2</v>
      </c>
      <c r="Q623" s="354">
        <v>7.2876017441860466</v>
      </c>
      <c r="R623" s="249">
        <f t="shared" si="268"/>
        <v>7.4642558066860456</v>
      </c>
      <c r="S623" s="355">
        <v>0.1</v>
      </c>
      <c r="T623" s="355"/>
      <c r="U623" s="315">
        <f t="shared" si="270"/>
        <v>8.2106813873546507</v>
      </c>
      <c r="V623" s="315">
        <f t="shared" si="271"/>
        <v>9</v>
      </c>
      <c r="W623" s="316">
        <f t="shared" si="273"/>
        <v>0</v>
      </c>
    </row>
    <row r="624" spans="1:23" x14ac:dyDescent="0.25">
      <c r="A624" s="204" t="s">
        <v>16261</v>
      </c>
      <c r="B624" s="351" t="s">
        <v>20360</v>
      </c>
      <c r="C624" s="352"/>
      <c r="D624" s="353" t="s">
        <v>14859</v>
      </c>
      <c r="E624" s="249">
        <f t="shared" si="260"/>
        <v>0</v>
      </c>
      <c r="F624" s="336">
        <v>0</v>
      </c>
      <c r="G624" s="258">
        <f t="shared" si="261"/>
        <v>0</v>
      </c>
      <c r="H624" s="249">
        <f t="shared" si="262"/>
        <v>10.969701751790534</v>
      </c>
      <c r="I624" s="336">
        <v>8.5442981170233776E-3</v>
      </c>
      <c r="J624" s="258">
        <f t="shared" si="263"/>
        <v>8.5442981170233776E-3</v>
      </c>
      <c r="K624" s="249">
        <f t="shared" si="264"/>
        <v>1253.9644291715906</v>
      </c>
      <c r="L624" s="336">
        <v>0.97671259924968135</v>
      </c>
      <c r="M624" s="258">
        <f t="shared" si="265"/>
        <v>0.97671259924968135</v>
      </c>
      <c r="N624" s="251">
        <f t="shared" si="266"/>
        <v>18.92811282661896</v>
      </c>
      <c r="O624" s="336">
        <v>1.474310263329524E-2</v>
      </c>
      <c r="P624" s="258">
        <f t="shared" si="267"/>
        <v>1.474310263329524E-2</v>
      </c>
      <c r="Q624" s="354">
        <v>1253.4675</v>
      </c>
      <c r="R624" s="249">
        <f t="shared" si="268"/>
        <v>1283.8622437500001</v>
      </c>
      <c r="S624" s="355">
        <v>0.1</v>
      </c>
      <c r="T624" s="355"/>
      <c r="U624" s="315">
        <f t="shared" si="270"/>
        <v>1412.248468125</v>
      </c>
      <c r="V624" s="315">
        <f t="shared" si="271"/>
        <v>1425</v>
      </c>
      <c r="W624" s="316">
        <f t="shared" si="273"/>
        <v>0</v>
      </c>
    </row>
    <row r="625" spans="1:23" x14ac:dyDescent="0.25">
      <c r="A625" s="204" t="s">
        <v>16262</v>
      </c>
      <c r="B625" s="351" t="s">
        <v>20361</v>
      </c>
      <c r="C625" s="352"/>
      <c r="D625" s="353" t="s">
        <v>5</v>
      </c>
      <c r="E625" s="249">
        <f t="shared" si="260"/>
        <v>0</v>
      </c>
      <c r="F625" s="336">
        <v>0</v>
      </c>
      <c r="G625" s="258">
        <f t="shared" si="261"/>
        <v>0</v>
      </c>
      <c r="H625" s="249">
        <f t="shared" si="262"/>
        <v>6.3776826834048395E-2</v>
      </c>
      <c r="I625" s="336">
        <v>8.5442981170233776E-3</v>
      </c>
      <c r="J625" s="258">
        <f t="shared" si="263"/>
        <v>8.5442981170233776E-3</v>
      </c>
      <c r="K625" s="249">
        <f t="shared" si="264"/>
        <v>7.2903731415549329</v>
      </c>
      <c r="L625" s="336">
        <v>0.97670462138029102</v>
      </c>
      <c r="M625" s="258">
        <f t="shared" si="265"/>
        <v>0.97670462138029102</v>
      </c>
      <c r="N625" s="251">
        <f t="shared" si="266"/>
        <v>0.11004628943914231</v>
      </c>
      <c r="O625" s="336">
        <v>1.4743102633295238E-2</v>
      </c>
      <c r="P625" s="258">
        <f t="shared" si="267"/>
        <v>1.4743102633295238E-2</v>
      </c>
      <c r="Q625" s="354">
        <v>7.2876017441860466</v>
      </c>
      <c r="R625" s="249">
        <f t="shared" si="268"/>
        <v>7.4642558066860456</v>
      </c>
      <c r="S625" s="355">
        <v>0.1</v>
      </c>
      <c r="T625" s="355"/>
      <c r="U625" s="315">
        <f t="shared" si="270"/>
        <v>8.2106813873546507</v>
      </c>
      <c r="V625" s="315">
        <f t="shared" si="271"/>
        <v>9</v>
      </c>
      <c r="W625" s="316">
        <f t="shared" si="273"/>
        <v>0</v>
      </c>
    </row>
    <row r="626" spans="1:23" x14ac:dyDescent="0.25">
      <c r="A626" s="204" t="s">
        <v>16263</v>
      </c>
      <c r="B626" s="351" t="s">
        <v>20362</v>
      </c>
      <c r="C626" s="352"/>
      <c r="D626" s="353" t="s">
        <v>14859</v>
      </c>
      <c r="E626" s="249">
        <f t="shared" si="260"/>
        <v>0</v>
      </c>
      <c r="F626" s="336">
        <v>0</v>
      </c>
      <c r="G626" s="258">
        <f t="shared" si="261"/>
        <v>0</v>
      </c>
      <c r="H626" s="249">
        <f t="shared" si="262"/>
        <v>10.969701751790534</v>
      </c>
      <c r="I626" s="336">
        <v>8.5442981170233776E-3</v>
      </c>
      <c r="J626" s="258">
        <f t="shared" si="263"/>
        <v>8.5442981170233776E-3</v>
      </c>
      <c r="K626" s="249">
        <f t="shared" si="264"/>
        <v>1253.9644291715906</v>
      </c>
      <c r="L626" s="336">
        <v>0.97671259924968135</v>
      </c>
      <c r="M626" s="258">
        <f t="shared" si="265"/>
        <v>0.97671259924968135</v>
      </c>
      <c r="N626" s="251">
        <f t="shared" si="266"/>
        <v>18.92811282661896</v>
      </c>
      <c r="O626" s="336">
        <v>1.474310263329524E-2</v>
      </c>
      <c r="P626" s="258">
        <f t="shared" si="267"/>
        <v>1.474310263329524E-2</v>
      </c>
      <c r="Q626" s="354">
        <v>1253.4675</v>
      </c>
      <c r="R626" s="249">
        <f t="shared" si="268"/>
        <v>1283.8622437500001</v>
      </c>
      <c r="S626" s="355">
        <v>0.1</v>
      </c>
      <c r="T626" s="355"/>
      <c r="U626" s="315">
        <f t="shared" si="270"/>
        <v>1412.248468125</v>
      </c>
      <c r="V626" s="315">
        <f t="shared" si="271"/>
        <v>1425</v>
      </c>
      <c r="W626" s="316">
        <f t="shared" si="273"/>
        <v>0</v>
      </c>
    </row>
    <row r="627" spans="1:23" x14ac:dyDescent="0.25">
      <c r="A627" s="204" t="s">
        <v>16264</v>
      </c>
      <c r="B627" s="351" t="s">
        <v>20363</v>
      </c>
      <c r="C627" s="352"/>
      <c r="D627" s="353" t="s">
        <v>5</v>
      </c>
      <c r="E627" s="249">
        <f t="shared" si="260"/>
        <v>0</v>
      </c>
      <c r="F627" s="336">
        <v>0</v>
      </c>
      <c r="G627" s="258">
        <f t="shared" si="261"/>
        <v>0</v>
      </c>
      <c r="H627" s="249">
        <f t="shared" si="262"/>
        <v>6.3776826834048395E-2</v>
      </c>
      <c r="I627" s="336">
        <v>8.5442981170233776E-3</v>
      </c>
      <c r="J627" s="258">
        <f t="shared" si="263"/>
        <v>8.5442981170233776E-3</v>
      </c>
      <c r="K627" s="249">
        <f t="shared" si="264"/>
        <v>7.2903731415549329</v>
      </c>
      <c r="L627" s="336">
        <v>0.97670462138029102</v>
      </c>
      <c r="M627" s="258">
        <f t="shared" si="265"/>
        <v>0.97670462138029102</v>
      </c>
      <c r="N627" s="251">
        <f t="shared" si="266"/>
        <v>0.11004628943914231</v>
      </c>
      <c r="O627" s="336">
        <v>1.4743102633295238E-2</v>
      </c>
      <c r="P627" s="258">
        <f t="shared" si="267"/>
        <v>1.4743102633295238E-2</v>
      </c>
      <c r="Q627" s="354">
        <v>7.2876017441860466</v>
      </c>
      <c r="R627" s="249">
        <f t="shared" si="268"/>
        <v>7.4642558066860456</v>
      </c>
      <c r="S627" s="355">
        <v>0.1</v>
      </c>
      <c r="T627" s="355"/>
      <c r="U627" s="315">
        <f t="shared" si="270"/>
        <v>8.2106813873546507</v>
      </c>
      <c r="V627" s="315">
        <f t="shared" si="271"/>
        <v>9</v>
      </c>
      <c r="W627" s="316">
        <f t="shared" si="273"/>
        <v>0</v>
      </c>
    </row>
    <row r="628" spans="1:23" x14ac:dyDescent="0.25">
      <c r="A628" s="204" t="s">
        <v>16265</v>
      </c>
      <c r="B628" s="351" t="s">
        <v>20364</v>
      </c>
      <c r="C628" s="352"/>
      <c r="D628" s="353" t="s">
        <v>14859</v>
      </c>
      <c r="E628" s="249">
        <f t="shared" si="260"/>
        <v>0</v>
      </c>
      <c r="F628" s="336">
        <v>0</v>
      </c>
      <c r="G628" s="258">
        <f t="shared" si="261"/>
        <v>0</v>
      </c>
      <c r="H628" s="249">
        <f t="shared" si="262"/>
        <v>10.969905247415497</v>
      </c>
      <c r="I628" s="336">
        <v>7.8987106516436294E-3</v>
      </c>
      <c r="J628" s="258">
        <f t="shared" si="263"/>
        <v>7.8987106516436294E-3</v>
      </c>
      <c r="K628" s="249">
        <f t="shared" si="264"/>
        <v>1358.9238995462599</v>
      </c>
      <c r="L628" s="336">
        <v>0.97847214155728501</v>
      </c>
      <c r="M628" s="258">
        <f t="shared" si="265"/>
        <v>0.97847214155728501</v>
      </c>
      <c r="N628" s="251">
        <f t="shared" si="266"/>
        <v>18.928463956324777</v>
      </c>
      <c r="O628" s="336">
        <v>1.3629147791071359E-2</v>
      </c>
      <c r="P628" s="258">
        <f t="shared" si="267"/>
        <v>1.3629147791071359E-2</v>
      </c>
      <c r="Q628" s="354">
        <v>1355.9175</v>
      </c>
      <c r="R628" s="249">
        <f t="shared" si="268"/>
        <v>1388.8222687500001</v>
      </c>
      <c r="S628" s="355">
        <v>0.1</v>
      </c>
      <c r="T628" s="355"/>
      <c r="U628" s="315">
        <f t="shared" si="270"/>
        <v>1527.7044956250002</v>
      </c>
      <c r="V628" s="315">
        <f t="shared" si="271"/>
        <v>1550</v>
      </c>
      <c r="W628" s="316">
        <f t="shared" si="273"/>
        <v>0</v>
      </c>
    </row>
    <row r="629" spans="1:23" x14ac:dyDescent="0.25">
      <c r="A629" s="204" t="s">
        <v>16266</v>
      </c>
      <c r="B629" s="351" t="s">
        <v>20365</v>
      </c>
      <c r="C629" s="352"/>
      <c r="D629" s="353" t="s">
        <v>5</v>
      </c>
      <c r="E629" s="249">
        <f t="shared" si="260"/>
        <v>0</v>
      </c>
      <c r="F629" s="336">
        <v>0</v>
      </c>
      <c r="G629" s="258">
        <f t="shared" si="261"/>
        <v>0</v>
      </c>
      <c r="H629" s="249">
        <f t="shared" si="262"/>
        <v>6.3778048401888776E-2</v>
      </c>
      <c r="I629" s="336">
        <v>7.8987106516436294E-3</v>
      </c>
      <c r="J629" s="258">
        <f t="shared" si="263"/>
        <v>7.8987106516436294E-3</v>
      </c>
      <c r="K629" s="249">
        <f t="shared" si="264"/>
        <v>7.9006025145315473</v>
      </c>
      <c r="L629" s="336">
        <v>0.97846476647731151</v>
      </c>
      <c r="M629" s="258">
        <f t="shared" si="265"/>
        <v>0.97846476647731151</v>
      </c>
      <c r="N629" s="251">
        <f t="shared" si="266"/>
        <v>0.11004839724247475</v>
      </c>
      <c r="O629" s="336">
        <v>1.3629147791071359E-2</v>
      </c>
      <c r="P629" s="258">
        <f t="shared" si="267"/>
        <v>1.3629147791071359E-2</v>
      </c>
      <c r="Q629" s="354">
        <v>7.8832412790697672</v>
      </c>
      <c r="R629" s="249">
        <f t="shared" si="268"/>
        <v>8.0744885101744188</v>
      </c>
      <c r="S629" s="355">
        <v>0.1</v>
      </c>
      <c r="T629" s="355"/>
      <c r="U629" s="315">
        <f t="shared" si="270"/>
        <v>8.8819373611918611</v>
      </c>
      <c r="V629" s="315">
        <f t="shared" si="271"/>
        <v>9</v>
      </c>
      <c r="W629" s="316">
        <f t="shared" si="273"/>
        <v>0</v>
      </c>
    </row>
    <row r="630" spans="1:23" x14ac:dyDescent="0.25">
      <c r="A630" s="204" t="s">
        <v>16267</v>
      </c>
      <c r="B630" s="351" t="s">
        <v>20366</v>
      </c>
      <c r="C630" s="352"/>
      <c r="D630" s="353" t="s">
        <v>14859</v>
      </c>
      <c r="E630" s="249">
        <f t="shared" si="260"/>
        <v>0</v>
      </c>
      <c r="F630" s="336">
        <v>0</v>
      </c>
      <c r="G630" s="258">
        <f t="shared" si="261"/>
        <v>0</v>
      </c>
      <c r="H630" s="249">
        <f t="shared" si="262"/>
        <v>10.9700554995842</v>
      </c>
      <c r="I630" s="336">
        <v>7.4220374220374226E-3</v>
      </c>
      <c r="J630" s="258">
        <f t="shared" si="263"/>
        <v>7.4220374220374226E-3</v>
      </c>
      <c r="K630" s="249">
        <f t="shared" si="264"/>
        <v>1448.139511285447</v>
      </c>
      <c r="L630" s="336">
        <v>0.97977130977130977</v>
      </c>
      <c r="M630" s="258">
        <f t="shared" si="265"/>
        <v>0.97977130977130977</v>
      </c>
      <c r="N630" s="251">
        <f t="shared" si="266"/>
        <v>18.928723214968816</v>
      </c>
      <c r="O630" s="336">
        <v>1.2806652806652807E-2</v>
      </c>
      <c r="P630" s="258">
        <f t="shared" si="267"/>
        <v>1.2806652806652807E-2</v>
      </c>
      <c r="Q630" s="354">
        <v>1443</v>
      </c>
      <c r="R630" s="249">
        <f t="shared" si="268"/>
        <v>1478.03829</v>
      </c>
      <c r="S630" s="355">
        <v>0.1</v>
      </c>
      <c r="T630" s="355"/>
      <c r="U630" s="315">
        <f t="shared" si="270"/>
        <v>1625.8421189999999</v>
      </c>
      <c r="V630" s="315">
        <f t="shared" si="271"/>
        <v>1650</v>
      </c>
      <c r="W630" s="316">
        <f t="shared" si="273"/>
        <v>0</v>
      </c>
    </row>
    <row r="631" spans="1:23" x14ac:dyDescent="0.25">
      <c r="A631" s="204" t="s">
        <v>16268</v>
      </c>
      <c r="B631" s="351" t="s">
        <v>20367</v>
      </c>
      <c r="C631" s="352"/>
      <c r="D631" s="353" t="s">
        <v>5</v>
      </c>
      <c r="E631" s="249">
        <f t="shared" si="260"/>
        <v>0</v>
      </c>
      <c r="F631" s="336">
        <v>0</v>
      </c>
      <c r="G631" s="258">
        <f t="shared" si="261"/>
        <v>0</v>
      </c>
      <c r="H631" s="249">
        <f t="shared" si="262"/>
        <v>6.3778950353551231E-2</v>
      </c>
      <c r="I631" s="336">
        <v>7.4220374220374226E-3</v>
      </c>
      <c r="J631" s="258">
        <f t="shared" si="263"/>
        <v>7.4220374220374226E-3</v>
      </c>
      <c r="K631" s="249">
        <f t="shared" si="264"/>
        <v>8.4192978533940916</v>
      </c>
      <c r="L631" s="336">
        <v>0.9797643797643798</v>
      </c>
      <c r="M631" s="258">
        <f t="shared" si="265"/>
        <v>0.9797643797643798</v>
      </c>
      <c r="N631" s="251">
        <f t="shared" si="266"/>
        <v>0.11004995355122564</v>
      </c>
      <c r="O631" s="336">
        <v>1.2806652806652807E-2</v>
      </c>
      <c r="P631" s="258">
        <f t="shared" si="267"/>
        <v>1.2806652806652807E-2</v>
      </c>
      <c r="Q631" s="354">
        <v>8.3895348837209305</v>
      </c>
      <c r="R631" s="249">
        <f t="shared" si="268"/>
        <v>8.5931863081395345</v>
      </c>
      <c r="S631" s="355">
        <v>0.1</v>
      </c>
      <c r="T631" s="355"/>
      <c r="U631" s="315">
        <f t="shared" si="270"/>
        <v>9.4525049389534885</v>
      </c>
      <c r="V631" s="315">
        <f t="shared" si="271"/>
        <v>10</v>
      </c>
      <c r="W631" s="316">
        <f t="shared" si="273"/>
        <v>0</v>
      </c>
    </row>
    <row r="632" spans="1:23" x14ac:dyDescent="0.25">
      <c r="A632" s="204" t="s">
        <v>16269</v>
      </c>
      <c r="B632" s="351" t="s">
        <v>20368</v>
      </c>
      <c r="C632" s="352"/>
      <c r="D632" s="353" t="s">
        <v>14859</v>
      </c>
      <c r="E632" s="249">
        <f t="shared" si="260"/>
        <v>0</v>
      </c>
      <c r="F632" s="336">
        <v>0</v>
      </c>
      <c r="G632" s="258">
        <f t="shared" si="261"/>
        <v>0</v>
      </c>
      <c r="H632" s="249">
        <f t="shared" si="262"/>
        <v>10.970232095560501</v>
      </c>
      <c r="I632" s="336">
        <v>6.861788774152007E-3</v>
      </c>
      <c r="J632" s="258">
        <f t="shared" si="263"/>
        <v>6.861788774152007E-3</v>
      </c>
      <c r="K632" s="249">
        <f t="shared" si="264"/>
        <v>1568.8430587248449</v>
      </c>
      <c r="L632" s="336">
        <v>0.98129826196848768</v>
      </c>
      <c r="M632" s="258">
        <f t="shared" si="265"/>
        <v>0.98129826196848768</v>
      </c>
      <c r="N632" s="251">
        <f t="shared" si="266"/>
        <v>18.929027929594586</v>
      </c>
      <c r="O632" s="336">
        <v>1.1839949257360325E-2</v>
      </c>
      <c r="P632" s="258">
        <f t="shared" si="267"/>
        <v>1.1839949257360325E-2</v>
      </c>
      <c r="Q632" s="354">
        <v>1560.8175000000001</v>
      </c>
      <c r="R632" s="249">
        <f t="shared" si="268"/>
        <v>1598.7423187500001</v>
      </c>
      <c r="S632" s="355">
        <v>0.1</v>
      </c>
      <c r="T632" s="355"/>
      <c r="U632" s="315">
        <f t="shared" si="270"/>
        <v>1758.6165506250002</v>
      </c>
      <c r="V632" s="315">
        <f t="shared" si="271"/>
        <v>1775</v>
      </c>
      <c r="W632" s="316">
        <f t="shared" si="273"/>
        <v>0</v>
      </c>
    </row>
    <row r="633" spans="1:23" x14ac:dyDescent="0.25">
      <c r="A633" s="204" t="s">
        <v>16270</v>
      </c>
      <c r="B633" s="351" t="s">
        <v>20369</v>
      </c>
      <c r="C633" s="352"/>
      <c r="D633" s="353" t="s">
        <v>5</v>
      </c>
      <c r="E633" s="249">
        <f t="shared" si="260"/>
        <v>0</v>
      </c>
      <c r="F633" s="336">
        <v>0</v>
      </c>
      <c r="G633" s="258">
        <f t="shared" si="261"/>
        <v>0</v>
      </c>
      <c r="H633" s="249">
        <f t="shared" si="262"/>
        <v>6.3780010444968088E-2</v>
      </c>
      <c r="I633" s="336">
        <v>6.8617887741520079E-3</v>
      </c>
      <c r="J633" s="258">
        <f t="shared" si="263"/>
        <v>6.8617887741520079E-3</v>
      </c>
      <c r="K633" s="249">
        <f t="shared" si="264"/>
        <v>9.1210625721471423</v>
      </c>
      <c r="L633" s="336">
        <v>0.98129185506953887</v>
      </c>
      <c r="M633" s="258">
        <f t="shared" si="265"/>
        <v>0.98129185506953887</v>
      </c>
      <c r="N633" s="251">
        <f t="shared" si="266"/>
        <v>0.11005178272857236</v>
      </c>
      <c r="O633" s="336">
        <v>1.1839949257360325E-2</v>
      </c>
      <c r="P633" s="258">
        <f t="shared" si="267"/>
        <v>1.1839949257360325E-2</v>
      </c>
      <c r="Q633" s="354">
        <v>9.0745203488372095</v>
      </c>
      <c r="R633" s="249">
        <f t="shared" si="268"/>
        <v>9.2949539171511635</v>
      </c>
      <c r="S633" s="355">
        <v>0.1</v>
      </c>
      <c r="T633" s="355"/>
      <c r="U633" s="315">
        <f t="shared" si="270"/>
        <v>10.22444930886628</v>
      </c>
      <c r="V633" s="315">
        <f t="shared" si="271"/>
        <v>11</v>
      </c>
      <c r="W633" s="316">
        <f t="shared" si="273"/>
        <v>0</v>
      </c>
    </row>
    <row r="634" spans="1:23" x14ac:dyDescent="0.25">
      <c r="A634" s="204" t="s">
        <v>16271</v>
      </c>
      <c r="B634" s="351" t="s">
        <v>20370</v>
      </c>
      <c r="C634" s="352"/>
      <c r="D634" s="353" t="s">
        <v>14859</v>
      </c>
      <c r="E634" s="249">
        <f t="shared" si="260"/>
        <v>0</v>
      </c>
      <c r="F634" s="336">
        <v>0</v>
      </c>
      <c r="G634" s="258">
        <f t="shared" si="261"/>
        <v>0</v>
      </c>
      <c r="H634" s="249">
        <f t="shared" si="262"/>
        <v>10.970232095560501</v>
      </c>
      <c r="I634" s="336">
        <v>6.861788774152007E-3</v>
      </c>
      <c r="J634" s="258">
        <f t="shared" si="263"/>
        <v>6.861788774152007E-3</v>
      </c>
      <c r="K634" s="249">
        <f t="shared" si="264"/>
        <v>1568.8430587248449</v>
      </c>
      <c r="L634" s="336">
        <v>0.98129826196848768</v>
      </c>
      <c r="M634" s="258">
        <f t="shared" si="265"/>
        <v>0.98129826196848768</v>
      </c>
      <c r="N634" s="251">
        <f t="shared" si="266"/>
        <v>18.929027929594586</v>
      </c>
      <c r="O634" s="336">
        <v>1.1839949257360325E-2</v>
      </c>
      <c r="P634" s="258">
        <f t="shared" si="267"/>
        <v>1.1839949257360325E-2</v>
      </c>
      <c r="Q634" s="354">
        <v>1560.8175000000001</v>
      </c>
      <c r="R634" s="249">
        <f t="shared" si="268"/>
        <v>1598.7423187500001</v>
      </c>
      <c r="S634" s="355">
        <v>0.1</v>
      </c>
      <c r="T634" s="355"/>
      <c r="U634" s="315">
        <f t="shared" si="270"/>
        <v>1758.6165506250002</v>
      </c>
      <c r="V634" s="315">
        <f t="shared" si="271"/>
        <v>1775</v>
      </c>
      <c r="W634" s="316">
        <f t="shared" si="273"/>
        <v>0</v>
      </c>
    </row>
    <row r="635" spans="1:23" x14ac:dyDescent="0.25">
      <c r="A635" s="204" t="s">
        <v>16272</v>
      </c>
      <c r="B635" s="351" t="s">
        <v>20371</v>
      </c>
      <c r="C635" s="352"/>
      <c r="D635" s="353" t="s">
        <v>5</v>
      </c>
      <c r="E635" s="249">
        <f t="shared" si="260"/>
        <v>0</v>
      </c>
      <c r="F635" s="336">
        <v>0</v>
      </c>
      <c r="G635" s="258">
        <f t="shared" si="261"/>
        <v>0</v>
      </c>
      <c r="H635" s="249">
        <f t="shared" si="262"/>
        <v>6.3780010444968088E-2</v>
      </c>
      <c r="I635" s="336">
        <v>6.8617887741520079E-3</v>
      </c>
      <c r="J635" s="258">
        <f t="shared" si="263"/>
        <v>6.8617887741520079E-3</v>
      </c>
      <c r="K635" s="249">
        <f t="shared" si="264"/>
        <v>9.1210625721471423</v>
      </c>
      <c r="L635" s="336">
        <v>0.98129185506953887</v>
      </c>
      <c r="M635" s="258">
        <f t="shared" si="265"/>
        <v>0.98129185506953887</v>
      </c>
      <c r="N635" s="251">
        <f t="shared" si="266"/>
        <v>0.11005178272857236</v>
      </c>
      <c r="O635" s="336">
        <v>1.1839949257360325E-2</v>
      </c>
      <c r="P635" s="258">
        <f t="shared" si="267"/>
        <v>1.1839949257360325E-2</v>
      </c>
      <c r="Q635" s="354">
        <v>9.0745203488372095</v>
      </c>
      <c r="R635" s="249">
        <f t="shared" si="268"/>
        <v>9.2949539171511635</v>
      </c>
      <c r="S635" s="355">
        <v>0.1</v>
      </c>
      <c r="T635" s="355"/>
      <c r="U635" s="315">
        <f t="shared" si="270"/>
        <v>10.22444930886628</v>
      </c>
      <c r="V635" s="315">
        <f t="shared" si="271"/>
        <v>11</v>
      </c>
      <c r="W635" s="316">
        <f t="shared" si="273"/>
        <v>0</v>
      </c>
    </row>
    <row r="636" spans="1:23" x14ac:dyDescent="0.25">
      <c r="A636" s="204" t="s">
        <v>16273</v>
      </c>
      <c r="B636" s="351" t="s">
        <v>20372</v>
      </c>
      <c r="C636" s="352"/>
      <c r="D636" s="353" t="s">
        <v>14859</v>
      </c>
      <c r="E636" s="249">
        <f t="shared" si="260"/>
        <v>0</v>
      </c>
      <c r="F636" s="336">
        <v>0</v>
      </c>
      <c r="G636" s="258">
        <f t="shared" si="261"/>
        <v>0</v>
      </c>
      <c r="H636" s="249">
        <f t="shared" si="262"/>
        <v>10.970232095560501</v>
      </c>
      <c r="I636" s="336">
        <v>6.861788774152007E-3</v>
      </c>
      <c r="J636" s="258">
        <f t="shared" si="263"/>
        <v>6.861788774152007E-3</v>
      </c>
      <c r="K636" s="249">
        <f t="shared" si="264"/>
        <v>1568.8430587248449</v>
      </c>
      <c r="L636" s="336">
        <v>0.98129826196848768</v>
      </c>
      <c r="M636" s="258">
        <f t="shared" si="265"/>
        <v>0.98129826196848768</v>
      </c>
      <c r="N636" s="251">
        <f t="shared" si="266"/>
        <v>18.929027929594586</v>
      </c>
      <c r="O636" s="336">
        <v>1.1839949257360325E-2</v>
      </c>
      <c r="P636" s="258">
        <f t="shared" si="267"/>
        <v>1.1839949257360325E-2</v>
      </c>
      <c r="Q636" s="354">
        <v>1560.8175000000001</v>
      </c>
      <c r="R636" s="249">
        <f t="shared" si="268"/>
        <v>1598.7423187500001</v>
      </c>
      <c r="S636" s="355">
        <v>0.1</v>
      </c>
      <c r="T636" s="355"/>
      <c r="U636" s="315">
        <f t="shared" si="270"/>
        <v>1758.6165506250002</v>
      </c>
      <c r="V636" s="315">
        <f t="shared" si="271"/>
        <v>1775</v>
      </c>
      <c r="W636" s="316">
        <f t="shared" si="273"/>
        <v>0</v>
      </c>
    </row>
    <row r="637" spans="1:23" x14ac:dyDescent="0.25">
      <c r="A637" s="204" t="s">
        <v>16274</v>
      </c>
      <c r="B637" s="351" t="s">
        <v>20373</v>
      </c>
      <c r="C637" s="352"/>
      <c r="D637" s="353" t="s">
        <v>5</v>
      </c>
      <c r="E637" s="249">
        <f t="shared" si="260"/>
        <v>0</v>
      </c>
      <c r="F637" s="336">
        <v>0</v>
      </c>
      <c r="G637" s="258">
        <f t="shared" si="261"/>
        <v>0</v>
      </c>
      <c r="H637" s="249">
        <f t="shared" si="262"/>
        <v>6.3780010444968088E-2</v>
      </c>
      <c r="I637" s="336">
        <v>6.8617887741520079E-3</v>
      </c>
      <c r="J637" s="258">
        <f t="shared" si="263"/>
        <v>6.8617887741520079E-3</v>
      </c>
      <c r="K637" s="249">
        <f t="shared" si="264"/>
        <v>9.1210625721471423</v>
      </c>
      <c r="L637" s="336">
        <v>0.98129185506953887</v>
      </c>
      <c r="M637" s="258">
        <f t="shared" si="265"/>
        <v>0.98129185506953887</v>
      </c>
      <c r="N637" s="251">
        <f t="shared" si="266"/>
        <v>0.11005178272857236</v>
      </c>
      <c r="O637" s="336">
        <v>1.1839949257360325E-2</v>
      </c>
      <c r="P637" s="258">
        <f t="shared" si="267"/>
        <v>1.1839949257360325E-2</v>
      </c>
      <c r="Q637" s="354">
        <v>9.0745203488372095</v>
      </c>
      <c r="R637" s="249">
        <f t="shared" si="268"/>
        <v>9.2949539171511635</v>
      </c>
      <c r="S637" s="355">
        <v>0.1</v>
      </c>
      <c r="T637" s="355"/>
      <c r="U637" s="315">
        <f t="shared" si="270"/>
        <v>10.22444930886628</v>
      </c>
      <c r="V637" s="315">
        <f t="shared" si="271"/>
        <v>11</v>
      </c>
      <c r="W637" s="316">
        <f t="shared" si="273"/>
        <v>0</v>
      </c>
    </row>
    <row r="638" spans="1:23" x14ac:dyDescent="0.25">
      <c r="A638" s="204" t="s">
        <v>16275</v>
      </c>
      <c r="B638" s="351" t="s">
        <v>20374</v>
      </c>
      <c r="C638" s="352"/>
      <c r="D638" s="353" t="s">
        <v>14859</v>
      </c>
      <c r="E638" s="249">
        <f t="shared" si="260"/>
        <v>0</v>
      </c>
      <c r="F638" s="336">
        <v>0</v>
      </c>
      <c r="G638" s="258">
        <f t="shared" si="261"/>
        <v>0</v>
      </c>
      <c r="H638" s="249">
        <f t="shared" si="262"/>
        <v>10.970232095560501</v>
      </c>
      <c r="I638" s="336">
        <v>6.861788774152007E-3</v>
      </c>
      <c r="J638" s="258">
        <f t="shared" si="263"/>
        <v>6.861788774152007E-3</v>
      </c>
      <c r="K638" s="249">
        <f t="shared" si="264"/>
        <v>1568.8430587248449</v>
      </c>
      <c r="L638" s="336">
        <v>0.98129826196848768</v>
      </c>
      <c r="M638" s="258">
        <f t="shared" si="265"/>
        <v>0.98129826196848768</v>
      </c>
      <c r="N638" s="251">
        <f t="shared" si="266"/>
        <v>18.929027929594586</v>
      </c>
      <c r="O638" s="336">
        <v>1.1839949257360325E-2</v>
      </c>
      <c r="P638" s="258">
        <f t="shared" si="267"/>
        <v>1.1839949257360325E-2</v>
      </c>
      <c r="Q638" s="354">
        <v>1560.8175000000001</v>
      </c>
      <c r="R638" s="249">
        <f t="shared" si="268"/>
        <v>1598.7423187500001</v>
      </c>
      <c r="S638" s="355">
        <v>0.1</v>
      </c>
      <c r="T638" s="355"/>
      <c r="U638" s="315">
        <f t="shared" si="270"/>
        <v>1758.6165506250002</v>
      </c>
      <c r="V638" s="315">
        <f t="shared" si="271"/>
        <v>1775</v>
      </c>
      <c r="W638" s="316">
        <f t="shared" si="273"/>
        <v>0</v>
      </c>
    </row>
    <row r="639" spans="1:23" x14ac:dyDescent="0.25">
      <c r="A639" s="204" t="s">
        <v>16276</v>
      </c>
      <c r="B639" s="351" t="s">
        <v>20375</v>
      </c>
      <c r="C639" s="352"/>
      <c r="D639" s="353" t="s">
        <v>5</v>
      </c>
      <c r="E639" s="249">
        <f t="shared" si="260"/>
        <v>0</v>
      </c>
      <c r="F639" s="336">
        <v>0</v>
      </c>
      <c r="G639" s="258">
        <f t="shared" si="261"/>
        <v>0</v>
      </c>
      <c r="H639" s="249">
        <f t="shared" si="262"/>
        <v>6.3780010444968088E-2</v>
      </c>
      <c r="I639" s="336">
        <v>6.8617887741520079E-3</v>
      </c>
      <c r="J639" s="258">
        <f t="shared" si="263"/>
        <v>6.8617887741520079E-3</v>
      </c>
      <c r="K639" s="249">
        <f t="shared" si="264"/>
        <v>9.1210625721471423</v>
      </c>
      <c r="L639" s="336">
        <v>0.98129185506953887</v>
      </c>
      <c r="M639" s="258">
        <f t="shared" si="265"/>
        <v>0.98129185506953887</v>
      </c>
      <c r="N639" s="251">
        <f t="shared" si="266"/>
        <v>0.11005178272857236</v>
      </c>
      <c r="O639" s="336">
        <v>1.1839949257360325E-2</v>
      </c>
      <c r="P639" s="258">
        <f t="shared" si="267"/>
        <v>1.1839949257360325E-2</v>
      </c>
      <c r="Q639" s="354">
        <v>9.0745203488372095</v>
      </c>
      <c r="R639" s="249">
        <f t="shared" si="268"/>
        <v>9.2949539171511635</v>
      </c>
      <c r="S639" s="355">
        <v>0.1</v>
      </c>
      <c r="T639" s="355"/>
      <c r="U639" s="315">
        <f t="shared" si="270"/>
        <v>10.22444930886628</v>
      </c>
      <c r="V639" s="315">
        <f t="shared" si="271"/>
        <v>11</v>
      </c>
      <c r="W639" s="316">
        <f t="shared" si="273"/>
        <v>0</v>
      </c>
    </row>
    <row r="640" spans="1:23" x14ac:dyDescent="0.25">
      <c r="A640" s="204" t="s">
        <v>16277</v>
      </c>
      <c r="B640" s="351" t="s">
        <v>20376</v>
      </c>
      <c r="C640" s="352"/>
      <c r="D640" s="353" t="s">
        <v>14859</v>
      </c>
      <c r="E640" s="249">
        <f t="shared" si="260"/>
        <v>0</v>
      </c>
      <c r="F640" s="336">
        <v>0</v>
      </c>
      <c r="G640" s="258">
        <f t="shared" si="261"/>
        <v>0</v>
      </c>
      <c r="H640" s="249">
        <f t="shared" si="262"/>
        <v>10.970232095560501</v>
      </c>
      <c r="I640" s="336">
        <v>6.861788774152007E-3</v>
      </c>
      <c r="J640" s="258">
        <f t="shared" si="263"/>
        <v>6.861788774152007E-3</v>
      </c>
      <c r="K640" s="249">
        <f t="shared" si="264"/>
        <v>1568.8430587248449</v>
      </c>
      <c r="L640" s="336">
        <v>0.98129826196848768</v>
      </c>
      <c r="M640" s="258">
        <f t="shared" si="265"/>
        <v>0.98129826196848768</v>
      </c>
      <c r="N640" s="251">
        <f t="shared" si="266"/>
        <v>18.929027929594586</v>
      </c>
      <c r="O640" s="336">
        <v>1.1839949257360325E-2</v>
      </c>
      <c r="P640" s="258">
        <f t="shared" si="267"/>
        <v>1.1839949257360325E-2</v>
      </c>
      <c r="Q640" s="354">
        <v>1560.8175000000001</v>
      </c>
      <c r="R640" s="249">
        <f t="shared" si="268"/>
        <v>1598.7423187500001</v>
      </c>
      <c r="S640" s="355">
        <v>0.1</v>
      </c>
      <c r="T640" s="355"/>
      <c r="U640" s="315">
        <f t="shared" si="270"/>
        <v>1758.6165506250002</v>
      </c>
      <c r="V640" s="315">
        <f t="shared" si="271"/>
        <v>1775</v>
      </c>
      <c r="W640" s="316">
        <f t="shared" si="273"/>
        <v>0</v>
      </c>
    </row>
    <row r="641" spans="1:23" x14ac:dyDescent="0.25">
      <c r="A641" s="204" t="s">
        <v>16278</v>
      </c>
      <c r="B641" s="351" t="s">
        <v>20377</v>
      </c>
      <c r="C641" s="352"/>
      <c r="D641" s="353" t="s">
        <v>5</v>
      </c>
      <c r="E641" s="249">
        <f t="shared" si="260"/>
        <v>0</v>
      </c>
      <c r="F641" s="336">
        <v>0</v>
      </c>
      <c r="G641" s="258">
        <f t="shared" si="261"/>
        <v>0</v>
      </c>
      <c r="H641" s="249">
        <f t="shared" si="262"/>
        <v>6.3780010444968088E-2</v>
      </c>
      <c r="I641" s="336">
        <v>6.8617887741520079E-3</v>
      </c>
      <c r="J641" s="258">
        <f t="shared" si="263"/>
        <v>6.8617887741520079E-3</v>
      </c>
      <c r="K641" s="249">
        <f t="shared" si="264"/>
        <v>9.1210625721471423</v>
      </c>
      <c r="L641" s="336">
        <v>0.98129185506953887</v>
      </c>
      <c r="M641" s="258">
        <f t="shared" si="265"/>
        <v>0.98129185506953887</v>
      </c>
      <c r="N641" s="251">
        <f t="shared" si="266"/>
        <v>0.11005178272857236</v>
      </c>
      <c r="O641" s="336">
        <v>1.1839949257360325E-2</v>
      </c>
      <c r="P641" s="258">
        <f t="shared" si="267"/>
        <v>1.1839949257360325E-2</v>
      </c>
      <c r="Q641" s="354">
        <v>9.0745203488372095</v>
      </c>
      <c r="R641" s="249">
        <f t="shared" si="268"/>
        <v>9.2949539171511635</v>
      </c>
      <c r="S641" s="355">
        <v>0.1</v>
      </c>
      <c r="T641" s="355"/>
      <c r="U641" s="315">
        <f t="shared" si="270"/>
        <v>10.22444930886628</v>
      </c>
      <c r="V641" s="315">
        <f t="shared" si="271"/>
        <v>11</v>
      </c>
      <c r="W641" s="316">
        <f t="shared" si="273"/>
        <v>0</v>
      </c>
    </row>
    <row r="642" spans="1:23" ht="14.4" thickBot="1" x14ac:dyDescent="0.3">
      <c r="A642" s="356" t="s">
        <v>16279</v>
      </c>
      <c r="B642" s="357" t="s">
        <v>20378</v>
      </c>
      <c r="C642" s="358"/>
      <c r="D642" s="359" t="s">
        <v>14859</v>
      </c>
      <c r="E642" s="266">
        <f t="shared" si="260"/>
        <v>0</v>
      </c>
      <c r="F642" s="360">
        <v>0</v>
      </c>
      <c r="G642" s="322">
        <f t="shared" si="261"/>
        <v>0</v>
      </c>
      <c r="H642" s="266">
        <f t="shared" si="262"/>
        <v>10.970307458468989</v>
      </c>
      <c r="I642" s="360">
        <v>6.6227008375768712E-3</v>
      </c>
      <c r="J642" s="322">
        <f t="shared" si="263"/>
        <v>6.6227008375768712E-3</v>
      </c>
      <c r="K642" s="266">
        <f t="shared" si="264"/>
        <v>1626.5708670739766</v>
      </c>
      <c r="L642" s="360">
        <v>0.98194989379562381</v>
      </c>
      <c r="M642" s="322">
        <f t="shared" si="265"/>
        <v>0.98194989379562381</v>
      </c>
      <c r="N642" s="270">
        <f t="shared" si="266"/>
        <v>18.929157967554332</v>
      </c>
      <c r="O642" s="360">
        <v>1.1427405366799306E-2</v>
      </c>
      <c r="P642" s="322">
        <f t="shared" si="267"/>
        <v>1.1427405366799306E-2</v>
      </c>
      <c r="Q642" s="361">
        <v>1617.165</v>
      </c>
      <c r="R642" s="266">
        <f t="shared" si="268"/>
        <v>1656.4703325</v>
      </c>
      <c r="S642" s="362">
        <v>0.1</v>
      </c>
      <c r="T642" s="362"/>
      <c r="U642" s="324">
        <f t="shared" si="270"/>
        <v>1822.1173657500001</v>
      </c>
      <c r="V642" s="324">
        <f t="shared" si="271"/>
        <v>1825</v>
      </c>
      <c r="W642" s="325">
        <f t="shared" si="273"/>
        <v>0</v>
      </c>
    </row>
    <row r="643" spans="1:23" x14ac:dyDescent="0.25">
      <c r="A643" s="204" t="s">
        <v>16280</v>
      </c>
      <c r="B643" s="351" t="s">
        <v>20379</v>
      </c>
      <c r="C643" s="352"/>
      <c r="D643" s="353" t="s">
        <v>5</v>
      </c>
      <c r="E643" s="249">
        <f t="shared" ref="E643:E706" si="274">R643*G643</f>
        <v>0</v>
      </c>
      <c r="F643" s="336">
        <v>0</v>
      </c>
      <c r="G643" s="258">
        <f t="shared" ref="G643:G706" si="275">F643</f>
        <v>0</v>
      </c>
      <c r="H643" s="249">
        <f t="shared" ref="H643:H706" si="276">R643*J643</f>
        <v>6.3780462842435506E-2</v>
      </c>
      <c r="I643" s="336">
        <v>6.622700837576872E-3</v>
      </c>
      <c r="J643" s="258">
        <f t="shared" ref="J643:J706" si="277">I643</f>
        <v>6.622700837576872E-3</v>
      </c>
      <c r="K643" s="249">
        <f t="shared" ref="K643:K706" si="278">R643*M643</f>
        <v>9.4566893256384752</v>
      </c>
      <c r="L643" s="336">
        <v>0.98194371013471105</v>
      </c>
      <c r="M643" s="258">
        <f t="shared" ref="M643:M706" si="279">L643</f>
        <v>0.98194371013471105</v>
      </c>
      <c r="N643" s="251">
        <f t="shared" ref="N643:N706" si="280">P643*R643</f>
        <v>0.11005256333596714</v>
      </c>
      <c r="O643" s="336">
        <v>1.1427405366799308E-2</v>
      </c>
      <c r="P643" s="258">
        <f t="shared" ref="P643:P706" si="281">O643</f>
        <v>1.1427405366799308E-2</v>
      </c>
      <c r="Q643" s="354">
        <v>9.4021220930232552</v>
      </c>
      <c r="R643" s="249">
        <f t="shared" ref="R643:R706" si="282">SUM(F643*Q643*1.0235,I643*Q643*1.0175,L643*Q643*1.0245,O643*Q643*1.0115)</f>
        <v>9.630581904069766</v>
      </c>
      <c r="S643" s="355">
        <v>0.1</v>
      </c>
      <c r="T643" s="355"/>
      <c r="U643" s="315">
        <f t="shared" si="270"/>
        <v>10.593640094476743</v>
      </c>
      <c r="V643" s="315">
        <f t="shared" si="271"/>
        <v>11</v>
      </c>
      <c r="W643" s="316">
        <f t="shared" si="273"/>
        <v>0</v>
      </c>
    </row>
    <row r="644" spans="1:23" x14ac:dyDescent="0.25">
      <c r="A644" s="204" t="s">
        <v>16281</v>
      </c>
      <c r="B644" s="351" t="s">
        <v>20380</v>
      </c>
      <c r="C644" s="352"/>
      <c r="D644" s="353" t="s">
        <v>14859</v>
      </c>
      <c r="E644" s="249">
        <f t="shared" si="274"/>
        <v>0</v>
      </c>
      <c r="F644" s="336">
        <v>0</v>
      </c>
      <c r="G644" s="258">
        <f t="shared" si="275"/>
        <v>0</v>
      </c>
      <c r="H644" s="249">
        <f t="shared" si="276"/>
        <v>10.970307458468989</v>
      </c>
      <c r="I644" s="336">
        <v>6.6227008375768712E-3</v>
      </c>
      <c r="J644" s="258">
        <f t="shared" si="277"/>
        <v>6.6227008375768712E-3</v>
      </c>
      <c r="K644" s="249">
        <f t="shared" si="278"/>
        <v>1626.5708670739766</v>
      </c>
      <c r="L644" s="336">
        <v>0.98194989379562381</v>
      </c>
      <c r="M644" s="258">
        <f t="shared" si="279"/>
        <v>0.98194989379562381</v>
      </c>
      <c r="N644" s="251">
        <f t="shared" si="280"/>
        <v>18.929157967554332</v>
      </c>
      <c r="O644" s="336">
        <v>1.1427405366799306E-2</v>
      </c>
      <c r="P644" s="258">
        <f t="shared" si="281"/>
        <v>1.1427405366799306E-2</v>
      </c>
      <c r="Q644" s="354">
        <v>1617.165</v>
      </c>
      <c r="R644" s="249">
        <f t="shared" si="282"/>
        <v>1656.4703325</v>
      </c>
      <c r="S644" s="355">
        <v>0.1</v>
      </c>
      <c r="T644" s="355"/>
      <c r="U644" s="315">
        <f t="shared" si="270"/>
        <v>1822.1173657500001</v>
      </c>
      <c r="V644" s="315">
        <f t="shared" si="271"/>
        <v>1825</v>
      </c>
      <c r="W644" s="316">
        <f t="shared" si="273"/>
        <v>0</v>
      </c>
    </row>
    <row r="645" spans="1:23" x14ac:dyDescent="0.25">
      <c r="A645" s="204" t="s">
        <v>16282</v>
      </c>
      <c r="B645" s="351" t="s">
        <v>20381</v>
      </c>
      <c r="C645" s="352"/>
      <c r="D645" s="353" t="s">
        <v>5</v>
      </c>
      <c r="E645" s="249">
        <f t="shared" si="274"/>
        <v>0</v>
      </c>
      <c r="F645" s="336">
        <v>0</v>
      </c>
      <c r="G645" s="258">
        <f t="shared" si="275"/>
        <v>0</v>
      </c>
      <c r="H645" s="249">
        <f t="shared" si="276"/>
        <v>6.3780462842435506E-2</v>
      </c>
      <c r="I645" s="336">
        <v>6.622700837576872E-3</v>
      </c>
      <c r="J645" s="258">
        <f t="shared" si="277"/>
        <v>6.622700837576872E-3</v>
      </c>
      <c r="K645" s="249">
        <f t="shared" si="278"/>
        <v>9.4566893256384752</v>
      </c>
      <c r="L645" s="336">
        <v>0.98194371013471105</v>
      </c>
      <c r="M645" s="258">
        <f t="shared" si="279"/>
        <v>0.98194371013471105</v>
      </c>
      <c r="N645" s="251">
        <f t="shared" si="280"/>
        <v>0.11005256333596714</v>
      </c>
      <c r="O645" s="336">
        <v>1.1427405366799308E-2</v>
      </c>
      <c r="P645" s="258">
        <f t="shared" si="281"/>
        <v>1.1427405366799308E-2</v>
      </c>
      <c r="Q645" s="354">
        <v>9.4021220930232552</v>
      </c>
      <c r="R645" s="249">
        <f t="shared" si="282"/>
        <v>9.630581904069766</v>
      </c>
      <c r="S645" s="355">
        <v>0.1</v>
      </c>
      <c r="T645" s="355"/>
      <c r="U645" s="315">
        <f t="shared" si="270"/>
        <v>10.593640094476743</v>
      </c>
      <c r="V645" s="315">
        <f t="shared" si="271"/>
        <v>11</v>
      </c>
      <c r="W645" s="316">
        <f t="shared" si="273"/>
        <v>0</v>
      </c>
    </row>
    <row r="646" spans="1:23" x14ac:dyDescent="0.25">
      <c r="A646" s="204" t="s">
        <v>16283</v>
      </c>
      <c r="B646" s="351" t="s">
        <v>20382</v>
      </c>
      <c r="C646" s="352"/>
      <c r="D646" s="353" t="s">
        <v>14859</v>
      </c>
      <c r="E646" s="249">
        <f t="shared" si="274"/>
        <v>0</v>
      </c>
      <c r="F646" s="336">
        <v>0</v>
      </c>
      <c r="G646" s="258">
        <f t="shared" si="275"/>
        <v>0</v>
      </c>
      <c r="H646" s="249">
        <f t="shared" si="276"/>
        <v>10.970307458468989</v>
      </c>
      <c r="I646" s="336">
        <v>6.6227008375768712E-3</v>
      </c>
      <c r="J646" s="258">
        <f t="shared" si="277"/>
        <v>6.6227008375768712E-3</v>
      </c>
      <c r="K646" s="249">
        <f t="shared" si="278"/>
        <v>1626.5708670739766</v>
      </c>
      <c r="L646" s="336">
        <v>0.98194989379562381</v>
      </c>
      <c r="M646" s="258">
        <f t="shared" si="279"/>
        <v>0.98194989379562381</v>
      </c>
      <c r="N646" s="251">
        <f t="shared" si="280"/>
        <v>18.929157967554332</v>
      </c>
      <c r="O646" s="336">
        <v>1.1427405366799306E-2</v>
      </c>
      <c r="P646" s="258">
        <f t="shared" si="281"/>
        <v>1.1427405366799306E-2</v>
      </c>
      <c r="Q646" s="354">
        <v>1617.165</v>
      </c>
      <c r="R646" s="249">
        <f t="shared" si="282"/>
        <v>1656.4703325</v>
      </c>
      <c r="S646" s="355">
        <v>0.1</v>
      </c>
      <c r="T646" s="355"/>
      <c r="U646" s="315">
        <f t="shared" si="270"/>
        <v>1822.1173657500001</v>
      </c>
      <c r="V646" s="315">
        <f t="shared" si="271"/>
        <v>1825</v>
      </c>
      <c r="W646" s="316">
        <f t="shared" si="273"/>
        <v>0</v>
      </c>
    </row>
    <row r="647" spans="1:23" x14ac:dyDescent="0.25">
      <c r="A647" s="204" t="s">
        <v>16284</v>
      </c>
      <c r="B647" s="351" t="s">
        <v>20383</v>
      </c>
      <c r="C647" s="352"/>
      <c r="D647" s="353" t="s">
        <v>5</v>
      </c>
      <c r="E647" s="249">
        <f t="shared" si="274"/>
        <v>0</v>
      </c>
      <c r="F647" s="336">
        <v>0</v>
      </c>
      <c r="G647" s="258">
        <f t="shared" si="275"/>
        <v>0</v>
      </c>
      <c r="H647" s="249">
        <f t="shared" si="276"/>
        <v>6.3780462842435506E-2</v>
      </c>
      <c r="I647" s="336">
        <v>6.622700837576872E-3</v>
      </c>
      <c r="J647" s="258">
        <f t="shared" si="277"/>
        <v>6.622700837576872E-3</v>
      </c>
      <c r="K647" s="249">
        <f t="shared" si="278"/>
        <v>9.4566893256384752</v>
      </c>
      <c r="L647" s="336">
        <v>0.98194371013471105</v>
      </c>
      <c r="M647" s="258">
        <f t="shared" si="279"/>
        <v>0.98194371013471105</v>
      </c>
      <c r="N647" s="251">
        <f t="shared" si="280"/>
        <v>0.11005256333596714</v>
      </c>
      <c r="O647" s="336">
        <v>1.1427405366799308E-2</v>
      </c>
      <c r="P647" s="258">
        <f t="shared" si="281"/>
        <v>1.1427405366799308E-2</v>
      </c>
      <c r="Q647" s="354">
        <v>9.4021220930232552</v>
      </c>
      <c r="R647" s="249">
        <f t="shared" si="282"/>
        <v>9.630581904069766</v>
      </c>
      <c r="S647" s="355">
        <v>0.1</v>
      </c>
      <c r="T647" s="355"/>
      <c r="U647" s="315">
        <f t="shared" si="270"/>
        <v>10.593640094476743</v>
      </c>
      <c r="V647" s="315">
        <f t="shared" si="271"/>
        <v>11</v>
      </c>
      <c r="W647" s="316">
        <f t="shared" si="273"/>
        <v>0</v>
      </c>
    </row>
    <row r="648" spans="1:23" x14ac:dyDescent="0.25">
      <c r="A648" s="204" t="s">
        <v>16285</v>
      </c>
      <c r="B648" s="351" t="s">
        <v>20384</v>
      </c>
      <c r="C648" s="352"/>
      <c r="D648" s="353" t="s">
        <v>14859</v>
      </c>
      <c r="E648" s="249">
        <f t="shared" si="274"/>
        <v>0</v>
      </c>
      <c r="F648" s="336">
        <v>0</v>
      </c>
      <c r="G648" s="258">
        <f t="shared" si="275"/>
        <v>0</v>
      </c>
      <c r="H648" s="249">
        <f t="shared" si="276"/>
        <v>10.970307458468989</v>
      </c>
      <c r="I648" s="336">
        <v>6.6227008375768712E-3</v>
      </c>
      <c r="J648" s="258">
        <f t="shared" si="277"/>
        <v>6.6227008375768712E-3</v>
      </c>
      <c r="K648" s="249">
        <f t="shared" si="278"/>
        <v>1626.5708670739766</v>
      </c>
      <c r="L648" s="336">
        <v>0.98194989379562381</v>
      </c>
      <c r="M648" s="258">
        <f t="shared" si="279"/>
        <v>0.98194989379562381</v>
      </c>
      <c r="N648" s="251">
        <f t="shared" si="280"/>
        <v>18.929157967554332</v>
      </c>
      <c r="O648" s="336">
        <v>1.1427405366799306E-2</v>
      </c>
      <c r="P648" s="258">
        <f t="shared" si="281"/>
        <v>1.1427405366799306E-2</v>
      </c>
      <c r="Q648" s="354">
        <v>1617.165</v>
      </c>
      <c r="R648" s="249">
        <f t="shared" si="282"/>
        <v>1656.4703325</v>
      </c>
      <c r="S648" s="355">
        <v>0.1</v>
      </c>
      <c r="T648" s="355"/>
      <c r="U648" s="315">
        <f t="shared" si="270"/>
        <v>1822.1173657500001</v>
      </c>
      <c r="V648" s="315">
        <f t="shared" si="271"/>
        <v>1825</v>
      </c>
      <c r="W648" s="316">
        <f t="shared" si="273"/>
        <v>0</v>
      </c>
    </row>
    <row r="649" spans="1:23" x14ac:dyDescent="0.25">
      <c r="A649" s="204" t="s">
        <v>16286</v>
      </c>
      <c r="B649" s="351" t="s">
        <v>20385</v>
      </c>
      <c r="C649" s="352"/>
      <c r="D649" s="353" t="s">
        <v>5</v>
      </c>
      <c r="E649" s="249">
        <f t="shared" si="274"/>
        <v>0</v>
      </c>
      <c r="F649" s="336">
        <v>0</v>
      </c>
      <c r="G649" s="258">
        <f t="shared" si="275"/>
        <v>0</v>
      </c>
      <c r="H649" s="249">
        <f t="shared" si="276"/>
        <v>6.3780462842435506E-2</v>
      </c>
      <c r="I649" s="336">
        <v>6.622700837576872E-3</v>
      </c>
      <c r="J649" s="258">
        <f t="shared" si="277"/>
        <v>6.622700837576872E-3</v>
      </c>
      <c r="K649" s="249">
        <f t="shared" si="278"/>
        <v>9.4566893256384752</v>
      </c>
      <c r="L649" s="336">
        <v>0.98194371013471105</v>
      </c>
      <c r="M649" s="258">
        <f t="shared" si="279"/>
        <v>0.98194371013471105</v>
      </c>
      <c r="N649" s="251">
        <f t="shared" si="280"/>
        <v>0.11005256333596714</v>
      </c>
      <c r="O649" s="336">
        <v>1.1427405366799308E-2</v>
      </c>
      <c r="P649" s="258">
        <f t="shared" si="281"/>
        <v>1.1427405366799308E-2</v>
      </c>
      <c r="Q649" s="354">
        <v>9.4021220930232552</v>
      </c>
      <c r="R649" s="249">
        <f t="shared" si="282"/>
        <v>9.630581904069766</v>
      </c>
      <c r="S649" s="355">
        <v>0.1</v>
      </c>
      <c r="T649" s="355"/>
      <c r="U649" s="315">
        <f t="shared" si="270"/>
        <v>10.593640094476743</v>
      </c>
      <c r="V649" s="315">
        <f t="shared" si="271"/>
        <v>11</v>
      </c>
      <c r="W649" s="316">
        <f t="shared" si="273"/>
        <v>0</v>
      </c>
    </row>
    <row r="650" spans="1:23" x14ac:dyDescent="0.25">
      <c r="A650" s="204" t="s">
        <v>16287</v>
      </c>
      <c r="B650" s="351" t="s">
        <v>20386</v>
      </c>
      <c r="C650" s="352"/>
      <c r="D650" s="353" t="s">
        <v>14859</v>
      </c>
      <c r="E650" s="249">
        <f t="shared" si="274"/>
        <v>0</v>
      </c>
      <c r="F650" s="336">
        <v>0</v>
      </c>
      <c r="G650" s="258">
        <f t="shared" si="275"/>
        <v>0</v>
      </c>
      <c r="H650" s="249">
        <f t="shared" si="276"/>
        <v>10.970307458468989</v>
      </c>
      <c r="I650" s="336">
        <v>6.6227008375768712E-3</v>
      </c>
      <c r="J650" s="258">
        <f t="shared" si="277"/>
        <v>6.6227008375768712E-3</v>
      </c>
      <c r="K650" s="249">
        <f t="shared" si="278"/>
        <v>1626.5708670739766</v>
      </c>
      <c r="L650" s="336">
        <v>0.98194989379562381</v>
      </c>
      <c r="M650" s="258">
        <f t="shared" si="279"/>
        <v>0.98194989379562381</v>
      </c>
      <c r="N650" s="251">
        <f t="shared" si="280"/>
        <v>18.929157967554332</v>
      </c>
      <c r="O650" s="336">
        <v>1.1427405366799306E-2</v>
      </c>
      <c r="P650" s="258">
        <f t="shared" si="281"/>
        <v>1.1427405366799306E-2</v>
      </c>
      <c r="Q650" s="354">
        <v>1617.165</v>
      </c>
      <c r="R650" s="249">
        <f t="shared" si="282"/>
        <v>1656.4703325</v>
      </c>
      <c r="S650" s="355">
        <v>0.1</v>
      </c>
      <c r="T650" s="355"/>
      <c r="U650" s="315">
        <f t="shared" si="270"/>
        <v>1822.1173657500001</v>
      </c>
      <c r="V650" s="315">
        <f t="shared" si="271"/>
        <v>1825</v>
      </c>
      <c r="W650" s="316">
        <f t="shared" si="273"/>
        <v>0</v>
      </c>
    </row>
    <row r="651" spans="1:23" x14ac:dyDescent="0.25">
      <c r="A651" s="204" t="s">
        <v>16288</v>
      </c>
      <c r="B651" s="351" t="s">
        <v>20387</v>
      </c>
      <c r="C651" s="352"/>
      <c r="D651" s="353" t="s">
        <v>5</v>
      </c>
      <c r="E651" s="249">
        <f t="shared" si="274"/>
        <v>0</v>
      </c>
      <c r="F651" s="336">
        <v>0</v>
      </c>
      <c r="G651" s="258">
        <f t="shared" si="275"/>
        <v>0</v>
      </c>
      <c r="H651" s="249">
        <f t="shared" si="276"/>
        <v>6.3780462842435506E-2</v>
      </c>
      <c r="I651" s="336">
        <v>6.622700837576872E-3</v>
      </c>
      <c r="J651" s="258">
        <f t="shared" si="277"/>
        <v>6.622700837576872E-3</v>
      </c>
      <c r="K651" s="249">
        <f t="shared" si="278"/>
        <v>9.4566893256384752</v>
      </c>
      <c r="L651" s="336">
        <v>0.98194371013471105</v>
      </c>
      <c r="M651" s="258">
        <f t="shared" si="279"/>
        <v>0.98194371013471105</v>
      </c>
      <c r="N651" s="251">
        <f t="shared" si="280"/>
        <v>0.11005256333596714</v>
      </c>
      <c r="O651" s="336">
        <v>1.1427405366799308E-2</v>
      </c>
      <c r="P651" s="258">
        <f t="shared" si="281"/>
        <v>1.1427405366799308E-2</v>
      </c>
      <c r="Q651" s="354">
        <v>9.4021220930232552</v>
      </c>
      <c r="R651" s="249">
        <f t="shared" si="282"/>
        <v>9.630581904069766</v>
      </c>
      <c r="S651" s="355">
        <v>0.1</v>
      </c>
      <c r="T651" s="355"/>
      <c r="U651" s="315">
        <f t="shared" si="270"/>
        <v>10.593640094476743</v>
      </c>
      <c r="V651" s="315">
        <f t="shared" si="271"/>
        <v>11</v>
      </c>
      <c r="W651" s="316">
        <f t="shared" si="273"/>
        <v>0</v>
      </c>
    </row>
    <row r="652" spans="1:23" x14ac:dyDescent="0.25">
      <c r="A652" s="204" t="s">
        <v>16289</v>
      </c>
      <c r="B652" s="351" t="s">
        <v>20388</v>
      </c>
      <c r="C652" s="352"/>
      <c r="D652" s="353" t="s">
        <v>14859</v>
      </c>
      <c r="E652" s="249">
        <f t="shared" si="274"/>
        <v>0</v>
      </c>
      <c r="F652" s="336">
        <v>0</v>
      </c>
      <c r="G652" s="258">
        <f t="shared" si="275"/>
        <v>0</v>
      </c>
      <c r="H652" s="249">
        <f t="shared" si="276"/>
        <v>10.970307458468989</v>
      </c>
      <c r="I652" s="336">
        <v>6.6227008375768712E-3</v>
      </c>
      <c r="J652" s="258">
        <f t="shared" si="277"/>
        <v>6.6227008375768712E-3</v>
      </c>
      <c r="K652" s="249">
        <f t="shared" si="278"/>
        <v>1626.5708670739766</v>
      </c>
      <c r="L652" s="336">
        <v>0.98194989379562381</v>
      </c>
      <c r="M652" s="258">
        <f t="shared" si="279"/>
        <v>0.98194989379562381</v>
      </c>
      <c r="N652" s="251">
        <f t="shared" si="280"/>
        <v>18.929157967554332</v>
      </c>
      <c r="O652" s="336">
        <v>1.1427405366799306E-2</v>
      </c>
      <c r="P652" s="258">
        <f t="shared" si="281"/>
        <v>1.1427405366799306E-2</v>
      </c>
      <c r="Q652" s="354">
        <v>1617.165</v>
      </c>
      <c r="R652" s="249">
        <f t="shared" si="282"/>
        <v>1656.4703325</v>
      </c>
      <c r="S652" s="355">
        <v>0.1</v>
      </c>
      <c r="T652" s="355"/>
      <c r="U652" s="315">
        <f t="shared" si="270"/>
        <v>1822.1173657500001</v>
      </c>
      <c r="V652" s="315">
        <f t="shared" si="271"/>
        <v>1825</v>
      </c>
      <c r="W652" s="316">
        <f t="shared" si="273"/>
        <v>0</v>
      </c>
    </row>
    <row r="653" spans="1:23" x14ac:dyDescent="0.25">
      <c r="A653" s="204" t="s">
        <v>16290</v>
      </c>
      <c r="B653" s="351" t="s">
        <v>20389</v>
      </c>
      <c r="C653" s="352"/>
      <c r="D653" s="353" t="s">
        <v>5</v>
      </c>
      <c r="E653" s="249">
        <f t="shared" si="274"/>
        <v>0</v>
      </c>
      <c r="F653" s="336">
        <v>0</v>
      </c>
      <c r="G653" s="258">
        <f t="shared" si="275"/>
        <v>0</v>
      </c>
      <c r="H653" s="249">
        <f t="shared" si="276"/>
        <v>6.3780462842435506E-2</v>
      </c>
      <c r="I653" s="336">
        <v>6.622700837576872E-3</v>
      </c>
      <c r="J653" s="258">
        <f t="shared" si="277"/>
        <v>6.622700837576872E-3</v>
      </c>
      <c r="K653" s="249">
        <f t="shared" si="278"/>
        <v>9.4566893256384752</v>
      </c>
      <c r="L653" s="336">
        <v>0.98194371013471105</v>
      </c>
      <c r="M653" s="258">
        <f t="shared" si="279"/>
        <v>0.98194371013471105</v>
      </c>
      <c r="N653" s="251">
        <f t="shared" si="280"/>
        <v>0.11005256333596714</v>
      </c>
      <c r="O653" s="336">
        <v>1.1427405366799308E-2</v>
      </c>
      <c r="P653" s="258">
        <f t="shared" si="281"/>
        <v>1.1427405366799308E-2</v>
      </c>
      <c r="Q653" s="354">
        <v>9.4021220930232552</v>
      </c>
      <c r="R653" s="249">
        <f t="shared" si="282"/>
        <v>9.630581904069766</v>
      </c>
      <c r="S653" s="355">
        <v>0.1</v>
      </c>
      <c r="T653" s="355"/>
      <c r="U653" s="315">
        <f t="shared" si="270"/>
        <v>10.593640094476743</v>
      </c>
      <c r="V653" s="315">
        <f t="shared" si="271"/>
        <v>11</v>
      </c>
      <c r="W653" s="316">
        <f t="shared" si="273"/>
        <v>0</v>
      </c>
    </row>
    <row r="654" spans="1:23" x14ac:dyDescent="0.25">
      <c r="A654" s="204" t="s">
        <v>16291</v>
      </c>
      <c r="B654" s="351" t="s">
        <v>20390</v>
      </c>
      <c r="C654" s="352"/>
      <c r="D654" s="353" t="s">
        <v>14859</v>
      </c>
      <c r="E654" s="249">
        <f t="shared" si="274"/>
        <v>0</v>
      </c>
      <c r="F654" s="336">
        <v>0</v>
      </c>
      <c r="G654" s="258">
        <f t="shared" si="275"/>
        <v>0</v>
      </c>
      <c r="H654" s="249">
        <f t="shared" si="276"/>
        <v>10.970307458468989</v>
      </c>
      <c r="I654" s="336">
        <v>6.6227008375768712E-3</v>
      </c>
      <c r="J654" s="258">
        <f t="shared" si="277"/>
        <v>6.6227008375768712E-3</v>
      </c>
      <c r="K654" s="249">
        <f t="shared" si="278"/>
        <v>1626.5708670739766</v>
      </c>
      <c r="L654" s="336">
        <v>0.98194989379562381</v>
      </c>
      <c r="M654" s="258">
        <f t="shared" si="279"/>
        <v>0.98194989379562381</v>
      </c>
      <c r="N654" s="251">
        <f t="shared" si="280"/>
        <v>18.929157967554332</v>
      </c>
      <c r="O654" s="336">
        <v>1.1427405366799306E-2</v>
      </c>
      <c r="P654" s="258">
        <f t="shared" si="281"/>
        <v>1.1427405366799306E-2</v>
      </c>
      <c r="Q654" s="354">
        <v>1617.165</v>
      </c>
      <c r="R654" s="249">
        <f t="shared" si="282"/>
        <v>1656.4703325</v>
      </c>
      <c r="S654" s="355">
        <v>0.1</v>
      </c>
      <c r="T654" s="355"/>
      <c r="U654" s="315">
        <f t="shared" si="270"/>
        <v>1822.1173657500001</v>
      </c>
      <c r="V654" s="315">
        <f t="shared" si="271"/>
        <v>1825</v>
      </c>
      <c r="W654" s="316">
        <f t="shared" si="273"/>
        <v>0</v>
      </c>
    </row>
    <row r="655" spans="1:23" x14ac:dyDescent="0.25">
      <c r="A655" s="204" t="s">
        <v>16292</v>
      </c>
      <c r="B655" s="351" t="s">
        <v>20391</v>
      </c>
      <c r="C655" s="352"/>
      <c r="D655" s="353" t="s">
        <v>5</v>
      </c>
      <c r="E655" s="249">
        <f t="shared" si="274"/>
        <v>0</v>
      </c>
      <c r="F655" s="336">
        <v>0</v>
      </c>
      <c r="G655" s="258">
        <f t="shared" si="275"/>
        <v>0</v>
      </c>
      <c r="H655" s="249">
        <f t="shared" si="276"/>
        <v>6.3780462842435506E-2</v>
      </c>
      <c r="I655" s="336">
        <v>6.622700837576872E-3</v>
      </c>
      <c r="J655" s="258">
        <f t="shared" si="277"/>
        <v>6.622700837576872E-3</v>
      </c>
      <c r="K655" s="249">
        <f t="shared" si="278"/>
        <v>9.4566893256384752</v>
      </c>
      <c r="L655" s="336">
        <v>0.98194371013471105</v>
      </c>
      <c r="M655" s="258">
        <f t="shared" si="279"/>
        <v>0.98194371013471105</v>
      </c>
      <c r="N655" s="251">
        <f t="shared" si="280"/>
        <v>0.11005256333596714</v>
      </c>
      <c r="O655" s="336">
        <v>1.1427405366799308E-2</v>
      </c>
      <c r="P655" s="258">
        <f t="shared" si="281"/>
        <v>1.1427405366799308E-2</v>
      </c>
      <c r="Q655" s="354">
        <v>9.4021220930232552</v>
      </c>
      <c r="R655" s="249">
        <f t="shared" si="282"/>
        <v>9.630581904069766</v>
      </c>
      <c r="S655" s="355">
        <v>0.1</v>
      </c>
      <c r="T655" s="355"/>
      <c r="U655" s="315">
        <f t="shared" si="270"/>
        <v>10.593640094476743</v>
      </c>
      <c r="V655" s="315">
        <f t="shared" si="271"/>
        <v>11</v>
      </c>
      <c r="W655" s="316">
        <f t="shared" si="273"/>
        <v>0</v>
      </c>
    </row>
    <row r="656" spans="1:23" x14ac:dyDescent="0.25">
      <c r="A656" s="204" t="s">
        <v>16293</v>
      </c>
      <c r="B656" s="351" t="s">
        <v>20392</v>
      </c>
      <c r="C656" s="352"/>
      <c r="D656" s="353" t="s">
        <v>14859</v>
      </c>
      <c r="E656" s="249">
        <f t="shared" si="274"/>
        <v>0</v>
      </c>
      <c r="F656" s="336">
        <v>0</v>
      </c>
      <c r="G656" s="258">
        <f t="shared" si="275"/>
        <v>0</v>
      </c>
      <c r="H656" s="249">
        <f t="shared" si="276"/>
        <v>10.970307458468989</v>
      </c>
      <c r="I656" s="336">
        <v>6.6227008375768712E-3</v>
      </c>
      <c r="J656" s="258">
        <f t="shared" si="277"/>
        <v>6.6227008375768712E-3</v>
      </c>
      <c r="K656" s="249">
        <f t="shared" si="278"/>
        <v>1626.5708670739766</v>
      </c>
      <c r="L656" s="336">
        <v>0.98194989379562381</v>
      </c>
      <c r="M656" s="258">
        <f t="shared" si="279"/>
        <v>0.98194989379562381</v>
      </c>
      <c r="N656" s="251">
        <f t="shared" si="280"/>
        <v>18.929157967554332</v>
      </c>
      <c r="O656" s="336">
        <v>1.1427405366799306E-2</v>
      </c>
      <c r="P656" s="258">
        <f t="shared" si="281"/>
        <v>1.1427405366799306E-2</v>
      </c>
      <c r="Q656" s="354">
        <v>1617.165</v>
      </c>
      <c r="R656" s="249">
        <f t="shared" si="282"/>
        <v>1656.4703325</v>
      </c>
      <c r="S656" s="355">
        <v>0.1</v>
      </c>
      <c r="T656" s="355"/>
      <c r="U656" s="315">
        <f t="shared" si="270"/>
        <v>1822.1173657500001</v>
      </c>
      <c r="V656" s="315">
        <f t="shared" si="271"/>
        <v>1825</v>
      </c>
      <c r="W656" s="316">
        <f t="shared" si="273"/>
        <v>0</v>
      </c>
    </row>
    <row r="657" spans="1:23" x14ac:dyDescent="0.25">
      <c r="A657" s="204" t="s">
        <v>16294</v>
      </c>
      <c r="B657" s="351" t="s">
        <v>20393</v>
      </c>
      <c r="C657" s="352"/>
      <c r="D657" s="353" t="s">
        <v>5</v>
      </c>
      <c r="E657" s="249">
        <f t="shared" si="274"/>
        <v>0</v>
      </c>
      <c r="F657" s="336">
        <v>0</v>
      </c>
      <c r="G657" s="258">
        <f t="shared" si="275"/>
        <v>0</v>
      </c>
      <c r="H657" s="249">
        <f t="shared" si="276"/>
        <v>6.3780462842435506E-2</v>
      </c>
      <c r="I657" s="336">
        <v>6.622700837576872E-3</v>
      </c>
      <c r="J657" s="258">
        <f t="shared" si="277"/>
        <v>6.622700837576872E-3</v>
      </c>
      <c r="K657" s="249">
        <f t="shared" si="278"/>
        <v>9.4566893256384752</v>
      </c>
      <c r="L657" s="336">
        <v>0.98194371013471105</v>
      </c>
      <c r="M657" s="258">
        <f t="shared" si="279"/>
        <v>0.98194371013471105</v>
      </c>
      <c r="N657" s="251">
        <f t="shared" si="280"/>
        <v>0.11005256333596714</v>
      </c>
      <c r="O657" s="336">
        <v>1.1427405366799308E-2</v>
      </c>
      <c r="P657" s="258">
        <f t="shared" si="281"/>
        <v>1.1427405366799308E-2</v>
      </c>
      <c r="Q657" s="354">
        <v>9.4021220930232552</v>
      </c>
      <c r="R657" s="249">
        <f t="shared" si="282"/>
        <v>9.630581904069766</v>
      </c>
      <c r="S657" s="355">
        <v>0.1</v>
      </c>
      <c r="T657" s="355"/>
      <c r="U657" s="315">
        <f t="shared" si="270"/>
        <v>10.593640094476743</v>
      </c>
      <c r="V657" s="315">
        <f t="shared" si="271"/>
        <v>11</v>
      </c>
      <c r="W657" s="316">
        <f t="shared" si="273"/>
        <v>0</v>
      </c>
    </row>
    <row r="658" spans="1:23" x14ac:dyDescent="0.25">
      <c r="A658" s="204" t="s">
        <v>16295</v>
      </c>
      <c r="B658" s="351" t="s">
        <v>20394</v>
      </c>
      <c r="C658" s="352"/>
      <c r="D658" s="353" t="s">
        <v>14859</v>
      </c>
      <c r="E658" s="249">
        <f t="shared" si="274"/>
        <v>0</v>
      </c>
      <c r="F658" s="336">
        <v>0</v>
      </c>
      <c r="G658" s="258">
        <f t="shared" si="275"/>
        <v>0</v>
      </c>
      <c r="H658" s="249">
        <f t="shared" si="276"/>
        <v>10.970307458468989</v>
      </c>
      <c r="I658" s="336">
        <v>6.6227008375768712E-3</v>
      </c>
      <c r="J658" s="258">
        <f t="shared" si="277"/>
        <v>6.6227008375768712E-3</v>
      </c>
      <c r="K658" s="249">
        <f t="shared" si="278"/>
        <v>1626.5708670739766</v>
      </c>
      <c r="L658" s="336">
        <v>0.98194989379562381</v>
      </c>
      <c r="M658" s="258">
        <f t="shared" si="279"/>
        <v>0.98194989379562381</v>
      </c>
      <c r="N658" s="251">
        <f t="shared" si="280"/>
        <v>18.929157967554332</v>
      </c>
      <c r="O658" s="336">
        <v>1.1427405366799306E-2</v>
      </c>
      <c r="P658" s="258">
        <f t="shared" si="281"/>
        <v>1.1427405366799306E-2</v>
      </c>
      <c r="Q658" s="354">
        <v>1617.165</v>
      </c>
      <c r="R658" s="249">
        <f t="shared" si="282"/>
        <v>1656.4703325</v>
      </c>
      <c r="S658" s="355">
        <v>0.1</v>
      </c>
      <c r="T658" s="355"/>
      <c r="U658" s="315">
        <f t="shared" si="270"/>
        <v>1822.1173657500001</v>
      </c>
      <c r="V658" s="315">
        <f t="shared" si="271"/>
        <v>1825</v>
      </c>
      <c r="W658" s="316">
        <f t="shared" si="273"/>
        <v>0</v>
      </c>
    </row>
    <row r="659" spans="1:23" x14ac:dyDescent="0.25">
      <c r="A659" s="204" t="s">
        <v>16296</v>
      </c>
      <c r="B659" s="351" t="s">
        <v>20395</v>
      </c>
      <c r="C659" s="352"/>
      <c r="D659" s="353" t="s">
        <v>5</v>
      </c>
      <c r="E659" s="249">
        <f t="shared" si="274"/>
        <v>0</v>
      </c>
      <c r="F659" s="336">
        <v>0</v>
      </c>
      <c r="G659" s="258">
        <f t="shared" si="275"/>
        <v>0</v>
      </c>
      <c r="H659" s="249">
        <f t="shared" si="276"/>
        <v>6.3780462842435506E-2</v>
      </c>
      <c r="I659" s="336">
        <v>6.622700837576872E-3</v>
      </c>
      <c r="J659" s="258">
        <f t="shared" si="277"/>
        <v>6.622700837576872E-3</v>
      </c>
      <c r="K659" s="249">
        <f t="shared" si="278"/>
        <v>9.4566893256384752</v>
      </c>
      <c r="L659" s="336">
        <v>0.98194371013471105</v>
      </c>
      <c r="M659" s="258">
        <f t="shared" si="279"/>
        <v>0.98194371013471105</v>
      </c>
      <c r="N659" s="251">
        <f t="shared" si="280"/>
        <v>0.11005256333596714</v>
      </c>
      <c r="O659" s="336">
        <v>1.1427405366799308E-2</v>
      </c>
      <c r="P659" s="258">
        <f t="shared" si="281"/>
        <v>1.1427405366799308E-2</v>
      </c>
      <c r="Q659" s="354">
        <v>9.4021220930232552</v>
      </c>
      <c r="R659" s="249">
        <f t="shared" si="282"/>
        <v>9.630581904069766</v>
      </c>
      <c r="S659" s="355">
        <v>0.1</v>
      </c>
      <c r="T659" s="355"/>
      <c r="U659" s="315">
        <f t="shared" si="270"/>
        <v>10.593640094476743</v>
      </c>
      <c r="V659" s="315">
        <f t="shared" si="271"/>
        <v>11</v>
      </c>
      <c r="W659" s="316">
        <f t="shared" si="273"/>
        <v>0</v>
      </c>
    </row>
    <row r="660" spans="1:23" x14ac:dyDescent="0.25">
      <c r="A660" s="204" t="s">
        <v>16297</v>
      </c>
      <c r="B660" s="351" t="s">
        <v>20396</v>
      </c>
      <c r="C660" s="352"/>
      <c r="D660" s="353" t="s">
        <v>14859</v>
      </c>
      <c r="E660" s="249">
        <f t="shared" si="274"/>
        <v>0</v>
      </c>
      <c r="F660" s="336">
        <v>0</v>
      </c>
      <c r="G660" s="258">
        <f t="shared" si="275"/>
        <v>0</v>
      </c>
      <c r="H660" s="249">
        <f t="shared" si="276"/>
        <v>10.970371552784423</v>
      </c>
      <c r="I660" s="336">
        <v>6.4193623792998039E-3</v>
      </c>
      <c r="J660" s="258">
        <f t="shared" si="277"/>
        <v>6.4193623792998039E-3</v>
      </c>
      <c r="K660" s="249">
        <f t="shared" si="278"/>
        <v>1679.0507048855486</v>
      </c>
      <c r="L660" s="336">
        <v>0.98250409077014367</v>
      </c>
      <c r="M660" s="258">
        <f t="shared" si="279"/>
        <v>0.98250409077014367</v>
      </c>
      <c r="N660" s="251">
        <f t="shared" si="280"/>
        <v>18.929268561667236</v>
      </c>
      <c r="O660" s="336">
        <v>1.1076546850556524E-2</v>
      </c>
      <c r="P660" s="258">
        <f t="shared" si="281"/>
        <v>1.1076546850556524E-2</v>
      </c>
      <c r="Q660" s="354">
        <v>1668.39</v>
      </c>
      <c r="R660" s="249">
        <f t="shared" si="282"/>
        <v>1708.9503450000002</v>
      </c>
      <c r="S660" s="355">
        <v>0.1</v>
      </c>
      <c r="T660" s="355"/>
      <c r="U660" s="315">
        <f t="shared" si="270"/>
        <v>1879.8453795000003</v>
      </c>
      <c r="V660" s="315">
        <f t="shared" si="271"/>
        <v>1900</v>
      </c>
      <c r="W660" s="316">
        <f t="shared" si="273"/>
        <v>0</v>
      </c>
    </row>
    <row r="661" spans="1:23" x14ac:dyDescent="0.25">
      <c r="A661" s="204" t="s">
        <v>16298</v>
      </c>
      <c r="B661" s="351" t="s">
        <v>20397</v>
      </c>
      <c r="C661" s="352"/>
      <c r="D661" s="353" t="s">
        <v>5</v>
      </c>
      <c r="E661" s="249">
        <f t="shared" si="274"/>
        <v>0</v>
      </c>
      <c r="F661" s="336">
        <v>0</v>
      </c>
      <c r="G661" s="258">
        <f t="shared" si="275"/>
        <v>0</v>
      </c>
      <c r="H661" s="249">
        <f t="shared" si="276"/>
        <v>6.3780847595446777E-2</v>
      </c>
      <c r="I661" s="336">
        <v>6.4193623792998039E-3</v>
      </c>
      <c r="J661" s="258">
        <f t="shared" si="277"/>
        <v>6.4193623792998039E-3</v>
      </c>
      <c r="K661" s="249">
        <f t="shared" si="278"/>
        <v>9.7618046283828566</v>
      </c>
      <c r="L661" s="336">
        <v>0.98249809696773538</v>
      </c>
      <c r="M661" s="258">
        <f t="shared" si="279"/>
        <v>0.98249809696773538</v>
      </c>
      <c r="N661" s="251">
        <f t="shared" si="280"/>
        <v>0.110053227223516</v>
      </c>
      <c r="O661" s="336">
        <v>1.1076546850556524E-2</v>
      </c>
      <c r="P661" s="258">
        <f t="shared" si="281"/>
        <v>1.1076546850556524E-2</v>
      </c>
      <c r="Q661" s="354">
        <v>9.6999418604651169</v>
      </c>
      <c r="R661" s="249">
        <f t="shared" si="282"/>
        <v>9.9356982558139535</v>
      </c>
      <c r="S661" s="355">
        <v>0.1</v>
      </c>
      <c r="T661" s="355"/>
      <c r="U661" s="315">
        <f t="shared" si="270"/>
        <v>10.92926808139535</v>
      </c>
      <c r="V661" s="315">
        <f t="shared" si="271"/>
        <v>11</v>
      </c>
      <c r="W661" s="316">
        <f t="shared" si="273"/>
        <v>0</v>
      </c>
    </row>
    <row r="662" spans="1:23" x14ac:dyDescent="0.25">
      <c r="A662" s="204" t="s">
        <v>16299</v>
      </c>
      <c r="B662" s="351" t="s">
        <v>20398</v>
      </c>
      <c r="C662" s="352"/>
      <c r="D662" s="353" t="s">
        <v>14859</v>
      </c>
      <c r="E662" s="249">
        <f t="shared" si="274"/>
        <v>0</v>
      </c>
      <c r="F662" s="336">
        <v>0</v>
      </c>
      <c r="G662" s="258">
        <f t="shared" si="275"/>
        <v>0</v>
      </c>
      <c r="H662" s="249">
        <f t="shared" si="276"/>
        <v>10.970371552784423</v>
      </c>
      <c r="I662" s="336">
        <v>6.4193623792998039E-3</v>
      </c>
      <c r="J662" s="258">
        <f t="shared" si="277"/>
        <v>6.4193623792998039E-3</v>
      </c>
      <c r="K662" s="249">
        <f t="shared" si="278"/>
        <v>1679.0507048855486</v>
      </c>
      <c r="L662" s="336">
        <v>0.98250409077014367</v>
      </c>
      <c r="M662" s="258">
        <f t="shared" si="279"/>
        <v>0.98250409077014367</v>
      </c>
      <c r="N662" s="251">
        <f t="shared" si="280"/>
        <v>18.929268561667236</v>
      </c>
      <c r="O662" s="336">
        <v>1.1076546850556524E-2</v>
      </c>
      <c r="P662" s="258">
        <f t="shared" si="281"/>
        <v>1.1076546850556524E-2</v>
      </c>
      <c r="Q662" s="354">
        <v>1668.39</v>
      </c>
      <c r="R662" s="249">
        <f t="shared" si="282"/>
        <v>1708.9503450000002</v>
      </c>
      <c r="S662" s="355">
        <v>0.1</v>
      </c>
      <c r="T662" s="355"/>
      <c r="U662" s="315">
        <f t="shared" si="270"/>
        <v>1879.8453795000003</v>
      </c>
      <c r="V662" s="315">
        <f t="shared" si="271"/>
        <v>1900</v>
      </c>
      <c r="W662" s="316">
        <f t="shared" si="273"/>
        <v>0</v>
      </c>
    </row>
    <row r="663" spans="1:23" x14ac:dyDescent="0.25">
      <c r="A663" s="204" t="s">
        <v>16300</v>
      </c>
      <c r="B663" s="351" t="s">
        <v>20399</v>
      </c>
      <c r="C663" s="352"/>
      <c r="D663" s="353" t="s">
        <v>5</v>
      </c>
      <c r="E663" s="249">
        <f t="shared" si="274"/>
        <v>0</v>
      </c>
      <c r="F663" s="336">
        <v>0</v>
      </c>
      <c r="G663" s="258">
        <f t="shared" si="275"/>
        <v>0</v>
      </c>
      <c r="H663" s="249">
        <f t="shared" si="276"/>
        <v>6.3780847595446777E-2</v>
      </c>
      <c r="I663" s="336">
        <v>6.4193623792998039E-3</v>
      </c>
      <c r="J663" s="258">
        <f t="shared" si="277"/>
        <v>6.4193623792998039E-3</v>
      </c>
      <c r="K663" s="249">
        <f t="shared" si="278"/>
        <v>9.7618046283828566</v>
      </c>
      <c r="L663" s="336">
        <v>0.98249809696773538</v>
      </c>
      <c r="M663" s="258">
        <f t="shared" si="279"/>
        <v>0.98249809696773538</v>
      </c>
      <c r="N663" s="251">
        <f t="shared" si="280"/>
        <v>0.110053227223516</v>
      </c>
      <c r="O663" s="336">
        <v>1.1076546850556524E-2</v>
      </c>
      <c r="P663" s="258">
        <f t="shared" si="281"/>
        <v>1.1076546850556524E-2</v>
      </c>
      <c r="Q663" s="354">
        <v>9.6999418604651169</v>
      </c>
      <c r="R663" s="249">
        <f t="shared" si="282"/>
        <v>9.9356982558139535</v>
      </c>
      <c r="S663" s="355">
        <v>0.1</v>
      </c>
      <c r="T663" s="355"/>
      <c r="U663" s="315">
        <f t="shared" si="270"/>
        <v>10.92926808139535</v>
      </c>
      <c r="V663" s="315">
        <f t="shared" si="271"/>
        <v>11</v>
      </c>
      <c r="W663" s="316">
        <f t="shared" si="273"/>
        <v>0</v>
      </c>
    </row>
    <row r="664" spans="1:23" x14ac:dyDescent="0.25">
      <c r="A664" s="204" t="s">
        <v>16301</v>
      </c>
      <c r="B664" s="351" t="s">
        <v>20400</v>
      </c>
      <c r="C664" s="352"/>
      <c r="D664" s="353" t="s">
        <v>14859</v>
      </c>
      <c r="E664" s="249">
        <f t="shared" si="274"/>
        <v>0</v>
      </c>
      <c r="F664" s="336">
        <v>0</v>
      </c>
      <c r="G664" s="258">
        <f t="shared" si="275"/>
        <v>0</v>
      </c>
      <c r="H664" s="249">
        <f t="shared" si="276"/>
        <v>10.970882408915863</v>
      </c>
      <c r="I664" s="336">
        <v>4.798677339355204E-3</v>
      </c>
      <c r="J664" s="258">
        <f t="shared" si="277"/>
        <v>4.798677339355204E-3</v>
      </c>
      <c r="K664" s="249">
        <f t="shared" si="278"/>
        <v>2256.3294500521702</v>
      </c>
      <c r="L664" s="336">
        <v>0.98692125195744362</v>
      </c>
      <c r="M664" s="258">
        <f t="shared" si="279"/>
        <v>0.98692125195744362</v>
      </c>
      <c r="N664" s="251">
        <f t="shared" si="280"/>
        <v>18.930150038913641</v>
      </c>
      <c r="O664" s="336">
        <v>8.280070703201135E-3</v>
      </c>
      <c r="P664" s="258">
        <f t="shared" si="281"/>
        <v>8.280070703201135E-3</v>
      </c>
      <c r="Q664" s="354">
        <v>2231.8649999999998</v>
      </c>
      <c r="R664" s="249">
        <f t="shared" si="282"/>
        <v>2286.2304824999997</v>
      </c>
      <c r="S664" s="355">
        <v>0.1</v>
      </c>
      <c r="T664" s="355"/>
      <c r="U664" s="315">
        <f t="shared" si="270"/>
        <v>2514.8535307499997</v>
      </c>
      <c r="V664" s="315">
        <f t="shared" si="271"/>
        <v>2525</v>
      </c>
      <c r="W664" s="316">
        <f t="shared" si="273"/>
        <v>0</v>
      </c>
    </row>
    <row r="665" spans="1:23" x14ac:dyDescent="0.25">
      <c r="A665" s="204" t="s">
        <v>16302</v>
      </c>
      <c r="B665" s="351" t="s">
        <v>20401</v>
      </c>
      <c r="C665" s="352"/>
      <c r="D665" s="353" t="s">
        <v>5</v>
      </c>
      <c r="E665" s="249">
        <f t="shared" si="274"/>
        <v>0</v>
      </c>
      <c r="F665" s="336">
        <v>0</v>
      </c>
      <c r="G665" s="258">
        <f t="shared" si="275"/>
        <v>0</v>
      </c>
      <c r="H665" s="249">
        <f t="shared" si="276"/>
        <v>6.3783914223642574E-2</v>
      </c>
      <c r="I665" s="336">
        <v>4.798677339355204E-3</v>
      </c>
      <c r="J665" s="258">
        <f t="shared" si="277"/>
        <v>4.798677339355204E-3</v>
      </c>
      <c r="K665" s="249">
        <f t="shared" si="278"/>
        <v>13.118076136640491</v>
      </c>
      <c r="L665" s="336">
        <v>0.98691677139970402</v>
      </c>
      <c r="M665" s="258">
        <f t="shared" si="279"/>
        <v>0.98691677139970402</v>
      </c>
      <c r="N665" s="251">
        <f t="shared" si="280"/>
        <v>0.11005851866040288</v>
      </c>
      <c r="O665" s="336">
        <v>8.2800707032011367E-3</v>
      </c>
      <c r="P665" s="258">
        <f t="shared" si="281"/>
        <v>8.2800707032011367E-3</v>
      </c>
      <c r="Q665" s="354">
        <v>12.975959302325579</v>
      </c>
      <c r="R665" s="249">
        <f t="shared" si="282"/>
        <v>13.291978125</v>
      </c>
      <c r="S665" s="355">
        <v>0.1</v>
      </c>
      <c r="T665" s="355"/>
      <c r="U665" s="315">
        <f t="shared" si="270"/>
        <v>14.6211759375</v>
      </c>
      <c r="V665" s="315">
        <f t="shared" si="271"/>
        <v>15</v>
      </c>
      <c r="W665" s="316">
        <f t="shared" si="273"/>
        <v>0</v>
      </c>
    </row>
    <row r="666" spans="1:23" x14ac:dyDescent="0.25">
      <c r="A666" s="204" t="s">
        <v>16303</v>
      </c>
      <c r="B666" s="351" t="s">
        <v>20402</v>
      </c>
      <c r="C666" s="352"/>
      <c r="D666" s="353" t="s">
        <v>14859</v>
      </c>
      <c r="E666" s="249">
        <f t="shared" si="274"/>
        <v>0</v>
      </c>
      <c r="F666" s="336">
        <v>0</v>
      </c>
      <c r="G666" s="258">
        <f t="shared" si="275"/>
        <v>0</v>
      </c>
      <c r="H666" s="249">
        <f t="shared" si="276"/>
        <v>10.970882408915863</v>
      </c>
      <c r="I666" s="336">
        <v>4.798677339355204E-3</v>
      </c>
      <c r="J666" s="258">
        <f t="shared" si="277"/>
        <v>4.798677339355204E-3</v>
      </c>
      <c r="K666" s="249">
        <f t="shared" si="278"/>
        <v>2256.3294500521702</v>
      </c>
      <c r="L666" s="336">
        <v>0.98692125195744362</v>
      </c>
      <c r="M666" s="258">
        <f t="shared" si="279"/>
        <v>0.98692125195744362</v>
      </c>
      <c r="N666" s="251">
        <f t="shared" si="280"/>
        <v>18.930150038913641</v>
      </c>
      <c r="O666" s="336">
        <v>8.280070703201135E-3</v>
      </c>
      <c r="P666" s="258">
        <f t="shared" si="281"/>
        <v>8.280070703201135E-3</v>
      </c>
      <c r="Q666" s="354">
        <v>2231.8649999999998</v>
      </c>
      <c r="R666" s="249">
        <f t="shared" si="282"/>
        <v>2286.2304824999997</v>
      </c>
      <c r="S666" s="355">
        <v>0.1</v>
      </c>
      <c r="T666" s="355"/>
      <c r="U666" s="315">
        <f t="shared" si="270"/>
        <v>2514.8535307499997</v>
      </c>
      <c r="V666" s="315">
        <f t="shared" si="271"/>
        <v>2525</v>
      </c>
      <c r="W666" s="316">
        <f t="shared" si="273"/>
        <v>0</v>
      </c>
    </row>
    <row r="667" spans="1:23" x14ac:dyDescent="0.25">
      <c r="A667" s="204" t="s">
        <v>16304</v>
      </c>
      <c r="B667" s="351" t="s">
        <v>20403</v>
      </c>
      <c r="C667" s="352"/>
      <c r="D667" s="353" t="s">
        <v>5</v>
      </c>
      <c r="E667" s="249">
        <f t="shared" si="274"/>
        <v>0</v>
      </c>
      <c r="F667" s="336">
        <v>0</v>
      </c>
      <c r="G667" s="258">
        <f t="shared" si="275"/>
        <v>0</v>
      </c>
      <c r="H667" s="249">
        <f t="shared" si="276"/>
        <v>6.3783914223642574E-2</v>
      </c>
      <c r="I667" s="336">
        <v>4.798677339355204E-3</v>
      </c>
      <c r="J667" s="258">
        <f t="shared" si="277"/>
        <v>4.798677339355204E-3</v>
      </c>
      <c r="K667" s="249">
        <f t="shared" si="278"/>
        <v>13.118076136640491</v>
      </c>
      <c r="L667" s="336">
        <v>0.98691677139970402</v>
      </c>
      <c r="M667" s="258">
        <f t="shared" si="279"/>
        <v>0.98691677139970402</v>
      </c>
      <c r="N667" s="251">
        <f t="shared" si="280"/>
        <v>0.11005851866040288</v>
      </c>
      <c r="O667" s="336">
        <v>8.2800707032011367E-3</v>
      </c>
      <c r="P667" s="258">
        <f t="shared" si="281"/>
        <v>8.2800707032011367E-3</v>
      </c>
      <c r="Q667" s="354">
        <v>12.975959302325579</v>
      </c>
      <c r="R667" s="249">
        <f t="shared" si="282"/>
        <v>13.291978125</v>
      </c>
      <c r="S667" s="355">
        <v>0.1</v>
      </c>
      <c r="T667" s="355"/>
      <c r="U667" s="315">
        <f t="shared" si="270"/>
        <v>14.6211759375</v>
      </c>
      <c r="V667" s="315">
        <f t="shared" si="271"/>
        <v>15</v>
      </c>
      <c r="W667" s="316">
        <f t="shared" si="273"/>
        <v>0</v>
      </c>
    </row>
    <row r="668" spans="1:23" x14ac:dyDescent="0.25">
      <c r="A668" s="204" t="s">
        <v>16305</v>
      </c>
      <c r="B668" s="351" t="s">
        <v>20404</v>
      </c>
      <c r="C668" s="352"/>
      <c r="D668" s="353" t="s">
        <v>14859</v>
      </c>
      <c r="E668" s="249">
        <f t="shared" si="274"/>
        <v>0</v>
      </c>
      <c r="F668" s="336">
        <v>0</v>
      </c>
      <c r="G668" s="258">
        <f t="shared" si="275"/>
        <v>0</v>
      </c>
      <c r="H668" s="249">
        <f t="shared" si="276"/>
        <v>10.970882408915863</v>
      </c>
      <c r="I668" s="336">
        <v>4.798677339355204E-3</v>
      </c>
      <c r="J668" s="258">
        <f t="shared" si="277"/>
        <v>4.798677339355204E-3</v>
      </c>
      <c r="K668" s="249">
        <f t="shared" si="278"/>
        <v>2256.3294500521702</v>
      </c>
      <c r="L668" s="336">
        <v>0.98692125195744362</v>
      </c>
      <c r="M668" s="258">
        <f t="shared" si="279"/>
        <v>0.98692125195744362</v>
      </c>
      <c r="N668" s="251">
        <f t="shared" si="280"/>
        <v>18.930150038913641</v>
      </c>
      <c r="O668" s="336">
        <v>8.280070703201135E-3</v>
      </c>
      <c r="P668" s="258">
        <f t="shared" si="281"/>
        <v>8.280070703201135E-3</v>
      </c>
      <c r="Q668" s="354">
        <v>2231.8649999999998</v>
      </c>
      <c r="R668" s="249">
        <f t="shared" si="282"/>
        <v>2286.2304824999997</v>
      </c>
      <c r="S668" s="355">
        <v>0.1</v>
      </c>
      <c r="T668" s="355"/>
      <c r="U668" s="315">
        <f t="shared" si="270"/>
        <v>2514.8535307499997</v>
      </c>
      <c r="V668" s="315">
        <f t="shared" si="271"/>
        <v>2525</v>
      </c>
      <c r="W668" s="316">
        <f t="shared" si="273"/>
        <v>0</v>
      </c>
    </row>
    <row r="669" spans="1:23" x14ac:dyDescent="0.25">
      <c r="A669" s="204" t="s">
        <v>16306</v>
      </c>
      <c r="B669" s="351" t="s">
        <v>20405</v>
      </c>
      <c r="C669" s="352"/>
      <c r="D669" s="353" t="s">
        <v>5</v>
      </c>
      <c r="E669" s="249">
        <f t="shared" si="274"/>
        <v>0</v>
      </c>
      <c r="F669" s="336">
        <v>0</v>
      </c>
      <c r="G669" s="258">
        <f t="shared" si="275"/>
        <v>0</v>
      </c>
      <c r="H669" s="249">
        <f t="shared" si="276"/>
        <v>6.3783914223642574E-2</v>
      </c>
      <c r="I669" s="336">
        <v>4.798677339355204E-3</v>
      </c>
      <c r="J669" s="258">
        <f t="shared" si="277"/>
        <v>4.798677339355204E-3</v>
      </c>
      <c r="K669" s="249">
        <f t="shared" si="278"/>
        <v>13.118076136640491</v>
      </c>
      <c r="L669" s="336">
        <v>0.98691677139970402</v>
      </c>
      <c r="M669" s="258">
        <f t="shared" si="279"/>
        <v>0.98691677139970402</v>
      </c>
      <c r="N669" s="251">
        <f t="shared" si="280"/>
        <v>0.11005851866040288</v>
      </c>
      <c r="O669" s="336">
        <v>8.2800707032011367E-3</v>
      </c>
      <c r="P669" s="258">
        <f t="shared" si="281"/>
        <v>8.2800707032011367E-3</v>
      </c>
      <c r="Q669" s="354">
        <v>12.975959302325579</v>
      </c>
      <c r="R669" s="249">
        <f t="shared" si="282"/>
        <v>13.291978125</v>
      </c>
      <c r="S669" s="355">
        <v>0.1</v>
      </c>
      <c r="T669" s="355"/>
      <c r="U669" s="315">
        <f t="shared" si="270"/>
        <v>14.6211759375</v>
      </c>
      <c r="V669" s="315">
        <f t="shared" si="271"/>
        <v>15</v>
      </c>
      <c r="W669" s="316">
        <f t="shared" si="273"/>
        <v>0</v>
      </c>
    </row>
    <row r="670" spans="1:23" x14ac:dyDescent="0.25">
      <c r="A670" s="204" t="s">
        <v>16307</v>
      </c>
      <c r="B670" s="351" t="s">
        <v>20406</v>
      </c>
      <c r="C670" s="352"/>
      <c r="D670" s="353" t="s">
        <v>14859</v>
      </c>
      <c r="E670" s="249">
        <f t="shared" si="274"/>
        <v>0</v>
      </c>
      <c r="F670" s="336">
        <v>0</v>
      </c>
      <c r="G670" s="258">
        <f t="shared" si="275"/>
        <v>0</v>
      </c>
      <c r="H670" s="249">
        <f t="shared" si="276"/>
        <v>10.970882408915863</v>
      </c>
      <c r="I670" s="336">
        <v>4.798677339355204E-3</v>
      </c>
      <c r="J670" s="258">
        <f t="shared" si="277"/>
        <v>4.798677339355204E-3</v>
      </c>
      <c r="K670" s="249">
        <f t="shared" si="278"/>
        <v>2256.3294500521702</v>
      </c>
      <c r="L670" s="336">
        <v>0.98692125195744362</v>
      </c>
      <c r="M670" s="258">
        <f t="shared" si="279"/>
        <v>0.98692125195744362</v>
      </c>
      <c r="N670" s="251">
        <f t="shared" si="280"/>
        <v>18.930150038913641</v>
      </c>
      <c r="O670" s="336">
        <v>8.280070703201135E-3</v>
      </c>
      <c r="P670" s="258">
        <f t="shared" si="281"/>
        <v>8.280070703201135E-3</v>
      </c>
      <c r="Q670" s="354">
        <v>2231.8649999999998</v>
      </c>
      <c r="R670" s="249">
        <f t="shared" si="282"/>
        <v>2286.2304824999997</v>
      </c>
      <c r="S670" s="355">
        <v>0.1</v>
      </c>
      <c r="T670" s="355"/>
      <c r="U670" s="315">
        <f t="shared" si="270"/>
        <v>2514.8535307499997</v>
      </c>
      <c r="V670" s="315">
        <f t="shared" si="271"/>
        <v>2525</v>
      </c>
      <c r="W670" s="316">
        <f t="shared" si="273"/>
        <v>0</v>
      </c>
    </row>
    <row r="671" spans="1:23" x14ac:dyDescent="0.25">
      <c r="A671" s="204" t="s">
        <v>16308</v>
      </c>
      <c r="B671" s="351" t="s">
        <v>20407</v>
      </c>
      <c r="C671" s="352"/>
      <c r="D671" s="353" t="s">
        <v>5</v>
      </c>
      <c r="E671" s="249">
        <f t="shared" si="274"/>
        <v>0</v>
      </c>
      <c r="F671" s="336">
        <v>0</v>
      </c>
      <c r="G671" s="258">
        <f t="shared" si="275"/>
        <v>0</v>
      </c>
      <c r="H671" s="249">
        <f t="shared" si="276"/>
        <v>6.3783914223642574E-2</v>
      </c>
      <c r="I671" s="336">
        <v>4.798677339355204E-3</v>
      </c>
      <c r="J671" s="258">
        <f t="shared" si="277"/>
        <v>4.798677339355204E-3</v>
      </c>
      <c r="K671" s="249">
        <f t="shared" si="278"/>
        <v>13.118076136640491</v>
      </c>
      <c r="L671" s="336">
        <v>0.98691677139970402</v>
      </c>
      <c r="M671" s="258">
        <f t="shared" si="279"/>
        <v>0.98691677139970402</v>
      </c>
      <c r="N671" s="251">
        <f t="shared" si="280"/>
        <v>0.11005851866040288</v>
      </c>
      <c r="O671" s="336">
        <v>8.2800707032011367E-3</v>
      </c>
      <c r="P671" s="258">
        <f t="shared" si="281"/>
        <v>8.2800707032011367E-3</v>
      </c>
      <c r="Q671" s="354">
        <v>12.975959302325579</v>
      </c>
      <c r="R671" s="249">
        <f t="shared" si="282"/>
        <v>13.291978125</v>
      </c>
      <c r="S671" s="355">
        <v>0.1</v>
      </c>
      <c r="T671" s="355"/>
      <c r="U671" s="315">
        <f t="shared" si="270"/>
        <v>14.6211759375</v>
      </c>
      <c r="V671" s="315">
        <f t="shared" si="271"/>
        <v>15</v>
      </c>
      <c r="W671" s="316">
        <f t="shared" si="273"/>
        <v>0</v>
      </c>
    </row>
    <row r="672" spans="1:23" x14ac:dyDescent="0.25">
      <c r="A672" s="204" t="s">
        <v>16309</v>
      </c>
      <c r="B672" s="351" t="s">
        <v>20408</v>
      </c>
      <c r="C672" s="352"/>
      <c r="D672" s="353" t="s">
        <v>14859</v>
      </c>
      <c r="E672" s="249">
        <f t="shared" si="274"/>
        <v>0</v>
      </c>
      <c r="F672" s="336">
        <v>0</v>
      </c>
      <c r="G672" s="258">
        <f t="shared" si="275"/>
        <v>0</v>
      </c>
      <c r="H672" s="249">
        <f t="shared" si="276"/>
        <v>10.970882408915863</v>
      </c>
      <c r="I672" s="336">
        <v>4.798677339355204E-3</v>
      </c>
      <c r="J672" s="258">
        <f t="shared" si="277"/>
        <v>4.798677339355204E-3</v>
      </c>
      <c r="K672" s="249">
        <f t="shared" si="278"/>
        <v>2256.3294500521702</v>
      </c>
      <c r="L672" s="336">
        <v>0.98692125195744362</v>
      </c>
      <c r="M672" s="258">
        <f t="shared" si="279"/>
        <v>0.98692125195744362</v>
      </c>
      <c r="N672" s="251">
        <f t="shared" si="280"/>
        <v>18.930150038913641</v>
      </c>
      <c r="O672" s="336">
        <v>8.280070703201135E-3</v>
      </c>
      <c r="P672" s="258">
        <f t="shared" si="281"/>
        <v>8.280070703201135E-3</v>
      </c>
      <c r="Q672" s="354">
        <v>2231.8649999999998</v>
      </c>
      <c r="R672" s="249">
        <f t="shared" si="282"/>
        <v>2286.2304824999997</v>
      </c>
      <c r="S672" s="355">
        <v>0.1</v>
      </c>
      <c r="T672" s="355"/>
      <c r="U672" s="315">
        <f t="shared" si="270"/>
        <v>2514.8535307499997</v>
      </c>
      <c r="V672" s="315">
        <f t="shared" si="271"/>
        <v>2525</v>
      </c>
      <c r="W672" s="316">
        <f t="shared" si="273"/>
        <v>0</v>
      </c>
    </row>
    <row r="673" spans="1:23" x14ac:dyDescent="0.25">
      <c r="A673" s="204" t="s">
        <v>16310</v>
      </c>
      <c r="B673" s="351" t="s">
        <v>20409</v>
      </c>
      <c r="C673" s="352"/>
      <c r="D673" s="353" t="s">
        <v>5</v>
      </c>
      <c r="E673" s="249">
        <f t="shared" si="274"/>
        <v>0</v>
      </c>
      <c r="F673" s="336">
        <v>0</v>
      </c>
      <c r="G673" s="258">
        <f t="shared" si="275"/>
        <v>0</v>
      </c>
      <c r="H673" s="249">
        <f t="shared" si="276"/>
        <v>6.3783914223642574E-2</v>
      </c>
      <c r="I673" s="336">
        <v>4.798677339355204E-3</v>
      </c>
      <c r="J673" s="258">
        <f t="shared" si="277"/>
        <v>4.798677339355204E-3</v>
      </c>
      <c r="K673" s="249">
        <f t="shared" si="278"/>
        <v>13.118076136640491</v>
      </c>
      <c r="L673" s="336">
        <v>0.98691677139970402</v>
      </c>
      <c r="M673" s="258">
        <f t="shared" si="279"/>
        <v>0.98691677139970402</v>
      </c>
      <c r="N673" s="251">
        <f t="shared" si="280"/>
        <v>0.11005851866040288</v>
      </c>
      <c r="O673" s="336">
        <v>8.2800707032011367E-3</v>
      </c>
      <c r="P673" s="258">
        <f t="shared" si="281"/>
        <v>8.2800707032011367E-3</v>
      </c>
      <c r="Q673" s="354">
        <v>12.975959302325579</v>
      </c>
      <c r="R673" s="249">
        <f t="shared" si="282"/>
        <v>13.291978125</v>
      </c>
      <c r="S673" s="355">
        <v>0.1</v>
      </c>
      <c r="T673" s="355"/>
      <c r="U673" s="315">
        <f t="shared" si="270"/>
        <v>14.6211759375</v>
      </c>
      <c r="V673" s="315">
        <f t="shared" si="271"/>
        <v>15</v>
      </c>
      <c r="W673" s="316">
        <f t="shared" si="273"/>
        <v>0</v>
      </c>
    </row>
    <row r="674" spans="1:23" x14ac:dyDescent="0.25">
      <c r="A674" s="204" t="s">
        <v>16311</v>
      </c>
      <c r="B674" s="351" t="s">
        <v>20410</v>
      </c>
      <c r="C674" s="352"/>
      <c r="D674" s="353" t="s">
        <v>14859</v>
      </c>
      <c r="E674" s="249">
        <f t="shared" si="274"/>
        <v>0</v>
      </c>
      <c r="F674" s="336">
        <v>0</v>
      </c>
      <c r="G674" s="258">
        <f t="shared" si="275"/>
        <v>0</v>
      </c>
      <c r="H674" s="249">
        <f t="shared" si="276"/>
        <v>10.970882408915863</v>
      </c>
      <c r="I674" s="336">
        <v>4.798677339355204E-3</v>
      </c>
      <c r="J674" s="258">
        <f t="shared" si="277"/>
        <v>4.798677339355204E-3</v>
      </c>
      <c r="K674" s="249">
        <f t="shared" si="278"/>
        <v>2256.3294500521702</v>
      </c>
      <c r="L674" s="336">
        <v>0.98692125195744362</v>
      </c>
      <c r="M674" s="258">
        <f t="shared" si="279"/>
        <v>0.98692125195744362</v>
      </c>
      <c r="N674" s="251">
        <f t="shared" si="280"/>
        <v>18.930150038913641</v>
      </c>
      <c r="O674" s="336">
        <v>8.280070703201135E-3</v>
      </c>
      <c r="P674" s="258">
        <f t="shared" si="281"/>
        <v>8.280070703201135E-3</v>
      </c>
      <c r="Q674" s="354">
        <v>2231.8649999999998</v>
      </c>
      <c r="R674" s="249">
        <f t="shared" si="282"/>
        <v>2286.2304824999997</v>
      </c>
      <c r="S674" s="355">
        <v>0.1</v>
      </c>
      <c r="T674" s="355"/>
      <c r="U674" s="315">
        <f t="shared" si="270"/>
        <v>2514.8535307499997</v>
      </c>
      <c r="V674" s="315">
        <f t="shared" si="271"/>
        <v>2525</v>
      </c>
      <c r="W674" s="316">
        <f t="shared" si="273"/>
        <v>0</v>
      </c>
    </row>
    <row r="675" spans="1:23" x14ac:dyDescent="0.25">
      <c r="A675" s="204" t="s">
        <v>16312</v>
      </c>
      <c r="B675" s="351" t="s">
        <v>20411</v>
      </c>
      <c r="C675" s="352"/>
      <c r="D675" s="353" t="s">
        <v>5</v>
      </c>
      <c r="E675" s="249">
        <f t="shared" si="274"/>
        <v>0</v>
      </c>
      <c r="F675" s="336">
        <v>0</v>
      </c>
      <c r="G675" s="258">
        <f t="shared" si="275"/>
        <v>0</v>
      </c>
      <c r="H675" s="249">
        <f t="shared" si="276"/>
        <v>6.3783914223642574E-2</v>
      </c>
      <c r="I675" s="336">
        <v>4.798677339355204E-3</v>
      </c>
      <c r="J675" s="258">
        <f t="shared" si="277"/>
        <v>4.798677339355204E-3</v>
      </c>
      <c r="K675" s="249">
        <f t="shared" si="278"/>
        <v>13.118076136640491</v>
      </c>
      <c r="L675" s="336">
        <v>0.98691677139970402</v>
      </c>
      <c r="M675" s="258">
        <f t="shared" si="279"/>
        <v>0.98691677139970402</v>
      </c>
      <c r="N675" s="251">
        <f t="shared" si="280"/>
        <v>0.11005851866040288</v>
      </c>
      <c r="O675" s="336">
        <v>8.2800707032011367E-3</v>
      </c>
      <c r="P675" s="258">
        <f t="shared" si="281"/>
        <v>8.2800707032011367E-3</v>
      </c>
      <c r="Q675" s="354">
        <v>12.975959302325579</v>
      </c>
      <c r="R675" s="249">
        <f t="shared" si="282"/>
        <v>13.291978125</v>
      </c>
      <c r="S675" s="355">
        <v>0.1</v>
      </c>
      <c r="T675" s="355"/>
      <c r="U675" s="315">
        <f t="shared" si="270"/>
        <v>14.6211759375</v>
      </c>
      <c r="V675" s="315">
        <f t="shared" si="271"/>
        <v>15</v>
      </c>
      <c r="W675" s="316">
        <f t="shared" si="273"/>
        <v>0</v>
      </c>
    </row>
    <row r="676" spans="1:23" x14ac:dyDescent="0.25">
      <c r="A676" s="204" t="s">
        <v>16313</v>
      </c>
      <c r="B676" s="351" t="s">
        <v>20412</v>
      </c>
      <c r="C676" s="352"/>
      <c r="D676" s="353" t="s">
        <v>14859</v>
      </c>
      <c r="E676" s="249">
        <f t="shared" si="274"/>
        <v>0</v>
      </c>
      <c r="F676" s="336">
        <v>0</v>
      </c>
      <c r="G676" s="258">
        <f t="shared" si="275"/>
        <v>0</v>
      </c>
      <c r="H676" s="249">
        <f t="shared" si="276"/>
        <v>10.970882408915863</v>
      </c>
      <c r="I676" s="336">
        <v>4.798677339355204E-3</v>
      </c>
      <c r="J676" s="258">
        <f t="shared" si="277"/>
        <v>4.798677339355204E-3</v>
      </c>
      <c r="K676" s="249">
        <f t="shared" si="278"/>
        <v>2256.3294500521702</v>
      </c>
      <c r="L676" s="336">
        <v>0.98692125195744362</v>
      </c>
      <c r="M676" s="258">
        <f t="shared" si="279"/>
        <v>0.98692125195744362</v>
      </c>
      <c r="N676" s="251">
        <f t="shared" si="280"/>
        <v>18.930150038913641</v>
      </c>
      <c r="O676" s="336">
        <v>8.280070703201135E-3</v>
      </c>
      <c r="P676" s="258">
        <f t="shared" si="281"/>
        <v>8.280070703201135E-3</v>
      </c>
      <c r="Q676" s="354">
        <v>2231.8649999999998</v>
      </c>
      <c r="R676" s="249">
        <f t="shared" si="282"/>
        <v>2286.2304824999997</v>
      </c>
      <c r="S676" s="355">
        <v>0.1</v>
      </c>
      <c r="T676" s="355"/>
      <c r="U676" s="315">
        <f t="shared" si="270"/>
        <v>2514.8535307499997</v>
      </c>
      <c r="V676" s="315">
        <f t="shared" si="271"/>
        <v>2525</v>
      </c>
      <c r="W676" s="316">
        <f t="shared" si="273"/>
        <v>0</v>
      </c>
    </row>
    <row r="677" spans="1:23" x14ac:dyDescent="0.25">
      <c r="A677" s="204" t="s">
        <v>16314</v>
      </c>
      <c r="B677" s="351" t="s">
        <v>20413</v>
      </c>
      <c r="C677" s="352"/>
      <c r="D677" s="353" t="s">
        <v>5</v>
      </c>
      <c r="E677" s="249">
        <f t="shared" si="274"/>
        <v>0</v>
      </c>
      <c r="F677" s="336">
        <v>0</v>
      </c>
      <c r="G677" s="258">
        <f t="shared" si="275"/>
        <v>0</v>
      </c>
      <c r="H677" s="249">
        <f t="shared" si="276"/>
        <v>6.3783914223642574E-2</v>
      </c>
      <c r="I677" s="336">
        <v>4.798677339355204E-3</v>
      </c>
      <c r="J677" s="258">
        <f t="shared" si="277"/>
        <v>4.798677339355204E-3</v>
      </c>
      <c r="K677" s="249">
        <f t="shared" si="278"/>
        <v>13.118076136640491</v>
      </c>
      <c r="L677" s="336">
        <v>0.98691677139970402</v>
      </c>
      <c r="M677" s="258">
        <f t="shared" si="279"/>
        <v>0.98691677139970402</v>
      </c>
      <c r="N677" s="251">
        <f t="shared" si="280"/>
        <v>0.11005851866040288</v>
      </c>
      <c r="O677" s="336">
        <v>8.2800707032011367E-3</v>
      </c>
      <c r="P677" s="258">
        <f t="shared" si="281"/>
        <v>8.2800707032011367E-3</v>
      </c>
      <c r="Q677" s="354">
        <v>12.975959302325579</v>
      </c>
      <c r="R677" s="249">
        <f t="shared" si="282"/>
        <v>13.291978125</v>
      </c>
      <c r="S677" s="355">
        <v>0.1</v>
      </c>
      <c r="T677" s="355"/>
      <c r="U677" s="315">
        <f t="shared" si="270"/>
        <v>14.6211759375</v>
      </c>
      <c r="V677" s="315">
        <f t="shared" si="271"/>
        <v>15</v>
      </c>
      <c r="W677" s="316">
        <f t="shared" si="273"/>
        <v>0</v>
      </c>
    </row>
    <row r="678" spans="1:23" x14ac:dyDescent="0.25">
      <c r="A678" s="204" t="s">
        <v>16315</v>
      </c>
      <c r="B678" s="351" t="s">
        <v>20414</v>
      </c>
      <c r="C678" s="352"/>
      <c r="D678" s="353" t="s">
        <v>14859</v>
      </c>
      <c r="E678" s="249">
        <f t="shared" si="274"/>
        <v>0</v>
      </c>
      <c r="F678" s="336">
        <v>0</v>
      </c>
      <c r="G678" s="258">
        <f t="shared" si="275"/>
        <v>0</v>
      </c>
      <c r="H678" s="249">
        <f t="shared" si="276"/>
        <v>10.970882408915863</v>
      </c>
      <c r="I678" s="336">
        <v>4.798677339355204E-3</v>
      </c>
      <c r="J678" s="258">
        <f t="shared" si="277"/>
        <v>4.798677339355204E-3</v>
      </c>
      <c r="K678" s="249">
        <f t="shared" si="278"/>
        <v>2256.3294500521702</v>
      </c>
      <c r="L678" s="336">
        <v>0.98692125195744362</v>
      </c>
      <c r="M678" s="258">
        <f t="shared" si="279"/>
        <v>0.98692125195744362</v>
      </c>
      <c r="N678" s="251">
        <f t="shared" si="280"/>
        <v>18.930150038913641</v>
      </c>
      <c r="O678" s="336">
        <v>8.280070703201135E-3</v>
      </c>
      <c r="P678" s="258">
        <f t="shared" si="281"/>
        <v>8.280070703201135E-3</v>
      </c>
      <c r="Q678" s="354">
        <v>2231.8649999999998</v>
      </c>
      <c r="R678" s="249">
        <f t="shared" si="282"/>
        <v>2286.2304824999997</v>
      </c>
      <c r="S678" s="355">
        <v>0.1</v>
      </c>
      <c r="T678" s="355"/>
      <c r="U678" s="315">
        <f t="shared" ref="U678:U741" si="283">(R678*S678)+R678</f>
        <v>2514.8535307499997</v>
      </c>
      <c r="V678" s="315">
        <f t="shared" ref="V678:V741" si="284">IF(U678=0, 0, IF(U678&lt;10, _xlfn.CEILING.MATH(U678,1), IF(U678&lt;100, _xlfn.CEILING.MATH(U678,1),IF(U678&lt;1000, _xlfn.CEILING.MATH(U678,5), IF(U678&lt;10000, _xlfn.CEILING.MATH(U678, 25), IF(U678&lt;100000, _xlfn.CEILING.MATH(U678,250), IF(U678&lt;1000000, _xlfn.CEILING.MATH(U678,500), 0)))))))</f>
        <v>2525</v>
      </c>
      <c r="W678" s="316">
        <f t="shared" si="273"/>
        <v>0</v>
      </c>
    </row>
    <row r="679" spans="1:23" x14ac:dyDescent="0.25">
      <c r="A679" s="204" t="s">
        <v>16316</v>
      </c>
      <c r="B679" s="351" t="s">
        <v>20415</v>
      </c>
      <c r="C679" s="352"/>
      <c r="D679" s="353" t="s">
        <v>5</v>
      </c>
      <c r="E679" s="249">
        <f t="shared" si="274"/>
        <v>0</v>
      </c>
      <c r="F679" s="336">
        <v>0</v>
      </c>
      <c r="G679" s="258">
        <f t="shared" si="275"/>
        <v>0</v>
      </c>
      <c r="H679" s="249">
        <f t="shared" si="276"/>
        <v>6.3783914223642574E-2</v>
      </c>
      <c r="I679" s="336">
        <v>4.798677339355204E-3</v>
      </c>
      <c r="J679" s="258">
        <f t="shared" si="277"/>
        <v>4.798677339355204E-3</v>
      </c>
      <c r="K679" s="249">
        <f t="shared" si="278"/>
        <v>13.118076136640491</v>
      </c>
      <c r="L679" s="336">
        <v>0.98691677139970402</v>
      </c>
      <c r="M679" s="258">
        <f t="shared" si="279"/>
        <v>0.98691677139970402</v>
      </c>
      <c r="N679" s="251">
        <f t="shared" si="280"/>
        <v>0.11005851866040288</v>
      </c>
      <c r="O679" s="336">
        <v>8.2800707032011367E-3</v>
      </c>
      <c r="P679" s="258">
        <f t="shared" si="281"/>
        <v>8.2800707032011367E-3</v>
      </c>
      <c r="Q679" s="354">
        <v>12.975959302325579</v>
      </c>
      <c r="R679" s="249">
        <f t="shared" si="282"/>
        <v>13.291978125</v>
      </c>
      <c r="S679" s="355">
        <v>0.1</v>
      </c>
      <c r="T679" s="355"/>
      <c r="U679" s="315">
        <f t="shared" si="283"/>
        <v>14.6211759375</v>
      </c>
      <c r="V679" s="315">
        <f t="shared" si="284"/>
        <v>15</v>
      </c>
      <c r="W679" s="316">
        <f t="shared" si="273"/>
        <v>0</v>
      </c>
    </row>
    <row r="680" spans="1:23" x14ac:dyDescent="0.25">
      <c r="A680" s="204" t="s">
        <v>16317</v>
      </c>
      <c r="B680" s="351" t="s">
        <v>20416</v>
      </c>
      <c r="C680" s="352"/>
      <c r="D680" s="353" t="s">
        <v>14859</v>
      </c>
      <c r="E680" s="249">
        <f t="shared" si="274"/>
        <v>0</v>
      </c>
      <c r="F680" s="336">
        <v>0</v>
      </c>
      <c r="G680" s="258">
        <f t="shared" si="275"/>
        <v>0</v>
      </c>
      <c r="H680" s="249">
        <f t="shared" si="276"/>
        <v>10.970882408915863</v>
      </c>
      <c r="I680" s="336">
        <v>4.798677339355204E-3</v>
      </c>
      <c r="J680" s="258">
        <f t="shared" si="277"/>
        <v>4.798677339355204E-3</v>
      </c>
      <c r="K680" s="249">
        <f t="shared" si="278"/>
        <v>2256.3294500521702</v>
      </c>
      <c r="L680" s="336">
        <v>0.98692125195744362</v>
      </c>
      <c r="M680" s="258">
        <f t="shared" si="279"/>
        <v>0.98692125195744362</v>
      </c>
      <c r="N680" s="251">
        <f t="shared" si="280"/>
        <v>18.930150038913641</v>
      </c>
      <c r="O680" s="336">
        <v>8.280070703201135E-3</v>
      </c>
      <c r="P680" s="258">
        <f t="shared" si="281"/>
        <v>8.280070703201135E-3</v>
      </c>
      <c r="Q680" s="354">
        <v>2231.8649999999998</v>
      </c>
      <c r="R680" s="249">
        <f t="shared" si="282"/>
        <v>2286.2304824999997</v>
      </c>
      <c r="S680" s="355">
        <v>0.1</v>
      </c>
      <c r="T680" s="355"/>
      <c r="U680" s="315">
        <f t="shared" si="283"/>
        <v>2514.8535307499997</v>
      </c>
      <c r="V680" s="315">
        <f t="shared" si="284"/>
        <v>2525</v>
      </c>
      <c r="W680" s="316">
        <f t="shared" si="273"/>
        <v>0</v>
      </c>
    </row>
    <row r="681" spans="1:23" x14ac:dyDescent="0.25">
      <c r="A681" s="204" t="s">
        <v>16318</v>
      </c>
      <c r="B681" s="351" t="s">
        <v>20417</v>
      </c>
      <c r="C681" s="352"/>
      <c r="D681" s="353" t="s">
        <v>5</v>
      </c>
      <c r="E681" s="249">
        <f t="shared" si="274"/>
        <v>0</v>
      </c>
      <c r="F681" s="336">
        <v>0</v>
      </c>
      <c r="G681" s="258">
        <f t="shared" si="275"/>
        <v>0</v>
      </c>
      <c r="H681" s="249">
        <f t="shared" si="276"/>
        <v>6.3783914223642574E-2</v>
      </c>
      <c r="I681" s="336">
        <v>4.798677339355204E-3</v>
      </c>
      <c r="J681" s="258">
        <f t="shared" si="277"/>
        <v>4.798677339355204E-3</v>
      </c>
      <c r="K681" s="249">
        <f t="shared" si="278"/>
        <v>13.118076136640491</v>
      </c>
      <c r="L681" s="336">
        <v>0.98691677139970402</v>
      </c>
      <c r="M681" s="258">
        <f t="shared" si="279"/>
        <v>0.98691677139970402</v>
      </c>
      <c r="N681" s="251">
        <f t="shared" si="280"/>
        <v>0.11005851866040288</v>
      </c>
      <c r="O681" s="336">
        <v>8.2800707032011367E-3</v>
      </c>
      <c r="P681" s="258">
        <f t="shared" si="281"/>
        <v>8.2800707032011367E-3</v>
      </c>
      <c r="Q681" s="354">
        <v>12.975959302325579</v>
      </c>
      <c r="R681" s="249">
        <f t="shared" si="282"/>
        <v>13.291978125</v>
      </c>
      <c r="S681" s="355">
        <v>0.1</v>
      </c>
      <c r="T681" s="355"/>
      <c r="U681" s="315">
        <f t="shared" si="283"/>
        <v>14.6211759375</v>
      </c>
      <c r="V681" s="315">
        <f t="shared" si="284"/>
        <v>15</v>
      </c>
      <c r="W681" s="316">
        <f t="shared" si="273"/>
        <v>0</v>
      </c>
    </row>
    <row r="682" spans="1:23" x14ac:dyDescent="0.25">
      <c r="A682" s="204" t="s">
        <v>16319</v>
      </c>
      <c r="B682" s="351" t="s">
        <v>20418</v>
      </c>
      <c r="C682" s="352"/>
      <c r="D682" s="353" t="s">
        <v>14859</v>
      </c>
      <c r="E682" s="249">
        <f t="shared" si="274"/>
        <v>0</v>
      </c>
      <c r="F682" s="336">
        <v>0</v>
      </c>
      <c r="G682" s="258">
        <f t="shared" si="275"/>
        <v>0</v>
      </c>
      <c r="H682" s="249">
        <f t="shared" si="276"/>
        <v>10.970882408915863</v>
      </c>
      <c r="I682" s="336">
        <v>4.798677339355204E-3</v>
      </c>
      <c r="J682" s="258">
        <f t="shared" si="277"/>
        <v>4.798677339355204E-3</v>
      </c>
      <c r="K682" s="249">
        <f t="shared" si="278"/>
        <v>2256.3294500521702</v>
      </c>
      <c r="L682" s="336">
        <v>0.98692125195744362</v>
      </c>
      <c r="M682" s="258">
        <f t="shared" si="279"/>
        <v>0.98692125195744362</v>
      </c>
      <c r="N682" s="251">
        <f t="shared" si="280"/>
        <v>18.930150038913641</v>
      </c>
      <c r="O682" s="336">
        <v>8.280070703201135E-3</v>
      </c>
      <c r="P682" s="258">
        <f t="shared" si="281"/>
        <v>8.280070703201135E-3</v>
      </c>
      <c r="Q682" s="354">
        <v>2231.8649999999998</v>
      </c>
      <c r="R682" s="249">
        <f t="shared" si="282"/>
        <v>2286.2304824999997</v>
      </c>
      <c r="S682" s="355">
        <v>0.1</v>
      </c>
      <c r="T682" s="355"/>
      <c r="U682" s="315">
        <f t="shared" si="283"/>
        <v>2514.8535307499997</v>
      </c>
      <c r="V682" s="315">
        <f t="shared" si="284"/>
        <v>2525</v>
      </c>
      <c r="W682" s="316">
        <f t="shared" si="273"/>
        <v>0</v>
      </c>
    </row>
    <row r="683" spans="1:23" x14ac:dyDescent="0.25">
      <c r="A683" s="204" t="s">
        <v>16320</v>
      </c>
      <c r="B683" s="351" t="s">
        <v>20419</v>
      </c>
      <c r="C683" s="352"/>
      <c r="D683" s="353" t="s">
        <v>5</v>
      </c>
      <c r="E683" s="249">
        <f t="shared" si="274"/>
        <v>0</v>
      </c>
      <c r="F683" s="336">
        <v>0</v>
      </c>
      <c r="G683" s="258">
        <f t="shared" si="275"/>
        <v>0</v>
      </c>
      <c r="H683" s="249">
        <f t="shared" si="276"/>
        <v>6.3783914223642574E-2</v>
      </c>
      <c r="I683" s="336">
        <v>4.798677339355204E-3</v>
      </c>
      <c r="J683" s="258">
        <f t="shared" si="277"/>
        <v>4.798677339355204E-3</v>
      </c>
      <c r="K683" s="249">
        <f t="shared" si="278"/>
        <v>13.118076136640491</v>
      </c>
      <c r="L683" s="336">
        <v>0.98691677139970402</v>
      </c>
      <c r="M683" s="258">
        <f t="shared" si="279"/>
        <v>0.98691677139970402</v>
      </c>
      <c r="N683" s="251">
        <f t="shared" si="280"/>
        <v>0.11005851866040288</v>
      </c>
      <c r="O683" s="336">
        <v>8.2800707032011367E-3</v>
      </c>
      <c r="P683" s="258">
        <f t="shared" si="281"/>
        <v>8.2800707032011367E-3</v>
      </c>
      <c r="Q683" s="354">
        <v>12.975959302325579</v>
      </c>
      <c r="R683" s="249">
        <f t="shared" si="282"/>
        <v>13.291978125</v>
      </c>
      <c r="S683" s="355">
        <v>0.1</v>
      </c>
      <c r="T683" s="355"/>
      <c r="U683" s="315">
        <f t="shared" si="283"/>
        <v>14.6211759375</v>
      </c>
      <c r="V683" s="315">
        <f t="shared" si="284"/>
        <v>15</v>
      </c>
      <c r="W683" s="316">
        <f t="shared" si="273"/>
        <v>0</v>
      </c>
    </row>
    <row r="684" spans="1:23" x14ac:dyDescent="0.25">
      <c r="A684" s="204" t="s">
        <v>16321</v>
      </c>
      <c r="B684" s="351" t="s">
        <v>20420</v>
      </c>
      <c r="C684" s="352"/>
      <c r="D684" s="353" t="s">
        <v>14859</v>
      </c>
      <c r="E684" s="249">
        <f t="shared" si="274"/>
        <v>0</v>
      </c>
      <c r="F684" s="336">
        <v>0</v>
      </c>
      <c r="G684" s="258">
        <f t="shared" si="275"/>
        <v>0</v>
      </c>
      <c r="H684" s="249">
        <f t="shared" si="276"/>
        <v>10.9709288468063</v>
      </c>
      <c r="I684" s="336">
        <v>4.6513536807256117E-3</v>
      </c>
      <c r="J684" s="258">
        <f t="shared" si="277"/>
        <v>4.6513536807256117E-3</v>
      </c>
      <c r="K684" s="249">
        <f t="shared" si="278"/>
        <v>2328.7517407361552</v>
      </c>
      <c r="L684" s="336">
        <v>0.98732278114468897</v>
      </c>
      <c r="M684" s="258">
        <f t="shared" si="279"/>
        <v>0.98732278114468897</v>
      </c>
      <c r="N684" s="251">
        <f t="shared" si="280"/>
        <v>18.930230167038321</v>
      </c>
      <c r="O684" s="336">
        <v>8.0258651745853688E-3</v>
      </c>
      <c r="P684" s="258">
        <f t="shared" si="281"/>
        <v>8.0258651745853688E-3</v>
      </c>
      <c r="Q684" s="354">
        <v>2302.5554999999999</v>
      </c>
      <c r="R684" s="249">
        <f t="shared" si="282"/>
        <v>2358.65289975</v>
      </c>
      <c r="S684" s="355">
        <v>0.1</v>
      </c>
      <c r="T684" s="355"/>
      <c r="U684" s="315">
        <f t="shared" si="283"/>
        <v>2594.518189725</v>
      </c>
      <c r="V684" s="315">
        <f t="shared" si="284"/>
        <v>2600</v>
      </c>
      <c r="W684" s="316">
        <f t="shared" si="273"/>
        <v>0</v>
      </c>
    </row>
    <row r="685" spans="1:23" x14ac:dyDescent="0.25">
      <c r="A685" s="204" t="s">
        <v>16322</v>
      </c>
      <c r="B685" s="351" t="s">
        <v>20421</v>
      </c>
      <c r="C685" s="352"/>
      <c r="D685" s="353" t="s">
        <v>5</v>
      </c>
      <c r="E685" s="249">
        <f t="shared" si="274"/>
        <v>0</v>
      </c>
      <c r="F685" s="336">
        <v>0</v>
      </c>
      <c r="G685" s="258">
        <f t="shared" si="275"/>
        <v>0</v>
      </c>
      <c r="H685" s="249">
        <f t="shared" si="276"/>
        <v>6.3784192986557214E-2</v>
      </c>
      <c r="I685" s="336">
        <v>4.6513536807256117E-3</v>
      </c>
      <c r="J685" s="258">
        <f t="shared" si="277"/>
        <v>4.6513536807256117E-3</v>
      </c>
      <c r="K685" s="249">
        <f t="shared" si="278"/>
        <v>13.539135942021591</v>
      </c>
      <c r="L685" s="336">
        <v>0.9873184381440534</v>
      </c>
      <c r="M685" s="258">
        <f t="shared" si="279"/>
        <v>0.9873184381440534</v>
      </c>
      <c r="N685" s="251">
        <f t="shared" si="280"/>
        <v>0.11005899966307911</v>
      </c>
      <c r="O685" s="336">
        <v>8.0258651745853688E-3</v>
      </c>
      <c r="P685" s="258">
        <f t="shared" si="281"/>
        <v>8.0258651745853688E-3</v>
      </c>
      <c r="Q685" s="354">
        <v>13.386950581395348</v>
      </c>
      <c r="R685" s="249">
        <f t="shared" si="282"/>
        <v>13.713038690406977</v>
      </c>
      <c r="S685" s="355">
        <v>0.1</v>
      </c>
      <c r="T685" s="355"/>
      <c r="U685" s="315">
        <f t="shared" si="283"/>
        <v>15.084342559447675</v>
      </c>
      <c r="V685" s="315">
        <f t="shared" si="284"/>
        <v>16</v>
      </c>
      <c r="W685" s="316">
        <f t="shared" si="273"/>
        <v>0</v>
      </c>
    </row>
    <row r="686" spans="1:23" x14ac:dyDescent="0.25">
      <c r="A686" s="204" t="s">
        <v>16323</v>
      </c>
      <c r="B686" s="351" t="s">
        <v>20422</v>
      </c>
      <c r="C686" s="352"/>
      <c r="D686" s="353" t="s">
        <v>14859</v>
      </c>
      <c r="E686" s="249">
        <f t="shared" si="274"/>
        <v>0</v>
      </c>
      <c r="F686" s="336">
        <v>0</v>
      </c>
      <c r="G686" s="258">
        <f t="shared" si="275"/>
        <v>0</v>
      </c>
      <c r="H686" s="249">
        <f t="shared" si="276"/>
        <v>10.971051947906442</v>
      </c>
      <c r="I686" s="336">
        <v>4.2608168952728209E-3</v>
      </c>
      <c r="J686" s="258">
        <f t="shared" si="277"/>
        <v>4.2608168952728209E-3</v>
      </c>
      <c r="K686" s="249">
        <f t="shared" si="278"/>
        <v>2544.9690567253137</v>
      </c>
      <c r="L686" s="336">
        <v>0.98838718532464853</v>
      </c>
      <c r="M686" s="258">
        <f t="shared" si="279"/>
        <v>0.98838718532464853</v>
      </c>
      <c r="N686" s="251">
        <f t="shared" si="280"/>
        <v>18.930442576779743</v>
      </c>
      <c r="O686" s="336">
        <v>7.3519977800785927E-3</v>
      </c>
      <c r="P686" s="258">
        <f t="shared" si="281"/>
        <v>7.3519977800785927E-3</v>
      </c>
      <c r="Q686" s="354">
        <v>2513.6025</v>
      </c>
      <c r="R686" s="249">
        <f t="shared" si="282"/>
        <v>2574.8705512500001</v>
      </c>
      <c r="S686" s="355">
        <v>0.1</v>
      </c>
      <c r="T686" s="355"/>
      <c r="U686" s="315">
        <f t="shared" si="283"/>
        <v>2832.3576063750002</v>
      </c>
      <c r="V686" s="315">
        <f t="shared" si="284"/>
        <v>2850</v>
      </c>
      <c r="W686" s="316">
        <f t="shared" ref="W686:W727" si="285">C686*V686</f>
        <v>0</v>
      </c>
    </row>
    <row r="687" spans="1:23" x14ac:dyDescent="0.25">
      <c r="A687" s="204" t="s">
        <v>16324</v>
      </c>
      <c r="B687" s="351" t="s">
        <v>20423</v>
      </c>
      <c r="C687" s="352"/>
      <c r="D687" s="353" t="s">
        <v>5</v>
      </c>
      <c r="E687" s="249">
        <f t="shared" si="274"/>
        <v>0</v>
      </c>
      <c r="F687" s="336">
        <v>0</v>
      </c>
      <c r="G687" s="258">
        <f t="shared" si="275"/>
        <v>0</v>
      </c>
      <c r="H687" s="249">
        <f t="shared" si="276"/>
        <v>6.3784931952542728E-2</v>
      </c>
      <c r="I687" s="336">
        <v>4.2608168952728209E-3</v>
      </c>
      <c r="J687" s="258">
        <f t="shared" si="277"/>
        <v>4.2608168952728209E-3</v>
      </c>
      <c r="K687" s="249">
        <f t="shared" si="278"/>
        <v>14.796213296473114</v>
      </c>
      <c r="L687" s="336">
        <v>0.98838320697087167</v>
      </c>
      <c r="M687" s="258">
        <f t="shared" si="279"/>
        <v>0.98838320697087167</v>
      </c>
      <c r="N687" s="251">
        <f t="shared" si="280"/>
        <v>0.11006027474164236</v>
      </c>
      <c r="O687" s="336">
        <v>7.3519977800785927E-3</v>
      </c>
      <c r="P687" s="258">
        <f t="shared" si="281"/>
        <v>7.3519977800785927E-3</v>
      </c>
      <c r="Q687" s="354">
        <v>14.613968023255813</v>
      </c>
      <c r="R687" s="249">
        <f t="shared" si="282"/>
        <v>14.970118059593023</v>
      </c>
      <c r="S687" s="355">
        <v>0.1</v>
      </c>
      <c r="T687" s="355"/>
      <c r="U687" s="315">
        <f t="shared" si="283"/>
        <v>16.467129865552327</v>
      </c>
      <c r="V687" s="315">
        <f t="shared" si="284"/>
        <v>17</v>
      </c>
      <c r="W687" s="316">
        <f t="shared" si="285"/>
        <v>0</v>
      </c>
    </row>
    <row r="688" spans="1:23" x14ac:dyDescent="0.25">
      <c r="A688" s="204" t="s">
        <v>16325</v>
      </c>
      <c r="B688" s="351" t="s">
        <v>20424</v>
      </c>
      <c r="C688" s="352"/>
      <c r="D688" s="353" t="s">
        <v>14859</v>
      </c>
      <c r="E688" s="249">
        <f t="shared" si="274"/>
        <v>0</v>
      </c>
      <c r="F688" s="336">
        <v>0</v>
      </c>
      <c r="G688" s="258">
        <f t="shared" si="275"/>
        <v>0</v>
      </c>
      <c r="H688" s="249">
        <f t="shared" si="276"/>
        <v>10.971093329852536</v>
      </c>
      <c r="I688" s="336">
        <v>4.1295331603247876E-3</v>
      </c>
      <c r="J688" s="258">
        <f t="shared" si="277"/>
        <v>4.1295331603247876E-3</v>
      </c>
      <c r="K688" s="249">
        <f t="shared" si="278"/>
        <v>2626.8377634392255</v>
      </c>
      <c r="L688" s="336">
        <v>0.98874499785715397</v>
      </c>
      <c r="M688" s="258">
        <f t="shared" si="279"/>
        <v>0.98874499785715397</v>
      </c>
      <c r="N688" s="251">
        <f t="shared" si="280"/>
        <v>18.930513980922022</v>
      </c>
      <c r="O688" s="336">
        <v>7.1254689825212018E-3</v>
      </c>
      <c r="P688" s="258">
        <f t="shared" si="281"/>
        <v>7.1254689825212018E-3</v>
      </c>
      <c r="Q688" s="354">
        <v>2593.5135</v>
      </c>
      <c r="R688" s="249">
        <f t="shared" si="282"/>
        <v>2656.73937075</v>
      </c>
      <c r="S688" s="355">
        <v>0.1</v>
      </c>
      <c r="T688" s="355"/>
      <c r="U688" s="315">
        <f t="shared" si="283"/>
        <v>2922.4133078250002</v>
      </c>
      <c r="V688" s="315">
        <f t="shared" si="284"/>
        <v>2925</v>
      </c>
      <c r="W688" s="316">
        <f t="shared" si="285"/>
        <v>0</v>
      </c>
    </row>
    <row r="689" spans="1:23" ht="14.4" thickBot="1" x14ac:dyDescent="0.3">
      <c r="A689" s="356" t="s">
        <v>16326</v>
      </c>
      <c r="B689" s="357" t="s">
        <v>20425</v>
      </c>
      <c r="C689" s="358"/>
      <c r="D689" s="359" t="s">
        <v>5</v>
      </c>
      <c r="E689" s="266">
        <f t="shared" si="274"/>
        <v>0</v>
      </c>
      <c r="F689" s="360">
        <v>0</v>
      </c>
      <c r="G689" s="322">
        <f t="shared" si="275"/>
        <v>0</v>
      </c>
      <c r="H689" s="266">
        <f t="shared" si="276"/>
        <v>6.378518036503085E-2</v>
      </c>
      <c r="I689" s="360">
        <v>4.1295331603247876E-3</v>
      </c>
      <c r="J689" s="322">
        <f t="shared" si="277"/>
        <v>4.1295331603247876E-3</v>
      </c>
      <c r="K689" s="266">
        <f t="shared" si="278"/>
        <v>15.272194127916297</v>
      </c>
      <c r="L689" s="360">
        <v>0.98874114208389507</v>
      </c>
      <c r="M689" s="322">
        <f t="shared" si="279"/>
        <v>0.98874114208389507</v>
      </c>
      <c r="N689" s="270">
        <f t="shared" si="280"/>
        <v>0.11006070337495519</v>
      </c>
      <c r="O689" s="360">
        <v>7.1254689825212018E-3</v>
      </c>
      <c r="P689" s="322">
        <f t="shared" si="281"/>
        <v>7.1254689825212018E-3</v>
      </c>
      <c r="Q689" s="361">
        <v>15.078566860465116</v>
      </c>
      <c r="R689" s="266">
        <f t="shared" si="282"/>
        <v>15.446099568313953</v>
      </c>
      <c r="S689" s="362">
        <v>0.1</v>
      </c>
      <c r="T689" s="362"/>
      <c r="U689" s="324">
        <f t="shared" si="283"/>
        <v>16.990709525145348</v>
      </c>
      <c r="V689" s="324">
        <f t="shared" si="284"/>
        <v>17</v>
      </c>
      <c r="W689" s="325">
        <f t="shared" si="285"/>
        <v>0</v>
      </c>
    </row>
    <row r="690" spans="1:23" x14ac:dyDescent="0.25">
      <c r="A690" s="204" t="s">
        <v>16327</v>
      </c>
      <c r="B690" s="351" t="s">
        <v>20426</v>
      </c>
      <c r="C690" s="352"/>
      <c r="D690" s="353" t="s">
        <v>14859</v>
      </c>
      <c r="E690" s="249">
        <f t="shared" si="274"/>
        <v>0</v>
      </c>
      <c r="F690" s="336">
        <v>0</v>
      </c>
      <c r="G690" s="258">
        <f t="shared" si="275"/>
        <v>0</v>
      </c>
      <c r="H690" s="249">
        <f t="shared" si="276"/>
        <v>10.971104544590562</v>
      </c>
      <c r="I690" s="336">
        <v>4.093954536462858E-3</v>
      </c>
      <c r="J690" s="258">
        <f t="shared" si="277"/>
        <v>4.093954536462858E-3</v>
      </c>
      <c r="K690" s="249">
        <f t="shared" si="278"/>
        <v>2649.9289383735668</v>
      </c>
      <c r="L690" s="336">
        <v>0.98884196704767968</v>
      </c>
      <c r="M690" s="258">
        <f t="shared" si="279"/>
        <v>0.98884196704767968</v>
      </c>
      <c r="N690" s="251">
        <f t="shared" si="280"/>
        <v>18.93053333184254</v>
      </c>
      <c r="O690" s="336">
        <v>7.0640784158574809E-3</v>
      </c>
      <c r="P690" s="258">
        <f t="shared" si="281"/>
        <v>7.0640784158574809E-3</v>
      </c>
      <c r="Q690" s="354">
        <v>2616.0524999999998</v>
      </c>
      <c r="R690" s="249">
        <f t="shared" si="282"/>
        <v>2679.8305762499999</v>
      </c>
      <c r="S690" s="355">
        <v>0.1</v>
      </c>
      <c r="T690" s="355"/>
      <c r="U690" s="315">
        <f t="shared" si="283"/>
        <v>2947.8136338750001</v>
      </c>
      <c r="V690" s="315">
        <f t="shared" si="284"/>
        <v>2950</v>
      </c>
      <c r="W690" s="316">
        <f t="shared" si="285"/>
        <v>0</v>
      </c>
    </row>
    <row r="691" spans="1:23" x14ac:dyDescent="0.25">
      <c r="A691" s="204" t="s">
        <v>16328</v>
      </c>
      <c r="B691" s="351" t="s">
        <v>20427</v>
      </c>
      <c r="C691" s="352"/>
      <c r="D691" s="353" t="s">
        <v>5</v>
      </c>
      <c r="E691" s="249">
        <f t="shared" si="274"/>
        <v>0</v>
      </c>
      <c r="F691" s="336">
        <v>0</v>
      </c>
      <c r="G691" s="258">
        <f t="shared" si="275"/>
        <v>0</v>
      </c>
      <c r="H691" s="249">
        <f t="shared" si="276"/>
        <v>6.3785247686199642E-2</v>
      </c>
      <c r="I691" s="336">
        <v>4.0939545364628589E-3</v>
      </c>
      <c r="J691" s="258">
        <f t="shared" si="277"/>
        <v>4.0939545364628589E-3</v>
      </c>
      <c r="K691" s="249">
        <f t="shared" si="278"/>
        <v>15.406445139137697</v>
      </c>
      <c r="L691" s="336">
        <v>0.98883814449442442</v>
      </c>
      <c r="M691" s="258">
        <f t="shared" si="279"/>
        <v>0.98883814449442442</v>
      </c>
      <c r="N691" s="251">
        <f t="shared" si="280"/>
        <v>0.11006081953697192</v>
      </c>
      <c r="O691" s="336">
        <v>7.0640784158574809E-3</v>
      </c>
      <c r="P691" s="258">
        <f t="shared" si="281"/>
        <v>7.0640784158574809E-3</v>
      </c>
      <c r="Q691" s="354">
        <v>15.209607558139533</v>
      </c>
      <c r="R691" s="249">
        <f t="shared" si="282"/>
        <v>15.580350763081395</v>
      </c>
      <c r="S691" s="355">
        <v>0.1</v>
      </c>
      <c r="T691" s="355"/>
      <c r="U691" s="315">
        <f t="shared" si="283"/>
        <v>17.138385839389535</v>
      </c>
      <c r="V691" s="315">
        <f t="shared" si="284"/>
        <v>18</v>
      </c>
      <c r="W691" s="316">
        <f t="shared" si="285"/>
        <v>0</v>
      </c>
    </row>
    <row r="692" spans="1:23" x14ac:dyDescent="0.25">
      <c r="A692" s="204" t="s">
        <v>16329</v>
      </c>
      <c r="B692" s="351" t="s">
        <v>20428</v>
      </c>
      <c r="C692" s="352"/>
      <c r="D692" s="353" t="s">
        <v>14859</v>
      </c>
      <c r="E692" s="249">
        <f t="shared" si="274"/>
        <v>0</v>
      </c>
      <c r="F692" s="336">
        <v>0</v>
      </c>
      <c r="G692" s="258">
        <f t="shared" si="275"/>
        <v>0</v>
      </c>
      <c r="H692" s="249">
        <f t="shared" si="276"/>
        <v>10.97157601799643</v>
      </c>
      <c r="I692" s="336">
        <v>2.5982107279902624E-3</v>
      </c>
      <c r="J692" s="258">
        <f t="shared" si="277"/>
        <v>2.5982107279902624E-3</v>
      </c>
      <c r="K692" s="249">
        <f t="shared" si="278"/>
        <v>4192.840020877421</v>
      </c>
      <c r="L692" s="336">
        <v>0.99291860213351668</v>
      </c>
      <c r="M692" s="258">
        <f t="shared" si="279"/>
        <v>0.99291860213351668</v>
      </c>
      <c r="N692" s="251">
        <f t="shared" si="280"/>
        <v>18.931346854582074</v>
      </c>
      <c r="O692" s="336">
        <v>4.4831871384930014E-3</v>
      </c>
      <c r="P692" s="258">
        <f t="shared" si="281"/>
        <v>4.4831871384930014E-3</v>
      </c>
      <c r="Q692" s="354">
        <v>4122.0675000000001</v>
      </c>
      <c r="R692" s="249">
        <f t="shared" si="282"/>
        <v>4222.7429437499995</v>
      </c>
      <c r="S692" s="355">
        <v>0.1</v>
      </c>
      <c r="T692" s="355"/>
      <c r="U692" s="315">
        <f t="shared" si="283"/>
        <v>4645.0172381249995</v>
      </c>
      <c r="V692" s="315">
        <f t="shared" si="284"/>
        <v>4650</v>
      </c>
      <c r="W692" s="316">
        <f t="shared" si="285"/>
        <v>0</v>
      </c>
    </row>
    <row r="693" spans="1:23" x14ac:dyDescent="0.25">
      <c r="A693" s="204" t="s">
        <v>16330</v>
      </c>
      <c r="B693" s="351" t="s">
        <v>20429</v>
      </c>
      <c r="C693" s="352"/>
      <c r="D693" s="353" t="s">
        <v>5</v>
      </c>
      <c r="E693" s="249">
        <f t="shared" si="274"/>
        <v>0</v>
      </c>
      <c r="F693" s="336">
        <v>0</v>
      </c>
      <c r="G693" s="258">
        <f t="shared" si="275"/>
        <v>0</v>
      </c>
      <c r="H693" s="249">
        <f t="shared" si="276"/>
        <v>6.3788077903067009E-2</v>
      </c>
      <c r="I693" s="336">
        <v>2.5982107279902624E-3</v>
      </c>
      <c r="J693" s="258">
        <f t="shared" si="277"/>
        <v>2.5982107279902624E-3</v>
      </c>
      <c r="K693" s="249">
        <f t="shared" si="278"/>
        <v>24.376858164045853</v>
      </c>
      <c r="L693" s="336">
        <v>0.99291617616645056</v>
      </c>
      <c r="M693" s="258">
        <f t="shared" si="279"/>
        <v>0.99291617616645056</v>
      </c>
      <c r="N693" s="251">
        <f t="shared" si="280"/>
        <v>0.11006570304842933</v>
      </c>
      <c r="O693" s="336">
        <v>4.4831871384930014E-3</v>
      </c>
      <c r="P693" s="258">
        <f t="shared" si="281"/>
        <v>4.4831871384930014E-3</v>
      </c>
      <c r="Q693" s="354">
        <v>23.965508720930234</v>
      </c>
      <c r="R693" s="249">
        <f t="shared" si="282"/>
        <v>24.550771504360469</v>
      </c>
      <c r="S693" s="355">
        <v>0.1</v>
      </c>
      <c r="T693" s="355"/>
      <c r="U693" s="315">
        <f t="shared" si="283"/>
        <v>27.005848654796516</v>
      </c>
      <c r="V693" s="315">
        <f t="shared" si="284"/>
        <v>28</v>
      </c>
      <c r="W693" s="316">
        <f t="shared" si="285"/>
        <v>0</v>
      </c>
    </row>
    <row r="694" spans="1:23" x14ac:dyDescent="0.25">
      <c r="A694" s="204" t="s">
        <v>16331</v>
      </c>
      <c r="B694" s="351" t="s">
        <v>20430</v>
      </c>
      <c r="C694" s="352"/>
      <c r="D694" s="353" t="s">
        <v>14859</v>
      </c>
      <c r="E694" s="249">
        <f t="shared" si="274"/>
        <v>0</v>
      </c>
      <c r="F694" s="336">
        <v>0</v>
      </c>
      <c r="G694" s="258">
        <f t="shared" si="275"/>
        <v>0</v>
      </c>
      <c r="H694" s="249">
        <f t="shared" si="276"/>
        <v>10.97157601799643</v>
      </c>
      <c r="I694" s="336">
        <v>2.5982107279902624E-3</v>
      </c>
      <c r="J694" s="258">
        <f t="shared" si="277"/>
        <v>2.5982107279902624E-3</v>
      </c>
      <c r="K694" s="249">
        <f t="shared" si="278"/>
        <v>4192.840020877421</v>
      </c>
      <c r="L694" s="336">
        <v>0.99291860213351668</v>
      </c>
      <c r="M694" s="258">
        <f t="shared" si="279"/>
        <v>0.99291860213351668</v>
      </c>
      <c r="N694" s="251">
        <f t="shared" si="280"/>
        <v>18.931346854582074</v>
      </c>
      <c r="O694" s="336">
        <v>4.4831871384930014E-3</v>
      </c>
      <c r="P694" s="258">
        <f t="shared" si="281"/>
        <v>4.4831871384930014E-3</v>
      </c>
      <c r="Q694" s="354">
        <v>4122.0675000000001</v>
      </c>
      <c r="R694" s="249">
        <f t="shared" si="282"/>
        <v>4222.7429437499995</v>
      </c>
      <c r="S694" s="355">
        <v>0.1</v>
      </c>
      <c r="T694" s="355"/>
      <c r="U694" s="315">
        <f t="shared" si="283"/>
        <v>4645.0172381249995</v>
      </c>
      <c r="V694" s="315">
        <f t="shared" si="284"/>
        <v>4650</v>
      </c>
      <c r="W694" s="316">
        <f t="shared" si="285"/>
        <v>0</v>
      </c>
    </row>
    <row r="695" spans="1:23" x14ac:dyDescent="0.25">
      <c r="A695" s="204" t="s">
        <v>16332</v>
      </c>
      <c r="B695" s="351" t="s">
        <v>20431</v>
      </c>
      <c r="C695" s="352"/>
      <c r="D695" s="353" t="s">
        <v>5</v>
      </c>
      <c r="E695" s="249">
        <f t="shared" si="274"/>
        <v>0</v>
      </c>
      <c r="F695" s="336">
        <v>0</v>
      </c>
      <c r="G695" s="258">
        <f t="shared" si="275"/>
        <v>0</v>
      </c>
      <c r="H695" s="249">
        <f t="shared" si="276"/>
        <v>6.3788077903067009E-2</v>
      </c>
      <c r="I695" s="336">
        <v>2.5982107279902624E-3</v>
      </c>
      <c r="J695" s="258">
        <f t="shared" si="277"/>
        <v>2.5982107279902624E-3</v>
      </c>
      <c r="K695" s="249">
        <f t="shared" si="278"/>
        <v>24.376858164045853</v>
      </c>
      <c r="L695" s="336">
        <v>0.99291617616645056</v>
      </c>
      <c r="M695" s="258">
        <f t="shared" si="279"/>
        <v>0.99291617616645056</v>
      </c>
      <c r="N695" s="251">
        <f t="shared" si="280"/>
        <v>0.11006570304842933</v>
      </c>
      <c r="O695" s="336">
        <v>4.4831871384930014E-3</v>
      </c>
      <c r="P695" s="258">
        <f t="shared" si="281"/>
        <v>4.4831871384930014E-3</v>
      </c>
      <c r="Q695" s="354">
        <v>23.965508720930234</v>
      </c>
      <c r="R695" s="249">
        <f t="shared" si="282"/>
        <v>24.550771504360469</v>
      </c>
      <c r="S695" s="355">
        <v>0.1</v>
      </c>
      <c r="T695" s="355"/>
      <c r="U695" s="315">
        <f t="shared" si="283"/>
        <v>27.005848654796516</v>
      </c>
      <c r="V695" s="315">
        <f t="shared" si="284"/>
        <v>28</v>
      </c>
      <c r="W695" s="316">
        <f t="shared" si="285"/>
        <v>0</v>
      </c>
    </row>
    <row r="696" spans="1:23" x14ac:dyDescent="0.25">
      <c r="A696" s="204" t="s">
        <v>16333</v>
      </c>
      <c r="B696" s="351" t="s">
        <v>20432</v>
      </c>
      <c r="C696" s="352"/>
      <c r="D696" s="353" t="s">
        <v>14859</v>
      </c>
      <c r="E696" s="249">
        <f t="shared" si="274"/>
        <v>0</v>
      </c>
      <c r="F696" s="336">
        <v>0</v>
      </c>
      <c r="G696" s="258">
        <f t="shared" si="275"/>
        <v>0</v>
      </c>
      <c r="H696" s="249">
        <f t="shared" si="276"/>
        <v>10.97157601799643</v>
      </c>
      <c r="I696" s="336">
        <v>2.5982107279902624E-3</v>
      </c>
      <c r="J696" s="258">
        <f t="shared" si="277"/>
        <v>2.5982107279902624E-3</v>
      </c>
      <c r="K696" s="249">
        <f t="shared" si="278"/>
        <v>4192.840020877421</v>
      </c>
      <c r="L696" s="336">
        <v>0.99291860213351668</v>
      </c>
      <c r="M696" s="258">
        <f t="shared" si="279"/>
        <v>0.99291860213351668</v>
      </c>
      <c r="N696" s="251">
        <f t="shared" si="280"/>
        <v>18.931346854582074</v>
      </c>
      <c r="O696" s="336">
        <v>4.4831871384930014E-3</v>
      </c>
      <c r="P696" s="258">
        <f t="shared" si="281"/>
        <v>4.4831871384930014E-3</v>
      </c>
      <c r="Q696" s="354">
        <v>4122.0675000000001</v>
      </c>
      <c r="R696" s="249">
        <f t="shared" si="282"/>
        <v>4222.7429437499995</v>
      </c>
      <c r="S696" s="355">
        <v>0.1</v>
      </c>
      <c r="T696" s="355"/>
      <c r="U696" s="315">
        <f t="shared" si="283"/>
        <v>4645.0172381249995</v>
      </c>
      <c r="V696" s="315">
        <f t="shared" si="284"/>
        <v>4650</v>
      </c>
      <c r="W696" s="316">
        <f t="shared" si="285"/>
        <v>0</v>
      </c>
    </row>
    <row r="697" spans="1:23" x14ac:dyDescent="0.25">
      <c r="A697" s="204" t="s">
        <v>16334</v>
      </c>
      <c r="B697" s="351" t="s">
        <v>20433</v>
      </c>
      <c r="C697" s="352"/>
      <c r="D697" s="353" t="s">
        <v>5</v>
      </c>
      <c r="E697" s="249">
        <f t="shared" si="274"/>
        <v>0</v>
      </c>
      <c r="F697" s="336">
        <v>0</v>
      </c>
      <c r="G697" s="258">
        <f t="shared" si="275"/>
        <v>0</v>
      </c>
      <c r="H697" s="249">
        <f t="shared" si="276"/>
        <v>6.3788077903067009E-2</v>
      </c>
      <c r="I697" s="336">
        <v>2.5982107279902624E-3</v>
      </c>
      <c r="J697" s="258">
        <f t="shared" si="277"/>
        <v>2.5982107279902624E-3</v>
      </c>
      <c r="K697" s="249">
        <f t="shared" si="278"/>
        <v>24.376858164045853</v>
      </c>
      <c r="L697" s="336">
        <v>0.99291617616645056</v>
      </c>
      <c r="M697" s="258">
        <f t="shared" si="279"/>
        <v>0.99291617616645056</v>
      </c>
      <c r="N697" s="251">
        <f t="shared" si="280"/>
        <v>0.11006570304842933</v>
      </c>
      <c r="O697" s="336">
        <v>4.4831871384930014E-3</v>
      </c>
      <c r="P697" s="258">
        <f t="shared" si="281"/>
        <v>4.4831871384930014E-3</v>
      </c>
      <c r="Q697" s="354">
        <v>23.965508720930234</v>
      </c>
      <c r="R697" s="249">
        <f t="shared" si="282"/>
        <v>24.550771504360469</v>
      </c>
      <c r="S697" s="355">
        <v>0.1</v>
      </c>
      <c r="T697" s="355"/>
      <c r="U697" s="315">
        <f t="shared" si="283"/>
        <v>27.005848654796516</v>
      </c>
      <c r="V697" s="315">
        <f t="shared" si="284"/>
        <v>28</v>
      </c>
      <c r="W697" s="316">
        <f t="shared" si="285"/>
        <v>0</v>
      </c>
    </row>
    <row r="698" spans="1:23" x14ac:dyDescent="0.25">
      <c r="A698" s="204" t="s">
        <v>16335</v>
      </c>
      <c r="B698" s="351" t="s">
        <v>20434</v>
      </c>
      <c r="C698" s="352"/>
      <c r="D698" s="353" t="s">
        <v>14859</v>
      </c>
      <c r="E698" s="249">
        <f t="shared" si="274"/>
        <v>0</v>
      </c>
      <c r="F698" s="336">
        <v>0</v>
      </c>
      <c r="G698" s="258">
        <f t="shared" si="275"/>
        <v>0</v>
      </c>
      <c r="H698" s="249">
        <f t="shared" si="276"/>
        <v>10.97157601799643</v>
      </c>
      <c r="I698" s="336">
        <v>2.5982107279902624E-3</v>
      </c>
      <c r="J698" s="258">
        <f t="shared" si="277"/>
        <v>2.5982107279902624E-3</v>
      </c>
      <c r="K698" s="249">
        <f t="shared" si="278"/>
        <v>4192.840020877421</v>
      </c>
      <c r="L698" s="336">
        <v>0.99291860213351668</v>
      </c>
      <c r="M698" s="258">
        <f t="shared" si="279"/>
        <v>0.99291860213351668</v>
      </c>
      <c r="N698" s="251">
        <f t="shared" si="280"/>
        <v>18.931346854582074</v>
      </c>
      <c r="O698" s="336">
        <v>4.4831871384930014E-3</v>
      </c>
      <c r="P698" s="258">
        <f t="shared" si="281"/>
        <v>4.4831871384930014E-3</v>
      </c>
      <c r="Q698" s="354">
        <v>4122.0675000000001</v>
      </c>
      <c r="R698" s="249">
        <f t="shared" si="282"/>
        <v>4222.7429437499995</v>
      </c>
      <c r="S698" s="355">
        <v>0.1</v>
      </c>
      <c r="T698" s="355"/>
      <c r="U698" s="315">
        <f t="shared" si="283"/>
        <v>4645.0172381249995</v>
      </c>
      <c r="V698" s="315">
        <f t="shared" si="284"/>
        <v>4650</v>
      </c>
      <c r="W698" s="316">
        <f t="shared" si="285"/>
        <v>0</v>
      </c>
    </row>
    <row r="699" spans="1:23" x14ac:dyDescent="0.25">
      <c r="A699" s="204" t="s">
        <v>16336</v>
      </c>
      <c r="B699" s="351" t="s">
        <v>20435</v>
      </c>
      <c r="C699" s="352"/>
      <c r="D699" s="353" t="s">
        <v>5</v>
      </c>
      <c r="E699" s="249">
        <f t="shared" si="274"/>
        <v>0</v>
      </c>
      <c r="F699" s="336">
        <v>0</v>
      </c>
      <c r="G699" s="258">
        <f t="shared" si="275"/>
        <v>0</v>
      </c>
      <c r="H699" s="249">
        <f t="shared" si="276"/>
        <v>6.3788077903067009E-2</v>
      </c>
      <c r="I699" s="336">
        <v>2.5982107279902624E-3</v>
      </c>
      <c r="J699" s="258">
        <f t="shared" si="277"/>
        <v>2.5982107279902624E-3</v>
      </c>
      <c r="K699" s="249">
        <f t="shared" si="278"/>
        <v>24.376858164045853</v>
      </c>
      <c r="L699" s="336">
        <v>0.99291617616645056</v>
      </c>
      <c r="M699" s="258">
        <f t="shared" si="279"/>
        <v>0.99291617616645056</v>
      </c>
      <c r="N699" s="251">
        <f t="shared" si="280"/>
        <v>0.11006570304842933</v>
      </c>
      <c r="O699" s="336">
        <v>4.4831871384930014E-3</v>
      </c>
      <c r="P699" s="258">
        <f t="shared" si="281"/>
        <v>4.4831871384930014E-3</v>
      </c>
      <c r="Q699" s="354">
        <v>23.965508720930234</v>
      </c>
      <c r="R699" s="249">
        <f t="shared" si="282"/>
        <v>24.550771504360469</v>
      </c>
      <c r="S699" s="355">
        <v>0.1</v>
      </c>
      <c r="T699" s="355"/>
      <c r="U699" s="315">
        <f t="shared" si="283"/>
        <v>27.005848654796516</v>
      </c>
      <c r="V699" s="315">
        <f t="shared" si="284"/>
        <v>28</v>
      </c>
      <c r="W699" s="316">
        <f t="shared" si="285"/>
        <v>0</v>
      </c>
    </row>
    <row r="700" spans="1:23" x14ac:dyDescent="0.25">
      <c r="A700" s="204" t="s">
        <v>16337</v>
      </c>
      <c r="B700" s="351" t="s">
        <v>20436</v>
      </c>
      <c r="C700" s="352"/>
      <c r="D700" s="353" t="s">
        <v>14859</v>
      </c>
      <c r="E700" s="249">
        <f t="shared" si="274"/>
        <v>0</v>
      </c>
      <c r="F700" s="336">
        <v>0</v>
      </c>
      <c r="G700" s="258">
        <f t="shared" si="275"/>
        <v>0</v>
      </c>
      <c r="H700" s="249">
        <f t="shared" si="276"/>
        <v>10.97157601799643</v>
      </c>
      <c r="I700" s="336">
        <v>2.5982107279902624E-3</v>
      </c>
      <c r="J700" s="258">
        <f t="shared" si="277"/>
        <v>2.5982107279902624E-3</v>
      </c>
      <c r="K700" s="249">
        <f t="shared" si="278"/>
        <v>4192.840020877421</v>
      </c>
      <c r="L700" s="336">
        <v>0.99291860213351668</v>
      </c>
      <c r="M700" s="258">
        <f t="shared" si="279"/>
        <v>0.99291860213351668</v>
      </c>
      <c r="N700" s="251">
        <f t="shared" si="280"/>
        <v>18.931346854582074</v>
      </c>
      <c r="O700" s="336">
        <v>4.4831871384930014E-3</v>
      </c>
      <c r="P700" s="258">
        <f t="shared" si="281"/>
        <v>4.4831871384930014E-3</v>
      </c>
      <c r="Q700" s="354">
        <v>4122.0675000000001</v>
      </c>
      <c r="R700" s="249">
        <f t="shared" si="282"/>
        <v>4222.7429437499995</v>
      </c>
      <c r="S700" s="355">
        <v>0.1</v>
      </c>
      <c r="T700" s="355"/>
      <c r="U700" s="315">
        <f t="shared" si="283"/>
        <v>4645.0172381249995</v>
      </c>
      <c r="V700" s="315">
        <f t="shared" si="284"/>
        <v>4650</v>
      </c>
      <c r="W700" s="316">
        <f t="shared" si="285"/>
        <v>0</v>
      </c>
    </row>
    <row r="701" spans="1:23" x14ac:dyDescent="0.25">
      <c r="A701" s="204" t="s">
        <v>16338</v>
      </c>
      <c r="B701" s="351" t="s">
        <v>20437</v>
      </c>
      <c r="C701" s="352"/>
      <c r="D701" s="353" t="s">
        <v>5</v>
      </c>
      <c r="E701" s="249">
        <f t="shared" si="274"/>
        <v>0</v>
      </c>
      <c r="F701" s="336">
        <v>0</v>
      </c>
      <c r="G701" s="258">
        <f t="shared" si="275"/>
        <v>0</v>
      </c>
      <c r="H701" s="249">
        <f t="shared" si="276"/>
        <v>6.3788077903067009E-2</v>
      </c>
      <c r="I701" s="336">
        <v>2.5982107279902624E-3</v>
      </c>
      <c r="J701" s="258">
        <f t="shared" si="277"/>
        <v>2.5982107279902624E-3</v>
      </c>
      <c r="K701" s="249">
        <f t="shared" si="278"/>
        <v>24.376858164045853</v>
      </c>
      <c r="L701" s="336">
        <v>0.99291617616645056</v>
      </c>
      <c r="M701" s="258">
        <f t="shared" si="279"/>
        <v>0.99291617616645056</v>
      </c>
      <c r="N701" s="251">
        <f t="shared" si="280"/>
        <v>0.11006570304842933</v>
      </c>
      <c r="O701" s="336">
        <v>4.4831871384930014E-3</v>
      </c>
      <c r="P701" s="258">
        <f t="shared" si="281"/>
        <v>4.4831871384930014E-3</v>
      </c>
      <c r="Q701" s="354">
        <v>23.965508720930234</v>
      </c>
      <c r="R701" s="249">
        <f t="shared" si="282"/>
        <v>24.550771504360469</v>
      </c>
      <c r="S701" s="355">
        <v>0.1</v>
      </c>
      <c r="T701" s="355"/>
      <c r="U701" s="315">
        <f t="shared" si="283"/>
        <v>27.005848654796516</v>
      </c>
      <c r="V701" s="315">
        <f t="shared" si="284"/>
        <v>28</v>
      </c>
      <c r="W701" s="316">
        <f t="shared" si="285"/>
        <v>0</v>
      </c>
    </row>
    <row r="702" spans="1:23" x14ac:dyDescent="0.25">
      <c r="A702" s="204" t="s">
        <v>16339</v>
      </c>
      <c r="B702" s="351" t="s">
        <v>20438</v>
      </c>
      <c r="C702" s="352"/>
      <c r="D702" s="353" t="s">
        <v>14859</v>
      </c>
      <c r="E702" s="249">
        <f t="shared" si="274"/>
        <v>0</v>
      </c>
      <c r="F702" s="336">
        <v>0</v>
      </c>
      <c r="G702" s="258">
        <f t="shared" si="275"/>
        <v>0</v>
      </c>
      <c r="H702" s="249">
        <f t="shared" si="276"/>
        <v>10.97157601799643</v>
      </c>
      <c r="I702" s="336">
        <v>2.5982107279902624E-3</v>
      </c>
      <c r="J702" s="258">
        <f t="shared" si="277"/>
        <v>2.5982107279902624E-3</v>
      </c>
      <c r="K702" s="249">
        <f t="shared" si="278"/>
        <v>4192.840020877421</v>
      </c>
      <c r="L702" s="336">
        <v>0.99291860213351668</v>
      </c>
      <c r="M702" s="258">
        <f t="shared" si="279"/>
        <v>0.99291860213351668</v>
      </c>
      <c r="N702" s="251">
        <f t="shared" si="280"/>
        <v>18.931346854582074</v>
      </c>
      <c r="O702" s="336">
        <v>4.4831871384930014E-3</v>
      </c>
      <c r="P702" s="258">
        <f t="shared" si="281"/>
        <v>4.4831871384930014E-3</v>
      </c>
      <c r="Q702" s="354">
        <v>4122.0675000000001</v>
      </c>
      <c r="R702" s="249">
        <f t="shared" si="282"/>
        <v>4222.7429437499995</v>
      </c>
      <c r="S702" s="355">
        <v>0.1</v>
      </c>
      <c r="T702" s="355"/>
      <c r="U702" s="315">
        <f t="shared" si="283"/>
        <v>4645.0172381249995</v>
      </c>
      <c r="V702" s="315">
        <f t="shared" si="284"/>
        <v>4650</v>
      </c>
      <c r="W702" s="316">
        <f t="shared" si="285"/>
        <v>0</v>
      </c>
    </row>
    <row r="703" spans="1:23" x14ac:dyDescent="0.25">
      <c r="A703" s="204" t="s">
        <v>16340</v>
      </c>
      <c r="B703" s="351" t="s">
        <v>20439</v>
      </c>
      <c r="C703" s="352"/>
      <c r="D703" s="353" t="s">
        <v>5</v>
      </c>
      <c r="E703" s="249">
        <f t="shared" si="274"/>
        <v>0</v>
      </c>
      <c r="F703" s="336">
        <v>0</v>
      </c>
      <c r="G703" s="258">
        <f t="shared" si="275"/>
        <v>0</v>
      </c>
      <c r="H703" s="249">
        <f t="shared" si="276"/>
        <v>6.3788077903067009E-2</v>
      </c>
      <c r="I703" s="336">
        <v>2.5982107279902624E-3</v>
      </c>
      <c r="J703" s="258">
        <f t="shared" si="277"/>
        <v>2.5982107279902624E-3</v>
      </c>
      <c r="K703" s="249">
        <f t="shared" si="278"/>
        <v>24.376858164045853</v>
      </c>
      <c r="L703" s="336">
        <v>0.99291617616645056</v>
      </c>
      <c r="M703" s="258">
        <f t="shared" si="279"/>
        <v>0.99291617616645056</v>
      </c>
      <c r="N703" s="251">
        <f t="shared" si="280"/>
        <v>0.11006570304842933</v>
      </c>
      <c r="O703" s="336">
        <v>4.4831871384930014E-3</v>
      </c>
      <c r="P703" s="258">
        <f t="shared" si="281"/>
        <v>4.4831871384930014E-3</v>
      </c>
      <c r="Q703" s="354">
        <v>23.965508720930234</v>
      </c>
      <c r="R703" s="249">
        <f t="shared" si="282"/>
        <v>24.550771504360469</v>
      </c>
      <c r="S703" s="355">
        <v>0.1</v>
      </c>
      <c r="T703" s="355"/>
      <c r="U703" s="315">
        <f t="shared" si="283"/>
        <v>27.005848654796516</v>
      </c>
      <c r="V703" s="315">
        <f t="shared" si="284"/>
        <v>28</v>
      </c>
      <c r="W703" s="316">
        <f t="shared" si="285"/>
        <v>0</v>
      </c>
    </row>
    <row r="704" spans="1:23" x14ac:dyDescent="0.25">
      <c r="A704" s="204" t="s">
        <v>16341</v>
      </c>
      <c r="B704" s="351" t="s">
        <v>20440</v>
      </c>
      <c r="C704" s="352"/>
      <c r="D704" s="353" t="s">
        <v>14859</v>
      </c>
      <c r="E704" s="249">
        <f t="shared" si="274"/>
        <v>0</v>
      </c>
      <c r="F704" s="336">
        <v>0</v>
      </c>
      <c r="G704" s="258">
        <f t="shared" si="275"/>
        <v>0</v>
      </c>
      <c r="H704" s="249">
        <f t="shared" si="276"/>
        <v>10.971595879366697</v>
      </c>
      <c r="I704" s="336">
        <v>2.5352007655312122E-3</v>
      </c>
      <c r="J704" s="258">
        <f t="shared" si="277"/>
        <v>2.5352007655312122E-3</v>
      </c>
      <c r="K704" s="249">
        <f t="shared" si="278"/>
        <v>4297.7999917454508</v>
      </c>
      <c r="L704" s="336">
        <v>0.99309033516845424</v>
      </c>
      <c r="M704" s="258">
        <f t="shared" si="279"/>
        <v>0.99309033516845424</v>
      </c>
      <c r="N704" s="251">
        <f t="shared" si="280"/>
        <v>18.931381125181751</v>
      </c>
      <c r="O704" s="336">
        <v>4.3744640660146406E-3</v>
      </c>
      <c r="P704" s="258">
        <f t="shared" si="281"/>
        <v>4.3744640660146406E-3</v>
      </c>
      <c r="Q704" s="354">
        <v>4224.517499999999</v>
      </c>
      <c r="R704" s="249">
        <f t="shared" si="282"/>
        <v>4327.7029687499989</v>
      </c>
      <c r="S704" s="355">
        <v>0.1</v>
      </c>
      <c r="T704" s="355"/>
      <c r="U704" s="315">
        <f t="shared" si="283"/>
        <v>4760.4732656249989</v>
      </c>
      <c r="V704" s="315">
        <f t="shared" si="284"/>
        <v>4775</v>
      </c>
      <c r="W704" s="316">
        <f t="shared" si="285"/>
        <v>0</v>
      </c>
    </row>
    <row r="705" spans="1:23" x14ac:dyDescent="0.25">
      <c r="A705" s="204" t="s">
        <v>16342</v>
      </c>
      <c r="B705" s="351" t="s">
        <v>20441</v>
      </c>
      <c r="C705" s="352"/>
      <c r="D705" s="353" t="s">
        <v>5</v>
      </c>
      <c r="E705" s="249">
        <f t="shared" si="274"/>
        <v>0</v>
      </c>
      <c r="F705" s="336">
        <v>0</v>
      </c>
      <c r="G705" s="258">
        <f t="shared" si="275"/>
        <v>0</v>
      </c>
      <c r="H705" s="249">
        <f t="shared" si="276"/>
        <v>6.3788197129272417E-2</v>
      </c>
      <c r="I705" s="336">
        <v>2.5352007655312127E-3</v>
      </c>
      <c r="J705" s="258">
        <f t="shared" si="277"/>
        <v>2.5352007655312127E-3</v>
      </c>
      <c r="K705" s="249">
        <f t="shared" si="278"/>
        <v>24.987090542473034</v>
      </c>
      <c r="L705" s="336">
        <v>0.99308796803421928</v>
      </c>
      <c r="M705" s="258">
        <f t="shared" si="279"/>
        <v>0.99308796803421928</v>
      </c>
      <c r="N705" s="251">
        <f t="shared" si="280"/>
        <v>0.11006590877207788</v>
      </c>
      <c r="O705" s="336">
        <v>4.3744640660146406E-3</v>
      </c>
      <c r="P705" s="258">
        <f t="shared" si="281"/>
        <v>4.3744640660146406E-3</v>
      </c>
      <c r="Q705" s="354">
        <v>24.561148255813947</v>
      </c>
      <c r="R705" s="249">
        <f t="shared" si="282"/>
        <v>25.16100420784883</v>
      </c>
      <c r="S705" s="355">
        <v>0.1</v>
      </c>
      <c r="T705" s="355"/>
      <c r="U705" s="315">
        <f t="shared" si="283"/>
        <v>27.677104628633714</v>
      </c>
      <c r="V705" s="315">
        <f t="shared" si="284"/>
        <v>28</v>
      </c>
      <c r="W705" s="316">
        <f t="shared" si="285"/>
        <v>0</v>
      </c>
    </row>
    <row r="706" spans="1:23" x14ac:dyDescent="0.25">
      <c r="A706" s="204" t="s">
        <v>16343</v>
      </c>
      <c r="B706" s="351" t="s">
        <v>20442</v>
      </c>
      <c r="C706" s="352"/>
      <c r="D706" s="353" t="s">
        <v>14859</v>
      </c>
      <c r="E706" s="249">
        <f t="shared" si="274"/>
        <v>0</v>
      </c>
      <c r="F706" s="336">
        <v>0</v>
      </c>
      <c r="G706" s="258">
        <f t="shared" si="275"/>
        <v>0</v>
      </c>
      <c r="H706" s="249">
        <f t="shared" si="276"/>
        <v>10.971620485078557</v>
      </c>
      <c r="I706" s="336">
        <v>2.4571394354360805E-3</v>
      </c>
      <c r="J706" s="258">
        <f t="shared" si="277"/>
        <v>2.4571394354360805E-3</v>
      </c>
      <c r="K706" s="249">
        <f t="shared" si="278"/>
        <v>4435.2975574328248</v>
      </c>
      <c r="L706" s="336">
        <v>0.99330309055832133</v>
      </c>
      <c r="M706" s="258">
        <f t="shared" si="279"/>
        <v>0.99330309055832133</v>
      </c>
      <c r="N706" s="251">
        <f t="shared" si="280"/>
        <v>18.931423582096329</v>
      </c>
      <c r="O706" s="336">
        <v>4.2397700062426482E-3</v>
      </c>
      <c r="P706" s="258">
        <f t="shared" si="281"/>
        <v>4.2397700062426482E-3</v>
      </c>
      <c r="Q706" s="354">
        <v>4358.7269999999999</v>
      </c>
      <c r="R706" s="249">
        <f t="shared" si="282"/>
        <v>4465.2006014999997</v>
      </c>
      <c r="S706" s="355">
        <v>0.1</v>
      </c>
      <c r="T706" s="355"/>
      <c r="U706" s="315">
        <f t="shared" si="283"/>
        <v>4911.7206616499998</v>
      </c>
      <c r="V706" s="315">
        <f t="shared" si="284"/>
        <v>4925</v>
      </c>
      <c r="W706" s="316">
        <f t="shared" si="285"/>
        <v>0</v>
      </c>
    </row>
    <row r="707" spans="1:23" x14ac:dyDescent="0.25">
      <c r="A707" s="204" t="s">
        <v>16344</v>
      </c>
      <c r="B707" s="351" t="s">
        <v>20443</v>
      </c>
      <c r="C707" s="352"/>
      <c r="D707" s="353" t="s">
        <v>5</v>
      </c>
      <c r="E707" s="249">
        <f t="shared" ref="E707:E770" si="286">R707*G707</f>
        <v>0</v>
      </c>
      <c r="F707" s="336">
        <v>0</v>
      </c>
      <c r="G707" s="258">
        <f t="shared" ref="G707:G770" si="287">F707</f>
        <v>0</v>
      </c>
      <c r="H707" s="249">
        <f t="shared" ref="H707:H770" si="288">R707*J707</f>
        <v>6.3788344835378152E-2</v>
      </c>
      <c r="I707" s="336">
        <v>2.4571394354360805E-3</v>
      </c>
      <c r="J707" s="258">
        <f t="shared" ref="J707:J770" si="289">I707</f>
        <v>2.4571394354360805E-3</v>
      </c>
      <c r="K707" s="249">
        <f t="shared" ref="K707:K770" si="290">R707*M707</f>
        <v>25.786494981333352</v>
      </c>
      <c r="L707" s="336">
        <v>0.9933007963104824</v>
      </c>
      <c r="M707" s="258">
        <f t="shared" ref="M707:M770" si="291">L707</f>
        <v>0.9933007963104824</v>
      </c>
      <c r="N707" s="251">
        <f t="shared" ref="N707:N770" si="292">P707*R707</f>
        <v>0.11006616363751522</v>
      </c>
      <c r="O707" s="336">
        <v>4.2397700062426482E-3</v>
      </c>
      <c r="P707" s="258">
        <f t="shared" ref="P707:P770" si="293">O707</f>
        <v>4.2397700062426482E-3</v>
      </c>
      <c r="Q707" s="354">
        <v>25.341436046511628</v>
      </c>
      <c r="R707" s="249">
        <f t="shared" ref="R707:R770" si="294">SUM(F707*Q707*1.0235,I707*Q707*1.0175,L707*Q707*1.0245,O707*Q707*1.0115)</f>
        <v>25.960409049418605</v>
      </c>
      <c r="S707" s="355">
        <v>0.1</v>
      </c>
      <c r="T707" s="355"/>
      <c r="U707" s="315">
        <f t="shared" si="283"/>
        <v>28.556449954360467</v>
      </c>
      <c r="V707" s="315">
        <f t="shared" si="284"/>
        <v>29</v>
      </c>
      <c r="W707" s="316">
        <f t="shared" si="285"/>
        <v>0</v>
      </c>
    </row>
    <row r="708" spans="1:23" x14ac:dyDescent="0.25">
      <c r="A708" s="204" t="s">
        <v>16345</v>
      </c>
      <c r="B708" s="351" t="s">
        <v>20444</v>
      </c>
      <c r="C708" s="352"/>
      <c r="D708" s="353" t="s">
        <v>14859</v>
      </c>
      <c r="E708" s="249">
        <f t="shared" si="286"/>
        <v>0</v>
      </c>
      <c r="F708" s="336">
        <v>0</v>
      </c>
      <c r="G708" s="258">
        <f t="shared" si="287"/>
        <v>0</v>
      </c>
      <c r="H708" s="249">
        <f t="shared" si="288"/>
        <v>10.971935966609625</v>
      </c>
      <c r="I708" s="336">
        <v>1.4562780063268549E-3</v>
      </c>
      <c r="J708" s="258">
        <f t="shared" si="289"/>
        <v>1.4562780063268549E-3</v>
      </c>
      <c r="K708" s="249">
        <f t="shared" si="290"/>
        <v>7504.3278285910046</v>
      </c>
      <c r="L708" s="336">
        <v>0.99603092857099151</v>
      </c>
      <c r="M708" s="258">
        <f t="shared" si="291"/>
        <v>0.99603092857099151</v>
      </c>
      <c r="N708" s="251">
        <f t="shared" si="292"/>
        <v>18.931967942385235</v>
      </c>
      <c r="O708" s="336">
        <v>2.512793422681632E-3</v>
      </c>
      <c r="P708" s="258">
        <f t="shared" si="293"/>
        <v>2.512793422681632E-3</v>
      </c>
      <c r="Q708" s="354">
        <v>7354.3649999999998</v>
      </c>
      <c r="R708" s="249">
        <f t="shared" si="294"/>
        <v>7534.2317324999995</v>
      </c>
      <c r="S708" s="355">
        <v>0.1</v>
      </c>
      <c r="T708" s="355"/>
      <c r="U708" s="315">
        <f t="shared" si="283"/>
        <v>8287.6549057499997</v>
      </c>
      <c r="V708" s="315">
        <f t="shared" si="284"/>
        <v>8300</v>
      </c>
      <c r="W708" s="316">
        <f t="shared" si="285"/>
        <v>0</v>
      </c>
    </row>
    <row r="709" spans="1:23" x14ac:dyDescent="0.25">
      <c r="A709" s="204" t="s">
        <v>16346</v>
      </c>
      <c r="B709" s="351" t="s">
        <v>20445</v>
      </c>
      <c r="C709" s="352"/>
      <c r="D709" s="353" t="s">
        <v>5</v>
      </c>
      <c r="E709" s="249">
        <f t="shared" si="286"/>
        <v>0</v>
      </c>
      <c r="F709" s="336">
        <v>0</v>
      </c>
      <c r="G709" s="258">
        <f t="shared" si="287"/>
        <v>0</v>
      </c>
      <c r="H709" s="249">
        <f t="shared" si="288"/>
        <v>6.3790238645589831E-2</v>
      </c>
      <c r="I709" s="336">
        <v>1.4562780063268551E-3</v>
      </c>
      <c r="J709" s="258">
        <f t="shared" si="289"/>
        <v>1.4562780063268551E-3</v>
      </c>
      <c r="K709" s="249">
        <f t="shared" si="290"/>
        <v>43.629694068003921</v>
      </c>
      <c r="L709" s="336">
        <v>0.99602956883429095</v>
      </c>
      <c r="M709" s="258">
        <f t="shared" si="291"/>
        <v>0.99602956883429095</v>
      </c>
      <c r="N709" s="251">
        <f t="shared" si="292"/>
        <v>0.11006943138846872</v>
      </c>
      <c r="O709" s="336">
        <v>2.512793422681632E-3</v>
      </c>
      <c r="P709" s="258">
        <f t="shared" si="293"/>
        <v>2.512793422681632E-3</v>
      </c>
      <c r="Q709" s="354">
        <v>42.757936046511624</v>
      </c>
      <c r="R709" s="249">
        <f t="shared" si="294"/>
        <v>43.8036132994186</v>
      </c>
      <c r="S709" s="355">
        <v>0.1</v>
      </c>
      <c r="T709" s="355"/>
      <c r="U709" s="315">
        <f t="shared" si="283"/>
        <v>48.183974629360463</v>
      </c>
      <c r="V709" s="315">
        <f t="shared" si="284"/>
        <v>49</v>
      </c>
      <c r="W709" s="316">
        <f t="shared" si="285"/>
        <v>0</v>
      </c>
    </row>
    <row r="710" spans="1:23" x14ac:dyDescent="0.25">
      <c r="A710" s="204" t="s">
        <v>16347</v>
      </c>
      <c r="B710" s="351" t="s">
        <v>20446</v>
      </c>
      <c r="C710" s="352"/>
      <c r="D710" s="353" t="s">
        <v>14859</v>
      </c>
      <c r="E710" s="249">
        <f t="shared" si="286"/>
        <v>0</v>
      </c>
      <c r="F710" s="336">
        <v>0</v>
      </c>
      <c r="G710" s="258">
        <f t="shared" si="287"/>
        <v>0</v>
      </c>
      <c r="H710" s="249">
        <f t="shared" si="288"/>
        <v>10.971939141776685</v>
      </c>
      <c r="I710" s="336">
        <v>1.4462048263541463E-3</v>
      </c>
      <c r="J710" s="258">
        <f t="shared" si="289"/>
        <v>1.4462048263541463E-3</v>
      </c>
      <c r="K710" s="249">
        <f t="shared" si="290"/>
        <v>7556.8078324371172</v>
      </c>
      <c r="L710" s="336">
        <v>0.99605838292425053</v>
      </c>
      <c r="M710" s="258">
        <f t="shared" si="291"/>
        <v>0.99605838292425053</v>
      </c>
      <c r="N710" s="251">
        <f t="shared" si="292"/>
        <v>18.931973421104868</v>
      </c>
      <c r="O710" s="336">
        <v>2.4954122493953896E-3</v>
      </c>
      <c r="P710" s="258">
        <f t="shared" si="293"/>
        <v>2.4954122493953896E-3</v>
      </c>
      <c r="Q710" s="354">
        <v>7405.5899999999992</v>
      </c>
      <c r="R710" s="249">
        <f t="shared" si="294"/>
        <v>7586.7117449999987</v>
      </c>
      <c r="S710" s="355">
        <v>0.1</v>
      </c>
      <c r="T710" s="355"/>
      <c r="U710" s="315">
        <f t="shared" si="283"/>
        <v>8345.382919499998</v>
      </c>
      <c r="V710" s="315">
        <f t="shared" si="284"/>
        <v>8350</v>
      </c>
      <c r="W710" s="316">
        <f t="shared" si="285"/>
        <v>0</v>
      </c>
    </row>
    <row r="711" spans="1:23" x14ac:dyDescent="0.25">
      <c r="A711" s="204" t="s">
        <v>16348</v>
      </c>
      <c r="B711" s="351" t="s">
        <v>20447</v>
      </c>
      <c r="C711" s="352"/>
      <c r="D711" s="353" t="s">
        <v>5</v>
      </c>
      <c r="E711" s="249">
        <f t="shared" si="286"/>
        <v>0</v>
      </c>
      <c r="F711" s="336">
        <v>0</v>
      </c>
      <c r="G711" s="258">
        <f t="shared" si="287"/>
        <v>0</v>
      </c>
      <c r="H711" s="249">
        <f t="shared" si="288"/>
        <v>6.3790257705861858E-2</v>
      </c>
      <c r="I711" s="336">
        <v>1.4462048263541463E-3</v>
      </c>
      <c r="J711" s="258">
        <f t="shared" si="289"/>
        <v>1.4462048263541463E-3</v>
      </c>
      <c r="K711" s="249">
        <f t="shared" si="290"/>
        <v>43.934810367781722</v>
      </c>
      <c r="L711" s="336">
        <v>0.99605703259294665</v>
      </c>
      <c r="M711" s="258">
        <f t="shared" si="291"/>
        <v>0.99605703259294665</v>
      </c>
      <c r="N711" s="251">
        <f t="shared" si="292"/>
        <v>0.11006946427678124</v>
      </c>
      <c r="O711" s="336">
        <v>2.4954122493953896E-3</v>
      </c>
      <c r="P711" s="258">
        <f t="shared" si="293"/>
        <v>2.4954122493953896E-3</v>
      </c>
      <c r="Q711" s="354">
        <v>43.055755813953482</v>
      </c>
      <c r="R711" s="249">
        <f t="shared" si="294"/>
        <v>44.108729651162783</v>
      </c>
      <c r="S711" s="355">
        <v>0.1</v>
      </c>
      <c r="T711" s="355"/>
      <c r="U711" s="315">
        <f t="shared" si="283"/>
        <v>48.519602616279059</v>
      </c>
      <c r="V711" s="315">
        <f t="shared" si="284"/>
        <v>49</v>
      </c>
      <c r="W711" s="316">
        <f t="shared" si="285"/>
        <v>0</v>
      </c>
    </row>
    <row r="712" spans="1:23" x14ac:dyDescent="0.25">
      <c r="A712" s="204" t="s">
        <v>16349</v>
      </c>
      <c r="B712" s="351" t="s">
        <v>20448</v>
      </c>
      <c r="C712" s="352"/>
      <c r="D712" s="353" t="s">
        <v>14859</v>
      </c>
      <c r="E712" s="249">
        <f t="shared" si="286"/>
        <v>0</v>
      </c>
      <c r="F712" s="336">
        <v>0</v>
      </c>
      <c r="G712" s="258">
        <f t="shared" si="287"/>
        <v>0</v>
      </c>
      <c r="H712" s="249">
        <f t="shared" si="288"/>
        <v>10.971939141776685</v>
      </c>
      <c r="I712" s="336">
        <v>1.4462048263541463E-3</v>
      </c>
      <c r="J712" s="258">
        <f t="shared" si="289"/>
        <v>1.4462048263541463E-3</v>
      </c>
      <c r="K712" s="249">
        <f t="shared" si="290"/>
        <v>7556.8078324371172</v>
      </c>
      <c r="L712" s="336">
        <v>0.99605838292425053</v>
      </c>
      <c r="M712" s="258">
        <f t="shared" si="291"/>
        <v>0.99605838292425053</v>
      </c>
      <c r="N712" s="251">
        <f t="shared" si="292"/>
        <v>18.931973421104868</v>
      </c>
      <c r="O712" s="336">
        <v>2.4954122493953896E-3</v>
      </c>
      <c r="P712" s="258">
        <f t="shared" si="293"/>
        <v>2.4954122493953896E-3</v>
      </c>
      <c r="Q712" s="354">
        <v>7405.5899999999992</v>
      </c>
      <c r="R712" s="249">
        <f t="shared" si="294"/>
        <v>7586.7117449999987</v>
      </c>
      <c r="S712" s="355">
        <v>0.1</v>
      </c>
      <c r="T712" s="355"/>
      <c r="U712" s="315">
        <f t="shared" si="283"/>
        <v>8345.382919499998</v>
      </c>
      <c r="V712" s="315">
        <f t="shared" si="284"/>
        <v>8350</v>
      </c>
      <c r="W712" s="316">
        <f t="shared" si="285"/>
        <v>0</v>
      </c>
    </row>
    <row r="713" spans="1:23" x14ac:dyDescent="0.25">
      <c r="A713" s="204" t="s">
        <v>16350</v>
      </c>
      <c r="B713" s="351" t="s">
        <v>20449</v>
      </c>
      <c r="C713" s="352"/>
      <c r="D713" s="353" t="s">
        <v>5</v>
      </c>
      <c r="E713" s="249">
        <f t="shared" si="286"/>
        <v>0</v>
      </c>
      <c r="F713" s="336">
        <v>0</v>
      </c>
      <c r="G713" s="258">
        <f t="shared" si="287"/>
        <v>0</v>
      </c>
      <c r="H713" s="249">
        <f t="shared" si="288"/>
        <v>6.3790257705861858E-2</v>
      </c>
      <c r="I713" s="336">
        <v>1.4462048263541463E-3</v>
      </c>
      <c r="J713" s="258">
        <f t="shared" si="289"/>
        <v>1.4462048263541463E-3</v>
      </c>
      <c r="K713" s="249">
        <f t="shared" si="290"/>
        <v>43.934810367781722</v>
      </c>
      <c r="L713" s="336">
        <v>0.99605703259294665</v>
      </c>
      <c r="M713" s="258">
        <f t="shared" si="291"/>
        <v>0.99605703259294665</v>
      </c>
      <c r="N713" s="251">
        <f t="shared" si="292"/>
        <v>0.11006946427678124</v>
      </c>
      <c r="O713" s="336">
        <v>2.4954122493953896E-3</v>
      </c>
      <c r="P713" s="258">
        <f t="shared" si="293"/>
        <v>2.4954122493953896E-3</v>
      </c>
      <c r="Q713" s="354">
        <v>43.055755813953482</v>
      </c>
      <c r="R713" s="249">
        <f t="shared" si="294"/>
        <v>44.108729651162783</v>
      </c>
      <c r="S713" s="355">
        <v>0.1</v>
      </c>
      <c r="T713" s="355"/>
      <c r="U713" s="315">
        <f t="shared" si="283"/>
        <v>48.519602616279059</v>
      </c>
      <c r="V713" s="315">
        <f t="shared" si="284"/>
        <v>49</v>
      </c>
      <c r="W713" s="316">
        <f t="shared" si="285"/>
        <v>0</v>
      </c>
    </row>
    <row r="714" spans="1:23" x14ac:dyDescent="0.25">
      <c r="A714" s="204" t="s">
        <v>16351</v>
      </c>
      <c r="B714" s="351" t="s">
        <v>20450</v>
      </c>
      <c r="C714" s="352"/>
      <c r="D714" s="353" t="s">
        <v>14859</v>
      </c>
      <c r="E714" s="249">
        <f t="shared" si="286"/>
        <v>0</v>
      </c>
      <c r="F714" s="336">
        <v>0</v>
      </c>
      <c r="G714" s="258">
        <f t="shared" si="287"/>
        <v>0</v>
      </c>
      <c r="H714" s="249">
        <f t="shared" si="288"/>
        <v>10.972008628351098</v>
      </c>
      <c r="I714" s="336">
        <v>1.2257594901939244E-3</v>
      </c>
      <c r="J714" s="258">
        <f t="shared" si="289"/>
        <v>1.2257594901939244E-3</v>
      </c>
      <c r="K714" s="249">
        <f t="shared" si="290"/>
        <v>8921.2879680521419</v>
      </c>
      <c r="L714" s="336">
        <v>0.99665920452672652</v>
      </c>
      <c r="M714" s="258">
        <f t="shared" si="291"/>
        <v>0.99665920452672652</v>
      </c>
      <c r="N714" s="251">
        <f t="shared" si="292"/>
        <v>18.932093319507775</v>
      </c>
      <c r="O714" s="336">
        <v>2.1150359830797126E-3</v>
      </c>
      <c r="P714" s="258">
        <f t="shared" si="293"/>
        <v>2.1150359830797126E-3</v>
      </c>
      <c r="Q714" s="354">
        <v>8737.4399999999987</v>
      </c>
      <c r="R714" s="249">
        <f t="shared" si="294"/>
        <v>8951.1920699999991</v>
      </c>
      <c r="S714" s="355">
        <v>0.1</v>
      </c>
      <c r="T714" s="355"/>
      <c r="U714" s="315">
        <f t="shared" si="283"/>
        <v>9846.3112769999989</v>
      </c>
      <c r="V714" s="315">
        <f t="shared" si="284"/>
        <v>9850</v>
      </c>
      <c r="W714" s="316">
        <f t="shared" si="285"/>
        <v>0</v>
      </c>
    </row>
    <row r="715" spans="1:23" x14ac:dyDescent="0.25">
      <c r="A715" s="204" t="s">
        <v>16352</v>
      </c>
      <c r="B715" s="351" t="s">
        <v>20451</v>
      </c>
      <c r="C715" s="352"/>
      <c r="D715" s="353" t="s">
        <v>5</v>
      </c>
      <c r="E715" s="249">
        <f t="shared" si="286"/>
        <v>0</v>
      </c>
      <c r="F715" s="336">
        <v>0</v>
      </c>
      <c r="G715" s="258">
        <f t="shared" si="287"/>
        <v>0</v>
      </c>
      <c r="H715" s="249">
        <f t="shared" si="288"/>
        <v>6.3790674828169316E-2</v>
      </c>
      <c r="I715" s="336">
        <v>1.2257594901939244E-3</v>
      </c>
      <c r="J715" s="258">
        <f t="shared" si="289"/>
        <v>1.2257594901939244E-3</v>
      </c>
      <c r="K715" s="249">
        <f t="shared" si="290"/>
        <v>51.867834375878338</v>
      </c>
      <c r="L715" s="336">
        <v>0.99665806002673563</v>
      </c>
      <c r="M715" s="258">
        <f t="shared" si="291"/>
        <v>0.99665806002673563</v>
      </c>
      <c r="N715" s="251">
        <f t="shared" si="292"/>
        <v>0.11007018401723331</v>
      </c>
      <c r="O715" s="336">
        <v>2.1150359830797126E-3</v>
      </c>
      <c r="P715" s="258">
        <f t="shared" si="293"/>
        <v>2.1150359830797126E-3</v>
      </c>
      <c r="Q715" s="354">
        <v>50.79906976744185</v>
      </c>
      <c r="R715" s="249">
        <f t="shared" si="294"/>
        <v>52.041754796511626</v>
      </c>
      <c r="S715" s="355">
        <v>0.1</v>
      </c>
      <c r="T715" s="355"/>
      <c r="U715" s="315">
        <f t="shared" si="283"/>
        <v>57.245930276162788</v>
      </c>
      <c r="V715" s="315">
        <f t="shared" si="284"/>
        <v>58</v>
      </c>
      <c r="W715" s="316">
        <f t="shared" si="285"/>
        <v>0</v>
      </c>
    </row>
    <row r="716" spans="1:23" x14ac:dyDescent="0.25">
      <c r="A716" s="204" t="s">
        <v>16353</v>
      </c>
      <c r="B716" s="351" t="s">
        <v>20452</v>
      </c>
      <c r="C716" s="352"/>
      <c r="D716" s="353" t="s">
        <v>14859</v>
      </c>
      <c r="E716" s="249">
        <f t="shared" si="286"/>
        <v>0</v>
      </c>
      <c r="F716" s="336">
        <v>0</v>
      </c>
      <c r="G716" s="258">
        <f t="shared" si="287"/>
        <v>0</v>
      </c>
      <c r="H716" s="249">
        <f t="shared" si="288"/>
        <v>10.972008628351098</v>
      </c>
      <c r="I716" s="336">
        <v>1.2257594901939244E-3</v>
      </c>
      <c r="J716" s="258">
        <f t="shared" si="289"/>
        <v>1.2257594901939244E-3</v>
      </c>
      <c r="K716" s="249">
        <f t="shared" si="290"/>
        <v>8921.2879680521419</v>
      </c>
      <c r="L716" s="336">
        <v>0.99665920452672652</v>
      </c>
      <c r="M716" s="258">
        <f t="shared" si="291"/>
        <v>0.99665920452672652</v>
      </c>
      <c r="N716" s="251">
        <f t="shared" si="292"/>
        <v>18.932093319507775</v>
      </c>
      <c r="O716" s="336">
        <v>2.1150359830797126E-3</v>
      </c>
      <c r="P716" s="258">
        <f t="shared" si="293"/>
        <v>2.1150359830797126E-3</v>
      </c>
      <c r="Q716" s="354">
        <v>8737.4399999999987</v>
      </c>
      <c r="R716" s="249">
        <f t="shared" si="294"/>
        <v>8951.1920699999991</v>
      </c>
      <c r="S716" s="355">
        <v>0.1</v>
      </c>
      <c r="T716" s="355"/>
      <c r="U716" s="315">
        <f t="shared" si="283"/>
        <v>9846.3112769999989</v>
      </c>
      <c r="V716" s="315">
        <f t="shared" si="284"/>
        <v>9850</v>
      </c>
      <c r="W716" s="316">
        <f t="shared" si="285"/>
        <v>0</v>
      </c>
    </row>
    <row r="717" spans="1:23" x14ac:dyDescent="0.25">
      <c r="A717" s="204" t="s">
        <v>16354</v>
      </c>
      <c r="B717" s="351" t="s">
        <v>20453</v>
      </c>
      <c r="C717" s="352"/>
      <c r="D717" s="353" t="s">
        <v>5</v>
      </c>
      <c r="E717" s="249">
        <f t="shared" si="286"/>
        <v>0</v>
      </c>
      <c r="F717" s="336">
        <v>0</v>
      </c>
      <c r="G717" s="258">
        <f t="shared" si="287"/>
        <v>0</v>
      </c>
      <c r="H717" s="249">
        <f t="shared" si="288"/>
        <v>6.3790674828169316E-2</v>
      </c>
      <c r="I717" s="336">
        <v>1.2257594901939244E-3</v>
      </c>
      <c r="J717" s="258">
        <f t="shared" si="289"/>
        <v>1.2257594901939244E-3</v>
      </c>
      <c r="K717" s="249">
        <f t="shared" si="290"/>
        <v>51.867834375878338</v>
      </c>
      <c r="L717" s="336">
        <v>0.99665806002673563</v>
      </c>
      <c r="M717" s="258">
        <f t="shared" si="291"/>
        <v>0.99665806002673563</v>
      </c>
      <c r="N717" s="251">
        <f t="shared" si="292"/>
        <v>0.11007018401723331</v>
      </c>
      <c r="O717" s="336">
        <v>2.1150359830797126E-3</v>
      </c>
      <c r="P717" s="258">
        <f t="shared" si="293"/>
        <v>2.1150359830797126E-3</v>
      </c>
      <c r="Q717" s="354">
        <v>50.79906976744185</v>
      </c>
      <c r="R717" s="249">
        <f t="shared" si="294"/>
        <v>52.041754796511626</v>
      </c>
      <c r="S717" s="355">
        <v>0.1</v>
      </c>
      <c r="T717" s="355"/>
      <c r="U717" s="315">
        <f t="shared" si="283"/>
        <v>57.245930276162788</v>
      </c>
      <c r="V717" s="315">
        <f t="shared" si="284"/>
        <v>58</v>
      </c>
      <c r="W717" s="316">
        <f t="shared" si="285"/>
        <v>0</v>
      </c>
    </row>
    <row r="718" spans="1:23" x14ac:dyDescent="0.25">
      <c r="A718" s="204" t="s">
        <v>16355</v>
      </c>
      <c r="B718" s="351" t="s">
        <v>20454</v>
      </c>
      <c r="C718" s="352"/>
      <c r="D718" s="353" t="s">
        <v>14859</v>
      </c>
      <c r="E718" s="249">
        <f t="shared" si="286"/>
        <v>0</v>
      </c>
      <c r="F718" s="336">
        <v>0</v>
      </c>
      <c r="G718" s="258">
        <f t="shared" si="287"/>
        <v>0</v>
      </c>
      <c r="H718" s="249">
        <f t="shared" si="288"/>
        <v>10.972105454740307</v>
      </c>
      <c r="I718" s="336">
        <v>9.1857891467714162E-4</v>
      </c>
      <c r="J718" s="258">
        <f t="shared" si="289"/>
        <v>9.1857891467714162E-4</v>
      </c>
      <c r="K718" s="249">
        <f t="shared" si="290"/>
        <v>11914.747617152769</v>
      </c>
      <c r="L718" s="336">
        <v>0.99749642217372325</v>
      </c>
      <c r="M718" s="258">
        <f t="shared" si="291"/>
        <v>0.99749642217372325</v>
      </c>
      <c r="N718" s="251">
        <f t="shared" si="292"/>
        <v>18.932260392493077</v>
      </c>
      <c r="O718" s="336">
        <v>1.5849989115997735E-3</v>
      </c>
      <c r="P718" s="258">
        <f t="shared" si="293"/>
        <v>1.5849989115997735E-3</v>
      </c>
      <c r="Q718" s="354">
        <v>11659.313999999998</v>
      </c>
      <c r="R718" s="249">
        <f t="shared" si="294"/>
        <v>11944.651983</v>
      </c>
      <c r="S718" s="355">
        <v>0.1</v>
      </c>
      <c r="T718" s="355"/>
      <c r="U718" s="315">
        <f t="shared" si="283"/>
        <v>13139.1171813</v>
      </c>
      <c r="V718" s="315">
        <f t="shared" si="284"/>
        <v>13250</v>
      </c>
      <c r="W718" s="316">
        <f t="shared" si="285"/>
        <v>0</v>
      </c>
    </row>
    <row r="719" spans="1:23" x14ac:dyDescent="0.25">
      <c r="A719" s="204" t="s">
        <v>16356</v>
      </c>
      <c r="B719" s="351" t="s">
        <v>20455</v>
      </c>
      <c r="C719" s="352"/>
      <c r="D719" s="353" t="s">
        <v>5</v>
      </c>
      <c r="E719" s="249">
        <f t="shared" si="286"/>
        <v>0</v>
      </c>
      <c r="F719" s="336">
        <v>0</v>
      </c>
      <c r="G719" s="258">
        <f t="shared" si="287"/>
        <v>0</v>
      </c>
      <c r="H719" s="249">
        <f t="shared" si="288"/>
        <v>6.3791256069182123E-2</v>
      </c>
      <c r="I719" s="336">
        <v>9.1857891467714151E-4</v>
      </c>
      <c r="J719" s="258">
        <f t="shared" si="289"/>
        <v>9.1857891467714151E-4</v>
      </c>
      <c r="K719" s="249">
        <f t="shared" si="290"/>
        <v>69.271669494657331</v>
      </c>
      <c r="L719" s="336">
        <v>0.9974955644903295</v>
      </c>
      <c r="M719" s="258">
        <f t="shared" si="291"/>
        <v>0.9974955644903295</v>
      </c>
      <c r="N719" s="251">
        <f t="shared" si="292"/>
        <v>0.11007118694290249</v>
      </c>
      <c r="O719" s="336">
        <v>1.5849989115997735E-3</v>
      </c>
      <c r="P719" s="258">
        <f t="shared" si="293"/>
        <v>1.5849989115997735E-3</v>
      </c>
      <c r="Q719" s="354">
        <v>67.786709302325576</v>
      </c>
      <c r="R719" s="249">
        <f t="shared" si="294"/>
        <v>69.445591500000006</v>
      </c>
      <c r="S719" s="355">
        <v>0.1</v>
      </c>
      <c r="T719" s="355"/>
      <c r="U719" s="315">
        <f t="shared" si="283"/>
        <v>76.39015065000001</v>
      </c>
      <c r="V719" s="315">
        <f t="shared" si="284"/>
        <v>77</v>
      </c>
      <c r="W719" s="316">
        <f t="shared" si="285"/>
        <v>0</v>
      </c>
    </row>
    <row r="720" spans="1:23" x14ac:dyDescent="0.25">
      <c r="A720" s="204" t="s">
        <v>16357</v>
      </c>
      <c r="B720" s="351" t="s">
        <v>20456</v>
      </c>
      <c r="C720" s="352"/>
      <c r="D720" s="353" t="s">
        <v>14859</v>
      </c>
      <c r="E720" s="249">
        <f t="shared" si="286"/>
        <v>0</v>
      </c>
      <c r="F720" s="336">
        <v>0</v>
      </c>
      <c r="G720" s="258">
        <f t="shared" si="287"/>
        <v>0</v>
      </c>
      <c r="H720" s="249">
        <f t="shared" si="288"/>
        <v>10.972191324187259</v>
      </c>
      <c r="I720" s="336">
        <v>6.4615910898821818E-4</v>
      </c>
      <c r="J720" s="258">
        <f t="shared" si="289"/>
        <v>6.4615910898821818E-4</v>
      </c>
      <c r="K720" s="249">
        <f t="shared" si="290"/>
        <v>16950.729382616431</v>
      </c>
      <c r="L720" s="336">
        <v>0.99823889968334589</v>
      </c>
      <c r="M720" s="258">
        <f t="shared" si="291"/>
        <v>0.99823889968334589</v>
      </c>
      <c r="N720" s="251">
        <f t="shared" si="292"/>
        <v>18.932408559381933</v>
      </c>
      <c r="O720" s="336">
        <v>1.1149412076659449E-3</v>
      </c>
      <c r="P720" s="258">
        <f t="shared" si="293"/>
        <v>1.1149412076659449E-3</v>
      </c>
      <c r="Q720" s="354">
        <v>16574.864999999998</v>
      </c>
      <c r="R720" s="249">
        <f t="shared" si="294"/>
        <v>16980.6339825</v>
      </c>
      <c r="S720" s="355">
        <v>0.1</v>
      </c>
      <c r="T720" s="355"/>
      <c r="U720" s="315">
        <f t="shared" si="283"/>
        <v>18678.69738075</v>
      </c>
      <c r="V720" s="315">
        <f t="shared" si="284"/>
        <v>18750</v>
      </c>
      <c r="W720" s="316">
        <f t="shared" si="285"/>
        <v>0</v>
      </c>
    </row>
    <row r="721" spans="1:26" x14ac:dyDescent="0.25">
      <c r="A721" s="204" t="s">
        <v>16358</v>
      </c>
      <c r="B721" s="351" t="s">
        <v>20457</v>
      </c>
      <c r="C721" s="352"/>
      <c r="D721" s="353" t="s">
        <v>5</v>
      </c>
      <c r="E721" s="249">
        <f t="shared" si="286"/>
        <v>0</v>
      </c>
      <c r="F721" s="336">
        <v>0</v>
      </c>
      <c r="G721" s="258">
        <f t="shared" si="287"/>
        <v>0</v>
      </c>
      <c r="H721" s="249">
        <f t="shared" si="288"/>
        <v>6.3791771536553396E-2</v>
      </c>
      <c r="I721" s="336">
        <v>6.4615910898821807E-4</v>
      </c>
      <c r="J721" s="258">
        <f t="shared" si="289"/>
        <v>6.4615910898821807E-4</v>
      </c>
      <c r="K721" s="249">
        <f t="shared" si="290"/>
        <v>98.550633202646821</v>
      </c>
      <c r="L721" s="336">
        <v>0.99823829636018147</v>
      </c>
      <c r="M721" s="258">
        <f t="shared" si="291"/>
        <v>0.99823829636018147</v>
      </c>
      <c r="N721" s="251">
        <f t="shared" si="292"/>
        <v>0.11007207637679801</v>
      </c>
      <c r="O721" s="336">
        <v>1.1149412076659449E-3</v>
      </c>
      <c r="P721" s="258">
        <f t="shared" si="293"/>
        <v>1.1149412076659449E-3</v>
      </c>
      <c r="Q721" s="354">
        <v>96.365494186046504</v>
      </c>
      <c r="R721" s="249">
        <f t="shared" si="294"/>
        <v>98.724556613372073</v>
      </c>
      <c r="S721" s="355">
        <v>0.1</v>
      </c>
      <c r="T721" s="355"/>
      <c r="U721" s="315">
        <f t="shared" si="283"/>
        <v>108.59701227470929</v>
      </c>
      <c r="V721" s="315">
        <f t="shared" si="284"/>
        <v>110</v>
      </c>
      <c r="W721" s="316">
        <f t="shared" si="285"/>
        <v>0</v>
      </c>
    </row>
    <row r="722" spans="1:26" x14ac:dyDescent="0.25">
      <c r="A722" s="204" t="s">
        <v>16359</v>
      </c>
      <c r="B722" s="351" t="s">
        <v>20458</v>
      </c>
      <c r="C722" s="352"/>
      <c r="D722" s="353" t="s">
        <v>14859</v>
      </c>
      <c r="E722" s="249">
        <f t="shared" si="286"/>
        <v>0</v>
      </c>
      <c r="F722" s="336">
        <v>0</v>
      </c>
      <c r="G722" s="258">
        <f t="shared" si="287"/>
        <v>0</v>
      </c>
      <c r="H722" s="249">
        <f t="shared" si="288"/>
        <v>10.97219294774974</v>
      </c>
      <c r="I722" s="336">
        <v>6.4100837620189081E-4</v>
      </c>
      <c r="J722" s="258">
        <f t="shared" si="289"/>
        <v>6.4100837620189081E-4</v>
      </c>
      <c r="K722" s="249">
        <f t="shared" si="290"/>
        <v>17087.177410691427</v>
      </c>
      <c r="L722" s="336">
        <v>0.99825293795505765</v>
      </c>
      <c r="M722" s="258">
        <f t="shared" si="291"/>
        <v>0.99825293795505765</v>
      </c>
      <c r="N722" s="251">
        <f t="shared" si="292"/>
        <v>18.932411360823078</v>
      </c>
      <c r="O722" s="336">
        <v>1.1060536687405175E-3</v>
      </c>
      <c r="P722" s="258">
        <f t="shared" si="293"/>
        <v>1.1060536687405175E-3</v>
      </c>
      <c r="Q722" s="354">
        <v>16708.05</v>
      </c>
      <c r="R722" s="249">
        <f t="shared" si="294"/>
        <v>17117.082015</v>
      </c>
      <c r="S722" s="355">
        <v>0.1</v>
      </c>
      <c r="T722" s="355"/>
      <c r="U722" s="315">
        <f t="shared" si="283"/>
        <v>18828.790216500001</v>
      </c>
      <c r="V722" s="315">
        <f t="shared" si="284"/>
        <v>19000</v>
      </c>
      <c r="W722" s="316">
        <f t="shared" si="285"/>
        <v>0</v>
      </c>
    </row>
    <row r="723" spans="1:26" x14ac:dyDescent="0.25">
      <c r="A723" s="204" t="s">
        <v>16360</v>
      </c>
      <c r="B723" s="351" t="s">
        <v>20459</v>
      </c>
      <c r="C723" s="352"/>
      <c r="D723" s="353" t="s">
        <v>5</v>
      </c>
      <c r="E723" s="249">
        <f t="shared" si="286"/>
        <v>0</v>
      </c>
      <c r="F723" s="336">
        <v>0</v>
      </c>
      <c r="G723" s="258">
        <f t="shared" si="287"/>
        <v>0</v>
      </c>
      <c r="H723" s="249">
        <f t="shared" si="288"/>
        <v>6.3791781282668159E-2</v>
      </c>
      <c r="I723" s="336">
        <v>6.4100837620189081E-4</v>
      </c>
      <c r="J723" s="258">
        <f t="shared" si="289"/>
        <v>6.4100837620189081E-4</v>
      </c>
      <c r="K723" s="249">
        <f t="shared" si="290"/>
        <v>99.343935690609669</v>
      </c>
      <c r="L723" s="336">
        <v>0.99825233944116754</v>
      </c>
      <c r="M723" s="258">
        <f t="shared" si="291"/>
        <v>0.99825233944116754</v>
      </c>
      <c r="N723" s="251">
        <f t="shared" si="292"/>
        <v>0.11007209319362349</v>
      </c>
      <c r="O723" s="336">
        <v>1.1060536687405175E-3</v>
      </c>
      <c r="P723" s="258">
        <f t="shared" si="293"/>
        <v>1.1060536687405175E-3</v>
      </c>
      <c r="Q723" s="354">
        <v>97.139825581395343</v>
      </c>
      <c r="R723" s="249">
        <f t="shared" si="294"/>
        <v>99.517859127906959</v>
      </c>
      <c r="S723" s="355">
        <v>0.1</v>
      </c>
      <c r="T723" s="355"/>
      <c r="U723" s="315">
        <f t="shared" si="283"/>
        <v>109.46964504069766</v>
      </c>
      <c r="V723" s="315">
        <f t="shared" si="284"/>
        <v>110</v>
      </c>
      <c r="W723" s="316">
        <f t="shared" si="285"/>
        <v>0</v>
      </c>
      <c r="Z723" s="205"/>
    </row>
    <row r="724" spans="1:26" x14ac:dyDescent="0.25">
      <c r="A724" s="204" t="s">
        <v>16361</v>
      </c>
      <c r="B724" s="351" t="s">
        <v>20460</v>
      </c>
      <c r="C724" s="352"/>
      <c r="D724" s="353" t="s">
        <v>14859</v>
      </c>
      <c r="E724" s="249">
        <f t="shared" si="286"/>
        <v>0</v>
      </c>
      <c r="F724" s="336">
        <v>0</v>
      </c>
      <c r="G724" s="258">
        <f t="shared" si="287"/>
        <v>0</v>
      </c>
      <c r="H724" s="249">
        <f t="shared" si="288"/>
        <v>10.972198255868845</v>
      </c>
      <c r="I724" s="336">
        <v>6.241684310643559E-4</v>
      </c>
      <c r="J724" s="258">
        <f t="shared" si="289"/>
        <v>6.241684310643559E-4</v>
      </c>
      <c r="K724" s="249">
        <f t="shared" si="290"/>
        <v>17549.001506224198</v>
      </c>
      <c r="L724" s="336">
        <v>0.99829883506043249</v>
      </c>
      <c r="M724" s="258">
        <f t="shared" si="291"/>
        <v>0.99829883506043249</v>
      </c>
      <c r="N724" s="251">
        <f t="shared" si="292"/>
        <v>18.932420519930552</v>
      </c>
      <c r="O724" s="336">
        <v>1.0769965085032022E-3</v>
      </c>
      <c r="P724" s="258">
        <f t="shared" si="293"/>
        <v>1.0769965085032022E-3</v>
      </c>
      <c r="Q724" s="354">
        <v>17158.829999999998</v>
      </c>
      <c r="R724" s="249">
        <f t="shared" si="294"/>
        <v>17578.906124999998</v>
      </c>
      <c r="S724" s="355">
        <v>0.1</v>
      </c>
      <c r="T724" s="355"/>
      <c r="U724" s="315">
        <f t="shared" si="283"/>
        <v>19336.796737499997</v>
      </c>
      <c r="V724" s="315">
        <f t="shared" si="284"/>
        <v>19500</v>
      </c>
      <c r="W724" s="316">
        <f t="shared" si="285"/>
        <v>0</v>
      </c>
    </row>
    <row r="725" spans="1:26" x14ac:dyDescent="0.25">
      <c r="A725" s="204" t="s">
        <v>16362</v>
      </c>
      <c r="B725" s="351" t="s">
        <v>20461</v>
      </c>
      <c r="C725" s="352"/>
      <c r="D725" s="353" t="s">
        <v>5</v>
      </c>
      <c r="E725" s="249">
        <f t="shared" si="286"/>
        <v>0</v>
      </c>
      <c r="F725" s="336">
        <v>0</v>
      </c>
      <c r="G725" s="258">
        <f t="shared" si="287"/>
        <v>0</v>
      </c>
      <c r="H725" s="249">
        <f t="shared" si="288"/>
        <v>6.379181314687947E-2</v>
      </c>
      <c r="I725" s="336">
        <v>6.241684310643559E-4</v>
      </c>
      <c r="J725" s="258">
        <f t="shared" si="289"/>
        <v>6.241684310643559E-4</v>
      </c>
      <c r="K725" s="249">
        <f t="shared" si="290"/>
        <v>102.02895949908316</v>
      </c>
      <c r="L725" s="336">
        <v>0.99829825227011393</v>
      </c>
      <c r="M725" s="258">
        <f t="shared" si="291"/>
        <v>0.99829825227011393</v>
      </c>
      <c r="N725" s="251">
        <f t="shared" si="292"/>
        <v>0.11007214817500768</v>
      </c>
      <c r="O725" s="336">
        <v>1.0769965085032022E-3</v>
      </c>
      <c r="P725" s="258">
        <f t="shared" si="293"/>
        <v>1.0769965085032022E-3</v>
      </c>
      <c r="Q725" s="354">
        <v>99.760639534883708</v>
      </c>
      <c r="R725" s="249">
        <f t="shared" si="294"/>
        <v>102.20288302325579</v>
      </c>
      <c r="S725" s="355">
        <v>0.1</v>
      </c>
      <c r="T725" s="355"/>
      <c r="U725" s="315">
        <f t="shared" si="283"/>
        <v>112.42317132558138</v>
      </c>
      <c r="V725" s="315">
        <f t="shared" si="284"/>
        <v>115</v>
      </c>
      <c r="W725" s="316">
        <f t="shared" si="285"/>
        <v>0</v>
      </c>
    </row>
    <row r="726" spans="1:26" x14ac:dyDescent="0.25">
      <c r="A726" s="204" t="s">
        <v>16363</v>
      </c>
      <c r="B726" s="351" t="s">
        <v>20462</v>
      </c>
      <c r="C726" s="352"/>
      <c r="D726" s="353" t="s">
        <v>14859</v>
      </c>
      <c r="E726" s="249">
        <f t="shared" si="286"/>
        <v>0</v>
      </c>
      <c r="F726" s="336">
        <v>0</v>
      </c>
      <c r="G726" s="258">
        <f t="shared" si="287"/>
        <v>0</v>
      </c>
      <c r="H726" s="249">
        <f t="shared" si="288"/>
        <v>10.972223184222964</v>
      </c>
      <c r="I726" s="336">
        <v>5.4508352221673418E-4</v>
      </c>
      <c r="J726" s="258">
        <f t="shared" si="289"/>
        <v>5.4508352221673418E-4</v>
      </c>
      <c r="K726" s="249">
        <f t="shared" si="290"/>
        <v>20099.530045782216</v>
      </c>
      <c r="L726" s="336">
        <v>0.99851438020415451</v>
      </c>
      <c r="M726" s="258">
        <f t="shared" si="291"/>
        <v>0.99851438020415451</v>
      </c>
      <c r="N726" s="251">
        <f t="shared" si="292"/>
        <v>18.93246353356119</v>
      </c>
      <c r="O726" s="336">
        <v>9.4053627362887461E-4</v>
      </c>
      <c r="P726" s="258">
        <f t="shared" si="293"/>
        <v>9.4053627362887461E-4</v>
      </c>
      <c r="Q726" s="354">
        <v>19648.364999999998</v>
      </c>
      <c r="R726" s="249">
        <f t="shared" si="294"/>
        <v>20129.434732499998</v>
      </c>
      <c r="S726" s="355">
        <v>0.1</v>
      </c>
      <c r="T726" s="355"/>
      <c r="U726" s="315">
        <f t="shared" si="283"/>
        <v>22142.378205749999</v>
      </c>
      <c r="V726" s="315">
        <f t="shared" si="284"/>
        <v>22250</v>
      </c>
      <c r="W726" s="316">
        <f t="shared" si="285"/>
        <v>0</v>
      </c>
    </row>
    <row r="727" spans="1:26" x14ac:dyDescent="0.25">
      <c r="A727" s="204" t="s">
        <v>16364</v>
      </c>
      <c r="B727" s="351" t="s">
        <v>20463</v>
      </c>
      <c r="C727" s="352"/>
      <c r="D727" s="353" t="s">
        <v>5</v>
      </c>
      <c r="E727" s="249">
        <f t="shared" si="286"/>
        <v>0</v>
      </c>
      <c r="F727" s="336">
        <v>0</v>
      </c>
      <c r="G727" s="258">
        <f t="shared" si="287"/>
        <v>0</v>
      </c>
      <c r="H727" s="249">
        <f t="shared" si="288"/>
        <v>6.3791962789780693E-2</v>
      </c>
      <c r="I727" s="336">
        <v>5.4508352221673418E-4</v>
      </c>
      <c r="J727" s="258">
        <f t="shared" si="289"/>
        <v>5.4508352221673418E-4</v>
      </c>
      <c r="K727" s="249">
        <f t="shared" si="290"/>
        <v>116.85761378586064</v>
      </c>
      <c r="L727" s="336">
        <v>0.99851387125595437</v>
      </c>
      <c r="M727" s="258">
        <f t="shared" si="291"/>
        <v>0.99851387125595437</v>
      </c>
      <c r="N727" s="251">
        <f t="shared" si="292"/>
        <v>0.11007240638236666</v>
      </c>
      <c r="O727" s="336">
        <v>9.405362736288745E-4</v>
      </c>
      <c r="P727" s="258">
        <f t="shared" si="293"/>
        <v>9.405362736288745E-4</v>
      </c>
      <c r="Q727" s="354">
        <v>114.23468023255813</v>
      </c>
      <c r="R727" s="249">
        <f t="shared" si="294"/>
        <v>117.03153771802324</v>
      </c>
      <c r="S727" s="355">
        <v>0.1</v>
      </c>
      <c r="T727" s="355"/>
      <c r="U727" s="315">
        <f t="shared" si="283"/>
        <v>128.73469148982556</v>
      </c>
      <c r="V727" s="315">
        <f t="shared" si="284"/>
        <v>130</v>
      </c>
      <c r="W727" s="316">
        <f t="shared" si="285"/>
        <v>0</v>
      </c>
    </row>
    <row r="728" spans="1:26" x14ac:dyDescent="0.25">
      <c r="A728" s="203" t="s">
        <v>16365</v>
      </c>
      <c r="B728" s="345" t="s">
        <v>16366</v>
      </c>
      <c r="C728" s="346"/>
      <c r="D728" s="347"/>
      <c r="E728" s="347"/>
      <c r="F728" s="347"/>
      <c r="G728" s="347"/>
      <c r="H728" s="347"/>
      <c r="I728" s="347"/>
      <c r="J728" s="347"/>
      <c r="K728" s="347"/>
      <c r="L728" s="347"/>
      <c r="M728" s="347"/>
      <c r="N728" s="347"/>
      <c r="O728" s="347"/>
      <c r="P728" s="347"/>
      <c r="Q728" s="347"/>
      <c r="R728" s="347"/>
      <c r="S728" s="347"/>
      <c r="T728" s="348"/>
      <c r="U728" s="349"/>
      <c r="V728" s="349"/>
      <c r="W728" s="350"/>
    </row>
    <row r="729" spans="1:26" x14ac:dyDescent="0.25">
      <c r="A729" s="204" t="s">
        <v>16367</v>
      </c>
      <c r="B729" s="351" t="s">
        <v>20464</v>
      </c>
      <c r="C729" s="352"/>
      <c r="D729" s="353" t="s">
        <v>5</v>
      </c>
      <c r="E729" s="249">
        <f t="shared" si="286"/>
        <v>0</v>
      </c>
      <c r="F729" s="336">
        <v>0</v>
      </c>
      <c r="G729" s="258">
        <f t="shared" si="287"/>
        <v>0</v>
      </c>
      <c r="H729" s="249">
        <f t="shared" si="288"/>
        <v>6.3723949924364004E-2</v>
      </c>
      <c r="I729" s="336">
        <v>3.6489262753355081E-2</v>
      </c>
      <c r="J729" s="258">
        <f t="shared" si="289"/>
        <v>3.6489262753355081E-2</v>
      </c>
      <c r="K729" s="249">
        <f t="shared" si="290"/>
        <v>1.5726368747393618</v>
      </c>
      <c r="L729" s="336">
        <v>0.9005148018302549</v>
      </c>
      <c r="M729" s="258">
        <f t="shared" si="291"/>
        <v>0.9005148018302549</v>
      </c>
      <c r="N729" s="251">
        <f t="shared" si="292"/>
        <v>0.10995505084988297</v>
      </c>
      <c r="O729" s="336">
        <v>6.2961865143044055E-2</v>
      </c>
      <c r="P729" s="258">
        <f t="shared" si="293"/>
        <v>6.2961865143044055E-2</v>
      </c>
      <c r="Q729" s="354">
        <v>1.7064593023255812</v>
      </c>
      <c r="R729" s="249">
        <f t="shared" si="294"/>
        <v>1.7463753749999997</v>
      </c>
      <c r="S729" s="355">
        <v>0.1</v>
      </c>
      <c r="T729" s="355"/>
      <c r="U729" s="315">
        <f t="shared" si="283"/>
        <v>1.9210129124999997</v>
      </c>
      <c r="V729" s="315">
        <f t="shared" si="284"/>
        <v>2</v>
      </c>
      <c r="W729" s="316">
        <f t="shared" ref="W729:W792" si="295">C729*V729</f>
        <v>0</v>
      </c>
    </row>
    <row r="730" spans="1:26" x14ac:dyDescent="0.25">
      <c r="A730" s="204" t="s">
        <v>16368</v>
      </c>
      <c r="B730" s="351" t="s">
        <v>20465</v>
      </c>
      <c r="C730" s="352"/>
      <c r="D730" s="353" t="s">
        <v>14859</v>
      </c>
      <c r="E730" s="249">
        <f t="shared" si="286"/>
        <v>0</v>
      </c>
      <c r="F730" s="336">
        <v>0</v>
      </c>
      <c r="G730" s="258">
        <f t="shared" si="287"/>
        <v>0</v>
      </c>
      <c r="H730" s="249">
        <f t="shared" si="288"/>
        <v>10.960893219487515</v>
      </c>
      <c r="I730" s="336">
        <v>3.6489262753355074E-2</v>
      </c>
      <c r="J730" s="258">
        <f t="shared" si="289"/>
        <v>3.6489262753355074E-2</v>
      </c>
      <c r="K730" s="249">
        <f t="shared" si="290"/>
        <v>270.51300249002418</v>
      </c>
      <c r="L730" s="336">
        <v>0.90054887210360091</v>
      </c>
      <c r="M730" s="258">
        <f t="shared" si="291"/>
        <v>0.90054887210360091</v>
      </c>
      <c r="N730" s="251">
        <f t="shared" si="292"/>
        <v>18.912913790488261</v>
      </c>
      <c r="O730" s="336">
        <v>6.2961865143044055E-2</v>
      </c>
      <c r="P730" s="258">
        <f t="shared" si="293"/>
        <v>6.2961865143044055E-2</v>
      </c>
      <c r="Q730" s="354">
        <v>293.51099999999997</v>
      </c>
      <c r="R730" s="249">
        <f t="shared" si="294"/>
        <v>300.38680949999997</v>
      </c>
      <c r="S730" s="355">
        <v>0.1</v>
      </c>
      <c r="T730" s="355"/>
      <c r="U730" s="315">
        <f t="shared" si="283"/>
        <v>330.42549044999998</v>
      </c>
      <c r="V730" s="315">
        <f t="shared" si="284"/>
        <v>335</v>
      </c>
      <c r="W730" s="316">
        <f t="shared" si="295"/>
        <v>0</v>
      </c>
    </row>
    <row r="731" spans="1:26" x14ac:dyDescent="0.25">
      <c r="A731" s="204" t="s">
        <v>16369</v>
      </c>
      <c r="B731" s="351" t="s">
        <v>20466</v>
      </c>
      <c r="C731" s="352"/>
      <c r="D731" s="353" t="s">
        <v>5</v>
      </c>
      <c r="E731" s="249">
        <f t="shared" si="286"/>
        <v>0</v>
      </c>
      <c r="F731" s="336">
        <v>0</v>
      </c>
      <c r="G731" s="258">
        <f t="shared" si="287"/>
        <v>0</v>
      </c>
      <c r="H731" s="249">
        <f t="shared" si="288"/>
        <v>6.374154805013113E-2</v>
      </c>
      <c r="I731" s="336">
        <v>2.7188813745201979E-2</v>
      </c>
      <c r="J731" s="258">
        <f t="shared" si="289"/>
        <v>2.7188813745201979E-2</v>
      </c>
      <c r="K731" s="249">
        <f t="shared" si="290"/>
        <v>2.1706169442072287</v>
      </c>
      <c r="L731" s="336">
        <v>0.92587176831373497</v>
      </c>
      <c r="M731" s="258">
        <f t="shared" si="291"/>
        <v>0.92587176831373497</v>
      </c>
      <c r="N731" s="251">
        <f t="shared" si="292"/>
        <v>0.1099854162433635</v>
      </c>
      <c r="O731" s="336">
        <v>4.6914031560348506E-2</v>
      </c>
      <c r="P731" s="258">
        <f t="shared" si="293"/>
        <v>4.6914031560348506E-2</v>
      </c>
      <c r="Q731" s="354">
        <v>2.2901860465116277</v>
      </c>
      <c r="R731" s="249">
        <f t="shared" si="294"/>
        <v>2.3444034244186041</v>
      </c>
      <c r="S731" s="355">
        <v>0.1</v>
      </c>
      <c r="T731" s="355"/>
      <c r="U731" s="315">
        <f t="shared" si="283"/>
        <v>2.5788437668604645</v>
      </c>
      <c r="V731" s="315">
        <f t="shared" si="284"/>
        <v>3</v>
      </c>
      <c r="W731" s="316">
        <f t="shared" si="295"/>
        <v>0</v>
      </c>
    </row>
    <row r="732" spans="1:26" x14ac:dyDescent="0.25">
      <c r="A732" s="204" t="s">
        <v>16370</v>
      </c>
      <c r="B732" s="351" t="s">
        <v>20467</v>
      </c>
      <c r="C732" s="352"/>
      <c r="D732" s="353" t="s">
        <v>14859</v>
      </c>
      <c r="E732" s="249">
        <f t="shared" si="286"/>
        <v>0</v>
      </c>
      <c r="F732" s="336">
        <v>0</v>
      </c>
      <c r="G732" s="258">
        <f t="shared" si="287"/>
        <v>0</v>
      </c>
      <c r="H732" s="249">
        <f t="shared" si="288"/>
        <v>10.963824814019375</v>
      </c>
      <c r="I732" s="336">
        <v>2.7188813745201979E-2</v>
      </c>
      <c r="J732" s="258">
        <f t="shared" si="289"/>
        <v>2.7188813745201979E-2</v>
      </c>
      <c r="K732" s="249">
        <f t="shared" si="290"/>
        <v>373.36583695786874</v>
      </c>
      <c r="L732" s="336">
        <v>0.92589715469444955</v>
      </c>
      <c r="M732" s="258">
        <f t="shared" si="291"/>
        <v>0.92589715469444955</v>
      </c>
      <c r="N732" s="251">
        <f t="shared" si="292"/>
        <v>18.917972228111861</v>
      </c>
      <c r="O732" s="336">
        <v>4.6914031560348506E-2</v>
      </c>
      <c r="P732" s="258">
        <f t="shared" si="293"/>
        <v>4.6914031560348506E-2</v>
      </c>
      <c r="Q732" s="354">
        <v>393.91199999999998</v>
      </c>
      <c r="R732" s="249">
        <f t="shared" si="294"/>
        <v>403.24763399999995</v>
      </c>
      <c r="S732" s="355">
        <v>0.1</v>
      </c>
      <c r="T732" s="355"/>
      <c r="U732" s="315">
        <f t="shared" si="283"/>
        <v>443.57239739999994</v>
      </c>
      <c r="V732" s="315">
        <f t="shared" si="284"/>
        <v>445</v>
      </c>
      <c r="W732" s="316">
        <f t="shared" si="295"/>
        <v>0</v>
      </c>
    </row>
    <row r="733" spans="1:26" x14ac:dyDescent="0.25">
      <c r="A733" s="204" t="s">
        <v>16371</v>
      </c>
      <c r="B733" s="351" t="s">
        <v>20468</v>
      </c>
      <c r="C733" s="352"/>
      <c r="D733" s="353" t="s">
        <v>5</v>
      </c>
      <c r="E733" s="249">
        <f t="shared" si="286"/>
        <v>0</v>
      </c>
      <c r="F733" s="336">
        <v>0</v>
      </c>
      <c r="G733" s="258">
        <f t="shared" si="287"/>
        <v>0</v>
      </c>
      <c r="H733" s="249">
        <f t="shared" si="288"/>
        <v>6.374272473297414E-2</v>
      </c>
      <c r="I733" s="336">
        <v>2.6566947591672718E-2</v>
      </c>
      <c r="J733" s="258">
        <f t="shared" si="289"/>
        <v>2.6566947591672718E-2</v>
      </c>
      <c r="K733" s="249">
        <f t="shared" si="290"/>
        <v>2.2255346793849529</v>
      </c>
      <c r="L733" s="336">
        <v>0.9275672390591182</v>
      </c>
      <c r="M733" s="258">
        <f t="shared" si="291"/>
        <v>0.9275672390591182</v>
      </c>
      <c r="N733" s="251">
        <f t="shared" si="292"/>
        <v>0.10998744659807301</v>
      </c>
      <c r="O733" s="336">
        <v>4.584100760916076E-2</v>
      </c>
      <c r="P733" s="258">
        <f t="shared" si="293"/>
        <v>4.584100760916076E-2</v>
      </c>
      <c r="Q733" s="354">
        <v>2.3437936046511627</v>
      </c>
      <c r="R733" s="249">
        <f t="shared" si="294"/>
        <v>2.3993243677325578</v>
      </c>
      <c r="S733" s="355">
        <v>0.1</v>
      </c>
      <c r="T733" s="355"/>
      <c r="U733" s="315">
        <f t="shared" si="283"/>
        <v>2.6392568045058136</v>
      </c>
      <c r="V733" s="315">
        <f t="shared" si="284"/>
        <v>3</v>
      </c>
      <c r="W733" s="316">
        <f t="shared" si="295"/>
        <v>0</v>
      </c>
    </row>
    <row r="734" spans="1:26" x14ac:dyDescent="0.25">
      <c r="A734" s="204" t="s">
        <v>16372</v>
      </c>
      <c r="B734" s="351" t="s">
        <v>20469</v>
      </c>
      <c r="C734" s="352"/>
      <c r="D734" s="353" t="s">
        <v>14859</v>
      </c>
      <c r="E734" s="249">
        <f t="shared" si="286"/>
        <v>0</v>
      </c>
      <c r="F734" s="336">
        <v>0</v>
      </c>
      <c r="G734" s="258">
        <f t="shared" si="287"/>
        <v>0</v>
      </c>
      <c r="H734" s="249">
        <f t="shared" si="288"/>
        <v>10.964020832449631</v>
      </c>
      <c r="I734" s="336">
        <v>2.6566947591672715E-2</v>
      </c>
      <c r="J734" s="258">
        <f t="shared" si="289"/>
        <v>2.6566947591672715E-2</v>
      </c>
      <c r="K734" s="249">
        <f t="shared" si="290"/>
        <v>382.81170496155886</v>
      </c>
      <c r="L734" s="336">
        <v>0.92759204479916657</v>
      </c>
      <c r="M734" s="258">
        <f t="shared" si="291"/>
        <v>0.92759204479916657</v>
      </c>
      <c r="N734" s="251">
        <f t="shared" si="292"/>
        <v>18.918310455991517</v>
      </c>
      <c r="O734" s="336">
        <v>4.584100760916076E-2</v>
      </c>
      <c r="P734" s="258">
        <f t="shared" si="293"/>
        <v>4.584100760916076E-2</v>
      </c>
      <c r="Q734" s="354">
        <v>403.13249999999999</v>
      </c>
      <c r="R734" s="249">
        <f t="shared" si="294"/>
        <v>412.69403625000001</v>
      </c>
      <c r="S734" s="355">
        <v>0.1</v>
      </c>
      <c r="T734" s="355"/>
      <c r="U734" s="315">
        <f t="shared" si="283"/>
        <v>453.96343987500001</v>
      </c>
      <c r="V734" s="315">
        <f t="shared" si="284"/>
        <v>455</v>
      </c>
      <c r="W734" s="316">
        <f t="shared" si="295"/>
        <v>0</v>
      </c>
    </row>
    <row r="735" spans="1:26" x14ac:dyDescent="0.25">
      <c r="A735" s="204" t="s">
        <v>16373</v>
      </c>
      <c r="B735" s="351" t="s">
        <v>20470</v>
      </c>
      <c r="C735" s="352"/>
      <c r="D735" s="353" t="s">
        <v>5</v>
      </c>
      <c r="E735" s="249">
        <f t="shared" si="286"/>
        <v>0</v>
      </c>
      <c r="F735" s="336">
        <v>0</v>
      </c>
      <c r="G735" s="258">
        <f t="shared" si="287"/>
        <v>0</v>
      </c>
      <c r="H735" s="249">
        <f t="shared" si="288"/>
        <v>6.3743603367797858E-2</v>
      </c>
      <c r="I735" s="336">
        <v>2.6102597098736552E-2</v>
      </c>
      <c r="J735" s="258">
        <f t="shared" si="289"/>
        <v>2.6102597098736552E-2</v>
      </c>
      <c r="K735" s="249">
        <f t="shared" si="290"/>
        <v>2.2682485730981536</v>
      </c>
      <c r="L735" s="336">
        <v>0.92883325534238015</v>
      </c>
      <c r="M735" s="258">
        <f t="shared" si="291"/>
        <v>0.92883325534238015</v>
      </c>
      <c r="N735" s="251">
        <f t="shared" si="292"/>
        <v>0.10998896267384725</v>
      </c>
      <c r="O735" s="336">
        <v>4.503977538605522E-2</v>
      </c>
      <c r="P735" s="258">
        <f t="shared" si="293"/>
        <v>4.503977538605522E-2</v>
      </c>
      <c r="Q735" s="354">
        <v>2.3854883720930231</v>
      </c>
      <c r="R735" s="249">
        <f t="shared" si="294"/>
        <v>2.4420406569767437</v>
      </c>
      <c r="S735" s="355">
        <v>0.1</v>
      </c>
      <c r="T735" s="355"/>
      <c r="U735" s="315">
        <f t="shared" si="283"/>
        <v>2.6862447226744179</v>
      </c>
      <c r="V735" s="315">
        <f t="shared" si="284"/>
        <v>3</v>
      </c>
      <c r="W735" s="316">
        <f t="shared" si="295"/>
        <v>0</v>
      </c>
    </row>
    <row r="736" spans="1:26" ht="14.4" thickBot="1" x14ac:dyDescent="0.3">
      <c r="A736" s="356" t="s">
        <v>16374</v>
      </c>
      <c r="B736" s="357" t="s">
        <v>20471</v>
      </c>
      <c r="C736" s="358"/>
      <c r="D736" s="359" t="s">
        <v>14859</v>
      </c>
      <c r="E736" s="266">
        <f t="shared" si="286"/>
        <v>0</v>
      </c>
      <c r="F736" s="360">
        <v>0</v>
      </c>
      <c r="G736" s="322">
        <f t="shared" si="287"/>
        <v>0</v>
      </c>
      <c r="H736" s="266">
        <f t="shared" si="288"/>
        <v>10.964167200368509</v>
      </c>
      <c r="I736" s="360">
        <v>2.6102597098736552E-2</v>
      </c>
      <c r="J736" s="322">
        <f t="shared" si="289"/>
        <v>2.6102597098736552E-2</v>
      </c>
      <c r="K736" s="266">
        <f t="shared" si="290"/>
        <v>390.15850778723092</v>
      </c>
      <c r="L736" s="360">
        <v>0.92885762751520828</v>
      </c>
      <c r="M736" s="322">
        <f t="shared" si="291"/>
        <v>0.92885762751520828</v>
      </c>
      <c r="N736" s="270">
        <f t="shared" si="292"/>
        <v>18.918563012400561</v>
      </c>
      <c r="O736" s="360">
        <v>4.503977538605522E-2</v>
      </c>
      <c r="P736" s="322">
        <f t="shared" si="293"/>
        <v>4.503977538605522E-2</v>
      </c>
      <c r="Q736" s="361">
        <v>410.30399999999997</v>
      </c>
      <c r="R736" s="266">
        <f t="shared" si="294"/>
        <v>420.04123799999996</v>
      </c>
      <c r="S736" s="362">
        <v>0.1</v>
      </c>
      <c r="T736" s="362"/>
      <c r="U736" s="324">
        <f t="shared" si="283"/>
        <v>462.04536179999997</v>
      </c>
      <c r="V736" s="324">
        <f t="shared" si="284"/>
        <v>465</v>
      </c>
      <c r="W736" s="325">
        <f t="shared" si="295"/>
        <v>0</v>
      </c>
    </row>
    <row r="737" spans="1:28" x14ac:dyDescent="0.25">
      <c r="A737" s="204" t="s">
        <v>16375</v>
      </c>
      <c r="B737" s="351" t="s">
        <v>20472</v>
      </c>
      <c r="C737" s="352"/>
      <c r="D737" s="353" t="s">
        <v>5</v>
      </c>
      <c r="E737" s="249">
        <f t="shared" si="286"/>
        <v>0</v>
      </c>
      <c r="F737" s="336">
        <v>0</v>
      </c>
      <c r="G737" s="258">
        <f t="shared" si="287"/>
        <v>0</v>
      </c>
      <c r="H737" s="249">
        <f t="shared" si="288"/>
        <v>6.3743603367797858E-2</v>
      </c>
      <c r="I737" s="336">
        <v>2.6102597098736552E-2</v>
      </c>
      <c r="J737" s="258">
        <f t="shared" si="289"/>
        <v>2.6102597098736552E-2</v>
      </c>
      <c r="K737" s="249">
        <f t="shared" si="290"/>
        <v>2.2682485730981536</v>
      </c>
      <c r="L737" s="336">
        <v>0.92883325534238015</v>
      </c>
      <c r="M737" s="258">
        <f t="shared" si="291"/>
        <v>0.92883325534238015</v>
      </c>
      <c r="N737" s="251">
        <f t="shared" si="292"/>
        <v>0.10998896267384725</v>
      </c>
      <c r="O737" s="336">
        <v>4.503977538605522E-2</v>
      </c>
      <c r="P737" s="258">
        <f t="shared" si="293"/>
        <v>4.503977538605522E-2</v>
      </c>
      <c r="Q737" s="354">
        <v>2.3854883720930231</v>
      </c>
      <c r="R737" s="249">
        <f t="shared" si="294"/>
        <v>2.4420406569767437</v>
      </c>
      <c r="S737" s="355">
        <v>0.1</v>
      </c>
      <c r="T737" s="355"/>
      <c r="U737" s="315">
        <f t="shared" si="283"/>
        <v>2.6862447226744179</v>
      </c>
      <c r="V737" s="315">
        <f t="shared" si="284"/>
        <v>3</v>
      </c>
      <c r="W737" s="316">
        <f t="shared" si="295"/>
        <v>0</v>
      </c>
    </row>
    <row r="738" spans="1:28" x14ac:dyDescent="0.25">
      <c r="A738" s="204" t="s">
        <v>16376</v>
      </c>
      <c r="B738" s="351" t="s">
        <v>20473</v>
      </c>
      <c r="C738" s="352"/>
      <c r="D738" s="353" t="s">
        <v>14859</v>
      </c>
      <c r="E738" s="249">
        <f t="shared" si="286"/>
        <v>0</v>
      </c>
      <c r="F738" s="336">
        <v>0</v>
      </c>
      <c r="G738" s="258">
        <f t="shared" si="287"/>
        <v>0</v>
      </c>
      <c r="H738" s="249">
        <f t="shared" si="288"/>
        <v>10.964167200368509</v>
      </c>
      <c r="I738" s="336">
        <v>2.6102597098736552E-2</v>
      </c>
      <c r="J738" s="258">
        <f t="shared" si="289"/>
        <v>2.6102597098736552E-2</v>
      </c>
      <c r="K738" s="249">
        <f t="shared" si="290"/>
        <v>390.15850778723092</v>
      </c>
      <c r="L738" s="336">
        <v>0.92885762751520828</v>
      </c>
      <c r="M738" s="258">
        <f t="shared" si="291"/>
        <v>0.92885762751520828</v>
      </c>
      <c r="N738" s="251">
        <f t="shared" si="292"/>
        <v>18.918563012400561</v>
      </c>
      <c r="O738" s="336">
        <v>4.503977538605522E-2</v>
      </c>
      <c r="P738" s="258">
        <f t="shared" si="293"/>
        <v>4.503977538605522E-2</v>
      </c>
      <c r="Q738" s="354">
        <v>410.30399999999997</v>
      </c>
      <c r="R738" s="249">
        <f t="shared" si="294"/>
        <v>420.04123799999996</v>
      </c>
      <c r="S738" s="355">
        <v>0.1</v>
      </c>
      <c r="T738" s="355"/>
      <c r="U738" s="315">
        <f t="shared" si="283"/>
        <v>462.04536179999997</v>
      </c>
      <c r="V738" s="315">
        <f t="shared" si="284"/>
        <v>465</v>
      </c>
      <c r="W738" s="316">
        <f t="shared" si="295"/>
        <v>0</v>
      </c>
    </row>
    <row r="739" spans="1:28" x14ac:dyDescent="0.25">
      <c r="A739" s="204" t="s">
        <v>16377</v>
      </c>
      <c r="B739" s="351" t="s">
        <v>20474</v>
      </c>
      <c r="C739" s="352"/>
      <c r="D739" s="353" t="s">
        <v>5</v>
      </c>
      <c r="E739" s="249">
        <f t="shared" si="286"/>
        <v>0</v>
      </c>
      <c r="F739" s="336">
        <v>0</v>
      </c>
      <c r="G739" s="258">
        <f t="shared" si="287"/>
        <v>0</v>
      </c>
      <c r="H739" s="249">
        <f t="shared" si="288"/>
        <v>6.3743970593106158E-2</v>
      </c>
      <c r="I739" s="336">
        <v>2.5908521871654846E-2</v>
      </c>
      <c r="J739" s="258">
        <f t="shared" si="289"/>
        <v>2.5908521871654846E-2</v>
      </c>
      <c r="K739" s="249">
        <f t="shared" si="290"/>
        <v>2.2865545529909466</v>
      </c>
      <c r="L739" s="336">
        <v>0.92936238668045545</v>
      </c>
      <c r="M739" s="258">
        <f t="shared" si="291"/>
        <v>0.92936238668045545</v>
      </c>
      <c r="N739" s="251">
        <f t="shared" si="292"/>
        <v>0.10998959631751651</v>
      </c>
      <c r="O739" s="336">
        <v>4.4704900484424048E-2</v>
      </c>
      <c r="P739" s="258">
        <f t="shared" si="293"/>
        <v>4.4704900484424048E-2</v>
      </c>
      <c r="Q739" s="354">
        <v>2.4033575581395348</v>
      </c>
      <c r="R739" s="249">
        <f t="shared" si="294"/>
        <v>2.4603476380813949</v>
      </c>
      <c r="S739" s="355">
        <v>0.1</v>
      </c>
      <c r="T739" s="355"/>
      <c r="U739" s="315">
        <f t="shared" si="283"/>
        <v>2.7063824018895346</v>
      </c>
      <c r="V739" s="315">
        <f t="shared" si="284"/>
        <v>3</v>
      </c>
      <c r="W739" s="316">
        <f t="shared" si="295"/>
        <v>0</v>
      </c>
    </row>
    <row r="740" spans="1:28" x14ac:dyDescent="0.25">
      <c r="A740" s="204" t="s">
        <v>16378</v>
      </c>
      <c r="B740" s="351" t="s">
        <v>20475</v>
      </c>
      <c r="C740" s="352"/>
      <c r="D740" s="353" t="s">
        <v>14859</v>
      </c>
      <c r="E740" s="249">
        <f t="shared" si="286"/>
        <v>0</v>
      </c>
      <c r="F740" s="336">
        <v>0</v>
      </c>
      <c r="G740" s="258">
        <f t="shared" si="287"/>
        <v>0</v>
      </c>
      <c r="H740" s="249">
        <f t="shared" si="288"/>
        <v>10.964228374820836</v>
      </c>
      <c r="I740" s="336">
        <v>2.5908521871654846E-2</v>
      </c>
      <c r="J740" s="258">
        <f t="shared" si="289"/>
        <v>2.5908521871654846E-2</v>
      </c>
      <c r="K740" s="249">
        <f t="shared" si="290"/>
        <v>393.30714180686084</v>
      </c>
      <c r="L740" s="336">
        <v>0.92938657764392107</v>
      </c>
      <c r="M740" s="258">
        <f t="shared" si="291"/>
        <v>0.92938657764392107</v>
      </c>
      <c r="N740" s="251">
        <f t="shared" si="292"/>
        <v>18.918668568318303</v>
      </c>
      <c r="O740" s="336">
        <v>4.4704900484424041E-2</v>
      </c>
      <c r="P740" s="258">
        <f t="shared" si="293"/>
        <v>4.4704900484424041E-2</v>
      </c>
      <c r="Q740" s="354">
        <v>413.3775</v>
      </c>
      <c r="R740" s="249">
        <f t="shared" si="294"/>
        <v>423.19003874999999</v>
      </c>
      <c r="S740" s="355">
        <v>0.1</v>
      </c>
      <c r="T740" s="355"/>
      <c r="U740" s="315">
        <f t="shared" si="283"/>
        <v>465.50904262500001</v>
      </c>
      <c r="V740" s="315">
        <f t="shared" si="284"/>
        <v>470</v>
      </c>
      <c r="W740" s="316">
        <f t="shared" si="295"/>
        <v>0</v>
      </c>
    </row>
    <row r="741" spans="1:28" x14ac:dyDescent="0.25">
      <c r="A741" s="204" t="s">
        <v>16379</v>
      </c>
      <c r="B741" s="351" t="s">
        <v>20476</v>
      </c>
      <c r="C741" s="352"/>
      <c r="D741" s="353" t="s">
        <v>5</v>
      </c>
      <c r="E741" s="249">
        <f t="shared" si="286"/>
        <v>0</v>
      </c>
      <c r="F741" s="336">
        <v>0</v>
      </c>
      <c r="G741" s="258">
        <f t="shared" si="287"/>
        <v>0</v>
      </c>
      <c r="H741" s="249">
        <f t="shared" si="288"/>
        <v>6.3745386464386267E-2</v>
      </c>
      <c r="I741" s="336">
        <v>2.516024681004014E-2</v>
      </c>
      <c r="J741" s="258">
        <f t="shared" si="289"/>
        <v>2.516024681004014E-2</v>
      </c>
      <c r="K741" s="249">
        <f t="shared" si="290"/>
        <v>2.3597786171442499</v>
      </c>
      <c r="L741" s="336">
        <v>0.93140250169438166</v>
      </c>
      <c r="M741" s="258">
        <f t="shared" si="291"/>
        <v>0.93140250169438166</v>
      </c>
      <c r="N741" s="251">
        <f t="shared" si="292"/>
        <v>0.10999203938952924</v>
      </c>
      <c r="O741" s="336">
        <v>4.3413759201637883E-2</v>
      </c>
      <c r="P741" s="258">
        <f t="shared" si="293"/>
        <v>4.3413759201637883E-2</v>
      </c>
      <c r="Q741" s="354">
        <v>2.4748343023255814</v>
      </c>
      <c r="R741" s="249">
        <f t="shared" si="294"/>
        <v>2.5335755624999998</v>
      </c>
      <c r="S741" s="355">
        <v>0.1</v>
      </c>
      <c r="T741" s="355"/>
      <c r="U741" s="315">
        <f t="shared" si="283"/>
        <v>2.7869331187499999</v>
      </c>
      <c r="V741" s="315">
        <f t="shared" si="284"/>
        <v>3</v>
      </c>
      <c r="W741" s="316">
        <f t="shared" si="295"/>
        <v>0</v>
      </c>
    </row>
    <row r="742" spans="1:28" x14ac:dyDescent="0.25">
      <c r="A742" s="204" t="s">
        <v>16380</v>
      </c>
      <c r="B742" s="351" t="s">
        <v>20477</v>
      </c>
      <c r="C742" s="352"/>
      <c r="D742" s="353" t="s">
        <v>14859</v>
      </c>
      <c r="E742" s="249">
        <f t="shared" si="286"/>
        <v>0</v>
      </c>
      <c r="F742" s="336">
        <v>0</v>
      </c>
      <c r="G742" s="258">
        <f t="shared" si="287"/>
        <v>0</v>
      </c>
      <c r="H742" s="249">
        <f t="shared" si="288"/>
        <v>10.964464238603007</v>
      </c>
      <c r="I742" s="336">
        <v>2.516024681004014E-2</v>
      </c>
      <c r="J742" s="258">
        <f t="shared" si="289"/>
        <v>2.516024681004014E-2</v>
      </c>
      <c r="K742" s="249">
        <f t="shared" si="290"/>
        <v>405.90170196243486</v>
      </c>
      <c r="L742" s="336">
        <v>0.93142599398832193</v>
      </c>
      <c r="M742" s="258">
        <f t="shared" si="291"/>
        <v>0.93142599398832193</v>
      </c>
      <c r="N742" s="251">
        <f t="shared" si="292"/>
        <v>18.919075548962049</v>
      </c>
      <c r="O742" s="336">
        <v>4.3413759201637883E-2</v>
      </c>
      <c r="P742" s="258">
        <f t="shared" si="293"/>
        <v>4.3413759201637883E-2</v>
      </c>
      <c r="Q742" s="354">
        <v>425.67149999999998</v>
      </c>
      <c r="R742" s="249">
        <f t="shared" si="294"/>
        <v>435.78524174999995</v>
      </c>
      <c r="S742" s="355">
        <v>0.1</v>
      </c>
      <c r="T742" s="355"/>
      <c r="U742" s="315">
        <f t="shared" ref="U742:U805" si="296">(R742*S742)+R742</f>
        <v>479.36376592499994</v>
      </c>
      <c r="V742" s="315">
        <f t="shared" ref="V742:V805" si="297">IF(U742=0, 0, IF(U742&lt;10, _xlfn.CEILING.MATH(U742,1), IF(U742&lt;100, _xlfn.CEILING.MATH(U742,1),IF(U742&lt;1000, _xlfn.CEILING.MATH(U742,5), IF(U742&lt;10000, _xlfn.CEILING.MATH(U742, 25), IF(U742&lt;100000, _xlfn.CEILING.MATH(U742,250), IF(U742&lt;1000000, _xlfn.CEILING.MATH(U742,500), 0)))))))</f>
        <v>480</v>
      </c>
      <c r="W742" s="316">
        <f t="shared" si="295"/>
        <v>0</v>
      </c>
    </row>
    <row r="743" spans="1:28" x14ac:dyDescent="0.25">
      <c r="A743" s="204" t="s">
        <v>16381</v>
      </c>
      <c r="B743" s="351" t="s">
        <v>20478</v>
      </c>
      <c r="C743" s="352"/>
      <c r="D743" s="353" t="s">
        <v>5</v>
      </c>
      <c r="E743" s="249">
        <f t="shared" si="286"/>
        <v>0</v>
      </c>
      <c r="F743" s="336">
        <v>0</v>
      </c>
      <c r="G743" s="258">
        <f t="shared" si="287"/>
        <v>0</v>
      </c>
      <c r="H743" s="249">
        <f t="shared" si="288"/>
        <v>6.3746830833143947E-2</v>
      </c>
      <c r="I743" s="336">
        <v>2.4396911091368826E-2</v>
      </c>
      <c r="J743" s="258">
        <f t="shared" si="289"/>
        <v>2.4396911091368826E-2</v>
      </c>
      <c r="K743" s="249">
        <f t="shared" si="290"/>
        <v>2.4391049306362329</v>
      </c>
      <c r="L743" s="336">
        <v>0.93348367844370028</v>
      </c>
      <c r="M743" s="258">
        <f t="shared" si="291"/>
        <v>0.93348367844370028</v>
      </c>
      <c r="N743" s="251">
        <f t="shared" si="292"/>
        <v>0.10999453163366013</v>
      </c>
      <c r="O743" s="336">
        <v>4.2096630902754048E-2</v>
      </c>
      <c r="P743" s="258">
        <f t="shared" si="293"/>
        <v>4.2096630902754048E-2</v>
      </c>
      <c r="Q743" s="354">
        <v>2.5522674418604652</v>
      </c>
      <c r="R743" s="249">
        <f t="shared" si="294"/>
        <v>2.6129058139534882</v>
      </c>
      <c r="S743" s="355">
        <v>0.1</v>
      </c>
      <c r="T743" s="355"/>
      <c r="U743" s="315">
        <f t="shared" si="296"/>
        <v>2.8741963953488372</v>
      </c>
      <c r="V743" s="315">
        <f t="shared" si="297"/>
        <v>3</v>
      </c>
      <c r="W743" s="316">
        <f t="shared" si="295"/>
        <v>0</v>
      </c>
    </row>
    <row r="744" spans="1:28" x14ac:dyDescent="0.25">
      <c r="A744" s="204" t="s">
        <v>16382</v>
      </c>
      <c r="B744" s="351" t="s">
        <v>20479</v>
      </c>
      <c r="C744" s="352"/>
      <c r="D744" s="353" t="s">
        <v>14859</v>
      </c>
      <c r="E744" s="249">
        <f t="shared" si="286"/>
        <v>0</v>
      </c>
      <c r="F744" s="336">
        <v>0</v>
      </c>
      <c r="G744" s="258">
        <f t="shared" si="287"/>
        <v>0</v>
      </c>
      <c r="H744" s="249">
        <f t="shared" si="288"/>
        <v>10.964704849654892</v>
      </c>
      <c r="I744" s="336">
        <v>2.4396911091368826E-2</v>
      </c>
      <c r="J744" s="258">
        <f t="shared" si="289"/>
        <v>2.4396911091368826E-2</v>
      </c>
      <c r="K744" s="249">
        <f t="shared" si="290"/>
        <v>419.54584942937197</v>
      </c>
      <c r="L744" s="336">
        <v>0.93350645800587717</v>
      </c>
      <c r="M744" s="258">
        <f t="shared" si="291"/>
        <v>0.93350645800587717</v>
      </c>
      <c r="N744" s="251">
        <f t="shared" si="292"/>
        <v>18.919490720973144</v>
      </c>
      <c r="O744" s="336">
        <v>4.2096630902754048E-2</v>
      </c>
      <c r="P744" s="258">
        <f t="shared" si="293"/>
        <v>4.2096630902754048E-2</v>
      </c>
      <c r="Q744" s="354">
        <v>438.99</v>
      </c>
      <c r="R744" s="249">
        <f t="shared" si="294"/>
        <v>449.43004500000001</v>
      </c>
      <c r="S744" s="355">
        <v>0.1</v>
      </c>
      <c r="T744" s="355"/>
      <c r="U744" s="315">
        <f t="shared" si="296"/>
        <v>494.37304949999998</v>
      </c>
      <c r="V744" s="315">
        <f t="shared" si="297"/>
        <v>495</v>
      </c>
      <c r="W744" s="316">
        <f t="shared" si="295"/>
        <v>0</v>
      </c>
    </row>
    <row r="745" spans="1:28" s="284" customFormat="1" ht="14.4" x14ac:dyDescent="0.3">
      <c r="A745" s="204" t="s">
        <v>16383</v>
      </c>
      <c r="B745" s="351" t="s">
        <v>20480</v>
      </c>
      <c r="C745" s="352"/>
      <c r="D745" s="353" t="s">
        <v>5</v>
      </c>
      <c r="E745" s="249">
        <f t="shared" si="286"/>
        <v>0</v>
      </c>
      <c r="F745" s="336">
        <v>0</v>
      </c>
      <c r="G745" s="258">
        <f t="shared" si="287"/>
        <v>0</v>
      </c>
      <c r="H745" s="249">
        <f t="shared" si="288"/>
        <v>6.3746830833143947E-2</v>
      </c>
      <c r="I745" s="336">
        <v>2.4396911091368826E-2</v>
      </c>
      <c r="J745" s="258">
        <f t="shared" si="289"/>
        <v>2.4396911091368826E-2</v>
      </c>
      <c r="K745" s="249">
        <f t="shared" si="290"/>
        <v>2.4391049306362329</v>
      </c>
      <c r="L745" s="336">
        <v>0.93348367844370028</v>
      </c>
      <c r="M745" s="258">
        <f t="shared" si="291"/>
        <v>0.93348367844370028</v>
      </c>
      <c r="N745" s="251">
        <f t="shared" si="292"/>
        <v>0.10999453163366013</v>
      </c>
      <c r="O745" s="336">
        <v>4.2096630902754048E-2</v>
      </c>
      <c r="P745" s="258">
        <f t="shared" si="293"/>
        <v>4.2096630902754048E-2</v>
      </c>
      <c r="Q745" s="354">
        <v>2.5522674418604652</v>
      </c>
      <c r="R745" s="249">
        <f t="shared" si="294"/>
        <v>2.6129058139534882</v>
      </c>
      <c r="S745" s="355">
        <v>0.1</v>
      </c>
      <c r="T745" s="355"/>
      <c r="U745" s="315">
        <f t="shared" si="296"/>
        <v>2.8741963953488372</v>
      </c>
      <c r="V745" s="315">
        <f t="shared" si="297"/>
        <v>3</v>
      </c>
      <c r="W745" s="316">
        <f t="shared" si="295"/>
        <v>0</v>
      </c>
      <c r="X745" s="185"/>
      <c r="Y745" s="185"/>
      <c r="Z745" s="185"/>
      <c r="AA745" s="206"/>
      <c r="AB745" s="283"/>
    </row>
    <row r="746" spans="1:28" s="284" customFormat="1" ht="14.4" x14ac:dyDescent="0.3">
      <c r="A746" s="204" t="s">
        <v>16384</v>
      </c>
      <c r="B746" s="351" t="s">
        <v>20481</v>
      </c>
      <c r="C746" s="352"/>
      <c r="D746" s="353" t="s">
        <v>14859</v>
      </c>
      <c r="E746" s="249">
        <f t="shared" si="286"/>
        <v>0</v>
      </c>
      <c r="F746" s="336">
        <v>0</v>
      </c>
      <c r="G746" s="258">
        <f t="shared" si="287"/>
        <v>0</v>
      </c>
      <c r="H746" s="249">
        <f t="shared" si="288"/>
        <v>10.964704849654892</v>
      </c>
      <c r="I746" s="336">
        <v>2.4396911091368826E-2</v>
      </c>
      <c r="J746" s="258">
        <f t="shared" si="289"/>
        <v>2.4396911091368826E-2</v>
      </c>
      <c r="K746" s="249">
        <f t="shared" si="290"/>
        <v>419.54584942937197</v>
      </c>
      <c r="L746" s="336">
        <v>0.93350645800587717</v>
      </c>
      <c r="M746" s="258">
        <f t="shared" si="291"/>
        <v>0.93350645800587717</v>
      </c>
      <c r="N746" s="251">
        <f t="shared" si="292"/>
        <v>18.919490720973144</v>
      </c>
      <c r="O746" s="336">
        <v>4.2096630902754048E-2</v>
      </c>
      <c r="P746" s="258">
        <f t="shared" si="293"/>
        <v>4.2096630902754048E-2</v>
      </c>
      <c r="Q746" s="354">
        <v>438.99</v>
      </c>
      <c r="R746" s="249">
        <f t="shared" si="294"/>
        <v>449.43004500000001</v>
      </c>
      <c r="S746" s="355">
        <v>0.1</v>
      </c>
      <c r="T746" s="355"/>
      <c r="U746" s="315">
        <f t="shared" si="296"/>
        <v>494.37304949999998</v>
      </c>
      <c r="V746" s="315">
        <f t="shared" si="297"/>
        <v>495</v>
      </c>
      <c r="W746" s="316">
        <f t="shared" si="295"/>
        <v>0</v>
      </c>
      <c r="X746" s="185"/>
      <c r="Y746" s="185"/>
      <c r="Z746" s="185"/>
      <c r="AA746" s="206"/>
      <c r="AB746" s="283"/>
    </row>
    <row r="747" spans="1:28" s="284" customFormat="1" ht="14.4" x14ac:dyDescent="0.3">
      <c r="A747" s="204" t="s">
        <v>16385</v>
      </c>
      <c r="B747" s="351" t="s">
        <v>20482</v>
      </c>
      <c r="C747" s="352"/>
      <c r="D747" s="353" t="s">
        <v>5</v>
      </c>
      <c r="E747" s="249">
        <f t="shared" si="286"/>
        <v>0</v>
      </c>
      <c r="F747" s="336">
        <v>0</v>
      </c>
      <c r="G747" s="258">
        <f t="shared" si="287"/>
        <v>0</v>
      </c>
      <c r="H747" s="249">
        <f t="shared" si="288"/>
        <v>6.3746830833143947E-2</v>
      </c>
      <c r="I747" s="336">
        <v>2.4396911091368826E-2</v>
      </c>
      <c r="J747" s="258">
        <f t="shared" si="289"/>
        <v>2.4396911091368826E-2</v>
      </c>
      <c r="K747" s="249">
        <f t="shared" si="290"/>
        <v>2.4391049306362329</v>
      </c>
      <c r="L747" s="336">
        <v>0.93348367844370028</v>
      </c>
      <c r="M747" s="258">
        <f t="shared" si="291"/>
        <v>0.93348367844370028</v>
      </c>
      <c r="N747" s="251">
        <f t="shared" si="292"/>
        <v>0.10999453163366013</v>
      </c>
      <c r="O747" s="336">
        <v>4.2096630902754048E-2</v>
      </c>
      <c r="P747" s="258">
        <f t="shared" si="293"/>
        <v>4.2096630902754048E-2</v>
      </c>
      <c r="Q747" s="354">
        <v>2.5522674418604652</v>
      </c>
      <c r="R747" s="249">
        <f t="shared" si="294"/>
        <v>2.6129058139534882</v>
      </c>
      <c r="S747" s="355">
        <v>0.1</v>
      </c>
      <c r="T747" s="355"/>
      <c r="U747" s="315">
        <f t="shared" si="296"/>
        <v>2.8741963953488372</v>
      </c>
      <c r="V747" s="315">
        <f t="shared" si="297"/>
        <v>3</v>
      </c>
      <c r="W747" s="316">
        <f t="shared" si="295"/>
        <v>0</v>
      </c>
      <c r="X747" s="185"/>
      <c r="Y747" s="185"/>
      <c r="Z747" s="185"/>
      <c r="AA747" s="206"/>
      <c r="AB747" s="283"/>
    </row>
    <row r="748" spans="1:28" s="284" customFormat="1" ht="14.4" x14ac:dyDescent="0.3">
      <c r="A748" s="204" t="s">
        <v>16386</v>
      </c>
      <c r="B748" s="351" t="s">
        <v>20483</v>
      </c>
      <c r="C748" s="352"/>
      <c r="D748" s="353" t="s">
        <v>14859</v>
      </c>
      <c r="E748" s="249">
        <f t="shared" si="286"/>
        <v>0</v>
      </c>
      <c r="F748" s="336">
        <v>0</v>
      </c>
      <c r="G748" s="258">
        <f t="shared" si="287"/>
        <v>0</v>
      </c>
      <c r="H748" s="249">
        <f t="shared" si="288"/>
        <v>10.964704849654892</v>
      </c>
      <c r="I748" s="336">
        <v>2.4396911091368826E-2</v>
      </c>
      <c r="J748" s="258">
        <f t="shared" si="289"/>
        <v>2.4396911091368826E-2</v>
      </c>
      <c r="K748" s="249">
        <f t="shared" si="290"/>
        <v>419.54584942937197</v>
      </c>
      <c r="L748" s="336">
        <v>0.93350645800587717</v>
      </c>
      <c r="M748" s="258">
        <f t="shared" si="291"/>
        <v>0.93350645800587717</v>
      </c>
      <c r="N748" s="251">
        <f t="shared" si="292"/>
        <v>18.919490720973144</v>
      </c>
      <c r="O748" s="336">
        <v>4.2096630902754048E-2</v>
      </c>
      <c r="P748" s="258">
        <f t="shared" si="293"/>
        <v>4.2096630902754048E-2</v>
      </c>
      <c r="Q748" s="354">
        <v>438.99</v>
      </c>
      <c r="R748" s="249">
        <f t="shared" si="294"/>
        <v>449.43004500000001</v>
      </c>
      <c r="S748" s="355">
        <v>0.1</v>
      </c>
      <c r="T748" s="355"/>
      <c r="U748" s="315">
        <f t="shared" si="296"/>
        <v>494.37304949999998</v>
      </c>
      <c r="V748" s="315">
        <f t="shared" si="297"/>
        <v>495</v>
      </c>
      <c r="W748" s="316">
        <f t="shared" si="295"/>
        <v>0</v>
      </c>
      <c r="X748" s="185"/>
      <c r="Y748" s="185"/>
      <c r="Z748" s="185"/>
      <c r="AA748" s="206"/>
      <c r="AB748" s="283"/>
    </row>
    <row r="749" spans="1:28" s="284" customFormat="1" ht="14.4" x14ac:dyDescent="0.3">
      <c r="A749" s="204" t="s">
        <v>16387</v>
      </c>
      <c r="B749" s="351" t="s">
        <v>20484</v>
      </c>
      <c r="C749" s="352"/>
      <c r="D749" s="353" t="s">
        <v>5</v>
      </c>
      <c r="E749" s="249">
        <f t="shared" si="286"/>
        <v>0</v>
      </c>
      <c r="F749" s="336">
        <v>0</v>
      </c>
      <c r="G749" s="258">
        <f t="shared" si="287"/>
        <v>0</v>
      </c>
      <c r="H749" s="249">
        <f t="shared" si="288"/>
        <v>6.3747363292318684E-2</v>
      </c>
      <c r="I749" s="336">
        <v>2.4115511272481634E-2</v>
      </c>
      <c r="J749" s="258">
        <f t="shared" si="289"/>
        <v>2.4115511272481634E-2</v>
      </c>
      <c r="K749" s="249">
        <f t="shared" si="290"/>
        <v>2.4696151141012299</v>
      </c>
      <c r="L749" s="336">
        <v>0.93425089363618441</v>
      </c>
      <c r="M749" s="258">
        <f t="shared" si="291"/>
        <v>0.93425089363618441</v>
      </c>
      <c r="N749" s="251">
        <f t="shared" si="292"/>
        <v>0.10999545038674595</v>
      </c>
      <c r="O749" s="336">
        <v>4.1611078274085951E-2</v>
      </c>
      <c r="P749" s="258">
        <f t="shared" si="293"/>
        <v>4.1611078274085951E-2</v>
      </c>
      <c r="Q749" s="354">
        <v>2.5820494186046514</v>
      </c>
      <c r="R749" s="249">
        <f t="shared" si="294"/>
        <v>2.6434174491279068</v>
      </c>
      <c r="S749" s="355">
        <v>0.1</v>
      </c>
      <c r="T749" s="355"/>
      <c r="U749" s="315">
        <f t="shared" si="296"/>
        <v>2.9077591940406973</v>
      </c>
      <c r="V749" s="315">
        <f t="shared" si="297"/>
        <v>3</v>
      </c>
      <c r="W749" s="316">
        <f t="shared" si="295"/>
        <v>0</v>
      </c>
      <c r="X749" s="185"/>
      <c r="Y749" s="185"/>
      <c r="Z749" s="185"/>
      <c r="AA749" s="206"/>
      <c r="AB749" s="283"/>
    </row>
    <row r="750" spans="1:28" s="284" customFormat="1" ht="14.4" x14ac:dyDescent="0.3">
      <c r="A750" s="204" t="s">
        <v>16388</v>
      </c>
      <c r="B750" s="351" t="s">
        <v>20485</v>
      </c>
      <c r="C750" s="352"/>
      <c r="D750" s="353" t="s">
        <v>14859</v>
      </c>
      <c r="E750" s="249">
        <f t="shared" si="286"/>
        <v>0</v>
      </c>
      <c r="F750" s="336">
        <v>0</v>
      </c>
      <c r="G750" s="258">
        <f t="shared" si="287"/>
        <v>0</v>
      </c>
      <c r="H750" s="249">
        <f t="shared" si="288"/>
        <v>10.964793549691803</v>
      </c>
      <c r="I750" s="336">
        <v>2.4115511272481637E-2</v>
      </c>
      <c r="J750" s="258">
        <f t="shared" si="289"/>
        <v>2.4115511272481637E-2</v>
      </c>
      <c r="K750" s="249">
        <f t="shared" si="290"/>
        <v>424.79360892829101</v>
      </c>
      <c r="L750" s="336">
        <v>0.93427341045343237</v>
      </c>
      <c r="M750" s="258">
        <f t="shared" si="291"/>
        <v>0.93427341045343237</v>
      </c>
      <c r="N750" s="251">
        <f t="shared" si="292"/>
        <v>18.919643772017228</v>
      </c>
      <c r="O750" s="336">
        <v>4.1611078274085958E-2</v>
      </c>
      <c r="P750" s="258">
        <f t="shared" si="293"/>
        <v>4.1611078274085958E-2</v>
      </c>
      <c r="Q750" s="354">
        <v>444.11250000000001</v>
      </c>
      <c r="R750" s="249">
        <f t="shared" si="294"/>
        <v>454.67804625000002</v>
      </c>
      <c r="S750" s="355">
        <v>0.1</v>
      </c>
      <c r="T750" s="355"/>
      <c r="U750" s="315">
        <f t="shared" si="296"/>
        <v>500.14585087500001</v>
      </c>
      <c r="V750" s="315">
        <f t="shared" si="297"/>
        <v>505</v>
      </c>
      <c r="W750" s="316">
        <f t="shared" si="295"/>
        <v>0</v>
      </c>
      <c r="X750" s="185"/>
      <c r="Y750" s="185"/>
      <c r="Z750" s="185"/>
      <c r="AA750" s="206"/>
      <c r="AB750" s="283"/>
    </row>
    <row r="751" spans="1:28" x14ac:dyDescent="0.25">
      <c r="A751" s="204" t="s">
        <v>16389</v>
      </c>
      <c r="B751" s="351" t="s">
        <v>20486</v>
      </c>
      <c r="C751" s="352"/>
      <c r="D751" s="353" t="s">
        <v>5</v>
      </c>
      <c r="E751" s="249">
        <f t="shared" si="286"/>
        <v>0</v>
      </c>
      <c r="F751" s="336">
        <v>0</v>
      </c>
      <c r="G751" s="258">
        <f t="shared" si="287"/>
        <v>0</v>
      </c>
      <c r="H751" s="249">
        <f t="shared" si="288"/>
        <v>6.3747883608529857E-2</v>
      </c>
      <c r="I751" s="336">
        <v>2.3840528899128525E-2</v>
      </c>
      <c r="J751" s="258">
        <f t="shared" si="289"/>
        <v>2.3840528899128525E-2</v>
      </c>
      <c r="K751" s="249">
        <f t="shared" si="290"/>
        <v>2.5001253306730931</v>
      </c>
      <c r="L751" s="336">
        <v>0.93500061215176899</v>
      </c>
      <c r="M751" s="258">
        <f t="shared" si="291"/>
        <v>0.93500061215176899</v>
      </c>
      <c r="N751" s="251">
        <f t="shared" si="292"/>
        <v>0.10999634818726717</v>
      </c>
      <c r="O751" s="336">
        <v>4.1136598884770781E-2</v>
      </c>
      <c r="P751" s="258">
        <f t="shared" si="293"/>
        <v>4.1136598884770781E-2</v>
      </c>
      <c r="Q751" s="354">
        <v>2.6118313953488368</v>
      </c>
      <c r="R751" s="249">
        <f t="shared" si="294"/>
        <v>2.6739290843023249</v>
      </c>
      <c r="S751" s="355">
        <v>0.1</v>
      </c>
      <c r="T751" s="355"/>
      <c r="U751" s="315">
        <f t="shared" si="296"/>
        <v>2.9413219927325573</v>
      </c>
      <c r="V751" s="315">
        <f t="shared" si="297"/>
        <v>3</v>
      </c>
      <c r="W751" s="316">
        <f t="shared" si="295"/>
        <v>0</v>
      </c>
    </row>
    <row r="752" spans="1:28" x14ac:dyDescent="0.25">
      <c r="A752" s="204" t="s">
        <v>16390</v>
      </c>
      <c r="B752" s="351" t="s">
        <v>20487</v>
      </c>
      <c r="C752" s="352"/>
      <c r="D752" s="353" t="s">
        <v>14859</v>
      </c>
      <c r="E752" s="249">
        <f t="shared" si="286"/>
        <v>0</v>
      </c>
      <c r="F752" s="336">
        <v>0</v>
      </c>
      <c r="G752" s="258">
        <f t="shared" si="287"/>
        <v>0</v>
      </c>
      <c r="H752" s="249">
        <f t="shared" si="288"/>
        <v>10.964880226885706</v>
      </c>
      <c r="I752" s="336">
        <v>2.3840528899128521E-2</v>
      </c>
      <c r="J752" s="258">
        <f t="shared" si="289"/>
        <v>2.3840528899128521E-2</v>
      </c>
      <c r="K752" s="249">
        <f t="shared" si="290"/>
        <v>430.04137394044869</v>
      </c>
      <c r="L752" s="336">
        <v>0.9350228722161007</v>
      </c>
      <c r="M752" s="258">
        <f t="shared" si="291"/>
        <v>0.9350228722161007</v>
      </c>
      <c r="N752" s="251">
        <f t="shared" si="292"/>
        <v>18.919793332665531</v>
      </c>
      <c r="O752" s="336">
        <v>4.1136598884770781E-2</v>
      </c>
      <c r="P752" s="258">
        <f t="shared" si="293"/>
        <v>4.1136598884770781E-2</v>
      </c>
      <c r="Q752" s="354">
        <v>449.23499999999996</v>
      </c>
      <c r="R752" s="249">
        <f t="shared" si="294"/>
        <v>459.92604749999992</v>
      </c>
      <c r="S752" s="355">
        <v>0.1</v>
      </c>
      <c r="T752" s="355"/>
      <c r="U752" s="315">
        <f t="shared" si="296"/>
        <v>505.91865224999992</v>
      </c>
      <c r="V752" s="315">
        <f t="shared" si="297"/>
        <v>510</v>
      </c>
      <c r="W752" s="316">
        <f t="shared" si="295"/>
        <v>0</v>
      </c>
    </row>
    <row r="753" spans="1:28" x14ac:dyDescent="0.25">
      <c r="A753" s="204" t="s">
        <v>16391</v>
      </c>
      <c r="B753" s="351" t="s">
        <v>20488</v>
      </c>
      <c r="C753" s="352"/>
      <c r="D753" s="353" t="s">
        <v>5</v>
      </c>
      <c r="E753" s="249">
        <f t="shared" si="286"/>
        <v>0</v>
      </c>
      <c r="F753" s="336">
        <v>0</v>
      </c>
      <c r="G753" s="258">
        <f t="shared" si="287"/>
        <v>0</v>
      </c>
      <c r="H753" s="249">
        <f t="shared" si="288"/>
        <v>6.3754472403800333E-2</v>
      </c>
      <c r="I753" s="336">
        <v>2.0358410675334674E-2</v>
      </c>
      <c r="J753" s="258">
        <f t="shared" si="289"/>
        <v>2.0358410675334674E-2</v>
      </c>
      <c r="K753" s="249">
        <f t="shared" si="290"/>
        <v>2.9577818944404557</v>
      </c>
      <c r="L753" s="336">
        <v>0.94449434250982511</v>
      </c>
      <c r="M753" s="258">
        <f t="shared" si="291"/>
        <v>0.94449434250982511</v>
      </c>
      <c r="N753" s="251">
        <f t="shared" si="292"/>
        <v>0.11000771708891038</v>
      </c>
      <c r="O753" s="336">
        <v>3.5128238028028454E-2</v>
      </c>
      <c r="P753" s="258">
        <f t="shared" si="293"/>
        <v>3.5128238028028454E-2</v>
      </c>
      <c r="Q753" s="354">
        <v>3.058561046511628</v>
      </c>
      <c r="R753" s="249">
        <f t="shared" si="294"/>
        <v>3.1316036119186044</v>
      </c>
      <c r="S753" s="355">
        <v>0.1</v>
      </c>
      <c r="T753" s="355"/>
      <c r="U753" s="315">
        <f t="shared" si="296"/>
        <v>3.4447639731104647</v>
      </c>
      <c r="V753" s="315">
        <f t="shared" si="297"/>
        <v>4</v>
      </c>
      <c r="W753" s="316">
        <f t="shared" si="295"/>
        <v>0</v>
      </c>
    </row>
    <row r="754" spans="1:28" x14ac:dyDescent="0.25">
      <c r="A754" s="204" t="s">
        <v>16392</v>
      </c>
      <c r="B754" s="351" t="s">
        <v>20489</v>
      </c>
      <c r="C754" s="352"/>
      <c r="D754" s="353" t="s">
        <v>14859</v>
      </c>
      <c r="E754" s="249">
        <f t="shared" si="286"/>
        <v>0</v>
      </c>
      <c r="F754" s="336">
        <v>0</v>
      </c>
      <c r="G754" s="258">
        <f t="shared" si="287"/>
        <v>0</v>
      </c>
      <c r="H754" s="249">
        <f t="shared" si="288"/>
        <v>10.965977825371025</v>
      </c>
      <c r="I754" s="336">
        <v>2.0358410675334674E-2</v>
      </c>
      <c r="J754" s="258">
        <f t="shared" si="289"/>
        <v>2.0358410675334674E-2</v>
      </c>
      <c r="K754" s="249">
        <f t="shared" si="290"/>
        <v>508.75840119653759</v>
      </c>
      <c r="L754" s="336">
        <v>0.94451335129663672</v>
      </c>
      <c r="M754" s="258">
        <f t="shared" si="291"/>
        <v>0.94451335129663672</v>
      </c>
      <c r="N754" s="251">
        <f t="shared" si="292"/>
        <v>18.921687228091184</v>
      </c>
      <c r="O754" s="336">
        <v>3.5128238028028461E-2</v>
      </c>
      <c r="P754" s="258">
        <f t="shared" si="293"/>
        <v>3.5128238028028461E-2</v>
      </c>
      <c r="Q754" s="354">
        <v>526.07249999999999</v>
      </c>
      <c r="R754" s="249">
        <f t="shared" si="294"/>
        <v>538.64606624999988</v>
      </c>
      <c r="S754" s="355">
        <v>0.1</v>
      </c>
      <c r="T754" s="355"/>
      <c r="U754" s="315">
        <f t="shared" si="296"/>
        <v>592.51067287499984</v>
      </c>
      <c r="V754" s="315">
        <f t="shared" si="297"/>
        <v>595</v>
      </c>
      <c r="W754" s="316">
        <f t="shared" si="295"/>
        <v>0</v>
      </c>
    </row>
    <row r="755" spans="1:28" x14ac:dyDescent="0.25">
      <c r="A755" s="204" t="s">
        <v>16393</v>
      </c>
      <c r="B755" s="351" t="s">
        <v>20490</v>
      </c>
      <c r="C755" s="352"/>
      <c r="D755" s="353" t="s">
        <v>5</v>
      </c>
      <c r="E755" s="249">
        <f t="shared" si="286"/>
        <v>0</v>
      </c>
      <c r="F755" s="336">
        <v>0</v>
      </c>
      <c r="G755" s="258">
        <f t="shared" si="287"/>
        <v>0</v>
      </c>
      <c r="H755" s="249">
        <f t="shared" si="288"/>
        <v>6.3754472403800333E-2</v>
      </c>
      <c r="I755" s="336">
        <v>2.0358410675334674E-2</v>
      </c>
      <c r="J755" s="258">
        <f t="shared" si="289"/>
        <v>2.0358410675334674E-2</v>
      </c>
      <c r="K755" s="249">
        <f t="shared" si="290"/>
        <v>2.9577818944404557</v>
      </c>
      <c r="L755" s="336">
        <v>0.94449434250982511</v>
      </c>
      <c r="M755" s="258">
        <f t="shared" si="291"/>
        <v>0.94449434250982511</v>
      </c>
      <c r="N755" s="251">
        <f t="shared" si="292"/>
        <v>0.11000771708891038</v>
      </c>
      <c r="O755" s="336">
        <v>3.5128238028028454E-2</v>
      </c>
      <c r="P755" s="258">
        <f t="shared" si="293"/>
        <v>3.5128238028028454E-2</v>
      </c>
      <c r="Q755" s="354">
        <v>3.058561046511628</v>
      </c>
      <c r="R755" s="249">
        <f t="shared" si="294"/>
        <v>3.1316036119186044</v>
      </c>
      <c r="S755" s="355">
        <v>0.1</v>
      </c>
      <c r="T755" s="355"/>
      <c r="U755" s="315">
        <f t="shared" si="296"/>
        <v>3.4447639731104647</v>
      </c>
      <c r="V755" s="315">
        <f t="shared" si="297"/>
        <v>4</v>
      </c>
      <c r="W755" s="316">
        <f t="shared" si="295"/>
        <v>0</v>
      </c>
    </row>
    <row r="756" spans="1:28" x14ac:dyDescent="0.25">
      <c r="A756" s="204" t="s">
        <v>16394</v>
      </c>
      <c r="B756" s="351" t="s">
        <v>20491</v>
      </c>
      <c r="C756" s="352"/>
      <c r="D756" s="353" t="s">
        <v>14859</v>
      </c>
      <c r="E756" s="249">
        <f t="shared" si="286"/>
        <v>0</v>
      </c>
      <c r="F756" s="336">
        <v>0</v>
      </c>
      <c r="G756" s="258">
        <f t="shared" si="287"/>
        <v>0</v>
      </c>
      <c r="H756" s="249">
        <f t="shared" si="288"/>
        <v>10.965977825371025</v>
      </c>
      <c r="I756" s="336">
        <v>2.0358410675334674E-2</v>
      </c>
      <c r="J756" s="258">
        <f t="shared" si="289"/>
        <v>2.0358410675334674E-2</v>
      </c>
      <c r="K756" s="249">
        <f t="shared" si="290"/>
        <v>508.75840119653759</v>
      </c>
      <c r="L756" s="336">
        <v>0.94451335129663672</v>
      </c>
      <c r="M756" s="258">
        <f t="shared" si="291"/>
        <v>0.94451335129663672</v>
      </c>
      <c r="N756" s="251">
        <f t="shared" si="292"/>
        <v>18.921687228091184</v>
      </c>
      <c r="O756" s="336">
        <v>3.5128238028028461E-2</v>
      </c>
      <c r="P756" s="258">
        <f t="shared" si="293"/>
        <v>3.5128238028028461E-2</v>
      </c>
      <c r="Q756" s="354">
        <v>526.07249999999999</v>
      </c>
      <c r="R756" s="249">
        <f t="shared" si="294"/>
        <v>538.64606624999988</v>
      </c>
      <c r="S756" s="355">
        <v>0.1</v>
      </c>
      <c r="T756" s="355"/>
      <c r="U756" s="315">
        <f t="shared" si="296"/>
        <v>592.51067287499984</v>
      </c>
      <c r="V756" s="315">
        <f t="shared" si="297"/>
        <v>595</v>
      </c>
      <c r="W756" s="316">
        <f t="shared" si="295"/>
        <v>0</v>
      </c>
    </row>
    <row r="757" spans="1:28" x14ac:dyDescent="0.25">
      <c r="A757" s="204" t="s">
        <v>16395</v>
      </c>
      <c r="B757" s="351" t="s">
        <v>20492</v>
      </c>
      <c r="C757" s="352"/>
      <c r="D757" s="353" t="s">
        <v>5</v>
      </c>
      <c r="E757" s="249">
        <f t="shared" si="286"/>
        <v>0</v>
      </c>
      <c r="F757" s="336">
        <v>0</v>
      </c>
      <c r="G757" s="258">
        <f t="shared" si="287"/>
        <v>0</v>
      </c>
      <c r="H757" s="249">
        <f t="shared" si="288"/>
        <v>6.3756260814121057E-2</v>
      </c>
      <c r="I757" s="336">
        <v>1.9413252127572802E-2</v>
      </c>
      <c r="J757" s="258">
        <f t="shared" si="289"/>
        <v>1.9413252127572802E-2</v>
      </c>
      <c r="K757" s="249">
        <f t="shared" si="290"/>
        <v>3.1103351943479023</v>
      </c>
      <c r="L757" s="336">
        <v>0.94707124536646814</v>
      </c>
      <c r="M757" s="258">
        <f t="shared" si="291"/>
        <v>0.94707124536646814</v>
      </c>
      <c r="N757" s="251">
        <f t="shared" si="292"/>
        <v>0.11001080297338534</v>
      </c>
      <c r="O757" s="336">
        <v>3.3497376220125614E-2</v>
      </c>
      <c r="P757" s="258">
        <f t="shared" si="293"/>
        <v>3.3497376220125614E-2</v>
      </c>
      <c r="Q757" s="354">
        <v>3.2074709302325584</v>
      </c>
      <c r="R757" s="249">
        <f t="shared" si="294"/>
        <v>3.2841617877906977</v>
      </c>
      <c r="S757" s="355">
        <v>0.1</v>
      </c>
      <c r="T757" s="355"/>
      <c r="U757" s="315">
        <f t="shared" si="296"/>
        <v>3.6125779665697673</v>
      </c>
      <c r="V757" s="315">
        <f t="shared" si="297"/>
        <v>4</v>
      </c>
      <c r="W757" s="316">
        <f t="shared" si="295"/>
        <v>0</v>
      </c>
    </row>
    <row r="758" spans="1:28" x14ac:dyDescent="0.25">
      <c r="A758" s="204" t="s">
        <v>16396</v>
      </c>
      <c r="B758" s="351" t="s">
        <v>20493</v>
      </c>
      <c r="C758" s="352"/>
      <c r="D758" s="353" t="s">
        <v>14859</v>
      </c>
      <c r="E758" s="249">
        <f t="shared" si="286"/>
        <v>0</v>
      </c>
      <c r="F758" s="336">
        <v>0</v>
      </c>
      <c r="G758" s="258">
        <f t="shared" si="287"/>
        <v>0</v>
      </c>
      <c r="H758" s="249">
        <f t="shared" si="288"/>
        <v>10.966275748796866</v>
      </c>
      <c r="I758" s="336">
        <v>1.9413252127572798E-2</v>
      </c>
      <c r="J758" s="258">
        <f t="shared" si="289"/>
        <v>1.9413252127572798E-2</v>
      </c>
      <c r="K758" s="249">
        <f t="shared" si="290"/>
        <v>534.9975954591614</v>
      </c>
      <c r="L758" s="336">
        <v>0.94708937165230145</v>
      </c>
      <c r="M758" s="258">
        <f t="shared" si="291"/>
        <v>0.94708937165230145</v>
      </c>
      <c r="N758" s="251">
        <f t="shared" si="292"/>
        <v>18.922201292041652</v>
      </c>
      <c r="O758" s="336">
        <v>3.3497376220125614E-2</v>
      </c>
      <c r="P758" s="258">
        <f t="shared" si="293"/>
        <v>3.3497376220125614E-2</v>
      </c>
      <c r="Q758" s="354">
        <v>551.68500000000006</v>
      </c>
      <c r="R758" s="249">
        <f t="shared" si="294"/>
        <v>564.88607249999995</v>
      </c>
      <c r="S758" s="355">
        <v>0.1</v>
      </c>
      <c r="T758" s="355"/>
      <c r="U758" s="315">
        <f t="shared" si="296"/>
        <v>621.37467974999993</v>
      </c>
      <c r="V758" s="315">
        <f t="shared" si="297"/>
        <v>625</v>
      </c>
      <c r="W758" s="316">
        <f t="shared" si="295"/>
        <v>0</v>
      </c>
    </row>
    <row r="759" spans="1:28" x14ac:dyDescent="0.25">
      <c r="A759" s="204" t="s">
        <v>16397</v>
      </c>
      <c r="B759" s="351" t="s">
        <v>20494</v>
      </c>
      <c r="C759" s="352"/>
      <c r="D759" s="353" t="s">
        <v>5</v>
      </c>
      <c r="E759" s="249">
        <f t="shared" si="286"/>
        <v>0</v>
      </c>
      <c r="F759" s="336">
        <v>0</v>
      </c>
      <c r="G759" s="258">
        <f t="shared" si="287"/>
        <v>0</v>
      </c>
      <c r="H759" s="249">
        <f t="shared" si="288"/>
        <v>6.3763840376546352E-2</v>
      </c>
      <c r="I759" s="336">
        <v>1.5407522496277597E-2</v>
      </c>
      <c r="J759" s="258">
        <f t="shared" si="289"/>
        <v>1.5407522496277597E-2</v>
      </c>
      <c r="K759" s="249">
        <f t="shared" si="290"/>
        <v>3.9646403141314526</v>
      </c>
      <c r="L759" s="336">
        <v>0.95799256238176411</v>
      </c>
      <c r="M759" s="258">
        <f t="shared" si="291"/>
        <v>0.95799256238176411</v>
      </c>
      <c r="N759" s="251">
        <f t="shared" si="292"/>
        <v>0.11002388143404077</v>
      </c>
      <c r="O759" s="336">
        <v>2.658552901318487E-2</v>
      </c>
      <c r="P759" s="258">
        <f t="shared" si="293"/>
        <v>2.658552901318487E-2</v>
      </c>
      <c r="Q759" s="354">
        <v>4.0413662790697673</v>
      </c>
      <c r="R759" s="249">
        <f t="shared" si="294"/>
        <v>4.1384875726744177</v>
      </c>
      <c r="S759" s="355">
        <v>0.1</v>
      </c>
      <c r="T759" s="355"/>
      <c r="U759" s="315">
        <f t="shared" si="296"/>
        <v>4.5523363299418591</v>
      </c>
      <c r="V759" s="315">
        <f t="shared" si="297"/>
        <v>5</v>
      </c>
      <c r="W759" s="316">
        <f t="shared" si="295"/>
        <v>0</v>
      </c>
    </row>
    <row r="760" spans="1:28" x14ac:dyDescent="0.25">
      <c r="A760" s="204" t="s">
        <v>16398</v>
      </c>
      <c r="B760" s="351" t="s">
        <v>20495</v>
      </c>
      <c r="C760" s="352"/>
      <c r="D760" s="353" t="s">
        <v>14859</v>
      </c>
      <c r="E760" s="249">
        <f t="shared" si="286"/>
        <v>0</v>
      </c>
      <c r="F760" s="336">
        <v>0</v>
      </c>
      <c r="G760" s="258">
        <f t="shared" si="287"/>
        <v>0</v>
      </c>
      <c r="H760" s="249">
        <f t="shared" si="288"/>
        <v>10.967538394833948</v>
      </c>
      <c r="I760" s="336">
        <v>1.5407522496277595E-2</v>
      </c>
      <c r="J760" s="258">
        <f t="shared" si="289"/>
        <v>1.5407522496277595E-2</v>
      </c>
      <c r="K760" s="249">
        <f t="shared" si="290"/>
        <v>681.93818912976622</v>
      </c>
      <c r="L760" s="336">
        <v>0.95800694849053747</v>
      </c>
      <c r="M760" s="258">
        <f t="shared" si="291"/>
        <v>0.95800694849053747</v>
      </c>
      <c r="N760" s="251">
        <f t="shared" si="292"/>
        <v>18.924379975399752</v>
      </c>
      <c r="O760" s="336">
        <v>2.658552901318487E-2</v>
      </c>
      <c r="P760" s="258">
        <f t="shared" si="293"/>
        <v>2.658552901318487E-2</v>
      </c>
      <c r="Q760" s="354">
        <v>695.11500000000001</v>
      </c>
      <c r="R760" s="249">
        <f t="shared" si="294"/>
        <v>711.83010749999994</v>
      </c>
      <c r="S760" s="355">
        <v>0.1</v>
      </c>
      <c r="T760" s="355"/>
      <c r="U760" s="315">
        <f t="shared" si="296"/>
        <v>783.01311824999993</v>
      </c>
      <c r="V760" s="315">
        <f t="shared" si="297"/>
        <v>785</v>
      </c>
      <c r="W760" s="316">
        <f t="shared" si="295"/>
        <v>0</v>
      </c>
    </row>
    <row r="761" spans="1:28" x14ac:dyDescent="0.25">
      <c r="A761" s="204" t="s">
        <v>16399</v>
      </c>
      <c r="B761" s="351" t="s">
        <v>20496</v>
      </c>
      <c r="C761" s="352"/>
      <c r="D761" s="353" t="s">
        <v>5</v>
      </c>
      <c r="E761" s="249">
        <f t="shared" si="286"/>
        <v>0</v>
      </c>
      <c r="F761" s="336">
        <v>0</v>
      </c>
      <c r="G761" s="258">
        <f t="shared" si="287"/>
        <v>0</v>
      </c>
      <c r="H761" s="249">
        <f t="shared" si="288"/>
        <v>6.3765653695177518E-2</v>
      </c>
      <c r="I761" s="336">
        <v>1.4449200133564035E-2</v>
      </c>
      <c r="J761" s="258">
        <f t="shared" si="289"/>
        <v>1.4449200133564035E-2</v>
      </c>
      <c r="K761" s="249">
        <f t="shared" si="290"/>
        <v>4.239240086825963</v>
      </c>
      <c r="L761" s="336">
        <v>0.96060535537814484</v>
      </c>
      <c r="M761" s="258">
        <f t="shared" si="291"/>
        <v>0.96060535537814484</v>
      </c>
      <c r="N761" s="251">
        <f t="shared" si="292"/>
        <v>0.11002701029756118</v>
      </c>
      <c r="O761" s="336">
        <v>2.49319531716399E-2</v>
      </c>
      <c r="P761" s="258">
        <f t="shared" si="293"/>
        <v>2.49319531716399E-2</v>
      </c>
      <c r="Q761" s="354">
        <v>4.3094040697674423</v>
      </c>
      <c r="R761" s="249">
        <f t="shared" si="294"/>
        <v>4.4130922892441866</v>
      </c>
      <c r="S761" s="355">
        <v>0.1</v>
      </c>
      <c r="T761" s="355"/>
      <c r="U761" s="315">
        <f t="shared" si="296"/>
        <v>4.8544015181686051</v>
      </c>
      <c r="V761" s="315">
        <f t="shared" si="297"/>
        <v>5</v>
      </c>
      <c r="W761" s="316">
        <f t="shared" si="295"/>
        <v>0</v>
      </c>
    </row>
    <row r="762" spans="1:28" x14ac:dyDescent="0.25">
      <c r="A762" s="204" t="s">
        <v>16400</v>
      </c>
      <c r="B762" s="351" t="s">
        <v>20497</v>
      </c>
      <c r="C762" s="352"/>
      <c r="D762" s="353" t="s">
        <v>14859</v>
      </c>
      <c r="E762" s="249">
        <f t="shared" si="286"/>
        <v>0</v>
      </c>
      <c r="F762" s="336">
        <v>0</v>
      </c>
      <c r="G762" s="258">
        <f t="shared" si="287"/>
        <v>0</v>
      </c>
      <c r="H762" s="249">
        <f t="shared" si="288"/>
        <v>10.9678404676259</v>
      </c>
      <c r="I762" s="336">
        <v>1.4449200133564034E-2</v>
      </c>
      <c r="J762" s="258">
        <f t="shared" si="289"/>
        <v>1.4449200133564034E-2</v>
      </c>
      <c r="K762" s="249">
        <f t="shared" si="290"/>
        <v>729.16937708333342</v>
      </c>
      <c r="L762" s="336">
        <v>0.96061884669479602</v>
      </c>
      <c r="M762" s="258">
        <f t="shared" si="291"/>
        <v>0.96061884669479602</v>
      </c>
      <c r="N762" s="251">
        <f t="shared" si="292"/>
        <v>18.924901199040768</v>
      </c>
      <c r="O762" s="336">
        <v>2.49319531716399E-2</v>
      </c>
      <c r="P762" s="258">
        <f t="shared" si="293"/>
        <v>2.49319531716399E-2</v>
      </c>
      <c r="Q762" s="354">
        <v>741.21750000000009</v>
      </c>
      <c r="R762" s="249">
        <f t="shared" si="294"/>
        <v>759.06211875000008</v>
      </c>
      <c r="S762" s="355">
        <v>0.1</v>
      </c>
      <c r="T762" s="355"/>
      <c r="U762" s="315">
        <f t="shared" si="296"/>
        <v>834.96833062500014</v>
      </c>
      <c r="V762" s="315">
        <f t="shared" si="297"/>
        <v>835</v>
      </c>
      <c r="W762" s="316">
        <f t="shared" si="295"/>
        <v>0</v>
      </c>
    </row>
    <row r="763" spans="1:28" x14ac:dyDescent="0.25">
      <c r="A763" s="204" t="s">
        <v>16401</v>
      </c>
      <c r="B763" s="351" t="s">
        <v>20498</v>
      </c>
      <c r="C763" s="352"/>
      <c r="D763" s="353" t="s">
        <v>5</v>
      </c>
      <c r="E763" s="249">
        <f t="shared" si="286"/>
        <v>0</v>
      </c>
      <c r="F763" s="336">
        <v>0</v>
      </c>
      <c r="G763" s="258">
        <f t="shared" si="287"/>
        <v>0</v>
      </c>
      <c r="H763" s="249">
        <f t="shared" si="288"/>
        <v>6.3772881540454254E-2</v>
      </c>
      <c r="I763" s="336">
        <v>1.0629349808329303E-2</v>
      </c>
      <c r="J763" s="258">
        <f t="shared" si="289"/>
        <v>1.0629349808329303E-2</v>
      </c>
      <c r="K763" s="249">
        <f t="shared" si="290"/>
        <v>5.8258254097256001</v>
      </c>
      <c r="L763" s="336">
        <v>0.97101988661034411</v>
      </c>
      <c r="M763" s="258">
        <f t="shared" si="291"/>
        <v>0.97101988661034411</v>
      </c>
      <c r="N763" s="251">
        <f t="shared" si="292"/>
        <v>0.11003948187372498</v>
      </c>
      <c r="O763" s="336">
        <v>1.8340838884960364E-2</v>
      </c>
      <c r="P763" s="258">
        <f t="shared" si="293"/>
        <v>1.8340838884960364E-2</v>
      </c>
      <c r="Q763" s="354">
        <v>5.858066860465116</v>
      </c>
      <c r="R763" s="249">
        <f t="shared" si="294"/>
        <v>5.9996973183139533</v>
      </c>
      <c r="S763" s="355">
        <v>0.1</v>
      </c>
      <c r="T763" s="355"/>
      <c r="U763" s="315">
        <f t="shared" si="296"/>
        <v>6.5996670501453485</v>
      </c>
      <c r="V763" s="315">
        <f t="shared" si="297"/>
        <v>7</v>
      </c>
      <c r="W763" s="316">
        <f t="shared" si="295"/>
        <v>0</v>
      </c>
    </row>
    <row r="764" spans="1:28" x14ac:dyDescent="0.25">
      <c r="A764" s="204" t="s">
        <v>16402</v>
      </c>
      <c r="B764" s="351" t="s">
        <v>20499</v>
      </c>
      <c r="C764" s="352"/>
      <c r="D764" s="353" t="s">
        <v>14859</v>
      </c>
      <c r="E764" s="249">
        <f t="shared" si="286"/>
        <v>0</v>
      </c>
      <c r="F764" s="336">
        <v>0</v>
      </c>
      <c r="G764" s="258">
        <f t="shared" si="287"/>
        <v>0</v>
      </c>
      <c r="H764" s="249">
        <f t="shared" si="288"/>
        <v>10.969044522646918</v>
      </c>
      <c r="I764" s="336">
        <v>1.0629349808329303E-2</v>
      </c>
      <c r="J764" s="258">
        <f t="shared" si="289"/>
        <v>1.0629349808329303E-2</v>
      </c>
      <c r="K764" s="249">
        <f t="shared" si="290"/>
        <v>1002.062160443178</v>
      </c>
      <c r="L764" s="336">
        <v>0.97102981130671029</v>
      </c>
      <c r="M764" s="258">
        <f t="shared" si="291"/>
        <v>0.97102981130671029</v>
      </c>
      <c r="N764" s="251">
        <f t="shared" si="292"/>
        <v>18.926978784175073</v>
      </c>
      <c r="O764" s="336">
        <v>1.8340838884960364E-2</v>
      </c>
      <c r="P764" s="258">
        <f t="shared" si="293"/>
        <v>1.8340838884960364E-2</v>
      </c>
      <c r="Q764" s="354">
        <v>1007.5875</v>
      </c>
      <c r="R764" s="249">
        <f t="shared" si="294"/>
        <v>1031.95818375</v>
      </c>
      <c r="S764" s="355">
        <v>0.1</v>
      </c>
      <c r="T764" s="355"/>
      <c r="U764" s="315">
        <f t="shared" si="296"/>
        <v>1135.154002125</v>
      </c>
      <c r="V764" s="315">
        <f t="shared" si="297"/>
        <v>1150</v>
      </c>
      <c r="W764" s="316">
        <f t="shared" si="295"/>
        <v>0</v>
      </c>
    </row>
    <row r="765" spans="1:28" x14ac:dyDescent="0.25">
      <c r="A765" s="204" t="s">
        <v>16403</v>
      </c>
      <c r="B765" s="351" t="s">
        <v>20500</v>
      </c>
      <c r="C765" s="352"/>
      <c r="D765" s="353" t="s">
        <v>5</v>
      </c>
      <c r="E765" s="249">
        <f t="shared" si="286"/>
        <v>0</v>
      </c>
      <c r="F765" s="336">
        <v>0</v>
      </c>
      <c r="G765" s="258">
        <f t="shared" si="287"/>
        <v>0</v>
      </c>
      <c r="H765" s="249">
        <f t="shared" si="288"/>
        <v>6.3773183685789214E-2</v>
      </c>
      <c r="I765" s="336">
        <v>1.0469668753757497E-2</v>
      </c>
      <c r="J765" s="258">
        <f t="shared" si="289"/>
        <v>1.0469668753757497E-2</v>
      </c>
      <c r="K765" s="249">
        <f t="shared" si="290"/>
        <v>5.9173594914725927</v>
      </c>
      <c r="L765" s="336">
        <v>0.97145524485436807</v>
      </c>
      <c r="M765" s="258">
        <f t="shared" si="291"/>
        <v>0.97145524485436807</v>
      </c>
      <c r="N765" s="251">
        <f t="shared" si="292"/>
        <v>0.11004000322253825</v>
      </c>
      <c r="O765" s="336">
        <v>1.8065310790797248E-2</v>
      </c>
      <c r="P765" s="258">
        <f t="shared" si="293"/>
        <v>1.8065310790797248E-2</v>
      </c>
      <c r="Q765" s="354">
        <v>5.9474127906976744</v>
      </c>
      <c r="R765" s="249">
        <f t="shared" si="294"/>
        <v>6.091232223837209</v>
      </c>
      <c r="S765" s="355">
        <v>0.1</v>
      </c>
      <c r="T765" s="355"/>
      <c r="U765" s="315">
        <f t="shared" si="296"/>
        <v>6.7003554462209296</v>
      </c>
      <c r="V765" s="315">
        <f t="shared" si="297"/>
        <v>7</v>
      </c>
      <c r="W765" s="316">
        <f t="shared" si="295"/>
        <v>0</v>
      </c>
    </row>
    <row r="766" spans="1:28" s="284" customFormat="1" ht="14.4" x14ac:dyDescent="0.3">
      <c r="A766" s="204" t="s">
        <v>16404</v>
      </c>
      <c r="B766" s="351" t="s">
        <v>20501</v>
      </c>
      <c r="C766" s="352"/>
      <c r="D766" s="353" t="s">
        <v>14859</v>
      </c>
      <c r="E766" s="249">
        <f t="shared" si="286"/>
        <v>0</v>
      </c>
      <c r="F766" s="336">
        <v>0</v>
      </c>
      <c r="G766" s="258">
        <f t="shared" si="287"/>
        <v>0</v>
      </c>
      <c r="H766" s="249">
        <f t="shared" si="288"/>
        <v>10.969094855712129</v>
      </c>
      <c r="I766" s="336">
        <v>1.0469668753757497E-2</v>
      </c>
      <c r="J766" s="258">
        <f t="shared" si="289"/>
        <v>1.0469668753757497E-2</v>
      </c>
      <c r="K766" s="249">
        <f t="shared" si="290"/>
        <v>1017.8060270109023</v>
      </c>
      <c r="L766" s="336">
        <v>0.97146502045544525</v>
      </c>
      <c r="M766" s="258">
        <f t="shared" si="291"/>
        <v>0.97146502045544525</v>
      </c>
      <c r="N766" s="251">
        <f t="shared" si="292"/>
        <v>18.927065633385631</v>
      </c>
      <c r="O766" s="336">
        <v>1.8065310790797248E-2</v>
      </c>
      <c r="P766" s="258">
        <f t="shared" si="293"/>
        <v>1.8065310790797248E-2</v>
      </c>
      <c r="Q766" s="354">
        <v>1022.955</v>
      </c>
      <c r="R766" s="249">
        <f t="shared" si="294"/>
        <v>1047.7021875</v>
      </c>
      <c r="S766" s="355">
        <v>0.1</v>
      </c>
      <c r="T766" s="355"/>
      <c r="U766" s="315">
        <f t="shared" si="296"/>
        <v>1152.4724062499999</v>
      </c>
      <c r="V766" s="315">
        <f t="shared" si="297"/>
        <v>1175</v>
      </c>
      <c r="W766" s="316">
        <f t="shared" si="295"/>
        <v>0</v>
      </c>
      <c r="X766" s="185"/>
      <c r="Y766" s="185"/>
      <c r="Z766" s="185"/>
      <c r="AA766" s="206"/>
      <c r="AB766" s="283"/>
    </row>
    <row r="767" spans="1:28" s="284" customFormat="1" ht="14.4" x14ac:dyDescent="0.3">
      <c r="A767" s="204" t="s">
        <v>16405</v>
      </c>
      <c r="B767" s="351" t="s">
        <v>20502</v>
      </c>
      <c r="C767" s="352"/>
      <c r="D767" s="353" t="s">
        <v>5</v>
      </c>
      <c r="E767" s="249">
        <f t="shared" si="286"/>
        <v>0</v>
      </c>
      <c r="F767" s="336">
        <v>0</v>
      </c>
      <c r="G767" s="258">
        <f t="shared" si="287"/>
        <v>0</v>
      </c>
      <c r="H767" s="249">
        <f t="shared" si="288"/>
        <v>6.3773183685789214E-2</v>
      </c>
      <c r="I767" s="336">
        <v>1.0469668753757497E-2</v>
      </c>
      <c r="J767" s="258">
        <f t="shared" si="289"/>
        <v>1.0469668753757497E-2</v>
      </c>
      <c r="K767" s="249">
        <f t="shared" si="290"/>
        <v>5.9173594914725927</v>
      </c>
      <c r="L767" s="336">
        <v>0.97145524485436807</v>
      </c>
      <c r="M767" s="258">
        <f t="shared" si="291"/>
        <v>0.97145524485436807</v>
      </c>
      <c r="N767" s="251">
        <f t="shared" si="292"/>
        <v>0.11004000322253825</v>
      </c>
      <c r="O767" s="336">
        <v>1.8065310790797248E-2</v>
      </c>
      <c r="P767" s="258">
        <f t="shared" si="293"/>
        <v>1.8065310790797248E-2</v>
      </c>
      <c r="Q767" s="354">
        <v>5.9474127906976744</v>
      </c>
      <c r="R767" s="249">
        <f t="shared" si="294"/>
        <v>6.091232223837209</v>
      </c>
      <c r="S767" s="355">
        <v>0.1</v>
      </c>
      <c r="T767" s="355"/>
      <c r="U767" s="315">
        <f t="shared" si="296"/>
        <v>6.7003554462209296</v>
      </c>
      <c r="V767" s="315">
        <f t="shared" si="297"/>
        <v>7</v>
      </c>
      <c r="W767" s="316">
        <f t="shared" si="295"/>
        <v>0</v>
      </c>
      <c r="X767" s="185"/>
      <c r="Y767" s="185"/>
      <c r="Z767" s="185"/>
      <c r="AA767" s="206"/>
      <c r="AB767" s="283"/>
    </row>
    <row r="768" spans="1:28" s="284" customFormat="1" ht="14.4" x14ac:dyDescent="0.3">
      <c r="A768" s="204" t="s">
        <v>16406</v>
      </c>
      <c r="B768" s="351" t="s">
        <v>20503</v>
      </c>
      <c r="C768" s="352"/>
      <c r="D768" s="353" t="s">
        <v>14859</v>
      </c>
      <c r="E768" s="249">
        <f t="shared" si="286"/>
        <v>0</v>
      </c>
      <c r="F768" s="336">
        <v>0</v>
      </c>
      <c r="G768" s="258">
        <f t="shared" si="287"/>
        <v>0</v>
      </c>
      <c r="H768" s="249">
        <f t="shared" si="288"/>
        <v>10.969094855712129</v>
      </c>
      <c r="I768" s="336">
        <v>1.0469668753757497E-2</v>
      </c>
      <c r="J768" s="258">
        <f t="shared" si="289"/>
        <v>1.0469668753757497E-2</v>
      </c>
      <c r="K768" s="249">
        <f t="shared" si="290"/>
        <v>1017.8060270109023</v>
      </c>
      <c r="L768" s="336">
        <v>0.97146502045544525</v>
      </c>
      <c r="M768" s="258">
        <f t="shared" si="291"/>
        <v>0.97146502045544525</v>
      </c>
      <c r="N768" s="251">
        <f t="shared" si="292"/>
        <v>18.927065633385631</v>
      </c>
      <c r="O768" s="336">
        <v>1.8065310790797248E-2</v>
      </c>
      <c r="P768" s="258">
        <f t="shared" si="293"/>
        <v>1.8065310790797248E-2</v>
      </c>
      <c r="Q768" s="354">
        <v>1022.955</v>
      </c>
      <c r="R768" s="249">
        <f t="shared" si="294"/>
        <v>1047.7021875</v>
      </c>
      <c r="S768" s="355">
        <v>0.1</v>
      </c>
      <c r="T768" s="355"/>
      <c r="U768" s="315">
        <f t="shared" si="296"/>
        <v>1152.4724062499999</v>
      </c>
      <c r="V768" s="315">
        <f t="shared" si="297"/>
        <v>1175</v>
      </c>
      <c r="W768" s="316">
        <f t="shared" si="295"/>
        <v>0</v>
      </c>
      <c r="X768" s="185"/>
      <c r="Y768" s="185"/>
      <c r="Z768" s="185"/>
      <c r="AA768" s="206"/>
      <c r="AB768" s="283"/>
    </row>
    <row r="769" spans="1:28" s="284" customFormat="1" ht="14.4" x14ac:dyDescent="0.3">
      <c r="A769" s="204" t="s">
        <v>16407</v>
      </c>
      <c r="B769" s="351" t="s">
        <v>20504</v>
      </c>
      <c r="C769" s="352"/>
      <c r="D769" s="353" t="s">
        <v>5</v>
      </c>
      <c r="E769" s="249">
        <f t="shared" si="286"/>
        <v>0</v>
      </c>
      <c r="F769" s="336">
        <v>0</v>
      </c>
      <c r="G769" s="258">
        <f t="shared" si="287"/>
        <v>0</v>
      </c>
      <c r="H769" s="249">
        <f t="shared" si="288"/>
        <v>6.3773761536699267E-2</v>
      </c>
      <c r="I769" s="336">
        <v>1.0164279816644365E-2</v>
      </c>
      <c r="J769" s="258">
        <f t="shared" si="289"/>
        <v>1.0164279816644365E-2</v>
      </c>
      <c r="K769" s="249">
        <f t="shared" si="290"/>
        <v>6.1004277270525691</v>
      </c>
      <c r="L769" s="336">
        <v>0.97228786455219263</v>
      </c>
      <c r="M769" s="258">
        <f t="shared" si="291"/>
        <v>0.97228786455219263</v>
      </c>
      <c r="N769" s="251">
        <f t="shared" si="292"/>
        <v>0.11004100029861832</v>
      </c>
      <c r="O769" s="336">
        <v>1.7538365173817724E-2</v>
      </c>
      <c r="P769" s="258">
        <f t="shared" si="293"/>
        <v>1.7538365173817724E-2</v>
      </c>
      <c r="Q769" s="354">
        <v>6.126104651162791</v>
      </c>
      <c r="R769" s="249">
        <f t="shared" si="294"/>
        <v>6.2743020348837204</v>
      </c>
      <c r="S769" s="355">
        <v>0.1</v>
      </c>
      <c r="T769" s="355"/>
      <c r="U769" s="315">
        <f t="shared" si="296"/>
        <v>6.9017322383720927</v>
      </c>
      <c r="V769" s="315">
        <f t="shared" si="297"/>
        <v>7</v>
      </c>
      <c r="W769" s="316">
        <f t="shared" si="295"/>
        <v>0</v>
      </c>
      <c r="X769" s="185"/>
      <c r="Y769" s="185"/>
      <c r="Z769" s="185"/>
      <c r="AA769" s="206"/>
      <c r="AB769" s="283"/>
    </row>
    <row r="770" spans="1:28" s="284" customFormat="1" ht="14.4" x14ac:dyDescent="0.3">
      <c r="A770" s="204" t="s">
        <v>16408</v>
      </c>
      <c r="B770" s="351" t="s">
        <v>20505</v>
      </c>
      <c r="C770" s="352"/>
      <c r="D770" s="353" t="s">
        <v>14859</v>
      </c>
      <c r="E770" s="249">
        <f t="shared" si="286"/>
        <v>0</v>
      </c>
      <c r="F770" s="336">
        <v>0</v>
      </c>
      <c r="G770" s="258">
        <f t="shared" si="287"/>
        <v>0</v>
      </c>
      <c r="H770" s="249">
        <f t="shared" si="288"/>
        <v>10.969191117358998</v>
      </c>
      <c r="I770" s="336">
        <v>1.0164279816644365E-2</v>
      </c>
      <c r="J770" s="258">
        <f t="shared" si="289"/>
        <v>1.0164279816644365E-2</v>
      </c>
      <c r="K770" s="249">
        <f t="shared" si="290"/>
        <v>1049.2937721507276</v>
      </c>
      <c r="L770" s="336">
        <v>0.97229735500953784</v>
      </c>
      <c r="M770" s="258">
        <f t="shared" si="291"/>
        <v>0.97229735500953784</v>
      </c>
      <c r="N770" s="251">
        <f t="shared" si="292"/>
        <v>18.927231731913562</v>
      </c>
      <c r="O770" s="336">
        <v>1.7538365173817724E-2</v>
      </c>
      <c r="P770" s="258">
        <f t="shared" si="293"/>
        <v>1.7538365173817724E-2</v>
      </c>
      <c r="Q770" s="354">
        <v>1053.69</v>
      </c>
      <c r="R770" s="249">
        <f t="shared" si="294"/>
        <v>1079.1901950000001</v>
      </c>
      <c r="S770" s="355">
        <v>0.1</v>
      </c>
      <c r="T770" s="355"/>
      <c r="U770" s="315">
        <f t="shared" si="296"/>
        <v>1187.1092145000002</v>
      </c>
      <c r="V770" s="315">
        <f t="shared" si="297"/>
        <v>1200</v>
      </c>
      <c r="W770" s="316">
        <f t="shared" si="295"/>
        <v>0</v>
      </c>
      <c r="X770" s="185"/>
      <c r="Y770" s="185"/>
      <c r="Z770" s="185"/>
      <c r="AA770" s="206"/>
      <c r="AB770" s="283"/>
    </row>
    <row r="771" spans="1:28" s="284" customFormat="1" ht="14.4" x14ac:dyDescent="0.3">
      <c r="A771" s="204" t="s">
        <v>16409</v>
      </c>
      <c r="B771" s="351" t="s">
        <v>20506</v>
      </c>
      <c r="C771" s="352"/>
      <c r="D771" s="353" t="s">
        <v>5</v>
      </c>
      <c r="E771" s="249">
        <f t="shared" ref="E771:E834" si="298">R771*G771</f>
        <v>0</v>
      </c>
      <c r="F771" s="336">
        <v>0</v>
      </c>
      <c r="G771" s="258">
        <f t="shared" ref="G771:G834" si="299">F771</f>
        <v>0</v>
      </c>
      <c r="H771" s="249">
        <f t="shared" ref="H771:H834" si="300">R771*J771</f>
        <v>6.3773761536699267E-2</v>
      </c>
      <c r="I771" s="336">
        <v>1.0164279816644365E-2</v>
      </c>
      <c r="J771" s="258">
        <f t="shared" ref="J771:J834" si="301">I771</f>
        <v>1.0164279816644365E-2</v>
      </c>
      <c r="K771" s="249">
        <f t="shared" ref="K771:K834" si="302">R771*M771</f>
        <v>6.1004277270525691</v>
      </c>
      <c r="L771" s="336">
        <v>0.97228786455219263</v>
      </c>
      <c r="M771" s="258">
        <f t="shared" ref="M771:M834" si="303">L771</f>
        <v>0.97228786455219263</v>
      </c>
      <c r="N771" s="251">
        <f t="shared" ref="N771:N834" si="304">P771*R771</f>
        <v>0.11004100029861832</v>
      </c>
      <c r="O771" s="336">
        <v>1.7538365173817724E-2</v>
      </c>
      <c r="P771" s="258">
        <f t="shared" ref="P771:P834" si="305">O771</f>
        <v>1.7538365173817724E-2</v>
      </c>
      <c r="Q771" s="354">
        <v>6.126104651162791</v>
      </c>
      <c r="R771" s="249">
        <f t="shared" ref="R771:R834" si="306">SUM(F771*Q771*1.0235,I771*Q771*1.0175,L771*Q771*1.0245,O771*Q771*1.0115)</f>
        <v>6.2743020348837204</v>
      </c>
      <c r="S771" s="355">
        <v>0.1</v>
      </c>
      <c r="T771" s="355"/>
      <c r="U771" s="315">
        <f t="shared" si="296"/>
        <v>6.9017322383720927</v>
      </c>
      <c r="V771" s="315">
        <f t="shared" si="297"/>
        <v>7</v>
      </c>
      <c r="W771" s="316">
        <f t="shared" si="295"/>
        <v>0</v>
      </c>
      <c r="X771" s="185"/>
      <c r="Y771" s="185"/>
      <c r="Z771" s="185"/>
      <c r="AA771" s="206"/>
      <c r="AB771" s="283"/>
    </row>
    <row r="772" spans="1:28" s="284" customFormat="1" ht="14.4" x14ac:dyDescent="0.3">
      <c r="A772" s="204" t="s">
        <v>16410</v>
      </c>
      <c r="B772" s="351" t="s">
        <v>20507</v>
      </c>
      <c r="C772" s="352"/>
      <c r="D772" s="353" t="s">
        <v>14859</v>
      </c>
      <c r="E772" s="249">
        <f t="shared" si="298"/>
        <v>0</v>
      </c>
      <c r="F772" s="336">
        <v>0</v>
      </c>
      <c r="G772" s="258">
        <f t="shared" si="299"/>
        <v>0</v>
      </c>
      <c r="H772" s="249">
        <f t="shared" si="300"/>
        <v>10.969191117358998</v>
      </c>
      <c r="I772" s="336">
        <v>1.0164279816644365E-2</v>
      </c>
      <c r="J772" s="258">
        <f t="shared" si="301"/>
        <v>1.0164279816644365E-2</v>
      </c>
      <c r="K772" s="249">
        <f t="shared" si="302"/>
        <v>1049.2937721507276</v>
      </c>
      <c r="L772" s="336">
        <v>0.97229735500953784</v>
      </c>
      <c r="M772" s="258">
        <f t="shared" si="303"/>
        <v>0.97229735500953784</v>
      </c>
      <c r="N772" s="251">
        <f t="shared" si="304"/>
        <v>18.927231731913562</v>
      </c>
      <c r="O772" s="336">
        <v>1.7538365173817724E-2</v>
      </c>
      <c r="P772" s="258">
        <f t="shared" si="305"/>
        <v>1.7538365173817724E-2</v>
      </c>
      <c r="Q772" s="354">
        <v>1053.69</v>
      </c>
      <c r="R772" s="249">
        <f t="shared" si="306"/>
        <v>1079.1901950000001</v>
      </c>
      <c r="S772" s="355">
        <v>0.1</v>
      </c>
      <c r="T772" s="355"/>
      <c r="U772" s="315">
        <f t="shared" si="296"/>
        <v>1187.1092145000002</v>
      </c>
      <c r="V772" s="315">
        <f t="shared" si="297"/>
        <v>1200</v>
      </c>
      <c r="W772" s="316">
        <f t="shared" si="295"/>
        <v>0</v>
      </c>
      <c r="X772" s="185"/>
      <c r="Y772" s="185"/>
      <c r="Z772" s="185"/>
      <c r="AA772" s="206"/>
      <c r="AB772" s="283"/>
    </row>
    <row r="773" spans="1:28" s="284" customFormat="1" ht="14.4" x14ac:dyDescent="0.3">
      <c r="A773" s="204" t="s">
        <v>16411</v>
      </c>
      <c r="B773" s="351" t="s">
        <v>20508</v>
      </c>
      <c r="C773" s="352"/>
      <c r="D773" s="353" t="s">
        <v>5</v>
      </c>
      <c r="E773" s="249">
        <f t="shared" si="298"/>
        <v>0</v>
      </c>
      <c r="F773" s="336">
        <v>0</v>
      </c>
      <c r="G773" s="258">
        <f t="shared" si="299"/>
        <v>0</v>
      </c>
      <c r="H773" s="249">
        <f t="shared" si="300"/>
        <v>6.3774653182176802E-2</v>
      </c>
      <c r="I773" s="336">
        <v>9.6930533117932163E-3</v>
      </c>
      <c r="J773" s="258">
        <f t="shared" si="301"/>
        <v>9.6930533117932163E-3</v>
      </c>
      <c r="K773" s="249">
        <f t="shared" si="302"/>
        <v>6.4055416477932123</v>
      </c>
      <c r="L773" s="336">
        <v>0.97357262775869624</v>
      </c>
      <c r="M773" s="258">
        <f t="shared" si="303"/>
        <v>0.97357262775869624</v>
      </c>
      <c r="N773" s="251">
        <f t="shared" si="304"/>
        <v>0.11004253882414819</v>
      </c>
      <c r="O773" s="336">
        <v>1.6725268459564763E-2</v>
      </c>
      <c r="P773" s="258">
        <f t="shared" si="305"/>
        <v>1.6725268459564763E-2</v>
      </c>
      <c r="Q773" s="354">
        <v>6.4239244186046509</v>
      </c>
      <c r="R773" s="249">
        <f t="shared" si="306"/>
        <v>6.5794183866279061</v>
      </c>
      <c r="S773" s="355">
        <v>0.1</v>
      </c>
      <c r="T773" s="355"/>
      <c r="U773" s="315">
        <f t="shared" si="296"/>
        <v>7.237360225290697</v>
      </c>
      <c r="V773" s="315">
        <f t="shared" si="297"/>
        <v>8</v>
      </c>
      <c r="W773" s="316">
        <f t="shared" si="295"/>
        <v>0</v>
      </c>
      <c r="X773" s="185"/>
      <c r="Y773" s="185"/>
      <c r="Z773" s="185"/>
      <c r="AA773" s="206"/>
      <c r="AB773" s="283"/>
    </row>
    <row r="774" spans="1:28" x14ac:dyDescent="0.25">
      <c r="A774" s="204" t="s">
        <v>16412</v>
      </c>
      <c r="B774" s="351" t="s">
        <v>20509</v>
      </c>
      <c r="C774" s="352"/>
      <c r="D774" s="353" t="s">
        <v>14859</v>
      </c>
      <c r="E774" s="249">
        <f t="shared" si="298"/>
        <v>0</v>
      </c>
      <c r="F774" s="336">
        <v>0</v>
      </c>
      <c r="G774" s="258">
        <f t="shared" si="299"/>
        <v>0</v>
      </c>
      <c r="H774" s="249">
        <f t="shared" si="300"/>
        <v>10.969339652665592</v>
      </c>
      <c r="I774" s="336">
        <v>9.6930533117932163E-3</v>
      </c>
      <c r="J774" s="258">
        <f t="shared" si="301"/>
        <v>9.6930533117932163E-3</v>
      </c>
      <c r="K774" s="249">
        <f t="shared" si="302"/>
        <v>1101.7733798192055</v>
      </c>
      <c r="L774" s="336">
        <v>0.97358167822864194</v>
      </c>
      <c r="M774" s="258">
        <f t="shared" si="303"/>
        <v>0.97358167822864194</v>
      </c>
      <c r="N774" s="251">
        <f t="shared" si="304"/>
        <v>18.927488028128863</v>
      </c>
      <c r="O774" s="336">
        <v>1.6725268459564763E-2</v>
      </c>
      <c r="P774" s="258">
        <f t="shared" si="305"/>
        <v>1.6725268459564763E-2</v>
      </c>
      <c r="Q774" s="354">
        <v>1104.915</v>
      </c>
      <c r="R774" s="249">
        <f t="shared" si="306"/>
        <v>1131.6702075000001</v>
      </c>
      <c r="S774" s="355">
        <v>0.1</v>
      </c>
      <c r="T774" s="355"/>
      <c r="U774" s="315">
        <f t="shared" si="296"/>
        <v>1244.83722825</v>
      </c>
      <c r="V774" s="315">
        <f t="shared" si="297"/>
        <v>1250</v>
      </c>
      <c r="W774" s="316">
        <f t="shared" si="295"/>
        <v>0</v>
      </c>
    </row>
    <row r="775" spans="1:28" s="284" customFormat="1" ht="14.4" x14ac:dyDescent="0.3">
      <c r="A775" s="204" t="s">
        <v>16413</v>
      </c>
      <c r="B775" s="351" t="s">
        <v>20510</v>
      </c>
      <c r="C775" s="352"/>
      <c r="D775" s="353" t="s">
        <v>5</v>
      </c>
      <c r="E775" s="249">
        <f t="shared" si="298"/>
        <v>0</v>
      </c>
      <c r="F775" s="336">
        <v>0</v>
      </c>
      <c r="G775" s="258">
        <f t="shared" si="299"/>
        <v>0</v>
      </c>
      <c r="H775" s="249">
        <f t="shared" si="300"/>
        <v>6.3775465815528495E-2</v>
      </c>
      <c r="I775" s="336">
        <v>9.2635839950179037E-3</v>
      </c>
      <c r="J775" s="258">
        <f t="shared" si="301"/>
        <v>9.2635839950179037E-3</v>
      </c>
      <c r="K775" s="249">
        <f t="shared" si="302"/>
        <v>6.7106557839544045</v>
      </c>
      <c r="L775" s="336">
        <v>0.97474354316951228</v>
      </c>
      <c r="M775" s="258">
        <f t="shared" si="303"/>
        <v>0.97474354316951228</v>
      </c>
      <c r="N775" s="251">
        <f t="shared" si="304"/>
        <v>0.11004394101502954</v>
      </c>
      <c r="O775" s="336">
        <v>1.5984223363952461E-2</v>
      </c>
      <c r="P775" s="258">
        <f t="shared" si="305"/>
        <v>1.5984223363952461E-2</v>
      </c>
      <c r="Q775" s="354">
        <v>6.7217441860465126</v>
      </c>
      <c r="R775" s="249">
        <f t="shared" si="306"/>
        <v>6.8845347383720927</v>
      </c>
      <c r="S775" s="355">
        <v>0.1</v>
      </c>
      <c r="T775" s="355"/>
      <c r="U775" s="315">
        <f t="shared" si="296"/>
        <v>7.5729882122093022</v>
      </c>
      <c r="V775" s="315">
        <f t="shared" si="297"/>
        <v>8</v>
      </c>
      <c r="W775" s="316">
        <f t="shared" si="295"/>
        <v>0</v>
      </c>
      <c r="X775" s="185"/>
      <c r="Y775" s="185"/>
      <c r="Z775" s="185"/>
      <c r="AA775" s="206"/>
      <c r="AB775" s="283"/>
    </row>
    <row r="776" spans="1:28" s="284" customFormat="1" ht="14.4" x14ac:dyDescent="0.3">
      <c r="A776" s="204" t="s">
        <v>16414</v>
      </c>
      <c r="B776" s="351" t="s">
        <v>20511</v>
      </c>
      <c r="C776" s="352"/>
      <c r="D776" s="353" t="s">
        <v>14859</v>
      </c>
      <c r="E776" s="249">
        <f t="shared" si="298"/>
        <v>0</v>
      </c>
      <c r="F776" s="336">
        <v>0</v>
      </c>
      <c r="G776" s="258">
        <f t="shared" si="299"/>
        <v>0</v>
      </c>
      <c r="H776" s="249">
        <f t="shared" si="300"/>
        <v>10.969475025688931</v>
      </c>
      <c r="I776" s="336">
        <v>9.2635839950179037E-3</v>
      </c>
      <c r="J776" s="258">
        <f t="shared" si="301"/>
        <v>9.2635839950179037E-3</v>
      </c>
      <c r="K776" s="249">
        <f t="shared" si="302"/>
        <v>1154.2530233613579</v>
      </c>
      <c r="L776" s="336">
        <v>0.97475219264102964</v>
      </c>
      <c r="M776" s="258">
        <f t="shared" si="303"/>
        <v>0.97475219264102964</v>
      </c>
      <c r="N776" s="251">
        <f t="shared" si="304"/>
        <v>18.927721612953452</v>
      </c>
      <c r="O776" s="336">
        <v>1.5984223363952461E-2</v>
      </c>
      <c r="P776" s="258">
        <f t="shared" si="305"/>
        <v>1.5984223363952461E-2</v>
      </c>
      <c r="Q776" s="354">
        <v>1156.1400000000001</v>
      </c>
      <c r="R776" s="249">
        <f t="shared" si="306"/>
        <v>1184.1502200000002</v>
      </c>
      <c r="S776" s="355">
        <v>0.1</v>
      </c>
      <c r="T776" s="355"/>
      <c r="U776" s="315">
        <f t="shared" si="296"/>
        <v>1302.5652420000001</v>
      </c>
      <c r="V776" s="315">
        <f t="shared" si="297"/>
        <v>1325</v>
      </c>
      <c r="W776" s="316">
        <f t="shared" si="295"/>
        <v>0</v>
      </c>
      <c r="X776" s="185"/>
      <c r="Y776" s="185"/>
      <c r="Z776" s="185"/>
      <c r="AA776" s="206"/>
      <c r="AB776" s="283"/>
    </row>
    <row r="777" spans="1:28" s="284" customFormat="1" ht="14.4" x14ac:dyDescent="0.3">
      <c r="A777" s="204" t="s">
        <v>16415</v>
      </c>
      <c r="B777" s="351" t="s">
        <v>20512</v>
      </c>
      <c r="C777" s="352"/>
      <c r="D777" s="353" t="s">
        <v>5</v>
      </c>
      <c r="E777" s="249">
        <f t="shared" si="298"/>
        <v>0</v>
      </c>
      <c r="F777" s="336">
        <v>0</v>
      </c>
      <c r="G777" s="258">
        <f t="shared" si="299"/>
        <v>0</v>
      </c>
      <c r="H777" s="249">
        <f t="shared" si="300"/>
        <v>6.3775465815528495E-2</v>
      </c>
      <c r="I777" s="336">
        <v>9.2635839950179037E-3</v>
      </c>
      <c r="J777" s="258">
        <f t="shared" si="301"/>
        <v>9.2635839950179037E-3</v>
      </c>
      <c r="K777" s="249">
        <f t="shared" si="302"/>
        <v>6.7106557839544045</v>
      </c>
      <c r="L777" s="336">
        <v>0.97474354316951228</v>
      </c>
      <c r="M777" s="258">
        <f t="shared" si="303"/>
        <v>0.97474354316951228</v>
      </c>
      <c r="N777" s="251">
        <f t="shared" si="304"/>
        <v>0.11004394101502954</v>
      </c>
      <c r="O777" s="336">
        <v>1.5984223363952461E-2</v>
      </c>
      <c r="P777" s="258">
        <f t="shared" si="305"/>
        <v>1.5984223363952461E-2</v>
      </c>
      <c r="Q777" s="354">
        <v>6.7217441860465126</v>
      </c>
      <c r="R777" s="249">
        <f t="shared" si="306"/>
        <v>6.8845347383720927</v>
      </c>
      <c r="S777" s="355">
        <v>0.1</v>
      </c>
      <c r="T777" s="355"/>
      <c r="U777" s="315">
        <f t="shared" si="296"/>
        <v>7.5729882122093022</v>
      </c>
      <c r="V777" s="315">
        <f t="shared" si="297"/>
        <v>8</v>
      </c>
      <c r="W777" s="316">
        <f t="shared" si="295"/>
        <v>0</v>
      </c>
      <c r="X777" s="185"/>
      <c r="Y777" s="185"/>
      <c r="Z777" s="185"/>
      <c r="AA777" s="206"/>
      <c r="AB777" s="283"/>
    </row>
    <row r="778" spans="1:28" x14ac:dyDescent="0.25">
      <c r="A778" s="204" t="s">
        <v>16416</v>
      </c>
      <c r="B778" s="351" t="s">
        <v>20513</v>
      </c>
      <c r="C778" s="352"/>
      <c r="D778" s="353" t="s">
        <v>14859</v>
      </c>
      <c r="E778" s="249">
        <f t="shared" si="298"/>
        <v>0</v>
      </c>
      <c r="F778" s="336">
        <v>0</v>
      </c>
      <c r="G778" s="258">
        <f t="shared" si="299"/>
        <v>0</v>
      </c>
      <c r="H778" s="249">
        <f t="shared" si="300"/>
        <v>10.969475025688931</v>
      </c>
      <c r="I778" s="336">
        <v>9.2635839950179037E-3</v>
      </c>
      <c r="J778" s="258">
        <f t="shared" si="301"/>
        <v>9.2635839950179037E-3</v>
      </c>
      <c r="K778" s="249">
        <f t="shared" si="302"/>
        <v>1154.2530233613579</v>
      </c>
      <c r="L778" s="336">
        <v>0.97475219264102964</v>
      </c>
      <c r="M778" s="258">
        <f t="shared" si="303"/>
        <v>0.97475219264102964</v>
      </c>
      <c r="N778" s="251">
        <f t="shared" si="304"/>
        <v>18.927721612953452</v>
      </c>
      <c r="O778" s="336">
        <v>1.5984223363952461E-2</v>
      </c>
      <c r="P778" s="258">
        <f t="shared" si="305"/>
        <v>1.5984223363952461E-2</v>
      </c>
      <c r="Q778" s="354">
        <v>1156.1400000000001</v>
      </c>
      <c r="R778" s="249">
        <f t="shared" si="306"/>
        <v>1184.1502200000002</v>
      </c>
      <c r="S778" s="355">
        <v>0.1</v>
      </c>
      <c r="T778" s="355"/>
      <c r="U778" s="315">
        <f t="shared" si="296"/>
        <v>1302.5652420000001</v>
      </c>
      <c r="V778" s="315">
        <f t="shared" si="297"/>
        <v>1325</v>
      </c>
      <c r="W778" s="316">
        <f t="shared" si="295"/>
        <v>0</v>
      </c>
    </row>
    <row r="779" spans="1:28" x14ac:dyDescent="0.25">
      <c r="A779" s="204" t="s">
        <v>16417</v>
      </c>
      <c r="B779" s="351" t="s">
        <v>20514</v>
      </c>
      <c r="C779" s="352"/>
      <c r="D779" s="353" t="s">
        <v>5</v>
      </c>
      <c r="E779" s="249">
        <f t="shared" si="298"/>
        <v>0</v>
      </c>
      <c r="F779" s="336">
        <v>0</v>
      </c>
      <c r="G779" s="258">
        <f t="shared" si="299"/>
        <v>0</v>
      </c>
      <c r="H779" s="249">
        <f t="shared" si="300"/>
        <v>6.3775465815528495E-2</v>
      </c>
      <c r="I779" s="336">
        <v>9.2635839950179037E-3</v>
      </c>
      <c r="J779" s="258">
        <f t="shared" si="301"/>
        <v>9.2635839950179037E-3</v>
      </c>
      <c r="K779" s="249">
        <f t="shared" si="302"/>
        <v>6.7106557839544045</v>
      </c>
      <c r="L779" s="336">
        <v>0.97474354316951228</v>
      </c>
      <c r="M779" s="258">
        <f t="shared" si="303"/>
        <v>0.97474354316951228</v>
      </c>
      <c r="N779" s="251">
        <f t="shared" si="304"/>
        <v>0.11004394101502954</v>
      </c>
      <c r="O779" s="336">
        <v>1.5984223363952461E-2</v>
      </c>
      <c r="P779" s="258">
        <f t="shared" si="305"/>
        <v>1.5984223363952461E-2</v>
      </c>
      <c r="Q779" s="354">
        <v>6.7217441860465126</v>
      </c>
      <c r="R779" s="249">
        <f t="shared" si="306"/>
        <v>6.8845347383720927</v>
      </c>
      <c r="S779" s="355">
        <v>0.1</v>
      </c>
      <c r="T779" s="355"/>
      <c r="U779" s="315">
        <f t="shared" si="296"/>
        <v>7.5729882122093022</v>
      </c>
      <c r="V779" s="315">
        <f t="shared" si="297"/>
        <v>8</v>
      </c>
      <c r="W779" s="316">
        <f t="shared" si="295"/>
        <v>0</v>
      </c>
    </row>
    <row r="780" spans="1:28" x14ac:dyDescent="0.25">
      <c r="A780" s="204" t="s">
        <v>16418</v>
      </c>
      <c r="B780" s="351" t="s">
        <v>20515</v>
      </c>
      <c r="C780" s="352"/>
      <c r="D780" s="353" t="s">
        <v>14859</v>
      </c>
      <c r="E780" s="249">
        <f t="shared" si="298"/>
        <v>0</v>
      </c>
      <c r="F780" s="336">
        <v>0</v>
      </c>
      <c r="G780" s="258">
        <f t="shared" si="299"/>
        <v>0</v>
      </c>
      <c r="H780" s="249">
        <f t="shared" si="300"/>
        <v>10.969475025688931</v>
      </c>
      <c r="I780" s="336">
        <v>9.2635839950179037E-3</v>
      </c>
      <c r="J780" s="258">
        <f t="shared" si="301"/>
        <v>9.2635839950179037E-3</v>
      </c>
      <c r="K780" s="249">
        <f t="shared" si="302"/>
        <v>1154.2530233613579</v>
      </c>
      <c r="L780" s="336">
        <v>0.97475219264102964</v>
      </c>
      <c r="M780" s="258">
        <f t="shared" si="303"/>
        <v>0.97475219264102964</v>
      </c>
      <c r="N780" s="251">
        <f t="shared" si="304"/>
        <v>18.927721612953452</v>
      </c>
      <c r="O780" s="336">
        <v>1.5984223363952461E-2</v>
      </c>
      <c r="P780" s="258">
        <f t="shared" si="305"/>
        <v>1.5984223363952461E-2</v>
      </c>
      <c r="Q780" s="354">
        <v>1156.1400000000001</v>
      </c>
      <c r="R780" s="249">
        <f t="shared" si="306"/>
        <v>1184.1502200000002</v>
      </c>
      <c r="S780" s="355">
        <v>0.1</v>
      </c>
      <c r="T780" s="355"/>
      <c r="U780" s="315">
        <f t="shared" si="296"/>
        <v>1302.5652420000001</v>
      </c>
      <c r="V780" s="315">
        <f t="shared" si="297"/>
        <v>1325</v>
      </c>
      <c r="W780" s="316">
        <f t="shared" si="295"/>
        <v>0</v>
      </c>
    </row>
    <row r="781" spans="1:28" x14ac:dyDescent="0.25">
      <c r="A781" s="204" t="s">
        <v>16419</v>
      </c>
      <c r="B781" s="351" t="s">
        <v>20516</v>
      </c>
      <c r="C781" s="352"/>
      <c r="D781" s="353" t="s">
        <v>5</v>
      </c>
      <c r="E781" s="249">
        <f t="shared" si="298"/>
        <v>0</v>
      </c>
      <c r="F781" s="336">
        <v>0</v>
      </c>
      <c r="G781" s="258">
        <f t="shared" si="299"/>
        <v>0</v>
      </c>
      <c r="H781" s="249">
        <f t="shared" si="300"/>
        <v>6.3777213769569602E-2</v>
      </c>
      <c r="I781" s="336">
        <v>8.3398062221495452E-3</v>
      </c>
      <c r="J781" s="258">
        <f t="shared" si="301"/>
        <v>8.3398062221495452E-3</v>
      </c>
      <c r="K781" s="249">
        <f t="shared" si="302"/>
        <v>7.4734418976511927</v>
      </c>
      <c r="L781" s="336">
        <v>0.97726215297042329</v>
      </c>
      <c r="M781" s="258">
        <f t="shared" si="303"/>
        <v>0.97726215297042329</v>
      </c>
      <c r="N781" s="251">
        <f t="shared" si="304"/>
        <v>0.11004695709259067</v>
      </c>
      <c r="O781" s="336">
        <v>1.4390253873512938E-2</v>
      </c>
      <c r="P781" s="258">
        <f t="shared" si="305"/>
        <v>1.4390253873512938E-2</v>
      </c>
      <c r="Q781" s="354">
        <v>7.4662936046511632</v>
      </c>
      <c r="R781" s="249">
        <f t="shared" si="306"/>
        <v>7.6473256177325588</v>
      </c>
      <c r="S781" s="355">
        <v>0.1</v>
      </c>
      <c r="T781" s="355"/>
      <c r="U781" s="315">
        <f t="shared" si="296"/>
        <v>8.4120581795058147</v>
      </c>
      <c r="V781" s="315">
        <f t="shared" si="297"/>
        <v>9</v>
      </c>
      <c r="W781" s="316">
        <f t="shared" si="295"/>
        <v>0</v>
      </c>
    </row>
    <row r="782" spans="1:28" ht="14.4" thickBot="1" x14ac:dyDescent="0.3">
      <c r="A782" s="356" t="s">
        <v>16420</v>
      </c>
      <c r="B782" s="357" t="s">
        <v>20517</v>
      </c>
      <c r="C782" s="358"/>
      <c r="D782" s="359" t="s">
        <v>14859</v>
      </c>
      <c r="E782" s="266">
        <f t="shared" si="298"/>
        <v>0</v>
      </c>
      <c r="F782" s="360">
        <v>0</v>
      </c>
      <c r="G782" s="322">
        <f t="shared" si="299"/>
        <v>0</v>
      </c>
      <c r="H782" s="266">
        <f t="shared" si="300"/>
        <v>10.969766209680717</v>
      </c>
      <c r="I782" s="360">
        <v>8.3398062221495435E-3</v>
      </c>
      <c r="J782" s="322">
        <f t="shared" si="301"/>
        <v>8.3398062221495435E-3</v>
      </c>
      <c r="K782" s="266">
        <f t="shared" si="302"/>
        <v>1285.4522609922428</v>
      </c>
      <c r="L782" s="360">
        <v>0.97726993990433753</v>
      </c>
      <c r="M782" s="322">
        <f t="shared" si="303"/>
        <v>0.97726993990433753</v>
      </c>
      <c r="N782" s="270">
        <f t="shared" si="304"/>
        <v>18.92822404807653</v>
      </c>
      <c r="O782" s="360">
        <v>1.4390253873512938E-2</v>
      </c>
      <c r="P782" s="322">
        <f t="shared" si="305"/>
        <v>1.4390253873512938E-2</v>
      </c>
      <c r="Q782" s="361">
        <v>1284.2025000000001</v>
      </c>
      <c r="R782" s="266">
        <f t="shared" si="306"/>
        <v>1315.3502512500002</v>
      </c>
      <c r="S782" s="362">
        <v>0.1</v>
      </c>
      <c r="T782" s="362"/>
      <c r="U782" s="324">
        <f t="shared" si="296"/>
        <v>1446.8852763750001</v>
      </c>
      <c r="V782" s="324">
        <f t="shared" si="297"/>
        <v>1450</v>
      </c>
      <c r="W782" s="325">
        <f t="shared" si="295"/>
        <v>0</v>
      </c>
    </row>
    <row r="783" spans="1:28" x14ac:dyDescent="0.25">
      <c r="A783" s="204" t="s">
        <v>16421</v>
      </c>
      <c r="B783" s="351" t="s">
        <v>20518</v>
      </c>
      <c r="C783" s="352"/>
      <c r="D783" s="353" t="s">
        <v>5</v>
      </c>
      <c r="E783" s="249">
        <f t="shared" si="298"/>
        <v>0</v>
      </c>
      <c r="F783" s="336">
        <v>0</v>
      </c>
      <c r="G783" s="258">
        <f t="shared" si="299"/>
        <v>0</v>
      </c>
      <c r="H783" s="249">
        <f t="shared" si="300"/>
        <v>6.3777689932105003E-2</v>
      </c>
      <c r="I783" s="336">
        <v>8.0881586638452529E-3</v>
      </c>
      <c r="J783" s="258">
        <f t="shared" si="301"/>
        <v>8.0881586638452529E-3</v>
      </c>
      <c r="K783" s="249">
        <f t="shared" si="302"/>
        <v>7.7114313537907382</v>
      </c>
      <c r="L783" s="336">
        <v>0.97794825088848913</v>
      </c>
      <c r="M783" s="258">
        <f t="shared" si="303"/>
        <v>0.97794825088848913</v>
      </c>
      <c r="N783" s="251">
        <f t="shared" si="304"/>
        <v>0.11004777870637723</v>
      </c>
      <c r="O783" s="336">
        <v>1.3956038478791807E-2</v>
      </c>
      <c r="P783" s="258">
        <f t="shared" si="305"/>
        <v>1.3956038478791807E-2</v>
      </c>
      <c r="Q783" s="354">
        <v>7.6985930232558131</v>
      </c>
      <c r="R783" s="249">
        <f t="shared" si="306"/>
        <v>7.8853163720930226</v>
      </c>
      <c r="S783" s="355">
        <v>0.1</v>
      </c>
      <c r="T783" s="355"/>
      <c r="U783" s="315">
        <f t="shared" si="296"/>
        <v>8.6738480093023256</v>
      </c>
      <c r="V783" s="315">
        <f t="shared" si="297"/>
        <v>9</v>
      </c>
      <c r="W783" s="316">
        <f t="shared" si="295"/>
        <v>0</v>
      </c>
    </row>
    <row r="784" spans="1:28" x14ac:dyDescent="0.25">
      <c r="A784" s="204" t="s">
        <v>16422</v>
      </c>
      <c r="B784" s="351" t="s">
        <v>20519</v>
      </c>
      <c r="C784" s="352"/>
      <c r="D784" s="353" t="s">
        <v>14859</v>
      </c>
      <c r="E784" s="249">
        <f t="shared" si="298"/>
        <v>0</v>
      </c>
      <c r="F784" s="336">
        <v>0</v>
      </c>
      <c r="G784" s="258">
        <f t="shared" si="299"/>
        <v>0</v>
      </c>
      <c r="H784" s="249">
        <f t="shared" si="300"/>
        <v>10.969845531507572</v>
      </c>
      <c r="I784" s="336">
        <v>8.0881586638452529E-3</v>
      </c>
      <c r="J784" s="258">
        <f t="shared" si="301"/>
        <v>8.0881586638452529E-3</v>
      </c>
      <c r="K784" s="249">
        <f t="shared" si="302"/>
        <v>1326.3864545513813</v>
      </c>
      <c r="L784" s="336">
        <v>0.97795580285736294</v>
      </c>
      <c r="M784" s="258">
        <f t="shared" si="303"/>
        <v>0.97795580285736294</v>
      </c>
      <c r="N784" s="251">
        <f t="shared" si="304"/>
        <v>18.9283609171111</v>
      </c>
      <c r="O784" s="336">
        <v>1.3956038478791807E-2</v>
      </c>
      <c r="P784" s="258">
        <f t="shared" si="305"/>
        <v>1.3956038478791807E-2</v>
      </c>
      <c r="Q784" s="354">
        <v>1324.1579999999999</v>
      </c>
      <c r="R784" s="249">
        <f t="shared" si="306"/>
        <v>1356.2846609999999</v>
      </c>
      <c r="S784" s="355">
        <v>0.1</v>
      </c>
      <c r="T784" s="355"/>
      <c r="U784" s="315">
        <f t="shared" si="296"/>
        <v>1491.9131270999999</v>
      </c>
      <c r="V784" s="315">
        <f t="shared" si="297"/>
        <v>1500</v>
      </c>
      <c r="W784" s="316">
        <f t="shared" si="295"/>
        <v>0</v>
      </c>
    </row>
    <row r="785" spans="1:23" x14ac:dyDescent="0.25">
      <c r="A785" s="204" t="s">
        <v>16423</v>
      </c>
      <c r="B785" s="351" t="s">
        <v>20520</v>
      </c>
      <c r="C785" s="352"/>
      <c r="D785" s="353" t="s">
        <v>5</v>
      </c>
      <c r="E785" s="249">
        <f t="shared" si="298"/>
        <v>0</v>
      </c>
      <c r="F785" s="336">
        <v>0</v>
      </c>
      <c r="G785" s="258">
        <f t="shared" si="299"/>
        <v>0</v>
      </c>
      <c r="H785" s="249">
        <f t="shared" si="300"/>
        <v>6.3777689932105003E-2</v>
      </c>
      <c r="I785" s="336">
        <v>8.0881586638452529E-3</v>
      </c>
      <c r="J785" s="258">
        <f t="shared" si="301"/>
        <v>8.0881586638452529E-3</v>
      </c>
      <c r="K785" s="249">
        <f t="shared" si="302"/>
        <v>7.7114313537907382</v>
      </c>
      <c r="L785" s="336">
        <v>0.97794825088848913</v>
      </c>
      <c r="M785" s="258">
        <f t="shared" si="303"/>
        <v>0.97794825088848913</v>
      </c>
      <c r="N785" s="251">
        <f t="shared" si="304"/>
        <v>0.11004777870637723</v>
      </c>
      <c r="O785" s="336">
        <v>1.3956038478791807E-2</v>
      </c>
      <c r="P785" s="258">
        <f t="shared" si="305"/>
        <v>1.3956038478791807E-2</v>
      </c>
      <c r="Q785" s="354">
        <v>7.6985930232558131</v>
      </c>
      <c r="R785" s="249">
        <f t="shared" si="306"/>
        <v>7.8853163720930226</v>
      </c>
      <c r="S785" s="355">
        <v>0.1</v>
      </c>
      <c r="T785" s="355"/>
      <c r="U785" s="315">
        <f t="shared" si="296"/>
        <v>8.6738480093023256</v>
      </c>
      <c r="V785" s="315">
        <f t="shared" si="297"/>
        <v>9</v>
      </c>
      <c r="W785" s="316">
        <f t="shared" si="295"/>
        <v>0</v>
      </c>
    </row>
    <row r="786" spans="1:23" x14ac:dyDescent="0.25">
      <c r="A786" s="204" t="s">
        <v>16424</v>
      </c>
      <c r="B786" s="351" t="s">
        <v>20521</v>
      </c>
      <c r="C786" s="352"/>
      <c r="D786" s="353" t="s">
        <v>14859</v>
      </c>
      <c r="E786" s="249">
        <f t="shared" si="298"/>
        <v>0</v>
      </c>
      <c r="F786" s="336">
        <v>0</v>
      </c>
      <c r="G786" s="258">
        <f t="shared" si="299"/>
        <v>0</v>
      </c>
      <c r="H786" s="249">
        <f t="shared" si="300"/>
        <v>10.969845531507572</v>
      </c>
      <c r="I786" s="336">
        <v>8.0881586638452529E-3</v>
      </c>
      <c r="J786" s="258">
        <f t="shared" si="301"/>
        <v>8.0881586638452529E-3</v>
      </c>
      <c r="K786" s="249">
        <f t="shared" si="302"/>
        <v>1326.3864545513813</v>
      </c>
      <c r="L786" s="336">
        <v>0.97795580285736294</v>
      </c>
      <c r="M786" s="258">
        <f t="shared" si="303"/>
        <v>0.97795580285736294</v>
      </c>
      <c r="N786" s="251">
        <f t="shared" si="304"/>
        <v>18.9283609171111</v>
      </c>
      <c r="O786" s="336">
        <v>1.3956038478791807E-2</v>
      </c>
      <c r="P786" s="258">
        <f t="shared" si="305"/>
        <v>1.3956038478791807E-2</v>
      </c>
      <c r="Q786" s="354">
        <v>1324.1579999999999</v>
      </c>
      <c r="R786" s="249">
        <f t="shared" si="306"/>
        <v>1356.2846609999999</v>
      </c>
      <c r="S786" s="355">
        <v>0.1</v>
      </c>
      <c r="T786" s="355"/>
      <c r="U786" s="315">
        <f t="shared" si="296"/>
        <v>1491.9131270999999</v>
      </c>
      <c r="V786" s="315">
        <f t="shared" si="297"/>
        <v>1500</v>
      </c>
      <c r="W786" s="316">
        <f t="shared" si="295"/>
        <v>0</v>
      </c>
    </row>
    <row r="787" spans="1:23" x14ac:dyDescent="0.25">
      <c r="A787" s="204" t="s">
        <v>16425</v>
      </c>
      <c r="B787" s="351" t="s">
        <v>20522</v>
      </c>
      <c r="C787" s="352"/>
      <c r="D787" s="353" t="s">
        <v>5</v>
      </c>
      <c r="E787" s="249">
        <f t="shared" si="298"/>
        <v>0</v>
      </c>
      <c r="F787" s="336">
        <v>0</v>
      </c>
      <c r="G787" s="258">
        <f t="shared" si="299"/>
        <v>0</v>
      </c>
      <c r="H787" s="249">
        <f t="shared" si="300"/>
        <v>6.3778048401888776E-2</v>
      </c>
      <c r="I787" s="336">
        <v>7.8987106516436294E-3</v>
      </c>
      <c r="J787" s="258">
        <f t="shared" si="301"/>
        <v>7.8987106516436294E-3</v>
      </c>
      <c r="K787" s="249">
        <f t="shared" si="302"/>
        <v>7.9006025145315473</v>
      </c>
      <c r="L787" s="336">
        <v>0.97846476647731151</v>
      </c>
      <c r="M787" s="258">
        <f t="shared" si="303"/>
        <v>0.97846476647731151</v>
      </c>
      <c r="N787" s="251">
        <f t="shared" si="304"/>
        <v>0.11004839724247475</v>
      </c>
      <c r="O787" s="336">
        <v>1.3629147791071359E-2</v>
      </c>
      <c r="P787" s="258">
        <f t="shared" si="305"/>
        <v>1.3629147791071359E-2</v>
      </c>
      <c r="Q787" s="354">
        <v>7.8832412790697672</v>
      </c>
      <c r="R787" s="249">
        <f t="shared" si="306"/>
        <v>8.0744885101744188</v>
      </c>
      <c r="S787" s="355">
        <v>0.1</v>
      </c>
      <c r="T787" s="355"/>
      <c r="U787" s="315">
        <f t="shared" si="296"/>
        <v>8.8819373611918611</v>
      </c>
      <c r="V787" s="315">
        <f t="shared" si="297"/>
        <v>9</v>
      </c>
      <c r="W787" s="316">
        <f t="shared" si="295"/>
        <v>0</v>
      </c>
    </row>
    <row r="788" spans="1:23" x14ac:dyDescent="0.25">
      <c r="A788" s="204" t="s">
        <v>16426</v>
      </c>
      <c r="B788" s="351" t="s">
        <v>20523</v>
      </c>
      <c r="C788" s="352"/>
      <c r="D788" s="353" t="s">
        <v>14859</v>
      </c>
      <c r="E788" s="249">
        <f t="shared" si="298"/>
        <v>0</v>
      </c>
      <c r="F788" s="336">
        <v>0</v>
      </c>
      <c r="G788" s="258">
        <f t="shared" si="299"/>
        <v>0</v>
      </c>
      <c r="H788" s="249">
        <f t="shared" si="300"/>
        <v>10.969905247415497</v>
      </c>
      <c r="I788" s="336">
        <v>7.8987106516436294E-3</v>
      </c>
      <c r="J788" s="258">
        <f t="shared" si="301"/>
        <v>7.8987106516436294E-3</v>
      </c>
      <c r="K788" s="249">
        <f t="shared" si="302"/>
        <v>1358.9238995462599</v>
      </c>
      <c r="L788" s="336">
        <v>0.97847214155728501</v>
      </c>
      <c r="M788" s="258">
        <f t="shared" si="303"/>
        <v>0.97847214155728501</v>
      </c>
      <c r="N788" s="251">
        <f t="shared" si="304"/>
        <v>18.928463956324777</v>
      </c>
      <c r="O788" s="336">
        <v>1.3629147791071359E-2</v>
      </c>
      <c r="P788" s="258">
        <f t="shared" si="305"/>
        <v>1.3629147791071359E-2</v>
      </c>
      <c r="Q788" s="354">
        <v>1355.9175</v>
      </c>
      <c r="R788" s="249">
        <f t="shared" si="306"/>
        <v>1388.8222687500001</v>
      </c>
      <c r="S788" s="355">
        <v>0.1</v>
      </c>
      <c r="T788" s="355"/>
      <c r="U788" s="315">
        <f t="shared" si="296"/>
        <v>1527.7044956250002</v>
      </c>
      <c r="V788" s="315">
        <f t="shared" si="297"/>
        <v>1550</v>
      </c>
      <c r="W788" s="316">
        <f t="shared" si="295"/>
        <v>0</v>
      </c>
    </row>
    <row r="789" spans="1:23" x14ac:dyDescent="0.25">
      <c r="A789" s="204" t="s">
        <v>16427</v>
      </c>
      <c r="B789" s="351" t="s">
        <v>20524</v>
      </c>
      <c r="C789" s="352"/>
      <c r="D789" s="353" t="s">
        <v>5</v>
      </c>
      <c r="E789" s="249">
        <f t="shared" si="298"/>
        <v>0</v>
      </c>
      <c r="F789" s="336">
        <v>0</v>
      </c>
      <c r="G789" s="258">
        <f t="shared" si="299"/>
        <v>0</v>
      </c>
      <c r="H789" s="249">
        <f t="shared" si="300"/>
        <v>6.3778048401888776E-2</v>
      </c>
      <c r="I789" s="336">
        <v>7.8987106516436294E-3</v>
      </c>
      <c r="J789" s="258">
        <f t="shared" si="301"/>
        <v>7.8987106516436294E-3</v>
      </c>
      <c r="K789" s="249">
        <f t="shared" si="302"/>
        <v>7.9006025145315473</v>
      </c>
      <c r="L789" s="336">
        <v>0.97846476647731151</v>
      </c>
      <c r="M789" s="258">
        <f t="shared" si="303"/>
        <v>0.97846476647731151</v>
      </c>
      <c r="N789" s="251">
        <f t="shared" si="304"/>
        <v>0.11004839724247475</v>
      </c>
      <c r="O789" s="336">
        <v>1.3629147791071359E-2</v>
      </c>
      <c r="P789" s="258">
        <f t="shared" si="305"/>
        <v>1.3629147791071359E-2</v>
      </c>
      <c r="Q789" s="354">
        <v>7.8832412790697672</v>
      </c>
      <c r="R789" s="249">
        <f t="shared" si="306"/>
        <v>8.0744885101744188</v>
      </c>
      <c r="S789" s="355">
        <v>0.1</v>
      </c>
      <c r="T789" s="355"/>
      <c r="U789" s="315">
        <f t="shared" si="296"/>
        <v>8.8819373611918611</v>
      </c>
      <c r="V789" s="315">
        <f t="shared" si="297"/>
        <v>9</v>
      </c>
      <c r="W789" s="316">
        <f t="shared" si="295"/>
        <v>0</v>
      </c>
    </row>
    <row r="790" spans="1:23" x14ac:dyDescent="0.25">
      <c r="A790" s="204" t="s">
        <v>16428</v>
      </c>
      <c r="B790" s="351" t="s">
        <v>20525</v>
      </c>
      <c r="C790" s="352"/>
      <c r="D790" s="353" t="s">
        <v>14859</v>
      </c>
      <c r="E790" s="249">
        <f t="shared" si="298"/>
        <v>0</v>
      </c>
      <c r="F790" s="336">
        <v>0</v>
      </c>
      <c r="G790" s="258">
        <f t="shared" si="299"/>
        <v>0</v>
      </c>
      <c r="H790" s="249">
        <f t="shared" si="300"/>
        <v>10.969905247415497</v>
      </c>
      <c r="I790" s="336">
        <v>7.8987106516436294E-3</v>
      </c>
      <c r="J790" s="258">
        <f t="shared" si="301"/>
        <v>7.8987106516436294E-3</v>
      </c>
      <c r="K790" s="249">
        <f t="shared" si="302"/>
        <v>1358.9238995462599</v>
      </c>
      <c r="L790" s="336">
        <v>0.97847214155728501</v>
      </c>
      <c r="M790" s="258">
        <f t="shared" si="303"/>
        <v>0.97847214155728501</v>
      </c>
      <c r="N790" s="251">
        <f t="shared" si="304"/>
        <v>18.928463956324777</v>
      </c>
      <c r="O790" s="336">
        <v>1.3629147791071359E-2</v>
      </c>
      <c r="P790" s="258">
        <f t="shared" si="305"/>
        <v>1.3629147791071359E-2</v>
      </c>
      <c r="Q790" s="354">
        <v>1355.9175</v>
      </c>
      <c r="R790" s="249">
        <f t="shared" si="306"/>
        <v>1388.8222687500001</v>
      </c>
      <c r="S790" s="355">
        <v>0.1</v>
      </c>
      <c r="T790" s="355"/>
      <c r="U790" s="315">
        <f t="shared" si="296"/>
        <v>1527.7044956250002</v>
      </c>
      <c r="V790" s="315">
        <f t="shared" si="297"/>
        <v>1550</v>
      </c>
      <c r="W790" s="316">
        <f t="shared" si="295"/>
        <v>0</v>
      </c>
    </row>
    <row r="791" spans="1:23" x14ac:dyDescent="0.25">
      <c r="A791" s="204" t="s">
        <v>16429</v>
      </c>
      <c r="B791" s="351" t="s">
        <v>20526</v>
      </c>
      <c r="C791" s="352"/>
      <c r="D791" s="353" t="s">
        <v>5</v>
      </c>
      <c r="E791" s="249">
        <f t="shared" si="298"/>
        <v>0</v>
      </c>
      <c r="F791" s="336">
        <v>0</v>
      </c>
      <c r="G791" s="258">
        <f t="shared" si="299"/>
        <v>0</v>
      </c>
      <c r="H791" s="249">
        <f t="shared" si="300"/>
        <v>6.3778379673549199E-2</v>
      </c>
      <c r="I791" s="336">
        <v>7.7236365996527622E-3</v>
      </c>
      <c r="J791" s="258">
        <f t="shared" si="301"/>
        <v>7.7236365996527622E-3</v>
      </c>
      <c r="K791" s="249">
        <f t="shared" si="302"/>
        <v>8.0836714223910864</v>
      </c>
      <c r="L791" s="336">
        <v>0.97894209255743603</v>
      </c>
      <c r="M791" s="258">
        <f t="shared" si="303"/>
        <v>0.97894209255743603</v>
      </c>
      <c r="N791" s="251">
        <f t="shared" si="304"/>
        <v>0.11004896884847704</v>
      </c>
      <c r="O791" s="336">
        <v>1.3327059230773392E-2</v>
      </c>
      <c r="P791" s="258">
        <f t="shared" si="305"/>
        <v>1.3327059230773392E-2</v>
      </c>
      <c r="Q791" s="354">
        <v>8.061933139534883</v>
      </c>
      <c r="R791" s="249">
        <f t="shared" si="306"/>
        <v>8.2575583212209303</v>
      </c>
      <c r="S791" s="355">
        <v>0.1</v>
      </c>
      <c r="T791" s="355"/>
      <c r="U791" s="315">
        <f t="shared" si="296"/>
        <v>9.0833141533430233</v>
      </c>
      <c r="V791" s="315">
        <f t="shared" si="297"/>
        <v>10</v>
      </c>
      <c r="W791" s="316">
        <f t="shared" si="295"/>
        <v>0</v>
      </c>
    </row>
    <row r="792" spans="1:23" x14ac:dyDescent="0.25">
      <c r="A792" s="204" t="s">
        <v>16430</v>
      </c>
      <c r="B792" s="351" t="s">
        <v>20527</v>
      </c>
      <c r="C792" s="352"/>
      <c r="D792" s="353" t="s">
        <v>14859</v>
      </c>
      <c r="E792" s="249">
        <f t="shared" si="298"/>
        <v>0</v>
      </c>
      <c r="F792" s="336">
        <v>0</v>
      </c>
      <c r="G792" s="258">
        <f t="shared" si="299"/>
        <v>0</v>
      </c>
      <c r="H792" s="249">
        <f t="shared" si="300"/>
        <v>10.969960432507426</v>
      </c>
      <c r="I792" s="336">
        <v>7.7236365996527622E-3</v>
      </c>
      <c r="J792" s="258">
        <f t="shared" si="301"/>
        <v>7.7236365996527622E-3</v>
      </c>
      <c r="K792" s="249">
        <f t="shared" si="302"/>
        <v>1390.4117566398327</v>
      </c>
      <c r="L792" s="336">
        <v>0.97894930416957382</v>
      </c>
      <c r="M792" s="258">
        <f t="shared" si="303"/>
        <v>0.97894930416957382</v>
      </c>
      <c r="N792" s="251">
        <f t="shared" si="304"/>
        <v>18.928559177659871</v>
      </c>
      <c r="O792" s="336">
        <v>1.3327059230773392E-2</v>
      </c>
      <c r="P792" s="258">
        <f t="shared" si="305"/>
        <v>1.3327059230773392E-2</v>
      </c>
      <c r="Q792" s="354">
        <v>1386.6524999999999</v>
      </c>
      <c r="R792" s="249">
        <f t="shared" si="306"/>
        <v>1420.31027625</v>
      </c>
      <c r="S792" s="355">
        <v>0.1</v>
      </c>
      <c r="T792" s="355"/>
      <c r="U792" s="315">
        <f t="shared" si="296"/>
        <v>1562.341303875</v>
      </c>
      <c r="V792" s="315">
        <f t="shared" si="297"/>
        <v>1575</v>
      </c>
      <c r="W792" s="316">
        <f t="shared" si="295"/>
        <v>0</v>
      </c>
    </row>
    <row r="793" spans="1:23" x14ac:dyDescent="0.25">
      <c r="A793" s="204" t="s">
        <v>16431</v>
      </c>
      <c r="B793" s="351" t="s">
        <v>20528</v>
      </c>
      <c r="C793" s="352"/>
      <c r="D793" s="353" t="s">
        <v>5</v>
      </c>
      <c r="E793" s="249">
        <f t="shared" si="298"/>
        <v>0</v>
      </c>
      <c r="F793" s="336">
        <v>0</v>
      </c>
      <c r="G793" s="258">
        <f t="shared" si="299"/>
        <v>0</v>
      </c>
      <c r="H793" s="249">
        <f t="shared" si="300"/>
        <v>6.3778379673549199E-2</v>
      </c>
      <c r="I793" s="336">
        <v>7.7236365996527622E-3</v>
      </c>
      <c r="J793" s="258">
        <f t="shared" si="301"/>
        <v>7.7236365996527622E-3</v>
      </c>
      <c r="K793" s="249">
        <f t="shared" si="302"/>
        <v>8.0836714223910864</v>
      </c>
      <c r="L793" s="336">
        <v>0.97894209255743603</v>
      </c>
      <c r="M793" s="258">
        <f t="shared" si="303"/>
        <v>0.97894209255743603</v>
      </c>
      <c r="N793" s="251">
        <f t="shared" si="304"/>
        <v>0.11004896884847704</v>
      </c>
      <c r="O793" s="336">
        <v>1.3327059230773392E-2</v>
      </c>
      <c r="P793" s="258">
        <f t="shared" si="305"/>
        <v>1.3327059230773392E-2</v>
      </c>
      <c r="Q793" s="354">
        <v>8.061933139534883</v>
      </c>
      <c r="R793" s="249">
        <f t="shared" si="306"/>
        <v>8.2575583212209303</v>
      </c>
      <c r="S793" s="355">
        <v>0.1</v>
      </c>
      <c r="T793" s="355"/>
      <c r="U793" s="315">
        <f t="shared" si="296"/>
        <v>9.0833141533430233</v>
      </c>
      <c r="V793" s="315">
        <f t="shared" si="297"/>
        <v>10</v>
      </c>
      <c r="W793" s="316">
        <f t="shared" ref="W793:W804" si="307">C793*V793</f>
        <v>0</v>
      </c>
    </row>
    <row r="794" spans="1:23" x14ac:dyDescent="0.25">
      <c r="A794" s="204" t="s">
        <v>16432</v>
      </c>
      <c r="B794" s="351" t="s">
        <v>20529</v>
      </c>
      <c r="C794" s="352"/>
      <c r="D794" s="353" t="s">
        <v>14859</v>
      </c>
      <c r="E794" s="249">
        <f t="shared" si="298"/>
        <v>0</v>
      </c>
      <c r="F794" s="336">
        <v>0</v>
      </c>
      <c r="G794" s="258">
        <f t="shared" si="299"/>
        <v>0</v>
      </c>
      <c r="H794" s="249">
        <f t="shared" si="300"/>
        <v>10.969960432507426</v>
      </c>
      <c r="I794" s="336">
        <v>7.7236365996527622E-3</v>
      </c>
      <c r="J794" s="258">
        <f t="shared" si="301"/>
        <v>7.7236365996527622E-3</v>
      </c>
      <c r="K794" s="249">
        <f t="shared" si="302"/>
        <v>1390.4117566398327</v>
      </c>
      <c r="L794" s="336">
        <v>0.97894930416957382</v>
      </c>
      <c r="M794" s="258">
        <f t="shared" si="303"/>
        <v>0.97894930416957382</v>
      </c>
      <c r="N794" s="251">
        <f t="shared" si="304"/>
        <v>18.928559177659871</v>
      </c>
      <c r="O794" s="336">
        <v>1.3327059230773392E-2</v>
      </c>
      <c r="P794" s="258">
        <f t="shared" si="305"/>
        <v>1.3327059230773392E-2</v>
      </c>
      <c r="Q794" s="354">
        <v>1386.6524999999999</v>
      </c>
      <c r="R794" s="249">
        <f t="shared" si="306"/>
        <v>1420.31027625</v>
      </c>
      <c r="S794" s="355">
        <v>0.1</v>
      </c>
      <c r="T794" s="355"/>
      <c r="U794" s="315">
        <f t="shared" si="296"/>
        <v>1562.341303875</v>
      </c>
      <c r="V794" s="315">
        <f t="shared" si="297"/>
        <v>1575</v>
      </c>
      <c r="W794" s="316">
        <f t="shared" si="307"/>
        <v>0</v>
      </c>
    </row>
    <row r="795" spans="1:23" x14ac:dyDescent="0.25">
      <c r="A795" s="204" t="s">
        <v>16433</v>
      </c>
      <c r="B795" s="351" t="s">
        <v>20530</v>
      </c>
      <c r="C795" s="352"/>
      <c r="D795" s="353" t="s">
        <v>5</v>
      </c>
      <c r="E795" s="249">
        <f t="shared" si="298"/>
        <v>0</v>
      </c>
      <c r="F795" s="336">
        <v>0</v>
      </c>
      <c r="G795" s="258">
        <f t="shared" si="299"/>
        <v>0</v>
      </c>
      <c r="H795" s="249">
        <f t="shared" si="300"/>
        <v>6.3779422498727437E-2</v>
      </c>
      <c r="I795" s="336">
        <v>7.1725130014355081E-3</v>
      </c>
      <c r="J795" s="258">
        <f t="shared" si="301"/>
        <v>7.1725130014355081E-3</v>
      </c>
      <c r="K795" s="249">
        <f t="shared" si="302"/>
        <v>8.7183105908355003</v>
      </c>
      <c r="L795" s="336">
        <v>0.98044468910906479</v>
      </c>
      <c r="M795" s="258">
        <f t="shared" si="303"/>
        <v>0.98044468910906479</v>
      </c>
      <c r="N795" s="251">
        <f t="shared" si="304"/>
        <v>0.11005076823309833</v>
      </c>
      <c r="O795" s="336">
        <v>1.2376100865222053E-2</v>
      </c>
      <c r="P795" s="258">
        <f t="shared" si="305"/>
        <v>1.2376100865222053E-2</v>
      </c>
      <c r="Q795" s="354">
        <v>8.6813982558139529</v>
      </c>
      <c r="R795" s="249">
        <f t="shared" si="306"/>
        <v>8.8922003328488373</v>
      </c>
      <c r="S795" s="355">
        <v>0.1</v>
      </c>
      <c r="T795" s="355"/>
      <c r="U795" s="315">
        <f t="shared" si="296"/>
        <v>9.7814203661337213</v>
      </c>
      <c r="V795" s="315">
        <f t="shared" si="297"/>
        <v>10</v>
      </c>
      <c r="W795" s="316">
        <f t="shared" si="307"/>
        <v>0</v>
      </c>
    </row>
    <row r="796" spans="1:23" x14ac:dyDescent="0.25">
      <c r="A796" s="204" t="s">
        <v>16434</v>
      </c>
      <c r="B796" s="351" t="s">
        <v>20531</v>
      </c>
      <c r="C796" s="352"/>
      <c r="D796" s="353" t="s">
        <v>14859</v>
      </c>
      <c r="E796" s="249">
        <f t="shared" si="298"/>
        <v>0</v>
      </c>
      <c r="F796" s="336">
        <v>0</v>
      </c>
      <c r="G796" s="258">
        <f t="shared" si="299"/>
        <v>0</v>
      </c>
      <c r="H796" s="249">
        <f t="shared" si="300"/>
        <v>10.970134152176819</v>
      </c>
      <c r="I796" s="336">
        <v>7.1725130014355081E-3</v>
      </c>
      <c r="J796" s="258">
        <f t="shared" si="301"/>
        <v>7.1725130014355081E-3</v>
      </c>
      <c r="K796" s="249">
        <f t="shared" si="302"/>
        <v>1499.5697091685768</v>
      </c>
      <c r="L796" s="336">
        <v>0.98045138613334237</v>
      </c>
      <c r="M796" s="258">
        <f t="shared" si="303"/>
        <v>0.98045138613334237</v>
      </c>
      <c r="N796" s="251">
        <f t="shared" si="304"/>
        <v>18.928858929246275</v>
      </c>
      <c r="O796" s="336">
        <v>1.2376100865222053E-2</v>
      </c>
      <c r="P796" s="258">
        <f t="shared" si="305"/>
        <v>1.2376100865222053E-2</v>
      </c>
      <c r="Q796" s="354">
        <v>1493.2004999999999</v>
      </c>
      <c r="R796" s="249">
        <f t="shared" si="306"/>
        <v>1529.46870225</v>
      </c>
      <c r="S796" s="355">
        <v>0.1</v>
      </c>
      <c r="T796" s="355"/>
      <c r="U796" s="315">
        <f t="shared" si="296"/>
        <v>1682.4155724749999</v>
      </c>
      <c r="V796" s="315">
        <f t="shared" si="297"/>
        <v>1700</v>
      </c>
      <c r="W796" s="316">
        <f t="shared" si="307"/>
        <v>0</v>
      </c>
    </row>
    <row r="797" spans="1:23" x14ac:dyDescent="0.25">
      <c r="A797" s="204" t="s">
        <v>16435</v>
      </c>
      <c r="B797" s="351" t="s">
        <v>20532</v>
      </c>
      <c r="C797" s="352"/>
      <c r="D797" s="353" t="s">
        <v>5</v>
      </c>
      <c r="E797" s="249">
        <f t="shared" si="298"/>
        <v>0</v>
      </c>
      <c r="F797" s="336">
        <v>0</v>
      </c>
      <c r="G797" s="258">
        <f t="shared" si="299"/>
        <v>0</v>
      </c>
      <c r="H797" s="249">
        <f t="shared" si="300"/>
        <v>6.3780052917357624E-2</v>
      </c>
      <c r="I797" s="336">
        <v>6.8393425035441976E-3</v>
      </c>
      <c r="J797" s="258">
        <f t="shared" si="301"/>
        <v>6.8393425035441976E-3</v>
      </c>
      <c r="K797" s="249">
        <f t="shared" si="302"/>
        <v>9.1515740915238233</v>
      </c>
      <c r="L797" s="336">
        <v>0.98135305311825483</v>
      </c>
      <c r="M797" s="258">
        <f t="shared" si="303"/>
        <v>0.98135305311825483</v>
      </c>
      <c r="N797" s="251">
        <f t="shared" si="304"/>
        <v>0.11005185601426412</v>
      </c>
      <c r="O797" s="336">
        <v>1.1801218437488027E-2</v>
      </c>
      <c r="P797" s="258">
        <f t="shared" si="305"/>
        <v>1.1801218437488027E-2</v>
      </c>
      <c r="Q797" s="354">
        <v>9.1043023255813953</v>
      </c>
      <c r="R797" s="249">
        <f t="shared" si="306"/>
        <v>9.3254655523255821</v>
      </c>
      <c r="S797" s="355">
        <v>0.1</v>
      </c>
      <c r="T797" s="355"/>
      <c r="U797" s="315">
        <f t="shared" si="296"/>
        <v>10.258012107558141</v>
      </c>
      <c r="V797" s="315">
        <f t="shared" si="297"/>
        <v>11</v>
      </c>
      <c r="W797" s="316">
        <f t="shared" si="307"/>
        <v>0</v>
      </c>
    </row>
    <row r="798" spans="1:23" x14ac:dyDescent="0.25">
      <c r="A798" s="204" t="s">
        <v>16436</v>
      </c>
      <c r="B798" s="351" t="s">
        <v>20533</v>
      </c>
      <c r="C798" s="352"/>
      <c r="D798" s="353" t="s">
        <v>14859</v>
      </c>
      <c r="E798" s="249">
        <f t="shared" si="298"/>
        <v>0</v>
      </c>
      <c r="F798" s="336">
        <v>0</v>
      </c>
      <c r="G798" s="258">
        <f t="shared" si="299"/>
        <v>0</v>
      </c>
      <c r="H798" s="249">
        <f t="shared" si="300"/>
        <v>10.97023917084946</v>
      </c>
      <c r="I798" s="336">
        <v>6.8393425035441976E-3</v>
      </c>
      <c r="J798" s="258">
        <f t="shared" si="301"/>
        <v>6.8393425035441976E-3</v>
      </c>
      <c r="K798" s="249">
        <f t="shared" si="302"/>
        <v>1574.0910406912142</v>
      </c>
      <c r="L798" s="336">
        <v>0.98135943905896772</v>
      </c>
      <c r="M798" s="258">
        <f t="shared" si="303"/>
        <v>0.98135943905896772</v>
      </c>
      <c r="N798" s="251">
        <f t="shared" si="304"/>
        <v>18.929040137936319</v>
      </c>
      <c r="O798" s="336">
        <v>1.1801218437488025E-2</v>
      </c>
      <c r="P798" s="258">
        <f t="shared" si="305"/>
        <v>1.1801218437488025E-2</v>
      </c>
      <c r="Q798" s="354">
        <v>1565.94</v>
      </c>
      <c r="R798" s="249">
        <f t="shared" si="306"/>
        <v>1603.9903200000001</v>
      </c>
      <c r="S798" s="355">
        <v>0.1</v>
      </c>
      <c r="T798" s="355"/>
      <c r="U798" s="315">
        <f t="shared" si="296"/>
        <v>1764.3893520000001</v>
      </c>
      <c r="V798" s="315">
        <f t="shared" si="297"/>
        <v>1775</v>
      </c>
      <c r="W798" s="316">
        <f t="shared" si="307"/>
        <v>0</v>
      </c>
    </row>
    <row r="799" spans="1:23" x14ac:dyDescent="0.25">
      <c r="A799" s="204" t="s">
        <v>16437</v>
      </c>
      <c r="B799" s="351" t="s">
        <v>20534</v>
      </c>
      <c r="C799" s="352"/>
      <c r="D799" s="353" t="s">
        <v>5</v>
      </c>
      <c r="E799" s="249">
        <f t="shared" si="298"/>
        <v>0</v>
      </c>
      <c r="F799" s="336">
        <v>0</v>
      </c>
      <c r="G799" s="258">
        <f t="shared" si="299"/>
        <v>0</v>
      </c>
      <c r="H799" s="249">
        <f t="shared" si="300"/>
        <v>6.3780802677169249E-2</v>
      </c>
      <c r="I799" s="336">
        <v>6.4431012794158261E-3</v>
      </c>
      <c r="J799" s="258">
        <f t="shared" si="301"/>
        <v>6.4431012794158261E-3</v>
      </c>
      <c r="K799" s="249">
        <f t="shared" si="302"/>
        <v>9.7251907886398214</v>
      </c>
      <c r="L799" s="336">
        <v>0.9824333746630306</v>
      </c>
      <c r="M799" s="258">
        <f t="shared" si="303"/>
        <v>0.9824333746630306</v>
      </c>
      <c r="N799" s="251">
        <f t="shared" si="304"/>
        <v>0.11005314971746848</v>
      </c>
      <c r="O799" s="336">
        <v>1.1117508089972404E-2</v>
      </c>
      <c r="P799" s="258">
        <f t="shared" si="305"/>
        <v>1.1117508089972404E-2</v>
      </c>
      <c r="Q799" s="354">
        <v>9.6642034883720935</v>
      </c>
      <c r="R799" s="249">
        <f t="shared" si="306"/>
        <v>9.8990842936046519</v>
      </c>
      <c r="S799" s="355">
        <v>0.1</v>
      </c>
      <c r="T799" s="355"/>
      <c r="U799" s="315">
        <f t="shared" si="296"/>
        <v>10.888992722965117</v>
      </c>
      <c r="V799" s="315">
        <f t="shared" si="297"/>
        <v>11</v>
      </c>
      <c r="W799" s="316">
        <f t="shared" si="307"/>
        <v>0</v>
      </c>
    </row>
    <row r="800" spans="1:23" x14ac:dyDescent="0.25">
      <c r="A800" s="204" t="s">
        <v>16438</v>
      </c>
      <c r="B800" s="351" t="s">
        <v>20535</v>
      </c>
      <c r="C800" s="352"/>
      <c r="D800" s="353" t="s">
        <v>14859</v>
      </c>
      <c r="E800" s="249">
        <f t="shared" si="298"/>
        <v>0</v>
      </c>
      <c r="F800" s="336">
        <v>0</v>
      </c>
      <c r="G800" s="258">
        <f t="shared" si="299"/>
        <v>0</v>
      </c>
      <c r="H800" s="249">
        <f t="shared" si="300"/>
        <v>10.970364070045717</v>
      </c>
      <c r="I800" s="336">
        <v>6.4431012794158261E-3</v>
      </c>
      <c r="J800" s="258">
        <f t="shared" si="301"/>
        <v>6.4431012794158261E-3</v>
      </c>
      <c r="K800" s="249">
        <f t="shared" si="302"/>
        <v>1672.7531237796793</v>
      </c>
      <c r="L800" s="336">
        <v>0.9824393906306117</v>
      </c>
      <c r="M800" s="258">
        <f t="shared" si="303"/>
        <v>0.9824393906306117</v>
      </c>
      <c r="N800" s="251">
        <f t="shared" si="304"/>
        <v>18.929255650274964</v>
      </c>
      <c r="O800" s="336">
        <v>1.1117508089972406E-2</v>
      </c>
      <c r="P800" s="258">
        <f t="shared" si="305"/>
        <v>1.1117508089972406E-2</v>
      </c>
      <c r="Q800" s="354">
        <v>1662.2429999999999</v>
      </c>
      <c r="R800" s="249">
        <f t="shared" si="306"/>
        <v>1702.6527435</v>
      </c>
      <c r="S800" s="355">
        <v>0.1</v>
      </c>
      <c r="T800" s="355"/>
      <c r="U800" s="315">
        <f t="shared" si="296"/>
        <v>1872.9180178500001</v>
      </c>
      <c r="V800" s="315">
        <f t="shared" si="297"/>
        <v>1875</v>
      </c>
      <c r="W800" s="316">
        <f t="shared" si="307"/>
        <v>0</v>
      </c>
    </row>
    <row r="801" spans="1:23" x14ac:dyDescent="0.25">
      <c r="A801" s="204" t="s">
        <v>16439</v>
      </c>
      <c r="B801" s="351" t="s">
        <v>20536</v>
      </c>
      <c r="C801" s="352"/>
      <c r="D801" s="353" t="s">
        <v>5</v>
      </c>
      <c r="E801" s="249">
        <f t="shared" si="298"/>
        <v>0</v>
      </c>
      <c r="F801" s="336">
        <v>0</v>
      </c>
      <c r="G801" s="258">
        <f t="shared" si="299"/>
        <v>0</v>
      </c>
      <c r="H801" s="249">
        <f t="shared" si="300"/>
        <v>6.3781031246032738E-2</v>
      </c>
      <c r="I801" s="336">
        <v>6.3223047191488793E-3</v>
      </c>
      <c r="J801" s="258">
        <f t="shared" si="301"/>
        <v>6.3223047191488793E-3</v>
      </c>
      <c r="K801" s="249">
        <f t="shared" si="302"/>
        <v>9.9143623035456052</v>
      </c>
      <c r="L801" s="336">
        <v>0.98276271729232989</v>
      </c>
      <c r="M801" s="258">
        <f t="shared" si="303"/>
        <v>0.98276271729232989</v>
      </c>
      <c r="N801" s="251">
        <f t="shared" si="304"/>
        <v>0.11005354411080157</v>
      </c>
      <c r="O801" s="336">
        <v>1.090907480951179E-2</v>
      </c>
      <c r="P801" s="258">
        <f t="shared" si="305"/>
        <v>1.090907480951179E-2</v>
      </c>
      <c r="Q801" s="354">
        <v>9.8488517441860477</v>
      </c>
      <c r="R801" s="249">
        <f t="shared" si="306"/>
        <v>10.088256431686048</v>
      </c>
      <c r="S801" s="355">
        <v>0.1</v>
      </c>
      <c r="T801" s="355"/>
      <c r="U801" s="315">
        <f t="shared" si="296"/>
        <v>11.097082074854653</v>
      </c>
      <c r="V801" s="315">
        <f t="shared" si="297"/>
        <v>12</v>
      </c>
      <c r="W801" s="316">
        <f t="shared" si="307"/>
        <v>0</v>
      </c>
    </row>
    <row r="802" spans="1:23" x14ac:dyDescent="0.25">
      <c r="A802" s="204" t="s">
        <v>16440</v>
      </c>
      <c r="B802" s="351" t="s">
        <v>20537</v>
      </c>
      <c r="C802" s="352"/>
      <c r="D802" s="353" t="s">
        <v>14859</v>
      </c>
      <c r="E802" s="249">
        <f t="shared" si="298"/>
        <v>0</v>
      </c>
      <c r="F802" s="336">
        <v>0</v>
      </c>
      <c r="G802" s="258">
        <f t="shared" si="299"/>
        <v>0</v>
      </c>
      <c r="H802" s="249">
        <f t="shared" si="300"/>
        <v>10.970402146329478</v>
      </c>
      <c r="I802" s="336">
        <v>6.3223047191488801E-3</v>
      </c>
      <c r="J802" s="258">
        <f t="shared" si="301"/>
        <v>6.3223047191488801E-3</v>
      </c>
      <c r="K802" s="249">
        <f t="shared" si="302"/>
        <v>1705.2906277531413</v>
      </c>
      <c r="L802" s="336">
        <v>0.98276862047133928</v>
      </c>
      <c r="M802" s="258">
        <f t="shared" si="303"/>
        <v>0.98276862047133928</v>
      </c>
      <c r="N802" s="251">
        <f t="shared" si="304"/>
        <v>18.929321350529293</v>
      </c>
      <c r="O802" s="336">
        <v>1.0909074809511792E-2</v>
      </c>
      <c r="P802" s="258">
        <f t="shared" si="305"/>
        <v>1.0909074809511792E-2</v>
      </c>
      <c r="Q802" s="354">
        <v>1694.0025000000001</v>
      </c>
      <c r="R802" s="249">
        <f t="shared" si="306"/>
        <v>1735.19035125</v>
      </c>
      <c r="S802" s="355">
        <v>0.1</v>
      </c>
      <c r="T802" s="355"/>
      <c r="U802" s="315">
        <f t="shared" si="296"/>
        <v>1908.7093863750001</v>
      </c>
      <c r="V802" s="315">
        <f t="shared" si="297"/>
        <v>1925</v>
      </c>
      <c r="W802" s="316">
        <f t="shared" si="307"/>
        <v>0</v>
      </c>
    </row>
    <row r="803" spans="1:23" x14ac:dyDescent="0.25">
      <c r="A803" s="204" t="s">
        <v>16441</v>
      </c>
      <c r="B803" s="351" t="s">
        <v>20538</v>
      </c>
      <c r="C803" s="352"/>
      <c r="D803" s="353" t="s">
        <v>5</v>
      </c>
      <c r="E803" s="249">
        <f t="shared" si="298"/>
        <v>0</v>
      </c>
      <c r="F803" s="336">
        <v>0</v>
      </c>
      <c r="G803" s="258">
        <f t="shared" si="299"/>
        <v>0</v>
      </c>
      <c r="H803" s="249">
        <f t="shared" si="300"/>
        <v>6.3781031246032738E-2</v>
      </c>
      <c r="I803" s="336">
        <v>6.3223047191488793E-3</v>
      </c>
      <c r="J803" s="258">
        <f t="shared" si="301"/>
        <v>6.3223047191488793E-3</v>
      </c>
      <c r="K803" s="249">
        <f t="shared" si="302"/>
        <v>9.9143623035456052</v>
      </c>
      <c r="L803" s="336">
        <v>0.98276271729232989</v>
      </c>
      <c r="M803" s="258">
        <f t="shared" si="303"/>
        <v>0.98276271729232989</v>
      </c>
      <c r="N803" s="251">
        <f t="shared" si="304"/>
        <v>0.11005354411080157</v>
      </c>
      <c r="O803" s="336">
        <v>1.090907480951179E-2</v>
      </c>
      <c r="P803" s="258">
        <f t="shared" si="305"/>
        <v>1.090907480951179E-2</v>
      </c>
      <c r="Q803" s="354">
        <v>9.8488517441860477</v>
      </c>
      <c r="R803" s="249">
        <f t="shared" si="306"/>
        <v>10.088256431686048</v>
      </c>
      <c r="S803" s="355">
        <v>0.1</v>
      </c>
      <c r="T803" s="355"/>
      <c r="U803" s="315">
        <f t="shared" si="296"/>
        <v>11.097082074854653</v>
      </c>
      <c r="V803" s="315">
        <f t="shared" si="297"/>
        <v>12</v>
      </c>
      <c r="W803" s="316">
        <f t="shared" si="307"/>
        <v>0</v>
      </c>
    </row>
    <row r="804" spans="1:23" x14ac:dyDescent="0.25">
      <c r="A804" s="204" t="s">
        <v>16442</v>
      </c>
      <c r="B804" s="351" t="s">
        <v>20539</v>
      </c>
      <c r="C804" s="352"/>
      <c r="D804" s="353" t="s">
        <v>14859</v>
      </c>
      <c r="E804" s="249">
        <f t="shared" si="298"/>
        <v>0</v>
      </c>
      <c r="F804" s="336">
        <v>0</v>
      </c>
      <c r="G804" s="258">
        <f t="shared" si="299"/>
        <v>0</v>
      </c>
      <c r="H804" s="249">
        <f t="shared" si="300"/>
        <v>10.970402146329478</v>
      </c>
      <c r="I804" s="336">
        <v>6.3223047191488801E-3</v>
      </c>
      <c r="J804" s="258">
        <f t="shared" si="301"/>
        <v>6.3223047191488801E-3</v>
      </c>
      <c r="K804" s="249">
        <f t="shared" si="302"/>
        <v>1705.2906277531413</v>
      </c>
      <c r="L804" s="336">
        <v>0.98276862047133928</v>
      </c>
      <c r="M804" s="258">
        <f t="shared" si="303"/>
        <v>0.98276862047133928</v>
      </c>
      <c r="N804" s="251">
        <f t="shared" si="304"/>
        <v>18.929321350529293</v>
      </c>
      <c r="O804" s="336">
        <v>1.0909074809511792E-2</v>
      </c>
      <c r="P804" s="258">
        <f t="shared" si="305"/>
        <v>1.0909074809511792E-2</v>
      </c>
      <c r="Q804" s="354">
        <v>1694.0025000000001</v>
      </c>
      <c r="R804" s="249">
        <f t="shared" si="306"/>
        <v>1735.19035125</v>
      </c>
      <c r="S804" s="355">
        <v>0.1</v>
      </c>
      <c r="T804" s="355"/>
      <c r="U804" s="315">
        <f t="shared" si="296"/>
        <v>1908.7093863750001</v>
      </c>
      <c r="V804" s="315">
        <f t="shared" si="297"/>
        <v>1925</v>
      </c>
      <c r="W804" s="316">
        <f t="shared" si="307"/>
        <v>0</v>
      </c>
    </row>
    <row r="805" spans="1:23" x14ac:dyDescent="0.25">
      <c r="A805" s="204" t="s">
        <v>16443</v>
      </c>
      <c r="B805" s="351" t="s">
        <v>20540</v>
      </c>
      <c r="C805" s="352"/>
      <c r="D805" s="353" t="s">
        <v>5</v>
      </c>
      <c r="E805" s="249">
        <f t="shared" si="298"/>
        <v>0</v>
      </c>
      <c r="F805" s="336">
        <v>0</v>
      </c>
      <c r="G805" s="258">
        <f t="shared" si="299"/>
        <v>0</v>
      </c>
      <c r="H805" s="249">
        <f t="shared" si="300"/>
        <v>6.3782419093752027E-2</v>
      </c>
      <c r="I805" s="336">
        <v>5.5888398539074135E-3</v>
      </c>
      <c r="J805" s="258">
        <f t="shared" si="301"/>
        <v>5.5888398539074135E-3</v>
      </c>
      <c r="K805" s="249">
        <f t="shared" si="302"/>
        <v>11.238563486254176</v>
      </c>
      <c r="L805" s="336">
        <v>0.98476245343285751</v>
      </c>
      <c r="M805" s="258">
        <f t="shared" si="303"/>
        <v>0.98476245343285751</v>
      </c>
      <c r="N805" s="251">
        <f t="shared" si="304"/>
        <v>0.11005593882843485</v>
      </c>
      <c r="O805" s="336">
        <v>9.6434883753696542E-3</v>
      </c>
      <c r="P805" s="258">
        <f t="shared" si="305"/>
        <v>9.6434883753696542E-3</v>
      </c>
      <c r="Q805" s="354">
        <v>11.141389534883722</v>
      </c>
      <c r="R805" s="249">
        <f t="shared" si="306"/>
        <v>11.412461398255815</v>
      </c>
      <c r="S805" s="355">
        <v>0.1</v>
      </c>
      <c r="T805" s="355"/>
      <c r="U805" s="315">
        <f t="shared" si="296"/>
        <v>12.553707538081396</v>
      </c>
      <c r="V805" s="315">
        <f t="shared" si="297"/>
        <v>13</v>
      </c>
      <c r="W805" s="316">
        <f>C805*V805</f>
        <v>0</v>
      </c>
    </row>
    <row r="806" spans="1:23" x14ac:dyDescent="0.25">
      <c r="A806" s="204" t="s">
        <v>16444</v>
      </c>
      <c r="B806" s="351" t="s">
        <v>20541</v>
      </c>
      <c r="C806" s="352"/>
      <c r="D806" s="353" t="s">
        <v>14859</v>
      </c>
      <c r="E806" s="249">
        <f t="shared" si="298"/>
        <v>0</v>
      </c>
      <c r="F806" s="336">
        <v>0</v>
      </c>
      <c r="G806" s="258">
        <f t="shared" si="299"/>
        <v>0</v>
      </c>
      <c r="H806" s="249">
        <f t="shared" si="300"/>
        <v>10.97063334178965</v>
      </c>
      <c r="I806" s="336">
        <v>5.5888398539074135E-3</v>
      </c>
      <c r="J806" s="258">
        <f t="shared" si="301"/>
        <v>5.5888398539074135E-3</v>
      </c>
      <c r="K806" s="249">
        <f t="shared" si="302"/>
        <v>1933.0532518821813</v>
      </c>
      <c r="L806" s="336">
        <v>0.98476767177072289</v>
      </c>
      <c r="M806" s="258">
        <f t="shared" si="303"/>
        <v>0.98476767177072289</v>
      </c>
      <c r="N806" s="251">
        <f t="shared" si="304"/>
        <v>18.929720276029201</v>
      </c>
      <c r="O806" s="336">
        <v>9.6434883753696542E-3</v>
      </c>
      <c r="P806" s="258">
        <f t="shared" si="305"/>
        <v>9.6434883753696542E-3</v>
      </c>
      <c r="Q806" s="354">
        <v>1916.319</v>
      </c>
      <c r="R806" s="249">
        <f t="shared" si="306"/>
        <v>1962.9536055000001</v>
      </c>
      <c r="S806" s="355">
        <v>0.1</v>
      </c>
      <c r="T806" s="355"/>
      <c r="U806" s="315">
        <f t="shared" ref="U806:U868" si="308">(R806*S806)+R806</f>
        <v>2159.24896605</v>
      </c>
      <c r="V806" s="315">
        <f t="shared" ref="V806:V868" si="309">IF(U806=0, 0, IF(U806&lt;10, _xlfn.CEILING.MATH(U806,1), IF(U806&lt;100, _xlfn.CEILING.MATH(U806,1),IF(U806&lt;1000, _xlfn.CEILING.MATH(U806,5), IF(U806&lt;10000, _xlfn.CEILING.MATH(U806, 25), IF(U806&lt;100000, _xlfn.CEILING.MATH(U806,250), IF(U806&lt;1000000, _xlfn.CEILING.MATH(U806,500), 0)))))))</f>
        <v>2175</v>
      </c>
      <c r="W806" s="316">
        <f>C806*V806</f>
        <v>0</v>
      </c>
    </row>
    <row r="807" spans="1:23" x14ac:dyDescent="0.25">
      <c r="A807" s="204" t="s">
        <v>16445</v>
      </c>
      <c r="B807" s="351" t="s">
        <v>20542</v>
      </c>
      <c r="C807" s="352"/>
      <c r="D807" s="353" t="s">
        <v>5</v>
      </c>
      <c r="E807" s="249">
        <f t="shared" si="298"/>
        <v>0</v>
      </c>
      <c r="F807" s="336">
        <v>0</v>
      </c>
      <c r="G807" s="258">
        <f t="shared" si="299"/>
        <v>0</v>
      </c>
      <c r="H807" s="249">
        <f t="shared" si="300"/>
        <v>6.3784192986557214E-2</v>
      </c>
      <c r="I807" s="336">
        <v>4.6513536807256117E-3</v>
      </c>
      <c r="J807" s="258">
        <f t="shared" si="301"/>
        <v>4.6513536807256117E-3</v>
      </c>
      <c r="K807" s="249">
        <f t="shared" si="302"/>
        <v>13.539135942021591</v>
      </c>
      <c r="L807" s="336">
        <v>0.9873184381440534</v>
      </c>
      <c r="M807" s="258">
        <f t="shared" si="303"/>
        <v>0.9873184381440534</v>
      </c>
      <c r="N807" s="251">
        <f t="shared" si="304"/>
        <v>0.11005899966307911</v>
      </c>
      <c r="O807" s="336">
        <v>8.0258651745853688E-3</v>
      </c>
      <c r="P807" s="258">
        <f t="shared" si="305"/>
        <v>8.0258651745853688E-3</v>
      </c>
      <c r="Q807" s="354">
        <v>13.386950581395348</v>
      </c>
      <c r="R807" s="249">
        <f t="shared" si="306"/>
        <v>13.713038690406977</v>
      </c>
      <c r="S807" s="355">
        <v>0.1</v>
      </c>
      <c r="T807" s="355"/>
      <c r="U807" s="315">
        <f t="shared" si="308"/>
        <v>15.084342559447675</v>
      </c>
      <c r="V807" s="315">
        <f t="shared" si="309"/>
        <v>16</v>
      </c>
      <c r="W807" s="316">
        <f>C807*V807</f>
        <v>0</v>
      </c>
    </row>
    <row r="808" spans="1:23" x14ac:dyDescent="0.25">
      <c r="A808" s="204" t="s">
        <v>16446</v>
      </c>
      <c r="B808" s="351" t="s">
        <v>20543</v>
      </c>
      <c r="C808" s="352"/>
      <c r="D808" s="353" t="s">
        <v>14859</v>
      </c>
      <c r="E808" s="249">
        <f t="shared" si="298"/>
        <v>0</v>
      </c>
      <c r="F808" s="336">
        <v>0</v>
      </c>
      <c r="G808" s="258">
        <f t="shared" si="299"/>
        <v>0</v>
      </c>
      <c r="H808" s="249">
        <f t="shared" si="300"/>
        <v>10.9709288468063</v>
      </c>
      <c r="I808" s="336">
        <v>4.6513536807256117E-3</v>
      </c>
      <c r="J808" s="258">
        <f t="shared" si="301"/>
        <v>4.6513536807256117E-3</v>
      </c>
      <c r="K808" s="249">
        <f t="shared" si="302"/>
        <v>2328.7517407361552</v>
      </c>
      <c r="L808" s="336">
        <v>0.98732278114468897</v>
      </c>
      <c r="M808" s="258">
        <f t="shared" si="303"/>
        <v>0.98732278114468897</v>
      </c>
      <c r="N808" s="251">
        <f t="shared" si="304"/>
        <v>18.930230167038321</v>
      </c>
      <c r="O808" s="336">
        <v>8.0258651745853688E-3</v>
      </c>
      <c r="P808" s="258">
        <f t="shared" si="305"/>
        <v>8.0258651745853688E-3</v>
      </c>
      <c r="Q808" s="354">
        <v>2302.5554999999999</v>
      </c>
      <c r="R808" s="249">
        <f t="shared" si="306"/>
        <v>2358.65289975</v>
      </c>
      <c r="S808" s="355">
        <v>0.1</v>
      </c>
      <c r="T808" s="355"/>
      <c r="U808" s="315">
        <f t="shared" si="308"/>
        <v>2594.518189725</v>
      </c>
      <c r="V808" s="315">
        <f t="shared" si="309"/>
        <v>2600</v>
      </c>
      <c r="W808" s="316">
        <f>C808*V808</f>
        <v>0</v>
      </c>
    </row>
    <row r="809" spans="1:23" x14ac:dyDescent="0.25">
      <c r="A809" s="203" t="s">
        <v>16447</v>
      </c>
      <c r="B809" s="345" t="s">
        <v>16448</v>
      </c>
      <c r="C809" s="346"/>
      <c r="D809" s="347"/>
      <c r="E809" s="347"/>
      <c r="F809" s="347"/>
      <c r="G809" s="347"/>
      <c r="H809" s="347"/>
      <c r="I809" s="347"/>
      <c r="J809" s="347"/>
      <c r="K809" s="347"/>
      <c r="L809" s="347"/>
      <c r="M809" s="347"/>
      <c r="N809" s="347"/>
      <c r="O809" s="347"/>
      <c r="P809" s="347"/>
      <c r="Q809" s="347"/>
      <c r="R809" s="347"/>
      <c r="S809" s="347"/>
      <c r="T809" s="348"/>
      <c r="U809" s="349"/>
      <c r="V809" s="349"/>
      <c r="W809" s="350"/>
    </row>
    <row r="810" spans="1:23" x14ac:dyDescent="0.25">
      <c r="A810" s="204" t="s">
        <v>16449</v>
      </c>
      <c r="B810" s="351" t="s">
        <v>20544</v>
      </c>
      <c r="C810" s="352"/>
      <c r="D810" s="353" t="s">
        <v>14859</v>
      </c>
      <c r="E810" s="249">
        <f t="shared" si="298"/>
        <v>0</v>
      </c>
      <c r="F810" s="336">
        <v>0</v>
      </c>
      <c r="G810" s="258">
        <f t="shared" si="299"/>
        <v>0</v>
      </c>
      <c r="H810" s="249">
        <f t="shared" si="300"/>
        <v>10.969538311226335</v>
      </c>
      <c r="I810" s="336">
        <v>9.0628113754783676E-3</v>
      </c>
      <c r="J810" s="258">
        <f t="shared" si="301"/>
        <v>9.0628113754783676E-3</v>
      </c>
      <c r="K810" s="249">
        <f t="shared" si="302"/>
        <v>1180.492857127246</v>
      </c>
      <c r="L810" s="336">
        <v>0.97529939644722563</v>
      </c>
      <c r="M810" s="258">
        <f t="shared" si="303"/>
        <v>0.97529939644722563</v>
      </c>
      <c r="N810" s="251">
        <f t="shared" si="304"/>
        <v>18.927830811527794</v>
      </c>
      <c r="O810" s="336">
        <v>1.5637792177296005E-2</v>
      </c>
      <c r="P810" s="258">
        <f t="shared" si="305"/>
        <v>1.5637792177296005E-2</v>
      </c>
      <c r="Q810" s="354">
        <v>1181.7525000000001</v>
      </c>
      <c r="R810" s="249">
        <f t="shared" si="306"/>
        <v>1210.3902262500001</v>
      </c>
      <c r="S810" s="355">
        <v>0.1</v>
      </c>
      <c r="T810" s="355"/>
      <c r="U810" s="315">
        <f t="shared" si="308"/>
        <v>1331.429248875</v>
      </c>
      <c r="V810" s="315">
        <f t="shared" si="309"/>
        <v>1350</v>
      </c>
      <c r="W810" s="316">
        <f t="shared" ref="W810:W868" si="310">C810*V810</f>
        <v>0</v>
      </c>
    </row>
    <row r="811" spans="1:23" x14ac:dyDescent="0.25">
      <c r="A811" s="204" t="s">
        <v>16450</v>
      </c>
      <c r="B811" s="351" t="s">
        <v>20545</v>
      </c>
      <c r="C811" s="352"/>
      <c r="D811" s="353" t="s">
        <v>5</v>
      </c>
      <c r="E811" s="249">
        <f t="shared" si="298"/>
        <v>0</v>
      </c>
      <c r="F811" s="336">
        <v>0</v>
      </c>
      <c r="G811" s="258">
        <f t="shared" si="299"/>
        <v>0</v>
      </c>
      <c r="H811" s="249">
        <f t="shared" si="300"/>
        <v>6.3775845713510429E-2</v>
      </c>
      <c r="I811" s="336">
        <v>9.0628113754783676E-3</v>
      </c>
      <c r="J811" s="258">
        <f t="shared" si="301"/>
        <v>9.0628113754783676E-3</v>
      </c>
      <c r="K811" s="249">
        <f t="shared" si="302"/>
        <v>6.8632129240635589</v>
      </c>
      <c r="L811" s="336">
        <v>0.97529093443847159</v>
      </c>
      <c r="M811" s="258">
        <f t="shared" si="303"/>
        <v>0.97529093443847159</v>
      </c>
      <c r="N811" s="251">
        <f t="shared" si="304"/>
        <v>0.11004459652527288</v>
      </c>
      <c r="O811" s="336">
        <v>1.5637792177296005E-2</v>
      </c>
      <c r="P811" s="258">
        <f t="shared" si="305"/>
        <v>1.5637792177296005E-2</v>
      </c>
      <c r="Q811" s="354">
        <v>6.8706540697674425</v>
      </c>
      <c r="R811" s="249">
        <f t="shared" si="306"/>
        <v>7.0370929142441856</v>
      </c>
      <c r="S811" s="355">
        <v>0.1</v>
      </c>
      <c r="T811" s="355"/>
      <c r="U811" s="315">
        <f t="shared" si="308"/>
        <v>7.7408022056686043</v>
      </c>
      <c r="V811" s="315">
        <f t="shared" si="309"/>
        <v>8</v>
      </c>
      <c r="W811" s="316">
        <f t="shared" si="310"/>
        <v>0</v>
      </c>
    </row>
    <row r="812" spans="1:23" x14ac:dyDescent="0.25">
      <c r="A812" s="204" t="s">
        <v>16451</v>
      </c>
      <c r="B812" s="351" t="s">
        <v>20546</v>
      </c>
      <c r="C812" s="352"/>
      <c r="D812" s="353" t="s">
        <v>14859</v>
      </c>
      <c r="E812" s="249">
        <f t="shared" si="298"/>
        <v>0</v>
      </c>
      <c r="F812" s="336">
        <v>0</v>
      </c>
      <c r="G812" s="258">
        <f t="shared" si="299"/>
        <v>0</v>
      </c>
      <c r="H812" s="249">
        <f t="shared" si="300"/>
        <v>10.97000458524073</v>
      </c>
      <c r="I812" s="336">
        <v>7.5835625750124798E-3</v>
      </c>
      <c r="J812" s="258">
        <f t="shared" si="301"/>
        <v>7.5835625750124798E-3</v>
      </c>
      <c r="K812" s="249">
        <f t="shared" si="302"/>
        <v>1416.651642551991</v>
      </c>
      <c r="L812" s="336">
        <v>0.97933107455045609</v>
      </c>
      <c r="M812" s="258">
        <f t="shared" si="303"/>
        <v>0.97933107455045609</v>
      </c>
      <c r="N812" s="251">
        <f t="shared" si="304"/>
        <v>18.928635362768318</v>
      </c>
      <c r="O812" s="336">
        <v>1.3085362874531338E-2</v>
      </c>
      <c r="P812" s="258">
        <f t="shared" si="305"/>
        <v>1.3085362874531338E-2</v>
      </c>
      <c r="Q812" s="354">
        <v>1412.2650000000001</v>
      </c>
      <c r="R812" s="249">
        <f t="shared" si="306"/>
        <v>1446.5502825000001</v>
      </c>
      <c r="S812" s="355">
        <v>0.1</v>
      </c>
      <c r="T812" s="355"/>
      <c r="U812" s="315">
        <f t="shared" si="308"/>
        <v>1591.2053107500001</v>
      </c>
      <c r="V812" s="315">
        <f t="shared" si="309"/>
        <v>1600</v>
      </c>
      <c r="W812" s="316">
        <f t="shared" si="310"/>
        <v>0</v>
      </c>
    </row>
    <row r="813" spans="1:23" x14ac:dyDescent="0.25">
      <c r="A813" s="204" t="s">
        <v>16452</v>
      </c>
      <c r="B813" s="351" t="s">
        <v>20547</v>
      </c>
      <c r="C813" s="352"/>
      <c r="D813" s="353" t="s">
        <v>5</v>
      </c>
      <c r="E813" s="249">
        <f t="shared" si="298"/>
        <v>0</v>
      </c>
      <c r="F813" s="336">
        <v>0</v>
      </c>
      <c r="G813" s="258">
        <f t="shared" si="299"/>
        <v>0</v>
      </c>
      <c r="H813" s="249">
        <f t="shared" si="300"/>
        <v>6.3778644718849697E-2</v>
      </c>
      <c r="I813" s="336">
        <v>7.5835625750124806E-3</v>
      </c>
      <c r="J813" s="258">
        <f t="shared" si="301"/>
        <v>7.5835625750124806E-3</v>
      </c>
      <c r="K813" s="249">
        <f t="shared" si="302"/>
        <v>8.2362288756373321</v>
      </c>
      <c r="L813" s="336">
        <v>0.97932399372638967</v>
      </c>
      <c r="M813" s="258">
        <f t="shared" si="303"/>
        <v>0.97932399372638967</v>
      </c>
      <c r="N813" s="251">
        <f t="shared" si="304"/>
        <v>0.11004942618154456</v>
      </c>
      <c r="O813" s="336">
        <v>1.3085362874531338E-2</v>
      </c>
      <c r="P813" s="258">
        <f t="shared" si="305"/>
        <v>1.3085362874531338E-2</v>
      </c>
      <c r="Q813" s="354">
        <v>8.2108430232558138</v>
      </c>
      <c r="R813" s="249">
        <f t="shared" si="306"/>
        <v>8.4101164970930213</v>
      </c>
      <c r="S813" s="355">
        <v>0.1</v>
      </c>
      <c r="T813" s="355"/>
      <c r="U813" s="315">
        <f t="shared" si="308"/>
        <v>9.2511281468023228</v>
      </c>
      <c r="V813" s="315">
        <f t="shared" si="309"/>
        <v>10</v>
      </c>
      <c r="W813" s="316">
        <f t="shared" si="310"/>
        <v>0</v>
      </c>
    </row>
    <row r="814" spans="1:23" x14ac:dyDescent="0.25">
      <c r="A814" s="203" t="s">
        <v>16453</v>
      </c>
      <c r="B814" s="345" t="s">
        <v>16454</v>
      </c>
      <c r="C814" s="346"/>
      <c r="D814" s="347"/>
      <c r="E814" s="347"/>
      <c r="F814" s="347"/>
      <c r="G814" s="347"/>
      <c r="H814" s="347"/>
      <c r="I814" s="347"/>
      <c r="J814" s="347"/>
      <c r="K814" s="347"/>
      <c r="L814" s="347"/>
      <c r="M814" s="347"/>
      <c r="N814" s="347"/>
      <c r="O814" s="347"/>
      <c r="P814" s="347"/>
      <c r="Q814" s="347"/>
      <c r="R814" s="347"/>
      <c r="S814" s="347"/>
      <c r="T814" s="348"/>
      <c r="U814" s="349"/>
      <c r="V814" s="349"/>
      <c r="W814" s="350"/>
    </row>
    <row r="815" spans="1:23" x14ac:dyDescent="0.25">
      <c r="A815" s="204" t="s">
        <v>16455</v>
      </c>
      <c r="B815" s="351" t="s">
        <v>20548</v>
      </c>
      <c r="C815" s="352"/>
      <c r="D815" s="353" t="s">
        <v>5</v>
      </c>
      <c r="E815" s="249">
        <f t="shared" si="298"/>
        <v>0</v>
      </c>
      <c r="F815" s="336">
        <v>0</v>
      </c>
      <c r="G815" s="258">
        <f t="shared" si="299"/>
        <v>0</v>
      </c>
      <c r="H815" s="249">
        <f t="shared" si="300"/>
        <v>6.3655142373787291E-2</v>
      </c>
      <c r="I815" s="336">
        <v>7.2853425845620129E-2</v>
      </c>
      <c r="J815" s="258">
        <f t="shared" si="301"/>
        <v>7.2853425845620129E-2</v>
      </c>
      <c r="K815" s="249">
        <f t="shared" si="302"/>
        <v>0.70019170730158231</v>
      </c>
      <c r="L815" s="336">
        <v>0.80137067836675002</v>
      </c>
      <c r="M815" s="258">
        <f t="shared" si="303"/>
        <v>0.80137067836675002</v>
      </c>
      <c r="N815" s="251">
        <f t="shared" si="304"/>
        <v>0.10983632409594669</v>
      </c>
      <c r="O815" s="336">
        <v>0.12570787204734452</v>
      </c>
      <c r="P815" s="258">
        <f t="shared" si="305"/>
        <v>0.12570787204734452</v>
      </c>
      <c r="Q815" s="354">
        <v>0.85469476744186046</v>
      </c>
      <c r="R815" s="249">
        <f t="shared" si="306"/>
        <v>0.87374260901162792</v>
      </c>
      <c r="S815" s="355">
        <v>0.1</v>
      </c>
      <c r="T815" s="355"/>
      <c r="U815" s="315">
        <f t="shared" si="308"/>
        <v>0.96111686991279077</v>
      </c>
      <c r="V815" s="315">
        <f t="shared" si="309"/>
        <v>1</v>
      </c>
      <c r="W815" s="316">
        <f t="shared" si="310"/>
        <v>0</v>
      </c>
    </row>
    <row r="816" spans="1:23" x14ac:dyDescent="0.25">
      <c r="A816" s="204" t="s">
        <v>16456</v>
      </c>
      <c r="B816" s="351" t="s">
        <v>20549</v>
      </c>
      <c r="C816" s="352"/>
      <c r="D816" s="353" t="s">
        <v>14859</v>
      </c>
      <c r="E816" s="249">
        <f t="shared" si="298"/>
        <v>0</v>
      </c>
      <c r="F816" s="336">
        <v>0</v>
      </c>
      <c r="G816" s="258">
        <f t="shared" si="299"/>
        <v>0</v>
      </c>
      <c r="H816" s="249">
        <f t="shared" si="300"/>
        <v>10.949430871639203</v>
      </c>
      <c r="I816" s="336">
        <v>7.2853425845620129E-2</v>
      </c>
      <c r="J816" s="258">
        <f t="shared" si="301"/>
        <v>7.2853425845620129E-2</v>
      </c>
      <c r="K816" s="249">
        <f t="shared" si="302"/>
        <v>120.45140725670882</v>
      </c>
      <c r="L816" s="336">
        <v>0.80143870210703527</v>
      </c>
      <c r="M816" s="258">
        <f t="shared" si="303"/>
        <v>0.80143870210703527</v>
      </c>
      <c r="N816" s="251">
        <f t="shared" si="304"/>
        <v>18.893135621651957</v>
      </c>
      <c r="O816" s="336">
        <v>0.12570787204734454</v>
      </c>
      <c r="P816" s="258">
        <f t="shared" si="305"/>
        <v>0.12570787204734454</v>
      </c>
      <c r="Q816" s="354">
        <v>147.00749999999999</v>
      </c>
      <c r="R816" s="249">
        <f t="shared" si="306"/>
        <v>150.29397374999999</v>
      </c>
      <c r="S816" s="355">
        <v>0.1</v>
      </c>
      <c r="T816" s="355"/>
      <c r="U816" s="315">
        <f t="shared" si="308"/>
        <v>165.32337112499999</v>
      </c>
      <c r="V816" s="315">
        <f t="shared" si="309"/>
        <v>170</v>
      </c>
      <c r="W816" s="316">
        <f t="shared" si="310"/>
        <v>0</v>
      </c>
    </row>
    <row r="817" spans="1:23" x14ac:dyDescent="0.25">
      <c r="A817" s="204" t="s">
        <v>16457</v>
      </c>
      <c r="B817" s="351" t="s">
        <v>20550</v>
      </c>
      <c r="C817" s="352"/>
      <c r="D817" s="353" t="s">
        <v>5</v>
      </c>
      <c r="E817" s="249">
        <f t="shared" si="298"/>
        <v>0</v>
      </c>
      <c r="F817" s="336">
        <v>0</v>
      </c>
      <c r="G817" s="258">
        <f t="shared" si="299"/>
        <v>0</v>
      </c>
      <c r="H817" s="249">
        <f t="shared" si="300"/>
        <v>6.3706801074644631E-2</v>
      </c>
      <c r="I817" s="336">
        <v>4.5552273466757692E-2</v>
      </c>
      <c r="J817" s="258">
        <f t="shared" si="301"/>
        <v>4.5552273466757692E-2</v>
      </c>
      <c r="K817" s="249">
        <f t="shared" si="302"/>
        <v>1.2248509887847723</v>
      </c>
      <c r="L817" s="336">
        <v>0.87580519278904534</v>
      </c>
      <c r="M817" s="258">
        <f t="shared" si="303"/>
        <v>0.87580519278904534</v>
      </c>
      <c r="N817" s="251">
        <f t="shared" si="304"/>
        <v>0.10992546067781819</v>
      </c>
      <c r="O817" s="336">
        <v>7.8600001275974052E-2</v>
      </c>
      <c r="P817" s="258">
        <f t="shared" si="305"/>
        <v>7.8600001275974052E-2</v>
      </c>
      <c r="Q817" s="354">
        <v>1.3669447674418604</v>
      </c>
      <c r="R817" s="249">
        <f t="shared" si="306"/>
        <v>1.3985427340116279</v>
      </c>
      <c r="S817" s="355">
        <v>0.1</v>
      </c>
      <c r="T817" s="355"/>
      <c r="U817" s="315">
        <f t="shared" si="308"/>
        <v>1.5383970074127906</v>
      </c>
      <c r="V817" s="315">
        <f t="shared" si="309"/>
        <v>2</v>
      </c>
      <c r="W817" s="316">
        <f t="shared" si="310"/>
        <v>0</v>
      </c>
    </row>
    <row r="818" spans="1:23" x14ac:dyDescent="0.25">
      <c r="A818" s="204" t="s">
        <v>16458</v>
      </c>
      <c r="B818" s="351" t="s">
        <v>20551</v>
      </c>
      <c r="C818" s="352"/>
      <c r="D818" s="353" t="s">
        <v>14859</v>
      </c>
      <c r="E818" s="249">
        <f t="shared" si="298"/>
        <v>0</v>
      </c>
      <c r="F818" s="336">
        <v>0</v>
      </c>
      <c r="G818" s="258">
        <f t="shared" si="299"/>
        <v>0</v>
      </c>
      <c r="H818" s="249">
        <f t="shared" si="300"/>
        <v>10.958036467880545</v>
      </c>
      <c r="I818" s="336">
        <v>4.5552273466757692E-2</v>
      </c>
      <c r="J818" s="258">
        <f t="shared" si="301"/>
        <v>4.5552273466757692E-2</v>
      </c>
      <c r="K818" s="249">
        <f t="shared" si="302"/>
        <v>210.69357428852166</v>
      </c>
      <c r="L818" s="336">
        <v>0.87584772525726828</v>
      </c>
      <c r="M818" s="258">
        <f t="shared" si="303"/>
        <v>0.87584772525726828</v>
      </c>
      <c r="N818" s="251">
        <f t="shared" si="304"/>
        <v>18.907984493597802</v>
      </c>
      <c r="O818" s="336">
        <v>7.8600001275974052E-2</v>
      </c>
      <c r="P818" s="258">
        <f t="shared" si="305"/>
        <v>7.8600001275974052E-2</v>
      </c>
      <c r="Q818" s="354">
        <v>235.11449999999999</v>
      </c>
      <c r="R818" s="249">
        <f t="shared" si="306"/>
        <v>240.55959525</v>
      </c>
      <c r="S818" s="355">
        <v>0.1</v>
      </c>
      <c r="T818" s="355"/>
      <c r="U818" s="315">
        <f t="shared" si="308"/>
        <v>264.61555477500002</v>
      </c>
      <c r="V818" s="315">
        <f t="shared" si="309"/>
        <v>265</v>
      </c>
      <c r="W818" s="316">
        <f t="shared" si="310"/>
        <v>0</v>
      </c>
    </row>
    <row r="819" spans="1:23" x14ac:dyDescent="0.25">
      <c r="A819" s="204" t="s">
        <v>16459</v>
      </c>
      <c r="B819" s="351" t="s">
        <v>20552</v>
      </c>
      <c r="C819" s="352"/>
      <c r="D819" s="353" t="s">
        <v>5</v>
      </c>
      <c r="E819" s="249">
        <f t="shared" si="298"/>
        <v>0</v>
      </c>
      <c r="F819" s="336">
        <v>0</v>
      </c>
      <c r="G819" s="258">
        <f t="shared" si="299"/>
        <v>0</v>
      </c>
      <c r="H819" s="249">
        <f t="shared" si="300"/>
        <v>6.3746395834523156E-2</v>
      </c>
      <c r="I819" s="336">
        <v>2.4626803896139731E-2</v>
      </c>
      <c r="J819" s="258">
        <f t="shared" si="301"/>
        <v>2.4626803896139731E-2</v>
      </c>
      <c r="K819" s="249">
        <f t="shared" si="302"/>
        <v>2.4146968084873355</v>
      </c>
      <c r="L819" s="336">
        <v>0.93285689320566934</v>
      </c>
      <c r="M819" s="258">
        <f t="shared" si="303"/>
        <v>0.93285689320566934</v>
      </c>
      <c r="N819" s="251">
        <f t="shared" si="304"/>
        <v>0.10999378104780465</v>
      </c>
      <c r="O819" s="336">
        <v>4.2493308683535222E-2</v>
      </c>
      <c r="P819" s="258">
        <f t="shared" si="305"/>
        <v>4.2493308683535222E-2</v>
      </c>
      <c r="Q819" s="354">
        <v>2.5284418604651164</v>
      </c>
      <c r="R819" s="249">
        <f t="shared" si="306"/>
        <v>2.5884965058139535</v>
      </c>
      <c r="S819" s="355">
        <v>0.1</v>
      </c>
      <c r="T819" s="355"/>
      <c r="U819" s="315">
        <f t="shared" si="308"/>
        <v>2.847346156395349</v>
      </c>
      <c r="V819" s="315">
        <f t="shared" si="309"/>
        <v>3</v>
      </c>
      <c r="W819" s="316">
        <f t="shared" si="310"/>
        <v>0</v>
      </c>
    </row>
    <row r="820" spans="1:23" x14ac:dyDescent="0.25">
      <c r="A820" s="204" t="s">
        <v>16460</v>
      </c>
      <c r="B820" s="351" t="s">
        <v>20553</v>
      </c>
      <c r="C820" s="352"/>
      <c r="D820" s="353" t="s">
        <v>14859</v>
      </c>
      <c r="E820" s="249">
        <f t="shared" si="298"/>
        <v>0</v>
      </c>
      <c r="F820" s="336">
        <v>0</v>
      </c>
      <c r="G820" s="258">
        <f t="shared" si="299"/>
        <v>0</v>
      </c>
      <c r="H820" s="249">
        <f t="shared" si="300"/>
        <v>10.964632385143899</v>
      </c>
      <c r="I820" s="336">
        <v>2.4626803896139735E-2</v>
      </c>
      <c r="J820" s="258">
        <f t="shared" si="301"/>
        <v>2.4626803896139735E-2</v>
      </c>
      <c r="K820" s="249">
        <f t="shared" si="302"/>
        <v>415.34764593068621</v>
      </c>
      <c r="L820" s="336">
        <v>0.93287988742032502</v>
      </c>
      <c r="M820" s="258">
        <f t="shared" si="303"/>
        <v>0.93287988742032502</v>
      </c>
      <c r="N820" s="251">
        <f t="shared" si="304"/>
        <v>18.919365684169861</v>
      </c>
      <c r="O820" s="336">
        <v>4.2493308683535222E-2</v>
      </c>
      <c r="P820" s="258">
        <f t="shared" si="305"/>
        <v>4.2493308683535222E-2</v>
      </c>
      <c r="Q820" s="354">
        <v>434.892</v>
      </c>
      <c r="R820" s="249">
        <f t="shared" si="306"/>
        <v>445.23164399999996</v>
      </c>
      <c r="S820" s="355">
        <v>0.1</v>
      </c>
      <c r="T820" s="355"/>
      <c r="U820" s="315">
        <f t="shared" si="308"/>
        <v>489.75480839999994</v>
      </c>
      <c r="V820" s="315">
        <f t="shared" si="309"/>
        <v>490</v>
      </c>
      <c r="W820" s="316">
        <f t="shared" si="310"/>
        <v>0</v>
      </c>
    </row>
    <row r="821" spans="1:23" x14ac:dyDescent="0.25">
      <c r="A821" s="204" t="s">
        <v>16461</v>
      </c>
      <c r="B821" s="351" t="s">
        <v>20554</v>
      </c>
      <c r="C821" s="352"/>
      <c r="D821" s="353" t="s">
        <v>5</v>
      </c>
      <c r="E821" s="249">
        <f t="shared" si="298"/>
        <v>0</v>
      </c>
      <c r="F821" s="336">
        <v>0</v>
      </c>
      <c r="G821" s="258">
        <f t="shared" si="299"/>
        <v>0</v>
      </c>
      <c r="H821" s="249">
        <f t="shared" si="300"/>
        <v>6.3750408679249096E-2</v>
      </c>
      <c r="I821" s="336">
        <v>2.2506052047609446E-2</v>
      </c>
      <c r="J821" s="258">
        <f t="shared" si="301"/>
        <v>2.2506052047609446E-2</v>
      </c>
      <c r="K821" s="249">
        <f t="shared" si="302"/>
        <v>2.6587789491669045</v>
      </c>
      <c r="L821" s="336">
        <v>0.93863896173761008</v>
      </c>
      <c r="M821" s="258">
        <f t="shared" si="303"/>
        <v>0.93863896173761008</v>
      </c>
      <c r="N821" s="251">
        <f t="shared" si="304"/>
        <v>0.11000070517203765</v>
      </c>
      <c r="O821" s="336">
        <v>3.8833972160581001E-2</v>
      </c>
      <c r="P821" s="258">
        <f t="shared" si="305"/>
        <v>3.8833972160581001E-2</v>
      </c>
      <c r="Q821" s="354">
        <v>2.7666976744186043</v>
      </c>
      <c r="R821" s="249">
        <f t="shared" si="306"/>
        <v>2.8325895872093017</v>
      </c>
      <c r="S821" s="355">
        <v>0.1</v>
      </c>
      <c r="T821" s="355"/>
      <c r="U821" s="315">
        <f t="shared" si="308"/>
        <v>3.1158485459302319</v>
      </c>
      <c r="V821" s="315">
        <f t="shared" si="309"/>
        <v>4</v>
      </c>
      <c r="W821" s="316">
        <f t="shared" si="310"/>
        <v>0</v>
      </c>
    </row>
    <row r="822" spans="1:23" x14ac:dyDescent="0.25">
      <c r="A822" s="204" t="s">
        <v>16462</v>
      </c>
      <c r="B822" s="351" t="s">
        <v>20555</v>
      </c>
      <c r="C822" s="352"/>
      <c r="D822" s="353" t="s">
        <v>14859</v>
      </c>
      <c r="E822" s="249">
        <f t="shared" si="298"/>
        <v>0</v>
      </c>
      <c r="F822" s="336">
        <v>0</v>
      </c>
      <c r="G822" s="258">
        <f t="shared" si="299"/>
        <v>0</v>
      </c>
      <c r="H822" s="249">
        <f t="shared" si="300"/>
        <v>10.965300867334074</v>
      </c>
      <c r="I822" s="336">
        <v>2.2506052047609446E-2</v>
      </c>
      <c r="J822" s="258">
        <f t="shared" si="301"/>
        <v>2.2506052047609446E-2</v>
      </c>
      <c r="K822" s="249">
        <f t="shared" si="302"/>
        <v>457.32983398903059</v>
      </c>
      <c r="L822" s="336">
        <v>0.9386599757918096</v>
      </c>
      <c r="M822" s="258">
        <f t="shared" si="303"/>
        <v>0.9386599757918096</v>
      </c>
      <c r="N822" s="251">
        <f t="shared" si="304"/>
        <v>18.920519143635261</v>
      </c>
      <c r="O822" s="336">
        <v>3.8833972160581001E-2</v>
      </c>
      <c r="P822" s="258">
        <f t="shared" si="305"/>
        <v>3.8833972160581001E-2</v>
      </c>
      <c r="Q822" s="354">
        <v>475.87199999999996</v>
      </c>
      <c r="R822" s="249">
        <f t="shared" si="306"/>
        <v>487.21565399999992</v>
      </c>
      <c r="S822" s="355">
        <v>0.1</v>
      </c>
      <c r="T822" s="355"/>
      <c r="U822" s="315">
        <f t="shared" si="308"/>
        <v>535.93721939999989</v>
      </c>
      <c r="V822" s="315">
        <f t="shared" si="309"/>
        <v>540</v>
      </c>
      <c r="W822" s="316">
        <f t="shared" si="310"/>
        <v>0</v>
      </c>
    </row>
    <row r="823" spans="1:23" x14ac:dyDescent="0.25">
      <c r="A823" s="204" t="s">
        <v>16463</v>
      </c>
      <c r="B823" s="351" t="s">
        <v>20556</v>
      </c>
      <c r="C823" s="352"/>
      <c r="D823" s="353" t="s">
        <v>5</v>
      </c>
      <c r="E823" s="249">
        <f t="shared" si="298"/>
        <v>0</v>
      </c>
      <c r="F823" s="336">
        <v>0</v>
      </c>
      <c r="G823" s="258">
        <f t="shared" si="299"/>
        <v>0</v>
      </c>
      <c r="H823" s="249">
        <f t="shared" si="300"/>
        <v>6.3753707311479543E-2</v>
      </c>
      <c r="I823" s="336">
        <v>2.0762754990767265E-2</v>
      </c>
      <c r="J823" s="258">
        <f t="shared" si="301"/>
        <v>2.0762754990767265E-2</v>
      </c>
      <c r="K823" s="249">
        <f t="shared" si="302"/>
        <v>2.89676071005761</v>
      </c>
      <c r="L823" s="336">
        <v>0.94339192850323017</v>
      </c>
      <c r="M823" s="258">
        <f t="shared" si="303"/>
        <v>0.94339192850323017</v>
      </c>
      <c r="N823" s="251">
        <f t="shared" si="304"/>
        <v>0.11000639692961173</v>
      </c>
      <c r="O823" s="336">
        <v>3.5825930180147431E-2</v>
      </c>
      <c r="P823" s="258">
        <f t="shared" si="305"/>
        <v>3.5825930180147431E-2</v>
      </c>
      <c r="Q823" s="354">
        <v>2.9989970930232559</v>
      </c>
      <c r="R823" s="249">
        <f t="shared" si="306"/>
        <v>3.0705803415697672</v>
      </c>
      <c r="S823" s="355">
        <v>0.1</v>
      </c>
      <c r="T823" s="355"/>
      <c r="U823" s="315">
        <f t="shared" si="308"/>
        <v>3.3776383757267441</v>
      </c>
      <c r="V823" s="315">
        <f t="shared" si="309"/>
        <v>4</v>
      </c>
      <c r="W823" s="316">
        <f t="shared" si="310"/>
        <v>0</v>
      </c>
    </row>
    <row r="824" spans="1:23" x14ac:dyDescent="0.25">
      <c r="A824" s="204" t="s">
        <v>16464</v>
      </c>
      <c r="B824" s="351" t="s">
        <v>20557</v>
      </c>
      <c r="C824" s="352"/>
      <c r="D824" s="353" t="s">
        <v>14859</v>
      </c>
      <c r="E824" s="249">
        <f t="shared" si="298"/>
        <v>0</v>
      </c>
      <c r="F824" s="336">
        <v>0</v>
      </c>
      <c r="G824" s="258">
        <f t="shared" si="299"/>
        <v>0</v>
      </c>
      <c r="H824" s="249">
        <f t="shared" si="300"/>
        <v>10.965850371999361</v>
      </c>
      <c r="I824" s="336">
        <v>2.0762754990767265E-2</v>
      </c>
      <c r="J824" s="258">
        <f t="shared" si="301"/>
        <v>2.0762754990767265E-2</v>
      </c>
      <c r="K824" s="249">
        <f t="shared" si="302"/>
        <v>498.2627460694527</v>
      </c>
      <c r="L824" s="336">
        <v>0.94341131482908536</v>
      </c>
      <c r="M824" s="258">
        <f t="shared" si="303"/>
        <v>0.94341131482908536</v>
      </c>
      <c r="N824" s="251">
        <f t="shared" si="304"/>
        <v>18.921467308547918</v>
      </c>
      <c r="O824" s="336">
        <v>3.5825930180147438E-2</v>
      </c>
      <c r="P824" s="258">
        <f t="shared" si="305"/>
        <v>3.5825930180147438E-2</v>
      </c>
      <c r="Q824" s="354">
        <v>515.82749999999999</v>
      </c>
      <c r="R824" s="249">
        <f t="shared" si="306"/>
        <v>528.15006374999996</v>
      </c>
      <c r="S824" s="355">
        <v>0.1</v>
      </c>
      <c r="T824" s="355"/>
      <c r="U824" s="315">
        <f t="shared" si="308"/>
        <v>580.96507012500001</v>
      </c>
      <c r="V824" s="315">
        <f t="shared" si="309"/>
        <v>585</v>
      </c>
      <c r="W824" s="316">
        <f t="shared" si="310"/>
        <v>0</v>
      </c>
    </row>
    <row r="825" spans="1:23" x14ac:dyDescent="0.25">
      <c r="A825" s="204" t="s">
        <v>16465</v>
      </c>
      <c r="B825" s="351" t="s">
        <v>20558</v>
      </c>
      <c r="C825" s="352"/>
      <c r="D825" s="353" t="s">
        <v>5</v>
      </c>
      <c r="E825" s="249">
        <f t="shared" si="298"/>
        <v>0</v>
      </c>
      <c r="F825" s="336">
        <v>0</v>
      </c>
      <c r="G825" s="258">
        <f t="shared" si="299"/>
        <v>0</v>
      </c>
      <c r="H825" s="249">
        <f t="shared" si="300"/>
        <v>6.3753707311479543E-2</v>
      </c>
      <c r="I825" s="336">
        <v>2.0762754990767265E-2</v>
      </c>
      <c r="J825" s="258">
        <f t="shared" si="301"/>
        <v>2.0762754990767265E-2</v>
      </c>
      <c r="K825" s="249">
        <f t="shared" si="302"/>
        <v>2.89676071005761</v>
      </c>
      <c r="L825" s="336">
        <v>0.94339192850323017</v>
      </c>
      <c r="M825" s="258">
        <f t="shared" si="303"/>
        <v>0.94339192850323017</v>
      </c>
      <c r="N825" s="251">
        <f t="shared" si="304"/>
        <v>0.11000639692961173</v>
      </c>
      <c r="O825" s="336">
        <v>3.5825930180147431E-2</v>
      </c>
      <c r="P825" s="258">
        <f t="shared" si="305"/>
        <v>3.5825930180147431E-2</v>
      </c>
      <c r="Q825" s="354">
        <v>2.9989970930232559</v>
      </c>
      <c r="R825" s="249">
        <f t="shared" si="306"/>
        <v>3.0705803415697672</v>
      </c>
      <c r="S825" s="355">
        <v>0.1</v>
      </c>
      <c r="T825" s="355"/>
      <c r="U825" s="315">
        <f t="shared" si="308"/>
        <v>3.3776383757267441</v>
      </c>
      <c r="V825" s="315">
        <f t="shared" si="309"/>
        <v>4</v>
      </c>
      <c r="W825" s="316">
        <f t="shared" si="310"/>
        <v>0</v>
      </c>
    </row>
    <row r="826" spans="1:23" x14ac:dyDescent="0.25">
      <c r="A826" s="204" t="s">
        <v>16466</v>
      </c>
      <c r="B826" s="351" t="s">
        <v>20559</v>
      </c>
      <c r="C826" s="352"/>
      <c r="D826" s="353" t="s">
        <v>14859</v>
      </c>
      <c r="E826" s="249">
        <f t="shared" si="298"/>
        <v>0</v>
      </c>
      <c r="F826" s="336">
        <v>0</v>
      </c>
      <c r="G826" s="258">
        <f t="shared" si="299"/>
        <v>0</v>
      </c>
      <c r="H826" s="249">
        <f t="shared" si="300"/>
        <v>10.965850371999361</v>
      </c>
      <c r="I826" s="336">
        <v>2.0762754990767265E-2</v>
      </c>
      <c r="J826" s="258">
        <f t="shared" si="301"/>
        <v>2.0762754990767265E-2</v>
      </c>
      <c r="K826" s="249">
        <f t="shared" si="302"/>
        <v>498.2627460694527</v>
      </c>
      <c r="L826" s="336">
        <v>0.94341131482908536</v>
      </c>
      <c r="M826" s="258">
        <f t="shared" si="303"/>
        <v>0.94341131482908536</v>
      </c>
      <c r="N826" s="251">
        <f t="shared" si="304"/>
        <v>18.921467308547918</v>
      </c>
      <c r="O826" s="336">
        <v>3.5825930180147438E-2</v>
      </c>
      <c r="P826" s="258">
        <f t="shared" si="305"/>
        <v>3.5825930180147438E-2</v>
      </c>
      <c r="Q826" s="354">
        <v>515.82749999999999</v>
      </c>
      <c r="R826" s="249">
        <f t="shared" si="306"/>
        <v>528.15006374999996</v>
      </c>
      <c r="S826" s="355">
        <v>0.1</v>
      </c>
      <c r="T826" s="355"/>
      <c r="U826" s="315">
        <f t="shared" si="308"/>
        <v>580.96507012500001</v>
      </c>
      <c r="V826" s="315">
        <f t="shared" si="309"/>
        <v>585</v>
      </c>
      <c r="W826" s="316">
        <f t="shared" si="310"/>
        <v>0</v>
      </c>
    </row>
    <row r="827" spans="1:23" x14ac:dyDescent="0.25">
      <c r="A827" s="204" t="s">
        <v>16467</v>
      </c>
      <c r="B827" s="351" t="s">
        <v>20560</v>
      </c>
      <c r="C827" s="352"/>
      <c r="D827" s="353" t="s">
        <v>5</v>
      </c>
      <c r="E827" s="249">
        <f t="shared" si="298"/>
        <v>0</v>
      </c>
      <c r="F827" s="336">
        <v>0</v>
      </c>
      <c r="G827" s="258">
        <f t="shared" si="299"/>
        <v>0</v>
      </c>
      <c r="H827" s="249">
        <f t="shared" si="300"/>
        <v>6.3753785185615627E-2</v>
      </c>
      <c r="I827" s="336">
        <v>2.0721599219892736E-2</v>
      </c>
      <c r="J827" s="258">
        <f t="shared" si="301"/>
        <v>2.0721599219892736E-2</v>
      </c>
      <c r="K827" s="249">
        <f t="shared" si="302"/>
        <v>2.9028628247745871</v>
      </c>
      <c r="L827" s="336">
        <v>0.94350413658068455</v>
      </c>
      <c r="M827" s="258">
        <f t="shared" si="303"/>
        <v>0.94350413658068455</v>
      </c>
      <c r="N827" s="251">
        <f t="shared" si="304"/>
        <v>0.11000653130067012</v>
      </c>
      <c r="O827" s="336">
        <v>3.5754916300991389E-2</v>
      </c>
      <c r="P827" s="258">
        <f t="shared" si="305"/>
        <v>3.5754916300991389E-2</v>
      </c>
      <c r="Q827" s="354">
        <v>3.004953488372093</v>
      </c>
      <c r="R827" s="249">
        <f t="shared" si="306"/>
        <v>3.0766826686046507</v>
      </c>
      <c r="S827" s="355">
        <v>0.1</v>
      </c>
      <c r="T827" s="355"/>
      <c r="U827" s="315">
        <f t="shared" si="308"/>
        <v>3.3843509354651156</v>
      </c>
      <c r="V827" s="315">
        <f t="shared" si="309"/>
        <v>4</v>
      </c>
      <c r="W827" s="316">
        <f t="shared" si="310"/>
        <v>0</v>
      </c>
    </row>
    <row r="828" spans="1:23" x14ac:dyDescent="0.25">
      <c r="A828" s="204" t="s">
        <v>16468</v>
      </c>
      <c r="B828" s="351" t="s">
        <v>20561</v>
      </c>
      <c r="C828" s="352"/>
      <c r="D828" s="353" t="s">
        <v>14859</v>
      </c>
      <c r="E828" s="249">
        <f t="shared" si="298"/>
        <v>0</v>
      </c>
      <c r="F828" s="336">
        <v>0</v>
      </c>
      <c r="G828" s="258">
        <f t="shared" si="299"/>
        <v>0</v>
      </c>
      <c r="H828" s="249">
        <f t="shared" si="300"/>
        <v>10.965863344709899</v>
      </c>
      <c r="I828" s="336">
        <v>2.0721599219892736E-2</v>
      </c>
      <c r="J828" s="258">
        <f t="shared" si="301"/>
        <v>2.0721599219892736E-2</v>
      </c>
      <c r="K828" s="249">
        <f t="shared" si="302"/>
        <v>499.31231096245727</v>
      </c>
      <c r="L828" s="336">
        <v>0.94352348447911583</v>
      </c>
      <c r="M828" s="258">
        <f t="shared" si="303"/>
        <v>0.94352348447911583</v>
      </c>
      <c r="N828" s="251">
        <f t="shared" si="304"/>
        <v>18.921489692832765</v>
      </c>
      <c r="O828" s="336">
        <v>3.5754916300991389E-2</v>
      </c>
      <c r="P828" s="258">
        <f t="shared" si="305"/>
        <v>3.5754916300991389E-2</v>
      </c>
      <c r="Q828" s="354">
        <v>516.85199999999998</v>
      </c>
      <c r="R828" s="249">
        <f t="shared" si="306"/>
        <v>529.19966399999998</v>
      </c>
      <c r="S828" s="355">
        <v>0.1</v>
      </c>
      <c r="T828" s="355"/>
      <c r="U828" s="315">
        <f t="shared" si="308"/>
        <v>582.11963040000001</v>
      </c>
      <c r="V828" s="315">
        <f t="shared" si="309"/>
        <v>585</v>
      </c>
      <c r="W828" s="316">
        <f t="shared" si="310"/>
        <v>0</v>
      </c>
    </row>
    <row r="829" spans="1:23" ht="14.4" thickBot="1" x14ac:dyDescent="0.3">
      <c r="A829" s="356" t="s">
        <v>16469</v>
      </c>
      <c r="B829" s="357" t="s">
        <v>20562</v>
      </c>
      <c r="C829" s="358"/>
      <c r="D829" s="359" t="s">
        <v>5</v>
      </c>
      <c r="E829" s="266">
        <f t="shared" si="298"/>
        <v>0</v>
      </c>
      <c r="F829" s="360">
        <v>0</v>
      </c>
      <c r="G829" s="322">
        <f t="shared" si="299"/>
        <v>0</v>
      </c>
      <c r="H829" s="266">
        <f t="shared" si="300"/>
        <v>6.3756260814121057E-2</v>
      </c>
      <c r="I829" s="360">
        <v>1.9413252127572802E-2</v>
      </c>
      <c r="J829" s="322">
        <f t="shared" si="301"/>
        <v>1.9413252127572802E-2</v>
      </c>
      <c r="K829" s="266">
        <f t="shared" si="302"/>
        <v>3.1103351943479023</v>
      </c>
      <c r="L829" s="360">
        <v>0.94707124536646814</v>
      </c>
      <c r="M829" s="322">
        <f t="shared" si="303"/>
        <v>0.94707124536646814</v>
      </c>
      <c r="N829" s="270">
        <f t="shared" si="304"/>
        <v>0.11001080297338534</v>
      </c>
      <c r="O829" s="360">
        <v>3.3497376220125614E-2</v>
      </c>
      <c r="P829" s="322">
        <f t="shared" si="305"/>
        <v>3.3497376220125614E-2</v>
      </c>
      <c r="Q829" s="361">
        <v>3.2074709302325584</v>
      </c>
      <c r="R829" s="266">
        <f t="shared" si="306"/>
        <v>3.2841617877906977</v>
      </c>
      <c r="S829" s="362">
        <v>0.1</v>
      </c>
      <c r="T829" s="362"/>
      <c r="U829" s="324">
        <f t="shared" si="308"/>
        <v>3.6125779665697673</v>
      </c>
      <c r="V829" s="324">
        <f t="shared" si="309"/>
        <v>4</v>
      </c>
      <c r="W829" s="325">
        <f t="shared" si="310"/>
        <v>0</v>
      </c>
    </row>
    <row r="830" spans="1:23" x14ac:dyDescent="0.25">
      <c r="A830" s="204" t="s">
        <v>16470</v>
      </c>
      <c r="B830" s="351" t="s">
        <v>20563</v>
      </c>
      <c r="C830" s="352"/>
      <c r="D830" s="353" t="s">
        <v>14859</v>
      </c>
      <c r="E830" s="249">
        <f t="shared" si="298"/>
        <v>0</v>
      </c>
      <c r="F830" s="336">
        <v>0</v>
      </c>
      <c r="G830" s="258">
        <f t="shared" si="299"/>
        <v>0</v>
      </c>
      <c r="H830" s="249">
        <f t="shared" si="300"/>
        <v>10.966275748796866</v>
      </c>
      <c r="I830" s="336">
        <v>1.9413252127572798E-2</v>
      </c>
      <c r="J830" s="258">
        <f t="shared" si="301"/>
        <v>1.9413252127572798E-2</v>
      </c>
      <c r="K830" s="249">
        <f t="shared" si="302"/>
        <v>534.9975954591614</v>
      </c>
      <c r="L830" s="336">
        <v>0.94708937165230145</v>
      </c>
      <c r="M830" s="258">
        <f t="shared" si="303"/>
        <v>0.94708937165230145</v>
      </c>
      <c r="N830" s="251">
        <f t="shared" si="304"/>
        <v>18.922201292041652</v>
      </c>
      <c r="O830" s="336">
        <v>3.3497376220125614E-2</v>
      </c>
      <c r="P830" s="258">
        <f t="shared" si="305"/>
        <v>3.3497376220125614E-2</v>
      </c>
      <c r="Q830" s="354">
        <v>551.68500000000006</v>
      </c>
      <c r="R830" s="249">
        <f t="shared" si="306"/>
        <v>564.88607249999995</v>
      </c>
      <c r="S830" s="355">
        <v>0.1</v>
      </c>
      <c r="T830" s="355"/>
      <c r="U830" s="315">
        <f t="shared" si="308"/>
        <v>621.37467974999993</v>
      </c>
      <c r="V830" s="315">
        <f t="shared" si="309"/>
        <v>625</v>
      </c>
      <c r="W830" s="316">
        <f t="shared" si="310"/>
        <v>0</v>
      </c>
    </row>
    <row r="831" spans="1:23" x14ac:dyDescent="0.25">
      <c r="A831" s="204" t="s">
        <v>16471</v>
      </c>
      <c r="B831" s="351" t="s">
        <v>20564</v>
      </c>
      <c r="C831" s="352"/>
      <c r="D831" s="353" t="s">
        <v>5</v>
      </c>
      <c r="E831" s="249">
        <f t="shared" si="298"/>
        <v>0</v>
      </c>
      <c r="F831" s="336">
        <v>0</v>
      </c>
      <c r="G831" s="258">
        <f t="shared" si="299"/>
        <v>0</v>
      </c>
      <c r="H831" s="249">
        <f t="shared" si="300"/>
        <v>6.3771781536397162E-2</v>
      </c>
      <c r="I831" s="336">
        <v>1.1210691922649367E-2</v>
      </c>
      <c r="J831" s="258">
        <f t="shared" si="301"/>
        <v>1.1210691922649367E-2</v>
      </c>
      <c r="K831" s="249">
        <f t="shared" si="302"/>
        <v>5.5146097300238832</v>
      </c>
      <c r="L831" s="336">
        <v>0.9694349015741025</v>
      </c>
      <c r="M831" s="258">
        <f t="shared" si="303"/>
        <v>0.9694349015741025</v>
      </c>
      <c r="N831" s="251">
        <f t="shared" si="304"/>
        <v>0.11003758382750883</v>
      </c>
      <c r="O831" s="336">
        <v>1.9343939003787142E-2</v>
      </c>
      <c r="P831" s="258">
        <f t="shared" si="305"/>
        <v>1.9343939003787142E-2</v>
      </c>
      <c r="Q831" s="354">
        <v>5.5542906976744186</v>
      </c>
      <c r="R831" s="249">
        <f t="shared" si="306"/>
        <v>5.6884786395348828</v>
      </c>
      <c r="S831" s="355">
        <v>0.1</v>
      </c>
      <c r="T831" s="355"/>
      <c r="U831" s="315">
        <f t="shared" si="308"/>
        <v>6.2573265034883709</v>
      </c>
      <c r="V831" s="315">
        <f t="shared" si="309"/>
        <v>7</v>
      </c>
      <c r="W831" s="316">
        <f t="shared" si="310"/>
        <v>0</v>
      </c>
    </row>
    <row r="832" spans="1:23" x14ac:dyDescent="0.25">
      <c r="A832" s="204" t="s">
        <v>16472</v>
      </c>
      <c r="B832" s="351" t="s">
        <v>20565</v>
      </c>
      <c r="C832" s="352"/>
      <c r="D832" s="353" t="s">
        <v>14859</v>
      </c>
      <c r="E832" s="249">
        <f t="shared" si="298"/>
        <v>0</v>
      </c>
      <c r="F832" s="336">
        <v>0</v>
      </c>
      <c r="G832" s="258">
        <f t="shared" si="299"/>
        <v>0</v>
      </c>
      <c r="H832" s="249">
        <f t="shared" si="300"/>
        <v>10.968861277799061</v>
      </c>
      <c r="I832" s="336">
        <v>1.1210691922649367E-2</v>
      </c>
      <c r="J832" s="258">
        <f t="shared" si="301"/>
        <v>1.1210691922649367E-2</v>
      </c>
      <c r="K832" s="249">
        <f t="shared" si="302"/>
        <v>948.53304712521424</v>
      </c>
      <c r="L832" s="336">
        <v>0.96944536907356349</v>
      </c>
      <c r="M832" s="258">
        <f t="shared" si="303"/>
        <v>0.96944536907356349</v>
      </c>
      <c r="N832" s="251">
        <f t="shared" si="304"/>
        <v>18.926662596986613</v>
      </c>
      <c r="O832" s="336">
        <v>1.9343939003787142E-2</v>
      </c>
      <c r="P832" s="258">
        <f t="shared" si="305"/>
        <v>1.9343939003787142E-2</v>
      </c>
      <c r="Q832" s="354">
        <v>955.33800000000008</v>
      </c>
      <c r="R832" s="249">
        <f t="shared" si="306"/>
        <v>978.42857099999992</v>
      </c>
      <c r="S832" s="355">
        <v>0.1</v>
      </c>
      <c r="T832" s="355"/>
      <c r="U832" s="315">
        <f t="shared" si="308"/>
        <v>1076.2714280999999</v>
      </c>
      <c r="V832" s="315">
        <f t="shared" si="309"/>
        <v>1100</v>
      </c>
      <c r="W832" s="316">
        <f t="shared" si="310"/>
        <v>0</v>
      </c>
    </row>
    <row r="833" spans="1:23" x14ac:dyDescent="0.25">
      <c r="A833" s="204" t="s">
        <v>16473</v>
      </c>
      <c r="B833" s="351" t="s">
        <v>20566</v>
      </c>
      <c r="C833" s="352"/>
      <c r="D833" s="353" t="s">
        <v>5</v>
      </c>
      <c r="E833" s="249">
        <f t="shared" si="298"/>
        <v>0</v>
      </c>
      <c r="F833" s="336">
        <v>0</v>
      </c>
      <c r="G833" s="258">
        <f t="shared" si="299"/>
        <v>0</v>
      </c>
      <c r="H833" s="249">
        <f t="shared" si="300"/>
        <v>6.3772840556632321E-2</v>
      </c>
      <c r="I833" s="336">
        <v>1.0651009384523815E-2</v>
      </c>
      <c r="J833" s="258">
        <f t="shared" si="301"/>
        <v>1.0651009384523815E-2</v>
      </c>
      <c r="K833" s="249">
        <f t="shared" si="302"/>
        <v>5.8136208673951026</v>
      </c>
      <c r="L833" s="336">
        <v>0.97096083342408057</v>
      </c>
      <c r="M833" s="258">
        <f t="shared" si="303"/>
        <v>0.97096083342408057</v>
      </c>
      <c r="N833" s="251">
        <f t="shared" si="304"/>
        <v>0.11003941115654203</v>
      </c>
      <c r="O833" s="336">
        <v>1.8378212271335209E-2</v>
      </c>
      <c r="P833" s="258">
        <f t="shared" si="305"/>
        <v>1.8378212271335209E-2</v>
      </c>
      <c r="Q833" s="354">
        <v>5.8461540697674419</v>
      </c>
      <c r="R833" s="249">
        <f t="shared" si="306"/>
        <v>5.9874926642441855</v>
      </c>
      <c r="S833" s="355">
        <v>0.1</v>
      </c>
      <c r="T833" s="355"/>
      <c r="U833" s="315">
        <f t="shared" si="308"/>
        <v>6.5862419306686038</v>
      </c>
      <c r="V833" s="315">
        <f t="shared" si="309"/>
        <v>7</v>
      </c>
      <c r="W833" s="316">
        <f t="shared" si="310"/>
        <v>0</v>
      </c>
    </row>
    <row r="834" spans="1:23" x14ac:dyDescent="0.25">
      <c r="A834" s="204" t="s">
        <v>16474</v>
      </c>
      <c r="B834" s="351" t="s">
        <v>20567</v>
      </c>
      <c r="C834" s="352"/>
      <c r="D834" s="353" t="s">
        <v>14859</v>
      </c>
      <c r="E834" s="249">
        <f t="shared" si="298"/>
        <v>0</v>
      </c>
      <c r="F834" s="336">
        <v>0</v>
      </c>
      <c r="G834" s="258">
        <f t="shared" si="299"/>
        <v>0</v>
      </c>
      <c r="H834" s="249">
        <f t="shared" si="300"/>
        <v>10.969037695331904</v>
      </c>
      <c r="I834" s="336">
        <v>1.0651009384523815E-2</v>
      </c>
      <c r="J834" s="258">
        <f t="shared" si="301"/>
        <v>1.0651009384523815E-2</v>
      </c>
      <c r="K834" s="249">
        <f t="shared" si="302"/>
        <v>999.96297855095804</v>
      </c>
      <c r="L834" s="336">
        <v>0.97097077834414092</v>
      </c>
      <c r="M834" s="258">
        <f t="shared" si="303"/>
        <v>0.97097077834414092</v>
      </c>
      <c r="N834" s="251">
        <f t="shared" si="304"/>
        <v>18.926967003709951</v>
      </c>
      <c r="O834" s="336">
        <v>1.8378212271335209E-2</v>
      </c>
      <c r="P834" s="258">
        <f t="shared" si="305"/>
        <v>1.8378212271335209E-2</v>
      </c>
      <c r="Q834" s="354">
        <v>1005.5385</v>
      </c>
      <c r="R834" s="249">
        <f t="shared" si="306"/>
        <v>1029.8589832499999</v>
      </c>
      <c r="S834" s="355">
        <v>0.1</v>
      </c>
      <c r="T834" s="355"/>
      <c r="U834" s="315">
        <f t="shared" si="308"/>
        <v>1132.8448815749998</v>
      </c>
      <c r="V834" s="315">
        <f t="shared" si="309"/>
        <v>1150</v>
      </c>
      <c r="W834" s="316">
        <f t="shared" si="310"/>
        <v>0</v>
      </c>
    </row>
    <row r="835" spans="1:23" x14ac:dyDescent="0.25">
      <c r="A835" s="204" t="s">
        <v>16475</v>
      </c>
      <c r="B835" s="351" t="s">
        <v>20568</v>
      </c>
      <c r="C835" s="352"/>
      <c r="D835" s="353" t="s">
        <v>5</v>
      </c>
      <c r="E835" s="249">
        <f t="shared" ref="E835:E898" si="311">R835*G835</f>
        <v>0</v>
      </c>
      <c r="F835" s="336">
        <v>0</v>
      </c>
      <c r="G835" s="258">
        <f t="shared" ref="G835:G898" si="312">F835</f>
        <v>0</v>
      </c>
      <c r="H835" s="249">
        <f t="shared" ref="H835:H898" si="313">R835*J835</f>
        <v>6.3775465815528495E-2</v>
      </c>
      <c r="I835" s="336">
        <v>9.2635839950179037E-3</v>
      </c>
      <c r="J835" s="258">
        <f t="shared" ref="J835:J898" si="314">I835</f>
        <v>9.2635839950179037E-3</v>
      </c>
      <c r="K835" s="249">
        <f t="shared" ref="K835:K898" si="315">R835*M835</f>
        <v>6.7106557839544045</v>
      </c>
      <c r="L835" s="336">
        <v>0.97474354316951228</v>
      </c>
      <c r="M835" s="258">
        <f t="shared" ref="M835:M898" si="316">L835</f>
        <v>0.97474354316951228</v>
      </c>
      <c r="N835" s="251">
        <f t="shared" ref="N835:N898" si="317">P835*R835</f>
        <v>0.11004394101502954</v>
      </c>
      <c r="O835" s="336">
        <v>1.5984223363952461E-2</v>
      </c>
      <c r="P835" s="258">
        <f t="shared" ref="P835:P898" si="318">O835</f>
        <v>1.5984223363952461E-2</v>
      </c>
      <c r="Q835" s="354">
        <v>6.7217441860465126</v>
      </c>
      <c r="R835" s="249">
        <f t="shared" ref="R835:R898" si="319">SUM(F835*Q835*1.0235,I835*Q835*1.0175,L835*Q835*1.0245,O835*Q835*1.0115)</f>
        <v>6.8845347383720927</v>
      </c>
      <c r="S835" s="355">
        <v>0.1</v>
      </c>
      <c r="T835" s="355"/>
      <c r="U835" s="315">
        <f t="shared" si="308"/>
        <v>7.5729882122093022</v>
      </c>
      <c r="V835" s="315">
        <f t="shared" si="309"/>
        <v>8</v>
      </c>
      <c r="W835" s="316">
        <f t="shared" si="310"/>
        <v>0</v>
      </c>
    </row>
    <row r="836" spans="1:23" x14ac:dyDescent="0.25">
      <c r="A836" s="204" t="s">
        <v>16476</v>
      </c>
      <c r="B836" s="351" t="s">
        <v>20569</v>
      </c>
      <c r="C836" s="352"/>
      <c r="D836" s="353" t="s">
        <v>14859</v>
      </c>
      <c r="E836" s="249">
        <f t="shared" si="311"/>
        <v>0</v>
      </c>
      <c r="F836" s="336">
        <v>0</v>
      </c>
      <c r="G836" s="258">
        <f t="shared" si="312"/>
        <v>0</v>
      </c>
      <c r="H836" s="249">
        <f t="shared" si="313"/>
        <v>10.969475025688931</v>
      </c>
      <c r="I836" s="336">
        <v>9.2635839950179037E-3</v>
      </c>
      <c r="J836" s="258">
        <f t="shared" si="314"/>
        <v>9.2635839950179037E-3</v>
      </c>
      <c r="K836" s="249">
        <f t="shared" si="315"/>
        <v>1154.2530233613579</v>
      </c>
      <c r="L836" s="336">
        <v>0.97475219264102964</v>
      </c>
      <c r="M836" s="258">
        <f t="shared" si="316"/>
        <v>0.97475219264102964</v>
      </c>
      <c r="N836" s="251">
        <f t="shared" si="317"/>
        <v>18.927721612953452</v>
      </c>
      <c r="O836" s="336">
        <v>1.5984223363952461E-2</v>
      </c>
      <c r="P836" s="258">
        <f t="shared" si="318"/>
        <v>1.5984223363952461E-2</v>
      </c>
      <c r="Q836" s="354">
        <v>1156.1400000000001</v>
      </c>
      <c r="R836" s="249">
        <f t="shared" si="319"/>
        <v>1184.1502200000002</v>
      </c>
      <c r="S836" s="355">
        <v>0.1</v>
      </c>
      <c r="T836" s="355"/>
      <c r="U836" s="315">
        <f t="shared" si="308"/>
        <v>1302.5652420000001</v>
      </c>
      <c r="V836" s="315">
        <f t="shared" si="309"/>
        <v>1325</v>
      </c>
      <c r="W836" s="316">
        <f t="shared" si="310"/>
        <v>0</v>
      </c>
    </row>
    <row r="837" spans="1:23" x14ac:dyDescent="0.25">
      <c r="A837" s="204" t="s">
        <v>16477</v>
      </c>
      <c r="B837" s="351" t="s">
        <v>20570</v>
      </c>
      <c r="C837" s="352"/>
      <c r="D837" s="353" t="s">
        <v>5</v>
      </c>
      <c r="E837" s="249">
        <f t="shared" si="311"/>
        <v>0</v>
      </c>
      <c r="F837" s="336">
        <v>0</v>
      </c>
      <c r="G837" s="258">
        <f t="shared" si="312"/>
        <v>0</v>
      </c>
      <c r="H837" s="249">
        <f t="shared" si="313"/>
        <v>6.3777748908401419E-2</v>
      </c>
      <c r="I837" s="336">
        <v>8.0569902289245945E-3</v>
      </c>
      <c r="J837" s="258">
        <f t="shared" si="314"/>
        <v>8.0569902289245945E-3</v>
      </c>
      <c r="K837" s="249">
        <f t="shared" si="315"/>
        <v>7.7419428281707718</v>
      </c>
      <c r="L837" s="336">
        <v>0.97803322925447256</v>
      </c>
      <c r="M837" s="258">
        <f t="shared" si="316"/>
        <v>0.97803322925447256</v>
      </c>
      <c r="N837" s="251">
        <f t="shared" si="317"/>
        <v>0.11004788046939852</v>
      </c>
      <c r="O837" s="336">
        <v>1.3902257649909103E-2</v>
      </c>
      <c r="P837" s="258">
        <f t="shared" si="318"/>
        <v>1.3902257649909103E-2</v>
      </c>
      <c r="Q837" s="354">
        <v>7.7283750000000007</v>
      </c>
      <c r="R837" s="249">
        <f t="shared" si="319"/>
        <v>7.9158280072674412</v>
      </c>
      <c r="S837" s="355">
        <v>0.1</v>
      </c>
      <c r="T837" s="355"/>
      <c r="U837" s="315">
        <f t="shared" si="308"/>
        <v>8.7074108079941848</v>
      </c>
      <c r="V837" s="315">
        <f t="shared" si="309"/>
        <v>9</v>
      </c>
      <c r="W837" s="316">
        <f t="shared" si="310"/>
        <v>0</v>
      </c>
    </row>
    <row r="838" spans="1:23" x14ac:dyDescent="0.25">
      <c r="A838" s="204" t="s">
        <v>16478</v>
      </c>
      <c r="B838" s="351" t="s">
        <v>20571</v>
      </c>
      <c r="C838" s="352"/>
      <c r="D838" s="353" t="s">
        <v>14859</v>
      </c>
      <c r="E838" s="249">
        <f t="shared" si="311"/>
        <v>0</v>
      </c>
      <c r="F838" s="336">
        <v>0</v>
      </c>
      <c r="G838" s="258">
        <f t="shared" si="312"/>
        <v>0</v>
      </c>
      <c r="H838" s="249">
        <f t="shared" si="313"/>
        <v>10.969855356109941</v>
      </c>
      <c r="I838" s="336">
        <v>8.0569902289245945E-3</v>
      </c>
      <c r="J838" s="258">
        <f t="shared" si="314"/>
        <v>8.0569902289245945E-3</v>
      </c>
      <c r="K838" s="249">
        <f t="shared" si="315"/>
        <v>1331.634429024524</v>
      </c>
      <c r="L838" s="336">
        <v>0.97804075212116626</v>
      </c>
      <c r="M838" s="258">
        <f t="shared" si="316"/>
        <v>0.97804075212116626</v>
      </c>
      <c r="N838" s="251">
        <f t="shared" si="317"/>
        <v>18.928377869366173</v>
      </c>
      <c r="O838" s="336">
        <v>1.3902257649909105E-2</v>
      </c>
      <c r="P838" s="258">
        <f t="shared" si="318"/>
        <v>1.3902257649909105E-2</v>
      </c>
      <c r="Q838" s="354">
        <v>1329.2805000000001</v>
      </c>
      <c r="R838" s="249">
        <f t="shared" si="319"/>
        <v>1361.5326622500002</v>
      </c>
      <c r="S838" s="355">
        <v>0.1</v>
      </c>
      <c r="T838" s="355"/>
      <c r="U838" s="315">
        <f t="shared" si="308"/>
        <v>1497.6859284750001</v>
      </c>
      <c r="V838" s="315">
        <f t="shared" si="309"/>
        <v>1500</v>
      </c>
      <c r="W838" s="316">
        <f t="shared" si="310"/>
        <v>0</v>
      </c>
    </row>
    <row r="839" spans="1:23" x14ac:dyDescent="0.25">
      <c r="A839" s="204" t="s">
        <v>16479</v>
      </c>
      <c r="B839" s="351" t="s">
        <v>20572</v>
      </c>
      <c r="C839" s="352"/>
      <c r="D839" s="353" t="s">
        <v>5</v>
      </c>
      <c r="E839" s="249">
        <f t="shared" si="311"/>
        <v>0</v>
      </c>
      <c r="F839" s="336">
        <v>0</v>
      </c>
      <c r="G839" s="258">
        <f t="shared" si="312"/>
        <v>0</v>
      </c>
      <c r="H839" s="249">
        <f t="shared" si="313"/>
        <v>6.3779137277770251E-2</v>
      </c>
      <c r="I839" s="336">
        <v>7.3232496766590391E-3</v>
      </c>
      <c r="J839" s="258">
        <f t="shared" si="314"/>
        <v>7.3232496766590391E-3</v>
      </c>
      <c r="K839" s="249">
        <f t="shared" si="315"/>
        <v>8.5352415574222231</v>
      </c>
      <c r="L839" s="336">
        <v>0.98003371703469244</v>
      </c>
      <c r="M839" s="258">
        <f t="shared" si="316"/>
        <v>0.98003371703469244</v>
      </c>
      <c r="N839" s="251">
        <f t="shared" si="317"/>
        <v>0.11005027608713297</v>
      </c>
      <c r="O839" s="336">
        <v>1.2636195520509713E-2</v>
      </c>
      <c r="P839" s="258">
        <f t="shared" si="318"/>
        <v>1.2636195520509713E-2</v>
      </c>
      <c r="Q839" s="354">
        <v>8.502706395348838</v>
      </c>
      <c r="R839" s="249">
        <f t="shared" si="319"/>
        <v>8.7091305218023258</v>
      </c>
      <c r="S839" s="355">
        <v>0.1</v>
      </c>
      <c r="T839" s="355"/>
      <c r="U839" s="315">
        <f t="shared" si="308"/>
        <v>9.5800435739825591</v>
      </c>
      <c r="V839" s="315">
        <f t="shared" si="309"/>
        <v>10</v>
      </c>
      <c r="W839" s="316">
        <f t="shared" si="310"/>
        <v>0</v>
      </c>
    </row>
    <row r="840" spans="1:23" x14ac:dyDescent="0.25">
      <c r="A840" s="204" t="s">
        <v>16480</v>
      </c>
      <c r="B840" s="351" t="s">
        <v>20573</v>
      </c>
      <c r="C840" s="352"/>
      <c r="D840" s="353" t="s">
        <v>14859</v>
      </c>
      <c r="E840" s="249">
        <f t="shared" si="311"/>
        <v>0</v>
      </c>
      <c r="F840" s="336">
        <v>0</v>
      </c>
      <c r="G840" s="258">
        <f t="shared" si="312"/>
        <v>0</v>
      </c>
      <c r="H840" s="249">
        <f t="shared" si="313"/>
        <v>10.970086638469422</v>
      </c>
      <c r="I840" s="336">
        <v>7.32324967665904E-3</v>
      </c>
      <c r="J840" s="258">
        <f t="shared" si="314"/>
        <v>7.32324967665904E-3</v>
      </c>
      <c r="K840" s="249">
        <f t="shared" si="315"/>
        <v>1468.0818311667208</v>
      </c>
      <c r="L840" s="336">
        <v>0.98004055480283125</v>
      </c>
      <c r="M840" s="258">
        <f t="shared" si="316"/>
        <v>0.98004055480283125</v>
      </c>
      <c r="N840" s="251">
        <f t="shared" si="317"/>
        <v>18.928776944809982</v>
      </c>
      <c r="O840" s="336">
        <v>1.2636195520509715E-2</v>
      </c>
      <c r="P840" s="258">
        <f t="shared" si="318"/>
        <v>1.2636195520509715E-2</v>
      </c>
      <c r="Q840" s="354">
        <v>1462.4655</v>
      </c>
      <c r="R840" s="249">
        <f t="shared" si="319"/>
        <v>1497.9806947500001</v>
      </c>
      <c r="S840" s="355">
        <v>0.1</v>
      </c>
      <c r="T840" s="355"/>
      <c r="U840" s="315">
        <f t="shared" si="308"/>
        <v>1647.778764225</v>
      </c>
      <c r="V840" s="315">
        <f t="shared" si="309"/>
        <v>1650</v>
      </c>
      <c r="W840" s="316">
        <f t="shared" si="310"/>
        <v>0</v>
      </c>
    </row>
    <row r="841" spans="1:23" x14ac:dyDescent="0.25">
      <c r="A841" s="204" t="s">
        <v>16481</v>
      </c>
      <c r="B841" s="351" t="s">
        <v>20574</v>
      </c>
      <c r="C841" s="352"/>
      <c r="D841" s="353" t="s">
        <v>5</v>
      </c>
      <c r="E841" s="249">
        <f t="shared" si="311"/>
        <v>0</v>
      </c>
      <c r="F841" s="336">
        <v>0</v>
      </c>
      <c r="G841" s="258">
        <f t="shared" si="312"/>
        <v>0</v>
      </c>
      <c r="H841" s="249">
        <f t="shared" si="313"/>
        <v>6.3779413180661965E-2</v>
      </c>
      <c r="I841" s="336">
        <v>7.177437514073408E-3</v>
      </c>
      <c r="J841" s="258">
        <f t="shared" si="314"/>
        <v>7.177437514073408E-3</v>
      </c>
      <c r="K841" s="249">
        <f t="shared" si="315"/>
        <v>8.712208289205611</v>
      </c>
      <c r="L841" s="336">
        <v>0.98043126280009862</v>
      </c>
      <c r="M841" s="258">
        <f t="shared" si="316"/>
        <v>0.98043126280009862</v>
      </c>
      <c r="N841" s="251">
        <f t="shared" si="317"/>
        <v>0.11005075215486769</v>
      </c>
      <c r="O841" s="336">
        <v>1.2384598063499213E-2</v>
      </c>
      <c r="P841" s="258">
        <f t="shared" si="318"/>
        <v>1.2384598063499213E-2</v>
      </c>
      <c r="Q841" s="354">
        <v>8.6754418604651153</v>
      </c>
      <c r="R841" s="249">
        <f t="shared" si="319"/>
        <v>8.8860980058139525</v>
      </c>
      <c r="S841" s="355">
        <v>0.1</v>
      </c>
      <c r="T841" s="355"/>
      <c r="U841" s="315">
        <f t="shared" si="308"/>
        <v>9.7747078063953481</v>
      </c>
      <c r="V841" s="315">
        <f t="shared" si="309"/>
        <v>10</v>
      </c>
      <c r="W841" s="316">
        <f t="shared" si="310"/>
        <v>0</v>
      </c>
    </row>
    <row r="842" spans="1:23" x14ac:dyDescent="0.25">
      <c r="A842" s="204" t="s">
        <v>16482</v>
      </c>
      <c r="B842" s="351" t="s">
        <v>20575</v>
      </c>
      <c r="C842" s="352"/>
      <c r="D842" s="353" t="s">
        <v>14859</v>
      </c>
      <c r="E842" s="249">
        <f t="shared" si="311"/>
        <v>0</v>
      </c>
      <c r="F842" s="336">
        <v>0</v>
      </c>
      <c r="G842" s="258">
        <f t="shared" si="312"/>
        <v>0</v>
      </c>
      <c r="H842" s="249">
        <f t="shared" si="313"/>
        <v>10.970132599921191</v>
      </c>
      <c r="I842" s="336">
        <v>7.177437514073408E-3</v>
      </c>
      <c r="J842" s="258">
        <f t="shared" si="314"/>
        <v>7.177437514073408E-3</v>
      </c>
      <c r="K842" s="249">
        <f t="shared" si="315"/>
        <v>1498.5201131492345</v>
      </c>
      <c r="L842" s="336">
        <v>0.98043796442242737</v>
      </c>
      <c r="M842" s="258">
        <f t="shared" si="316"/>
        <v>0.98043796442242737</v>
      </c>
      <c r="N842" s="251">
        <f t="shared" si="317"/>
        <v>18.928856250844408</v>
      </c>
      <c r="O842" s="336">
        <v>1.2384598063499213E-2</v>
      </c>
      <c r="P842" s="258">
        <f t="shared" si="318"/>
        <v>1.2384598063499213E-2</v>
      </c>
      <c r="Q842" s="354">
        <v>1492.1759999999999</v>
      </c>
      <c r="R842" s="249">
        <f t="shared" si="319"/>
        <v>1528.4191020000001</v>
      </c>
      <c r="S842" s="355">
        <v>0.1</v>
      </c>
      <c r="T842" s="355"/>
      <c r="U842" s="315">
        <f t="shared" si="308"/>
        <v>1681.2610122000001</v>
      </c>
      <c r="V842" s="315">
        <f t="shared" si="309"/>
        <v>1700</v>
      </c>
      <c r="W842" s="316">
        <f t="shared" si="310"/>
        <v>0</v>
      </c>
    </row>
    <row r="843" spans="1:23" x14ac:dyDescent="0.25">
      <c r="A843" s="204" t="s">
        <v>16483</v>
      </c>
      <c r="B843" s="351" t="s">
        <v>20576</v>
      </c>
      <c r="C843" s="352"/>
      <c r="D843" s="353" t="s">
        <v>5</v>
      </c>
      <c r="E843" s="249">
        <f t="shared" si="311"/>
        <v>0</v>
      </c>
      <c r="F843" s="336">
        <v>0</v>
      </c>
      <c r="G843" s="258">
        <f t="shared" si="312"/>
        <v>0</v>
      </c>
      <c r="H843" s="249">
        <f t="shared" si="313"/>
        <v>6.3781840695888908E-2</v>
      </c>
      <c r="I843" s="336">
        <v>5.894517850730004E-3</v>
      </c>
      <c r="J843" s="258">
        <f t="shared" si="314"/>
        <v>5.894517850730004E-3</v>
      </c>
      <c r="K843" s="249">
        <f t="shared" si="315"/>
        <v>10.646639340828214</v>
      </c>
      <c r="L843" s="336">
        <v>0.98392904563573147</v>
      </c>
      <c r="M843" s="258">
        <f t="shared" si="316"/>
        <v>0.98392904563573147</v>
      </c>
      <c r="N843" s="251">
        <f t="shared" si="317"/>
        <v>0.1100549408085926</v>
      </c>
      <c r="O843" s="336">
        <v>1.0170932762043927E-2</v>
      </c>
      <c r="P843" s="258">
        <f t="shared" si="318"/>
        <v>1.0170932762043927E-2</v>
      </c>
      <c r="Q843" s="354">
        <v>10.563619186046513</v>
      </c>
      <c r="R843" s="249">
        <f t="shared" si="319"/>
        <v>10.820535675872094</v>
      </c>
      <c r="S843" s="355">
        <v>0.1</v>
      </c>
      <c r="T843" s="355"/>
      <c r="U843" s="315">
        <f t="shared" si="308"/>
        <v>11.902589243459303</v>
      </c>
      <c r="V843" s="315">
        <f t="shared" si="309"/>
        <v>12</v>
      </c>
      <c r="W843" s="316">
        <f t="shared" si="310"/>
        <v>0</v>
      </c>
    </row>
    <row r="844" spans="1:23" x14ac:dyDescent="0.25">
      <c r="A844" s="204" t="s">
        <v>16484</v>
      </c>
      <c r="B844" s="351" t="s">
        <v>20577</v>
      </c>
      <c r="C844" s="352"/>
      <c r="D844" s="353" t="s">
        <v>14859</v>
      </c>
      <c r="E844" s="249">
        <f t="shared" si="311"/>
        <v>0</v>
      </c>
      <c r="F844" s="336">
        <v>0</v>
      </c>
      <c r="G844" s="258">
        <f t="shared" si="312"/>
        <v>0</v>
      </c>
      <c r="H844" s="249">
        <f t="shared" si="313"/>
        <v>10.970536989028274</v>
      </c>
      <c r="I844" s="336">
        <v>5.894517850730004E-3</v>
      </c>
      <c r="J844" s="258">
        <f t="shared" si="314"/>
        <v>5.894517850730004E-3</v>
      </c>
      <c r="K844" s="249">
        <f t="shared" si="315"/>
        <v>1831.2422902406877</v>
      </c>
      <c r="L844" s="336">
        <v>0.98393454938722602</v>
      </c>
      <c r="M844" s="258">
        <f t="shared" si="316"/>
        <v>0.98393454938722602</v>
      </c>
      <c r="N844" s="251">
        <f t="shared" si="317"/>
        <v>18.92955402028408</v>
      </c>
      <c r="O844" s="336">
        <v>1.0170932762043929E-2</v>
      </c>
      <c r="P844" s="258">
        <f t="shared" si="318"/>
        <v>1.0170932762043929E-2</v>
      </c>
      <c r="Q844" s="354">
        <v>1816.9425000000001</v>
      </c>
      <c r="R844" s="249">
        <f t="shared" si="319"/>
        <v>1861.1423812500002</v>
      </c>
      <c r="S844" s="355">
        <v>0.1</v>
      </c>
      <c r="T844" s="355"/>
      <c r="U844" s="315">
        <f t="shared" si="308"/>
        <v>2047.2566193750004</v>
      </c>
      <c r="V844" s="315">
        <f t="shared" si="309"/>
        <v>2050</v>
      </c>
      <c r="W844" s="316">
        <f t="shared" si="310"/>
        <v>0</v>
      </c>
    </row>
    <row r="845" spans="1:23" x14ac:dyDescent="0.25">
      <c r="A845" s="204" t="s">
        <v>16485</v>
      </c>
      <c r="B845" s="351" t="s">
        <v>20578</v>
      </c>
      <c r="C845" s="352"/>
      <c r="D845" s="353" t="s">
        <v>5</v>
      </c>
      <c r="E845" s="249">
        <f t="shared" si="311"/>
        <v>0</v>
      </c>
      <c r="F845" s="336">
        <v>0</v>
      </c>
      <c r="G845" s="258">
        <f t="shared" si="312"/>
        <v>0</v>
      </c>
      <c r="H845" s="249">
        <f t="shared" si="313"/>
        <v>6.3782240877227822E-2</v>
      </c>
      <c r="I845" s="336">
        <v>5.6830256619650379E-3</v>
      </c>
      <c r="J845" s="258">
        <f t="shared" si="314"/>
        <v>5.6830256619650379E-3</v>
      </c>
      <c r="K845" s="249">
        <f t="shared" si="315"/>
        <v>11.04939183406657</v>
      </c>
      <c r="L845" s="336">
        <v>0.98450566299445574</v>
      </c>
      <c r="M845" s="258">
        <f t="shared" si="316"/>
        <v>0.98450566299445574</v>
      </c>
      <c r="N845" s="251">
        <f t="shared" si="317"/>
        <v>0.11005563131756957</v>
      </c>
      <c r="O845" s="336">
        <v>9.8060050637828102E-3</v>
      </c>
      <c r="P845" s="258">
        <f t="shared" si="318"/>
        <v>9.8060050637828102E-3</v>
      </c>
      <c r="Q845" s="354">
        <v>10.956741279069767</v>
      </c>
      <c r="R845" s="249">
        <f t="shared" si="319"/>
        <v>11.223289260174418</v>
      </c>
      <c r="S845" s="355">
        <v>0.1</v>
      </c>
      <c r="T845" s="355"/>
      <c r="U845" s="315">
        <f t="shared" si="308"/>
        <v>12.34561818619186</v>
      </c>
      <c r="V845" s="315">
        <f t="shared" si="309"/>
        <v>13</v>
      </c>
      <c r="W845" s="316">
        <f t="shared" si="310"/>
        <v>0</v>
      </c>
    </row>
    <row r="846" spans="1:23" x14ac:dyDescent="0.25">
      <c r="A846" s="204" t="s">
        <v>16486</v>
      </c>
      <c r="B846" s="351" t="s">
        <v>20579</v>
      </c>
      <c r="C846" s="352"/>
      <c r="D846" s="353" t="s">
        <v>14859</v>
      </c>
      <c r="E846" s="249">
        <f t="shared" si="311"/>
        <v>0</v>
      </c>
      <c r="F846" s="336">
        <v>0</v>
      </c>
      <c r="G846" s="258">
        <f t="shared" si="312"/>
        <v>0</v>
      </c>
      <c r="H846" s="249">
        <f t="shared" si="313"/>
        <v>10.970603653481094</v>
      </c>
      <c r="I846" s="336">
        <v>5.6830256619650379E-3</v>
      </c>
      <c r="J846" s="258">
        <f t="shared" si="314"/>
        <v>5.6830256619650379E-3</v>
      </c>
      <c r="K846" s="249">
        <f t="shared" si="315"/>
        <v>1900.5157250473751</v>
      </c>
      <c r="L846" s="336">
        <v>0.98451096927425208</v>
      </c>
      <c r="M846" s="258">
        <f t="shared" si="316"/>
        <v>0.98451096927425208</v>
      </c>
      <c r="N846" s="251">
        <f t="shared" si="317"/>
        <v>18.929669049143847</v>
      </c>
      <c r="O846" s="336">
        <v>9.8060050637828102E-3</v>
      </c>
      <c r="P846" s="258">
        <f t="shared" si="318"/>
        <v>9.8060050637828102E-3</v>
      </c>
      <c r="Q846" s="354">
        <v>1884.5595000000001</v>
      </c>
      <c r="R846" s="249">
        <f t="shared" si="319"/>
        <v>1930.4159977500001</v>
      </c>
      <c r="S846" s="355">
        <v>0.1</v>
      </c>
      <c r="T846" s="355"/>
      <c r="U846" s="315">
        <f t="shared" si="308"/>
        <v>2123.457597525</v>
      </c>
      <c r="V846" s="315">
        <f t="shared" si="309"/>
        <v>2125</v>
      </c>
      <c r="W846" s="316">
        <f t="shared" si="310"/>
        <v>0</v>
      </c>
    </row>
    <row r="847" spans="1:23" x14ac:dyDescent="0.25">
      <c r="A847" s="204" t="s">
        <v>16487</v>
      </c>
      <c r="B847" s="351" t="s">
        <v>20580</v>
      </c>
      <c r="C847" s="352"/>
      <c r="D847" s="353" t="s">
        <v>5</v>
      </c>
      <c r="E847" s="249">
        <f t="shared" si="311"/>
        <v>0</v>
      </c>
      <c r="F847" s="336">
        <v>0</v>
      </c>
      <c r="G847" s="258">
        <f t="shared" si="312"/>
        <v>0</v>
      </c>
      <c r="H847" s="249">
        <f t="shared" si="313"/>
        <v>6.3782299019188568E-2</v>
      </c>
      <c r="I847" s="336">
        <v>5.6522981658529954E-3</v>
      </c>
      <c r="J847" s="258">
        <f t="shared" si="314"/>
        <v>5.6522981658529954E-3</v>
      </c>
      <c r="K847" s="249">
        <f t="shared" si="315"/>
        <v>11.110414945895776</v>
      </c>
      <c r="L847" s="336">
        <v>0.98458943917433173</v>
      </c>
      <c r="M847" s="258">
        <f t="shared" si="316"/>
        <v>0.98458943917433173</v>
      </c>
      <c r="N847" s="251">
        <f t="shared" si="317"/>
        <v>0.11005573164095281</v>
      </c>
      <c r="O847" s="336">
        <v>9.7529850704914413E-3</v>
      </c>
      <c r="P847" s="258">
        <f t="shared" si="318"/>
        <v>9.7529850704914413E-3</v>
      </c>
      <c r="Q847" s="354">
        <v>11.016305232558139</v>
      </c>
      <c r="R847" s="249">
        <f t="shared" si="319"/>
        <v>11.284312530523255</v>
      </c>
      <c r="S847" s="355">
        <v>0.1</v>
      </c>
      <c r="T847" s="355"/>
      <c r="U847" s="315">
        <f t="shared" si="308"/>
        <v>12.41274378357558</v>
      </c>
      <c r="V847" s="315">
        <f t="shared" si="309"/>
        <v>13</v>
      </c>
      <c r="W847" s="316">
        <f t="shared" si="310"/>
        <v>0</v>
      </c>
    </row>
    <row r="848" spans="1:23" x14ac:dyDescent="0.25">
      <c r="A848" s="204" t="s">
        <v>16488</v>
      </c>
      <c r="B848" s="351" t="s">
        <v>20581</v>
      </c>
      <c r="C848" s="352"/>
      <c r="D848" s="353" t="s">
        <v>14859</v>
      </c>
      <c r="E848" s="249">
        <f t="shared" si="311"/>
        <v>0</v>
      </c>
      <c r="F848" s="336">
        <v>0</v>
      </c>
      <c r="G848" s="258">
        <f t="shared" si="312"/>
        <v>0</v>
      </c>
      <c r="H848" s="249">
        <f t="shared" si="313"/>
        <v>10.970613339095143</v>
      </c>
      <c r="I848" s="336">
        <v>5.6522981658529946E-3</v>
      </c>
      <c r="J848" s="258">
        <f t="shared" si="314"/>
        <v>5.6522981658529946E-3</v>
      </c>
      <c r="K848" s="249">
        <f t="shared" si="315"/>
        <v>1911.0117011493289</v>
      </c>
      <c r="L848" s="336">
        <v>0.98459471676365551</v>
      </c>
      <c r="M848" s="258">
        <f t="shared" si="316"/>
        <v>0.98459471676365551</v>
      </c>
      <c r="N848" s="251">
        <f t="shared" si="317"/>
        <v>18.929685761575932</v>
      </c>
      <c r="O848" s="336">
        <v>9.7529850704914413E-3</v>
      </c>
      <c r="P848" s="258">
        <f t="shared" si="318"/>
        <v>9.7529850704914413E-3</v>
      </c>
      <c r="Q848" s="354">
        <v>1894.8045</v>
      </c>
      <c r="R848" s="249">
        <f t="shared" si="319"/>
        <v>1940.9120002500001</v>
      </c>
      <c r="S848" s="355">
        <v>0.1</v>
      </c>
      <c r="T848" s="355"/>
      <c r="U848" s="315">
        <f t="shared" si="308"/>
        <v>2135.0032002750004</v>
      </c>
      <c r="V848" s="315">
        <f t="shared" si="309"/>
        <v>2150</v>
      </c>
      <c r="W848" s="316">
        <f t="shared" si="310"/>
        <v>0</v>
      </c>
    </row>
    <row r="849" spans="1:28" x14ac:dyDescent="0.25">
      <c r="A849" s="204" t="s">
        <v>16489</v>
      </c>
      <c r="B849" s="351" t="s">
        <v>20582</v>
      </c>
      <c r="C849" s="352"/>
      <c r="D849" s="353" t="s">
        <v>5</v>
      </c>
      <c r="E849" s="249">
        <f t="shared" si="311"/>
        <v>0</v>
      </c>
      <c r="F849" s="336">
        <v>0</v>
      </c>
      <c r="G849" s="258">
        <f t="shared" si="312"/>
        <v>0</v>
      </c>
      <c r="H849" s="249">
        <f t="shared" si="313"/>
        <v>6.3784578660521521E-2</v>
      </c>
      <c r="I849" s="336">
        <v>4.4475285071627632E-3</v>
      </c>
      <c r="J849" s="258">
        <f t="shared" si="314"/>
        <v>4.4475285071627632E-3</v>
      </c>
      <c r="K849" s="249">
        <f t="shared" si="315"/>
        <v>14.1676745751039</v>
      </c>
      <c r="L849" s="336">
        <v>0.98787415196926676</v>
      </c>
      <c r="M849" s="258">
        <f t="shared" si="316"/>
        <v>0.98787415196926676</v>
      </c>
      <c r="N849" s="251">
        <f t="shared" si="317"/>
        <v>0.1100596651397234</v>
      </c>
      <c r="O849" s="336">
        <v>7.6741668358886886E-3</v>
      </c>
      <c r="P849" s="258">
        <f t="shared" si="318"/>
        <v>7.6741668358886886E-3</v>
      </c>
      <c r="Q849" s="354">
        <v>14.000459302325583</v>
      </c>
      <c r="R849" s="249">
        <f t="shared" si="319"/>
        <v>14.341578375000001</v>
      </c>
      <c r="S849" s="355">
        <v>0.1</v>
      </c>
      <c r="T849" s="355"/>
      <c r="U849" s="315">
        <f t="shared" si="308"/>
        <v>15.775736212500002</v>
      </c>
      <c r="V849" s="315">
        <f t="shared" si="309"/>
        <v>16</v>
      </c>
      <c r="W849" s="316">
        <f t="shared" si="310"/>
        <v>0</v>
      </c>
    </row>
    <row r="850" spans="1:28" x14ac:dyDescent="0.25">
      <c r="A850" s="204" t="s">
        <v>16490</v>
      </c>
      <c r="B850" s="351" t="s">
        <v>20583</v>
      </c>
      <c r="C850" s="352"/>
      <c r="D850" s="353" t="s">
        <v>14859</v>
      </c>
      <c r="E850" s="249">
        <f t="shared" si="311"/>
        <v>0</v>
      </c>
      <c r="F850" s="336">
        <v>0</v>
      </c>
      <c r="G850" s="258">
        <f t="shared" si="312"/>
        <v>0</v>
      </c>
      <c r="H850" s="249">
        <f t="shared" si="313"/>
        <v>10.970993094539256</v>
      </c>
      <c r="I850" s="336">
        <v>4.4475285071627632E-3</v>
      </c>
      <c r="J850" s="258">
        <f t="shared" si="314"/>
        <v>4.4475285071627632E-3</v>
      </c>
      <c r="K850" s="249">
        <f t="shared" si="315"/>
        <v>2436.8603913795891</v>
      </c>
      <c r="L850" s="336">
        <v>0.98787830465694848</v>
      </c>
      <c r="M850" s="258">
        <f t="shared" si="316"/>
        <v>0.98787830465694848</v>
      </c>
      <c r="N850" s="251">
        <f t="shared" si="317"/>
        <v>18.930341025871659</v>
      </c>
      <c r="O850" s="336">
        <v>7.6741668358886895E-3</v>
      </c>
      <c r="P850" s="258">
        <f t="shared" si="318"/>
        <v>7.6741668358886895E-3</v>
      </c>
      <c r="Q850" s="354">
        <v>2408.0790000000002</v>
      </c>
      <c r="R850" s="249">
        <f t="shared" si="319"/>
        <v>2466.7617255</v>
      </c>
      <c r="S850" s="355">
        <v>0.1</v>
      </c>
      <c r="T850" s="355"/>
      <c r="U850" s="315">
        <f t="shared" si="308"/>
        <v>2713.4378980500001</v>
      </c>
      <c r="V850" s="315">
        <f t="shared" si="309"/>
        <v>2725</v>
      </c>
      <c r="W850" s="316">
        <f t="shared" si="310"/>
        <v>0</v>
      </c>
    </row>
    <row r="851" spans="1:28" s="284" customFormat="1" ht="14.4" x14ac:dyDescent="0.3">
      <c r="A851" s="204" t="s">
        <v>16491</v>
      </c>
      <c r="B851" s="351" t="s">
        <v>20584</v>
      </c>
      <c r="C851" s="352"/>
      <c r="D851" s="353" t="s">
        <v>5</v>
      </c>
      <c r="E851" s="249">
        <f t="shared" si="311"/>
        <v>0</v>
      </c>
      <c r="F851" s="336">
        <v>0</v>
      </c>
      <c r="G851" s="258">
        <f t="shared" si="312"/>
        <v>0</v>
      </c>
      <c r="H851" s="249">
        <f t="shared" si="313"/>
        <v>6.3785289926253375E-2</v>
      </c>
      <c r="I851" s="336">
        <v>4.071631053200935E-3</v>
      </c>
      <c r="J851" s="258">
        <f t="shared" si="314"/>
        <v>4.071631053200935E-3</v>
      </c>
      <c r="K851" s="249">
        <f t="shared" si="315"/>
        <v>15.491877602461775</v>
      </c>
      <c r="L851" s="336">
        <v>0.9888990077727855</v>
      </c>
      <c r="M851" s="258">
        <f t="shared" si="316"/>
        <v>0.9888990077727855</v>
      </c>
      <c r="N851" s="251">
        <f t="shared" si="317"/>
        <v>0.11006089242177053</v>
      </c>
      <c r="O851" s="336">
        <v>7.0255594643467111E-3</v>
      </c>
      <c r="P851" s="258">
        <f t="shared" si="318"/>
        <v>7.0255594643467111E-3</v>
      </c>
      <c r="Q851" s="354">
        <v>15.292997093023256</v>
      </c>
      <c r="R851" s="249">
        <f t="shared" si="319"/>
        <v>15.665783341569767</v>
      </c>
      <c r="S851" s="355">
        <v>0.1</v>
      </c>
      <c r="T851" s="355"/>
      <c r="U851" s="315">
        <f t="shared" si="308"/>
        <v>17.232361675726743</v>
      </c>
      <c r="V851" s="315">
        <f t="shared" si="309"/>
        <v>18</v>
      </c>
      <c r="W851" s="316">
        <f t="shared" si="310"/>
        <v>0</v>
      </c>
      <c r="X851" s="185"/>
      <c r="Y851" s="185"/>
      <c r="Z851" s="185"/>
      <c r="AA851" s="206"/>
      <c r="AB851" s="283"/>
    </row>
    <row r="852" spans="1:28" s="284" customFormat="1" ht="14.4" x14ac:dyDescent="0.3">
      <c r="A852" s="204" t="s">
        <v>16492</v>
      </c>
      <c r="B852" s="351" t="s">
        <v>20585</v>
      </c>
      <c r="C852" s="352"/>
      <c r="D852" s="353" t="s">
        <v>14859</v>
      </c>
      <c r="E852" s="249">
        <f t="shared" si="311"/>
        <v>0</v>
      </c>
      <c r="F852" s="336">
        <v>0</v>
      </c>
      <c r="G852" s="258">
        <f t="shared" si="312"/>
        <v>0</v>
      </c>
      <c r="H852" s="249">
        <f t="shared" si="313"/>
        <v>10.971111581175721</v>
      </c>
      <c r="I852" s="336">
        <v>4.071631053200935E-3</v>
      </c>
      <c r="J852" s="258">
        <f t="shared" si="314"/>
        <v>4.071631053200935E-3</v>
      </c>
      <c r="K852" s="249">
        <f t="shared" si="315"/>
        <v>2664.6233226954232</v>
      </c>
      <c r="L852" s="336">
        <v>0.98890280948245235</v>
      </c>
      <c r="M852" s="258">
        <f t="shared" si="316"/>
        <v>0.98890280948245235</v>
      </c>
      <c r="N852" s="251">
        <f t="shared" si="317"/>
        <v>18.930545473401242</v>
      </c>
      <c r="O852" s="336">
        <v>7.0255594643467111E-3</v>
      </c>
      <c r="P852" s="258">
        <f t="shared" si="318"/>
        <v>7.0255594643467111E-3</v>
      </c>
      <c r="Q852" s="354">
        <v>2630.3955000000001</v>
      </c>
      <c r="R852" s="249">
        <f t="shared" si="319"/>
        <v>2694.5249797500001</v>
      </c>
      <c r="S852" s="355">
        <v>0.1</v>
      </c>
      <c r="T852" s="355"/>
      <c r="U852" s="315">
        <f t="shared" si="308"/>
        <v>2963.977477725</v>
      </c>
      <c r="V852" s="315">
        <f t="shared" si="309"/>
        <v>2975</v>
      </c>
      <c r="W852" s="316">
        <f t="shared" si="310"/>
        <v>0</v>
      </c>
      <c r="X852" s="185"/>
      <c r="Y852" s="185"/>
      <c r="Z852" s="185"/>
      <c r="AA852" s="206"/>
      <c r="AB852" s="283"/>
    </row>
    <row r="853" spans="1:28" s="284" customFormat="1" ht="14.4" x14ac:dyDescent="0.3">
      <c r="A853" s="204" t="s">
        <v>16493</v>
      </c>
      <c r="B853" s="351" t="s">
        <v>20586</v>
      </c>
      <c r="C853" s="352"/>
      <c r="D853" s="353" t="s">
        <v>5</v>
      </c>
      <c r="E853" s="249">
        <f t="shared" si="311"/>
        <v>0</v>
      </c>
      <c r="F853" s="336">
        <v>0</v>
      </c>
      <c r="G853" s="258">
        <f t="shared" si="312"/>
        <v>0</v>
      </c>
      <c r="H853" s="249">
        <f t="shared" si="313"/>
        <v>6.3786397328250519E-2</v>
      </c>
      <c r="I853" s="336">
        <v>3.4863791950077395E-3</v>
      </c>
      <c r="J853" s="258">
        <f t="shared" si="314"/>
        <v>3.4863791950077395E-3</v>
      </c>
      <c r="K853" s="249">
        <f t="shared" si="315"/>
        <v>18.121977535249382</v>
      </c>
      <c r="L853" s="336">
        <v>0.9904946524281768</v>
      </c>
      <c r="M853" s="258">
        <f t="shared" si="316"/>
        <v>0.9904946524281768</v>
      </c>
      <c r="N853" s="251">
        <f t="shared" si="317"/>
        <v>0.1100628032330597</v>
      </c>
      <c r="O853" s="336">
        <v>6.0157131207976677E-3</v>
      </c>
      <c r="P853" s="258">
        <f t="shared" si="318"/>
        <v>6.0157131207976677E-3</v>
      </c>
      <c r="Q853" s="354">
        <v>17.860203488372093</v>
      </c>
      <c r="R853" s="249">
        <f t="shared" si="319"/>
        <v>18.295886293604649</v>
      </c>
      <c r="S853" s="355">
        <v>0.1</v>
      </c>
      <c r="T853" s="355"/>
      <c r="U853" s="315">
        <f t="shared" si="308"/>
        <v>20.125474922965115</v>
      </c>
      <c r="V853" s="315">
        <f t="shared" si="309"/>
        <v>21</v>
      </c>
      <c r="W853" s="316">
        <f t="shared" si="310"/>
        <v>0</v>
      </c>
      <c r="X853" s="185"/>
      <c r="Y853" s="185"/>
      <c r="Z853" s="185"/>
      <c r="AA853" s="206"/>
      <c r="AB853" s="283"/>
    </row>
    <row r="854" spans="1:28" s="284" customFormat="1" ht="14.4" x14ac:dyDescent="0.3">
      <c r="A854" s="204" t="s">
        <v>16494</v>
      </c>
      <c r="B854" s="351" t="s">
        <v>20587</v>
      </c>
      <c r="C854" s="352"/>
      <c r="D854" s="353" t="s">
        <v>14859</v>
      </c>
      <c r="E854" s="249">
        <f t="shared" si="311"/>
        <v>0</v>
      </c>
      <c r="F854" s="336">
        <v>0</v>
      </c>
      <c r="G854" s="258">
        <f t="shared" si="312"/>
        <v>0</v>
      </c>
      <c r="H854" s="249">
        <f t="shared" si="313"/>
        <v>10.971296058413943</v>
      </c>
      <c r="I854" s="336">
        <v>3.4863791950077399E-3</v>
      </c>
      <c r="J854" s="258">
        <f t="shared" si="314"/>
        <v>3.4863791950077399E-3</v>
      </c>
      <c r="K854" s="249">
        <f t="shared" si="315"/>
        <v>3117.0005276545185</v>
      </c>
      <c r="L854" s="336">
        <v>0.99049790768419455</v>
      </c>
      <c r="M854" s="258">
        <f t="shared" si="316"/>
        <v>0.99049790768419455</v>
      </c>
      <c r="N854" s="251">
        <f t="shared" si="317"/>
        <v>18.930863787067196</v>
      </c>
      <c r="O854" s="336">
        <v>6.0157131207976685E-3</v>
      </c>
      <c r="P854" s="258">
        <f t="shared" si="318"/>
        <v>6.0157131207976685E-3</v>
      </c>
      <c r="Q854" s="354">
        <v>3071.9549999999999</v>
      </c>
      <c r="R854" s="249">
        <f t="shared" si="319"/>
        <v>3146.9026875</v>
      </c>
      <c r="S854" s="355">
        <v>0.1</v>
      </c>
      <c r="T854" s="355"/>
      <c r="U854" s="315">
        <f t="shared" si="308"/>
        <v>3461.59295625</v>
      </c>
      <c r="V854" s="315">
        <f t="shared" si="309"/>
        <v>3475</v>
      </c>
      <c r="W854" s="316">
        <f t="shared" si="310"/>
        <v>0</v>
      </c>
      <c r="X854" s="185"/>
      <c r="Y854" s="185"/>
      <c r="Z854" s="185"/>
      <c r="AA854" s="206"/>
      <c r="AB854" s="283"/>
    </row>
    <row r="855" spans="1:28" s="284" customFormat="1" ht="14.4" x14ac:dyDescent="0.3">
      <c r="A855" s="204" t="s">
        <v>16495</v>
      </c>
      <c r="B855" s="351" t="s">
        <v>20588</v>
      </c>
      <c r="C855" s="352"/>
      <c r="D855" s="353" t="s">
        <v>5</v>
      </c>
      <c r="E855" s="249">
        <f t="shared" si="311"/>
        <v>0</v>
      </c>
      <c r="F855" s="336">
        <v>0</v>
      </c>
      <c r="G855" s="258">
        <f t="shared" si="312"/>
        <v>0</v>
      </c>
      <c r="H855" s="249">
        <f t="shared" si="313"/>
        <v>6.3787373879117287E-2</v>
      </c>
      <c r="I855" s="336">
        <v>2.9702809661150851E-3</v>
      </c>
      <c r="J855" s="258">
        <f t="shared" si="314"/>
        <v>2.9702809661150851E-3</v>
      </c>
      <c r="K855" s="249">
        <f t="shared" si="315"/>
        <v>21.301287257932177</v>
      </c>
      <c r="L855" s="336">
        <v>0.99190175497567135</v>
      </c>
      <c r="M855" s="258">
        <f t="shared" si="316"/>
        <v>0.99190175497567135</v>
      </c>
      <c r="N855" s="251">
        <f t="shared" si="317"/>
        <v>0.11006448826200629</v>
      </c>
      <c r="O855" s="336">
        <v>5.1251906866299499E-3</v>
      </c>
      <c r="P855" s="258">
        <f t="shared" si="318"/>
        <v>5.1251906866299499E-3</v>
      </c>
      <c r="Q855" s="354">
        <v>20.963485465116278</v>
      </c>
      <c r="R855" s="249">
        <f t="shared" si="319"/>
        <v>21.475198678779069</v>
      </c>
      <c r="S855" s="355">
        <v>0.1</v>
      </c>
      <c r="T855" s="355"/>
      <c r="U855" s="315">
        <f t="shared" si="308"/>
        <v>23.622718546656976</v>
      </c>
      <c r="V855" s="315">
        <f t="shared" si="309"/>
        <v>24</v>
      </c>
      <c r="W855" s="316">
        <f t="shared" si="310"/>
        <v>0</v>
      </c>
      <c r="X855" s="185"/>
      <c r="Y855" s="185"/>
      <c r="Z855" s="185"/>
      <c r="AA855" s="206"/>
      <c r="AB855" s="283"/>
    </row>
    <row r="856" spans="1:28" s="284" customFormat="1" ht="14.4" x14ac:dyDescent="0.3">
      <c r="A856" s="204" t="s">
        <v>16496</v>
      </c>
      <c r="B856" s="351" t="s">
        <v>20589</v>
      </c>
      <c r="C856" s="352"/>
      <c r="D856" s="353" t="s">
        <v>14859</v>
      </c>
      <c r="E856" s="249">
        <f t="shared" si="311"/>
        <v>0</v>
      </c>
      <c r="F856" s="336">
        <v>0</v>
      </c>
      <c r="G856" s="258">
        <f t="shared" si="312"/>
        <v>0</v>
      </c>
      <c r="H856" s="249">
        <f t="shared" si="313"/>
        <v>10.971458737736672</v>
      </c>
      <c r="I856" s="336">
        <v>2.9702809661150847E-3</v>
      </c>
      <c r="J856" s="258">
        <f t="shared" si="314"/>
        <v>2.9702809661150847E-3</v>
      </c>
      <c r="K856" s="249">
        <f t="shared" si="315"/>
        <v>3663.8418145236196</v>
      </c>
      <c r="L856" s="336">
        <v>0.99190452834725495</v>
      </c>
      <c r="M856" s="258">
        <f t="shared" si="316"/>
        <v>0.99190452834725495</v>
      </c>
      <c r="N856" s="251">
        <f t="shared" si="317"/>
        <v>18.931144488643668</v>
      </c>
      <c r="O856" s="336">
        <v>5.1251906866299499E-3</v>
      </c>
      <c r="P856" s="258">
        <f t="shared" si="318"/>
        <v>5.1251906866299499E-3</v>
      </c>
      <c r="Q856" s="354">
        <v>3605.7195000000002</v>
      </c>
      <c r="R856" s="249">
        <f t="shared" si="319"/>
        <v>3693.7444177500001</v>
      </c>
      <c r="S856" s="355">
        <v>0.1</v>
      </c>
      <c r="T856" s="355"/>
      <c r="U856" s="315">
        <f t="shared" si="308"/>
        <v>4063.1188595250001</v>
      </c>
      <c r="V856" s="315">
        <f t="shared" si="309"/>
        <v>4075</v>
      </c>
      <c r="W856" s="316">
        <f t="shared" si="310"/>
        <v>0</v>
      </c>
      <c r="X856" s="185"/>
      <c r="Y856" s="185"/>
      <c r="Z856" s="185"/>
      <c r="AA856" s="206"/>
      <c r="AB856" s="283"/>
    </row>
    <row r="857" spans="1:28" s="284" customFormat="1" ht="14.4" x14ac:dyDescent="0.3">
      <c r="A857" s="204" t="s">
        <v>16497</v>
      </c>
      <c r="B857" s="351" t="s">
        <v>20590</v>
      </c>
      <c r="C857" s="352"/>
      <c r="D857" s="353" t="s">
        <v>5</v>
      </c>
      <c r="E857" s="249">
        <f t="shared" si="311"/>
        <v>0</v>
      </c>
      <c r="F857" s="336">
        <v>0</v>
      </c>
      <c r="G857" s="258">
        <f t="shared" si="312"/>
        <v>0</v>
      </c>
      <c r="H857" s="249">
        <f t="shared" si="313"/>
        <v>6.3787373879117287E-2</v>
      </c>
      <c r="I857" s="336">
        <v>2.9702809661150851E-3</v>
      </c>
      <c r="J857" s="258">
        <f t="shared" si="314"/>
        <v>2.9702809661150851E-3</v>
      </c>
      <c r="K857" s="249">
        <f t="shared" si="315"/>
        <v>21.301287257932177</v>
      </c>
      <c r="L857" s="336">
        <v>0.99190175497567135</v>
      </c>
      <c r="M857" s="258">
        <f t="shared" si="316"/>
        <v>0.99190175497567135</v>
      </c>
      <c r="N857" s="251">
        <f t="shared" si="317"/>
        <v>0.11006448826200629</v>
      </c>
      <c r="O857" s="336">
        <v>5.1251906866299499E-3</v>
      </c>
      <c r="P857" s="258">
        <f t="shared" si="318"/>
        <v>5.1251906866299499E-3</v>
      </c>
      <c r="Q857" s="354">
        <v>20.963485465116278</v>
      </c>
      <c r="R857" s="249">
        <f t="shared" si="319"/>
        <v>21.475198678779069</v>
      </c>
      <c r="S857" s="355">
        <v>0.1</v>
      </c>
      <c r="T857" s="355"/>
      <c r="U857" s="315">
        <f t="shared" si="308"/>
        <v>23.622718546656976</v>
      </c>
      <c r="V857" s="315">
        <f t="shared" si="309"/>
        <v>24</v>
      </c>
      <c r="W857" s="316">
        <f t="shared" si="310"/>
        <v>0</v>
      </c>
      <c r="X857" s="185"/>
      <c r="Y857" s="185"/>
      <c r="Z857" s="185"/>
      <c r="AA857" s="206"/>
      <c r="AB857" s="283"/>
    </row>
    <row r="858" spans="1:28" s="284" customFormat="1" ht="14.4" x14ac:dyDescent="0.3">
      <c r="A858" s="204" t="s">
        <v>16498</v>
      </c>
      <c r="B858" s="351" t="s">
        <v>20591</v>
      </c>
      <c r="C858" s="352"/>
      <c r="D858" s="353" t="s">
        <v>14859</v>
      </c>
      <c r="E858" s="249">
        <f t="shared" si="311"/>
        <v>0</v>
      </c>
      <c r="F858" s="336">
        <v>0</v>
      </c>
      <c r="G858" s="258">
        <f t="shared" si="312"/>
        <v>0</v>
      </c>
      <c r="H858" s="249">
        <f t="shared" si="313"/>
        <v>10.971458737736672</v>
      </c>
      <c r="I858" s="336">
        <v>2.9702809661150847E-3</v>
      </c>
      <c r="J858" s="258">
        <f t="shared" si="314"/>
        <v>2.9702809661150847E-3</v>
      </c>
      <c r="K858" s="249">
        <f t="shared" si="315"/>
        <v>3663.8418145236196</v>
      </c>
      <c r="L858" s="336">
        <v>0.99190452834725495</v>
      </c>
      <c r="M858" s="258">
        <f t="shared" si="316"/>
        <v>0.99190452834725495</v>
      </c>
      <c r="N858" s="251">
        <f t="shared" si="317"/>
        <v>18.931144488643668</v>
      </c>
      <c r="O858" s="336">
        <v>5.1251906866299499E-3</v>
      </c>
      <c r="P858" s="258">
        <f t="shared" si="318"/>
        <v>5.1251906866299499E-3</v>
      </c>
      <c r="Q858" s="354">
        <v>3605.7195000000002</v>
      </c>
      <c r="R858" s="249">
        <f t="shared" si="319"/>
        <v>3693.7444177500001</v>
      </c>
      <c r="S858" s="355">
        <v>0.1</v>
      </c>
      <c r="T858" s="355"/>
      <c r="U858" s="315">
        <f t="shared" si="308"/>
        <v>4063.1188595250001</v>
      </c>
      <c r="V858" s="315">
        <f t="shared" si="309"/>
        <v>4075</v>
      </c>
      <c r="W858" s="316">
        <f t="shared" si="310"/>
        <v>0</v>
      </c>
      <c r="X858" s="185"/>
      <c r="Y858" s="185"/>
      <c r="Z858" s="185"/>
      <c r="AA858" s="206"/>
      <c r="AB858" s="283"/>
    </row>
    <row r="859" spans="1:28" s="284" customFormat="1" ht="14.4" x14ac:dyDescent="0.3">
      <c r="A859" s="204" t="s">
        <v>16499</v>
      </c>
      <c r="B859" s="351" t="s">
        <v>20592</v>
      </c>
      <c r="C859" s="352"/>
      <c r="D859" s="353" t="s">
        <v>5</v>
      </c>
      <c r="E859" s="249">
        <f t="shared" si="311"/>
        <v>0</v>
      </c>
      <c r="F859" s="336">
        <v>0</v>
      </c>
      <c r="G859" s="258">
        <f t="shared" si="312"/>
        <v>0</v>
      </c>
      <c r="H859" s="249">
        <f t="shared" si="313"/>
        <v>6.3787688924493491E-2</v>
      </c>
      <c r="I859" s="336">
        <v>2.8037823573762253E-3</v>
      </c>
      <c r="J859" s="258">
        <f t="shared" si="314"/>
        <v>2.8037823573762253E-3</v>
      </c>
      <c r="K859" s="249">
        <f t="shared" si="315"/>
        <v>22.57667274927563</v>
      </c>
      <c r="L859" s="336">
        <v>0.99235570076233559</v>
      </c>
      <c r="M859" s="258">
        <f t="shared" si="316"/>
        <v>0.99235570076233559</v>
      </c>
      <c r="N859" s="251">
        <f t="shared" si="317"/>
        <v>0.11006503186971425</v>
      </c>
      <c r="O859" s="336">
        <v>4.8378989695903492E-3</v>
      </c>
      <c r="P859" s="258">
        <f t="shared" si="318"/>
        <v>4.8378989695903492E-3</v>
      </c>
      <c r="Q859" s="354">
        <v>22.208372093023257</v>
      </c>
      <c r="R859" s="249">
        <f t="shared" si="319"/>
        <v>22.750585029069768</v>
      </c>
      <c r="S859" s="355">
        <v>0.1</v>
      </c>
      <c r="T859" s="355"/>
      <c r="U859" s="315">
        <f t="shared" si="308"/>
        <v>25.025643531976744</v>
      </c>
      <c r="V859" s="315">
        <f t="shared" si="309"/>
        <v>26</v>
      </c>
      <c r="W859" s="316">
        <f t="shared" si="310"/>
        <v>0</v>
      </c>
      <c r="X859" s="185"/>
      <c r="Y859" s="185"/>
      <c r="Z859" s="185"/>
      <c r="AA859" s="206"/>
      <c r="AB859" s="283"/>
    </row>
    <row r="860" spans="1:28" s="284" customFormat="1" ht="14.4" x14ac:dyDescent="0.3">
      <c r="A860" s="204" t="s">
        <v>16500</v>
      </c>
      <c r="B860" s="351" t="s">
        <v>20593</v>
      </c>
      <c r="C860" s="352"/>
      <c r="D860" s="353" t="s">
        <v>14859</v>
      </c>
      <c r="E860" s="249">
        <f t="shared" si="311"/>
        <v>0</v>
      </c>
      <c r="F860" s="336">
        <v>0</v>
      </c>
      <c r="G860" s="258">
        <f t="shared" si="312"/>
        <v>0</v>
      </c>
      <c r="H860" s="249">
        <f t="shared" si="313"/>
        <v>10.971511219763132</v>
      </c>
      <c r="I860" s="336">
        <v>2.8037823573762253E-3</v>
      </c>
      <c r="J860" s="258">
        <f t="shared" si="314"/>
        <v>2.8037823573762253E-3</v>
      </c>
      <c r="K860" s="249">
        <f t="shared" si="315"/>
        <v>3883.2081237343709</v>
      </c>
      <c r="L860" s="336">
        <v>0.99235831867303337</v>
      </c>
      <c r="M860" s="258">
        <f t="shared" si="316"/>
        <v>0.99235831867303337</v>
      </c>
      <c r="N860" s="251">
        <f t="shared" si="317"/>
        <v>18.931235045865794</v>
      </c>
      <c r="O860" s="336">
        <v>4.8378989695903492E-3</v>
      </c>
      <c r="P860" s="258">
        <f t="shared" si="318"/>
        <v>4.8378989695903492E-3</v>
      </c>
      <c r="Q860" s="354">
        <v>3819.84</v>
      </c>
      <c r="R860" s="249">
        <f t="shared" si="319"/>
        <v>3913.11087</v>
      </c>
      <c r="S860" s="355">
        <v>0.1</v>
      </c>
      <c r="T860" s="355"/>
      <c r="U860" s="315">
        <f t="shared" si="308"/>
        <v>4304.4219570000005</v>
      </c>
      <c r="V860" s="315">
        <f t="shared" si="309"/>
        <v>4325</v>
      </c>
      <c r="W860" s="316">
        <f t="shared" si="310"/>
        <v>0</v>
      </c>
      <c r="X860" s="185"/>
      <c r="Y860" s="185"/>
      <c r="Z860" s="185"/>
      <c r="AA860" s="206"/>
      <c r="AB860" s="283"/>
    </row>
    <row r="861" spans="1:28" s="284" customFormat="1" ht="14.4" x14ac:dyDescent="0.3">
      <c r="A861" s="204" t="s">
        <v>16501</v>
      </c>
      <c r="B861" s="351" t="s">
        <v>20594</v>
      </c>
      <c r="C861" s="352"/>
      <c r="D861" s="353" t="s">
        <v>5</v>
      </c>
      <c r="E861" s="249">
        <f t="shared" si="311"/>
        <v>0</v>
      </c>
      <c r="F861" s="336">
        <v>0</v>
      </c>
      <c r="G861" s="258">
        <f t="shared" si="312"/>
        <v>0</v>
      </c>
      <c r="H861" s="249">
        <f t="shared" si="313"/>
        <v>6.3787837883096624E-2</v>
      </c>
      <c r="I861" s="336">
        <v>2.7250590938351586E-3</v>
      </c>
      <c r="J861" s="258">
        <f t="shared" si="314"/>
        <v>2.7250590938351586E-3</v>
      </c>
      <c r="K861" s="249">
        <f t="shared" si="315"/>
        <v>23.233960569895526</v>
      </c>
      <c r="L861" s="336">
        <v>0.992570333749768</v>
      </c>
      <c r="M861" s="258">
        <f t="shared" si="316"/>
        <v>0.992570333749768</v>
      </c>
      <c r="N861" s="251">
        <f t="shared" si="317"/>
        <v>0.11006528889632357</v>
      </c>
      <c r="O861" s="336">
        <v>4.7020627501469393E-3</v>
      </c>
      <c r="P861" s="258">
        <f t="shared" si="318"/>
        <v>4.7020627501469393E-3</v>
      </c>
      <c r="Q861" s="354">
        <v>22.849941860465115</v>
      </c>
      <c r="R861" s="249">
        <f t="shared" si="319"/>
        <v>23.407873255813957</v>
      </c>
      <c r="S861" s="355">
        <v>0.1</v>
      </c>
      <c r="T861" s="355"/>
      <c r="U861" s="315">
        <f t="shared" si="308"/>
        <v>25.748660581395352</v>
      </c>
      <c r="V861" s="315">
        <f t="shared" si="309"/>
        <v>26</v>
      </c>
      <c r="W861" s="316">
        <f t="shared" si="310"/>
        <v>0</v>
      </c>
      <c r="X861" s="185"/>
      <c r="Y861" s="185"/>
      <c r="Z861" s="185"/>
      <c r="AA861" s="206"/>
      <c r="AB861" s="283"/>
    </row>
    <row r="862" spans="1:28" s="284" customFormat="1" ht="14.4" x14ac:dyDescent="0.3">
      <c r="A862" s="204" t="s">
        <v>16502</v>
      </c>
      <c r="B862" s="351" t="s">
        <v>20595</v>
      </c>
      <c r="C862" s="352"/>
      <c r="D862" s="353" t="s">
        <v>14859</v>
      </c>
      <c r="E862" s="249">
        <f t="shared" si="311"/>
        <v>0</v>
      </c>
      <c r="F862" s="336">
        <v>0</v>
      </c>
      <c r="G862" s="258">
        <f t="shared" si="312"/>
        <v>0</v>
      </c>
      <c r="H862" s="249">
        <f t="shared" si="313"/>
        <v>10.971536034123032</v>
      </c>
      <c r="I862" s="336">
        <v>2.7250590938351581E-3</v>
      </c>
      <c r="J862" s="258">
        <f t="shared" si="314"/>
        <v>2.7250590938351581E-3</v>
      </c>
      <c r="K862" s="249">
        <f t="shared" si="315"/>
        <v>3996.2616311030765</v>
      </c>
      <c r="L862" s="336">
        <v>0.99257287815601791</v>
      </c>
      <c r="M862" s="258">
        <f t="shared" si="316"/>
        <v>0.99257287815601791</v>
      </c>
      <c r="N862" s="251">
        <f t="shared" si="317"/>
        <v>18.931277862800524</v>
      </c>
      <c r="O862" s="336">
        <v>4.7020627501469393E-3</v>
      </c>
      <c r="P862" s="258">
        <f t="shared" si="318"/>
        <v>4.7020627501469393E-3</v>
      </c>
      <c r="Q862" s="354">
        <v>3930.19</v>
      </c>
      <c r="R862" s="249">
        <f t="shared" si="319"/>
        <v>4026.1644449999999</v>
      </c>
      <c r="S862" s="355">
        <v>0.1</v>
      </c>
      <c r="T862" s="355"/>
      <c r="U862" s="315">
        <f t="shared" si="308"/>
        <v>4428.7808894999998</v>
      </c>
      <c r="V862" s="315">
        <f t="shared" si="309"/>
        <v>4450</v>
      </c>
      <c r="W862" s="316">
        <f t="shared" si="310"/>
        <v>0</v>
      </c>
      <c r="X862" s="185"/>
      <c r="Y862" s="185"/>
      <c r="Z862" s="185"/>
      <c r="AA862" s="206"/>
      <c r="AB862" s="283"/>
    </row>
    <row r="863" spans="1:28" s="284" customFormat="1" ht="14.4" x14ac:dyDescent="0.3">
      <c r="A863" s="204" t="s">
        <v>16503</v>
      </c>
      <c r="B863" s="351" t="s">
        <v>20596</v>
      </c>
      <c r="C863" s="352"/>
      <c r="D863" s="353" t="s">
        <v>5</v>
      </c>
      <c r="E863" s="249">
        <f t="shared" si="311"/>
        <v>0</v>
      </c>
      <c r="F863" s="336">
        <v>0</v>
      </c>
      <c r="G863" s="258">
        <f t="shared" si="312"/>
        <v>0</v>
      </c>
      <c r="H863" s="249">
        <f t="shared" si="313"/>
        <v>6.3788763612668276E-2</v>
      </c>
      <c r="I863" s="336">
        <v>2.2358194560132272E-3</v>
      </c>
      <c r="J863" s="258">
        <f t="shared" si="314"/>
        <v>2.2358194560132272E-3</v>
      </c>
      <c r="K863" s="249">
        <f t="shared" si="315"/>
        <v>28.356458045964288</v>
      </c>
      <c r="L863" s="336">
        <v>0.99390420839256899</v>
      </c>
      <c r="M863" s="258">
        <f t="shared" si="316"/>
        <v>0.99390420839256899</v>
      </c>
      <c r="N863" s="251">
        <f t="shared" si="317"/>
        <v>0.11006688623362369</v>
      </c>
      <c r="O863" s="336">
        <v>3.8578845515522351E-3</v>
      </c>
      <c r="P863" s="258">
        <f t="shared" si="318"/>
        <v>3.8578845515522351E-3</v>
      </c>
      <c r="Q863" s="354">
        <v>27.849941860465115</v>
      </c>
      <c r="R863" s="249">
        <f t="shared" si="319"/>
        <v>28.530373255813952</v>
      </c>
      <c r="S863" s="355">
        <v>0.1</v>
      </c>
      <c r="T863" s="355"/>
      <c r="U863" s="315">
        <f t="shared" si="308"/>
        <v>31.383410581395346</v>
      </c>
      <c r="V863" s="315">
        <f t="shared" si="309"/>
        <v>32</v>
      </c>
      <c r="W863" s="316">
        <f t="shared" si="310"/>
        <v>0</v>
      </c>
      <c r="X863" s="185"/>
      <c r="Y863" s="185"/>
      <c r="Z863" s="185"/>
      <c r="AA863" s="206"/>
      <c r="AB863" s="283"/>
    </row>
    <row r="864" spans="1:28" s="284" customFormat="1" ht="14.4" x14ac:dyDescent="0.3">
      <c r="A864" s="204" t="s">
        <v>16504</v>
      </c>
      <c r="B864" s="351" t="s">
        <v>20597</v>
      </c>
      <c r="C864" s="352"/>
      <c r="D864" s="353" t="s">
        <v>14859</v>
      </c>
      <c r="E864" s="249">
        <f t="shared" si="311"/>
        <v>0</v>
      </c>
      <c r="F864" s="336">
        <v>0</v>
      </c>
      <c r="G864" s="258">
        <f t="shared" si="312"/>
        <v>0</v>
      </c>
      <c r="H864" s="249">
        <f t="shared" si="313"/>
        <v>10.971690247349271</v>
      </c>
      <c r="I864" s="336">
        <v>2.2358194560132276E-3</v>
      </c>
      <c r="J864" s="258">
        <f t="shared" si="314"/>
        <v>2.2358194560132276E-3</v>
      </c>
      <c r="K864" s="249">
        <f t="shared" si="315"/>
        <v>4877.3312107964402</v>
      </c>
      <c r="L864" s="336">
        <v>0.99390629599243463</v>
      </c>
      <c r="M864" s="258">
        <f t="shared" si="316"/>
        <v>0.99390629599243463</v>
      </c>
      <c r="N864" s="251">
        <f t="shared" si="317"/>
        <v>18.931543956210504</v>
      </c>
      <c r="O864" s="336">
        <v>3.8578845515522351E-3</v>
      </c>
      <c r="P864" s="258">
        <f t="shared" si="318"/>
        <v>3.8578845515522351E-3</v>
      </c>
      <c r="Q864" s="354">
        <v>4790.1899999999996</v>
      </c>
      <c r="R864" s="249">
        <f t="shared" si="319"/>
        <v>4907.2344449999991</v>
      </c>
      <c r="S864" s="355">
        <v>0.1</v>
      </c>
      <c r="T864" s="355"/>
      <c r="U864" s="315">
        <f t="shared" si="308"/>
        <v>5397.9578894999995</v>
      </c>
      <c r="V864" s="315">
        <f t="shared" si="309"/>
        <v>5400</v>
      </c>
      <c r="W864" s="316">
        <f t="shared" si="310"/>
        <v>0</v>
      </c>
      <c r="X864" s="185"/>
      <c r="Y864" s="185"/>
      <c r="Z864" s="185"/>
      <c r="AA864" s="206"/>
      <c r="AB864" s="283"/>
    </row>
    <row r="865" spans="1:28" s="284" customFormat="1" ht="14.4" x14ac:dyDescent="0.3">
      <c r="A865" s="204" t="s">
        <v>16505</v>
      </c>
      <c r="B865" s="351" t="s">
        <v>20598</v>
      </c>
      <c r="C865" s="352"/>
      <c r="D865" s="353" t="s">
        <v>5</v>
      </c>
      <c r="E865" s="249">
        <f t="shared" si="311"/>
        <v>0</v>
      </c>
      <c r="F865" s="336">
        <v>0</v>
      </c>
      <c r="G865" s="258">
        <f t="shared" si="312"/>
        <v>0</v>
      </c>
      <c r="H865" s="249">
        <f t="shared" si="313"/>
        <v>6.3789138683458868E-2</v>
      </c>
      <c r="I865" s="336">
        <v>2.0375979630869443E-3</v>
      </c>
      <c r="J865" s="258">
        <f t="shared" si="314"/>
        <v>2.0375979630869443E-3</v>
      </c>
      <c r="K865" s="249">
        <f t="shared" si="315"/>
        <v>31.132131299525106</v>
      </c>
      <c r="L865" s="336">
        <v>0.99444464420895062</v>
      </c>
      <c r="M865" s="258">
        <f t="shared" si="316"/>
        <v>0.99444464420895062</v>
      </c>
      <c r="N865" s="251">
        <f t="shared" si="317"/>
        <v>0.11006753341459569</v>
      </c>
      <c r="O865" s="336">
        <v>3.5158553088559035E-3</v>
      </c>
      <c r="P865" s="258">
        <f t="shared" si="318"/>
        <v>3.5158553088559035E-3</v>
      </c>
      <c r="Q865" s="354">
        <v>30.55923837209302</v>
      </c>
      <c r="R865" s="249">
        <f t="shared" si="319"/>
        <v>31.306047531976741</v>
      </c>
      <c r="S865" s="355">
        <v>0.1</v>
      </c>
      <c r="T865" s="355"/>
      <c r="U865" s="315">
        <f t="shared" si="308"/>
        <v>34.436652285174418</v>
      </c>
      <c r="V865" s="315">
        <f t="shared" si="309"/>
        <v>35</v>
      </c>
      <c r="W865" s="316">
        <f t="shared" si="310"/>
        <v>0</v>
      </c>
      <c r="X865" s="185"/>
      <c r="Y865" s="185"/>
      <c r="Z865" s="185"/>
      <c r="AA865" s="206"/>
      <c r="AB865" s="283"/>
    </row>
    <row r="866" spans="1:28" s="284" customFormat="1" ht="14.4" x14ac:dyDescent="0.3">
      <c r="A866" s="204" t="s">
        <v>16506</v>
      </c>
      <c r="B866" s="351" t="s">
        <v>20599</v>
      </c>
      <c r="C866" s="352"/>
      <c r="D866" s="353" t="s">
        <v>14859</v>
      </c>
      <c r="E866" s="249">
        <f t="shared" si="311"/>
        <v>0</v>
      </c>
      <c r="F866" s="336">
        <v>0</v>
      </c>
      <c r="G866" s="258">
        <f t="shared" si="312"/>
        <v>0</v>
      </c>
      <c r="H866" s="249">
        <f t="shared" si="313"/>
        <v>10.971752728746056</v>
      </c>
      <c r="I866" s="336">
        <v>2.0375979630869443E-3</v>
      </c>
      <c r="J866" s="258">
        <f t="shared" si="314"/>
        <v>2.0375979630869443E-3</v>
      </c>
      <c r="K866" s="249">
        <f t="shared" si="315"/>
        <v>5354.7470160040057</v>
      </c>
      <c r="L866" s="336">
        <v>0.99444654672805721</v>
      </c>
      <c r="M866" s="258">
        <f t="shared" si="316"/>
        <v>0.99444654672805721</v>
      </c>
      <c r="N866" s="251">
        <f t="shared" si="317"/>
        <v>18.931651767248095</v>
      </c>
      <c r="O866" s="336">
        <v>3.5158553088559035E-3</v>
      </c>
      <c r="P866" s="258">
        <f t="shared" si="318"/>
        <v>3.5158553088559035E-3</v>
      </c>
      <c r="Q866" s="354">
        <v>5256.1889999999994</v>
      </c>
      <c r="R866" s="249">
        <f t="shared" si="319"/>
        <v>5384.6504204999992</v>
      </c>
      <c r="S866" s="355">
        <v>0.1</v>
      </c>
      <c r="T866" s="355"/>
      <c r="U866" s="315">
        <f t="shared" si="308"/>
        <v>5923.1154625499994</v>
      </c>
      <c r="V866" s="315">
        <f t="shared" si="309"/>
        <v>5925</v>
      </c>
      <c r="W866" s="316">
        <f t="shared" si="310"/>
        <v>0</v>
      </c>
      <c r="X866" s="185"/>
      <c r="Y866" s="185"/>
      <c r="Z866" s="185"/>
      <c r="AA866" s="206"/>
      <c r="AB866" s="283"/>
    </row>
    <row r="867" spans="1:28" s="284" customFormat="1" ht="14.4" x14ac:dyDescent="0.3">
      <c r="A867" s="204" t="s">
        <v>16507</v>
      </c>
      <c r="B867" s="351" t="s">
        <v>20600</v>
      </c>
      <c r="C867" s="352"/>
      <c r="D867" s="353" t="s">
        <v>5</v>
      </c>
      <c r="E867" s="249">
        <f t="shared" si="311"/>
        <v>0</v>
      </c>
      <c r="F867" s="336">
        <v>0</v>
      </c>
      <c r="G867" s="258">
        <f t="shared" si="312"/>
        <v>0</v>
      </c>
      <c r="H867" s="249">
        <f t="shared" si="313"/>
        <v>6.3790179837658972E-2</v>
      </c>
      <c r="I867" s="336">
        <v>1.4873574615765991E-3</v>
      </c>
      <c r="J867" s="258">
        <f t="shared" si="314"/>
        <v>1.4873574615765991E-3</v>
      </c>
      <c r="K867" s="249">
        <f t="shared" si="315"/>
        <v>42.714345173106707</v>
      </c>
      <c r="L867" s="336">
        <v>0.99594483306460913</v>
      </c>
      <c r="M867" s="258">
        <f t="shared" si="316"/>
        <v>0.99594483306460913</v>
      </c>
      <c r="N867" s="251">
        <f t="shared" si="317"/>
        <v>0.11006932991596056</v>
      </c>
      <c r="O867" s="336">
        <v>2.566420718014524E-3</v>
      </c>
      <c r="P867" s="258">
        <f t="shared" si="318"/>
        <v>2.566420718014524E-3</v>
      </c>
      <c r="Q867" s="354">
        <v>41.864476744186042</v>
      </c>
      <c r="R867" s="249">
        <f t="shared" si="319"/>
        <v>42.88826424418604</v>
      </c>
      <c r="S867" s="355">
        <v>0.1</v>
      </c>
      <c r="T867" s="355"/>
      <c r="U867" s="315">
        <f t="shared" si="308"/>
        <v>47.177090668604642</v>
      </c>
      <c r="V867" s="315">
        <f t="shared" si="309"/>
        <v>48</v>
      </c>
      <c r="W867" s="316">
        <f t="shared" si="310"/>
        <v>0</v>
      </c>
      <c r="X867" s="185"/>
      <c r="Y867" s="185"/>
      <c r="Z867" s="185"/>
      <c r="AA867" s="206"/>
      <c r="AB867" s="283"/>
    </row>
    <row r="868" spans="1:28" s="284" customFormat="1" ht="14.4" x14ac:dyDescent="0.3">
      <c r="A868" s="204" t="s">
        <v>16508</v>
      </c>
      <c r="B868" s="351" t="s">
        <v>20601</v>
      </c>
      <c r="C868" s="352"/>
      <c r="D868" s="353" t="s">
        <v>14859</v>
      </c>
      <c r="E868" s="249">
        <f t="shared" si="311"/>
        <v>0</v>
      </c>
      <c r="F868" s="336">
        <v>0</v>
      </c>
      <c r="G868" s="258">
        <f t="shared" si="312"/>
        <v>0</v>
      </c>
      <c r="H868" s="249">
        <f t="shared" si="313"/>
        <v>10.971926170054537</v>
      </c>
      <c r="I868" s="336">
        <v>1.4873574615765991E-3</v>
      </c>
      <c r="J868" s="258">
        <f t="shared" si="314"/>
        <v>1.4873574615765991E-3</v>
      </c>
      <c r="K868" s="249">
        <f t="shared" si="315"/>
        <v>7346.8878177914203</v>
      </c>
      <c r="L868" s="336">
        <v>0.99594622182040893</v>
      </c>
      <c r="M868" s="258">
        <f t="shared" si="316"/>
        <v>0.99594622182040893</v>
      </c>
      <c r="N868" s="251">
        <f t="shared" si="317"/>
        <v>18.931951038525476</v>
      </c>
      <c r="O868" s="336">
        <v>2.566420718014524E-3</v>
      </c>
      <c r="P868" s="258">
        <f t="shared" si="318"/>
        <v>2.566420718014524E-3</v>
      </c>
      <c r="Q868" s="354">
        <v>7200.69</v>
      </c>
      <c r="R868" s="249">
        <f t="shared" si="319"/>
        <v>7376.7916949999999</v>
      </c>
      <c r="S868" s="355">
        <v>0.1</v>
      </c>
      <c r="T868" s="355"/>
      <c r="U868" s="315">
        <f t="shared" si="308"/>
        <v>8114.4708645000001</v>
      </c>
      <c r="V868" s="315">
        <f t="shared" si="309"/>
        <v>8125</v>
      </c>
      <c r="W868" s="316">
        <f t="shared" si="310"/>
        <v>0</v>
      </c>
      <c r="X868" s="185"/>
      <c r="Y868" s="185"/>
      <c r="Z868" s="185"/>
      <c r="AA868" s="206"/>
      <c r="AB868" s="283"/>
    </row>
    <row r="869" spans="1:28" x14ac:dyDescent="0.25">
      <c r="A869" s="203" t="s">
        <v>16509</v>
      </c>
      <c r="B869" s="345" t="s">
        <v>16510</v>
      </c>
      <c r="C869" s="346"/>
      <c r="D869" s="347"/>
      <c r="E869" s="347"/>
      <c r="F869" s="347"/>
      <c r="G869" s="347"/>
      <c r="H869" s="347"/>
      <c r="I869" s="347"/>
      <c r="J869" s="347"/>
      <c r="K869" s="347"/>
      <c r="L869" s="347"/>
      <c r="M869" s="347"/>
      <c r="N869" s="347"/>
      <c r="O869" s="347"/>
      <c r="P869" s="347"/>
      <c r="Q869" s="347"/>
      <c r="R869" s="347"/>
      <c r="S869" s="347"/>
      <c r="T869" s="348"/>
      <c r="U869" s="349"/>
      <c r="V869" s="349"/>
      <c r="W869" s="350"/>
    </row>
    <row r="870" spans="1:28" s="284" customFormat="1" ht="14.4" x14ac:dyDescent="0.3">
      <c r="A870" s="204" t="s">
        <v>16511</v>
      </c>
      <c r="B870" s="351" t="s">
        <v>20602</v>
      </c>
      <c r="C870" s="352"/>
      <c r="D870" s="353" t="s">
        <v>14859</v>
      </c>
      <c r="E870" s="249">
        <f t="shared" si="311"/>
        <v>0</v>
      </c>
      <c r="F870" s="336">
        <v>0</v>
      </c>
      <c r="G870" s="258">
        <f t="shared" si="312"/>
        <v>0</v>
      </c>
      <c r="H870" s="249">
        <f t="shared" si="313"/>
        <v>10.946750066089333</v>
      </c>
      <c r="I870" s="336">
        <v>8.1358249772105734E-2</v>
      </c>
      <c r="J870" s="258">
        <f t="shared" si="314"/>
        <v>8.1358249772105734E-2</v>
      </c>
      <c r="K870" s="249">
        <f t="shared" si="315"/>
        <v>104.71471001595259</v>
      </c>
      <c r="L870" s="336">
        <v>0.77825888787602548</v>
      </c>
      <c r="M870" s="258">
        <f t="shared" si="316"/>
        <v>0.77825888787602548</v>
      </c>
      <c r="N870" s="251">
        <f t="shared" si="317"/>
        <v>18.888509917958068</v>
      </c>
      <c r="O870" s="336">
        <v>0.14038286235186873</v>
      </c>
      <c r="P870" s="258">
        <f t="shared" si="318"/>
        <v>0.14038286235186873</v>
      </c>
      <c r="Q870" s="354">
        <v>131.64000000000001</v>
      </c>
      <c r="R870" s="249">
        <f t="shared" si="319"/>
        <v>134.54997</v>
      </c>
      <c r="S870" s="355">
        <v>0.1</v>
      </c>
      <c r="T870" s="355"/>
      <c r="U870" s="315">
        <f t="shared" ref="U870:U933" si="320">(R870*S870)+R870</f>
        <v>148.00496699999999</v>
      </c>
      <c r="V870" s="315">
        <f t="shared" ref="V870:V933" si="321">IF(U870=0, 0, IF(U870&lt;10, _xlfn.CEILING.MATH(U870,1), IF(U870&lt;100, _xlfn.CEILING.MATH(U870,1),IF(U870&lt;1000, _xlfn.CEILING.MATH(U870,5), IF(U870&lt;10000, _xlfn.CEILING.MATH(U870, 25), IF(U870&lt;100000, _xlfn.CEILING.MATH(U870,250), IF(U870&lt;1000000, _xlfn.CEILING.MATH(U870,500), 0)))))))</f>
        <v>150</v>
      </c>
      <c r="W870" s="316">
        <f t="shared" ref="W870:W933" si="322">C870*V870</f>
        <v>0</v>
      </c>
      <c r="X870" s="185"/>
      <c r="Y870" s="185"/>
      <c r="Z870" s="185"/>
      <c r="AA870" s="206"/>
      <c r="AB870" s="283"/>
    </row>
    <row r="871" spans="1:28" s="284" customFormat="1" ht="14.4" x14ac:dyDescent="0.3">
      <c r="A871" s="204" t="s">
        <v>16512</v>
      </c>
      <c r="B871" s="351" t="s">
        <v>20603</v>
      </c>
      <c r="C871" s="352"/>
      <c r="D871" s="353" t="s">
        <v>5</v>
      </c>
      <c r="E871" s="249">
        <f t="shared" si="311"/>
        <v>0</v>
      </c>
      <c r="F871" s="336">
        <v>0</v>
      </c>
      <c r="G871" s="258">
        <f t="shared" si="312"/>
        <v>0</v>
      </c>
      <c r="H871" s="249">
        <f t="shared" si="313"/>
        <v>6.3639049714072207E-2</v>
      </c>
      <c r="I871" s="336">
        <v>8.1358249772105748E-2</v>
      </c>
      <c r="J871" s="258">
        <f t="shared" si="314"/>
        <v>8.1358249772105748E-2</v>
      </c>
      <c r="K871" s="249">
        <f t="shared" si="315"/>
        <v>0.60870067719043486</v>
      </c>
      <c r="L871" s="336">
        <v>0.77818292312367066</v>
      </c>
      <c r="M871" s="258">
        <f t="shared" si="316"/>
        <v>0.77818292312367066</v>
      </c>
      <c r="N871" s="251">
        <f t="shared" si="317"/>
        <v>0.10980855636937949</v>
      </c>
      <c r="O871" s="336">
        <v>0.14038286235186873</v>
      </c>
      <c r="P871" s="258">
        <f t="shared" si="318"/>
        <v>0.14038286235186873</v>
      </c>
      <c r="Q871" s="354">
        <v>0.76534883720930236</v>
      </c>
      <c r="R871" s="249">
        <f t="shared" si="319"/>
        <v>0.7822077034883721</v>
      </c>
      <c r="S871" s="355">
        <v>0.1</v>
      </c>
      <c r="T871" s="355"/>
      <c r="U871" s="315">
        <f t="shared" si="320"/>
        <v>0.86042847383720933</v>
      </c>
      <c r="V871" s="315">
        <f t="shared" si="321"/>
        <v>1</v>
      </c>
      <c r="W871" s="316">
        <f t="shared" si="322"/>
        <v>0</v>
      </c>
      <c r="X871" s="185"/>
      <c r="Y871" s="185"/>
      <c r="Z871" s="185"/>
      <c r="AA871" s="206"/>
      <c r="AB871" s="283"/>
    </row>
    <row r="872" spans="1:28" x14ac:dyDescent="0.25">
      <c r="A872" s="203" t="s">
        <v>16513</v>
      </c>
      <c r="B872" s="345" t="s">
        <v>16514</v>
      </c>
      <c r="C872" s="346"/>
      <c r="D872" s="347"/>
      <c r="E872" s="347"/>
      <c r="F872" s="347"/>
      <c r="G872" s="347"/>
      <c r="H872" s="347"/>
      <c r="I872" s="347"/>
      <c r="J872" s="347"/>
      <c r="K872" s="347"/>
      <c r="L872" s="347"/>
      <c r="M872" s="347"/>
      <c r="N872" s="347"/>
      <c r="O872" s="347"/>
      <c r="P872" s="347"/>
      <c r="Q872" s="347"/>
      <c r="R872" s="347"/>
      <c r="S872" s="347"/>
      <c r="T872" s="348"/>
      <c r="U872" s="349"/>
      <c r="V872" s="349"/>
      <c r="W872" s="350"/>
    </row>
    <row r="873" spans="1:28" s="284" customFormat="1" ht="14.4" x14ac:dyDescent="0.3">
      <c r="A873" s="204" t="s">
        <v>16515</v>
      </c>
      <c r="B873" s="351" t="s">
        <v>20604</v>
      </c>
      <c r="C873" s="352"/>
      <c r="D873" s="353" t="s">
        <v>5</v>
      </c>
      <c r="E873" s="249">
        <f t="shared" si="311"/>
        <v>0</v>
      </c>
      <c r="F873" s="336">
        <v>0</v>
      </c>
      <c r="G873" s="258">
        <f t="shared" si="312"/>
        <v>0</v>
      </c>
      <c r="H873" s="249">
        <f t="shared" si="313"/>
        <v>6.3748691875335828E-2</v>
      </c>
      <c r="I873" s="336">
        <v>2.3413367261947707E-2</v>
      </c>
      <c r="J873" s="258">
        <f t="shared" si="314"/>
        <v>2.3413367261947707E-2</v>
      </c>
      <c r="K873" s="249">
        <f t="shared" si="315"/>
        <v>2.5489417432742232</v>
      </c>
      <c r="L873" s="336">
        <v>0.9361652358497784</v>
      </c>
      <c r="M873" s="258">
        <f t="shared" si="316"/>
        <v>0.9361652358497784</v>
      </c>
      <c r="N873" s="251">
        <f t="shared" si="317"/>
        <v>0.1099977428437167</v>
      </c>
      <c r="O873" s="336">
        <v>4.0399535667674472E-2</v>
      </c>
      <c r="P873" s="258">
        <f t="shared" si="318"/>
        <v>4.0399535667674472E-2</v>
      </c>
      <c r="Q873" s="354">
        <v>2.6594825581395347</v>
      </c>
      <c r="R873" s="249">
        <f t="shared" si="319"/>
        <v>2.7227477005813947</v>
      </c>
      <c r="S873" s="355">
        <v>0.1</v>
      </c>
      <c r="T873" s="355"/>
      <c r="U873" s="315">
        <f t="shared" si="320"/>
        <v>2.9950224706395341</v>
      </c>
      <c r="V873" s="315">
        <f t="shared" si="321"/>
        <v>3</v>
      </c>
      <c r="W873" s="316">
        <f t="shared" si="322"/>
        <v>0</v>
      </c>
      <c r="X873" s="185"/>
      <c r="Y873" s="185"/>
      <c r="Z873" s="185"/>
      <c r="AA873" s="206"/>
      <c r="AB873" s="283"/>
    </row>
    <row r="874" spans="1:28" s="284" customFormat="1" ht="14.4" x14ac:dyDescent="0.3">
      <c r="A874" s="204" t="s">
        <v>16516</v>
      </c>
      <c r="B874" s="351" t="s">
        <v>20605</v>
      </c>
      <c r="C874" s="352"/>
      <c r="D874" s="353" t="s">
        <v>14859</v>
      </c>
      <c r="E874" s="249">
        <f t="shared" si="311"/>
        <v>0</v>
      </c>
      <c r="F874" s="336">
        <v>0</v>
      </c>
      <c r="G874" s="258">
        <f t="shared" si="312"/>
        <v>0</v>
      </c>
      <c r="H874" s="249">
        <f t="shared" si="313"/>
        <v>10.965014872505362</v>
      </c>
      <c r="I874" s="336">
        <v>2.3413367261947707E-2</v>
      </c>
      <c r="J874" s="258">
        <f t="shared" si="314"/>
        <v>2.3413367261947707E-2</v>
      </c>
      <c r="K874" s="249">
        <f t="shared" si="315"/>
        <v>438.43780896513243</v>
      </c>
      <c r="L874" s="336">
        <v>0.93618709707037784</v>
      </c>
      <c r="M874" s="258">
        <f t="shared" si="316"/>
        <v>0.93618709707037784</v>
      </c>
      <c r="N874" s="251">
        <f t="shared" si="317"/>
        <v>18.920025662362193</v>
      </c>
      <c r="O874" s="336">
        <v>4.0399535667674472E-2</v>
      </c>
      <c r="P874" s="258">
        <f t="shared" si="318"/>
        <v>4.0399535667674472E-2</v>
      </c>
      <c r="Q874" s="354">
        <v>457.43099999999998</v>
      </c>
      <c r="R874" s="249">
        <f t="shared" si="319"/>
        <v>468.32284949999996</v>
      </c>
      <c r="S874" s="355">
        <v>0.1</v>
      </c>
      <c r="T874" s="355"/>
      <c r="U874" s="315">
        <f t="shared" si="320"/>
        <v>515.15513444999999</v>
      </c>
      <c r="V874" s="315">
        <f t="shared" si="321"/>
        <v>520</v>
      </c>
      <c r="W874" s="316">
        <f t="shared" si="322"/>
        <v>0</v>
      </c>
      <c r="X874" s="185"/>
      <c r="Y874" s="185"/>
      <c r="Z874" s="185"/>
      <c r="AA874" s="206"/>
      <c r="AB874" s="283"/>
    </row>
    <row r="875" spans="1:28" s="284" customFormat="1" ht="15" thickBot="1" x14ac:dyDescent="0.35">
      <c r="A875" s="356" t="s">
        <v>16517</v>
      </c>
      <c r="B875" s="357" t="s">
        <v>20606</v>
      </c>
      <c r="C875" s="358"/>
      <c r="D875" s="359" t="s">
        <v>5</v>
      </c>
      <c r="E875" s="266">
        <f t="shared" si="311"/>
        <v>0</v>
      </c>
      <c r="F875" s="360">
        <v>0</v>
      </c>
      <c r="G875" s="322">
        <f t="shared" si="312"/>
        <v>0</v>
      </c>
      <c r="H875" s="266">
        <f t="shared" si="313"/>
        <v>6.375112971599127E-2</v>
      </c>
      <c r="I875" s="360">
        <v>2.2124990703785423E-2</v>
      </c>
      <c r="J875" s="322">
        <f t="shared" si="314"/>
        <v>2.2124990703785423E-2</v>
      </c>
      <c r="K875" s="266">
        <f t="shared" si="315"/>
        <v>2.7075955995941654</v>
      </c>
      <c r="L875" s="360">
        <v>0.93967789649388089</v>
      </c>
      <c r="M875" s="322">
        <f t="shared" si="316"/>
        <v>0.93967789649388089</v>
      </c>
      <c r="N875" s="270">
        <f t="shared" si="317"/>
        <v>0.11000194931386728</v>
      </c>
      <c r="O875" s="360">
        <v>3.8176454547708176E-2</v>
      </c>
      <c r="P875" s="322">
        <f t="shared" si="318"/>
        <v>3.8176454547708176E-2</v>
      </c>
      <c r="Q875" s="361">
        <v>2.8143488372093022</v>
      </c>
      <c r="R875" s="266">
        <f t="shared" si="319"/>
        <v>2.8814082034883715</v>
      </c>
      <c r="S875" s="362">
        <v>0.1</v>
      </c>
      <c r="T875" s="362"/>
      <c r="U875" s="324">
        <f t="shared" si="320"/>
        <v>3.1695490238372086</v>
      </c>
      <c r="V875" s="324">
        <f t="shared" si="321"/>
        <v>4</v>
      </c>
      <c r="W875" s="325">
        <f t="shared" si="322"/>
        <v>0</v>
      </c>
      <c r="X875" s="185"/>
      <c r="Y875" s="185"/>
      <c r="Z875" s="185"/>
      <c r="AA875" s="206"/>
      <c r="AB875" s="283"/>
    </row>
    <row r="876" spans="1:28" s="284" customFormat="1" ht="14.4" x14ac:dyDescent="0.3">
      <c r="A876" s="204" t="s">
        <v>16518</v>
      </c>
      <c r="B876" s="351" t="s">
        <v>20607</v>
      </c>
      <c r="C876" s="352"/>
      <c r="D876" s="353" t="s">
        <v>14859</v>
      </c>
      <c r="E876" s="249">
        <f t="shared" si="311"/>
        <v>0</v>
      </c>
      <c r="F876" s="336">
        <v>0</v>
      </c>
      <c r="G876" s="258">
        <f t="shared" si="312"/>
        <v>0</v>
      </c>
      <c r="H876" s="249">
        <f t="shared" si="313"/>
        <v>10.965420981680259</v>
      </c>
      <c r="I876" s="336">
        <v>2.2124990703785419E-2</v>
      </c>
      <c r="J876" s="258">
        <f t="shared" si="314"/>
        <v>2.2124990703785419E-2</v>
      </c>
      <c r="K876" s="249">
        <f t="shared" si="315"/>
        <v>465.72630861855765</v>
      </c>
      <c r="L876" s="336">
        <v>0.93969855474850639</v>
      </c>
      <c r="M876" s="258">
        <f t="shared" si="316"/>
        <v>0.93969855474850639</v>
      </c>
      <c r="N876" s="251">
        <f t="shared" si="317"/>
        <v>18.920726399762017</v>
      </c>
      <c r="O876" s="336">
        <v>3.8176454547708176E-2</v>
      </c>
      <c r="P876" s="258">
        <f t="shared" si="318"/>
        <v>3.8176454547708176E-2</v>
      </c>
      <c r="Q876" s="354">
        <v>484.06799999999998</v>
      </c>
      <c r="R876" s="249">
        <f t="shared" si="319"/>
        <v>495.61245599999995</v>
      </c>
      <c r="S876" s="355">
        <v>0.1</v>
      </c>
      <c r="T876" s="355"/>
      <c r="U876" s="315">
        <f t="shared" si="320"/>
        <v>545.17370159999996</v>
      </c>
      <c r="V876" s="315">
        <f t="shared" si="321"/>
        <v>550</v>
      </c>
      <c r="W876" s="316">
        <f t="shared" si="322"/>
        <v>0</v>
      </c>
      <c r="X876" s="185"/>
      <c r="Y876" s="185"/>
      <c r="Z876" s="185"/>
      <c r="AA876" s="206"/>
      <c r="AB876" s="283"/>
    </row>
    <row r="877" spans="1:28" x14ac:dyDescent="0.25">
      <c r="A877" s="204" t="s">
        <v>16519</v>
      </c>
      <c r="B877" s="351" t="s">
        <v>20608</v>
      </c>
      <c r="C877" s="352"/>
      <c r="D877" s="353" t="s">
        <v>5</v>
      </c>
      <c r="E877" s="249">
        <f t="shared" si="311"/>
        <v>0</v>
      </c>
      <c r="F877" s="336">
        <v>0</v>
      </c>
      <c r="G877" s="258">
        <f t="shared" si="312"/>
        <v>0</v>
      </c>
      <c r="H877" s="249">
        <f t="shared" si="313"/>
        <v>6.3761521030242421E-2</v>
      </c>
      <c r="I877" s="336">
        <v>1.6633275870102038E-2</v>
      </c>
      <c r="J877" s="258">
        <f t="shared" si="314"/>
        <v>1.6633275870102038E-2</v>
      </c>
      <c r="K877" s="249">
        <f t="shared" si="315"/>
        <v>3.6595302859084695</v>
      </c>
      <c r="L877" s="336">
        <v>0.95465063908431558</v>
      </c>
      <c r="M877" s="258">
        <f t="shared" si="316"/>
        <v>0.95465063908431558</v>
      </c>
      <c r="N877" s="251">
        <f t="shared" si="317"/>
        <v>0.11001987942473201</v>
      </c>
      <c r="O877" s="336">
        <v>2.8700554442529003E-2</v>
      </c>
      <c r="P877" s="258">
        <f t="shared" si="318"/>
        <v>2.8700554442529003E-2</v>
      </c>
      <c r="Q877" s="354">
        <v>3.743546511627907</v>
      </c>
      <c r="R877" s="249">
        <f t="shared" si="319"/>
        <v>3.8333712209302324</v>
      </c>
      <c r="S877" s="355">
        <v>0.1</v>
      </c>
      <c r="T877" s="355"/>
      <c r="U877" s="315">
        <f t="shared" si="320"/>
        <v>4.2167083430232557</v>
      </c>
      <c r="V877" s="315">
        <f t="shared" si="321"/>
        <v>5</v>
      </c>
      <c r="W877" s="316">
        <f t="shared" si="322"/>
        <v>0</v>
      </c>
    </row>
    <row r="878" spans="1:28" s="284" customFormat="1" ht="14.4" x14ac:dyDescent="0.3">
      <c r="A878" s="204" t="s">
        <v>16520</v>
      </c>
      <c r="B878" s="351" t="s">
        <v>20609</v>
      </c>
      <c r="C878" s="352"/>
      <c r="D878" s="353" t="s">
        <v>14859</v>
      </c>
      <c r="E878" s="249">
        <f t="shared" si="311"/>
        <v>0</v>
      </c>
      <c r="F878" s="336">
        <v>0</v>
      </c>
      <c r="G878" s="258">
        <f t="shared" si="312"/>
        <v>0</v>
      </c>
      <c r="H878" s="249">
        <f t="shared" si="313"/>
        <v>10.967152025112988</v>
      </c>
      <c r="I878" s="336">
        <v>1.6633275870102038E-2</v>
      </c>
      <c r="J878" s="258">
        <f t="shared" si="314"/>
        <v>1.6633275870102038E-2</v>
      </c>
      <c r="K878" s="249">
        <f t="shared" si="315"/>
        <v>629.45922967665274</v>
      </c>
      <c r="L878" s="336">
        <v>0.95466616968736884</v>
      </c>
      <c r="M878" s="258">
        <f t="shared" si="316"/>
        <v>0.95466616968736884</v>
      </c>
      <c r="N878" s="251">
        <f t="shared" si="317"/>
        <v>18.923713298234173</v>
      </c>
      <c r="O878" s="336">
        <v>2.8700554442529006E-2</v>
      </c>
      <c r="P878" s="258">
        <f t="shared" si="318"/>
        <v>2.8700554442529006E-2</v>
      </c>
      <c r="Q878" s="354">
        <v>643.89</v>
      </c>
      <c r="R878" s="249">
        <f t="shared" si="319"/>
        <v>659.35009500000001</v>
      </c>
      <c r="S878" s="355">
        <v>0.1</v>
      </c>
      <c r="T878" s="355"/>
      <c r="U878" s="315">
        <f t="shared" si="320"/>
        <v>725.28510449999999</v>
      </c>
      <c r="V878" s="315">
        <f t="shared" si="321"/>
        <v>730</v>
      </c>
      <c r="W878" s="316">
        <f t="shared" si="322"/>
        <v>0</v>
      </c>
      <c r="X878" s="185"/>
      <c r="Y878" s="185"/>
      <c r="Z878" s="185"/>
      <c r="AA878" s="206"/>
      <c r="AB878" s="283"/>
    </row>
    <row r="879" spans="1:28" s="284" customFormat="1" ht="14.4" x14ac:dyDescent="0.3">
      <c r="A879" s="204" t="s">
        <v>16521</v>
      </c>
      <c r="B879" s="351" t="s">
        <v>20610</v>
      </c>
      <c r="C879" s="352"/>
      <c r="D879" s="353" t="s">
        <v>5</v>
      </c>
      <c r="E879" s="249">
        <f t="shared" si="311"/>
        <v>0</v>
      </c>
      <c r="F879" s="336">
        <v>0</v>
      </c>
      <c r="G879" s="258">
        <f t="shared" si="312"/>
        <v>0</v>
      </c>
      <c r="H879" s="249">
        <f t="shared" si="313"/>
        <v>6.3762725067871895E-2</v>
      </c>
      <c r="I879" s="336">
        <v>1.5996952961340696E-2</v>
      </c>
      <c r="J879" s="258">
        <f t="shared" si="314"/>
        <v>1.5996952961340696E-2</v>
      </c>
      <c r="K879" s="249">
        <f t="shared" si="315"/>
        <v>3.8120851790635895</v>
      </c>
      <c r="L879" s="336">
        <v>0.9563855250727219</v>
      </c>
      <c r="M879" s="258">
        <f t="shared" si="316"/>
        <v>0.9563855250727219</v>
      </c>
      <c r="N879" s="251">
        <f t="shared" si="317"/>
        <v>0.11002195697985738</v>
      </c>
      <c r="O879" s="336">
        <v>2.7602585501921201E-2</v>
      </c>
      <c r="P879" s="258">
        <f t="shared" si="318"/>
        <v>2.7602585501921201E-2</v>
      </c>
      <c r="Q879" s="354">
        <v>3.8924563953488374</v>
      </c>
      <c r="R879" s="249">
        <f t="shared" si="319"/>
        <v>3.9859293968023253</v>
      </c>
      <c r="S879" s="355">
        <v>0.1</v>
      </c>
      <c r="T879" s="355"/>
      <c r="U879" s="315">
        <f t="shared" si="320"/>
        <v>4.3845223364825578</v>
      </c>
      <c r="V879" s="315">
        <f t="shared" si="321"/>
        <v>5</v>
      </c>
      <c r="W879" s="316">
        <f t="shared" si="322"/>
        <v>0</v>
      </c>
      <c r="X879" s="185"/>
      <c r="Y879" s="185"/>
      <c r="Z879" s="185"/>
      <c r="AA879" s="206"/>
      <c r="AB879" s="283"/>
    </row>
    <row r="880" spans="1:28" s="284" customFormat="1" ht="14.4" x14ac:dyDescent="0.3">
      <c r="A880" s="204" t="s">
        <v>16522</v>
      </c>
      <c r="B880" s="351" t="s">
        <v>20611</v>
      </c>
      <c r="C880" s="352"/>
      <c r="D880" s="353" t="s">
        <v>14859</v>
      </c>
      <c r="E880" s="249">
        <f t="shared" si="311"/>
        <v>0</v>
      </c>
      <c r="F880" s="336">
        <v>0</v>
      </c>
      <c r="G880" s="258">
        <f t="shared" si="312"/>
        <v>0</v>
      </c>
      <c r="H880" s="249">
        <f t="shared" si="313"/>
        <v>10.967352600457057</v>
      </c>
      <c r="I880" s="336">
        <v>1.5996952961340696E-2</v>
      </c>
      <c r="J880" s="258">
        <f t="shared" si="314"/>
        <v>1.5996952961340696E-2</v>
      </c>
      <c r="K880" s="249">
        <f t="shared" si="315"/>
        <v>655.69868926051902</v>
      </c>
      <c r="L880" s="336">
        <v>0.95640046153673797</v>
      </c>
      <c r="M880" s="258">
        <f t="shared" si="316"/>
        <v>0.95640046153673797</v>
      </c>
      <c r="N880" s="251">
        <f t="shared" si="317"/>
        <v>18.924059389023942</v>
      </c>
      <c r="O880" s="336">
        <v>2.7602585501921201E-2</v>
      </c>
      <c r="P880" s="258">
        <f t="shared" si="318"/>
        <v>2.7602585501921201E-2</v>
      </c>
      <c r="Q880" s="354">
        <v>669.50250000000005</v>
      </c>
      <c r="R880" s="249">
        <f t="shared" si="319"/>
        <v>685.59010125000009</v>
      </c>
      <c r="S880" s="355">
        <v>0.1</v>
      </c>
      <c r="T880" s="355"/>
      <c r="U880" s="315">
        <f t="shared" si="320"/>
        <v>754.14911137500007</v>
      </c>
      <c r="V880" s="315">
        <f t="shared" si="321"/>
        <v>755</v>
      </c>
      <c r="W880" s="316">
        <f t="shared" si="322"/>
        <v>0</v>
      </c>
      <c r="X880" s="185"/>
      <c r="Y880" s="185"/>
      <c r="Z880" s="185"/>
      <c r="AA880" s="206"/>
      <c r="AB880" s="283"/>
    </row>
    <row r="881" spans="1:28" s="284" customFormat="1" ht="14.4" x14ac:dyDescent="0.3">
      <c r="A881" s="204" t="s">
        <v>16523</v>
      </c>
      <c r="B881" s="351" t="s">
        <v>20612</v>
      </c>
      <c r="C881" s="352"/>
      <c r="D881" s="353" t="s">
        <v>5</v>
      </c>
      <c r="E881" s="249">
        <f t="shared" si="311"/>
        <v>0</v>
      </c>
      <c r="F881" s="336">
        <v>0</v>
      </c>
      <c r="G881" s="258">
        <f t="shared" si="312"/>
        <v>0</v>
      </c>
      <c r="H881" s="249">
        <f t="shared" si="313"/>
        <v>6.3763840376546352E-2</v>
      </c>
      <c r="I881" s="336">
        <v>1.5407522496277597E-2</v>
      </c>
      <c r="J881" s="258">
        <f t="shared" si="314"/>
        <v>1.5407522496277597E-2</v>
      </c>
      <c r="K881" s="249">
        <f t="shared" si="315"/>
        <v>3.9646403141314526</v>
      </c>
      <c r="L881" s="336">
        <v>0.95799256238176411</v>
      </c>
      <c r="M881" s="258">
        <f t="shared" si="316"/>
        <v>0.95799256238176411</v>
      </c>
      <c r="N881" s="251">
        <f t="shared" si="317"/>
        <v>0.11002388143404077</v>
      </c>
      <c r="O881" s="336">
        <v>2.658552901318487E-2</v>
      </c>
      <c r="P881" s="258">
        <f t="shared" si="318"/>
        <v>2.658552901318487E-2</v>
      </c>
      <c r="Q881" s="354">
        <v>4.0413662790697673</v>
      </c>
      <c r="R881" s="249">
        <f t="shared" si="319"/>
        <v>4.1384875726744177</v>
      </c>
      <c r="S881" s="355">
        <v>0.1</v>
      </c>
      <c r="T881" s="355"/>
      <c r="U881" s="315">
        <f t="shared" si="320"/>
        <v>4.5523363299418591</v>
      </c>
      <c r="V881" s="315">
        <f t="shared" si="321"/>
        <v>5</v>
      </c>
      <c r="W881" s="316">
        <f t="shared" si="322"/>
        <v>0</v>
      </c>
      <c r="X881" s="185"/>
      <c r="Y881" s="185"/>
      <c r="Z881" s="185"/>
      <c r="AA881" s="206"/>
      <c r="AB881" s="283"/>
    </row>
    <row r="882" spans="1:28" s="284" customFormat="1" ht="14.4" x14ac:dyDescent="0.3">
      <c r="A882" s="204" t="s">
        <v>16524</v>
      </c>
      <c r="B882" s="351" t="s">
        <v>20613</v>
      </c>
      <c r="C882" s="352"/>
      <c r="D882" s="353" t="s">
        <v>14859</v>
      </c>
      <c r="E882" s="249">
        <f t="shared" si="311"/>
        <v>0</v>
      </c>
      <c r="F882" s="336">
        <v>0</v>
      </c>
      <c r="G882" s="258">
        <f t="shared" si="312"/>
        <v>0</v>
      </c>
      <c r="H882" s="249">
        <f t="shared" si="313"/>
        <v>10.967538394833948</v>
      </c>
      <c r="I882" s="336">
        <v>1.5407522496277595E-2</v>
      </c>
      <c r="J882" s="258">
        <f t="shared" si="314"/>
        <v>1.5407522496277595E-2</v>
      </c>
      <c r="K882" s="249">
        <f t="shared" si="315"/>
        <v>681.93818912976622</v>
      </c>
      <c r="L882" s="336">
        <v>0.95800694849053747</v>
      </c>
      <c r="M882" s="258">
        <f t="shared" si="316"/>
        <v>0.95800694849053747</v>
      </c>
      <c r="N882" s="251">
        <f t="shared" si="317"/>
        <v>18.924379975399752</v>
      </c>
      <c r="O882" s="336">
        <v>2.658552901318487E-2</v>
      </c>
      <c r="P882" s="258">
        <f t="shared" si="318"/>
        <v>2.658552901318487E-2</v>
      </c>
      <c r="Q882" s="354">
        <v>695.11500000000001</v>
      </c>
      <c r="R882" s="249">
        <f t="shared" si="319"/>
        <v>711.83010749999994</v>
      </c>
      <c r="S882" s="355">
        <v>0.1</v>
      </c>
      <c r="T882" s="355"/>
      <c r="U882" s="315">
        <f t="shared" si="320"/>
        <v>783.01311824999993</v>
      </c>
      <c r="V882" s="315">
        <f t="shared" si="321"/>
        <v>785</v>
      </c>
      <c r="W882" s="316">
        <f t="shared" si="322"/>
        <v>0</v>
      </c>
      <c r="X882" s="185"/>
      <c r="Y882" s="185"/>
      <c r="Z882" s="185"/>
      <c r="AA882" s="206"/>
      <c r="AB882" s="283"/>
    </row>
    <row r="883" spans="1:28" s="284" customFormat="1" ht="14.4" x14ac:dyDescent="0.3">
      <c r="A883" s="204" t="s">
        <v>16525</v>
      </c>
      <c r="B883" s="351" t="s">
        <v>20614</v>
      </c>
      <c r="C883" s="352"/>
      <c r="D883" s="353" t="s">
        <v>5</v>
      </c>
      <c r="E883" s="249">
        <f t="shared" si="311"/>
        <v>0</v>
      </c>
      <c r="F883" s="336">
        <v>0</v>
      </c>
      <c r="G883" s="258">
        <f t="shared" si="312"/>
        <v>0</v>
      </c>
      <c r="H883" s="249">
        <f t="shared" si="313"/>
        <v>6.3763840376546352E-2</v>
      </c>
      <c r="I883" s="336">
        <v>1.5407522496277597E-2</v>
      </c>
      <c r="J883" s="258">
        <f t="shared" si="314"/>
        <v>1.5407522496277597E-2</v>
      </c>
      <c r="K883" s="249">
        <f t="shared" si="315"/>
        <v>3.9646403141314526</v>
      </c>
      <c r="L883" s="336">
        <v>0.95799256238176411</v>
      </c>
      <c r="M883" s="258">
        <f t="shared" si="316"/>
        <v>0.95799256238176411</v>
      </c>
      <c r="N883" s="251">
        <f t="shared" si="317"/>
        <v>0.11002388143404077</v>
      </c>
      <c r="O883" s="336">
        <v>2.658552901318487E-2</v>
      </c>
      <c r="P883" s="258">
        <f t="shared" si="318"/>
        <v>2.658552901318487E-2</v>
      </c>
      <c r="Q883" s="354">
        <v>4.0413662790697673</v>
      </c>
      <c r="R883" s="249">
        <f t="shared" si="319"/>
        <v>4.1384875726744177</v>
      </c>
      <c r="S883" s="355">
        <v>0.1</v>
      </c>
      <c r="T883" s="355"/>
      <c r="U883" s="315">
        <f t="shared" si="320"/>
        <v>4.5523363299418591</v>
      </c>
      <c r="V883" s="315">
        <f t="shared" si="321"/>
        <v>5</v>
      </c>
      <c r="W883" s="316">
        <f t="shared" si="322"/>
        <v>0</v>
      </c>
      <c r="X883" s="185"/>
      <c r="Y883" s="185"/>
      <c r="Z883" s="185"/>
      <c r="AA883" s="206"/>
      <c r="AB883" s="283"/>
    </row>
    <row r="884" spans="1:28" s="284" customFormat="1" ht="14.4" x14ac:dyDescent="0.3">
      <c r="A884" s="204" t="s">
        <v>16526</v>
      </c>
      <c r="B884" s="351" t="s">
        <v>20615</v>
      </c>
      <c r="C884" s="352"/>
      <c r="D884" s="353" t="s">
        <v>14859</v>
      </c>
      <c r="E884" s="249">
        <f t="shared" si="311"/>
        <v>0</v>
      </c>
      <c r="F884" s="336">
        <v>0</v>
      </c>
      <c r="G884" s="258">
        <f t="shared" si="312"/>
        <v>0</v>
      </c>
      <c r="H884" s="249">
        <f t="shared" si="313"/>
        <v>10.967538394833948</v>
      </c>
      <c r="I884" s="336">
        <v>1.5407522496277595E-2</v>
      </c>
      <c r="J884" s="258">
        <f t="shared" si="314"/>
        <v>1.5407522496277595E-2</v>
      </c>
      <c r="K884" s="249">
        <f t="shared" si="315"/>
        <v>681.93818912976622</v>
      </c>
      <c r="L884" s="336">
        <v>0.95800694849053747</v>
      </c>
      <c r="M884" s="258">
        <f t="shared" si="316"/>
        <v>0.95800694849053747</v>
      </c>
      <c r="N884" s="251">
        <f t="shared" si="317"/>
        <v>18.924379975399752</v>
      </c>
      <c r="O884" s="336">
        <v>2.658552901318487E-2</v>
      </c>
      <c r="P884" s="258">
        <f t="shared" si="318"/>
        <v>2.658552901318487E-2</v>
      </c>
      <c r="Q884" s="354">
        <v>695.11500000000001</v>
      </c>
      <c r="R884" s="249">
        <f t="shared" si="319"/>
        <v>711.83010749999994</v>
      </c>
      <c r="S884" s="355">
        <v>0.1</v>
      </c>
      <c r="T884" s="355"/>
      <c r="U884" s="315">
        <f t="shared" si="320"/>
        <v>783.01311824999993</v>
      </c>
      <c r="V884" s="315">
        <f t="shared" si="321"/>
        <v>785</v>
      </c>
      <c r="W884" s="316">
        <f t="shared" si="322"/>
        <v>0</v>
      </c>
      <c r="X884" s="185"/>
      <c r="Y884" s="185"/>
      <c r="Z884" s="185"/>
      <c r="AA884" s="206"/>
      <c r="AB884" s="283"/>
    </row>
    <row r="885" spans="1:28" s="284" customFormat="1" ht="14.4" x14ac:dyDescent="0.3">
      <c r="A885" s="204" t="s">
        <v>16527</v>
      </c>
      <c r="B885" s="351" t="s">
        <v>20616</v>
      </c>
      <c r="C885" s="352"/>
      <c r="D885" s="353" t="s">
        <v>5</v>
      </c>
      <c r="E885" s="249">
        <f t="shared" si="311"/>
        <v>0</v>
      </c>
      <c r="F885" s="336">
        <v>0</v>
      </c>
      <c r="G885" s="258">
        <f t="shared" si="312"/>
        <v>0</v>
      </c>
      <c r="H885" s="249">
        <f t="shared" si="313"/>
        <v>6.3765841346468441E-2</v>
      </c>
      <c r="I885" s="336">
        <v>1.4350028137310074E-2</v>
      </c>
      <c r="J885" s="258">
        <f t="shared" si="314"/>
        <v>1.4350028137310074E-2</v>
      </c>
      <c r="K885" s="249">
        <f t="shared" si="315"/>
        <v>4.2697512103834141</v>
      </c>
      <c r="L885" s="336">
        <v>0.96087574027922917</v>
      </c>
      <c r="M885" s="258">
        <f t="shared" si="316"/>
        <v>0.96087574027922917</v>
      </c>
      <c r="N885" s="251">
        <f t="shared" si="317"/>
        <v>0.11002733408802395</v>
      </c>
      <c r="O885" s="336">
        <v>2.4760832864378163E-2</v>
      </c>
      <c r="P885" s="258">
        <f t="shared" si="318"/>
        <v>2.4760832864378163E-2</v>
      </c>
      <c r="Q885" s="354">
        <v>4.3391860465116281</v>
      </c>
      <c r="R885" s="249">
        <f t="shared" si="319"/>
        <v>4.4436039244186043</v>
      </c>
      <c r="S885" s="355">
        <v>0.1</v>
      </c>
      <c r="T885" s="355"/>
      <c r="U885" s="315">
        <f t="shared" si="320"/>
        <v>4.8879643168604652</v>
      </c>
      <c r="V885" s="315">
        <f t="shared" si="321"/>
        <v>5</v>
      </c>
      <c r="W885" s="316">
        <f t="shared" si="322"/>
        <v>0</v>
      </c>
      <c r="X885" s="185"/>
      <c r="Y885" s="185"/>
      <c r="Z885" s="185"/>
      <c r="AA885" s="206"/>
      <c r="AB885" s="283"/>
    </row>
    <row r="886" spans="1:28" s="284" customFormat="1" ht="14.4" x14ac:dyDescent="0.3">
      <c r="A886" s="204" t="s">
        <v>16528</v>
      </c>
      <c r="B886" s="351" t="s">
        <v>20617</v>
      </c>
      <c r="C886" s="352"/>
      <c r="D886" s="353" t="s">
        <v>14859</v>
      </c>
      <c r="E886" s="249">
        <f t="shared" si="311"/>
        <v>0</v>
      </c>
      <c r="F886" s="336">
        <v>0</v>
      </c>
      <c r="G886" s="258">
        <f t="shared" si="312"/>
        <v>0</v>
      </c>
      <c r="H886" s="249">
        <f t="shared" si="313"/>
        <v>10.967871727630838</v>
      </c>
      <c r="I886" s="336">
        <v>1.4350028137310074E-2</v>
      </c>
      <c r="J886" s="258">
        <f t="shared" si="314"/>
        <v>1.4350028137310074E-2</v>
      </c>
      <c r="K886" s="249">
        <f t="shared" si="315"/>
        <v>734.41729313449616</v>
      </c>
      <c r="L886" s="336">
        <v>0.96088913899831174</v>
      </c>
      <c r="M886" s="258">
        <f t="shared" si="316"/>
        <v>0.96088913899831174</v>
      </c>
      <c r="N886" s="251">
        <f t="shared" si="317"/>
        <v>18.924955137872818</v>
      </c>
      <c r="O886" s="336">
        <v>2.4760832864378166E-2</v>
      </c>
      <c r="P886" s="258">
        <f t="shared" si="318"/>
        <v>2.4760832864378166E-2</v>
      </c>
      <c r="Q886" s="354">
        <v>746.34</v>
      </c>
      <c r="R886" s="249">
        <f t="shared" si="319"/>
        <v>764.31011999999987</v>
      </c>
      <c r="S886" s="355">
        <v>0.1</v>
      </c>
      <c r="T886" s="355"/>
      <c r="U886" s="315">
        <f t="shared" si="320"/>
        <v>840.74113199999988</v>
      </c>
      <c r="V886" s="315">
        <f t="shared" si="321"/>
        <v>845</v>
      </c>
      <c r="W886" s="316">
        <f t="shared" si="322"/>
        <v>0</v>
      </c>
      <c r="X886" s="185"/>
      <c r="Y886" s="185"/>
      <c r="Z886" s="185"/>
      <c r="AA886" s="206"/>
      <c r="AB886" s="283"/>
    </row>
    <row r="887" spans="1:28" x14ac:dyDescent="0.25">
      <c r="A887" s="203" t="s">
        <v>16529</v>
      </c>
      <c r="B887" s="345" t="s">
        <v>16530</v>
      </c>
      <c r="C887" s="346"/>
      <c r="D887" s="347"/>
      <c r="E887" s="347"/>
      <c r="F887" s="347"/>
      <c r="G887" s="347"/>
      <c r="H887" s="347"/>
      <c r="I887" s="347"/>
      <c r="J887" s="347"/>
      <c r="K887" s="347"/>
      <c r="L887" s="347"/>
      <c r="M887" s="347"/>
      <c r="N887" s="347"/>
      <c r="O887" s="347"/>
      <c r="P887" s="347"/>
      <c r="Q887" s="347"/>
      <c r="R887" s="347"/>
      <c r="S887" s="347"/>
      <c r="T887" s="348"/>
      <c r="U887" s="349"/>
      <c r="V887" s="349"/>
      <c r="W887" s="350"/>
    </row>
    <row r="888" spans="1:28" s="284" customFormat="1" ht="14.4" x14ac:dyDescent="0.3">
      <c r="A888" s="204" t="s">
        <v>16531</v>
      </c>
      <c r="B888" s="351" t="s">
        <v>20618</v>
      </c>
      <c r="C888" s="352"/>
      <c r="D888" s="353" t="s">
        <v>14859</v>
      </c>
      <c r="E888" s="249">
        <f t="shared" si="311"/>
        <v>0</v>
      </c>
      <c r="F888" s="336">
        <v>0</v>
      </c>
      <c r="G888" s="258">
        <f t="shared" si="312"/>
        <v>0</v>
      </c>
      <c r="H888" s="249">
        <f t="shared" si="313"/>
        <v>10.95579398650144</v>
      </c>
      <c r="I888" s="336">
        <v>5.2666519141402975E-2</v>
      </c>
      <c r="J888" s="258">
        <f t="shared" si="314"/>
        <v>5.2666519141402975E-2</v>
      </c>
      <c r="K888" s="249">
        <f t="shared" si="315"/>
        <v>178.16207839953529</v>
      </c>
      <c r="L888" s="336">
        <v>0.85645791841852914</v>
      </c>
      <c r="M888" s="258">
        <f t="shared" si="316"/>
        <v>0.85645791841852914</v>
      </c>
      <c r="N888" s="251">
        <f t="shared" si="317"/>
        <v>18.904115113963265</v>
      </c>
      <c r="O888" s="336">
        <v>9.0875562440067864E-2</v>
      </c>
      <c r="P888" s="258">
        <f t="shared" si="318"/>
        <v>9.0875562440067864E-2</v>
      </c>
      <c r="Q888" s="354">
        <v>203.35499999999999</v>
      </c>
      <c r="R888" s="249">
        <f t="shared" si="319"/>
        <v>208.02198749999999</v>
      </c>
      <c r="S888" s="355">
        <v>0.1</v>
      </c>
      <c r="T888" s="355"/>
      <c r="U888" s="315">
        <f t="shared" si="320"/>
        <v>228.82418625</v>
      </c>
      <c r="V888" s="315">
        <f t="shared" si="321"/>
        <v>230</v>
      </c>
      <c r="W888" s="316">
        <f t="shared" si="322"/>
        <v>0</v>
      </c>
      <c r="X888" s="185"/>
      <c r="Y888" s="185"/>
      <c r="Z888" s="185"/>
      <c r="AA888" s="206"/>
      <c r="AB888" s="283"/>
    </row>
    <row r="889" spans="1:28" s="284" customFormat="1" ht="14.4" x14ac:dyDescent="0.3">
      <c r="A889" s="204" t="s">
        <v>16532</v>
      </c>
      <c r="B889" s="351" t="s">
        <v>20619</v>
      </c>
      <c r="C889" s="352"/>
      <c r="D889" s="353" t="s">
        <v>5</v>
      </c>
      <c r="E889" s="249">
        <f t="shared" si="311"/>
        <v>0</v>
      </c>
      <c r="F889" s="336">
        <v>0</v>
      </c>
      <c r="G889" s="258">
        <f t="shared" si="312"/>
        <v>0</v>
      </c>
      <c r="H889" s="249">
        <f t="shared" si="313"/>
        <v>6.369333963960952E-2</v>
      </c>
      <c r="I889" s="336">
        <v>5.2666519141402975E-2</v>
      </c>
      <c r="J889" s="258">
        <f t="shared" si="314"/>
        <v>5.2666519141402975E-2</v>
      </c>
      <c r="K889" s="249">
        <f t="shared" si="315"/>
        <v>1.0357155522816239</v>
      </c>
      <c r="L889" s="336">
        <v>0.85640874333062866</v>
      </c>
      <c r="M889" s="258">
        <f t="shared" si="316"/>
        <v>0.85640874333062866</v>
      </c>
      <c r="N889" s="251">
        <f t="shared" si="317"/>
        <v>0.10990223310363993</v>
      </c>
      <c r="O889" s="336">
        <v>9.0875562440067864E-2</v>
      </c>
      <c r="P889" s="258">
        <f t="shared" si="318"/>
        <v>9.0875562440067864E-2</v>
      </c>
      <c r="Q889" s="354">
        <v>1.1822965116279069</v>
      </c>
      <c r="R889" s="249">
        <f t="shared" si="319"/>
        <v>1.2093705959302326</v>
      </c>
      <c r="S889" s="355">
        <v>0.1</v>
      </c>
      <c r="T889" s="355"/>
      <c r="U889" s="315">
        <f t="shared" si="320"/>
        <v>1.3303076555232558</v>
      </c>
      <c r="V889" s="315">
        <f t="shared" si="321"/>
        <v>2</v>
      </c>
      <c r="W889" s="316">
        <f t="shared" si="322"/>
        <v>0</v>
      </c>
      <c r="X889" s="185"/>
      <c r="Y889" s="185"/>
      <c r="Z889" s="185"/>
      <c r="AA889" s="206"/>
      <c r="AB889" s="283"/>
    </row>
    <row r="890" spans="1:28" x14ac:dyDescent="0.25">
      <c r="A890" s="203" t="s">
        <v>16533</v>
      </c>
      <c r="B890" s="345" t="s">
        <v>16534</v>
      </c>
      <c r="C890" s="346"/>
      <c r="D890" s="347"/>
      <c r="E890" s="347"/>
      <c r="F890" s="347"/>
      <c r="G890" s="347"/>
      <c r="H890" s="347"/>
      <c r="I890" s="347"/>
      <c r="J890" s="347"/>
      <c r="K890" s="347"/>
      <c r="L890" s="347"/>
      <c r="M890" s="347"/>
      <c r="N890" s="347"/>
      <c r="O890" s="347"/>
      <c r="P890" s="347"/>
      <c r="Q890" s="347"/>
      <c r="R890" s="347"/>
      <c r="S890" s="347"/>
      <c r="T890" s="348"/>
      <c r="U890" s="349"/>
      <c r="V890" s="349"/>
      <c r="W890" s="350"/>
    </row>
    <row r="891" spans="1:28" s="284" customFormat="1" ht="14.4" x14ac:dyDescent="0.3">
      <c r="A891" s="204" t="s">
        <v>16535</v>
      </c>
      <c r="B891" s="351" t="s">
        <v>20620</v>
      </c>
      <c r="C891" s="352"/>
      <c r="D891" s="353" t="s">
        <v>5</v>
      </c>
      <c r="E891" s="249">
        <f t="shared" si="311"/>
        <v>0</v>
      </c>
      <c r="F891" s="336">
        <v>0</v>
      </c>
      <c r="G891" s="258">
        <f t="shared" si="312"/>
        <v>0</v>
      </c>
      <c r="H891" s="249">
        <f t="shared" si="313"/>
        <v>6.3740870221045659E-2</v>
      </c>
      <c r="I891" s="336">
        <v>2.7547040236426141E-2</v>
      </c>
      <c r="J891" s="258">
        <f t="shared" si="314"/>
        <v>2.7547040236426141E-2</v>
      </c>
      <c r="K891" s="249">
        <f t="shared" si="315"/>
        <v>2.1401071570822312</v>
      </c>
      <c r="L891" s="336">
        <v>0.92489509104541134</v>
      </c>
      <c r="M891" s="258">
        <f t="shared" si="316"/>
        <v>0.92489509104541134</v>
      </c>
      <c r="N891" s="251">
        <f t="shared" si="317"/>
        <v>0.10998424665592192</v>
      </c>
      <c r="O891" s="336">
        <v>4.7532147858931374E-2</v>
      </c>
      <c r="P891" s="258">
        <f t="shared" si="318"/>
        <v>4.7532147858931374E-2</v>
      </c>
      <c r="Q891" s="354">
        <v>2.2604040697674419</v>
      </c>
      <c r="R891" s="249">
        <f t="shared" si="319"/>
        <v>2.3138917892441859</v>
      </c>
      <c r="S891" s="355">
        <v>0.1</v>
      </c>
      <c r="T891" s="355"/>
      <c r="U891" s="315">
        <f t="shared" si="320"/>
        <v>2.5452809681686044</v>
      </c>
      <c r="V891" s="315">
        <f t="shared" si="321"/>
        <v>3</v>
      </c>
      <c r="W891" s="316">
        <f t="shared" si="322"/>
        <v>0</v>
      </c>
      <c r="X891" s="185"/>
      <c r="Y891" s="185"/>
      <c r="Z891" s="185"/>
      <c r="AA891" s="206"/>
      <c r="AB891" s="283"/>
    </row>
    <row r="892" spans="1:28" s="284" customFormat="1" ht="14.4" x14ac:dyDescent="0.3">
      <c r="A892" s="204" t="s">
        <v>16536</v>
      </c>
      <c r="B892" s="351" t="s">
        <v>20621</v>
      </c>
      <c r="C892" s="352"/>
      <c r="D892" s="353" t="s">
        <v>14859</v>
      </c>
      <c r="E892" s="249">
        <f t="shared" si="311"/>
        <v>0</v>
      </c>
      <c r="F892" s="336">
        <v>0</v>
      </c>
      <c r="G892" s="258">
        <f t="shared" si="312"/>
        <v>0</v>
      </c>
      <c r="H892" s="249">
        <f t="shared" si="313"/>
        <v>10.963711897447077</v>
      </c>
      <c r="I892" s="336">
        <v>2.7547040236426141E-2</v>
      </c>
      <c r="J892" s="258">
        <f t="shared" si="314"/>
        <v>2.7547040236426141E-2</v>
      </c>
      <c r="K892" s="249">
        <f t="shared" si="315"/>
        <v>368.11814346087954</v>
      </c>
      <c r="L892" s="336">
        <v>0.92492081190464248</v>
      </c>
      <c r="M892" s="258">
        <f t="shared" si="316"/>
        <v>0.92492081190464248</v>
      </c>
      <c r="N892" s="251">
        <f t="shared" si="317"/>
        <v>18.917777391673386</v>
      </c>
      <c r="O892" s="336">
        <v>4.7532147858931381E-2</v>
      </c>
      <c r="P892" s="258">
        <f t="shared" si="318"/>
        <v>4.7532147858931381E-2</v>
      </c>
      <c r="Q892" s="354">
        <v>388.78949999999998</v>
      </c>
      <c r="R892" s="249">
        <f t="shared" si="319"/>
        <v>397.99963274999999</v>
      </c>
      <c r="S892" s="355">
        <v>0.1</v>
      </c>
      <c r="T892" s="355"/>
      <c r="U892" s="315">
        <f t="shared" si="320"/>
        <v>437.79959602499997</v>
      </c>
      <c r="V892" s="315">
        <f t="shared" si="321"/>
        <v>440</v>
      </c>
      <c r="W892" s="316">
        <f t="shared" si="322"/>
        <v>0</v>
      </c>
      <c r="X892" s="185"/>
      <c r="Y892" s="185"/>
      <c r="Z892" s="185"/>
      <c r="AA892" s="206"/>
      <c r="AB892" s="283"/>
    </row>
    <row r="893" spans="1:28" s="284" customFormat="1" ht="14.4" x14ac:dyDescent="0.3">
      <c r="A893" s="204" t="s">
        <v>16537</v>
      </c>
      <c r="B893" s="351" t="s">
        <v>20622</v>
      </c>
      <c r="C893" s="352"/>
      <c r="D893" s="353" t="s">
        <v>5</v>
      </c>
      <c r="E893" s="249">
        <f t="shared" si="311"/>
        <v>0</v>
      </c>
      <c r="F893" s="336">
        <v>0</v>
      </c>
      <c r="G893" s="258">
        <f t="shared" si="312"/>
        <v>0</v>
      </c>
      <c r="H893" s="249">
        <f t="shared" si="313"/>
        <v>6.375983259003748E-2</v>
      </c>
      <c r="I893" s="336">
        <v>1.7525601123209396E-2</v>
      </c>
      <c r="J893" s="258">
        <f t="shared" si="314"/>
        <v>1.7525601123209396E-2</v>
      </c>
      <c r="K893" s="249">
        <f t="shared" si="315"/>
        <v>3.4642604241959236</v>
      </c>
      <c r="L893" s="336">
        <v>0.95221778218508735</v>
      </c>
      <c r="M893" s="258">
        <f t="shared" si="316"/>
        <v>0.95221778218508735</v>
      </c>
      <c r="N893" s="251">
        <f t="shared" si="317"/>
        <v>0.11001696603771172</v>
      </c>
      <c r="O893" s="336">
        <v>3.0240252918478955E-2</v>
      </c>
      <c r="P893" s="258">
        <f t="shared" si="318"/>
        <v>3.0240252918478955E-2</v>
      </c>
      <c r="Q893" s="354">
        <v>3.5529418604651162</v>
      </c>
      <c r="R893" s="249">
        <f t="shared" si="319"/>
        <v>3.6380967558139532</v>
      </c>
      <c r="S893" s="355">
        <v>0.1</v>
      </c>
      <c r="T893" s="355"/>
      <c r="U893" s="315">
        <f t="shared" si="320"/>
        <v>4.0019064313953487</v>
      </c>
      <c r="V893" s="315">
        <f t="shared" si="321"/>
        <v>5</v>
      </c>
      <c r="W893" s="316">
        <f t="shared" si="322"/>
        <v>0</v>
      </c>
      <c r="X893" s="185"/>
      <c r="Y893" s="185"/>
      <c r="Z893" s="185"/>
      <c r="AA893" s="206"/>
      <c r="AB893" s="283"/>
    </row>
    <row r="894" spans="1:28" s="284" customFormat="1" ht="14.4" x14ac:dyDescent="0.3">
      <c r="A894" s="204" t="s">
        <v>16538</v>
      </c>
      <c r="B894" s="351" t="s">
        <v>20623</v>
      </c>
      <c r="C894" s="352"/>
      <c r="D894" s="353" t="s">
        <v>14859</v>
      </c>
      <c r="E894" s="249">
        <f t="shared" si="311"/>
        <v>0</v>
      </c>
      <c r="F894" s="336">
        <v>0</v>
      </c>
      <c r="G894" s="258">
        <f t="shared" si="312"/>
        <v>0</v>
      </c>
      <c r="H894" s="249">
        <f t="shared" si="313"/>
        <v>10.966870755269952</v>
      </c>
      <c r="I894" s="336">
        <v>1.7525601123209396E-2</v>
      </c>
      <c r="J894" s="258">
        <f t="shared" si="314"/>
        <v>1.7525601123209396E-2</v>
      </c>
      <c r="K894" s="249">
        <f t="shared" si="315"/>
        <v>595.87278827485227</v>
      </c>
      <c r="L894" s="336">
        <v>0.95223414595831157</v>
      </c>
      <c r="M894" s="258">
        <f t="shared" si="316"/>
        <v>0.95223414595831157</v>
      </c>
      <c r="N894" s="251">
        <f t="shared" si="317"/>
        <v>18.923227969877562</v>
      </c>
      <c r="O894" s="336">
        <v>3.0240252918478955E-2</v>
      </c>
      <c r="P894" s="258">
        <f t="shared" si="318"/>
        <v>3.0240252918478955E-2</v>
      </c>
      <c r="Q894" s="354">
        <v>611.10599999999999</v>
      </c>
      <c r="R894" s="249">
        <f t="shared" si="319"/>
        <v>625.76288699999986</v>
      </c>
      <c r="S894" s="355">
        <v>0.1</v>
      </c>
      <c r="T894" s="355"/>
      <c r="U894" s="315">
        <f t="shared" si="320"/>
        <v>688.33917569999983</v>
      </c>
      <c r="V894" s="315">
        <f t="shared" si="321"/>
        <v>690</v>
      </c>
      <c r="W894" s="316">
        <f t="shared" si="322"/>
        <v>0</v>
      </c>
      <c r="X894" s="185"/>
      <c r="Y894" s="185"/>
      <c r="Z894" s="185"/>
      <c r="AA894" s="206"/>
      <c r="AB894" s="283"/>
    </row>
    <row r="895" spans="1:28" s="284" customFormat="1" ht="14.4" x14ac:dyDescent="0.3">
      <c r="A895" s="204" t="s">
        <v>16539</v>
      </c>
      <c r="B895" s="351" t="s">
        <v>20624</v>
      </c>
      <c r="C895" s="352"/>
      <c r="D895" s="353" t="s">
        <v>5</v>
      </c>
      <c r="E895" s="249">
        <f t="shared" si="311"/>
        <v>0</v>
      </c>
      <c r="F895" s="336">
        <v>0</v>
      </c>
      <c r="G895" s="258">
        <f t="shared" si="312"/>
        <v>0</v>
      </c>
      <c r="H895" s="249">
        <f t="shared" si="313"/>
        <v>6.3763136275984969E-2</v>
      </c>
      <c r="I895" s="336">
        <v>1.5779633222979036E-2</v>
      </c>
      <c r="J895" s="258">
        <f t="shared" si="314"/>
        <v>1.5779633222979036E-2</v>
      </c>
      <c r="K895" s="249">
        <f t="shared" si="315"/>
        <v>3.8670050012499146</v>
      </c>
      <c r="L895" s="336">
        <v>0.95697803080196187</v>
      </c>
      <c r="M895" s="258">
        <f t="shared" si="316"/>
        <v>0.95697803080196187</v>
      </c>
      <c r="N895" s="251">
        <f t="shared" si="317"/>
        <v>0.11002266651542504</v>
      </c>
      <c r="O895" s="336">
        <v>2.7227602423963826E-2</v>
      </c>
      <c r="P895" s="258">
        <f t="shared" si="318"/>
        <v>2.7227602423963826E-2</v>
      </c>
      <c r="Q895" s="354">
        <v>3.9460639534883724</v>
      </c>
      <c r="R895" s="249">
        <f t="shared" si="319"/>
        <v>4.040850340116279</v>
      </c>
      <c r="S895" s="355">
        <v>0.1</v>
      </c>
      <c r="T895" s="355"/>
      <c r="U895" s="315">
        <f t="shared" si="320"/>
        <v>4.4449353741279065</v>
      </c>
      <c r="V895" s="315">
        <f t="shared" si="321"/>
        <v>5</v>
      </c>
      <c r="W895" s="316">
        <f t="shared" si="322"/>
        <v>0</v>
      </c>
      <c r="X895" s="185"/>
      <c r="Y895" s="185"/>
      <c r="Z895" s="185"/>
      <c r="AA895" s="206"/>
      <c r="AB895" s="283"/>
    </row>
    <row r="896" spans="1:28" s="284" customFormat="1" ht="14.4" x14ac:dyDescent="0.3">
      <c r="A896" s="204" t="s">
        <v>16540</v>
      </c>
      <c r="B896" s="351" t="s">
        <v>20625</v>
      </c>
      <c r="C896" s="352"/>
      <c r="D896" s="353" t="s">
        <v>14859</v>
      </c>
      <c r="E896" s="249">
        <f t="shared" si="311"/>
        <v>0</v>
      </c>
      <c r="F896" s="336">
        <v>0</v>
      </c>
      <c r="G896" s="258">
        <f t="shared" si="312"/>
        <v>0</v>
      </c>
      <c r="H896" s="249">
        <f t="shared" si="313"/>
        <v>10.967421101811784</v>
      </c>
      <c r="I896" s="336">
        <v>1.5779633222979036E-2</v>
      </c>
      <c r="J896" s="258">
        <f t="shared" si="314"/>
        <v>1.5779633222979036E-2</v>
      </c>
      <c r="K896" s="249">
        <f t="shared" si="315"/>
        <v>665.14490481074813</v>
      </c>
      <c r="L896" s="336">
        <v>0.95699276435305702</v>
      </c>
      <c r="M896" s="258">
        <f t="shared" si="316"/>
        <v>0.95699276435305702</v>
      </c>
      <c r="N896" s="251">
        <f t="shared" si="317"/>
        <v>18.924177587439939</v>
      </c>
      <c r="O896" s="336">
        <v>2.7227602423963822E-2</v>
      </c>
      <c r="P896" s="258">
        <f t="shared" si="318"/>
        <v>2.7227602423963822E-2</v>
      </c>
      <c r="Q896" s="354">
        <v>678.72300000000007</v>
      </c>
      <c r="R896" s="249">
        <f t="shared" si="319"/>
        <v>695.03650349999998</v>
      </c>
      <c r="S896" s="355">
        <v>0.1</v>
      </c>
      <c r="T896" s="355"/>
      <c r="U896" s="315">
        <f t="shared" si="320"/>
        <v>764.54015385000002</v>
      </c>
      <c r="V896" s="315">
        <f t="shared" si="321"/>
        <v>765</v>
      </c>
      <c r="W896" s="316">
        <f t="shared" si="322"/>
        <v>0</v>
      </c>
      <c r="X896" s="185"/>
      <c r="Y896" s="185"/>
      <c r="Z896" s="185"/>
      <c r="AA896" s="206"/>
      <c r="AB896" s="283"/>
    </row>
    <row r="897" spans="1:28" s="284" customFormat="1" ht="14.4" x14ac:dyDescent="0.3">
      <c r="A897" s="204" t="s">
        <v>16541</v>
      </c>
      <c r="B897" s="351" t="s">
        <v>20626</v>
      </c>
      <c r="C897" s="352"/>
      <c r="D897" s="353" t="s">
        <v>5</v>
      </c>
      <c r="E897" s="249">
        <f t="shared" si="311"/>
        <v>0</v>
      </c>
      <c r="F897" s="336">
        <v>0</v>
      </c>
      <c r="G897" s="258">
        <f t="shared" si="312"/>
        <v>0</v>
      </c>
      <c r="H897" s="249">
        <f t="shared" si="313"/>
        <v>6.3763136275984969E-2</v>
      </c>
      <c r="I897" s="336">
        <v>1.5779633222979036E-2</v>
      </c>
      <c r="J897" s="258">
        <f t="shared" si="314"/>
        <v>1.5779633222979036E-2</v>
      </c>
      <c r="K897" s="249">
        <f t="shared" si="315"/>
        <v>3.8670050012499146</v>
      </c>
      <c r="L897" s="336">
        <v>0.95697803080196187</v>
      </c>
      <c r="M897" s="258">
        <f t="shared" si="316"/>
        <v>0.95697803080196187</v>
      </c>
      <c r="N897" s="251">
        <f t="shared" si="317"/>
        <v>0.11002266651542504</v>
      </c>
      <c r="O897" s="336">
        <v>2.7227602423963826E-2</v>
      </c>
      <c r="P897" s="258">
        <f t="shared" si="318"/>
        <v>2.7227602423963826E-2</v>
      </c>
      <c r="Q897" s="354">
        <v>3.9460639534883724</v>
      </c>
      <c r="R897" s="249">
        <f t="shared" si="319"/>
        <v>4.040850340116279</v>
      </c>
      <c r="S897" s="355">
        <v>0.1</v>
      </c>
      <c r="T897" s="355"/>
      <c r="U897" s="315">
        <f t="shared" si="320"/>
        <v>4.4449353741279065</v>
      </c>
      <c r="V897" s="315">
        <f t="shared" si="321"/>
        <v>5</v>
      </c>
      <c r="W897" s="316">
        <f t="shared" si="322"/>
        <v>0</v>
      </c>
      <c r="X897" s="185"/>
      <c r="Y897" s="185"/>
      <c r="Z897" s="185"/>
      <c r="AA897" s="206"/>
      <c r="AB897" s="283"/>
    </row>
    <row r="898" spans="1:28" s="284" customFormat="1" ht="14.4" x14ac:dyDescent="0.3">
      <c r="A898" s="204" t="s">
        <v>16542</v>
      </c>
      <c r="B898" s="351" t="s">
        <v>20627</v>
      </c>
      <c r="C898" s="352"/>
      <c r="D898" s="353" t="s">
        <v>14859</v>
      </c>
      <c r="E898" s="249">
        <f t="shared" si="311"/>
        <v>0</v>
      </c>
      <c r="F898" s="336">
        <v>0</v>
      </c>
      <c r="G898" s="258">
        <f t="shared" si="312"/>
        <v>0</v>
      </c>
      <c r="H898" s="249">
        <f t="shared" si="313"/>
        <v>10.967421101811784</v>
      </c>
      <c r="I898" s="336">
        <v>1.5779633222979036E-2</v>
      </c>
      <c r="J898" s="258">
        <f t="shared" si="314"/>
        <v>1.5779633222979036E-2</v>
      </c>
      <c r="K898" s="249">
        <f t="shared" si="315"/>
        <v>665.14490481074813</v>
      </c>
      <c r="L898" s="336">
        <v>0.95699276435305702</v>
      </c>
      <c r="M898" s="258">
        <f t="shared" si="316"/>
        <v>0.95699276435305702</v>
      </c>
      <c r="N898" s="251">
        <f t="shared" si="317"/>
        <v>18.924177587439939</v>
      </c>
      <c r="O898" s="336">
        <v>2.7227602423963822E-2</v>
      </c>
      <c r="P898" s="258">
        <f t="shared" si="318"/>
        <v>2.7227602423963822E-2</v>
      </c>
      <c r="Q898" s="354">
        <v>678.72300000000007</v>
      </c>
      <c r="R898" s="249">
        <f t="shared" si="319"/>
        <v>695.03650349999998</v>
      </c>
      <c r="S898" s="355">
        <v>0.1</v>
      </c>
      <c r="T898" s="355"/>
      <c r="U898" s="315">
        <f t="shared" si="320"/>
        <v>764.54015385000002</v>
      </c>
      <c r="V898" s="315">
        <f t="shared" si="321"/>
        <v>765</v>
      </c>
      <c r="W898" s="316">
        <f t="shared" si="322"/>
        <v>0</v>
      </c>
      <c r="X898" s="185"/>
      <c r="Y898" s="185"/>
      <c r="Z898" s="185"/>
      <c r="AA898" s="206"/>
      <c r="AB898" s="283"/>
    </row>
    <row r="899" spans="1:28" s="284" customFormat="1" ht="14.4" x14ac:dyDescent="0.3">
      <c r="A899" s="204" t="s">
        <v>16543</v>
      </c>
      <c r="B899" s="351" t="s">
        <v>20628</v>
      </c>
      <c r="C899" s="352"/>
      <c r="D899" s="353" t="s">
        <v>5</v>
      </c>
      <c r="E899" s="249">
        <f t="shared" ref="E899:E962" si="323">R899*G899</f>
        <v>0</v>
      </c>
      <c r="F899" s="336">
        <v>0</v>
      </c>
      <c r="G899" s="258">
        <f t="shared" ref="G899:G962" si="324">F899</f>
        <v>0</v>
      </c>
      <c r="H899" s="249">
        <f t="shared" ref="H899:H962" si="325">R899*J899</f>
        <v>6.3764263820997882E-2</v>
      </c>
      <c r="I899" s="336">
        <v>1.5183735964613814E-2</v>
      </c>
      <c r="J899" s="258">
        <f t="shared" ref="J899:J962" si="326">I899</f>
        <v>1.5183735964613814E-2</v>
      </c>
      <c r="K899" s="249">
        <f t="shared" ref="K899:K962" si="327">R899*M899</f>
        <v>4.0256624299912156</v>
      </c>
      <c r="L899" s="336">
        <v>0.95860269933083797</v>
      </c>
      <c r="M899" s="258">
        <f t="shared" ref="M899:M962" si="328">L899</f>
        <v>0.95860269933083797</v>
      </c>
      <c r="N899" s="251">
        <f t="shared" ref="N899:N962" si="329">P899*R899</f>
        <v>0.11002461208329047</v>
      </c>
      <c r="O899" s="336">
        <v>2.6199387546784619E-2</v>
      </c>
      <c r="P899" s="258">
        <f t="shared" ref="P899:P962" si="330">O899</f>
        <v>2.6199387546784619E-2</v>
      </c>
      <c r="Q899" s="354">
        <v>4.1009302325581398</v>
      </c>
      <c r="R899" s="249">
        <f t="shared" ref="R899:R962" si="331">SUM(F899*Q899*1.0235,I899*Q899*1.0175,L899*Q899*1.0245,O899*Q899*1.0115)</f>
        <v>4.1995108430232557</v>
      </c>
      <c r="S899" s="355">
        <v>0.1</v>
      </c>
      <c r="T899" s="355"/>
      <c r="U899" s="315">
        <f t="shared" si="320"/>
        <v>4.619461927325581</v>
      </c>
      <c r="V899" s="315">
        <f t="shared" si="321"/>
        <v>5</v>
      </c>
      <c r="W899" s="316">
        <f t="shared" si="322"/>
        <v>0</v>
      </c>
      <c r="X899" s="185"/>
      <c r="Y899" s="185"/>
      <c r="Z899" s="185"/>
      <c r="AA899" s="206"/>
      <c r="AB899" s="283"/>
    </row>
    <row r="900" spans="1:28" s="284" customFormat="1" ht="14.4" x14ac:dyDescent="0.3">
      <c r="A900" s="204" t="s">
        <v>16544</v>
      </c>
      <c r="B900" s="351" t="s">
        <v>20629</v>
      </c>
      <c r="C900" s="352"/>
      <c r="D900" s="353" t="s">
        <v>14859</v>
      </c>
      <c r="E900" s="249">
        <f t="shared" si="323"/>
        <v>0</v>
      </c>
      <c r="F900" s="336">
        <v>0</v>
      </c>
      <c r="G900" s="258">
        <f t="shared" si="324"/>
        <v>0</v>
      </c>
      <c r="H900" s="249">
        <f t="shared" si="325"/>
        <v>10.967608934586593</v>
      </c>
      <c r="I900" s="336">
        <v>1.5183735964613814E-2</v>
      </c>
      <c r="J900" s="258">
        <f t="shared" si="326"/>
        <v>1.5183735964613814E-2</v>
      </c>
      <c r="K900" s="249">
        <f t="shared" si="327"/>
        <v>692.43399937436197</v>
      </c>
      <c r="L900" s="336">
        <v>0.9586168764886015</v>
      </c>
      <c r="M900" s="258">
        <f t="shared" si="328"/>
        <v>0.9586168764886015</v>
      </c>
      <c r="N900" s="251">
        <f t="shared" si="329"/>
        <v>18.924501691051379</v>
      </c>
      <c r="O900" s="336">
        <v>2.6199387546784622E-2</v>
      </c>
      <c r="P900" s="258">
        <f t="shared" si="330"/>
        <v>2.6199387546784622E-2</v>
      </c>
      <c r="Q900" s="354">
        <v>705.36</v>
      </c>
      <c r="R900" s="249">
        <f t="shared" si="331"/>
        <v>722.32610999999997</v>
      </c>
      <c r="S900" s="355">
        <v>0.1</v>
      </c>
      <c r="T900" s="355"/>
      <c r="U900" s="315">
        <f t="shared" si="320"/>
        <v>794.55872099999999</v>
      </c>
      <c r="V900" s="315">
        <f t="shared" si="321"/>
        <v>795</v>
      </c>
      <c r="W900" s="316">
        <f t="shared" si="322"/>
        <v>0</v>
      </c>
      <c r="X900" s="185"/>
      <c r="Y900" s="185"/>
      <c r="Z900" s="185"/>
      <c r="AA900" s="206"/>
      <c r="AB900" s="283"/>
    </row>
    <row r="901" spans="1:28" s="284" customFormat="1" ht="14.4" x14ac:dyDescent="0.3">
      <c r="A901" s="204" t="s">
        <v>16545</v>
      </c>
      <c r="B901" s="351" t="s">
        <v>20630</v>
      </c>
      <c r="C901" s="352"/>
      <c r="D901" s="353" t="s">
        <v>5</v>
      </c>
      <c r="E901" s="249">
        <f t="shared" si="323"/>
        <v>0</v>
      </c>
      <c r="F901" s="336">
        <v>0</v>
      </c>
      <c r="G901" s="258">
        <f t="shared" si="324"/>
        <v>0</v>
      </c>
      <c r="H901" s="249">
        <f t="shared" si="325"/>
        <v>6.3779224094946421E-2</v>
      </c>
      <c r="I901" s="336">
        <v>7.2773675906409388E-3</v>
      </c>
      <c r="J901" s="258">
        <f t="shared" si="326"/>
        <v>7.2773675906409388E-3</v>
      </c>
      <c r="K901" s="249">
        <f t="shared" si="327"/>
        <v>8.5901622640357491</v>
      </c>
      <c r="L901" s="336">
        <v>0.98015881105072666</v>
      </c>
      <c r="M901" s="258">
        <f t="shared" si="328"/>
        <v>0.98015881105072666</v>
      </c>
      <c r="N901" s="251">
        <f t="shared" si="329"/>
        <v>0.11005042588931931</v>
      </c>
      <c r="O901" s="336">
        <v>1.2557026430909854E-2</v>
      </c>
      <c r="P901" s="258">
        <f t="shared" si="330"/>
        <v>1.2557026430909854E-2</v>
      </c>
      <c r="Q901" s="354">
        <v>8.5563139534883721</v>
      </c>
      <c r="R901" s="249">
        <f t="shared" si="331"/>
        <v>8.7640514651162764</v>
      </c>
      <c r="S901" s="355">
        <v>0.1</v>
      </c>
      <c r="T901" s="355"/>
      <c r="U901" s="315">
        <f t="shared" si="320"/>
        <v>9.6404566116279042</v>
      </c>
      <c r="V901" s="315">
        <f t="shared" si="321"/>
        <v>10</v>
      </c>
      <c r="W901" s="316">
        <f t="shared" si="322"/>
        <v>0</v>
      </c>
      <c r="X901" s="185"/>
      <c r="Y901" s="185"/>
      <c r="Z901" s="185"/>
      <c r="AA901" s="206"/>
      <c r="AB901" s="283"/>
    </row>
    <row r="902" spans="1:28" s="284" customFormat="1" ht="14.4" x14ac:dyDescent="0.3">
      <c r="A902" s="204" t="s">
        <v>16546</v>
      </c>
      <c r="B902" s="351" t="s">
        <v>20631</v>
      </c>
      <c r="C902" s="352"/>
      <c r="D902" s="353" t="s">
        <v>14859</v>
      </c>
      <c r="E902" s="249">
        <f t="shared" si="323"/>
        <v>0</v>
      </c>
      <c r="F902" s="336">
        <v>0</v>
      </c>
      <c r="G902" s="258">
        <f t="shared" si="324"/>
        <v>0</v>
      </c>
      <c r="H902" s="249">
        <f t="shared" si="325"/>
        <v>10.970101100961756</v>
      </c>
      <c r="I902" s="336">
        <v>7.2773675906409397E-3</v>
      </c>
      <c r="J902" s="258">
        <f t="shared" si="326"/>
        <v>7.2773675906409397E-3</v>
      </c>
      <c r="K902" s="249">
        <f t="shared" si="327"/>
        <v>1477.5281939993395</v>
      </c>
      <c r="L902" s="336">
        <v>0.98016560597844915</v>
      </c>
      <c r="M902" s="258">
        <f t="shared" si="328"/>
        <v>0.98016560597844915</v>
      </c>
      <c r="N902" s="251">
        <f t="shared" si="329"/>
        <v>18.928801899698716</v>
      </c>
      <c r="O902" s="336">
        <v>1.2557026430909855E-2</v>
      </c>
      <c r="P902" s="258">
        <f t="shared" si="330"/>
        <v>1.2557026430909855E-2</v>
      </c>
      <c r="Q902" s="354">
        <v>1471.6859999999999</v>
      </c>
      <c r="R902" s="249">
        <f t="shared" si="331"/>
        <v>1507.427097</v>
      </c>
      <c r="S902" s="355">
        <v>0.1</v>
      </c>
      <c r="T902" s="355"/>
      <c r="U902" s="315">
        <f t="shared" si="320"/>
        <v>1658.1698067</v>
      </c>
      <c r="V902" s="315">
        <f t="shared" si="321"/>
        <v>1675</v>
      </c>
      <c r="W902" s="316">
        <f t="shared" si="322"/>
        <v>0</v>
      </c>
      <c r="X902" s="185"/>
      <c r="Y902" s="185"/>
      <c r="Z902" s="185"/>
      <c r="AA902" s="206"/>
      <c r="AB902" s="283"/>
    </row>
    <row r="903" spans="1:28" s="284" customFormat="1" ht="14.4" x14ac:dyDescent="0.3">
      <c r="A903" s="204" t="s">
        <v>16547</v>
      </c>
      <c r="B903" s="351" t="s">
        <v>20632</v>
      </c>
      <c r="C903" s="352"/>
      <c r="D903" s="353" t="s">
        <v>5</v>
      </c>
      <c r="E903" s="249">
        <f t="shared" si="323"/>
        <v>0</v>
      </c>
      <c r="F903" s="336">
        <v>0</v>
      </c>
      <c r="G903" s="258">
        <f t="shared" si="324"/>
        <v>0</v>
      </c>
      <c r="H903" s="249">
        <f t="shared" si="325"/>
        <v>6.3779569867701863E-2</v>
      </c>
      <c r="I903" s="336">
        <v>7.0946298421593924E-3</v>
      </c>
      <c r="J903" s="258">
        <f t="shared" si="326"/>
        <v>7.0946298421593924E-3</v>
      </c>
      <c r="K903" s="249">
        <f t="shared" si="327"/>
        <v>8.815947421603342</v>
      </c>
      <c r="L903" s="336">
        <v>0.98065703161614792</v>
      </c>
      <c r="M903" s="258">
        <f t="shared" si="328"/>
        <v>0.98065703161614792</v>
      </c>
      <c r="N903" s="251">
        <f t="shared" si="329"/>
        <v>0.11005102251681888</v>
      </c>
      <c r="O903" s="336">
        <v>1.2241714237451498E-2</v>
      </c>
      <c r="P903" s="258">
        <f t="shared" si="330"/>
        <v>1.2241714237451498E-2</v>
      </c>
      <c r="Q903" s="354">
        <v>8.7767005813953478</v>
      </c>
      <c r="R903" s="249">
        <f t="shared" si="331"/>
        <v>8.9898375654069742</v>
      </c>
      <c r="S903" s="355">
        <v>0.1</v>
      </c>
      <c r="T903" s="355"/>
      <c r="U903" s="315">
        <f t="shared" si="320"/>
        <v>9.8888213219476722</v>
      </c>
      <c r="V903" s="315">
        <f t="shared" si="321"/>
        <v>10</v>
      </c>
      <c r="W903" s="316">
        <f t="shared" si="322"/>
        <v>0</v>
      </c>
      <c r="X903" s="185"/>
      <c r="Y903" s="185"/>
      <c r="Z903" s="185"/>
      <c r="AA903" s="206"/>
      <c r="AB903" s="283"/>
    </row>
    <row r="904" spans="1:28" s="284" customFormat="1" ht="14.4" x14ac:dyDescent="0.3">
      <c r="A904" s="204" t="s">
        <v>16548</v>
      </c>
      <c r="B904" s="351" t="s">
        <v>20633</v>
      </c>
      <c r="C904" s="352"/>
      <c r="D904" s="353" t="s">
        <v>14859</v>
      </c>
      <c r="E904" s="249">
        <f t="shared" si="323"/>
        <v>0</v>
      </c>
      <c r="F904" s="336">
        <v>0</v>
      </c>
      <c r="G904" s="258">
        <f t="shared" si="324"/>
        <v>0</v>
      </c>
      <c r="H904" s="249">
        <f t="shared" si="325"/>
        <v>10.970158701727454</v>
      </c>
      <c r="I904" s="336">
        <v>7.0946298421593916E-3</v>
      </c>
      <c r="J904" s="258">
        <f t="shared" si="326"/>
        <v>7.0946298421593916E-3</v>
      </c>
      <c r="K904" s="249">
        <f t="shared" si="327"/>
        <v>1516.3632462590172</v>
      </c>
      <c r="L904" s="336">
        <v>0.98066365592038907</v>
      </c>
      <c r="M904" s="258">
        <f t="shared" si="328"/>
        <v>0.98066365592038907</v>
      </c>
      <c r="N904" s="251">
        <f t="shared" si="329"/>
        <v>18.928901289255215</v>
      </c>
      <c r="O904" s="336">
        <v>1.2241714237451498E-2</v>
      </c>
      <c r="P904" s="258">
        <f t="shared" si="330"/>
        <v>1.2241714237451498E-2</v>
      </c>
      <c r="Q904" s="354">
        <v>1509.5925</v>
      </c>
      <c r="R904" s="249">
        <f t="shared" si="331"/>
        <v>1546.2623062499999</v>
      </c>
      <c r="S904" s="355">
        <v>0.1</v>
      </c>
      <c r="T904" s="355"/>
      <c r="U904" s="315">
        <f t="shared" si="320"/>
        <v>1700.888536875</v>
      </c>
      <c r="V904" s="315">
        <f t="shared" si="321"/>
        <v>1725</v>
      </c>
      <c r="W904" s="316">
        <f t="shared" si="322"/>
        <v>0</v>
      </c>
      <c r="X904" s="185"/>
      <c r="Y904" s="185"/>
      <c r="Z904" s="185"/>
      <c r="AA904" s="206"/>
      <c r="AB904" s="283"/>
    </row>
    <row r="905" spans="1:28" x14ac:dyDescent="0.25">
      <c r="A905" s="204" t="s">
        <v>16549</v>
      </c>
      <c r="B905" s="351" t="s">
        <v>20634</v>
      </c>
      <c r="C905" s="352"/>
      <c r="D905" s="353" t="s">
        <v>5</v>
      </c>
      <c r="E905" s="249">
        <f t="shared" si="323"/>
        <v>0</v>
      </c>
      <c r="F905" s="336">
        <v>0</v>
      </c>
      <c r="G905" s="258">
        <f t="shared" si="324"/>
        <v>0</v>
      </c>
      <c r="H905" s="249">
        <f t="shared" si="325"/>
        <v>6.3779828974070252E-2</v>
      </c>
      <c r="I905" s="336">
        <v>6.9576944889992417E-3</v>
      </c>
      <c r="J905" s="258">
        <f t="shared" si="326"/>
        <v>6.9576944889992417E-3</v>
      </c>
      <c r="K905" s="249">
        <f t="shared" si="327"/>
        <v>8.992914199181179</v>
      </c>
      <c r="L905" s="336">
        <v>0.98103037543615523</v>
      </c>
      <c r="M905" s="258">
        <f t="shared" si="328"/>
        <v>0.98103037543615523</v>
      </c>
      <c r="N905" s="251">
        <f t="shared" si="329"/>
        <v>0.11005146960231731</v>
      </c>
      <c r="O905" s="336">
        <v>1.2005433628077123E-2</v>
      </c>
      <c r="P905" s="258">
        <f t="shared" si="330"/>
        <v>1.2005433628077123E-2</v>
      </c>
      <c r="Q905" s="354">
        <v>8.9494360465116287</v>
      </c>
      <c r="R905" s="249">
        <f t="shared" si="331"/>
        <v>9.1668050494186062</v>
      </c>
      <c r="S905" s="355">
        <v>0.1</v>
      </c>
      <c r="T905" s="355"/>
      <c r="U905" s="315">
        <f t="shared" si="320"/>
        <v>10.083485554360466</v>
      </c>
      <c r="V905" s="315">
        <f t="shared" si="321"/>
        <v>11</v>
      </c>
      <c r="W905" s="316">
        <f t="shared" si="322"/>
        <v>0</v>
      </c>
    </row>
    <row r="906" spans="1:28" s="284" customFormat="1" ht="14.4" x14ac:dyDescent="0.3">
      <c r="A906" s="204" t="s">
        <v>16550</v>
      </c>
      <c r="B906" s="351" t="s">
        <v>20635</v>
      </c>
      <c r="C906" s="352"/>
      <c r="D906" s="353" t="s">
        <v>14859</v>
      </c>
      <c r="E906" s="249">
        <f t="shared" si="323"/>
        <v>0</v>
      </c>
      <c r="F906" s="336">
        <v>0</v>
      </c>
      <c r="G906" s="258">
        <f t="shared" si="324"/>
        <v>0</v>
      </c>
      <c r="H906" s="249">
        <f t="shared" si="325"/>
        <v>10.970201865120123</v>
      </c>
      <c r="I906" s="336">
        <v>6.9576944889992417E-3</v>
      </c>
      <c r="J906" s="258">
        <f t="shared" si="326"/>
        <v>6.9576944889992417E-3</v>
      </c>
      <c r="K906" s="249">
        <f t="shared" si="327"/>
        <v>1546.8015358676139</v>
      </c>
      <c r="L906" s="336">
        <v>0.98103687188292366</v>
      </c>
      <c r="M906" s="258">
        <f t="shared" si="328"/>
        <v>0.98103687188292366</v>
      </c>
      <c r="N906" s="251">
        <f t="shared" si="329"/>
        <v>18.928975767266095</v>
      </c>
      <c r="O906" s="336">
        <v>1.2005433628077123E-2</v>
      </c>
      <c r="P906" s="258">
        <f t="shared" si="330"/>
        <v>1.2005433628077123E-2</v>
      </c>
      <c r="Q906" s="354">
        <v>1539.3030000000001</v>
      </c>
      <c r="R906" s="249">
        <f t="shared" si="331"/>
        <v>1576.7007135000001</v>
      </c>
      <c r="S906" s="355">
        <v>0.1</v>
      </c>
      <c r="T906" s="355"/>
      <c r="U906" s="315">
        <f t="shared" si="320"/>
        <v>1734.3707848500001</v>
      </c>
      <c r="V906" s="315">
        <f t="shared" si="321"/>
        <v>1750</v>
      </c>
      <c r="W906" s="316">
        <f t="shared" si="322"/>
        <v>0</v>
      </c>
      <c r="X906" s="185"/>
      <c r="Y906" s="185"/>
      <c r="Z906" s="185"/>
      <c r="AA906" s="206"/>
      <c r="AB906" s="283"/>
    </row>
    <row r="907" spans="1:28" s="284" customFormat="1" ht="14.4" x14ac:dyDescent="0.3">
      <c r="A907" s="204" t="s">
        <v>16551</v>
      </c>
      <c r="B907" s="351" t="s">
        <v>20636</v>
      </c>
      <c r="C907" s="352"/>
      <c r="D907" s="353" t="s">
        <v>5</v>
      </c>
      <c r="E907" s="249">
        <f t="shared" si="323"/>
        <v>0</v>
      </c>
      <c r="F907" s="336">
        <v>0</v>
      </c>
      <c r="G907" s="258">
        <f t="shared" si="324"/>
        <v>0</v>
      </c>
      <c r="H907" s="249">
        <f t="shared" si="325"/>
        <v>6.3779828974070252E-2</v>
      </c>
      <c r="I907" s="336">
        <v>6.9576944889992417E-3</v>
      </c>
      <c r="J907" s="258">
        <f t="shared" si="326"/>
        <v>6.9576944889992417E-3</v>
      </c>
      <c r="K907" s="249">
        <f t="shared" si="327"/>
        <v>8.992914199181179</v>
      </c>
      <c r="L907" s="336">
        <v>0.98103037543615523</v>
      </c>
      <c r="M907" s="258">
        <f t="shared" si="328"/>
        <v>0.98103037543615523</v>
      </c>
      <c r="N907" s="251">
        <f t="shared" si="329"/>
        <v>0.11005146960231731</v>
      </c>
      <c r="O907" s="336">
        <v>1.2005433628077123E-2</v>
      </c>
      <c r="P907" s="258">
        <f t="shared" si="330"/>
        <v>1.2005433628077123E-2</v>
      </c>
      <c r="Q907" s="354">
        <v>8.9494360465116287</v>
      </c>
      <c r="R907" s="249">
        <f t="shared" si="331"/>
        <v>9.1668050494186062</v>
      </c>
      <c r="S907" s="355">
        <v>0.1</v>
      </c>
      <c r="T907" s="355"/>
      <c r="U907" s="315">
        <f t="shared" si="320"/>
        <v>10.083485554360466</v>
      </c>
      <c r="V907" s="315">
        <f t="shared" si="321"/>
        <v>11</v>
      </c>
      <c r="W907" s="316">
        <f t="shared" si="322"/>
        <v>0</v>
      </c>
      <c r="X907" s="185"/>
      <c r="Y907" s="185"/>
      <c r="Z907" s="185"/>
      <c r="AA907" s="206"/>
      <c r="AB907" s="283"/>
    </row>
    <row r="908" spans="1:28" x14ac:dyDescent="0.25">
      <c r="A908" s="204" t="s">
        <v>16552</v>
      </c>
      <c r="B908" s="351" t="s">
        <v>20637</v>
      </c>
      <c r="C908" s="352"/>
      <c r="D908" s="353" t="s">
        <v>14859</v>
      </c>
      <c r="E908" s="249">
        <f t="shared" si="323"/>
        <v>0</v>
      </c>
      <c r="F908" s="336">
        <v>0</v>
      </c>
      <c r="G908" s="258">
        <f t="shared" si="324"/>
        <v>0</v>
      </c>
      <c r="H908" s="249">
        <f t="shared" si="325"/>
        <v>10.970201865120123</v>
      </c>
      <c r="I908" s="336">
        <v>6.9576944889992417E-3</v>
      </c>
      <c r="J908" s="258">
        <f t="shared" si="326"/>
        <v>6.9576944889992417E-3</v>
      </c>
      <c r="K908" s="249">
        <f t="shared" si="327"/>
        <v>1546.8015358676139</v>
      </c>
      <c r="L908" s="336">
        <v>0.98103687188292366</v>
      </c>
      <c r="M908" s="258">
        <f t="shared" si="328"/>
        <v>0.98103687188292366</v>
      </c>
      <c r="N908" s="251">
        <f t="shared" si="329"/>
        <v>18.928975767266095</v>
      </c>
      <c r="O908" s="336">
        <v>1.2005433628077123E-2</v>
      </c>
      <c r="P908" s="258">
        <f t="shared" si="330"/>
        <v>1.2005433628077123E-2</v>
      </c>
      <c r="Q908" s="354">
        <v>1539.3030000000001</v>
      </c>
      <c r="R908" s="249">
        <f t="shared" si="331"/>
        <v>1576.7007135000001</v>
      </c>
      <c r="S908" s="355">
        <v>0.1</v>
      </c>
      <c r="T908" s="355"/>
      <c r="U908" s="315">
        <f t="shared" si="320"/>
        <v>1734.3707848500001</v>
      </c>
      <c r="V908" s="315">
        <f t="shared" si="321"/>
        <v>1750</v>
      </c>
      <c r="W908" s="316">
        <f t="shared" si="322"/>
        <v>0</v>
      </c>
    </row>
    <row r="909" spans="1:28" s="284" customFormat="1" ht="14.4" x14ac:dyDescent="0.3">
      <c r="A909" s="204" t="s">
        <v>16553</v>
      </c>
      <c r="B909" s="351" t="s">
        <v>20638</v>
      </c>
      <c r="C909" s="352"/>
      <c r="D909" s="353" t="s">
        <v>5</v>
      </c>
      <c r="E909" s="249">
        <f t="shared" si="323"/>
        <v>0</v>
      </c>
      <c r="F909" s="336">
        <v>0</v>
      </c>
      <c r="G909" s="258">
        <f t="shared" si="324"/>
        <v>0</v>
      </c>
      <c r="H909" s="249">
        <f t="shared" si="325"/>
        <v>6.3779828974070252E-2</v>
      </c>
      <c r="I909" s="336">
        <v>6.9576944889992417E-3</v>
      </c>
      <c r="J909" s="258">
        <f t="shared" si="326"/>
        <v>6.9576944889992417E-3</v>
      </c>
      <c r="K909" s="249">
        <f t="shared" si="327"/>
        <v>8.992914199181179</v>
      </c>
      <c r="L909" s="336">
        <v>0.98103037543615523</v>
      </c>
      <c r="M909" s="258">
        <f t="shared" si="328"/>
        <v>0.98103037543615523</v>
      </c>
      <c r="N909" s="251">
        <f t="shared" si="329"/>
        <v>0.11005146960231731</v>
      </c>
      <c r="O909" s="336">
        <v>1.2005433628077123E-2</v>
      </c>
      <c r="P909" s="258">
        <f t="shared" si="330"/>
        <v>1.2005433628077123E-2</v>
      </c>
      <c r="Q909" s="354">
        <v>8.9494360465116287</v>
      </c>
      <c r="R909" s="249">
        <f t="shared" si="331"/>
        <v>9.1668050494186062</v>
      </c>
      <c r="S909" s="355">
        <v>0.1</v>
      </c>
      <c r="T909" s="355"/>
      <c r="U909" s="315">
        <f t="shared" si="320"/>
        <v>10.083485554360466</v>
      </c>
      <c r="V909" s="315">
        <f t="shared" si="321"/>
        <v>11</v>
      </c>
      <c r="W909" s="316">
        <f t="shared" si="322"/>
        <v>0</v>
      </c>
      <c r="X909" s="185"/>
      <c r="Y909" s="185"/>
      <c r="Z909" s="185"/>
      <c r="AA909" s="206"/>
      <c r="AB909" s="283"/>
    </row>
    <row r="910" spans="1:28" s="284" customFormat="1" ht="14.4" x14ac:dyDescent="0.3">
      <c r="A910" s="204" t="s">
        <v>16554</v>
      </c>
      <c r="B910" s="351" t="s">
        <v>20639</v>
      </c>
      <c r="C910" s="352"/>
      <c r="D910" s="353" t="s">
        <v>14859</v>
      </c>
      <c r="E910" s="249">
        <f t="shared" si="323"/>
        <v>0</v>
      </c>
      <c r="F910" s="336">
        <v>0</v>
      </c>
      <c r="G910" s="258">
        <f t="shared" si="324"/>
        <v>0</v>
      </c>
      <c r="H910" s="249">
        <f t="shared" si="325"/>
        <v>10.970201865120123</v>
      </c>
      <c r="I910" s="336">
        <v>6.9576944889992417E-3</v>
      </c>
      <c r="J910" s="258">
        <f t="shared" si="326"/>
        <v>6.9576944889992417E-3</v>
      </c>
      <c r="K910" s="249">
        <f t="shared" si="327"/>
        <v>1546.8015358676139</v>
      </c>
      <c r="L910" s="336">
        <v>0.98103687188292366</v>
      </c>
      <c r="M910" s="258">
        <f t="shared" si="328"/>
        <v>0.98103687188292366</v>
      </c>
      <c r="N910" s="251">
        <f t="shared" si="329"/>
        <v>18.928975767266095</v>
      </c>
      <c r="O910" s="336">
        <v>1.2005433628077123E-2</v>
      </c>
      <c r="P910" s="258">
        <f t="shared" si="330"/>
        <v>1.2005433628077123E-2</v>
      </c>
      <c r="Q910" s="354">
        <v>1539.3030000000001</v>
      </c>
      <c r="R910" s="249">
        <f t="shared" si="331"/>
        <v>1576.7007135000001</v>
      </c>
      <c r="S910" s="355">
        <v>0.1</v>
      </c>
      <c r="T910" s="355"/>
      <c r="U910" s="315">
        <f t="shared" si="320"/>
        <v>1734.3707848500001</v>
      </c>
      <c r="V910" s="315">
        <f t="shared" si="321"/>
        <v>1750</v>
      </c>
      <c r="W910" s="316">
        <f t="shared" si="322"/>
        <v>0</v>
      </c>
      <c r="X910" s="185"/>
      <c r="Y910" s="185"/>
      <c r="Z910" s="185"/>
      <c r="AA910" s="206"/>
      <c r="AB910" s="283"/>
    </row>
    <row r="911" spans="1:28" s="284" customFormat="1" ht="14.4" x14ac:dyDescent="0.3">
      <c r="A911" s="204" t="s">
        <v>16555</v>
      </c>
      <c r="B911" s="351" t="s">
        <v>20640</v>
      </c>
      <c r="C911" s="352"/>
      <c r="D911" s="353" t="s">
        <v>5</v>
      </c>
      <c r="E911" s="249">
        <f t="shared" si="323"/>
        <v>0</v>
      </c>
      <c r="F911" s="336">
        <v>0</v>
      </c>
      <c r="G911" s="258">
        <f t="shared" si="324"/>
        <v>0</v>
      </c>
      <c r="H911" s="249">
        <f t="shared" si="325"/>
        <v>6.3784117948013558E-2</v>
      </c>
      <c r="I911" s="336">
        <v>4.6910108668515044E-3</v>
      </c>
      <c r="J911" s="258">
        <f t="shared" si="326"/>
        <v>4.6910108668515044E-3</v>
      </c>
      <c r="K911" s="249">
        <f t="shared" si="327"/>
        <v>13.423191932945683</v>
      </c>
      <c r="L911" s="336">
        <v>0.98721031584387831</v>
      </c>
      <c r="M911" s="258">
        <f t="shared" si="328"/>
        <v>0.98721031584387831</v>
      </c>
      <c r="N911" s="251">
        <f t="shared" si="329"/>
        <v>0.11005887018480769</v>
      </c>
      <c r="O911" s="336">
        <v>8.0942932604496538E-3</v>
      </c>
      <c r="P911" s="258">
        <f t="shared" si="330"/>
        <v>8.0942932604496538E-3</v>
      </c>
      <c r="Q911" s="354">
        <v>13.273779069767443</v>
      </c>
      <c r="R911" s="249">
        <f t="shared" si="331"/>
        <v>13.597094476744187</v>
      </c>
      <c r="S911" s="355">
        <v>0.1</v>
      </c>
      <c r="T911" s="355"/>
      <c r="U911" s="315">
        <f t="shared" si="320"/>
        <v>14.956803924418606</v>
      </c>
      <c r="V911" s="315">
        <f t="shared" si="321"/>
        <v>15</v>
      </c>
      <c r="W911" s="316">
        <f t="shared" si="322"/>
        <v>0</v>
      </c>
      <c r="X911" s="185"/>
      <c r="Y911" s="185"/>
      <c r="Z911" s="185"/>
      <c r="AA911" s="206"/>
      <c r="AB911" s="283"/>
    </row>
    <row r="912" spans="1:28" s="284" customFormat="1" ht="14.4" x14ac:dyDescent="0.3">
      <c r="A912" s="204" t="s">
        <v>16556</v>
      </c>
      <c r="B912" s="351" t="s">
        <v>20641</v>
      </c>
      <c r="C912" s="352"/>
      <c r="D912" s="353" t="s">
        <v>14859</v>
      </c>
      <c r="E912" s="249">
        <f t="shared" si="323"/>
        <v>0</v>
      </c>
      <c r="F912" s="336">
        <v>0</v>
      </c>
      <c r="G912" s="258">
        <f t="shared" si="324"/>
        <v>0</v>
      </c>
      <c r="H912" s="249">
        <f t="shared" si="325"/>
        <v>10.97091634646466</v>
      </c>
      <c r="I912" s="336">
        <v>4.6910108668515036E-3</v>
      </c>
      <c r="J912" s="258">
        <f t="shared" si="326"/>
        <v>4.6910108668515036E-3</v>
      </c>
      <c r="K912" s="249">
        <f t="shared" si="327"/>
        <v>2308.8093700557142</v>
      </c>
      <c r="L912" s="336">
        <v>0.98721469587269883</v>
      </c>
      <c r="M912" s="258">
        <f t="shared" si="328"/>
        <v>0.98721469587269883</v>
      </c>
      <c r="N912" s="251">
        <f t="shared" si="329"/>
        <v>18.930208597821377</v>
      </c>
      <c r="O912" s="336">
        <v>8.0942932604496538E-3</v>
      </c>
      <c r="P912" s="258">
        <f t="shared" si="330"/>
        <v>8.0942932604496538E-3</v>
      </c>
      <c r="Q912" s="354">
        <v>2283.09</v>
      </c>
      <c r="R912" s="249">
        <f t="shared" si="331"/>
        <v>2338.7104950000003</v>
      </c>
      <c r="S912" s="355">
        <v>0.1</v>
      </c>
      <c r="T912" s="355"/>
      <c r="U912" s="315">
        <f t="shared" si="320"/>
        <v>2572.5815445000003</v>
      </c>
      <c r="V912" s="315">
        <f t="shared" si="321"/>
        <v>2575</v>
      </c>
      <c r="W912" s="316">
        <f t="shared" si="322"/>
        <v>0</v>
      </c>
      <c r="X912" s="185"/>
      <c r="Y912" s="185"/>
      <c r="Z912" s="185"/>
      <c r="AA912" s="206"/>
      <c r="AB912" s="283"/>
    </row>
    <row r="913" spans="1:28" s="284" customFormat="1" ht="14.4" x14ac:dyDescent="0.3">
      <c r="A913" s="204" t="s">
        <v>16557</v>
      </c>
      <c r="B913" s="351" t="s">
        <v>20642</v>
      </c>
      <c r="C913" s="352"/>
      <c r="D913" s="353" t="s">
        <v>5</v>
      </c>
      <c r="E913" s="249">
        <f t="shared" si="323"/>
        <v>0</v>
      </c>
      <c r="F913" s="336">
        <v>0</v>
      </c>
      <c r="G913" s="258">
        <f t="shared" si="324"/>
        <v>0</v>
      </c>
      <c r="H913" s="249">
        <f t="shared" si="325"/>
        <v>6.3785581525499124E-2</v>
      </c>
      <c r="I913" s="336">
        <v>3.9175235106277918E-3</v>
      </c>
      <c r="J913" s="258">
        <f t="shared" si="326"/>
        <v>3.9175235106277918E-3</v>
      </c>
      <c r="K913" s="249">
        <f t="shared" si="327"/>
        <v>16.108211837961878</v>
      </c>
      <c r="L913" s="336">
        <v>0.98931917026047322</v>
      </c>
      <c r="M913" s="258">
        <f t="shared" si="328"/>
        <v>0.98931917026047322</v>
      </c>
      <c r="N913" s="251">
        <f t="shared" si="329"/>
        <v>0.11006139557341026</v>
      </c>
      <c r="O913" s="336">
        <v>6.759648410495013E-3</v>
      </c>
      <c r="P913" s="258">
        <f t="shared" si="330"/>
        <v>6.759648410495013E-3</v>
      </c>
      <c r="Q913" s="354">
        <v>15.894593023255814</v>
      </c>
      <c r="R913" s="249">
        <f t="shared" si="331"/>
        <v>16.282118372093024</v>
      </c>
      <c r="S913" s="355">
        <v>0.1</v>
      </c>
      <c r="T913" s="355"/>
      <c r="U913" s="315">
        <f t="shared" si="320"/>
        <v>17.910330209302327</v>
      </c>
      <c r="V913" s="315">
        <f t="shared" si="321"/>
        <v>18</v>
      </c>
      <c r="W913" s="316">
        <f t="shared" si="322"/>
        <v>0</v>
      </c>
      <c r="X913" s="185"/>
      <c r="Y913" s="185"/>
      <c r="Z913" s="185"/>
      <c r="AA913" s="206"/>
      <c r="AB913" s="283"/>
    </row>
    <row r="914" spans="1:28" s="284" customFormat="1" ht="14.4" x14ac:dyDescent="0.3">
      <c r="A914" s="204" t="s">
        <v>16558</v>
      </c>
      <c r="B914" s="351" t="s">
        <v>20643</v>
      </c>
      <c r="C914" s="352"/>
      <c r="D914" s="353" t="s">
        <v>14859</v>
      </c>
      <c r="E914" s="249">
        <f t="shared" si="323"/>
        <v>0</v>
      </c>
      <c r="F914" s="336">
        <v>0</v>
      </c>
      <c r="G914" s="258">
        <f t="shared" si="324"/>
        <v>0</v>
      </c>
      <c r="H914" s="249">
        <f t="shared" si="325"/>
        <v>10.971160157414216</v>
      </c>
      <c r="I914" s="336">
        <v>3.9175235106277918E-3</v>
      </c>
      <c r="J914" s="258">
        <f t="shared" si="326"/>
        <v>3.9175235106277918E-3</v>
      </c>
      <c r="K914" s="249">
        <f t="shared" si="327"/>
        <v>2770.6328155513611</v>
      </c>
      <c r="L914" s="336">
        <v>0.98932282807887717</v>
      </c>
      <c r="M914" s="258">
        <f t="shared" si="328"/>
        <v>0.98932282807887717</v>
      </c>
      <c r="N914" s="251">
        <f t="shared" si="329"/>
        <v>18.930629291224527</v>
      </c>
      <c r="O914" s="336">
        <v>6.759648410495013E-3</v>
      </c>
      <c r="P914" s="258">
        <f t="shared" si="330"/>
        <v>6.759648410495013E-3</v>
      </c>
      <c r="Q914" s="354">
        <v>2733.87</v>
      </c>
      <c r="R914" s="249">
        <f t="shared" si="331"/>
        <v>2800.5346049999998</v>
      </c>
      <c r="S914" s="355">
        <v>0.1</v>
      </c>
      <c r="T914" s="355"/>
      <c r="U914" s="315">
        <f t="shared" si="320"/>
        <v>3080.5880654999996</v>
      </c>
      <c r="V914" s="315">
        <f t="shared" si="321"/>
        <v>3100</v>
      </c>
      <c r="W914" s="316">
        <f t="shared" si="322"/>
        <v>0</v>
      </c>
      <c r="X914" s="185"/>
      <c r="Y914" s="185"/>
      <c r="Z914" s="185"/>
      <c r="AA914" s="206"/>
      <c r="AB914" s="283"/>
    </row>
    <row r="915" spans="1:28" s="284" customFormat="1" ht="14.4" x14ac:dyDescent="0.3">
      <c r="A915" s="204" t="s">
        <v>16559</v>
      </c>
      <c r="B915" s="351" t="s">
        <v>20644</v>
      </c>
      <c r="C915" s="352"/>
      <c r="D915" s="353" t="s">
        <v>5</v>
      </c>
      <c r="E915" s="249">
        <f t="shared" si="323"/>
        <v>0</v>
      </c>
      <c r="F915" s="336">
        <v>0</v>
      </c>
      <c r="G915" s="258">
        <f t="shared" si="324"/>
        <v>0</v>
      </c>
      <c r="H915" s="249">
        <f t="shared" si="325"/>
        <v>6.3785581525499124E-2</v>
      </c>
      <c r="I915" s="336">
        <v>3.9175235106277918E-3</v>
      </c>
      <c r="J915" s="258">
        <f t="shared" si="326"/>
        <v>3.9175235106277918E-3</v>
      </c>
      <c r="K915" s="249">
        <f t="shared" si="327"/>
        <v>16.108211837961878</v>
      </c>
      <c r="L915" s="336">
        <v>0.98931917026047322</v>
      </c>
      <c r="M915" s="258">
        <f t="shared" si="328"/>
        <v>0.98931917026047322</v>
      </c>
      <c r="N915" s="251">
        <f t="shared" si="329"/>
        <v>0.11006139557341026</v>
      </c>
      <c r="O915" s="336">
        <v>6.759648410495013E-3</v>
      </c>
      <c r="P915" s="258">
        <f t="shared" si="330"/>
        <v>6.759648410495013E-3</v>
      </c>
      <c r="Q915" s="354">
        <v>15.894593023255814</v>
      </c>
      <c r="R915" s="249">
        <f t="shared" si="331"/>
        <v>16.282118372093024</v>
      </c>
      <c r="S915" s="355">
        <v>0.1</v>
      </c>
      <c r="T915" s="355"/>
      <c r="U915" s="315">
        <f t="shared" si="320"/>
        <v>17.910330209302327</v>
      </c>
      <c r="V915" s="315">
        <f t="shared" si="321"/>
        <v>18</v>
      </c>
      <c r="W915" s="316">
        <f t="shared" si="322"/>
        <v>0</v>
      </c>
      <c r="X915" s="185"/>
      <c r="Y915" s="185"/>
      <c r="Z915" s="185"/>
      <c r="AA915" s="206"/>
      <c r="AB915" s="283"/>
    </row>
    <row r="916" spans="1:28" x14ac:dyDescent="0.25">
      <c r="A916" s="204" t="s">
        <v>16560</v>
      </c>
      <c r="B916" s="351" t="s">
        <v>20645</v>
      </c>
      <c r="C916" s="352"/>
      <c r="D916" s="353" t="s">
        <v>14859</v>
      </c>
      <c r="E916" s="249">
        <f t="shared" si="323"/>
        <v>0</v>
      </c>
      <c r="F916" s="336">
        <v>0</v>
      </c>
      <c r="G916" s="258">
        <f t="shared" si="324"/>
        <v>0</v>
      </c>
      <c r="H916" s="249">
        <f t="shared" si="325"/>
        <v>10.971160157414216</v>
      </c>
      <c r="I916" s="336">
        <v>3.9175235106277918E-3</v>
      </c>
      <c r="J916" s="258">
        <f t="shared" si="326"/>
        <v>3.9175235106277918E-3</v>
      </c>
      <c r="K916" s="249">
        <f t="shared" si="327"/>
        <v>2770.6328155513611</v>
      </c>
      <c r="L916" s="336">
        <v>0.98932282807887717</v>
      </c>
      <c r="M916" s="258">
        <f t="shared" si="328"/>
        <v>0.98932282807887717</v>
      </c>
      <c r="N916" s="251">
        <f t="shared" si="329"/>
        <v>18.930629291224527</v>
      </c>
      <c r="O916" s="336">
        <v>6.759648410495013E-3</v>
      </c>
      <c r="P916" s="258">
        <f t="shared" si="330"/>
        <v>6.759648410495013E-3</v>
      </c>
      <c r="Q916" s="354">
        <v>2733.87</v>
      </c>
      <c r="R916" s="249">
        <f t="shared" si="331"/>
        <v>2800.5346049999998</v>
      </c>
      <c r="S916" s="355">
        <v>0.1</v>
      </c>
      <c r="T916" s="355"/>
      <c r="U916" s="315">
        <f t="shared" si="320"/>
        <v>3080.5880654999996</v>
      </c>
      <c r="V916" s="315">
        <f t="shared" si="321"/>
        <v>3100</v>
      </c>
      <c r="W916" s="316">
        <f t="shared" si="322"/>
        <v>0</v>
      </c>
    </row>
    <row r="917" spans="1:28" x14ac:dyDescent="0.25">
      <c r="A917" s="204" t="s">
        <v>16561</v>
      </c>
      <c r="B917" s="351" t="s">
        <v>20646</v>
      </c>
      <c r="C917" s="352"/>
      <c r="D917" s="353" t="s">
        <v>5</v>
      </c>
      <c r="E917" s="249">
        <f t="shared" si="323"/>
        <v>0</v>
      </c>
      <c r="F917" s="336">
        <v>0</v>
      </c>
      <c r="G917" s="258">
        <f t="shared" si="324"/>
        <v>0</v>
      </c>
      <c r="H917" s="249">
        <f t="shared" si="325"/>
        <v>6.3785818171983366E-2</v>
      </c>
      <c r="I917" s="336">
        <v>3.7924580014489953E-3</v>
      </c>
      <c r="J917" s="258">
        <f t="shared" si="326"/>
        <v>3.7924580014489953E-3</v>
      </c>
      <c r="K917" s="249">
        <f t="shared" si="327"/>
        <v>16.645215971833014</v>
      </c>
      <c r="L917" s="336">
        <v>0.98966015185412604</v>
      </c>
      <c r="M917" s="258">
        <f t="shared" si="328"/>
        <v>0.98966015185412604</v>
      </c>
      <c r="N917" s="251">
        <f t="shared" si="329"/>
        <v>0.11006180390459874</v>
      </c>
      <c r="O917" s="336">
        <v>6.5438491005394422E-3</v>
      </c>
      <c r="P917" s="258">
        <f t="shared" si="330"/>
        <v>6.5438491005394422E-3</v>
      </c>
      <c r="Q917" s="354">
        <v>16.418755813953489</v>
      </c>
      <c r="R917" s="249">
        <f t="shared" si="331"/>
        <v>16.819123151162792</v>
      </c>
      <c r="S917" s="355">
        <v>0.1</v>
      </c>
      <c r="T917" s="355"/>
      <c r="U917" s="315">
        <f t="shared" si="320"/>
        <v>18.50103546627907</v>
      </c>
      <c r="V917" s="315">
        <f t="shared" si="321"/>
        <v>19</v>
      </c>
      <c r="W917" s="316">
        <f t="shared" si="322"/>
        <v>0</v>
      </c>
    </row>
    <row r="918" spans="1:28" s="284" customFormat="1" ht="14.4" x14ac:dyDescent="0.3">
      <c r="A918" s="204" t="s">
        <v>16562</v>
      </c>
      <c r="B918" s="351" t="s">
        <v>20647</v>
      </c>
      <c r="C918" s="352"/>
      <c r="D918" s="353" t="s">
        <v>14859</v>
      </c>
      <c r="E918" s="249">
        <f t="shared" si="323"/>
        <v>0</v>
      </c>
      <c r="F918" s="336">
        <v>0</v>
      </c>
      <c r="G918" s="258">
        <f t="shared" si="324"/>
        <v>0</v>
      </c>
      <c r="H918" s="249">
        <f t="shared" si="325"/>
        <v>10.971199579313364</v>
      </c>
      <c r="I918" s="336">
        <v>3.7924580014489957E-3</v>
      </c>
      <c r="J918" s="258">
        <f t="shared" si="326"/>
        <v>3.7924580014489957E-3</v>
      </c>
      <c r="K918" s="249">
        <f t="shared" si="327"/>
        <v>2862.9975301073614</v>
      </c>
      <c r="L918" s="336">
        <v>0.98966369289801159</v>
      </c>
      <c r="M918" s="258">
        <f t="shared" si="328"/>
        <v>0.98966369289801159</v>
      </c>
      <c r="N918" s="251">
        <f t="shared" si="329"/>
        <v>18.93069731332502</v>
      </c>
      <c r="O918" s="336">
        <v>6.5438491005394431E-3</v>
      </c>
      <c r="P918" s="258">
        <f t="shared" si="330"/>
        <v>6.5438491005394431E-3</v>
      </c>
      <c r="Q918" s="354">
        <v>2824.0259999999998</v>
      </c>
      <c r="R918" s="249">
        <f t="shared" si="331"/>
        <v>2892.8994269999998</v>
      </c>
      <c r="S918" s="355">
        <v>0.1</v>
      </c>
      <c r="T918" s="355"/>
      <c r="U918" s="315">
        <f t="shared" si="320"/>
        <v>3182.1893696999996</v>
      </c>
      <c r="V918" s="315">
        <f t="shared" si="321"/>
        <v>3200</v>
      </c>
      <c r="W918" s="316">
        <f t="shared" si="322"/>
        <v>0</v>
      </c>
      <c r="X918" s="185"/>
      <c r="Y918" s="185"/>
      <c r="Z918" s="185"/>
      <c r="AA918" s="206"/>
      <c r="AB918" s="283"/>
    </row>
    <row r="919" spans="1:28" s="284" customFormat="1" ht="14.4" x14ac:dyDescent="0.3">
      <c r="A919" s="204" t="s">
        <v>16563</v>
      </c>
      <c r="B919" s="351" t="s">
        <v>20648</v>
      </c>
      <c r="C919" s="352"/>
      <c r="D919" s="353" t="s">
        <v>5</v>
      </c>
      <c r="E919" s="249">
        <f t="shared" si="323"/>
        <v>0</v>
      </c>
      <c r="F919" s="336">
        <v>0</v>
      </c>
      <c r="G919" s="258">
        <f t="shared" si="324"/>
        <v>0</v>
      </c>
      <c r="H919" s="249">
        <f t="shared" si="325"/>
        <v>6.3786093547446285E-2</v>
      </c>
      <c r="I919" s="336">
        <v>3.6469245801695163E-3</v>
      </c>
      <c r="J919" s="258">
        <f t="shared" si="326"/>
        <v>3.6469245801695163E-3</v>
      </c>
      <c r="K919" s="249">
        <f t="shared" si="327"/>
        <v>17.316471194879977</v>
      </c>
      <c r="L919" s="336">
        <v>0.99005693765257241</v>
      </c>
      <c r="M919" s="258">
        <f t="shared" si="328"/>
        <v>0.99005693765257241</v>
      </c>
      <c r="N919" s="251">
        <f t="shared" si="329"/>
        <v>0.11006227906226024</v>
      </c>
      <c r="O919" s="336">
        <v>6.2927326089199489E-3</v>
      </c>
      <c r="P919" s="258">
        <f t="shared" si="330"/>
        <v>6.2927326089199489E-3</v>
      </c>
      <c r="Q919" s="354">
        <v>17.07395930232558</v>
      </c>
      <c r="R919" s="249">
        <f t="shared" si="331"/>
        <v>17.490379124999997</v>
      </c>
      <c r="S919" s="355">
        <v>0.1</v>
      </c>
      <c r="T919" s="355"/>
      <c r="U919" s="315">
        <f t="shared" si="320"/>
        <v>19.239417037499997</v>
      </c>
      <c r="V919" s="315">
        <f t="shared" si="321"/>
        <v>20</v>
      </c>
      <c r="W919" s="316">
        <f t="shared" si="322"/>
        <v>0</v>
      </c>
      <c r="X919" s="185"/>
      <c r="Y919" s="185"/>
      <c r="Z919" s="185"/>
      <c r="AA919" s="206"/>
      <c r="AB919" s="283"/>
    </row>
    <row r="920" spans="1:28" s="284" customFormat="1" ht="15" thickBot="1" x14ac:dyDescent="0.35">
      <c r="A920" s="356" t="s">
        <v>16564</v>
      </c>
      <c r="B920" s="357" t="s">
        <v>20649</v>
      </c>
      <c r="C920" s="358"/>
      <c r="D920" s="359" t="s">
        <v>14859</v>
      </c>
      <c r="E920" s="266">
        <f t="shared" si="323"/>
        <v>0</v>
      </c>
      <c r="F920" s="360">
        <v>0</v>
      </c>
      <c r="G920" s="322">
        <f t="shared" si="324"/>
        <v>0</v>
      </c>
      <c r="H920" s="266">
        <f t="shared" si="325"/>
        <v>10.971245452903087</v>
      </c>
      <c r="I920" s="360">
        <v>3.6469245801695159E-3</v>
      </c>
      <c r="J920" s="322">
        <f t="shared" si="326"/>
        <v>3.6469245801695159E-3</v>
      </c>
      <c r="K920" s="266">
        <f t="shared" si="327"/>
        <v>2978.4534325793425</v>
      </c>
      <c r="L920" s="360">
        <v>0.99006034281091049</v>
      </c>
      <c r="M920" s="322">
        <f t="shared" si="328"/>
        <v>0.99006034281091049</v>
      </c>
      <c r="N920" s="270">
        <f t="shared" si="329"/>
        <v>18.930776467754345</v>
      </c>
      <c r="O920" s="360">
        <v>6.2927326089199489E-3</v>
      </c>
      <c r="P920" s="322">
        <f t="shared" si="330"/>
        <v>6.2927326089199489E-3</v>
      </c>
      <c r="Q920" s="361">
        <v>2936.721</v>
      </c>
      <c r="R920" s="266">
        <f t="shared" si="331"/>
        <v>3008.3554545000002</v>
      </c>
      <c r="S920" s="362">
        <v>0.1</v>
      </c>
      <c r="T920" s="362"/>
      <c r="U920" s="324">
        <f t="shared" si="320"/>
        <v>3309.1909999500003</v>
      </c>
      <c r="V920" s="324">
        <f t="shared" si="321"/>
        <v>3325</v>
      </c>
      <c r="W920" s="325">
        <f t="shared" si="322"/>
        <v>0</v>
      </c>
      <c r="X920" s="185"/>
      <c r="Y920" s="185"/>
      <c r="Z920" s="185"/>
      <c r="AA920" s="206"/>
      <c r="AB920" s="283"/>
    </row>
    <row r="921" spans="1:28" s="284" customFormat="1" ht="14.4" x14ac:dyDescent="0.3">
      <c r="A921" s="204" t="s">
        <v>16565</v>
      </c>
      <c r="B921" s="351" t="s">
        <v>20650</v>
      </c>
      <c r="C921" s="352"/>
      <c r="D921" s="353" t="s">
        <v>5</v>
      </c>
      <c r="E921" s="249">
        <f t="shared" si="323"/>
        <v>0</v>
      </c>
      <c r="F921" s="336">
        <v>0</v>
      </c>
      <c r="G921" s="258">
        <f t="shared" si="324"/>
        <v>0</v>
      </c>
      <c r="H921" s="249">
        <f t="shared" si="325"/>
        <v>6.3786248856362998E-2</v>
      </c>
      <c r="I921" s="336">
        <v>3.5648452337919377E-3</v>
      </c>
      <c r="J921" s="258">
        <f t="shared" si="326"/>
        <v>3.5648452337919377E-3</v>
      </c>
      <c r="K921" s="249">
        <f t="shared" si="327"/>
        <v>17.719224355744355</v>
      </c>
      <c r="L921" s="336">
        <v>0.99028072074447016</v>
      </c>
      <c r="M921" s="258">
        <f t="shared" si="328"/>
        <v>0.99028072074447016</v>
      </c>
      <c r="N921" s="251">
        <f t="shared" si="329"/>
        <v>0.1100625470462734</v>
      </c>
      <c r="O921" s="336">
        <v>6.1511055014449112E-3</v>
      </c>
      <c r="P921" s="258">
        <f t="shared" si="330"/>
        <v>6.1511055014449112E-3</v>
      </c>
      <c r="Q921" s="354">
        <v>17.467081395348835</v>
      </c>
      <c r="R921" s="249">
        <f t="shared" si="331"/>
        <v>17.893132709302321</v>
      </c>
      <c r="S921" s="355">
        <v>0.1</v>
      </c>
      <c r="T921" s="355"/>
      <c r="U921" s="315">
        <f t="shared" si="320"/>
        <v>19.682445980232554</v>
      </c>
      <c r="V921" s="315">
        <f t="shared" si="321"/>
        <v>20</v>
      </c>
      <c r="W921" s="316">
        <f t="shared" si="322"/>
        <v>0</v>
      </c>
      <c r="X921" s="185"/>
      <c r="Y921" s="185"/>
      <c r="Z921" s="185"/>
      <c r="AA921" s="206"/>
      <c r="AB921" s="283"/>
    </row>
    <row r="922" spans="1:28" s="284" customFormat="1" ht="14.4" x14ac:dyDescent="0.3">
      <c r="A922" s="204" t="s">
        <v>16566</v>
      </c>
      <c r="B922" s="351" t="s">
        <v>20651</v>
      </c>
      <c r="C922" s="352"/>
      <c r="D922" s="353" t="s">
        <v>14859</v>
      </c>
      <c r="E922" s="249">
        <f t="shared" si="323"/>
        <v>0</v>
      </c>
      <c r="F922" s="336">
        <v>0</v>
      </c>
      <c r="G922" s="258">
        <f t="shared" si="324"/>
        <v>0</v>
      </c>
      <c r="H922" s="249">
        <f t="shared" si="325"/>
        <v>10.971271325133857</v>
      </c>
      <c r="I922" s="336">
        <v>3.5648452337919373E-3</v>
      </c>
      <c r="J922" s="258">
        <f t="shared" si="326"/>
        <v>3.5648452337919373E-3</v>
      </c>
      <c r="K922" s="249">
        <f t="shared" si="327"/>
        <v>3047.7269785648309</v>
      </c>
      <c r="L922" s="336">
        <v>0.9902840492647631</v>
      </c>
      <c r="M922" s="258">
        <f t="shared" si="328"/>
        <v>0.9902840492647631</v>
      </c>
      <c r="N922" s="251">
        <f t="shared" si="329"/>
        <v>18.930821110034891</v>
      </c>
      <c r="O922" s="336">
        <v>6.1511055014449112E-3</v>
      </c>
      <c r="P922" s="258">
        <f t="shared" si="330"/>
        <v>6.1511055014449112E-3</v>
      </c>
      <c r="Q922" s="354">
        <v>3004.3379999999997</v>
      </c>
      <c r="R922" s="249">
        <f t="shared" si="331"/>
        <v>3077.6290709999998</v>
      </c>
      <c r="S922" s="355">
        <v>0.1</v>
      </c>
      <c r="T922" s="355"/>
      <c r="U922" s="315">
        <f t="shared" si="320"/>
        <v>3385.3919781</v>
      </c>
      <c r="V922" s="315">
        <f t="shared" si="321"/>
        <v>3400</v>
      </c>
      <c r="W922" s="316">
        <f t="shared" si="322"/>
        <v>0</v>
      </c>
      <c r="X922" s="185"/>
      <c r="Y922" s="185"/>
      <c r="Z922" s="185"/>
      <c r="AA922" s="206"/>
      <c r="AB922" s="283"/>
    </row>
    <row r="923" spans="1:28" s="284" customFormat="1" ht="14.4" x14ac:dyDescent="0.3">
      <c r="A923" s="204" t="s">
        <v>16567</v>
      </c>
      <c r="B923" s="351" t="s">
        <v>20652</v>
      </c>
      <c r="C923" s="352"/>
      <c r="D923" s="353" t="s">
        <v>5</v>
      </c>
      <c r="E923" s="249">
        <f t="shared" si="323"/>
        <v>0</v>
      </c>
      <c r="F923" s="336">
        <v>0</v>
      </c>
      <c r="G923" s="258">
        <f t="shared" si="324"/>
        <v>0</v>
      </c>
      <c r="H923" s="249">
        <f t="shared" si="325"/>
        <v>6.3787051367108702E-2</v>
      </c>
      <c r="I923" s="336">
        <v>3.1407256219868392E-3</v>
      </c>
      <c r="J923" s="258">
        <f t="shared" si="326"/>
        <v>3.1407256219868392E-3</v>
      </c>
      <c r="K923" s="249">
        <f t="shared" si="327"/>
        <v>20.135743673573835</v>
      </c>
      <c r="L923" s="336">
        <v>0.99143705059178189</v>
      </c>
      <c r="M923" s="258">
        <f t="shared" si="328"/>
        <v>0.99143705059178189</v>
      </c>
      <c r="N923" s="251">
        <f t="shared" si="329"/>
        <v>0.11006393177069736</v>
      </c>
      <c r="O923" s="336">
        <v>5.4192912693106238E-3</v>
      </c>
      <c r="P923" s="258">
        <f t="shared" si="330"/>
        <v>5.4192912693106238E-3</v>
      </c>
      <c r="Q923" s="354">
        <v>19.825813953488371</v>
      </c>
      <c r="R923" s="249">
        <f t="shared" si="331"/>
        <v>20.309654215116279</v>
      </c>
      <c r="S923" s="355">
        <v>0.1</v>
      </c>
      <c r="T923" s="355"/>
      <c r="U923" s="315">
        <f t="shared" si="320"/>
        <v>22.340619636627906</v>
      </c>
      <c r="V923" s="315">
        <f t="shared" si="321"/>
        <v>23</v>
      </c>
      <c r="W923" s="316">
        <f t="shared" si="322"/>
        <v>0</v>
      </c>
      <c r="X923" s="185"/>
      <c r="Y923" s="185"/>
      <c r="Z923" s="185"/>
      <c r="AA923" s="206"/>
      <c r="AB923" s="283"/>
    </row>
    <row r="924" spans="1:28" x14ac:dyDescent="0.25">
      <c r="A924" s="204" t="s">
        <v>16568</v>
      </c>
      <c r="B924" s="351" t="s">
        <v>20653</v>
      </c>
      <c r="C924" s="352"/>
      <c r="D924" s="353" t="s">
        <v>14859</v>
      </c>
      <c r="E924" s="249">
        <f t="shared" si="323"/>
        <v>0</v>
      </c>
      <c r="F924" s="336">
        <v>0</v>
      </c>
      <c r="G924" s="258">
        <f t="shared" si="324"/>
        <v>0</v>
      </c>
      <c r="H924" s="249">
        <f t="shared" si="325"/>
        <v>10.971405011876696</v>
      </c>
      <c r="I924" s="336">
        <v>3.1407256219868392E-3</v>
      </c>
      <c r="J924" s="258">
        <f t="shared" si="326"/>
        <v>3.1407256219868392E-3</v>
      </c>
      <c r="K924" s="249">
        <f t="shared" si="327"/>
        <v>3463.3683132029241</v>
      </c>
      <c r="L924" s="336">
        <v>0.99143998310870252</v>
      </c>
      <c r="M924" s="258">
        <f t="shared" si="328"/>
        <v>0.99143998310870252</v>
      </c>
      <c r="N924" s="251">
        <f t="shared" si="329"/>
        <v>18.931051785198999</v>
      </c>
      <c r="O924" s="336">
        <v>5.4192912693106238E-3</v>
      </c>
      <c r="P924" s="258">
        <f t="shared" si="330"/>
        <v>5.4192912693106238E-3</v>
      </c>
      <c r="Q924" s="354">
        <v>3410.04</v>
      </c>
      <c r="R924" s="249">
        <f t="shared" si="331"/>
        <v>3493.2707700000001</v>
      </c>
      <c r="S924" s="355">
        <v>0.1</v>
      </c>
      <c r="T924" s="355"/>
      <c r="U924" s="315">
        <f t="shared" si="320"/>
        <v>3842.597847</v>
      </c>
      <c r="V924" s="315">
        <f t="shared" si="321"/>
        <v>3850</v>
      </c>
      <c r="W924" s="316">
        <f t="shared" si="322"/>
        <v>0</v>
      </c>
    </row>
    <row r="925" spans="1:28" s="284" customFormat="1" ht="14.4" x14ac:dyDescent="0.3">
      <c r="A925" s="204" t="s">
        <v>16569</v>
      </c>
      <c r="B925" s="351" t="s">
        <v>20654</v>
      </c>
      <c r="C925" s="352"/>
      <c r="D925" s="353" t="s">
        <v>5</v>
      </c>
      <c r="E925" s="249">
        <f t="shared" si="323"/>
        <v>0</v>
      </c>
      <c r="F925" s="336">
        <v>0</v>
      </c>
      <c r="G925" s="258">
        <f t="shared" si="324"/>
        <v>0</v>
      </c>
      <c r="H925" s="249">
        <f t="shared" si="325"/>
        <v>6.3787349822961581E-2</v>
      </c>
      <c r="I925" s="336">
        <v>2.982994425059159E-3</v>
      </c>
      <c r="J925" s="258">
        <f t="shared" si="326"/>
        <v>2.982994425059159E-3</v>
      </c>
      <c r="K925" s="249">
        <f t="shared" si="327"/>
        <v>21.209752417996199</v>
      </c>
      <c r="L925" s="336">
        <v>0.99186709269731776</v>
      </c>
      <c r="M925" s="258">
        <f t="shared" si="328"/>
        <v>0.99186709269731776</v>
      </c>
      <c r="N925" s="251">
        <f t="shared" si="329"/>
        <v>0.11006444675334547</v>
      </c>
      <c r="O925" s="336">
        <v>5.1471276353961953E-3</v>
      </c>
      <c r="P925" s="258">
        <f t="shared" si="330"/>
        <v>5.1471276353961953E-3</v>
      </c>
      <c r="Q925" s="354">
        <v>20.874139534883721</v>
      </c>
      <c r="R925" s="249">
        <f t="shared" si="331"/>
        <v>21.383663773255812</v>
      </c>
      <c r="S925" s="355">
        <v>0.1</v>
      </c>
      <c r="T925" s="355"/>
      <c r="U925" s="315">
        <f t="shared" si="320"/>
        <v>23.522030150581394</v>
      </c>
      <c r="V925" s="315">
        <f t="shared" si="321"/>
        <v>24</v>
      </c>
      <c r="W925" s="316">
        <f t="shared" si="322"/>
        <v>0</v>
      </c>
      <c r="X925" s="185"/>
      <c r="Y925" s="185"/>
      <c r="Z925" s="185"/>
      <c r="AA925" s="206"/>
      <c r="AB925" s="283"/>
    </row>
    <row r="926" spans="1:28" s="284" customFormat="1" ht="14.4" x14ac:dyDescent="0.3">
      <c r="A926" s="204" t="s">
        <v>16570</v>
      </c>
      <c r="B926" s="351" t="s">
        <v>20655</v>
      </c>
      <c r="C926" s="352"/>
      <c r="D926" s="353" t="s">
        <v>14859</v>
      </c>
      <c r="E926" s="249">
        <f t="shared" si="323"/>
        <v>0</v>
      </c>
      <c r="F926" s="336">
        <v>0</v>
      </c>
      <c r="G926" s="258">
        <f t="shared" si="324"/>
        <v>0</v>
      </c>
      <c r="H926" s="249">
        <f t="shared" si="325"/>
        <v>10.971454730327277</v>
      </c>
      <c r="I926" s="336">
        <v>2.982994425059159E-3</v>
      </c>
      <c r="J926" s="258">
        <f t="shared" si="326"/>
        <v>2.982994425059159E-3</v>
      </c>
      <c r="K926" s="249">
        <f t="shared" si="327"/>
        <v>3648.0978216957742</v>
      </c>
      <c r="L926" s="336">
        <v>0.99186987793954462</v>
      </c>
      <c r="M926" s="258">
        <f t="shared" si="328"/>
        <v>0.99186987793954462</v>
      </c>
      <c r="N926" s="251">
        <f t="shared" si="329"/>
        <v>18.931137573898045</v>
      </c>
      <c r="O926" s="336">
        <v>5.1471276353961953E-3</v>
      </c>
      <c r="P926" s="258">
        <f t="shared" si="330"/>
        <v>5.1471276353961953E-3</v>
      </c>
      <c r="Q926" s="354">
        <v>3590.3519999999999</v>
      </c>
      <c r="R926" s="249">
        <f t="shared" si="331"/>
        <v>3678.0004139999996</v>
      </c>
      <c r="S926" s="355">
        <v>0.1</v>
      </c>
      <c r="T926" s="355"/>
      <c r="U926" s="315">
        <f t="shared" si="320"/>
        <v>4045.8004553999995</v>
      </c>
      <c r="V926" s="315">
        <f t="shared" si="321"/>
        <v>4050</v>
      </c>
      <c r="W926" s="316">
        <f t="shared" si="322"/>
        <v>0</v>
      </c>
      <c r="X926" s="185"/>
      <c r="Y926" s="185"/>
      <c r="Z926" s="185"/>
      <c r="AA926" s="206"/>
      <c r="AB926" s="283"/>
    </row>
    <row r="927" spans="1:28" s="284" customFormat="1" ht="14.4" x14ac:dyDescent="0.3">
      <c r="A927" s="204" t="s">
        <v>16571</v>
      </c>
      <c r="B927" s="351" t="s">
        <v>20656</v>
      </c>
      <c r="C927" s="352"/>
      <c r="D927" s="353" t="s">
        <v>5</v>
      </c>
      <c r="E927" s="249">
        <f t="shared" si="323"/>
        <v>0</v>
      </c>
      <c r="F927" s="336">
        <v>0</v>
      </c>
      <c r="G927" s="258">
        <f t="shared" si="324"/>
        <v>0</v>
      </c>
      <c r="H927" s="249">
        <f t="shared" si="325"/>
        <v>6.3787349822961581E-2</v>
      </c>
      <c r="I927" s="336">
        <v>2.982994425059159E-3</v>
      </c>
      <c r="J927" s="258">
        <f t="shared" si="326"/>
        <v>2.982994425059159E-3</v>
      </c>
      <c r="K927" s="249">
        <f t="shared" si="327"/>
        <v>21.209752417996199</v>
      </c>
      <c r="L927" s="336">
        <v>0.99186709269731776</v>
      </c>
      <c r="M927" s="258">
        <f t="shared" si="328"/>
        <v>0.99186709269731776</v>
      </c>
      <c r="N927" s="251">
        <f t="shared" si="329"/>
        <v>0.11006444675334547</v>
      </c>
      <c r="O927" s="336">
        <v>5.1471276353961953E-3</v>
      </c>
      <c r="P927" s="258">
        <f t="shared" si="330"/>
        <v>5.1471276353961953E-3</v>
      </c>
      <c r="Q927" s="354">
        <v>20.874139534883721</v>
      </c>
      <c r="R927" s="249">
        <f t="shared" si="331"/>
        <v>21.383663773255812</v>
      </c>
      <c r="S927" s="355">
        <v>0.1</v>
      </c>
      <c r="T927" s="355"/>
      <c r="U927" s="315">
        <f t="shared" si="320"/>
        <v>23.522030150581394</v>
      </c>
      <c r="V927" s="315">
        <f t="shared" si="321"/>
        <v>24</v>
      </c>
      <c r="W927" s="316">
        <f t="shared" si="322"/>
        <v>0</v>
      </c>
      <c r="X927" s="185"/>
      <c r="Y927" s="185"/>
      <c r="Z927" s="185"/>
      <c r="AA927" s="206"/>
      <c r="AB927" s="283"/>
    </row>
    <row r="928" spans="1:28" s="284" customFormat="1" ht="14.4" x14ac:dyDescent="0.3">
      <c r="A928" s="204" t="s">
        <v>16572</v>
      </c>
      <c r="B928" s="351" t="s">
        <v>20657</v>
      </c>
      <c r="C928" s="352"/>
      <c r="D928" s="353" t="s">
        <v>14859</v>
      </c>
      <c r="E928" s="249">
        <f t="shared" si="323"/>
        <v>0</v>
      </c>
      <c r="F928" s="336">
        <v>0</v>
      </c>
      <c r="G928" s="258">
        <f t="shared" si="324"/>
        <v>0</v>
      </c>
      <c r="H928" s="249">
        <f t="shared" si="325"/>
        <v>10.971454730327277</v>
      </c>
      <c r="I928" s="336">
        <v>2.982994425059159E-3</v>
      </c>
      <c r="J928" s="258">
        <f t="shared" si="326"/>
        <v>2.982994425059159E-3</v>
      </c>
      <c r="K928" s="249">
        <f t="shared" si="327"/>
        <v>3648.0978216957742</v>
      </c>
      <c r="L928" s="336">
        <v>0.99186987793954462</v>
      </c>
      <c r="M928" s="258">
        <f t="shared" si="328"/>
        <v>0.99186987793954462</v>
      </c>
      <c r="N928" s="251">
        <f t="shared" si="329"/>
        <v>18.931137573898045</v>
      </c>
      <c r="O928" s="336">
        <v>5.1471276353961953E-3</v>
      </c>
      <c r="P928" s="258">
        <f t="shared" si="330"/>
        <v>5.1471276353961953E-3</v>
      </c>
      <c r="Q928" s="354">
        <v>3590.3519999999999</v>
      </c>
      <c r="R928" s="249">
        <f t="shared" si="331"/>
        <v>3678.0004139999996</v>
      </c>
      <c r="S928" s="355">
        <v>0.1</v>
      </c>
      <c r="T928" s="355"/>
      <c r="U928" s="315">
        <f t="shared" si="320"/>
        <v>4045.8004553999995</v>
      </c>
      <c r="V928" s="315">
        <f t="shared" si="321"/>
        <v>4050</v>
      </c>
      <c r="W928" s="316">
        <f t="shared" si="322"/>
        <v>0</v>
      </c>
      <c r="X928" s="185"/>
      <c r="Y928" s="185"/>
      <c r="Z928" s="185"/>
      <c r="AA928" s="206"/>
      <c r="AB928" s="283"/>
    </row>
    <row r="929" spans="1:28" s="284" customFormat="1" ht="14.4" x14ac:dyDescent="0.3">
      <c r="A929" s="204" t="s">
        <v>16573</v>
      </c>
      <c r="B929" s="351" t="s">
        <v>20658</v>
      </c>
      <c r="C929" s="352"/>
      <c r="D929" s="353" t="s">
        <v>5</v>
      </c>
      <c r="E929" s="249">
        <f t="shared" si="323"/>
        <v>0</v>
      </c>
      <c r="F929" s="336">
        <v>0</v>
      </c>
      <c r="G929" s="258">
        <f t="shared" si="324"/>
        <v>0</v>
      </c>
      <c r="H929" s="249">
        <f t="shared" si="325"/>
        <v>6.3787830195297837E-2</v>
      </c>
      <c r="I929" s="336">
        <v>2.7291220253907729E-3</v>
      </c>
      <c r="J929" s="258">
        <f t="shared" si="326"/>
        <v>2.7291220253907729E-3</v>
      </c>
      <c r="K929" s="249">
        <f t="shared" si="327"/>
        <v>23.199109721669675</v>
      </c>
      <c r="L929" s="336">
        <v>0.9925592564760588</v>
      </c>
      <c r="M929" s="258">
        <f t="shared" si="328"/>
        <v>0.9925592564760588</v>
      </c>
      <c r="N929" s="251">
        <f t="shared" si="329"/>
        <v>0.11006527563110213</v>
      </c>
      <c r="O929" s="336">
        <v>4.70907329871349E-3</v>
      </c>
      <c r="P929" s="258">
        <f t="shared" si="330"/>
        <v>4.70907329871349E-3</v>
      </c>
      <c r="Q929" s="354">
        <v>22.815924418604652</v>
      </c>
      <c r="R929" s="249">
        <f t="shared" si="331"/>
        <v>23.373022386627909</v>
      </c>
      <c r="S929" s="355">
        <v>0.1</v>
      </c>
      <c r="T929" s="355"/>
      <c r="U929" s="315">
        <f t="shared" si="320"/>
        <v>25.710324625290699</v>
      </c>
      <c r="V929" s="315">
        <f t="shared" si="321"/>
        <v>26</v>
      </c>
      <c r="W929" s="316">
        <f t="shared" si="322"/>
        <v>0</v>
      </c>
      <c r="X929" s="185"/>
      <c r="Y929" s="185"/>
      <c r="Z929" s="185"/>
      <c r="AA929" s="206"/>
      <c r="AB929" s="283"/>
    </row>
    <row r="930" spans="1:28" s="284" customFormat="1" ht="14.4" x14ac:dyDescent="0.3">
      <c r="A930" s="204" t="s">
        <v>16574</v>
      </c>
      <c r="B930" s="351" t="s">
        <v>20659</v>
      </c>
      <c r="C930" s="352"/>
      <c r="D930" s="353" t="s">
        <v>14859</v>
      </c>
      <c r="E930" s="249">
        <f t="shared" si="323"/>
        <v>0</v>
      </c>
      <c r="F930" s="336">
        <v>0</v>
      </c>
      <c r="G930" s="258">
        <f t="shared" si="324"/>
        <v>0</v>
      </c>
      <c r="H930" s="249">
        <f t="shared" si="325"/>
        <v>10.971534753446377</v>
      </c>
      <c r="I930" s="336">
        <v>2.7291220253907729E-3</v>
      </c>
      <c r="J930" s="258">
        <f t="shared" si="326"/>
        <v>2.7291220253907729E-3</v>
      </c>
      <c r="K930" s="249">
        <f t="shared" si="327"/>
        <v>3990.2672850935483</v>
      </c>
      <c r="L930" s="336">
        <v>0.99256180467589572</v>
      </c>
      <c r="M930" s="258">
        <f t="shared" si="328"/>
        <v>0.99256180467589572</v>
      </c>
      <c r="N930" s="251">
        <f t="shared" si="329"/>
        <v>18.931275653005514</v>
      </c>
      <c r="O930" s="336">
        <v>4.7090732987134908E-3</v>
      </c>
      <c r="P930" s="258">
        <f t="shared" si="330"/>
        <v>4.7090732987134908E-3</v>
      </c>
      <c r="Q930" s="354">
        <v>3924.3389999999999</v>
      </c>
      <c r="R930" s="249">
        <f t="shared" si="331"/>
        <v>4020.1700955000001</v>
      </c>
      <c r="S930" s="355">
        <v>0.1</v>
      </c>
      <c r="T930" s="355"/>
      <c r="U930" s="315">
        <f t="shared" si="320"/>
        <v>4422.1871050500004</v>
      </c>
      <c r="V930" s="315">
        <f t="shared" si="321"/>
        <v>4425</v>
      </c>
      <c r="W930" s="316">
        <f t="shared" si="322"/>
        <v>0</v>
      </c>
      <c r="X930" s="185"/>
      <c r="Y930" s="185"/>
      <c r="Z930" s="185"/>
      <c r="AA930" s="206"/>
      <c r="AB930" s="283"/>
    </row>
    <row r="931" spans="1:28" s="284" customFormat="1" ht="14.4" x14ac:dyDescent="0.3">
      <c r="A931" s="204" t="s">
        <v>16575</v>
      </c>
      <c r="B931" s="351" t="s">
        <v>20660</v>
      </c>
      <c r="C931" s="352"/>
      <c r="D931" s="353" t="s">
        <v>5</v>
      </c>
      <c r="E931" s="249">
        <f t="shared" si="323"/>
        <v>0</v>
      </c>
      <c r="F931" s="336">
        <v>0</v>
      </c>
      <c r="G931" s="258">
        <f t="shared" si="324"/>
        <v>0</v>
      </c>
      <c r="H931" s="249">
        <f t="shared" si="325"/>
        <v>6.3788665340475323E-2</v>
      </c>
      <c r="I931" s="336">
        <v>2.2877554139539629E-3</v>
      </c>
      <c r="J931" s="258">
        <f t="shared" si="326"/>
        <v>2.2877554139539629E-3</v>
      </c>
      <c r="K931" s="249">
        <f t="shared" si="327"/>
        <v>27.70872712348897</v>
      </c>
      <c r="L931" s="336">
        <v>0.99376260895541979</v>
      </c>
      <c r="M931" s="258">
        <f t="shared" si="328"/>
        <v>0.99376260895541979</v>
      </c>
      <c r="N931" s="251">
        <f t="shared" si="329"/>
        <v>0.11006671666591819</v>
      </c>
      <c r="O931" s="336">
        <v>3.9474995378029161E-3</v>
      </c>
      <c r="P931" s="258">
        <f t="shared" si="330"/>
        <v>3.9474995378029161E-3</v>
      </c>
      <c r="Q931" s="354">
        <v>27.217700581395345</v>
      </c>
      <c r="R931" s="249">
        <f t="shared" si="331"/>
        <v>27.882642065406976</v>
      </c>
      <c r="S931" s="355">
        <v>0.1</v>
      </c>
      <c r="T931" s="355"/>
      <c r="U931" s="315">
        <f t="shared" si="320"/>
        <v>30.670906271947675</v>
      </c>
      <c r="V931" s="315">
        <f t="shared" si="321"/>
        <v>31</v>
      </c>
      <c r="W931" s="316">
        <f t="shared" si="322"/>
        <v>0</v>
      </c>
      <c r="X931" s="185"/>
      <c r="Y931" s="185"/>
      <c r="Z931" s="185"/>
      <c r="AA931" s="206"/>
      <c r="AB931" s="283"/>
    </row>
    <row r="932" spans="1:28" s="284" customFormat="1" ht="14.4" x14ac:dyDescent="0.3">
      <c r="A932" s="204" t="s">
        <v>16576</v>
      </c>
      <c r="B932" s="351" t="s">
        <v>20661</v>
      </c>
      <c r="C932" s="352"/>
      <c r="D932" s="353" t="s">
        <v>14859</v>
      </c>
      <c r="E932" s="249">
        <f t="shared" si="323"/>
        <v>0</v>
      </c>
      <c r="F932" s="336">
        <v>0</v>
      </c>
      <c r="G932" s="258">
        <f t="shared" si="324"/>
        <v>0</v>
      </c>
      <c r="H932" s="249">
        <f t="shared" si="325"/>
        <v>10.971673876615968</v>
      </c>
      <c r="I932" s="336">
        <v>2.2877554139539625E-3</v>
      </c>
      <c r="J932" s="258">
        <f t="shared" si="326"/>
        <v>2.2877554139539625E-3</v>
      </c>
      <c r="K932" s="249">
        <f t="shared" si="327"/>
        <v>4765.9214906647139</v>
      </c>
      <c r="L932" s="336">
        <v>0.99376474504824319</v>
      </c>
      <c r="M932" s="258">
        <f t="shared" si="328"/>
        <v>0.99376474504824319</v>
      </c>
      <c r="N932" s="251">
        <f t="shared" si="329"/>
        <v>18.931515708670691</v>
      </c>
      <c r="O932" s="336">
        <v>3.9474995378029161E-3</v>
      </c>
      <c r="P932" s="258">
        <f t="shared" si="330"/>
        <v>3.9474995378029161E-3</v>
      </c>
      <c r="Q932" s="354">
        <v>4681.4444999999996</v>
      </c>
      <c r="R932" s="249">
        <f t="shared" si="331"/>
        <v>4795.8246802499998</v>
      </c>
      <c r="S932" s="355">
        <v>0.1</v>
      </c>
      <c r="T932" s="355"/>
      <c r="U932" s="315">
        <f t="shared" si="320"/>
        <v>5275.4071482749996</v>
      </c>
      <c r="V932" s="315">
        <f t="shared" si="321"/>
        <v>5300</v>
      </c>
      <c r="W932" s="316">
        <f t="shared" si="322"/>
        <v>0</v>
      </c>
      <c r="X932" s="185"/>
      <c r="Y932" s="185"/>
      <c r="Z932" s="185"/>
      <c r="AA932" s="206"/>
      <c r="AB932" s="283"/>
    </row>
    <row r="933" spans="1:28" s="284" customFormat="1" ht="14.4" x14ac:dyDescent="0.3">
      <c r="A933" s="204" t="s">
        <v>16577</v>
      </c>
      <c r="B933" s="351" t="s">
        <v>20662</v>
      </c>
      <c r="C933" s="352"/>
      <c r="D933" s="353" t="s">
        <v>5</v>
      </c>
      <c r="E933" s="249">
        <f t="shared" si="323"/>
        <v>0</v>
      </c>
      <c r="F933" s="336">
        <v>0</v>
      </c>
      <c r="G933" s="258">
        <f t="shared" si="324"/>
        <v>0</v>
      </c>
      <c r="H933" s="249">
        <f t="shared" si="325"/>
        <v>6.3789106860453096E-2</v>
      </c>
      <c r="I933" s="336">
        <v>2.0544161314826328E-3</v>
      </c>
      <c r="J933" s="258">
        <f t="shared" si="326"/>
        <v>2.0544161314826328E-3</v>
      </c>
      <c r="K933" s="249">
        <f t="shared" si="327"/>
        <v>30.875833650823004</v>
      </c>
      <c r="L933" s="336">
        <v>0.99439879075263382</v>
      </c>
      <c r="M933" s="258">
        <f t="shared" si="328"/>
        <v>0.99439879075263382</v>
      </c>
      <c r="N933" s="251">
        <f t="shared" si="329"/>
        <v>0.1100674785043112</v>
      </c>
      <c r="O933" s="336">
        <v>3.5448748935386601E-3</v>
      </c>
      <c r="P933" s="258">
        <f t="shared" si="330"/>
        <v>3.5448748935386601E-3</v>
      </c>
      <c r="Q933" s="354">
        <v>30.309069767441859</v>
      </c>
      <c r="R933" s="249">
        <f t="shared" si="331"/>
        <v>31.04974979651163</v>
      </c>
      <c r="S933" s="355">
        <v>0.1</v>
      </c>
      <c r="T933" s="355"/>
      <c r="U933" s="315">
        <f t="shared" si="320"/>
        <v>34.154724776162794</v>
      </c>
      <c r="V933" s="315">
        <f t="shared" si="321"/>
        <v>35</v>
      </c>
      <c r="W933" s="316">
        <f t="shared" si="322"/>
        <v>0</v>
      </c>
      <c r="X933" s="185"/>
      <c r="Y933" s="185"/>
      <c r="Z933" s="185"/>
      <c r="AA933" s="206"/>
      <c r="AB933" s="283"/>
    </row>
    <row r="934" spans="1:28" s="284" customFormat="1" ht="14.4" x14ac:dyDescent="0.3">
      <c r="A934" s="204" t="s">
        <v>16578</v>
      </c>
      <c r="B934" s="351" t="s">
        <v>20663</v>
      </c>
      <c r="C934" s="352"/>
      <c r="D934" s="353" t="s">
        <v>14859</v>
      </c>
      <c r="E934" s="249">
        <f t="shared" si="323"/>
        <v>0</v>
      </c>
      <c r="F934" s="336">
        <v>0</v>
      </c>
      <c r="G934" s="258">
        <f t="shared" si="324"/>
        <v>0</v>
      </c>
      <c r="H934" s="249">
        <f t="shared" si="325"/>
        <v>10.971747427491199</v>
      </c>
      <c r="I934" s="336">
        <v>2.0544161314826328E-3</v>
      </c>
      <c r="J934" s="258">
        <f t="shared" si="326"/>
        <v>2.0544161314826328E-3</v>
      </c>
      <c r="K934" s="249">
        <f t="shared" si="327"/>
        <v>5310.6638199525241</v>
      </c>
      <c r="L934" s="336">
        <v>0.99440070897497879</v>
      </c>
      <c r="M934" s="258">
        <f t="shared" si="328"/>
        <v>0.99440070897497879</v>
      </c>
      <c r="N934" s="251">
        <f t="shared" si="329"/>
        <v>18.93164261998481</v>
      </c>
      <c r="O934" s="336">
        <v>3.5448748935386601E-3</v>
      </c>
      <c r="P934" s="258">
        <f t="shared" si="330"/>
        <v>3.5448748935386601E-3</v>
      </c>
      <c r="Q934" s="354">
        <v>5213.16</v>
      </c>
      <c r="R934" s="249">
        <f t="shared" si="331"/>
        <v>5340.5672100000002</v>
      </c>
      <c r="S934" s="355">
        <v>0.1</v>
      </c>
      <c r="T934" s="355"/>
      <c r="U934" s="315">
        <f t="shared" ref="U934:U997" si="332">(R934*S934)+R934</f>
        <v>5874.6239310000001</v>
      </c>
      <c r="V934" s="315">
        <f t="shared" ref="V934:V997" si="333">IF(U934=0, 0, IF(U934&lt;10, _xlfn.CEILING.MATH(U934,1), IF(U934&lt;100, _xlfn.CEILING.MATH(U934,1),IF(U934&lt;1000, _xlfn.CEILING.MATH(U934,5), IF(U934&lt;10000, _xlfn.CEILING.MATH(U934, 25), IF(U934&lt;100000, _xlfn.CEILING.MATH(U934,250), IF(U934&lt;1000000, _xlfn.CEILING.MATH(U934,500), 0)))))))</f>
        <v>5875</v>
      </c>
      <c r="W934" s="316">
        <f t="shared" ref="W934:W952" si="334">C934*V934</f>
        <v>0</v>
      </c>
      <c r="X934" s="185"/>
      <c r="Y934" s="185"/>
      <c r="Z934" s="185"/>
      <c r="AA934" s="206"/>
      <c r="AB934" s="283"/>
    </row>
    <row r="935" spans="1:28" s="284" customFormat="1" ht="14.4" x14ac:dyDescent="0.3">
      <c r="A935" s="204" t="s">
        <v>16579</v>
      </c>
      <c r="B935" s="351" t="s">
        <v>20664</v>
      </c>
      <c r="C935" s="352"/>
      <c r="D935" s="353" t="s">
        <v>5</v>
      </c>
      <c r="E935" s="249">
        <f t="shared" si="323"/>
        <v>0</v>
      </c>
      <c r="F935" s="336">
        <v>0</v>
      </c>
      <c r="G935" s="258">
        <f t="shared" si="324"/>
        <v>0</v>
      </c>
      <c r="H935" s="249">
        <f t="shared" si="325"/>
        <v>6.3789267963010834E-2</v>
      </c>
      <c r="I935" s="336">
        <v>1.9692748986402629E-3</v>
      </c>
      <c r="J935" s="258">
        <f t="shared" si="326"/>
        <v>1.9692748986402629E-3</v>
      </c>
      <c r="K935" s="249">
        <f t="shared" si="327"/>
        <v>32.218345159263549</v>
      </c>
      <c r="L935" s="336">
        <v>0.99463092184497703</v>
      </c>
      <c r="M935" s="258">
        <f t="shared" si="328"/>
        <v>0.99463092184497703</v>
      </c>
      <c r="N935" s="251">
        <f t="shared" si="329"/>
        <v>0.11006775648519518</v>
      </c>
      <c r="O935" s="336">
        <v>3.3979645309871204E-3</v>
      </c>
      <c r="P935" s="258">
        <f t="shared" si="330"/>
        <v>3.3979645309871204E-3</v>
      </c>
      <c r="Q935" s="354">
        <v>31.619476744186041</v>
      </c>
      <c r="R935" s="249">
        <f t="shared" si="331"/>
        <v>32.392261744186044</v>
      </c>
      <c r="S935" s="355">
        <v>0.1</v>
      </c>
      <c r="T935" s="355"/>
      <c r="U935" s="315">
        <f t="shared" si="332"/>
        <v>35.631487918604648</v>
      </c>
      <c r="V935" s="315">
        <f t="shared" si="333"/>
        <v>36</v>
      </c>
      <c r="W935" s="316">
        <f t="shared" si="334"/>
        <v>0</v>
      </c>
      <c r="X935" s="185"/>
      <c r="Y935" s="185"/>
      <c r="Z935" s="185"/>
      <c r="AA935" s="206"/>
      <c r="AB935" s="283"/>
    </row>
    <row r="936" spans="1:28" s="284" customFormat="1" ht="14.4" x14ac:dyDescent="0.3">
      <c r="A936" s="204" t="s">
        <v>16580</v>
      </c>
      <c r="B936" s="351" t="s">
        <v>20665</v>
      </c>
      <c r="C936" s="352"/>
      <c r="D936" s="353" t="s">
        <v>14859</v>
      </c>
      <c r="E936" s="249">
        <f t="shared" si="323"/>
        <v>0</v>
      </c>
      <c r="F936" s="336">
        <v>0</v>
      </c>
      <c r="G936" s="258">
        <f t="shared" si="324"/>
        <v>0</v>
      </c>
      <c r="H936" s="249">
        <f t="shared" si="325"/>
        <v>10.971774264859199</v>
      </c>
      <c r="I936" s="336">
        <v>1.9692748986402629E-3</v>
      </c>
      <c r="J936" s="258">
        <f t="shared" si="326"/>
        <v>1.9692748986402629E-3</v>
      </c>
      <c r="K936" s="249">
        <f t="shared" si="327"/>
        <v>5541.5758018075394</v>
      </c>
      <c r="L936" s="336">
        <v>0.99463276057037264</v>
      </c>
      <c r="M936" s="258">
        <f t="shared" si="328"/>
        <v>0.99463276057037264</v>
      </c>
      <c r="N936" s="251">
        <f t="shared" si="329"/>
        <v>18.931688927600188</v>
      </c>
      <c r="O936" s="336">
        <v>3.3979645309871204E-3</v>
      </c>
      <c r="P936" s="258">
        <f t="shared" si="330"/>
        <v>3.3979645309871204E-3</v>
      </c>
      <c r="Q936" s="354">
        <v>5438.5499999999993</v>
      </c>
      <c r="R936" s="249">
        <f t="shared" si="331"/>
        <v>5571.479264999999</v>
      </c>
      <c r="S936" s="355">
        <v>0.1</v>
      </c>
      <c r="T936" s="355"/>
      <c r="U936" s="315">
        <f t="shared" si="332"/>
        <v>6128.6271914999988</v>
      </c>
      <c r="V936" s="315">
        <f t="shared" si="333"/>
        <v>6150</v>
      </c>
      <c r="W936" s="316">
        <f t="shared" si="334"/>
        <v>0</v>
      </c>
      <c r="X936" s="185"/>
      <c r="Y936" s="185"/>
      <c r="Z936" s="185"/>
      <c r="AA936" s="206"/>
      <c r="AB936" s="283"/>
    </row>
    <row r="937" spans="1:28" s="284" customFormat="1" ht="14.4" x14ac:dyDescent="0.3">
      <c r="A937" s="204" t="s">
        <v>16581</v>
      </c>
      <c r="B937" s="351" t="s">
        <v>20666</v>
      </c>
      <c r="C937" s="352"/>
      <c r="D937" s="353" t="s">
        <v>5</v>
      </c>
      <c r="E937" s="249">
        <f t="shared" si="323"/>
        <v>0</v>
      </c>
      <c r="F937" s="336">
        <v>0</v>
      </c>
      <c r="G937" s="258">
        <f t="shared" si="324"/>
        <v>0</v>
      </c>
      <c r="H937" s="249">
        <f t="shared" si="325"/>
        <v>6.3789605056898846E-2</v>
      </c>
      <c r="I937" s="336">
        <v>1.7911238524515325E-3</v>
      </c>
      <c r="J937" s="258">
        <f t="shared" si="326"/>
        <v>1.7911238524515325E-3</v>
      </c>
      <c r="K937" s="249">
        <f t="shared" si="327"/>
        <v>35.440372914621314</v>
      </c>
      <c r="L937" s="336">
        <v>0.9951166371156317</v>
      </c>
      <c r="M937" s="258">
        <f t="shared" si="328"/>
        <v>0.9951166371156317</v>
      </c>
      <c r="N937" s="251">
        <f t="shared" si="329"/>
        <v>0.11006833813739407</v>
      </c>
      <c r="O937" s="336">
        <v>3.0905666473673497E-3</v>
      </c>
      <c r="P937" s="258">
        <f t="shared" si="330"/>
        <v>3.0905666473673497E-3</v>
      </c>
      <c r="Q937" s="354">
        <v>34.764453488372084</v>
      </c>
      <c r="R937" s="249">
        <f t="shared" si="331"/>
        <v>35.614290418604639</v>
      </c>
      <c r="S937" s="355">
        <v>0.1</v>
      </c>
      <c r="T937" s="355"/>
      <c r="U937" s="315">
        <f t="shared" si="332"/>
        <v>39.175719460465103</v>
      </c>
      <c r="V937" s="315">
        <f t="shared" si="333"/>
        <v>40</v>
      </c>
      <c r="W937" s="316">
        <f t="shared" si="334"/>
        <v>0</v>
      </c>
      <c r="X937" s="185"/>
      <c r="Y937" s="185"/>
      <c r="Z937" s="185"/>
      <c r="AA937" s="206"/>
      <c r="AB937" s="283"/>
    </row>
    <row r="938" spans="1:28" s="284" customFormat="1" ht="14.4" x14ac:dyDescent="0.3">
      <c r="A938" s="204" t="s">
        <v>16582</v>
      </c>
      <c r="B938" s="351" t="s">
        <v>20667</v>
      </c>
      <c r="C938" s="352"/>
      <c r="D938" s="353" t="s">
        <v>14859</v>
      </c>
      <c r="E938" s="249">
        <f t="shared" si="323"/>
        <v>0</v>
      </c>
      <c r="F938" s="336">
        <v>0</v>
      </c>
      <c r="G938" s="258">
        <f t="shared" si="324"/>
        <v>0</v>
      </c>
      <c r="H938" s="249">
        <f t="shared" si="325"/>
        <v>10.97183041985047</v>
      </c>
      <c r="I938" s="336">
        <v>1.7911238524515323E-3</v>
      </c>
      <c r="J938" s="258">
        <f t="shared" si="326"/>
        <v>1.7911238524515323E-3</v>
      </c>
      <c r="K938" s="249">
        <f t="shared" si="327"/>
        <v>6095.7645807576619</v>
      </c>
      <c r="L938" s="336">
        <v>0.99511830950018121</v>
      </c>
      <c r="M938" s="258">
        <f t="shared" si="328"/>
        <v>0.99511830950018121</v>
      </c>
      <c r="N938" s="251">
        <f t="shared" si="329"/>
        <v>18.931785822487086</v>
      </c>
      <c r="O938" s="336">
        <v>3.0905666473673497E-3</v>
      </c>
      <c r="P938" s="258">
        <f t="shared" si="330"/>
        <v>3.0905666473673497E-3</v>
      </c>
      <c r="Q938" s="354">
        <v>5979.485999999999</v>
      </c>
      <c r="R938" s="249">
        <f t="shared" si="331"/>
        <v>6125.6681969999991</v>
      </c>
      <c r="S938" s="355">
        <v>0.1</v>
      </c>
      <c r="T938" s="355"/>
      <c r="U938" s="315">
        <f t="shared" si="332"/>
        <v>6738.2350166999986</v>
      </c>
      <c r="V938" s="315">
        <f t="shared" si="333"/>
        <v>6750</v>
      </c>
      <c r="W938" s="316">
        <f t="shared" si="334"/>
        <v>0</v>
      </c>
      <c r="X938" s="185"/>
      <c r="Y938" s="185"/>
      <c r="Z938" s="185"/>
      <c r="AA938" s="206"/>
      <c r="AB938" s="283"/>
    </row>
    <row r="939" spans="1:28" s="284" customFormat="1" ht="14.4" x14ac:dyDescent="0.3">
      <c r="A939" s="204" t="s">
        <v>16583</v>
      </c>
      <c r="B939" s="351" t="s">
        <v>20668</v>
      </c>
      <c r="C939" s="352"/>
      <c r="D939" s="353" t="s">
        <v>5</v>
      </c>
      <c r="E939" s="249">
        <f t="shared" si="323"/>
        <v>0</v>
      </c>
      <c r="F939" s="336">
        <v>0</v>
      </c>
      <c r="G939" s="258">
        <f t="shared" si="324"/>
        <v>0</v>
      </c>
      <c r="H939" s="249">
        <f t="shared" si="325"/>
        <v>6.378968001135156E-2</v>
      </c>
      <c r="I939" s="336">
        <v>1.7515111076222627E-3</v>
      </c>
      <c r="J939" s="258">
        <f t="shared" si="326"/>
        <v>1.7515111076222627E-3</v>
      </c>
      <c r="K939" s="249">
        <f t="shared" si="327"/>
        <v>36.245879878868351</v>
      </c>
      <c r="L939" s="336">
        <v>0.99522463824999341</v>
      </c>
      <c r="M939" s="258">
        <f t="shared" si="328"/>
        <v>0.99522463824999341</v>
      </c>
      <c r="N939" s="251">
        <f t="shared" si="329"/>
        <v>0.11006846747056739</v>
      </c>
      <c r="O939" s="336">
        <v>3.0222152445246882E-3</v>
      </c>
      <c r="P939" s="258">
        <f t="shared" si="330"/>
        <v>3.0222152445246882E-3</v>
      </c>
      <c r="Q939" s="354">
        <v>35.550697674418601</v>
      </c>
      <c r="R939" s="249">
        <f t="shared" si="331"/>
        <v>36.419797587209295</v>
      </c>
      <c r="S939" s="355">
        <v>0.1</v>
      </c>
      <c r="T939" s="355"/>
      <c r="U939" s="315">
        <f t="shared" si="332"/>
        <v>40.061777345930224</v>
      </c>
      <c r="V939" s="315">
        <f t="shared" si="333"/>
        <v>41</v>
      </c>
      <c r="W939" s="316">
        <f t="shared" si="334"/>
        <v>0</v>
      </c>
      <c r="X939" s="185"/>
      <c r="Y939" s="185"/>
      <c r="Z939" s="185"/>
      <c r="AA939" s="206"/>
      <c r="AB939" s="283"/>
    </row>
    <row r="940" spans="1:28" s="284" customFormat="1" ht="14.4" x14ac:dyDescent="0.3">
      <c r="A940" s="204" t="s">
        <v>16584</v>
      </c>
      <c r="B940" s="351" t="s">
        <v>20669</v>
      </c>
      <c r="C940" s="352"/>
      <c r="D940" s="353" t="s">
        <v>14859</v>
      </c>
      <c r="E940" s="249">
        <f t="shared" si="323"/>
        <v>0</v>
      </c>
      <c r="F940" s="336">
        <v>0</v>
      </c>
      <c r="G940" s="258">
        <f t="shared" si="324"/>
        <v>0</v>
      </c>
      <c r="H940" s="249">
        <f t="shared" si="325"/>
        <v>10.971842906183767</v>
      </c>
      <c r="I940" s="336">
        <v>1.7515111076222627E-3</v>
      </c>
      <c r="J940" s="258">
        <f t="shared" si="326"/>
        <v>1.7515111076222627E-3</v>
      </c>
      <c r="K940" s="249">
        <f t="shared" si="327"/>
        <v>6234.311779726283</v>
      </c>
      <c r="L940" s="336">
        <v>0.9952262736478531</v>
      </c>
      <c r="M940" s="258">
        <f t="shared" si="328"/>
        <v>0.9952262736478531</v>
      </c>
      <c r="N940" s="251">
        <f t="shared" si="329"/>
        <v>18.931807367532773</v>
      </c>
      <c r="O940" s="336">
        <v>3.0222152445246882E-3</v>
      </c>
      <c r="P940" s="258">
        <f t="shared" si="330"/>
        <v>3.0222152445246882E-3</v>
      </c>
      <c r="Q940" s="354">
        <v>6114.7199999999993</v>
      </c>
      <c r="R940" s="249">
        <f t="shared" si="331"/>
        <v>6264.2154299999993</v>
      </c>
      <c r="S940" s="355">
        <v>0.1</v>
      </c>
      <c r="T940" s="355"/>
      <c r="U940" s="315">
        <f t="shared" si="332"/>
        <v>6890.6369729999988</v>
      </c>
      <c r="V940" s="315">
        <f t="shared" si="333"/>
        <v>6900</v>
      </c>
      <c r="W940" s="316">
        <f t="shared" si="334"/>
        <v>0</v>
      </c>
      <c r="X940" s="185"/>
      <c r="Y940" s="185"/>
      <c r="Z940" s="185"/>
      <c r="AA940" s="206"/>
      <c r="AB940" s="283"/>
    </row>
    <row r="941" spans="1:28" s="284" customFormat="1" ht="14.4" x14ac:dyDescent="0.3">
      <c r="A941" s="204" t="s">
        <v>16585</v>
      </c>
      <c r="B941" s="351" t="s">
        <v>20670</v>
      </c>
      <c r="C941" s="352"/>
      <c r="D941" s="353" t="s">
        <v>5</v>
      </c>
      <c r="E941" s="249">
        <f t="shared" si="323"/>
        <v>0</v>
      </c>
      <c r="F941" s="336">
        <v>0</v>
      </c>
      <c r="G941" s="258">
        <f t="shared" si="324"/>
        <v>0</v>
      </c>
      <c r="H941" s="249">
        <f t="shared" si="325"/>
        <v>6.3789808639604609E-2</v>
      </c>
      <c r="I941" s="336">
        <v>1.6835322487204333E-3</v>
      </c>
      <c r="J941" s="258">
        <f t="shared" si="326"/>
        <v>1.6835322487204333E-3</v>
      </c>
      <c r="K941" s="249">
        <f t="shared" si="327"/>
        <v>37.716540343580192</v>
      </c>
      <c r="L941" s="336">
        <v>0.99540997743579496</v>
      </c>
      <c r="M941" s="258">
        <f t="shared" si="328"/>
        <v>0.99540997743579496</v>
      </c>
      <c r="N941" s="251">
        <f t="shared" si="329"/>
        <v>0.11006868941735697</v>
      </c>
      <c r="O941" s="336">
        <v>2.9049183899489826E-3</v>
      </c>
      <c r="P941" s="258">
        <f t="shared" si="330"/>
        <v>2.9049183899489826E-3</v>
      </c>
      <c r="Q941" s="354">
        <v>36.986188953488366</v>
      </c>
      <c r="R941" s="249">
        <f t="shared" si="331"/>
        <v>37.890458402616275</v>
      </c>
      <c r="S941" s="355">
        <v>0.1</v>
      </c>
      <c r="T941" s="355"/>
      <c r="U941" s="315">
        <f t="shared" si="332"/>
        <v>41.679504242877904</v>
      </c>
      <c r="V941" s="315">
        <f t="shared" si="333"/>
        <v>42</v>
      </c>
      <c r="W941" s="316">
        <f t="shared" si="334"/>
        <v>0</v>
      </c>
      <c r="X941" s="185"/>
      <c r="Y941" s="185"/>
      <c r="Z941" s="185"/>
      <c r="AA941" s="206"/>
      <c r="AB941" s="283"/>
    </row>
    <row r="942" spans="1:28" s="284" customFormat="1" ht="14.4" x14ac:dyDescent="0.3">
      <c r="A942" s="204" t="s">
        <v>16586</v>
      </c>
      <c r="B942" s="351" t="s">
        <v>20671</v>
      </c>
      <c r="C942" s="352"/>
      <c r="D942" s="353" t="s">
        <v>14859</v>
      </c>
      <c r="E942" s="249">
        <f t="shared" si="323"/>
        <v>0</v>
      </c>
      <c r="F942" s="336">
        <v>0</v>
      </c>
      <c r="G942" s="258">
        <f t="shared" si="324"/>
        <v>0</v>
      </c>
      <c r="H942" s="249">
        <f t="shared" si="325"/>
        <v>10.97186433379988</v>
      </c>
      <c r="I942" s="336">
        <v>1.6835322487204333E-3</v>
      </c>
      <c r="J942" s="258">
        <f t="shared" si="326"/>
        <v>1.6835322487204333E-3</v>
      </c>
      <c r="K942" s="249">
        <f t="shared" si="327"/>
        <v>6487.2653815755248</v>
      </c>
      <c r="L942" s="336">
        <v>0.99541154936133069</v>
      </c>
      <c r="M942" s="258">
        <f t="shared" si="328"/>
        <v>0.99541154936133069</v>
      </c>
      <c r="N942" s="251">
        <f t="shared" si="329"/>
        <v>18.931844340674306</v>
      </c>
      <c r="O942" s="336">
        <v>2.9049183899489831E-3</v>
      </c>
      <c r="P942" s="258">
        <f t="shared" si="330"/>
        <v>2.9049183899489831E-3</v>
      </c>
      <c r="Q942" s="354">
        <v>6361.624499999999</v>
      </c>
      <c r="R942" s="249">
        <f t="shared" si="331"/>
        <v>6517.1690902499986</v>
      </c>
      <c r="S942" s="355">
        <v>0.1</v>
      </c>
      <c r="T942" s="355"/>
      <c r="U942" s="315">
        <f t="shared" si="332"/>
        <v>7168.8859992749985</v>
      </c>
      <c r="V942" s="315">
        <f t="shared" si="333"/>
        <v>7175</v>
      </c>
      <c r="W942" s="316">
        <f t="shared" si="334"/>
        <v>0</v>
      </c>
      <c r="X942" s="185"/>
      <c r="Y942" s="185"/>
      <c r="Z942" s="185"/>
      <c r="AA942" s="206"/>
      <c r="AB942" s="283"/>
    </row>
    <row r="943" spans="1:28" s="284" customFormat="1" ht="14.4" x14ac:dyDescent="0.3">
      <c r="A943" s="204" t="s">
        <v>16587</v>
      </c>
      <c r="B943" s="351" t="s">
        <v>20672</v>
      </c>
      <c r="C943" s="352"/>
      <c r="D943" s="353" t="s">
        <v>5</v>
      </c>
      <c r="E943" s="249">
        <f t="shared" si="323"/>
        <v>0</v>
      </c>
      <c r="F943" s="336">
        <v>0</v>
      </c>
      <c r="G943" s="258">
        <f t="shared" si="324"/>
        <v>0</v>
      </c>
      <c r="H943" s="249">
        <f t="shared" si="325"/>
        <v>6.3789860121209879E-2</v>
      </c>
      <c r="I943" s="336">
        <v>1.6563246897464919E-3</v>
      </c>
      <c r="J943" s="258">
        <f t="shared" si="326"/>
        <v>1.6563246897464919E-3</v>
      </c>
      <c r="K943" s="249">
        <f t="shared" si="327"/>
        <v>38.33897756077765</v>
      </c>
      <c r="L943" s="336">
        <v>0.99548415677492086</v>
      </c>
      <c r="M943" s="258">
        <f t="shared" si="328"/>
        <v>0.99548415677492086</v>
      </c>
      <c r="N943" s="251">
        <f t="shared" si="329"/>
        <v>0.11006877824836213</v>
      </c>
      <c r="O943" s="336">
        <v>2.8579720136802213E-3</v>
      </c>
      <c r="P943" s="258">
        <f t="shared" si="330"/>
        <v>2.8579720136802213E-3</v>
      </c>
      <c r="Q943" s="354">
        <v>37.593741279069768</v>
      </c>
      <c r="R943" s="249">
        <f t="shared" si="331"/>
        <v>38.512895760174416</v>
      </c>
      <c r="S943" s="355">
        <v>0.1</v>
      </c>
      <c r="T943" s="355"/>
      <c r="U943" s="315">
        <f t="shared" si="332"/>
        <v>42.364185336191859</v>
      </c>
      <c r="V943" s="315">
        <f t="shared" si="333"/>
        <v>43</v>
      </c>
      <c r="W943" s="316">
        <f t="shared" si="334"/>
        <v>0</v>
      </c>
      <c r="X943" s="185"/>
      <c r="Y943" s="185"/>
      <c r="Z943" s="185"/>
      <c r="AA943" s="206"/>
      <c r="AB943" s="283"/>
    </row>
    <row r="944" spans="1:28" s="284" customFormat="1" ht="14.4" x14ac:dyDescent="0.3">
      <c r="A944" s="204" t="s">
        <v>16588</v>
      </c>
      <c r="B944" s="351" t="s">
        <v>20673</v>
      </c>
      <c r="C944" s="352"/>
      <c r="D944" s="353" t="s">
        <v>14859</v>
      </c>
      <c r="E944" s="249">
        <f t="shared" si="323"/>
        <v>0</v>
      </c>
      <c r="F944" s="336">
        <v>0</v>
      </c>
      <c r="G944" s="258">
        <f t="shared" si="324"/>
        <v>0</v>
      </c>
      <c r="H944" s="249">
        <f t="shared" si="325"/>
        <v>10.971872909894547</v>
      </c>
      <c r="I944" s="336">
        <v>1.6563246897464922E-3</v>
      </c>
      <c r="J944" s="258">
        <f t="shared" si="326"/>
        <v>1.6563246897464922E-3</v>
      </c>
      <c r="K944" s="249">
        <f t="shared" si="327"/>
        <v>6594.3245837014638</v>
      </c>
      <c r="L944" s="336">
        <v>0.99548570329657338</v>
      </c>
      <c r="M944" s="258">
        <f t="shared" si="328"/>
        <v>0.99548570329657338</v>
      </c>
      <c r="N944" s="251">
        <f t="shared" si="329"/>
        <v>18.931859138641567</v>
      </c>
      <c r="O944" s="336">
        <v>2.8579720136802213E-3</v>
      </c>
      <c r="P944" s="258">
        <f t="shared" si="330"/>
        <v>2.8579720136802213E-3</v>
      </c>
      <c r="Q944" s="354">
        <v>6466.1234999999997</v>
      </c>
      <c r="R944" s="249">
        <f t="shared" si="331"/>
        <v>6624.2283157499996</v>
      </c>
      <c r="S944" s="355">
        <v>0.1</v>
      </c>
      <c r="T944" s="355"/>
      <c r="U944" s="315">
        <f t="shared" si="332"/>
        <v>7286.6511473249993</v>
      </c>
      <c r="V944" s="315">
        <f t="shared" si="333"/>
        <v>7300</v>
      </c>
      <c r="W944" s="316">
        <f t="shared" si="334"/>
        <v>0</v>
      </c>
      <c r="X944" s="185"/>
      <c r="Y944" s="185"/>
      <c r="Z944" s="185"/>
      <c r="AA944" s="206"/>
      <c r="AB944" s="283"/>
    </row>
    <row r="945" spans="1:28" s="284" customFormat="1" ht="14.4" x14ac:dyDescent="0.3">
      <c r="A945" s="204" t="s">
        <v>16589</v>
      </c>
      <c r="B945" s="351" t="s">
        <v>20674</v>
      </c>
      <c r="C945" s="352"/>
      <c r="D945" s="353" t="s">
        <v>5</v>
      </c>
      <c r="E945" s="249">
        <f t="shared" si="323"/>
        <v>0</v>
      </c>
      <c r="F945" s="336">
        <v>0</v>
      </c>
      <c r="G945" s="258">
        <f t="shared" si="324"/>
        <v>0</v>
      </c>
      <c r="H945" s="249">
        <f t="shared" si="325"/>
        <v>6.3789886219983771E-2</v>
      </c>
      <c r="I945" s="336">
        <v>1.6425317257073241E-3</v>
      </c>
      <c r="J945" s="258">
        <f t="shared" si="326"/>
        <v>1.6425317257073241E-3</v>
      </c>
      <c r="K945" s="249">
        <f t="shared" si="327"/>
        <v>38.662400822470168</v>
      </c>
      <c r="L945" s="336">
        <v>0.99552176224176903</v>
      </c>
      <c r="M945" s="258">
        <f t="shared" si="328"/>
        <v>0.99552176224176903</v>
      </c>
      <c r="N945" s="251">
        <f t="shared" si="329"/>
        <v>0.11006882328154063</v>
      </c>
      <c r="O945" s="336">
        <v>2.8341723894557747E-3</v>
      </c>
      <c r="P945" s="258">
        <f t="shared" si="330"/>
        <v>2.8341723894557747E-3</v>
      </c>
      <c r="Q945" s="354">
        <v>37.909430232558137</v>
      </c>
      <c r="R945" s="249">
        <f t="shared" si="331"/>
        <v>38.836319093023249</v>
      </c>
      <c r="S945" s="355">
        <v>0.1</v>
      </c>
      <c r="T945" s="355"/>
      <c r="U945" s="315">
        <f t="shared" si="332"/>
        <v>42.719951002325573</v>
      </c>
      <c r="V945" s="315">
        <f t="shared" si="333"/>
        <v>43</v>
      </c>
      <c r="W945" s="316">
        <f t="shared" si="334"/>
        <v>0</v>
      </c>
      <c r="X945" s="185"/>
      <c r="Y945" s="185"/>
      <c r="Z945" s="185"/>
      <c r="AA945" s="206"/>
      <c r="AB945" s="283"/>
    </row>
    <row r="946" spans="1:28" s="284" customFormat="1" ht="14.4" x14ac:dyDescent="0.3">
      <c r="A946" s="204" t="s">
        <v>16590</v>
      </c>
      <c r="B946" s="351" t="s">
        <v>20675</v>
      </c>
      <c r="C946" s="352"/>
      <c r="D946" s="353" t="s">
        <v>14859</v>
      </c>
      <c r="E946" s="249">
        <f t="shared" si="323"/>
        <v>0</v>
      </c>
      <c r="F946" s="336">
        <v>0</v>
      </c>
      <c r="G946" s="258">
        <f t="shared" si="324"/>
        <v>0</v>
      </c>
      <c r="H946" s="249">
        <f t="shared" si="325"/>
        <v>10.971877257574739</v>
      </c>
      <c r="I946" s="336">
        <v>1.6425317257073241E-3</v>
      </c>
      <c r="J946" s="258">
        <f t="shared" si="326"/>
        <v>1.6425317257073241E-3</v>
      </c>
      <c r="K946" s="249">
        <f t="shared" si="327"/>
        <v>6649.9533851019041</v>
      </c>
      <c r="L946" s="336">
        <v>0.99552329588483701</v>
      </c>
      <c r="M946" s="258">
        <f t="shared" si="328"/>
        <v>0.99552329588483701</v>
      </c>
      <c r="N946" s="251">
        <f t="shared" si="329"/>
        <v>18.931866640521118</v>
      </c>
      <c r="O946" s="336">
        <v>2.8341723894557747E-3</v>
      </c>
      <c r="P946" s="258">
        <f t="shared" si="330"/>
        <v>2.8341723894557747E-3</v>
      </c>
      <c r="Q946" s="354">
        <v>6520.4219999999996</v>
      </c>
      <c r="R946" s="249">
        <f t="shared" si="331"/>
        <v>6679.8571289999991</v>
      </c>
      <c r="S946" s="355">
        <v>0.1</v>
      </c>
      <c r="T946" s="355"/>
      <c r="U946" s="315">
        <f t="shared" si="332"/>
        <v>7347.8428418999993</v>
      </c>
      <c r="V946" s="315">
        <f t="shared" si="333"/>
        <v>7350</v>
      </c>
      <c r="W946" s="316">
        <f t="shared" si="334"/>
        <v>0</v>
      </c>
      <c r="X946" s="185"/>
      <c r="Y946" s="185"/>
      <c r="Z946" s="185"/>
      <c r="AA946" s="206"/>
      <c r="AB946" s="283"/>
    </row>
    <row r="947" spans="1:28" s="284" customFormat="1" ht="14.4" x14ac:dyDescent="0.3">
      <c r="A947" s="204" t="s">
        <v>16591</v>
      </c>
      <c r="B947" s="351" t="s">
        <v>20676</v>
      </c>
      <c r="C947" s="352"/>
      <c r="D947" s="353" t="s">
        <v>5</v>
      </c>
      <c r="E947" s="249">
        <f t="shared" si="323"/>
        <v>0</v>
      </c>
      <c r="F947" s="336">
        <v>0</v>
      </c>
      <c r="G947" s="258">
        <f t="shared" si="324"/>
        <v>0</v>
      </c>
      <c r="H947" s="249">
        <f t="shared" si="325"/>
        <v>6.379043474429337E-2</v>
      </c>
      <c r="I947" s="336">
        <v>1.3526416295353281E-3</v>
      </c>
      <c r="J947" s="258">
        <f t="shared" si="326"/>
        <v>1.3526416295353281E-3</v>
      </c>
      <c r="K947" s="249">
        <f t="shared" si="327"/>
        <v>46.985973402541774</v>
      </c>
      <c r="L947" s="336">
        <v>0.99631212552918469</v>
      </c>
      <c r="M947" s="258">
        <f t="shared" si="328"/>
        <v>0.99631212552918469</v>
      </c>
      <c r="N947" s="251">
        <f t="shared" si="329"/>
        <v>0.11006976975485913</v>
      </c>
      <c r="O947" s="336">
        <v>2.3339698705707617E-3</v>
      </c>
      <c r="P947" s="258">
        <f t="shared" si="330"/>
        <v>2.3339698705707617E-3</v>
      </c>
      <c r="Q947" s="354">
        <v>46.033953488372092</v>
      </c>
      <c r="R947" s="249">
        <f t="shared" si="331"/>
        <v>47.159893168604647</v>
      </c>
      <c r="S947" s="355">
        <v>0.1</v>
      </c>
      <c r="T947" s="355"/>
      <c r="U947" s="315">
        <f t="shared" si="332"/>
        <v>51.875882485465112</v>
      </c>
      <c r="V947" s="315">
        <f t="shared" si="333"/>
        <v>52</v>
      </c>
      <c r="W947" s="316">
        <f t="shared" si="334"/>
        <v>0</v>
      </c>
      <c r="X947" s="185"/>
      <c r="Y947" s="185"/>
      <c r="Z947" s="185"/>
      <c r="AA947" s="206"/>
      <c r="AB947" s="283"/>
    </row>
    <row r="948" spans="1:28" x14ac:dyDescent="0.25">
      <c r="A948" s="204" t="s">
        <v>16592</v>
      </c>
      <c r="B948" s="351" t="s">
        <v>20677</v>
      </c>
      <c r="C948" s="352"/>
      <c r="D948" s="353" t="s">
        <v>14859</v>
      </c>
      <c r="E948" s="249">
        <f t="shared" si="323"/>
        <v>0</v>
      </c>
      <c r="F948" s="336">
        <v>0</v>
      </c>
      <c r="G948" s="258">
        <f t="shared" si="324"/>
        <v>0</v>
      </c>
      <c r="H948" s="249">
        <f t="shared" si="325"/>
        <v>10.971968633831956</v>
      </c>
      <c r="I948" s="336">
        <v>1.3526416295353281E-3</v>
      </c>
      <c r="J948" s="258">
        <f t="shared" si="326"/>
        <v>1.3526416295353281E-3</v>
      </c>
      <c r="K948" s="249">
        <f t="shared" si="327"/>
        <v>8081.6078770568101</v>
      </c>
      <c r="L948" s="336">
        <v>0.99631338849989393</v>
      </c>
      <c r="M948" s="258">
        <f t="shared" si="328"/>
        <v>0.99631338849989393</v>
      </c>
      <c r="N948" s="251">
        <f t="shared" si="329"/>
        <v>18.9320243093571</v>
      </c>
      <c r="O948" s="336">
        <v>2.3339698705707622E-3</v>
      </c>
      <c r="P948" s="258">
        <f t="shared" si="330"/>
        <v>2.3339698705707622E-3</v>
      </c>
      <c r="Q948" s="354">
        <v>7917.8399999999992</v>
      </c>
      <c r="R948" s="249">
        <f t="shared" si="331"/>
        <v>8111.5118699999994</v>
      </c>
      <c r="S948" s="355">
        <v>0.1</v>
      </c>
      <c r="T948" s="355"/>
      <c r="U948" s="315">
        <f t="shared" si="332"/>
        <v>8922.6630569999998</v>
      </c>
      <c r="V948" s="315">
        <f t="shared" si="333"/>
        <v>8925</v>
      </c>
      <c r="W948" s="316">
        <f t="shared" si="334"/>
        <v>0</v>
      </c>
    </row>
    <row r="949" spans="1:28" s="284" customFormat="1" ht="14.4" x14ac:dyDescent="0.3">
      <c r="A949" s="204" t="s">
        <v>16593</v>
      </c>
      <c r="B949" s="351" t="s">
        <v>20678</v>
      </c>
      <c r="C949" s="352"/>
      <c r="D949" s="353" t="s">
        <v>5</v>
      </c>
      <c r="E949" s="249">
        <f t="shared" si="323"/>
        <v>0</v>
      </c>
      <c r="F949" s="336">
        <v>0</v>
      </c>
      <c r="G949" s="258">
        <f t="shared" si="324"/>
        <v>0</v>
      </c>
      <c r="H949" s="249">
        <f t="shared" si="325"/>
        <v>6.3790764753199891E-2</v>
      </c>
      <c r="I949" s="336">
        <v>1.1782349314643516E-3</v>
      </c>
      <c r="J949" s="258">
        <f t="shared" si="326"/>
        <v>1.1782349314643516E-3</v>
      </c>
      <c r="K949" s="249">
        <f t="shared" si="327"/>
        <v>53.967034630704589</v>
      </c>
      <c r="L949" s="336">
        <v>0.99678763211963051</v>
      </c>
      <c r="M949" s="258">
        <f t="shared" si="328"/>
        <v>0.99678763211963051</v>
      </c>
      <c r="N949" s="251">
        <f t="shared" si="329"/>
        <v>0.11007033918199197</v>
      </c>
      <c r="O949" s="336">
        <v>2.0330328229188812E-3</v>
      </c>
      <c r="P949" s="258">
        <f t="shared" si="330"/>
        <v>2.0330328229188812E-3</v>
      </c>
      <c r="Q949" s="354">
        <v>52.848069767441849</v>
      </c>
      <c r="R949" s="249">
        <f t="shared" si="331"/>
        <v>54.140955296511621</v>
      </c>
      <c r="S949" s="355">
        <v>0.1</v>
      </c>
      <c r="T949" s="355"/>
      <c r="U949" s="315">
        <f t="shared" si="332"/>
        <v>59.555050826162784</v>
      </c>
      <c r="V949" s="315">
        <f t="shared" si="333"/>
        <v>60</v>
      </c>
      <c r="W949" s="316">
        <f t="shared" si="334"/>
        <v>0</v>
      </c>
      <c r="X949" s="185"/>
      <c r="Y949" s="185"/>
      <c r="Z949" s="185"/>
      <c r="AA949" s="206"/>
      <c r="AB949" s="283"/>
    </row>
    <row r="950" spans="1:28" x14ac:dyDescent="0.25">
      <c r="A950" s="204" t="s">
        <v>16594</v>
      </c>
      <c r="B950" s="351" t="s">
        <v>20679</v>
      </c>
      <c r="C950" s="352"/>
      <c r="D950" s="353" t="s">
        <v>14859</v>
      </c>
      <c r="E950" s="249">
        <f t="shared" si="323"/>
        <v>0</v>
      </c>
      <c r="F950" s="336">
        <v>0</v>
      </c>
      <c r="G950" s="258">
        <f t="shared" si="324"/>
        <v>0</v>
      </c>
      <c r="H950" s="249">
        <f t="shared" si="325"/>
        <v>10.972023608567255</v>
      </c>
      <c r="I950" s="336">
        <v>1.1782349314643516E-3</v>
      </c>
      <c r="J950" s="258">
        <f t="shared" si="326"/>
        <v>1.1782349314643516E-3</v>
      </c>
      <c r="K950" s="249">
        <f t="shared" si="327"/>
        <v>9282.3504132237103</v>
      </c>
      <c r="L950" s="336">
        <v>0.99678873224561693</v>
      </c>
      <c r="M950" s="258">
        <f t="shared" si="328"/>
        <v>0.99678873224561693</v>
      </c>
      <c r="N950" s="251">
        <f t="shared" si="329"/>
        <v>18.932119167723894</v>
      </c>
      <c r="O950" s="336">
        <v>2.0330328229188812E-3</v>
      </c>
      <c r="P950" s="258">
        <f t="shared" si="330"/>
        <v>2.0330328229188812E-3</v>
      </c>
      <c r="Q950" s="354">
        <v>9089.8679999999986</v>
      </c>
      <c r="R950" s="249">
        <f t="shared" si="331"/>
        <v>9312.2545559999999</v>
      </c>
      <c r="S950" s="355">
        <v>0.1</v>
      </c>
      <c r="T950" s="355"/>
      <c r="U950" s="315">
        <f t="shared" si="332"/>
        <v>10243.480011600001</v>
      </c>
      <c r="V950" s="315">
        <f t="shared" si="333"/>
        <v>10250</v>
      </c>
      <c r="W950" s="316">
        <f t="shared" si="334"/>
        <v>0</v>
      </c>
    </row>
    <row r="951" spans="1:28" s="284" customFormat="1" ht="14.4" x14ac:dyDescent="0.3">
      <c r="A951" s="204" t="s">
        <v>16595</v>
      </c>
      <c r="B951" s="351" t="s">
        <v>20680</v>
      </c>
      <c r="C951" s="352"/>
      <c r="D951" s="353" t="s">
        <v>5</v>
      </c>
      <c r="E951" s="249">
        <f t="shared" si="323"/>
        <v>0</v>
      </c>
      <c r="F951" s="336">
        <v>0</v>
      </c>
      <c r="G951" s="258">
        <f t="shared" si="324"/>
        <v>0</v>
      </c>
      <c r="H951" s="249">
        <f t="shared" si="325"/>
        <v>6.3791253468926251E-2</v>
      </c>
      <c r="I951" s="336">
        <v>9.1995312619785581E-4</v>
      </c>
      <c r="J951" s="258">
        <f t="shared" si="326"/>
        <v>9.1995312619785581E-4</v>
      </c>
      <c r="K951" s="249">
        <f t="shared" si="327"/>
        <v>69.167929942153705</v>
      </c>
      <c r="L951" s="336">
        <v>0.99749181780719176</v>
      </c>
      <c r="M951" s="258">
        <f t="shared" si="328"/>
        <v>0.99749181780719176</v>
      </c>
      <c r="N951" s="251">
        <f t="shared" si="329"/>
        <v>0.11007118245618648</v>
      </c>
      <c r="O951" s="336">
        <v>1.587370100106104E-3</v>
      </c>
      <c r="P951" s="258">
        <f t="shared" si="330"/>
        <v>1.587370100106104E-3</v>
      </c>
      <c r="Q951" s="354">
        <v>67.685450581395344</v>
      </c>
      <c r="R951" s="249">
        <f t="shared" si="331"/>
        <v>69.341851940406983</v>
      </c>
      <c r="S951" s="355">
        <v>0.1</v>
      </c>
      <c r="T951" s="355"/>
      <c r="U951" s="315">
        <f t="shared" si="332"/>
        <v>76.276037134447677</v>
      </c>
      <c r="V951" s="315">
        <f t="shared" si="333"/>
        <v>77</v>
      </c>
      <c r="W951" s="316">
        <f t="shared" si="334"/>
        <v>0</v>
      </c>
      <c r="X951" s="185"/>
      <c r="Y951" s="185"/>
      <c r="Z951" s="185"/>
      <c r="AA951" s="206"/>
      <c r="AB951" s="283"/>
    </row>
    <row r="952" spans="1:28" s="284" customFormat="1" ht="14.4" x14ac:dyDescent="0.3">
      <c r="A952" s="204" t="s">
        <v>16596</v>
      </c>
      <c r="B952" s="351" t="s">
        <v>20681</v>
      </c>
      <c r="C952" s="352"/>
      <c r="D952" s="353" t="s">
        <v>14859</v>
      </c>
      <c r="E952" s="249">
        <f t="shared" si="323"/>
        <v>0</v>
      </c>
      <c r="F952" s="336">
        <v>0</v>
      </c>
      <c r="G952" s="258">
        <f t="shared" si="324"/>
        <v>0</v>
      </c>
      <c r="H952" s="249">
        <f t="shared" si="325"/>
        <v>10.972105021575093</v>
      </c>
      <c r="I952" s="336">
        <v>9.1995312619785581E-4</v>
      </c>
      <c r="J952" s="258">
        <f t="shared" si="326"/>
        <v>9.1995312619785581E-4</v>
      </c>
      <c r="K952" s="249">
        <f t="shared" si="327"/>
        <v>11896.904414083354</v>
      </c>
      <c r="L952" s="336">
        <v>0.99749267677369613</v>
      </c>
      <c r="M952" s="258">
        <f t="shared" si="328"/>
        <v>0.99749267677369613</v>
      </c>
      <c r="N952" s="251">
        <f t="shared" si="329"/>
        <v>18.932259645070747</v>
      </c>
      <c r="O952" s="336">
        <v>1.587370100106104E-3</v>
      </c>
      <c r="P952" s="258">
        <f t="shared" si="330"/>
        <v>1.587370100106104E-3</v>
      </c>
      <c r="Q952" s="354">
        <v>11641.897499999999</v>
      </c>
      <c r="R952" s="249">
        <f t="shared" si="331"/>
        <v>11926.808778749999</v>
      </c>
      <c r="S952" s="355">
        <v>0.1</v>
      </c>
      <c r="T952" s="355"/>
      <c r="U952" s="315">
        <f t="shared" si="332"/>
        <v>13119.489656624999</v>
      </c>
      <c r="V952" s="315">
        <f t="shared" si="333"/>
        <v>13250</v>
      </c>
      <c r="W952" s="316">
        <f t="shared" si="334"/>
        <v>0</v>
      </c>
      <c r="X952" s="185"/>
      <c r="Y952" s="185"/>
      <c r="Z952" s="185"/>
      <c r="AA952" s="206"/>
      <c r="AB952" s="283"/>
    </row>
    <row r="953" spans="1:28" x14ac:dyDescent="0.25">
      <c r="A953" s="203" t="s">
        <v>16597</v>
      </c>
      <c r="B953" s="345" t="s">
        <v>16598</v>
      </c>
      <c r="C953" s="346"/>
      <c r="D953" s="347"/>
      <c r="E953" s="347"/>
      <c r="F953" s="347"/>
      <c r="G953" s="347"/>
      <c r="H953" s="347"/>
      <c r="I953" s="347"/>
      <c r="J953" s="347"/>
      <c r="K953" s="347"/>
      <c r="L953" s="347"/>
      <c r="M953" s="347"/>
      <c r="N953" s="347"/>
      <c r="O953" s="347"/>
      <c r="P953" s="347"/>
      <c r="Q953" s="347"/>
      <c r="R953" s="347"/>
      <c r="S953" s="347"/>
      <c r="T953" s="348"/>
      <c r="U953" s="349"/>
      <c r="V953" s="349"/>
      <c r="W953" s="350"/>
    </row>
    <row r="954" spans="1:28" s="284" customFormat="1" ht="14.4" x14ac:dyDescent="0.3">
      <c r="A954" s="204" t="s">
        <v>16599</v>
      </c>
      <c r="B954" s="351" t="s">
        <v>20682</v>
      </c>
      <c r="C954" s="352"/>
      <c r="D954" s="353" t="s">
        <v>14859</v>
      </c>
      <c r="E954" s="249">
        <f t="shared" si="323"/>
        <v>0</v>
      </c>
      <c r="F954" s="336">
        <v>0</v>
      </c>
      <c r="G954" s="258">
        <f t="shared" si="324"/>
        <v>0</v>
      </c>
      <c r="H954" s="249">
        <f t="shared" si="325"/>
        <v>10.943360627297942</v>
      </c>
      <c r="I954" s="336">
        <v>9.2111204283041995E-2</v>
      </c>
      <c r="J954" s="258">
        <f t="shared" si="326"/>
        <v>9.2111204283041995E-2</v>
      </c>
      <c r="K954" s="249">
        <f t="shared" si="327"/>
        <v>88.979944148148746</v>
      </c>
      <c r="L954" s="336">
        <v>0.7489518157775914</v>
      </c>
      <c r="M954" s="258">
        <f t="shared" si="328"/>
        <v>0.7489518157775914</v>
      </c>
      <c r="N954" s="251">
        <f t="shared" si="329"/>
        <v>18.882661474553309</v>
      </c>
      <c r="O954" s="336">
        <v>0.15893697993936656</v>
      </c>
      <c r="P954" s="258">
        <f t="shared" si="330"/>
        <v>0.15893697993936656</v>
      </c>
      <c r="Q954" s="354">
        <v>116.27250000000001</v>
      </c>
      <c r="R954" s="249">
        <f t="shared" si="331"/>
        <v>118.80596625</v>
      </c>
      <c r="S954" s="355">
        <v>0.1</v>
      </c>
      <c r="T954" s="355"/>
      <c r="U954" s="315">
        <f t="shared" si="332"/>
        <v>130.68656287499999</v>
      </c>
      <c r="V954" s="315">
        <f t="shared" si="333"/>
        <v>135</v>
      </c>
      <c r="W954" s="316">
        <f t="shared" ref="W954:W1017" si="335">C954*V954</f>
        <v>0</v>
      </c>
      <c r="X954" s="185"/>
      <c r="Y954" s="185"/>
      <c r="Z954" s="185"/>
      <c r="AA954" s="206"/>
      <c r="AB954" s="283"/>
    </row>
    <row r="955" spans="1:28" s="284" customFormat="1" ht="14.4" x14ac:dyDescent="0.3">
      <c r="A955" s="204" t="s">
        <v>16600</v>
      </c>
      <c r="B955" s="351" t="s">
        <v>20683</v>
      </c>
      <c r="C955" s="352"/>
      <c r="D955" s="353" t="s">
        <v>5</v>
      </c>
      <c r="E955" s="249">
        <f t="shared" si="323"/>
        <v>0</v>
      </c>
      <c r="F955" s="336">
        <v>0</v>
      </c>
      <c r="G955" s="258">
        <f t="shared" si="324"/>
        <v>0</v>
      </c>
      <c r="H955" s="249">
        <f t="shared" si="325"/>
        <v>6.3618703186105033E-2</v>
      </c>
      <c r="I955" s="336">
        <v>9.2111204283041995E-2</v>
      </c>
      <c r="J955" s="258">
        <f t="shared" si="326"/>
        <v>9.2111204283041995E-2</v>
      </c>
      <c r="K955" s="249">
        <f t="shared" si="327"/>
        <v>0.51722124492736976</v>
      </c>
      <c r="L955" s="336">
        <v>0.74886581091831694</v>
      </c>
      <c r="M955" s="258">
        <f t="shared" si="328"/>
        <v>0.74886581091831694</v>
      </c>
      <c r="N955" s="251">
        <f t="shared" si="329"/>
        <v>0.10977344863484788</v>
      </c>
      <c r="O955" s="336">
        <v>0.15893697993936656</v>
      </c>
      <c r="P955" s="258">
        <f t="shared" si="330"/>
        <v>0.15893697993936656</v>
      </c>
      <c r="Q955" s="354">
        <v>0.67600290697674426</v>
      </c>
      <c r="R955" s="249">
        <f t="shared" si="331"/>
        <v>0.69067279796511638</v>
      </c>
      <c r="S955" s="355">
        <v>0.1</v>
      </c>
      <c r="T955" s="355"/>
      <c r="U955" s="315">
        <f t="shared" si="332"/>
        <v>0.759740077761628</v>
      </c>
      <c r="V955" s="315">
        <f t="shared" si="333"/>
        <v>1</v>
      </c>
      <c r="W955" s="316">
        <f t="shared" si="335"/>
        <v>0</v>
      </c>
      <c r="X955" s="185"/>
      <c r="Y955" s="185"/>
      <c r="Z955" s="185"/>
      <c r="AA955" s="206"/>
      <c r="AB955" s="283"/>
    </row>
    <row r="956" spans="1:28" s="284" customFormat="1" ht="14.4" x14ac:dyDescent="0.3">
      <c r="A956" s="204" t="s">
        <v>16601</v>
      </c>
      <c r="B956" s="351" t="s">
        <v>20684</v>
      </c>
      <c r="C956" s="352"/>
      <c r="D956" s="353" t="s">
        <v>14859</v>
      </c>
      <c r="E956" s="249">
        <f t="shared" si="323"/>
        <v>0</v>
      </c>
      <c r="F956" s="336">
        <v>0</v>
      </c>
      <c r="G956" s="258">
        <f t="shared" si="324"/>
        <v>0</v>
      </c>
      <c r="H956" s="249">
        <f t="shared" si="325"/>
        <v>10.943360627297942</v>
      </c>
      <c r="I956" s="336">
        <v>9.2111204283041995E-2</v>
      </c>
      <c r="J956" s="258">
        <f t="shared" si="326"/>
        <v>9.2111204283041995E-2</v>
      </c>
      <c r="K956" s="249">
        <f t="shared" si="327"/>
        <v>88.979944148148746</v>
      </c>
      <c r="L956" s="336">
        <v>0.7489518157775914</v>
      </c>
      <c r="M956" s="258">
        <f t="shared" si="328"/>
        <v>0.7489518157775914</v>
      </c>
      <c r="N956" s="251">
        <f t="shared" si="329"/>
        <v>18.882661474553309</v>
      </c>
      <c r="O956" s="336">
        <v>0.15893697993936656</v>
      </c>
      <c r="P956" s="258">
        <f t="shared" si="330"/>
        <v>0.15893697993936656</v>
      </c>
      <c r="Q956" s="354">
        <v>116.27250000000001</v>
      </c>
      <c r="R956" s="249">
        <f t="shared" si="331"/>
        <v>118.80596625</v>
      </c>
      <c r="S956" s="355">
        <v>0.1</v>
      </c>
      <c r="T956" s="355"/>
      <c r="U956" s="315">
        <f t="shared" si="332"/>
        <v>130.68656287499999</v>
      </c>
      <c r="V956" s="315">
        <f t="shared" si="333"/>
        <v>135</v>
      </c>
      <c r="W956" s="316">
        <f t="shared" si="335"/>
        <v>0</v>
      </c>
      <c r="X956" s="185"/>
      <c r="Y956" s="185"/>
      <c r="Z956" s="185"/>
      <c r="AA956" s="206"/>
      <c r="AB956" s="283"/>
    </row>
    <row r="957" spans="1:28" s="284" customFormat="1" ht="14.4" x14ac:dyDescent="0.3">
      <c r="A957" s="204" t="s">
        <v>16602</v>
      </c>
      <c r="B957" s="351" t="s">
        <v>20685</v>
      </c>
      <c r="C957" s="352"/>
      <c r="D957" s="353" t="s">
        <v>5</v>
      </c>
      <c r="E957" s="249">
        <f t="shared" si="323"/>
        <v>0</v>
      </c>
      <c r="F957" s="336">
        <v>0</v>
      </c>
      <c r="G957" s="258">
        <f t="shared" si="324"/>
        <v>0</v>
      </c>
      <c r="H957" s="249">
        <f t="shared" si="325"/>
        <v>6.3618703186105033E-2</v>
      </c>
      <c r="I957" s="336">
        <v>9.2111204283041995E-2</v>
      </c>
      <c r="J957" s="258">
        <f t="shared" si="326"/>
        <v>9.2111204283041995E-2</v>
      </c>
      <c r="K957" s="249">
        <f t="shared" si="327"/>
        <v>0.51722124492736976</v>
      </c>
      <c r="L957" s="336">
        <v>0.74886581091831694</v>
      </c>
      <c r="M957" s="258">
        <f t="shared" si="328"/>
        <v>0.74886581091831694</v>
      </c>
      <c r="N957" s="251">
        <f t="shared" si="329"/>
        <v>0.10977344863484788</v>
      </c>
      <c r="O957" s="336">
        <v>0.15893697993936656</v>
      </c>
      <c r="P957" s="258">
        <f t="shared" si="330"/>
        <v>0.15893697993936656</v>
      </c>
      <c r="Q957" s="354">
        <v>0.67600290697674426</v>
      </c>
      <c r="R957" s="249">
        <f t="shared" si="331"/>
        <v>0.69067279796511638</v>
      </c>
      <c r="S957" s="355">
        <v>0.1</v>
      </c>
      <c r="T957" s="355"/>
      <c r="U957" s="315">
        <f t="shared" si="332"/>
        <v>0.759740077761628</v>
      </c>
      <c r="V957" s="315">
        <f t="shared" si="333"/>
        <v>1</v>
      </c>
      <c r="W957" s="316">
        <f t="shared" si="335"/>
        <v>0</v>
      </c>
      <c r="X957" s="185"/>
      <c r="Y957" s="185"/>
      <c r="Z957" s="185"/>
      <c r="AA957" s="206"/>
      <c r="AB957" s="283"/>
    </row>
    <row r="958" spans="1:28" s="284" customFormat="1" ht="14.4" x14ac:dyDescent="0.3">
      <c r="A958" s="204" t="s">
        <v>16603</v>
      </c>
      <c r="B958" s="351" t="s">
        <v>20686</v>
      </c>
      <c r="C958" s="352"/>
      <c r="D958" s="353" t="s">
        <v>14859</v>
      </c>
      <c r="E958" s="249">
        <f t="shared" si="323"/>
        <v>0</v>
      </c>
      <c r="F958" s="336">
        <v>0</v>
      </c>
      <c r="G958" s="258">
        <f t="shared" si="324"/>
        <v>0</v>
      </c>
      <c r="H958" s="249">
        <f t="shared" si="325"/>
        <v>10.950352558543825</v>
      </c>
      <c r="I958" s="336">
        <v>6.9929385032761041E-2</v>
      </c>
      <c r="J958" s="258">
        <f t="shared" si="326"/>
        <v>6.9929385032761041E-2</v>
      </c>
      <c r="K958" s="249">
        <f t="shared" si="327"/>
        <v>126.74649670808644</v>
      </c>
      <c r="L958" s="336">
        <v>0.80940814667541594</v>
      </c>
      <c r="M958" s="258">
        <f t="shared" si="328"/>
        <v>0.80940814667541594</v>
      </c>
      <c r="N958" s="251">
        <f t="shared" si="329"/>
        <v>18.894725983369732</v>
      </c>
      <c r="O958" s="336">
        <v>0.12066246829182295</v>
      </c>
      <c r="P958" s="258">
        <f t="shared" si="330"/>
        <v>0.12066246829182295</v>
      </c>
      <c r="Q958" s="354">
        <v>153.15450000000001</v>
      </c>
      <c r="R958" s="249">
        <f t="shared" si="331"/>
        <v>156.59157525000001</v>
      </c>
      <c r="S958" s="355">
        <v>0.1</v>
      </c>
      <c r="T958" s="355"/>
      <c r="U958" s="315">
        <f t="shared" si="332"/>
        <v>172.25073277500002</v>
      </c>
      <c r="V958" s="315">
        <f t="shared" si="333"/>
        <v>175</v>
      </c>
      <c r="W958" s="316">
        <f t="shared" si="335"/>
        <v>0</v>
      </c>
      <c r="X958" s="185"/>
      <c r="Y958" s="185"/>
      <c r="Z958" s="185"/>
      <c r="AA958" s="206"/>
      <c r="AB958" s="283"/>
    </row>
    <row r="959" spans="1:28" s="284" customFormat="1" ht="14.4" x14ac:dyDescent="0.3">
      <c r="A959" s="204" t="s">
        <v>16604</v>
      </c>
      <c r="B959" s="351" t="s">
        <v>20687</v>
      </c>
      <c r="C959" s="352"/>
      <c r="D959" s="353" t="s">
        <v>5</v>
      </c>
      <c r="E959" s="249">
        <f t="shared" si="323"/>
        <v>0</v>
      </c>
      <c r="F959" s="336">
        <v>0</v>
      </c>
      <c r="G959" s="258">
        <f t="shared" si="324"/>
        <v>0</v>
      </c>
      <c r="H959" s="249">
        <f t="shared" si="325"/>
        <v>6.3660675186012594E-2</v>
      </c>
      <c r="I959" s="336">
        <v>6.9929385032761041E-2</v>
      </c>
      <c r="J959" s="258">
        <f t="shared" si="326"/>
        <v>6.9929385032761041E-2</v>
      </c>
      <c r="K959" s="249">
        <f t="shared" si="327"/>
        <v>0.73679058471938363</v>
      </c>
      <c r="L959" s="336">
        <v>0.80934285313196819</v>
      </c>
      <c r="M959" s="258">
        <f t="shared" si="328"/>
        <v>0.80934285313196819</v>
      </c>
      <c r="N959" s="251">
        <f t="shared" si="329"/>
        <v>0.10984587090919817</v>
      </c>
      <c r="O959" s="336">
        <v>0.12066246829182295</v>
      </c>
      <c r="P959" s="258">
        <f t="shared" si="330"/>
        <v>0.12066246829182295</v>
      </c>
      <c r="Q959" s="354">
        <v>0.89043313953488379</v>
      </c>
      <c r="R959" s="249">
        <f t="shared" si="331"/>
        <v>0.91035657122093039</v>
      </c>
      <c r="S959" s="355">
        <v>0.1</v>
      </c>
      <c r="T959" s="355"/>
      <c r="U959" s="315">
        <f t="shared" si="332"/>
        <v>1.0013922283430234</v>
      </c>
      <c r="V959" s="315">
        <f t="shared" si="333"/>
        <v>2</v>
      </c>
      <c r="W959" s="316">
        <f t="shared" si="335"/>
        <v>0</v>
      </c>
      <c r="X959" s="185"/>
      <c r="Y959" s="185"/>
      <c r="Z959" s="185"/>
      <c r="AA959" s="206"/>
      <c r="AB959" s="283"/>
    </row>
    <row r="960" spans="1:28" s="284" customFormat="1" ht="14.4" x14ac:dyDescent="0.3">
      <c r="A960" s="204" t="s">
        <v>16605</v>
      </c>
      <c r="B960" s="351" t="s">
        <v>20688</v>
      </c>
      <c r="C960" s="352"/>
      <c r="D960" s="353" t="s">
        <v>14859</v>
      </c>
      <c r="E960" s="249">
        <f t="shared" si="323"/>
        <v>0</v>
      </c>
      <c r="F960" s="336">
        <v>0</v>
      </c>
      <c r="G960" s="258">
        <f t="shared" si="324"/>
        <v>0</v>
      </c>
      <c r="H960" s="249">
        <f t="shared" si="325"/>
        <v>10.954725778651845</v>
      </c>
      <c r="I960" s="336">
        <v>5.6055395920674558E-2</v>
      </c>
      <c r="J960" s="258">
        <f t="shared" si="326"/>
        <v>5.6055395920674558E-2</v>
      </c>
      <c r="K960" s="249">
        <f t="shared" si="327"/>
        <v>165.5697867895567</v>
      </c>
      <c r="L960" s="336">
        <v>0.84722156798090664</v>
      </c>
      <c r="M960" s="258">
        <f t="shared" si="328"/>
        <v>0.84722156798090664</v>
      </c>
      <c r="N960" s="251">
        <f t="shared" si="329"/>
        <v>18.902271931791418</v>
      </c>
      <c r="O960" s="336">
        <v>9.6723036098418841E-2</v>
      </c>
      <c r="P960" s="258">
        <f t="shared" si="330"/>
        <v>9.6723036098418841E-2</v>
      </c>
      <c r="Q960" s="354">
        <v>191.06099999999998</v>
      </c>
      <c r="R960" s="249">
        <f t="shared" si="331"/>
        <v>195.42678449999997</v>
      </c>
      <c r="S960" s="355">
        <v>0.1</v>
      </c>
      <c r="T960" s="355"/>
      <c r="U960" s="315">
        <f t="shared" si="332"/>
        <v>214.96946294999998</v>
      </c>
      <c r="V960" s="315">
        <f t="shared" si="333"/>
        <v>215</v>
      </c>
      <c r="W960" s="316">
        <f t="shared" si="335"/>
        <v>0</v>
      </c>
      <c r="X960" s="185"/>
      <c r="Y960" s="185"/>
      <c r="Z960" s="185"/>
      <c r="AA960" s="206"/>
      <c r="AB960" s="283"/>
    </row>
    <row r="961" spans="1:28" s="284" customFormat="1" ht="14.4" x14ac:dyDescent="0.3">
      <c r="A961" s="204" t="s">
        <v>16606</v>
      </c>
      <c r="B961" s="351" t="s">
        <v>20689</v>
      </c>
      <c r="C961" s="352"/>
      <c r="D961" s="353" t="s">
        <v>5</v>
      </c>
      <c r="E961" s="249">
        <f t="shared" si="323"/>
        <v>0</v>
      </c>
      <c r="F961" s="336">
        <v>0</v>
      </c>
      <c r="G961" s="258">
        <f t="shared" si="324"/>
        <v>0</v>
      </c>
      <c r="H961" s="249">
        <f t="shared" si="325"/>
        <v>6.3686927273957222E-2</v>
      </c>
      <c r="I961" s="336">
        <v>5.6055395920674565E-2</v>
      </c>
      <c r="J961" s="258">
        <f t="shared" si="326"/>
        <v>5.6055395920674565E-2</v>
      </c>
      <c r="K961" s="249">
        <f t="shared" si="327"/>
        <v>0.96250511069000821</v>
      </c>
      <c r="L961" s="336">
        <v>0.84716922867565869</v>
      </c>
      <c r="M961" s="258">
        <f t="shared" si="328"/>
        <v>0.84716922867565869</v>
      </c>
      <c r="N961" s="251">
        <f t="shared" si="329"/>
        <v>0.10989116862957322</v>
      </c>
      <c r="O961" s="336">
        <v>9.6723036098418841E-2</v>
      </c>
      <c r="P961" s="258">
        <f t="shared" si="330"/>
        <v>9.6723036098418841E-2</v>
      </c>
      <c r="Q961" s="354">
        <v>1.1108197674418603</v>
      </c>
      <c r="R961" s="249">
        <f t="shared" si="331"/>
        <v>1.1361426715116281</v>
      </c>
      <c r="S961" s="355">
        <v>0.1</v>
      </c>
      <c r="T961" s="355"/>
      <c r="U961" s="315">
        <f t="shared" si="332"/>
        <v>1.2497569386627909</v>
      </c>
      <c r="V961" s="315">
        <f t="shared" si="333"/>
        <v>2</v>
      </c>
      <c r="W961" s="316">
        <f t="shared" si="335"/>
        <v>0</v>
      </c>
      <c r="X961" s="185"/>
      <c r="Y961" s="185"/>
      <c r="Z961" s="185"/>
      <c r="AA961" s="206"/>
      <c r="AB961" s="283"/>
    </row>
    <row r="962" spans="1:28" s="284" customFormat="1" ht="14.4" x14ac:dyDescent="0.3">
      <c r="A962" s="204" t="s">
        <v>16607</v>
      </c>
      <c r="B962" s="351" t="s">
        <v>20690</v>
      </c>
      <c r="C962" s="352"/>
      <c r="D962" s="353" t="s">
        <v>14859</v>
      </c>
      <c r="E962" s="249">
        <f t="shared" si="323"/>
        <v>0</v>
      </c>
      <c r="F962" s="336">
        <v>0</v>
      </c>
      <c r="G962" s="258">
        <f t="shared" si="324"/>
        <v>0</v>
      </c>
      <c r="H962" s="249">
        <f t="shared" si="325"/>
        <v>10.957032337028492</v>
      </c>
      <c r="I962" s="336">
        <v>4.8737866728556026E-2</v>
      </c>
      <c r="J962" s="258">
        <f t="shared" si="326"/>
        <v>4.8737866728556026E-2</v>
      </c>
      <c r="K962" s="249">
        <f t="shared" si="327"/>
        <v>194.95230728731448</v>
      </c>
      <c r="L962" s="336">
        <v>0.86716542205354341</v>
      </c>
      <c r="M962" s="258">
        <f t="shared" si="328"/>
        <v>0.86716542205354341</v>
      </c>
      <c r="N962" s="251">
        <f t="shared" si="329"/>
        <v>18.906251875657006</v>
      </c>
      <c r="O962" s="336">
        <v>8.4096711217900591E-2</v>
      </c>
      <c r="P962" s="258">
        <f t="shared" si="330"/>
        <v>8.4096711217900591E-2</v>
      </c>
      <c r="Q962" s="354">
        <v>219.74699999999999</v>
      </c>
      <c r="R962" s="249">
        <f t="shared" si="331"/>
        <v>224.81559149999998</v>
      </c>
      <c r="S962" s="355">
        <v>0.1</v>
      </c>
      <c r="T962" s="355"/>
      <c r="U962" s="315">
        <f t="shared" si="332"/>
        <v>247.29715064999999</v>
      </c>
      <c r="V962" s="315">
        <f t="shared" si="333"/>
        <v>250</v>
      </c>
      <c r="W962" s="316">
        <f t="shared" si="335"/>
        <v>0</v>
      </c>
      <c r="X962" s="185"/>
      <c r="Y962" s="185"/>
      <c r="Z962" s="185"/>
      <c r="AA962" s="206"/>
      <c r="AB962" s="283"/>
    </row>
    <row r="963" spans="1:28" s="284" customFormat="1" ht="14.4" x14ac:dyDescent="0.3">
      <c r="A963" s="204" t="s">
        <v>16608</v>
      </c>
      <c r="B963" s="351" t="s">
        <v>20691</v>
      </c>
      <c r="C963" s="352"/>
      <c r="D963" s="353" t="s">
        <v>5</v>
      </c>
      <c r="E963" s="249">
        <f t="shared" ref="E963:E1026" si="336">R963*G963</f>
        <v>0</v>
      </c>
      <c r="F963" s="336">
        <v>0</v>
      </c>
      <c r="G963" s="258">
        <f t="shared" ref="G963:G1026" si="337">F963</f>
        <v>0</v>
      </c>
      <c r="H963" s="249">
        <f t="shared" ref="H963:H1026" si="338">R963*J963</f>
        <v>6.370077335804572E-2</v>
      </c>
      <c r="I963" s="336">
        <v>4.8737866728556026E-2</v>
      </c>
      <c r="J963" s="258">
        <f t="shared" ref="J963:J1026" si="339">I963</f>
        <v>4.8737866728556026E-2</v>
      </c>
      <c r="K963" s="249">
        <f t="shared" ref="K963:K1026" si="340">R963*M963</f>
        <v>1.1333325173721325</v>
      </c>
      <c r="L963" s="336">
        <v>0.86711991517517895</v>
      </c>
      <c r="M963" s="258">
        <f t="shared" ref="M963:M1026" si="341">L963</f>
        <v>0.86711991517517895</v>
      </c>
      <c r="N963" s="251">
        <f t="shared" ref="N963:N1026" si="342">P963*R963</f>
        <v>0.10991505991192202</v>
      </c>
      <c r="O963" s="336">
        <v>8.4096711217900591E-2</v>
      </c>
      <c r="P963" s="258">
        <f t="shared" ref="P963:P1026" si="343">O963</f>
        <v>8.4096711217900591E-2</v>
      </c>
      <c r="Q963" s="354">
        <v>1.2775988372093023</v>
      </c>
      <c r="R963" s="249">
        <f t="shared" ref="R963:R1026" si="344">SUM(F963*Q963*1.0235,I963*Q963*1.0175,L963*Q963*1.0245,O963*Q963*1.0115)</f>
        <v>1.3070078284883726</v>
      </c>
      <c r="S963" s="355">
        <v>0.1</v>
      </c>
      <c r="T963" s="355"/>
      <c r="U963" s="315">
        <f t="shared" si="332"/>
        <v>1.43770861133721</v>
      </c>
      <c r="V963" s="315">
        <f t="shared" si="333"/>
        <v>2</v>
      </c>
      <c r="W963" s="316">
        <f t="shared" si="335"/>
        <v>0</v>
      </c>
      <c r="X963" s="185"/>
      <c r="Y963" s="185"/>
      <c r="Z963" s="185"/>
      <c r="AA963" s="206"/>
      <c r="AB963" s="283"/>
    </row>
    <row r="964" spans="1:28" s="284" customFormat="1" ht="14.4" x14ac:dyDescent="0.3">
      <c r="A964" s="204" t="s">
        <v>16609</v>
      </c>
      <c r="B964" s="351" t="s">
        <v>20692</v>
      </c>
      <c r="C964" s="352"/>
      <c r="D964" s="353" t="s">
        <v>14859</v>
      </c>
      <c r="E964" s="249">
        <f t="shared" si="336"/>
        <v>0</v>
      </c>
      <c r="F964" s="336">
        <v>0</v>
      </c>
      <c r="G964" s="258">
        <f t="shared" si="337"/>
        <v>0</v>
      </c>
      <c r="H964" s="249">
        <f t="shared" si="338"/>
        <v>10.95717426067197</v>
      </c>
      <c r="I964" s="336">
        <v>4.828761564681059E-2</v>
      </c>
      <c r="J964" s="258">
        <f t="shared" si="339"/>
        <v>4.828761564681059E-2</v>
      </c>
      <c r="K964" s="249">
        <f t="shared" si="340"/>
        <v>197.05112097581559</v>
      </c>
      <c r="L964" s="336">
        <v>0.86839257696261429</v>
      </c>
      <c r="M964" s="258">
        <f t="shared" si="341"/>
        <v>0.86839257696261429</v>
      </c>
      <c r="N964" s="251">
        <f t="shared" si="342"/>
        <v>18.906496763512415</v>
      </c>
      <c r="O964" s="336">
        <v>8.3319807390575124E-2</v>
      </c>
      <c r="P964" s="258">
        <f t="shared" si="343"/>
        <v>8.3319807390575124E-2</v>
      </c>
      <c r="Q964" s="354">
        <v>221.79599999999999</v>
      </c>
      <c r="R964" s="249">
        <f t="shared" si="344"/>
        <v>226.91479199999998</v>
      </c>
      <c r="S964" s="355">
        <v>0.1</v>
      </c>
      <c r="T964" s="355"/>
      <c r="U964" s="315">
        <f t="shared" si="332"/>
        <v>249.60627119999998</v>
      </c>
      <c r="V964" s="315">
        <f t="shared" si="333"/>
        <v>250</v>
      </c>
      <c r="W964" s="316">
        <f t="shared" si="335"/>
        <v>0</v>
      </c>
      <c r="X964" s="185"/>
      <c r="Y964" s="185"/>
      <c r="Z964" s="185"/>
      <c r="AA964" s="206"/>
      <c r="AB964" s="283"/>
    </row>
    <row r="965" spans="1:28" ht="14.4" thickBot="1" x14ac:dyDescent="0.3">
      <c r="A965" s="356" t="s">
        <v>16610</v>
      </c>
      <c r="B965" s="357" t="s">
        <v>20693</v>
      </c>
      <c r="C965" s="358"/>
      <c r="D965" s="359" t="s">
        <v>5</v>
      </c>
      <c r="E965" s="266">
        <f t="shared" si="336"/>
        <v>0</v>
      </c>
      <c r="F965" s="360">
        <v>0</v>
      </c>
      <c r="G965" s="322">
        <f t="shared" si="337"/>
        <v>0</v>
      </c>
      <c r="H965" s="266">
        <f t="shared" si="338"/>
        <v>6.3701625314242255E-2</v>
      </c>
      <c r="I965" s="360">
        <v>4.828761564681059E-2</v>
      </c>
      <c r="J965" s="322">
        <f t="shared" si="339"/>
        <v>4.828761564681059E-2</v>
      </c>
      <c r="K965" s="266">
        <f t="shared" si="340"/>
        <v>1.1455348486481607</v>
      </c>
      <c r="L965" s="360">
        <v>0.86834749048675364</v>
      </c>
      <c r="M965" s="322">
        <f t="shared" si="341"/>
        <v>0.86834749048675364</v>
      </c>
      <c r="N965" s="270">
        <f t="shared" si="342"/>
        <v>0.10991652995398662</v>
      </c>
      <c r="O965" s="360">
        <v>8.3319807390575124E-2</v>
      </c>
      <c r="P965" s="322">
        <f t="shared" si="343"/>
        <v>8.3319807390575124E-2</v>
      </c>
      <c r="Q965" s="361">
        <v>1.2895116279069767</v>
      </c>
      <c r="R965" s="266">
        <f t="shared" si="344"/>
        <v>1.3192124825581395</v>
      </c>
      <c r="S965" s="362">
        <v>0.1</v>
      </c>
      <c r="T965" s="362"/>
      <c r="U965" s="324">
        <f t="shared" si="332"/>
        <v>1.4511337308139534</v>
      </c>
      <c r="V965" s="324">
        <f t="shared" si="333"/>
        <v>2</v>
      </c>
      <c r="W965" s="325">
        <f t="shared" si="335"/>
        <v>0</v>
      </c>
    </row>
    <row r="966" spans="1:28" x14ac:dyDescent="0.25">
      <c r="A966" s="204" t="s">
        <v>16611</v>
      </c>
      <c r="B966" s="351" t="s">
        <v>20694</v>
      </c>
      <c r="C966" s="352"/>
      <c r="D966" s="353" t="s">
        <v>14859</v>
      </c>
      <c r="E966" s="249">
        <f t="shared" si="336"/>
        <v>0</v>
      </c>
      <c r="F966" s="336">
        <v>0</v>
      </c>
      <c r="G966" s="258">
        <f t="shared" si="337"/>
        <v>0</v>
      </c>
      <c r="H966" s="249">
        <f t="shared" si="338"/>
        <v>10.957910234558526</v>
      </c>
      <c r="I966" s="336">
        <v>4.5952747189094915E-2</v>
      </c>
      <c r="J966" s="258">
        <f t="shared" si="339"/>
        <v>4.5952747189094915E-2</v>
      </c>
      <c r="K966" s="249">
        <f t="shared" si="340"/>
        <v>208.59471783620322</v>
      </c>
      <c r="L966" s="336">
        <v>0.87475623805325109</v>
      </c>
      <c r="M966" s="258">
        <f t="shared" si="341"/>
        <v>0.87475623805325109</v>
      </c>
      <c r="N966" s="251">
        <f t="shared" si="342"/>
        <v>18.90776667923824</v>
      </c>
      <c r="O966" s="336">
        <v>7.9291014757653974E-2</v>
      </c>
      <c r="P966" s="258">
        <f t="shared" si="343"/>
        <v>7.9291014757653974E-2</v>
      </c>
      <c r="Q966" s="354">
        <v>233.06549999999999</v>
      </c>
      <c r="R966" s="249">
        <f t="shared" si="344"/>
        <v>238.46039474999998</v>
      </c>
      <c r="S966" s="355">
        <v>0.1</v>
      </c>
      <c r="T966" s="355"/>
      <c r="U966" s="315">
        <f t="shared" si="332"/>
        <v>262.30643422499998</v>
      </c>
      <c r="V966" s="315">
        <f t="shared" si="333"/>
        <v>265</v>
      </c>
      <c r="W966" s="316">
        <f t="shared" si="335"/>
        <v>0</v>
      </c>
    </row>
    <row r="967" spans="1:28" x14ac:dyDescent="0.25">
      <c r="A967" s="204" t="s">
        <v>16612</v>
      </c>
      <c r="B967" s="351" t="s">
        <v>20695</v>
      </c>
      <c r="C967" s="352"/>
      <c r="D967" s="353" t="s">
        <v>5</v>
      </c>
      <c r="E967" s="249">
        <f t="shared" si="336"/>
        <v>0</v>
      </c>
      <c r="F967" s="336">
        <v>0</v>
      </c>
      <c r="G967" s="258">
        <f t="shared" si="337"/>
        <v>0</v>
      </c>
      <c r="H967" s="249">
        <f t="shared" si="338"/>
        <v>6.3706043306183596E-2</v>
      </c>
      <c r="I967" s="336">
        <v>4.5952747189094915E-2</v>
      </c>
      <c r="J967" s="258">
        <f t="shared" si="339"/>
        <v>4.5952747189094915E-2</v>
      </c>
      <c r="K967" s="249">
        <f t="shared" si="340"/>
        <v>1.2126484007130507</v>
      </c>
      <c r="L967" s="336">
        <v>0.87471333165998422</v>
      </c>
      <c r="M967" s="258">
        <f t="shared" si="341"/>
        <v>0.87471333165998422</v>
      </c>
      <c r="N967" s="251">
        <f t="shared" si="342"/>
        <v>0.10992415315576776</v>
      </c>
      <c r="O967" s="336">
        <v>7.929101475765396E-2</v>
      </c>
      <c r="P967" s="258">
        <f t="shared" si="343"/>
        <v>7.929101475765396E-2</v>
      </c>
      <c r="Q967" s="354">
        <v>1.3550319767441861</v>
      </c>
      <c r="R967" s="249">
        <f t="shared" si="344"/>
        <v>1.386338079941861</v>
      </c>
      <c r="S967" s="355">
        <v>0.1</v>
      </c>
      <c r="T967" s="355"/>
      <c r="U967" s="315">
        <f t="shared" si="332"/>
        <v>1.524971887936047</v>
      </c>
      <c r="V967" s="315">
        <f t="shared" si="333"/>
        <v>2</v>
      </c>
      <c r="W967" s="316">
        <f t="shared" si="335"/>
        <v>0</v>
      </c>
    </row>
    <row r="968" spans="1:28" x14ac:dyDescent="0.25">
      <c r="A968" s="204" t="s">
        <v>16613</v>
      </c>
      <c r="B968" s="351" t="s">
        <v>20696</v>
      </c>
      <c r="C968" s="352"/>
      <c r="D968" s="353" t="s">
        <v>14859</v>
      </c>
      <c r="E968" s="249">
        <f t="shared" si="336"/>
        <v>0</v>
      </c>
      <c r="F968" s="336">
        <v>0</v>
      </c>
      <c r="G968" s="258">
        <f t="shared" si="337"/>
        <v>0</v>
      </c>
      <c r="H968" s="249">
        <f t="shared" si="338"/>
        <v>10.957910234558526</v>
      </c>
      <c r="I968" s="336">
        <v>4.5952747189094915E-2</v>
      </c>
      <c r="J968" s="258">
        <f t="shared" si="339"/>
        <v>4.5952747189094915E-2</v>
      </c>
      <c r="K968" s="249">
        <f t="shared" si="340"/>
        <v>208.59471783620322</v>
      </c>
      <c r="L968" s="336">
        <v>0.87475623805325109</v>
      </c>
      <c r="M968" s="258">
        <f t="shared" si="341"/>
        <v>0.87475623805325109</v>
      </c>
      <c r="N968" s="251">
        <f t="shared" si="342"/>
        <v>18.90776667923824</v>
      </c>
      <c r="O968" s="336">
        <v>7.9291014757653974E-2</v>
      </c>
      <c r="P968" s="258">
        <f t="shared" si="343"/>
        <v>7.9291014757653974E-2</v>
      </c>
      <c r="Q968" s="354">
        <v>233.06549999999999</v>
      </c>
      <c r="R968" s="249">
        <f t="shared" si="344"/>
        <v>238.46039474999998</v>
      </c>
      <c r="S968" s="355">
        <v>0.1</v>
      </c>
      <c r="T968" s="355"/>
      <c r="U968" s="315">
        <f t="shared" si="332"/>
        <v>262.30643422499998</v>
      </c>
      <c r="V968" s="315">
        <f t="shared" si="333"/>
        <v>265</v>
      </c>
      <c r="W968" s="316">
        <f t="shared" si="335"/>
        <v>0</v>
      </c>
    </row>
    <row r="969" spans="1:28" x14ac:dyDescent="0.25">
      <c r="A969" s="204" t="s">
        <v>16614</v>
      </c>
      <c r="B969" s="351" t="s">
        <v>20697</v>
      </c>
      <c r="C969" s="352"/>
      <c r="D969" s="353" t="s">
        <v>5</v>
      </c>
      <c r="E969" s="249">
        <f t="shared" si="336"/>
        <v>0</v>
      </c>
      <c r="F969" s="336">
        <v>0</v>
      </c>
      <c r="G969" s="258">
        <f t="shared" si="337"/>
        <v>0</v>
      </c>
      <c r="H969" s="249">
        <f t="shared" si="338"/>
        <v>6.3706043306183596E-2</v>
      </c>
      <c r="I969" s="336">
        <v>4.5952747189094915E-2</v>
      </c>
      <c r="J969" s="258">
        <f t="shared" si="339"/>
        <v>4.5952747189094915E-2</v>
      </c>
      <c r="K969" s="249">
        <f t="shared" si="340"/>
        <v>1.2126484007130507</v>
      </c>
      <c r="L969" s="336">
        <v>0.87471333165998422</v>
      </c>
      <c r="M969" s="258">
        <f t="shared" si="341"/>
        <v>0.87471333165998422</v>
      </c>
      <c r="N969" s="251">
        <f t="shared" si="342"/>
        <v>0.10992415315576776</v>
      </c>
      <c r="O969" s="336">
        <v>7.929101475765396E-2</v>
      </c>
      <c r="P969" s="258">
        <f t="shared" si="343"/>
        <v>7.929101475765396E-2</v>
      </c>
      <c r="Q969" s="354">
        <v>1.3550319767441861</v>
      </c>
      <c r="R969" s="249">
        <f t="shared" si="344"/>
        <v>1.386338079941861</v>
      </c>
      <c r="S969" s="355">
        <v>0.1</v>
      </c>
      <c r="T969" s="355"/>
      <c r="U969" s="315">
        <f t="shared" si="332"/>
        <v>1.524971887936047</v>
      </c>
      <c r="V969" s="315">
        <f t="shared" si="333"/>
        <v>2</v>
      </c>
      <c r="W969" s="316">
        <f t="shared" si="335"/>
        <v>0</v>
      </c>
    </row>
    <row r="970" spans="1:28" x14ac:dyDescent="0.25">
      <c r="A970" s="204" t="s">
        <v>16615</v>
      </c>
      <c r="B970" s="351" t="s">
        <v>20698</v>
      </c>
      <c r="C970" s="352"/>
      <c r="D970" s="353" t="s">
        <v>14859</v>
      </c>
      <c r="E970" s="249">
        <f t="shared" si="336"/>
        <v>0</v>
      </c>
      <c r="F970" s="336">
        <v>0</v>
      </c>
      <c r="G970" s="258">
        <f t="shared" si="337"/>
        <v>0</v>
      </c>
      <c r="H970" s="249">
        <f t="shared" si="338"/>
        <v>10.957910234558526</v>
      </c>
      <c r="I970" s="336">
        <v>4.5952747189094915E-2</v>
      </c>
      <c r="J970" s="258">
        <f t="shared" si="339"/>
        <v>4.5952747189094915E-2</v>
      </c>
      <c r="K970" s="249">
        <f t="shared" si="340"/>
        <v>208.59471783620322</v>
      </c>
      <c r="L970" s="336">
        <v>0.87475623805325109</v>
      </c>
      <c r="M970" s="258">
        <f t="shared" si="341"/>
        <v>0.87475623805325109</v>
      </c>
      <c r="N970" s="251">
        <f t="shared" si="342"/>
        <v>18.90776667923824</v>
      </c>
      <c r="O970" s="336">
        <v>7.9291014757653974E-2</v>
      </c>
      <c r="P970" s="258">
        <f t="shared" si="343"/>
        <v>7.9291014757653974E-2</v>
      </c>
      <c r="Q970" s="354">
        <v>233.06549999999999</v>
      </c>
      <c r="R970" s="249">
        <f t="shared" si="344"/>
        <v>238.46039474999998</v>
      </c>
      <c r="S970" s="355">
        <v>0.1</v>
      </c>
      <c r="T970" s="355"/>
      <c r="U970" s="315">
        <f t="shared" si="332"/>
        <v>262.30643422499998</v>
      </c>
      <c r="V970" s="315">
        <f t="shared" si="333"/>
        <v>265</v>
      </c>
      <c r="W970" s="316">
        <f t="shared" si="335"/>
        <v>0</v>
      </c>
    </row>
    <row r="971" spans="1:28" x14ac:dyDescent="0.25">
      <c r="A971" s="204" t="s">
        <v>16616</v>
      </c>
      <c r="B971" s="351" t="s">
        <v>20699</v>
      </c>
      <c r="C971" s="352"/>
      <c r="D971" s="353" t="s">
        <v>5</v>
      </c>
      <c r="E971" s="249">
        <f t="shared" si="336"/>
        <v>0</v>
      </c>
      <c r="F971" s="336">
        <v>0</v>
      </c>
      <c r="G971" s="258">
        <f t="shared" si="337"/>
        <v>0</v>
      </c>
      <c r="H971" s="249">
        <f t="shared" si="338"/>
        <v>6.3706043306183596E-2</v>
      </c>
      <c r="I971" s="336">
        <v>4.5952747189094915E-2</v>
      </c>
      <c r="J971" s="258">
        <f t="shared" si="339"/>
        <v>4.5952747189094915E-2</v>
      </c>
      <c r="K971" s="249">
        <f t="shared" si="340"/>
        <v>1.2126484007130507</v>
      </c>
      <c r="L971" s="336">
        <v>0.87471333165998422</v>
      </c>
      <c r="M971" s="258">
        <f t="shared" si="341"/>
        <v>0.87471333165998422</v>
      </c>
      <c r="N971" s="251">
        <f t="shared" si="342"/>
        <v>0.10992415315576776</v>
      </c>
      <c r="O971" s="336">
        <v>7.929101475765396E-2</v>
      </c>
      <c r="P971" s="258">
        <f t="shared" si="343"/>
        <v>7.929101475765396E-2</v>
      </c>
      <c r="Q971" s="354">
        <v>1.3550319767441861</v>
      </c>
      <c r="R971" s="249">
        <f t="shared" si="344"/>
        <v>1.386338079941861</v>
      </c>
      <c r="S971" s="355">
        <v>0.1</v>
      </c>
      <c r="T971" s="355"/>
      <c r="U971" s="315">
        <f t="shared" si="332"/>
        <v>1.524971887936047</v>
      </c>
      <c r="V971" s="315">
        <f t="shared" si="333"/>
        <v>2</v>
      </c>
      <c r="W971" s="316">
        <f t="shared" si="335"/>
        <v>0</v>
      </c>
    </row>
    <row r="972" spans="1:28" x14ac:dyDescent="0.25">
      <c r="A972" s="204" t="s">
        <v>16617</v>
      </c>
      <c r="B972" s="351" t="s">
        <v>20700</v>
      </c>
      <c r="C972" s="352"/>
      <c r="D972" s="353" t="s">
        <v>14859</v>
      </c>
      <c r="E972" s="249">
        <f t="shared" si="336"/>
        <v>0</v>
      </c>
      <c r="F972" s="336">
        <v>0</v>
      </c>
      <c r="G972" s="258">
        <f t="shared" si="337"/>
        <v>0</v>
      </c>
      <c r="H972" s="249">
        <f t="shared" si="338"/>
        <v>10.961850192286068</v>
      </c>
      <c r="I972" s="336">
        <v>3.3453277858990223E-2</v>
      </c>
      <c r="J972" s="258">
        <f t="shared" si="339"/>
        <v>3.3453277858990223E-2</v>
      </c>
      <c r="K972" s="249">
        <f t="shared" si="340"/>
        <v>297.80000077004382</v>
      </c>
      <c r="L972" s="336">
        <v>0.90882341916863452</v>
      </c>
      <c r="M972" s="258">
        <f t="shared" si="341"/>
        <v>0.90882341916863452</v>
      </c>
      <c r="N972" s="251">
        <f t="shared" si="342"/>
        <v>18.914565037670076</v>
      </c>
      <c r="O972" s="336">
        <v>5.7723302972375282E-2</v>
      </c>
      <c r="P972" s="258">
        <f t="shared" si="343"/>
        <v>5.7723302972375282E-2</v>
      </c>
      <c r="Q972" s="354">
        <v>320.14799999999997</v>
      </c>
      <c r="R972" s="249">
        <f t="shared" si="344"/>
        <v>327.67641599999996</v>
      </c>
      <c r="S972" s="355">
        <v>0.1</v>
      </c>
      <c r="T972" s="355"/>
      <c r="U972" s="315">
        <f t="shared" si="332"/>
        <v>360.44405759999995</v>
      </c>
      <c r="V972" s="315">
        <f t="shared" si="333"/>
        <v>365</v>
      </c>
      <c r="W972" s="316">
        <f t="shared" si="335"/>
        <v>0</v>
      </c>
    </row>
    <row r="973" spans="1:28" x14ac:dyDescent="0.25">
      <c r="A973" s="204" t="s">
        <v>16618</v>
      </c>
      <c r="B973" s="351" t="s">
        <v>20701</v>
      </c>
      <c r="C973" s="352"/>
      <c r="D973" s="353" t="s">
        <v>5</v>
      </c>
      <c r="E973" s="249">
        <f t="shared" si="336"/>
        <v>0</v>
      </c>
      <c r="F973" s="336">
        <v>0</v>
      </c>
      <c r="G973" s="258">
        <f t="shared" si="337"/>
        <v>0</v>
      </c>
      <c r="H973" s="249">
        <f t="shared" si="338"/>
        <v>6.372969455496745E-2</v>
      </c>
      <c r="I973" s="336">
        <v>3.3453277858990223E-2</v>
      </c>
      <c r="J973" s="258">
        <f t="shared" si="339"/>
        <v>3.3453277858990223E-2</v>
      </c>
      <c r="K973" s="249">
        <f t="shared" si="340"/>
        <v>1.7312817153481479</v>
      </c>
      <c r="L973" s="336">
        <v>0.90879218361507785</v>
      </c>
      <c r="M973" s="258">
        <f t="shared" si="341"/>
        <v>0.90879218361507785</v>
      </c>
      <c r="N973" s="251">
        <f t="shared" si="342"/>
        <v>0.10996496315366931</v>
      </c>
      <c r="O973" s="336">
        <v>5.7723302972375282E-2</v>
      </c>
      <c r="P973" s="258">
        <f t="shared" si="343"/>
        <v>5.7723302972375282E-2</v>
      </c>
      <c r="Q973" s="354">
        <v>1.8613255813953486</v>
      </c>
      <c r="R973" s="249">
        <f t="shared" si="344"/>
        <v>1.9050358779069763</v>
      </c>
      <c r="S973" s="355">
        <v>0.1</v>
      </c>
      <c r="T973" s="355"/>
      <c r="U973" s="315">
        <f t="shared" si="332"/>
        <v>2.0955394656976738</v>
      </c>
      <c r="V973" s="315">
        <f t="shared" si="333"/>
        <v>3</v>
      </c>
      <c r="W973" s="316">
        <f t="shared" si="335"/>
        <v>0</v>
      </c>
    </row>
    <row r="974" spans="1:28" x14ac:dyDescent="0.25">
      <c r="A974" s="204" t="s">
        <v>16619</v>
      </c>
      <c r="B974" s="351" t="s">
        <v>20702</v>
      </c>
      <c r="C974" s="352"/>
      <c r="D974" s="353" t="s">
        <v>14859</v>
      </c>
      <c r="E974" s="249">
        <f t="shared" si="336"/>
        <v>0</v>
      </c>
      <c r="F974" s="336">
        <v>0</v>
      </c>
      <c r="G974" s="258">
        <f t="shared" si="337"/>
        <v>0</v>
      </c>
      <c r="H974" s="249">
        <f t="shared" si="338"/>
        <v>10.961850192286068</v>
      </c>
      <c r="I974" s="336">
        <v>3.3453277858990223E-2</v>
      </c>
      <c r="J974" s="258">
        <f t="shared" si="339"/>
        <v>3.3453277858990223E-2</v>
      </c>
      <c r="K974" s="249">
        <f t="shared" si="340"/>
        <v>297.80000077004382</v>
      </c>
      <c r="L974" s="336">
        <v>0.90882341916863452</v>
      </c>
      <c r="M974" s="258">
        <f t="shared" si="341"/>
        <v>0.90882341916863452</v>
      </c>
      <c r="N974" s="251">
        <f t="shared" si="342"/>
        <v>18.914565037670076</v>
      </c>
      <c r="O974" s="336">
        <v>5.7723302972375282E-2</v>
      </c>
      <c r="P974" s="258">
        <f t="shared" si="343"/>
        <v>5.7723302972375282E-2</v>
      </c>
      <c r="Q974" s="354">
        <v>320.14799999999997</v>
      </c>
      <c r="R974" s="249">
        <f t="shared" si="344"/>
        <v>327.67641599999996</v>
      </c>
      <c r="S974" s="355">
        <v>0.1</v>
      </c>
      <c r="T974" s="355"/>
      <c r="U974" s="315">
        <f t="shared" si="332"/>
        <v>360.44405759999995</v>
      </c>
      <c r="V974" s="315">
        <f t="shared" si="333"/>
        <v>365</v>
      </c>
      <c r="W974" s="316">
        <f t="shared" si="335"/>
        <v>0</v>
      </c>
    </row>
    <row r="975" spans="1:28" x14ac:dyDescent="0.25">
      <c r="A975" s="204" t="s">
        <v>16620</v>
      </c>
      <c r="B975" s="351" t="s">
        <v>20703</v>
      </c>
      <c r="C975" s="352"/>
      <c r="D975" s="353" t="s">
        <v>5</v>
      </c>
      <c r="E975" s="249">
        <f t="shared" si="336"/>
        <v>0</v>
      </c>
      <c r="F975" s="336">
        <v>0</v>
      </c>
      <c r="G975" s="258">
        <f t="shared" si="337"/>
        <v>0</v>
      </c>
      <c r="H975" s="249">
        <f t="shared" si="338"/>
        <v>6.372969455496745E-2</v>
      </c>
      <c r="I975" s="336">
        <v>3.3453277858990223E-2</v>
      </c>
      <c r="J975" s="258">
        <f t="shared" si="339"/>
        <v>3.3453277858990223E-2</v>
      </c>
      <c r="K975" s="249">
        <f t="shared" si="340"/>
        <v>1.7312817153481479</v>
      </c>
      <c r="L975" s="336">
        <v>0.90879218361507785</v>
      </c>
      <c r="M975" s="258">
        <f t="shared" si="341"/>
        <v>0.90879218361507785</v>
      </c>
      <c r="N975" s="251">
        <f t="shared" si="342"/>
        <v>0.10996496315366931</v>
      </c>
      <c r="O975" s="336">
        <v>5.7723302972375282E-2</v>
      </c>
      <c r="P975" s="258">
        <f t="shared" si="343"/>
        <v>5.7723302972375282E-2</v>
      </c>
      <c r="Q975" s="354">
        <v>1.8613255813953486</v>
      </c>
      <c r="R975" s="249">
        <f t="shared" si="344"/>
        <v>1.9050358779069763</v>
      </c>
      <c r="S975" s="355">
        <v>0.1</v>
      </c>
      <c r="T975" s="355"/>
      <c r="U975" s="315">
        <f t="shared" si="332"/>
        <v>2.0955394656976738</v>
      </c>
      <c r="V975" s="315">
        <f t="shared" si="333"/>
        <v>3</v>
      </c>
      <c r="W975" s="316">
        <f t="shared" si="335"/>
        <v>0</v>
      </c>
    </row>
    <row r="976" spans="1:28" x14ac:dyDescent="0.25">
      <c r="A976" s="204" t="s">
        <v>16621</v>
      </c>
      <c r="B976" s="351" t="s">
        <v>20704</v>
      </c>
      <c r="C976" s="352"/>
      <c r="D976" s="353" t="s">
        <v>14859</v>
      </c>
      <c r="E976" s="249">
        <f t="shared" si="336"/>
        <v>0</v>
      </c>
      <c r="F976" s="336">
        <v>0</v>
      </c>
      <c r="G976" s="258">
        <f t="shared" si="337"/>
        <v>0</v>
      </c>
      <c r="H976" s="249">
        <f t="shared" si="338"/>
        <v>10.962208757269909</v>
      </c>
      <c r="I976" s="336">
        <v>3.2315734685102633E-2</v>
      </c>
      <c r="J976" s="258">
        <f t="shared" si="339"/>
        <v>3.2315734685102633E-2</v>
      </c>
      <c r="K976" s="249">
        <f t="shared" si="340"/>
        <v>309.3446262546957</v>
      </c>
      <c r="L976" s="336">
        <v>0.91192378193668111</v>
      </c>
      <c r="M976" s="258">
        <f t="shared" si="341"/>
        <v>0.91192378193668111</v>
      </c>
      <c r="N976" s="251">
        <f t="shared" si="342"/>
        <v>18.915183738034354</v>
      </c>
      <c r="O976" s="336">
        <v>5.5760483378216305E-2</v>
      </c>
      <c r="P976" s="258">
        <f t="shared" si="343"/>
        <v>5.5760483378216305E-2</v>
      </c>
      <c r="Q976" s="354">
        <v>331.41749999999996</v>
      </c>
      <c r="R976" s="249">
        <f t="shared" si="344"/>
        <v>339.22201874999996</v>
      </c>
      <c r="S976" s="355">
        <v>0.1</v>
      </c>
      <c r="T976" s="355"/>
      <c r="U976" s="315">
        <f t="shared" si="332"/>
        <v>373.14422062499995</v>
      </c>
      <c r="V976" s="315">
        <f t="shared" si="333"/>
        <v>375</v>
      </c>
      <c r="W976" s="316">
        <f t="shared" si="335"/>
        <v>0</v>
      </c>
    </row>
    <row r="977" spans="1:23" x14ac:dyDescent="0.25">
      <c r="A977" s="204" t="s">
        <v>16622</v>
      </c>
      <c r="B977" s="351" t="s">
        <v>20705</v>
      </c>
      <c r="C977" s="352"/>
      <c r="D977" s="353" t="s">
        <v>5</v>
      </c>
      <c r="E977" s="249">
        <f t="shared" si="336"/>
        <v>0</v>
      </c>
      <c r="F977" s="336">
        <v>0</v>
      </c>
      <c r="G977" s="258">
        <f t="shared" si="337"/>
        <v>0</v>
      </c>
      <c r="H977" s="249">
        <f t="shared" si="338"/>
        <v>6.3731846991674765E-2</v>
      </c>
      <c r="I977" s="336">
        <v>3.2315734685102633E-2</v>
      </c>
      <c r="J977" s="258">
        <f t="shared" si="339"/>
        <v>3.2315734685102633E-2</v>
      </c>
      <c r="K977" s="249">
        <f t="shared" si="340"/>
        <v>1.7984014442769805</v>
      </c>
      <c r="L977" s="336">
        <v>0.91189360851493939</v>
      </c>
      <c r="M977" s="258">
        <f t="shared" si="341"/>
        <v>0.91189360851493939</v>
      </c>
      <c r="N977" s="251">
        <f t="shared" si="342"/>
        <v>0.10996867716210547</v>
      </c>
      <c r="O977" s="336">
        <v>5.5760483378216305E-2</v>
      </c>
      <c r="P977" s="258">
        <f t="shared" si="343"/>
        <v>5.5760483378216305E-2</v>
      </c>
      <c r="Q977" s="354">
        <v>1.926845930232558</v>
      </c>
      <c r="R977" s="249">
        <f t="shared" si="344"/>
        <v>1.9721614752906973</v>
      </c>
      <c r="S977" s="355">
        <v>0.1</v>
      </c>
      <c r="T977" s="355"/>
      <c r="U977" s="315">
        <f t="shared" si="332"/>
        <v>2.1693776228197672</v>
      </c>
      <c r="V977" s="315">
        <f t="shared" si="333"/>
        <v>3</v>
      </c>
      <c r="W977" s="316">
        <f t="shared" si="335"/>
        <v>0</v>
      </c>
    </row>
    <row r="978" spans="1:23" x14ac:dyDescent="0.25">
      <c r="A978" s="204" t="s">
        <v>16623</v>
      </c>
      <c r="B978" s="351" t="s">
        <v>20706</v>
      </c>
      <c r="C978" s="352"/>
      <c r="D978" s="353" t="s">
        <v>14859</v>
      </c>
      <c r="E978" s="249">
        <f t="shared" si="336"/>
        <v>0</v>
      </c>
      <c r="F978" s="336">
        <v>0</v>
      </c>
      <c r="G978" s="258">
        <f t="shared" si="337"/>
        <v>0</v>
      </c>
      <c r="H978" s="249">
        <f t="shared" si="338"/>
        <v>10.962602291666666</v>
      </c>
      <c r="I978" s="336">
        <v>3.1067251461988306E-2</v>
      </c>
      <c r="J978" s="258">
        <f t="shared" si="339"/>
        <v>3.1067251461988306E-2</v>
      </c>
      <c r="K978" s="249">
        <f t="shared" si="340"/>
        <v>322.98835693055554</v>
      </c>
      <c r="L978" s="336">
        <v>0.9153265107212476</v>
      </c>
      <c r="M978" s="258">
        <f t="shared" si="341"/>
        <v>0.9153265107212476</v>
      </c>
      <c r="N978" s="251">
        <f t="shared" si="342"/>
        <v>18.915862777777775</v>
      </c>
      <c r="O978" s="336">
        <v>5.3606237816764137E-2</v>
      </c>
      <c r="P978" s="258">
        <f t="shared" si="343"/>
        <v>5.3606237816764137E-2</v>
      </c>
      <c r="Q978" s="354">
        <v>344.73599999999999</v>
      </c>
      <c r="R978" s="249">
        <f t="shared" si="344"/>
        <v>352.86682199999996</v>
      </c>
      <c r="S978" s="355">
        <v>0.1</v>
      </c>
      <c r="T978" s="355"/>
      <c r="U978" s="315">
        <f t="shared" si="332"/>
        <v>388.15350419999993</v>
      </c>
      <c r="V978" s="315">
        <f t="shared" si="333"/>
        <v>390</v>
      </c>
      <c r="W978" s="316">
        <f t="shared" si="335"/>
        <v>0</v>
      </c>
    </row>
    <row r="979" spans="1:23" x14ac:dyDescent="0.25">
      <c r="A979" s="204" t="s">
        <v>16624</v>
      </c>
      <c r="B979" s="351" t="s">
        <v>20707</v>
      </c>
      <c r="C979" s="352"/>
      <c r="D979" s="353" t="s">
        <v>5</v>
      </c>
      <c r="E979" s="249">
        <f t="shared" si="336"/>
        <v>0</v>
      </c>
      <c r="F979" s="336">
        <v>0</v>
      </c>
      <c r="G979" s="258">
        <f t="shared" si="337"/>
        <v>0</v>
      </c>
      <c r="H979" s="249">
        <f t="shared" si="338"/>
        <v>6.3734209346950219E-2</v>
      </c>
      <c r="I979" s="336">
        <v>3.1067251461988306E-2</v>
      </c>
      <c r="J979" s="258">
        <f t="shared" si="339"/>
        <v>3.1067251461988306E-2</v>
      </c>
      <c r="K979" s="249">
        <f t="shared" si="340"/>
        <v>1.8777252549485786</v>
      </c>
      <c r="L979" s="336">
        <v>0.91529750301680102</v>
      </c>
      <c r="M979" s="258">
        <f t="shared" si="341"/>
        <v>0.91529750301680102</v>
      </c>
      <c r="N979" s="251">
        <f t="shared" si="342"/>
        <v>0.10997275338297291</v>
      </c>
      <c r="O979" s="336">
        <v>5.360623781676413E-2</v>
      </c>
      <c r="P979" s="258">
        <f t="shared" si="343"/>
        <v>5.360623781676413E-2</v>
      </c>
      <c r="Q979" s="354">
        <v>2.004279069767442</v>
      </c>
      <c r="R979" s="249">
        <f t="shared" si="344"/>
        <v>2.0514917267441857</v>
      </c>
      <c r="S979" s="355">
        <v>0.1</v>
      </c>
      <c r="T979" s="355"/>
      <c r="U979" s="315">
        <f t="shared" si="332"/>
        <v>2.2566408994186045</v>
      </c>
      <c r="V979" s="315">
        <f t="shared" si="333"/>
        <v>3</v>
      </c>
      <c r="W979" s="316">
        <f t="shared" si="335"/>
        <v>0</v>
      </c>
    </row>
    <row r="980" spans="1:23" x14ac:dyDescent="0.25">
      <c r="A980" s="204" t="s">
        <v>16625</v>
      </c>
      <c r="B980" s="351" t="s">
        <v>20708</v>
      </c>
      <c r="C980" s="352"/>
      <c r="D980" s="353" t="s">
        <v>14859</v>
      </c>
      <c r="E980" s="249">
        <f t="shared" si="336"/>
        <v>0</v>
      </c>
      <c r="F980" s="336">
        <v>0</v>
      </c>
      <c r="G980" s="258">
        <f t="shared" si="337"/>
        <v>0</v>
      </c>
      <c r="H980" s="249">
        <f t="shared" si="338"/>
        <v>10.963203252399428</v>
      </c>
      <c r="I980" s="336">
        <v>2.916071063916684E-2</v>
      </c>
      <c r="J980" s="258">
        <f t="shared" si="339"/>
        <v>2.916071063916684E-2</v>
      </c>
      <c r="K980" s="249">
        <f t="shared" si="340"/>
        <v>346.07792451797019</v>
      </c>
      <c r="L980" s="336">
        <v>0.92052276904227082</v>
      </c>
      <c r="M980" s="258">
        <f t="shared" si="341"/>
        <v>0.92052276904227082</v>
      </c>
      <c r="N980" s="251">
        <f t="shared" si="342"/>
        <v>18.916899729630384</v>
      </c>
      <c r="O980" s="336">
        <v>5.0316520318562388E-2</v>
      </c>
      <c r="P980" s="258">
        <f t="shared" si="343"/>
        <v>5.0316520318562388E-2</v>
      </c>
      <c r="Q980" s="354">
        <v>367.27499999999998</v>
      </c>
      <c r="R980" s="249">
        <f t="shared" si="344"/>
        <v>375.95802749999996</v>
      </c>
      <c r="S980" s="355">
        <v>0.1</v>
      </c>
      <c r="T980" s="355"/>
      <c r="U980" s="315">
        <f t="shared" si="332"/>
        <v>413.55383024999998</v>
      </c>
      <c r="V980" s="315">
        <f t="shared" si="333"/>
        <v>415</v>
      </c>
      <c r="W980" s="316">
        <f t="shared" si="335"/>
        <v>0</v>
      </c>
    </row>
    <row r="981" spans="1:23" x14ac:dyDescent="0.25">
      <c r="A981" s="204" t="s">
        <v>16626</v>
      </c>
      <c r="B981" s="351" t="s">
        <v>20709</v>
      </c>
      <c r="C981" s="352"/>
      <c r="D981" s="353" t="s">
        <v>5</v>
      </c>
      <c r="E981" s="249">
        <f t="shared" si="336"/>
        <v>0</v>
      </c>
      <c r="F981" s="336">
        <v>0</v>
      </c>
      <c r="G981" s="258">
        <f t="shared" si="337"/>
        <v>0</v>
      </c>
      <c r="H981" s="249">
        <f t="shared" si="338"/>
        <v>6.3737816865807734E-2</v>
      </c>
      <c r="I981" s="336">
        <v>2.9160710639166844E-2</v>
      </c>
      <c r="J981" s="258">
        <f t="shared" si="339"/>
        <v>2.9160710639166844E-2</v>
      </c>
      <c r="K981" s="249">
        <f t="shared" si="340"/>
        <v>2.0119666140903774</v>
      </c>
      <c r="L981" s="336">
        <v>0.92049554148798574</v>
      </c>
      <c r="M981" s="258">
        <f t="shared" si="341"/>
        <v>0.92049554148798574</v>
      </c>
      <c r="N981" s="251">
        <f t="shared" si="342"/>
        <v>0.10997897812139371</v>
      </c>
      <c r="O981" s="336">
        <v>5.0316520318562388E-2</v>
      </c>
      <c r="P981" s="258">
        <f t="shared" si="343"/>
        <v>5.0316520318562388E-2</v>
      </c>
      <c r="Q981" s="354">
        <v>2.1353197674418603</v>
      </c>
      <c r="R981" s="249">
        <f t="shared" si="344"/>
        <v>2.1857429215116273</v>
      </c>
      <c r="S981" s="355">
        <v>0.1</v>
      </c>
      <c r="T981" s="355"/>
      <c r="U981" s="315">
        <f t="shared" si="332"/>
        <v>2.4043172136627899</v>
      </c>
      <c r="V981" s="315">
        <f t="shared" si="333"/>
        <v>3</v>
      </c>
      <c r="W981" s="316">
        <f t="shared" si="335"/>
        <v>0</v>
      </c>
    </row>
    <row r="982" spans="1:23" x14ac:dyDescent="0.25">
      <c r="A982" s="204" t="s">
        <v>16627</v>
      </c>
      <c r="B982" s="351" t="s">
        <v>20710</v>
      </c>
      <c r="C982" s="352"/>
      <c r="D982" s="353" t="s">
        <v>14859</v>
      </c>
      <c r="E982" s="249">
        <f t="shared" si="336"/>
        <v>0</v>
      </c>
      <c r="F982" s="336">
        <v>0</v>
      </c>
      <c r="G982" s="258">
        <f t="shared" si="337"/>
        <v>0</v>
      </c>
      <c r="H982" s="249">
        <f t="shared" si="338"/>
        <v>10.963304680833017</v>
      </c>
      <c r="I982" s="336">
        <v>2.8838930132239017E-2</v>
      </c>
      <c r="J982" s="258">
        <f t="shared" si="339"/>
        <v>2.8838930132239017E-2</v>
      </c>
      <c r="K982" s="249">
        <f t="shared" si="340"/>
        <v>350.27604907576887</v>
      </c>
      <c r="L982" s="336">
        <v>0.92139977865919176</v>
      </c>
      <c r="M982" s="258">
        <f t="shared" si="341"/>
        <v>0.92139977865919176</v>
      </c>
      <c r="N982" s="251">
        <f t="shared" si="342"/>
        <v>18.91707474339815</v>
      </c>
      <c r="O982" s="336">
        <v>4.9761291208569286E-2</v>
      </c>
      <c r="P982" s="258">
        <f t="shared" si="343"/>
        <v>4.9761291208569286E-2</v>
      </c>
      <c r="Q982" s="354">
        <v>371.37299999999999</v>
      </c>
      <c r="R982" s="249">
        <f t="shared" si="344"/>
        <v>380.1564285</v>
      </c>
      <c r="S982" s="355">
        <v>0.1</v>
      </c>
      <c r="T982" s="355"/>
      <c r="U982" s="315">
        <f t="shared" si="332"/>
        <v>418.17207135000001</v>
      </c>
      <c r="V982" s="315">
        <f t="shared" si="333"/>
        <v>420</v>
      </c>
      <c r="W982" s="316">
        <f t="shared" si="335"/>
        <v>0</v>
      </c>
    </row>
    <row r="983" spans="1:23" x14ac:dyDescent="0.25">
      <c r="A983" s="204" t="s">
        <v>16628</v>
      </c>
      <c r="B983" s="351" t="s">
        <v>20711</v>
      </c>
      <c r="C983" s="352"/>
      <c r="D983" s="353" t="s">
        <v>5</v>
      </c>
      <c r="E983" s="249">
        <f t="shared" si="336"/>
        <v>0</v>
      </c>
      <c r="F983" s="336">
        <v>0</v>
      </c>
      <c r="G983" s="258">
        <f t="shared" si="337"/>
        <v>0</v>
      </c>
      <c r="H983" s="249">
        <f t="shared" si="338"/>
        <v>6.3738425732522155E-2</v>
      </c>
      <c r="I983" s="336">
        <v>2.8838930132239017E-2</v>
      </c>
      <c r="J983" s="258">
        <f t="shared" si="339"/>
        <v>2.8838930132239017E-2</v>
      </c>
      <c r="K983" s="249">
        <f t="shared" si="340"/>
        <v>2.0363742622011487</v>
      </c>
      <c r="L983" s="336">
        <v>0.9213728515535593</v>
      </c>
      <c r="M983" s="258">
        <f t="shared" si="341"/>
        <v>0.9213728515535593</v>
      </c>
      <c r="N983" s="251">
        <f t="shared" si="342"/>
        <v>0.10998002871494018</v>
      </c>
      <c r="O983" s="336">
        <v>4.9761291208569279E-2</v>
      </c>
      <c r="P983" s="258">
        <f t="shared" si="343"/>
        <v>4.9761291208569279E-2</v>
      </c>
      <c r="Q983" s="354">
        <v>2.1591453488372094</v>
      </c>
      <c r="R983" s="249">
        <f t="shared" si="344"/>
        <v>2.2101522296511624</v>
      </c>
      <c r="S983" s="355">
        <v>0.1</v>
      </c>
      <c r="T983" s="355"/>
      <c r="U983" s="315">
        <f t="shared" si="332"/>
        <v>2.4311674526162785</v>
      </c>
      <c r="V983" s="315">
        <f t="shared" si="333"/>
        <v>3</v>
      </c>
      <c r="W983" s="316">
        <f t="shared" si="335"/>
        <v>0</v>
      </c>
    </row>
    <row r="984" spans="1:23" x14ac:dyDescent="0.25">
      <c r="A984" s="204" t="s">
        <v>16629</v>
      </c>
      <c r="B984" s="351" t="s">
        <v>20712</v>
      </c>
      <c r="C984" s="352"/>
      <c r="D984" s="353" t="s">
        <v>14859</v>
      </c>
      <c r="E984" s="249">
        <f t="shared" si="336"/>
        <v>0</v>
      </c>
      <c r="F984" s="336">
        <v>0</v>
      </c>
      <c r="G984" s="258">
        <f t="shared" si="337"/>
        <v>0</v>
      </c>
      <c r="H984" s="249">
        <f t="shared" si="338"/>
        <v>10.9651606953851</v>
      </c>
      <c r="I984" s="336">
        <v>2.2950745899241728E-2</v>
      </c>
      <c r="J984" s="258">
        <f t="shared" si="339"/>
        <v>2.2950745899241728E-2</v>
      </c>
      <c r="K984" s="249">
        <f t="shared" si="340"/>
        <v>447.88381377630333</v>
      </c>
      <c r="L984" s="336">
        <v>0.93744796705892941</v>
      </c>
      <c r="M984" s="258">
        <f t="shared" si="341"/>
        <v>0.93744796705892941</v>
      </c>
      <c r="N984" s="251">
        <f t="shared" si="342"/>
        <v>18.920277278311545</v>
      </c>
      <c r="O984" s="336">
        <v>3.9601287041828859E-2</v>
      </c>
      <c r="P984" s="258">
        <f t="shared" si="343"/>
        <v>3.9601287041828859E-2</v>
      </c>
      <c r="Q984" s="354">
        <v>466.6515</v>
      </c>
      <c r="R984" s="249">
        <f t="shared" si="344"/>
        <v>477.76925174999997</v>
      </c>
      <c r="S984" s="355">
        <v>0.1</v>
      </c>
      <c r="T984" s="355"/>
      <c r="U984" s="315">
        <f t="shared" si="332"/>
        <v>525.54617692499994</v>
      </c>
      <c r="V984" s="315">
        <f t="shared" si="333"/>
        <v>530</v>
      </c>
      <c r="W984" s="316">
        <f t="shared" si="335"/>
        <v>0</v>
      </c>
    </row>
    <row r="985" spans="1:23" x14ac:dyDescent="0.25">
      <c r="A985" s="204" t="s">
        <v>16630</v>
      </c>
      <c r="B985" s="351" t="s">
        <v>20713</v>
      </c>
      <c r="C985" s="352"/>
      <c r="D985" s="353" t="s">
        <v>5</v>
      </c>
      <c r="E985" s="249">
        <f t="shared" si="336"/>
        <v>0</v>
      </c>
      <c r="F985" s="336">
        <v>0</v>
      </c>
      <c r="G985" s="258">
        <f t="shared" si="337"/>
        <v>0</v>
      </c>
      <c r="H985" s="249">
        <f t="shared" si="338"/>
        <v>6.3749567238333499E-2</v>
      </c>
      <c r="I985" s="336">
        <v>2.2950745899241728E-2</v>
      </c>
      <c r="J985" s="258">
        <f t="shared" si="339"/>
        <v>2.2950745899241728E-2</v>
      </c>
      <c r="K985" s="249">
        <f t="shared" si="340"/>
        <v>2.6038602999775762</v>
      </c>
      <c r="L985" s="336">
        <v>0.93742653779104956</v>
      </c>
      <c r="M985" s="258">
        <f t="shared" si="341"/>
        <v>0.93742653779104956</v>
      </c>
      <c r="N985" s="251">
        <f t="shared" si="342"/>
        <v>0.1099992532739872</v>
      </c>
      <c r="O985" s="336">
        <v>3.9601287041828859E-2</v>
      </c>
      <c r="P985" s="258">
        <f t="shared" si="343"/>
        <v>3.9601287041828859E-2</v>
      </c>
      <c r="Q985" s="354">
        <v>2.7130901162790697</v>
      </c>
      <c r="R985" s="249">
        <f t="shared" si="344"/>
        <v>2.7776686438953484</v>
      </c>
      <c r="S985" s="355">
        <v>0.1</v>
      </c>
      <c r="T985" s="355"/>
      <c r="U985" s="315">
        <f t="shared" si="332"/>
        <v>3.0554355082848832</v>
      </c>
      <c r="V985" s="315">
        <f t="shared" si="333"/>
        <v>4</v>
      </c>
      <c r="W985" s="316">
        <f t="shared" si="335"/>
        <v>0</v>
      </c>
    </row>
    <row r="986" spans="1:23" x14ac:dyDescent="0.25">
      <c r="A986" s="204" t="s">
        <v>16631</v>
      </c>
      <c r="B986" s="351" t="s">
        <v>20714</v>
      </c>
      <c r="C986" s="352"/>
      <c r="D986" s="353" t="s">
        <v>14859</v>
      </c>
      <c r="E986" s="249">
        <f t="shared" si="336"/>
        <v>0</v>
      </c>
      <c r="F986" s="336">
        <v>0</v>
      </c>
      <c r="G986" s="258">
        <f t="shared" si="337"/>
        <v>0</v>
      </c>
      <c r="H986" s="249">
        <f t="shared" si="338"/>
        <v>10.9651606953851</v>
      </c>
      <c r="I986" s="336">
        <v>2.2950745899241728E-2</v>
      </c>
      <c r="J986" s="258">
        <f t="shared" si="339"/>
        <v>2.2950745899241728E-2</v>
      </c>
      <c r="K986" s="249">
        <f t="shared" si="340"/>
        <v>447.88381377630333</v>
      </c>
      <c r="L986" s="336">
        <v>0.93744796705892941</v>
      </c>
      <c r="M986" s="258">
        <f t="shared" si="341"/>
        <v>0.93744796705892941</v>
      </c>
      <c r="N986" s="251">
        <f t="shared" si="342"/>
        <v>18.920277278311545</v>
      </c>
      <c r="O986" s="336">
        <v>3.9601287041828859E-2</v>
      </c>
      <c r="P986" s="258">
        <f t="shared" si="343"/>
        <v>3.9601287041828859E-2</v>
      </c>
      <c r="Q986" s="354">
        <v>466.6515</v>
      </c>
      <c r="R986" s="249">
        <f t="shared" si="344"/>
        <v>477.76925174999997</v>
      </c>
      <c r="S986" s="355">
        <v>0.1</v>
      </c>
      <c r="T986" s="355"/>
      <c r="U986" s="315">
        <f t="shared" si="332"/>
        <v>525.54617692499994</v>
      </c>
      <c r="V986" s="315">
        <f t="shared" si="333"/>
        <v>530</v>
      </c>
      <c r="W986" s="316">
        <f t="shared" si="335"/>
        <v>0</v>
      </c>
    </row>
    <row r="987" spans="1:23" x14ac:dyDescent="0.25">
      <c r="A987" s="204" t="s">
        <v>16632</v>
      </c>
      <c r="B987" s="351" t="s">
        <v>20715</v>
      </c>
      <c r="C987" s="352"/>
      <c r="D987" s="353" t="s">
        <v>5</v>
      </c>
      <c r="E987" s="249">
        <f t="shared" si="336"/>
        <v>0</v>
      </c>
      <c r="F987" s="336">
        <v>0</v>
      </c>
      <c r="G987" s="258">
        <f t="shared" si="337"/>
        <v>0</v>
      </c>
      <c r="H987" s="249">
        <f t="shared" si="338"/>
        <v>6.3749567238333499E-2</v>
      </c>
      <c r="I987" s="336">
        <v>2.2950745899241728E-2</v>
      </c>
      <c r="J987" s="258">
        <f t="shared" si="339"/>
        <v>2.2950745899241728E-2</v>
      </c>
      <c r="K987" s="249">
        <f t="shared" si="340"/>
        <v>2.6038602999775762</v>
      </c>
      <c r="L987" s="336">
        <v>0.93742653779104956</v>
      </c>
      <c r="M987" s="258">
        <f t="shared" si="341"/>
        <v>0.93742653779104956</v>
      </c>
      <c r="N987" s="251">
        <f t="shared" si="342"/>
        <v>0.1099992532739872</v>
      </c>
      <c r="O987" s="336">
        <v>3.9601287041828859E-2</v>
      </c>
      <c r="P987" s="258">
        <f t="shared" si="343"/>
        <v>3.9601287041828859E-2</v>
      </c>
      <c r="Q987" s="354">
        <v>2.7130901162790697</v>
      </c>
      <c r="R987" s="249">
        <f t="shared" si="344"/>
        <v>2.7776686438953484</v>
      </c>
      <c r="S987" s="355">
        <v>0.1</v>
      </c>
      <c r="T987" s="355"/>
      <c r="U987" s="315">
        <f t="shared" si="332"/>
        <v>3.0554355082848832</v>
      </c>
      <c r="V987" s="315">
        <f t="shared" si="333"/>
        <v>4</v>
      </c>
      <c r="W987" s="316">
        <f t="shared" si="335"/>
        <v>0</v>
      </c>
    </row>
    <row r="988" spans="1:23" x14ac:dyDescent="0.25">
      <c r="A988" s="204" t="s">
        <v>16633</v>
      </c>
      <c r="B988" s="351" t="s">
        <v>20716</v>
      </c>
      <c r="C988" s="352"/>
      <c r="D988" s="353" t="s">
        <v>14859</v>
      </c>
      <c r="E988" s="249">
        <f t="shared" si="336"/>
        <v>0</v>
      </c>
      <c r="F988" s="336">
        <v>0</v>
      </c>
      <c r="G988" s="258">
        <f t="shared" si="337"/>
        <v>0</v>
      </c>
      <c r="H988" s="249">
        <f t="shared" si="338"/>
        <v>10.965676913159765</v>
      </c>
      <c r="I988" s="336">
        <v>2.1313051109532369E-2</v>
      </c>
      <c r="J988" s="258">
        <f t="shared" si="339"/>
        <v>2.1313051109532369E-2</v>
      </c>
      <c r="K988" s="249">
        <f t="shared" si="340"/>
        <v>484.61841557981938</v>
      </c>
      <c r="L988" s="336">
        <v>0.94191148815245096</v>
      </c>
      <c r="M988" s="258">
        <f t="shared" si="341"/>
        <v>0.94191148815245096</v>
      </c>
      <c r="N988" s="251">
        <f t="shared" si="342"/>
        <v>18.921168007020771</v>
      </c>
      <c r="O988" s="336">
        <v>3.6775460738016637E-2</v>
      </c>
      <c r="P988" s="258">
        <f t="shared" si="343"/>
        <v>3.6775460738016637E-2</v>
      </c>
      <c r="Q988" s="354">
        <v>502.50899999999996</v>
      </c>
      <c r="R988" s="249">
        <f t="shared" si="344"/>
        <v>514.50526049999996</v>
      </c>
      <c r="S988" s="355">
        <v>0.1</v>
      </c>
      <c r="T988" s="355"/>
      <c r="U988" s="315">
        <f t="shared" si="332"/>
        <v>565.95578654999997</v>
      </c>
      <c r="V988" s="315">
        <f t="shared" si="333"/>
        <v>570</v>
      </c>
      <c r="W988" s="316">
        <f t="shared" si="335"/>
        <v>0</v>
      </c>
    </row>
    <row r="989" spans="1:23" x14ac:dyDescent="0.25">
      <c r="A989" s="204" t="s">
        <v>16634</v>
      </c>
      <c r="B989" s="351" t="s">
        <v>20717</v>
      </c>
      <c r="C989" s="352"/>
      <c r="D989" s="353" t="s">
        <v>5</v>
      </c>
      <c r="E989" s="249">
        <f t="shared" si="336"/>
        <v>0</v>
      </c>
      <c r="F989" s="336">
        <v>0</v>
      </c>
      <c r="G989" s="258">
        <f t="shared" si="337"/>
        <v>0</v>
      </c>
      <c r="H989" s="249">
        <f t="shared" si="338"/>
        <v>6.3752666052041551E-2</v>
      </c>
      <c r="I989" s="336">
        <v>2.1313051109532372E-2</v>
      </c>
      <c r="J989" s="258">
        <f t="shared" si="339"/>
        <v>2.1313051109532372E-2</v>
      </c>
      <c r="K989" s="249">
        <f t="shared" si="340"/>
        <v>2.8174332975187419</v>
      </c>
      <c r="L989" s="336">
        <v>0.94189158801135897</v>
      </c>
      <c r="M989" s="258">
        <f t="shared" si="341"/>
        <v>0.94189158801135897</v>
      </c>
      <c r="N989" s="251">
        <f t="shared" si="342"/>
        <v>0.11000460024665992</v>
      </c>
      <c r="O989" s="336">
        <v>3.6775460738016637E-2</v>
      </c>
      <c r="P989" s="258">
        <f t="shared" si="343"/>
        <v>3.6775460738016637E-2</v>
      </c>
      <c r="Q989" s="354">
        <v>2.9215639534883717</v>
      </c>
      <c r="R989" s="249">
        <f t="shared" si="344"/>
        <v>2.9912500901162784</v>
      </c>
      <c r="S989" s="355">
        <v>0.1</v>
      </c>
      <c r="T989" s="355"/>
      <c r="U989" s="315">
        <f t="shared" si="332"/>
        <v>3.2903750991279064</v>
      </c>
      <c r="V989" s="315">
        <f t="shared" si="333"/>
        <v>4</v>
      </c>
      <c r="W989" s="316">
        <f t="shared" si="335"/>
        <v>0</v>
      </c>
    </row>
    <row r="990" spans="1:23" x14ac:dyDescent="0.25">
      <c r="A990" s="204" t="s">
        <v>16635</v>
      </c>
      <c r="B990" s="351" t="s">
        <v>20718</v>
      </c>
      <c r="C990" s="352"/>
      <c r="D990" s="353" t="s">
        <v>14859</v>
      </c>
      <c r="E990" s="249">
        <f t="shared" si="336"/>
        <v>0</v>
      </c>
      <c r="F990" s="336">
        <v>0</v>
      </c>
      <c r="G990" s="258">
        <f t="shared" si="337"/>
        <v>0</v>
      </c>
      <c r="H990" s="249">
        <f t="shared" si="338"/>
        <v>10.966332044490242</v>
      </c>
      <c r="I990" s="336">
        <v>1.9234654705620885E-2</v>
      </c>
      <c r="J990" s="258">
        <f t="shared" si="339"/>
        <v>1.9234654705620885E-2</v>
      </c>
      <c r="K990" s="249">
        <f t="shared" si="340"/>
        <v>540.24544327580099</v>
      </c>
      <c r="L990" s="336">
        <v>0.94757613717487632</v>
      </c>
      <c r="M990" s="258">
        <f t="shared" si="341"/>
        <v>0.94757613717487632</v>
      </c>
      <c r="N990" s="251">
        <f t="shared" si="342"/>
        <v>18.922298429708654</v>
      </c>
      <c r="O990" s="336">
        <v>3.3189208119502704E-2</v>
      </c>
      <c r="P990" s="258">
        <f t="shared" si="343"/>
        <v>3.3189208119502704E-2</v>
      </c>
      <c r="Q990" s="354">
        <v>556.8075</v>
      </c>
      <c r="R990" s="249">
        <f t="shared" si="344"/>
        <v>570.13407374999997</v>
      </c>
      <c r="S990" s="355">
        <v>0.1</v>
      </c>
      <c r="T990" s="355"/>
      <c r="U990" s="315">
        <f t="shared" si="332"/>
        <v>627.14748112500001</v>
      </c>
      <c r="V990" s="315">
        <f t="shared" si="333"/>
        <v>630</v>
      </c>
      <c r="W990" s="316">
        <f t="shared" si="335"/>
        <v>0</v>
      </c>
    </row>
    <row r="991" spans="1:23" x14ac:dyDescent="0.25">
      <c r="A991" s="204" t="s">
        <v>16636</v>
      </c>
      <c r="B991" s="351" t="s">
        <v>20719</v>
      </c>
      <c r="C991" s="352"/>
      <c r="D991" s="353" t="s">
        <v>5</v>
      </c>
      <c r="E991" s="249">
        <f t="shared" si="336"/>
        <v>0</v>
      </c>
      <c r="F991" s="336">
        <v>0</v>
      </c>
      <c r="G991" s="258">
        <f t="shared" si="337"/>
        <v>0</v>
      </c>
      <c r="H991" s="249">
        <f t="shared" si="338"/>
        <v>6.3756598752632454E-2</v>
      </c>
      <c r="I991" s="336">
        <v>1.9234654705620885E-2</v>
      </c>
      <c r="J991" s="258">
        <f t="shared" si="339"/>
        <v>1.9234654705620885E-2</v>
      </c>
      <c r="K991" s="249">
        <f t="shared" si="340"/>
        <v>3.1408459081586853</v>
      </c>
      <c r="L991" s="336">
        <v>0.94755817764667316</v>
      </c>
      <c r="M991" s="258">
        <f t="shared" si="341"/>
        <v>0.94755817764667316</v>
      </c>
      <c r="N991" s="251">
        <f t="shared" si="342"/>
        <v>0.11001138608297364</v>
      </c>
      <c r="O991" s="336">
        <v>3.3189208119502704E-2</v>
      </c>
      <c r="P991" s="258">
        <f t="shared" si="343"/>
        <v>3.3189208119502704E-2</v>
      </c>
      <c r="Q991" s="354">
        <v>3.2372529069767442</v>
      </c>
      <c r="R991" s="249">
        <f t="shared" si="344"/>
        <v>3.3146734229651158</v>
      </c>
      <c r="S991" s="355">
        <v>0.1</v>
      </c>
      <c r="T991" s="355"/>
      <c r="U991" s="315">
        <f t="shared" si="332"/>
        <v>3.6461407652616273</v>
      </c>
      <c r="V991" s="315">
        <f t="shared" si="333"/>
        <v>4</v>
      </c>
      <c r="W991" s="316">
        <f t="shared" si="335"/>
        <v>0</v>
      </c>
    </row>
    <row r="992" spans="1:23" x14ac:dyDescent="0.25">
      <c r="A992" s="204" t="s">
        <v>16637</v>
      </c>
      <c r="B992" s="351" t="s">
        <v>20720</v>
      </c>
      <c r="C992" s="352"/>
      <c r="D992" s="353" t="s">
        <v>14859</v>
      </c>
      <c r="E992" s="249">
        <f t="shared" si="336"/>
        <v>0</v>
      </c>
      <c r="F992" s="336">
        <v>0</v>
      </c>
      <c r="G992" s="258">
        <f t="shared" si="337"/>
        <v>0</v>
      </c>
      <c r="H992" s="249">
        <f t="shared" si="338"/>
        <v>10.966332044490242</v>
      </c>
      <c r="I992" s="336">
        <v>1.9234654705620885E-2</v>
      </c>
      <c r="J992" s="258">
        <f t="shared" si="339"/>
        <v>1.9234654705620885E-2</v>
      </c>
      <c r="K992" s="249">
        <f t="shared" si="340"/>
        <v>540.24544327580099</v>
      </c>
      <c r="L992" s="336">
        <v>0.94757613717487632</v>
      </c>
      <c r="M992" s="258">
        <f t="shared" si="341"/>
        <v>0.94757613717487632</v>
      </c>
      <c r="N992" s="251">
        <f t="shared" si="342"/>
        <v>18.922298429708654</v>
      </c>
      <c r="O992" s="336">
        <v>3.3189208119502704E-2</v>
      </c>
      <c r="P992" s="258">
        <f t="shared" si="343"/>
        <v>3.3189208119502704E-2</v>
      </c>
      <c r="Q992" s="354">
        <v>556.8075</v>
      </c>
      <c r="R992" s="249">
        <f t="shared" si="344"/>
        <v>570.13407374999997</v>
      </c>
      <c r="S992" s="355">
        <v>0.1</v>
      </c>
      <c r="T992" s="355"/>
      <c r="U992" s="315">
        <f t="shared" si="332"/>
        <v>627.14748112500001</v>
      </c>
      <c r="V992" s="315">
        <f t="shared" si="333"/>
        <v>630</v>
      </c>
      <c r="W992" s="316">
        <f t="shared" si="335"/>
        <v>0</v>
      </c>
    </row>
    <row r="993" spans="1:23" x14ac:dyDescent="0.25">
      <c r="A993" s="204" t="s">
        <v>16638</v>
      </c>
      <c r="B993" s="351" t="s">
        <v>20721</v>
      </c>
      <c r="C993" s="352"/>
      <c r="D993" s="353" t="s">
        <v>5</v>
      </c>
      <c r="E993" s="249">
        <f t="shared" si="336"/>
        <v>0</v>
      </c>
      <c r="F993" s="336">
        <v>0</v>
      </c>
      <c r="G993" s="258">
        <f t="shared" si="337"/>
        <v>0</v>
      </c>
      <c r="H993" s="249">
        <f t="shared" si="338"/>
        <v>6.3756598752632454E-2</v>
      </c>
      <c r="I993" s="336">
        <v>1.9234654705620885E-2</v>
      </c>
      <c r="J993" s="258">
        <f t="shared" si="339"/>
        <v>1.9234654705620885E-2</v>
      </c>
      <c r="K993" s="249">
        <f t="shared" si="340"/>
        <v>3.1408459081586853</v>
      </c>
      <c r="L993" s="336">
        <v>0.94755817764667316</v>
      </c>
      <c r="M993" s="258">
        <f t="shared" si="341"/>
        <v>0.94755817764667316</v>
      </c>
      <c r="N993" s="251">
        <f t="shared" si="342"/>
        <v>0.11001138608297364</v>
      </c>
      <c r="O993" s="336">
        <v>3.3189208119502704E-2</v>
      </c>
      <c r="P993" s="258">
        <f t="shared" si="343"/>
        <v>3.3189208119502704E-2</v>
      </c>
      <c r="Q993" s="354">
        <v>3.2372529069767442</v>
      </c>
      <c r="R993" s="249">
        <f t="shared" si="344"/>
        <v>3.3146734229651158</v>
      </c>
      <c r="S993" s="355">
        <v>0.1</v>
      </c>
      <c r="T993" s="355"/>
      <c r="U993" s="315">
        <f t="shared" si="332"/>
        <v>3.6461407652616273</v>
      </c>
      <c r="V993" s="315">
        <f t="shared" si="333"/>
        <v>4</v>
      </c>
      <c r="W993" s="316">
        <f t="shared" si="335"/>
        <v>0</v>
      </c>
    </row>
    <row r="994" spans="1:23" x14ac:dyDescent="0.25">
      <c r="A994" s="204" t="s">
        <v>16639</v>
      </c>
      <c r="B994" s="351" t="s">
        <v>20722</v>
      </c>
      <c r="C994" s="352"/>
      <c r="D994" s="353" t="s">
        <v>14859</v>
      </c>
      <c r="E994" s="249">
        <f t="shared" si="336"/>
        <v>0</v>
      </c>
      <c r="F994" s="336">
        <v>0</v>
      </c>
      <c r="G994" s="258">
        <f t="shared" si="337"/>
        <v>0</v>
      </c>
      <c r="H994" s="249">
        <f t="shared" si="338"/>
        <v>10.968027600840644</v>
      </c>
      <c r="I994" s="336">
        <v>1.3855522221230387E-2</v>
      </c>
      <c r="J994" s="258">
        <f t="shared" si="339"/>
        <v>1.3855522221230387E-2</v>
      </c>
      <c r="K994" s="249">
        <f t="shared" si="340"/>
        <v>761.70647480359094</v>
      </c>
      <c r="L994" s="336">
        <v>0.96223691002448963</v>
      </c>
      <c r="M994" s="258">
        <f t="shared" si="341"/>
        <v>0.96223691002448963</v>
      </c>
      <c r="N994" s="251">
        <f t="shared" si="342"/>
        <v>18.925224095568172</v>
      </c>
      <c r="O994" s="336">
        <v>2.3907567754279883E-2</v>
      </c>
      <c r="P994" s="258">
        <f t="shared" si="343"/>
        <v>2.3907567754279883E-2</v>
      </c>
      <c r="Q994" s="354">
        <v>772.97699999999998</v>
      </c>
      <c r="R994" s="249">
        <f t="shared" si="344"/>
        <v>791.59972649999986</v>
      </c>
      <c r="S994" s="355">
        <v>0.1</v>
      </c>
      <c r="T994" s="355"/>
      <c r="U994" s="315">
        <f t="shared" si="332"/>
        <v>870.75969914999985</v>
      </c>
      <c r="V994" s="315">
        <f t="shared" si="333"/>
        <v>875</v>
      </c>
      <c r="W994" s="316">
        <f t="shared" si="335"/>
        <v>0</v>
      </c>
    </row>
    <row r="995" spans="1:23" x14ac:dyDescent="0.25">
      <c r="A995" s="204" t="s">
        <v>16640</v>
      </c>
      <c r="B995" s="351" t="s">
        <v>20723</v>
      </c>
      <c r="C995" s="352"/>
      <c r="D995" s="353" t="s">
        <v>5</v>
      </c>
      <c r="E995" s="249">
        <f t="shared" si="336"/>
        <v>0</v>
      </c>
      <c r="F995" s="336">
        <v>0</v>
      </c>
      <c r="G995" s="258">
        <f t="shared" si="337"/>
        <v>0</v>
      </c>
      <c r="H995" s="249">
        <f t="shared" si="338"/>
        <v>6.3766777040787745E-2</v>
      </c>
      <c r="I995" s="336">
        <v>1.3855522221230387E-2</v>
      </c>
      <c r="J995" s="258">
        <f t="shared" si="339"/>
        <v>1.3855522221230387E-2</v>
      </c>
      <c r="K995" s="249">
        <f t="shared" si="340"/>
        <v>4.4284091621910351</v>
      </c>
      <c r="L995" s="336">
        <v>0.9622239730289518</v>
      </c>
      <c r="M995" s="258">
        <f t="shared" si="341"/>
        <v>0.9622239730289518</v>
      </c>
      <c r="N995" s="251">
        <f t="shared" si="342"/>
        <v>0.11002894861939844</v>
      </c>
      <c r="O995" s="336">
        <v>2.3907567754279879E-2</v>
      </c>
      <c r="P995" s="258">
        <f t="shared" si="343"/>
        <v>2.3907567754279879E-2</v>
      </c>
      <c r="Q995" s="354">
        <v>4.4940523255813956</v>
      </c>
      <c r="R995" s="249">
        <f t="shared" si="344"/>
        <v>4.6022644273255819</v>
      </c>
      <c r="S995" s="355">
        <v>0.1</v>
      </c>
      <c r="T995" s="355"/>
      <c r="U995" s="315">
        <f t="shared" si="332"/>
        <v>5.0624908700581397</v>
      </c>
      <c r="V995" s="315">
        <f t="shared" si="333"/>
        <v>6</v>
      </c>
      <c r="W995" s="316">
        <f t="shared" si="335"/>
        <v>0</v>
      </c>
    </row>
    <row r="996" spans="1:23" x14ac:dyDescent="0.25">
      <c r="A996" s="204" t="s">
        <v>16641</v>
      </c>
      <c r="B996" s="351" t="s">
        <v>20724</v>
      </c>
      <c r="C996" s="352"/>
      <c r="D996" s="353" t="s">
        <v>14859</v>
      </c>
      <c r="E996" s="249">
        <f t="shared" si="336"/>
        <v>0</v>
      </c>
      <c r="F996" s="336">
        <v>0</v>
      </c>
      <c r="G996" s="258">
        <f t="shared" si="337"/>
        <v>0</v>
      </c>
      <c r="H996" s="249">
        <f t="shared" si="338"/>
        <v>10.968151340413014</v>
      </c>
      <c r="I996" s="336">
        <v>1.3462959890184483E-2</v>
      </c>
      <c r="J996" s="258">
        <f t="shared" si="339"/>
        <v>1.3462959890184483E-2</v>
      </c>
      <c r="K996" s="249">
        <f t="shared" si="340"/>
        <v>784.79734305259979</v>
      </c>
      <c r="L996" s="336">
        <v>0.96330683480910495</v>
      </c>
      <c r="M996" s="258">
        <f t="shared" si="341"/>
        <v>0.96330683480910495</v>
      </c>
      <c r="N996" s="251">
        <f t="shared" si="342"/>
        <v>18.925437606987163</v>
      </c>
      <c r="O996" s="336">
        <v>2.3230205300710481E-2</v>
      </c>
      <c r="P996" s="258">
        <f t="shared" si="343"/>
        <v>2.3230205300710481E-2</v>
      </c>
      <c r="Q996" s="354">
        <v>795.51600000000008</v>
      </c>
      <c r="R996" s="249">
        <f t="shared" si="344"/>
        <v>814.69093199999998</v>
      </c>
      <c r="S996" s="355">
        <v>0.1</v>
      </c>
      <c r="T996" s="355"/>
      <c r="U996" s="315">
        <f t="shared" si="332"/>
        <v>896.16002519999995</v>
      </c>
      <c r="V996" s="315">
        <f t="shared" si="333"/>
        <v>900</v>
      </c>
      <c r="W996" s="316">
        <f t="shared" si="335"/>
        <v>0</v>
      </c>
    </row>
    <row r="997" spans="1:23" x14ac:dyDescent="0.25">
      <c r="A997" s="204" t="s">
        <v>16642</v>
      </c>
      <c r="B997" s="351" t="s">
        <v>20725</v>
      </c>
      <c r="C997" s="352"/>
      <c r="D997" s="353" t="s">
        <v>5</v>
      </c>
      <c r="E997" s="249">
        <f t="shared" si="336"/>
        <v>0</v>
      </c>
      <c r="F997" s="336">
        <v>0</v>
      </c>
      <c r="G997" s="258">
        <f t="shared" si="337"/>
        <v>0</v>
      </c>
      <c r="H997" s="249">
        <f t="shared" si="338"/>
        <v>6.3767519839470571E-2</v>
      </c>
      <c r="I997" s="336">
        <v>1.3462959890184483E-2</v>
      </c>
      <c r="J997" s="258">
        <f t="shared" si="339"/>
        <v>1.3462959890184483E-2</v>
      </c>
      <c r="K997" s="249">
        <f t="shared" si="340"/>
        <v>4.562658331774391</v>
      </c>
      <c r="L997" s="336">
        <v>0.96329426435169108</v>
      </c>
      <c r="M997" s="258">
        <f t="shared" si="341"/>
        <v>0.96329426435169108</v>
      </c>
      <c r="N997" s="251">
        <f t="shared" si="342"/>
        <v>0.11003023031124333</v>
      </c>
      <c r="O997" s="336">
        <v>2.3230205300710478E-2</v>
      </c>
      <c r="P997" s="258">
        <f t="shared" si="343"/>
        <v>2.3230205300710478E-2</v>
      </c>
      <c r="Q997" s="354">
        <v>4.6250930232558147</v>
      </c>
      <c r="R997" s="249">
        <f t="shared" si="344"/>
        <v>4.7365156220930231</v>
      </c>
      <c r="S997" s="355">
        <v>0.1</v>
      </c>
      <c r="T997" s="355"/>
      <c r="U997" s="315">
        <f t="shared" si="332"/>
        <v>5.2101671843023256</v>
      </c>
      <c r="V997" s="315">
        <f t="shared" si="333"/>
        <v>6</v>
      </c>
      <c r="W997" s="316">
        <f t="shared" si="335"/>
        <v>0</v>
      </c>
    </row>
    <row r="998" spans="1:23" x14ac:dyDescent="0.25">
      <c r="A998" s="204" t="s">
        <v>16643</v>
      </c>
      <c r="B998" s="351" t="s">
        <v>20726</v>
      </c>
      <c r="C998" s="352"/>
      <c r="D998" s="353" t="s">
        <v>14859</v>
      </c>
      <c r="E998" s="249">
        <f t="shared" si="336"/>
        <v>0</v>
      </c>
      <c r="F998" s="336">
        <v>0</v>
      </c>
      <c r="G998" s="258">
        <f t="shared" si="337"/>
        <v>0</v>
      </c>
      <c r="H998" s="249">
        <f t="shared" si="338"/>
        <v>10.968364174366478</v>
      </c>
      <c r="I998" s="336">
        <v>1.2787746687991517E-2</v>
      </c>
      <c r="J998" s="258">
        <f t="shared" si="339"/>
        <v>1.2787746687991517E-2</v>
      </c>
      <c r="K998" s="249">
        <f t="shared" si="340"/>
        <v>827.83037322574626</v>
      </c>
      <c r="L998" s="336">
        <v>0.96514712177194462</v>
      </c>
      <c r="M998" s="258">
        <f t="shared" si="341"/>
        <v>0.96514712177194462</v>
      </c>
      <c r="N998" s="251">
        <f t="shared" si="342"/>
        <v>18.925804849887257</v>
      </c>
      <c r="O998" s="336">
        <v>2.2065131540063794E-2</v>
      </c>
      <c r="P998" s="258">
        <f t="shared" si="343"/>
        <v>2.2065131540063794E-2</v>
      </c>
      <c r="Q998" s="354">
        <v>837.52050000000008</v>
      </c>
      <c r="R998" s="249">
        <f t="shared" si="344"/>
        <v>857.72454225000001</v>
      </c>
      <c r="S998" s="355">
        <v>0.1</v>
      </c>
      <c r="T998" s="355"/>
      <c r="U998" s="315">
        <f t="shared" ref="U998:U1061" si="345">(R998*S998)+R998</f>
        <v>943.49699647500006</v>
      </c>
      <c r="V998" s="315">
        <f t="shared" ref="V998:V1061" si="346">IF(U998=0, 0, IF(U998&lt;10, _xlfn.CEILING.MATH(U998,1), IF(U998&lt;100, _xlfn.CEILING.MATH(U998,1),IF(U998&lt;1000, _xlfn.CEILING.MATH(U998,5), IF(U998&lt;10000, _xlfn.CEILING.MATH(U998, 25), IF(U998&lt;100000, _xlfn.CEILING.MATH(U998,250), IF(U998&lt;1000000, _xlfn.CEILING.MATH(U998,500), 0)))))))</f>
        <v>945</v>
      </c>
      <c r="W998" s="316">
        <f t="shared" si="335"/>
        <v>0</v>
      </c>
    </row>
    <row r="999" spans="1:23" x14ac:dyDescent="0.25">
      <c r="A999" s="204" t="s">
        <v>16644</v>
      </c>
      <c r="B999" s="351" t="s">
        <v>20727</v>
      </c>
      <c r="C999" s="352"/>
      <c r="D999" s="353" t="s">
        <v>5</v>
      </c>
      <c r="E999" s="249">
        <f t="shared" si="336"/>
        <v>0</v>
      </c>
      <c r="F999" s="336">
        <v>0</v>
      </c>
      <c r="G999" s="258">
        <f t="shared" si="337"/>
        <v>0</v>
      </c>
      <c r="H999" s="249">
        <f t="shared" si="338"/>
        <v>6.376879746454453E-2</v>
      </c>
      <c r="I999" s="336">
        <v>1.2787746687991519E-2</v>
      </c>
      <c r="J999" s="258">
        <f t="shared" si="339"/>
        <v>1.2787746687991519E-2</v>
      </c>
      <c r="K999" s="249">
        <f t="shared" si="340"/>
        <v>4.8128502568570823</v>
      </c>
      <c r="L999" s="336">
        <v>0.9651351817656999</v>
      </c>
      <c r="M999" s="258">
        <f t="shared" si="341"/>
        <v>0.9651351817656999</v>
      </c>
      <c r="N999" s="251">
        <f t="shared" si="342"/>
        <v>0.11003243484078269</v>
      </c>
      <c r="O999" s="336">
        <v>2.2065131540063794E-2</v>
      </c>
      <c r="P999" s="258">
        <f t="shared" si="343"/>
        <v>2.2065131540063794E-2</v>
      </c>
      <c r="Q999" s="354">
        <v>4.8693052325581396</v>
      </c>
      <c r="R999" s="249">
        <f t="shared" si="344"/>
        <v>4.9867110305232547</v>
      </c>
      <c r="S999" s="355">
        <v>0.1</v>
      </c>
      <c r="T999" s="355"/>
      <c r="U999" s="315">
        <f t="shared" si="345"/>
        <v>5.4853821335755804</v>
      </c>
      <c r="V999" s="315">
        <f t="shared" si="346"/>
        <v>6</v>
      </c>
      <c r="W999" s="316">
        <f t="shared" si="335"/>
        <v>0</v>
      </c>
    </row>
    <row r="1000" spans="1:23" x14ac:dyDescent="0.25">
      <c r="A1000" s="204" t="s">
        <v>16645</v>
      </c>
      <c r="B1000" s="351" t="s">
        <v>20728</v>
      </c>
      <c r="C1000" s="352"/>
      <c r="D1000" s="353" t="s">
        <v>14859</v>
      </c>
      <c r="E1000" s="249">
        <f t="shared" si="336"/>
        <v>0</v>
      </c>
      <c r="F1000" s="336">
        <v>0</v>
      </c>
      <c r="G1000" s="258">
        <f t="shared" si="337"/>
        <v>0</v>
      </c>
      <c r="H1000" s="249">
        <f t="shared" si="338"/>
        <v>10.968763929216204</v>
      </c>
      <c r="I1000" s="336">
        <v>1.1519529151346285E-2</v>
      </c>
      <c r="J1000" s="258">
        <f t="shared" si="339"/>
        <v>1.1519529151346285E-2</v>
      </c>
      <c r="K1000" s="249">
        <f t="shared" si="340"/>
        <v>922.29330619782229</v>
      </c>
      <c r="L1000" s="336">
        <v>0.96860363623456591</v>
      </c>
      <c r="M1000" s="258">
        <f t="shared" si="341"/>
        <v>0.96860363623456591</v>
      </c>
      <c r="N1000" s="251">
        <f t="shared" si="342"/>
        <v>18.92649462296129</v>
      </c>
      <c r="O1000" s="336">
        <v>1.9876834614087707E-2</v>
      </c>
      <c r="P1000" s="258">
        <f t="shared" si="343"/>
        <v>1.9876834614087707E-2</v>
      </c>
      <c r="Q1000" s="354">
        <v>929.72550000000001</v>
      </c>
      <c r="R1000" s="249">
        <f t="shared" si="344"/>
        <v>952.18856474999984</v>
      </c>
      <c r="S1000" s="355">
        <v>0.1</v>
      </c>
      <c r="T1000" s="355"/>
      <c r="U1000" s="315">
        <f t="shared" si="345"/>
        <v>1047.4074212249998</v>
      </c>
      <c r="V1000" s="315">
        <f t="shared" si="346"/>
        <v>1050</v>
      </c>
      <c r="W1000" s="316">
        <f t="shared" si="335"/>
        <v>0</v>
      </c>
    </row>
    <row r="1001" spans="1:23" x14ac:dyDescent="0.25">
      <c r="A1001" s="204" t="s">
        <v>16646</v>
      </c>
      <c r="B1001" s="351" t="s">
        <v>20729</v>
      </c>
      <c r="C1001" s="352"/>
      <c r="D1001" s="353" t="s">
        <v>5</v>
      </c>
      <c r="E1001" s="249">
        <f t="shared" si="336"/>
        <v>0</v>
      </c>
      <c r="F1001" s="336">
        <v>0</v>
      </c>
      <c r="G1001" s="258">
        <f t="shared" si="337"/>
        <v>0</v>
      </c>
      <c r="H1001" s="249">
        <f t="shared" si="338"/>
        <v>6.3771197160697957E-2</v>
      </c>
      <c r="I1001" s="336">
        <v>1.1519529151346285E-2</v>
      </c>
      <c r="J1001" s="258">
        <f t="shared" si="339"/>
        <v>1.1519529151346285E-2</v>
      </c>
      <c r="K1001" s="249">
        <f t="shared" si="340"/>
        <v>5.3620531474076651</v>
      </c>
      <c r="L1001" s="336">
        <v>0.96859288037167945</v>
      </c>
      <c r="M1001" s="258">
        <f t="shared" si="341"/>
        <v>0.96859288037167945</v>
      </c>
      <c r="N1001" s="251">
        <f t="shared" si="342"/>
        <v>0.110036575492969</v>
      </c>
      <c r="O1001" s="336">
        <v>1.9876834614087704E-2</v>
      </c>
      <c r="P1001" s="258">
        <f t="shared" si="343"/>
        <v>1.9876834614087704E-2</v>
      </c>
      <c r="Q1001" s="354">
        <v>5.4053808139534887</v>
      </c>
      <c r="R1001" s="249">
        <f t="shared" si="344"/>
        <v>5.5359204636627899</v>
      </c>
      <c r="S1001" s="355">
        <v>0.1</v>
      </c>
      <c r="T1001" s="355"/>
      <c r="U1001" s="315">
        <f t="shared" si="345"/>
        <v>6.0895125100290688</v>
      </c>
      <c r="V1001" s="315">
        <f t="shared" si="346"/>
        <v>7</v>
      </c>
      <c r="W1001" s="316">
        <f t="shared" si="335"/>
        <v>0</v>
      </c>
    </row>
    <row r="1002" spans="1:23" x14ac:dyDescent="0.25">
      <c r="A1002" s="204" t="s">
        <v>16647</v>
      </c>
      <c r="B1002" s="351" t="s">
        <v>20730</v>
      </c>
      <c r="C1002" s="352"/>
      <c r="D1002" s="353" t="s">
        <v>14859</v>
      </c>
      <c r="E1002" s="249">
        <f t="shared" si="336"/>
        <v>0</v>
      </c>
      <c r="F1002" s="336">
        <v>0</v>
      </c>
      <c r="G1002" s="258">
        <f t="shared" si="337"/>
        <v>0</v>
      </c>
      <c r="H1002" s="249">
        <f t="shared" si="338"/>
        <v>10.969258214891997</v>
      </c>
      <c r="I1002" s="336">
        <v>9.9514136861207046E-3</v>
      </c>
      <c r="J1002" s="258">
        <f t="shared" si="339"/>
        <v>9.9514136861207046E-3</v>
      </c>
      <c r="K1002" s="249">
        <f t="shared" si="340"/>
        <v>1072.3847947770591</v>
      </c>
      <c r="L1002" s="336">
        <v>0.97287751956135726</v>
      </c>
      <c r="M1002" s="258">
        <f t="shared" si="341"/>
        <v>0.97287751956135726</v>
      </c>
      <c r="N1002" s="251">
        <f t="shared" si="342"/>
        <v>18.927347508048939</v>
      </c>
      <c r="O1002" s="336">
        <v>1.7171066752522002E-2</v>
      </c>
      <c r="P1002" s="258">
        <f t="shared" si="343"/>
        <v>1.7171066752522002E-2</v>
      </c>
      <c r="Q1002" s="354">
        <v>1076.229</v>
      </c>
      <c r="R1002" s="249">
        <f t="shared" si="344"/>
        <v>1102.2814005</v>
      </c>
      <c r="S1002" s="355">
        <v>0.1</v>
      </c>
      <c r="T1002" s="355"/>
      <c r="U1002" s="315">
        <f t="shared" si="345"/>
        <v>1212.5095405500001</v>
      </c>
      <c r="V1002" s="315">
        <f t="shared" si="346"/>
        <v>1225</v>
      </c>
      <c r="W1002" s="316">
        <f t="shared" si="335"/>
        <v>0</v>
      </c>
    </row>
    <row r="1003" spans="1:23" x14ac:dyDescent="0.25">
      <c r="A1003" s="204" t="s">
        <v>16648</v>
      </c>
      <c r="B1003" s="351" t="s">
        <v>20731</v>
      </c>
      <c r="C1003" s="352"/>
      <c r="D1003" s="353" t="s">
        <v>5</v>
      </c>
      <c r="E1003" s="249">
        <f t="shared" si="336"/>
        <v>0</v>
      </c>
      <c r="F1003" s="336">
        <v>0</v>
      </c>
      <c r="G1003" s="258">
        <f t="shared" si="337"/>
        <v>0</v>
      </c>
      <c r="H1003" s="249">
        <f t="shared" si="338"/>
        <v>6.3774164317783627E-2</v>
      </c>
      <c r="I1003" s="336">
        <v>9.9514136861207064E-3</v>
      </c>
      <c r="J1003" s="258">
        <f t="shared" si="339"/>
        <v>9.9514136861207064E-3</v>
      </c>
      <c r="K1003" s="249">
        <f t="shared" si="340"/>
        <v>6.2346778236680365</v>
      </c>
      <c r="L1003" s="336">
        <v>0.97286822785856919</v>
      </c>
      <c r="M1003" s="258">
        <f t="shared" si="341"/>
        <v>0.97286822785856919</v>
      </c>
      <c r="N1003" s="251">
        <f t="shared" si="342"/>
        <v>0.11004169529343057</v>
      </c>
      <c r="O1003" s="336">
        <v>1.7171066752522002E-2</v>
      </c>
      <c r="P1003" s="258">
        <f t="shared" si="343"/>
        <v>1.7171066752522002E-2</v>
      </c>
      <c r="Q1003" s="354">
        <v>6.2571453488372093</v>
      </c>
      <c r="R1003" s="249">
        <f t="shared" si="344"/>
        <v>6.4085532296511625</v>
      </c>
      <c r="S1003" s="355">
        <v>0.1</v>
      </c>
      <c r="T1003" s="355"/>
      <c r="U1003" s="315">
        <f t="shared" si="345"/>
        <v>7.0494085526162786</v>
      </c>
      <c r="V1003" s="315">
        <f t="shared" si="346"/>
        <v>8</v>
      </c>
      <c r="W1003" s="316">
        <f t="shared" si="335"/>
        <v>0</v>
      </c>
    </row>
    <row r="1004" spans="1:23" x14ac:dyDescent="0.25">
      <c r="A1004" s="204" t="s">
        <v>16649</v>
      </c>
      <c r="B1004" s="351" t="s">
        <v>20732</v>
      </c>
      <c r="C1004" s="352"/>
      <c r="D1004" s="353" t="s">
        <v>14859</v>
      </c>
      <c r="E1004" s="249">
        <f t="shared" si="336"/>
        <v>0</v>
      </c>
      <c r="F1004" s="336">
        <v>0</v>
      </c>
      <c r="G1004" s="258">
        <f t="shared" si="337"/>
        <v>0</v>
      </c>
      <c r="H1004" s="249">
        <f t="shared" si="338"/>
        <v>10.969475025688931</v>
      </c>
      <c r="I1004" s="336">
        <v>9.2635839950179037E-3</v>
      </c>
      <c r="J1004" s="258">
        <f t="shared" si="339"/>
        <v>9.2635839950179037E-3</v>
      </c>
      <c r="K1004" s="249">
        <f t="shared" si="340"/>
        <v>1154.2530233613579</v>
      </c>
      <c r="L1004" s="336">
        <v>0.97475219264102964</v>
      </c>
      <c r="M1004" s="258">
        <f t="shared" si="341"/>
        <v>0.97475219264102964</v>
      </c>
      <c r="N1004" s="251">
        <f t="shared" si="342"/>
        <v>18.927721612953452</v>
      </c>
      <c r="O1004" s="336">
        <v>1.5984223363952461E-2</v>
      </c>
      <c r="P1004" s="258">
        <f t="shared" si="343"/>
        <v>1.5984223363952461E-2</v>
      </c>
      <c r="Q1004" s="354">
        <v>1156.1400000000001</v>
      </c>
      <c r="R1004" s="249">
        <f t="shared" si="344"/>
        <v>1184.1502200000002</v>
      </c>
      <c r="S1004" s="355">
        <v>0.1</v>
      </c>
      <c r="T1004" s="355"/>
      <c r="U1004" s="315">
        <f t="shared" si="345"/>
        <v>1302.5652420000001</v>
      </c>
      <c r="V1004" s="315">
        <f t="shared" si="346"/>
        <v>1325</v>
      </c>
      <c r="W1004" s="316">
        <f t="shared" si="335"/>
        <v>0</v>
      </c>
    </row>
    <row r="1005" spans="1:23" x14ac:dyDescent="0.25">
      <c r="A1005" s="204" t="s">
        <v>16650</v>
      </c>
      <c r="B1005" s="351" t="s">
        <v>20733</v>
      </c>
      <c r="C1005" s="352"/>
      <c r="D1005" s="353" t="s">
        <v>5</v>
      </c>
      <c r="E1005" s="249">
        <f t="shared" si="336"/>
        <v>0</v>
      </c>
      <c r="F1005" s="336">
        <v>0</v>
      </c>
      <c r="G1005" s="258">
        <f t="shared" si="337"/>
        <v>0</v>
      </c>
      <c r="H1005" s="249">
        <f t="shared" si="338"/>
        <v>6.3775465815528495E-2</v>
      </c>
      <c r="I1005" s="336">
        <v>9.2635839950179037E-3</v>
      </c>
      <c r="J1005" s="258">
        <f t="shared" si="339"/>
        <v>9.2635839950179037E-3</v>
      </c>
      <c r="K1005" s="249">
        <f t="shared" si="340"/>
        <v>6.7106557839544045</v>
      </c>
      <c r="L1005" s="336">
        <v>0.97474354316951228</v>
      </c>
      <c r="M1005" s="258">
        <f t="shared" si="341"/>
        <v>0.97474354316951228</v>
      </c>
      <c r="N1005" s="251">
        <f t="shared" si="342"/>
        <v>0.11004394101502954</v>
      </c>
      <c r="O1005" s="336">
        <v>1.5984223363952461E-2</v>
      </c>
      <c r="P1005" s="258">
        <f t="shared" si="343"/>
        <v>1.5984223363952461E-2</v>
      </c>
      <c r="Q1005" s="354">
        <v>6.7217441860465126</v>
      </c>
      <c r="R1005" s="249">
        <f t="shared" si="344"/>
        <v>6.8845347383720927</v>
      </c>
      <c r="S1005" s="355">
        <v>0.1</v>
      </c>
      <c r="T1005" s="355"/>
      <c r="U1005" s="315">
        <f t="shared" si="345"/>
        <v>7.5729882122093022</v>
      </c>
      <c r="V1005" s="315">
        <f t="shared" si="346"/>
        <v>8</v>
      </c>
      <c r="W1005" s="316">
        <f t="shared" si="335"/>
        <v>0</v>
      </c>
    </row>
    <row r="1006" spans="1:23" x14ac:dyDescent="0.25">
      <c r="A1006" s="204" t="s">
        <v>16651</v>
      </c>
      <c r="B1006" s="351" t="s">
        <v>20734</v>
      </c>
      <c r="C1006" s="352"/>
      <c r="D1006" s="353" t="s">
        <v>14859</v>
      </c>
      <c r="E1006" s="249">
        <f t="shared" si="336"/>
        <v>0</v>
      </c>
      <c r="F1006" s="336">
        <v>0</v>
      </c>
      <c r="G1006" s="258">
        <f t="shared" si="337"/>
        <v>0</v>
      </c>
      <c r="H1006" s="249">
        <f t="shared" si="338"/>
        <v>10.969803424407754</v>
      </c>
      <c r="I1006" s="336">
        <v>8.2217429404130918E-3</v>
      </c>
      <c r="J1006" s="258">
        <f t="shared" si="339"/>
        <v>8.2217429404130918E-3</v>
      </c>
      <c r="K1006" s="249">
        <f t="shared" si="340"/>
        <v>1304.3449640638689</v>
      </c>
      <c r="L1006" s="336">
        <v>0.97759172022122698</v>
      </c>
      <c r="M1006" s="258">
        <f t="shared" si="341"/>
        <v>0.97759172022122698</v>
      </c>
      <c r="N1006" s="251">
        <f t="shared" si="342"/>
        <v>18.928288261723182</v>
      </c>
      <c r="O1006" s="336">
        <v>1.4186536838359845E-2</v>
      </c>
      <c r="P1006" s="258">
        <f t="shared" si="343"/>
        <v>1.4186536838359845E-2</v>
      </c>
      <c r="Q1006" s="354">
        <v>1302.6434999999999</v>
      </c>
      <c r="R1006" s="249">
        <f t="shared" si="344"/>
        <v>1334.2430557499999</v>
      </c>
      <c r="S1006" s="355">
        <v>0.1</v>
      </c>
      <c r="T1006" s="355"/>
      <c r="U1006" s="315">
        <f t="shared" si="345"/>
        <v>1467.667361325</v>
      </c>
      <c r="V1006" s="315">
        <f t="shared" si="346"/>
        <v>1475</v>
      </c>
      <c r="W1006" s="316">
        <f t="shared" si="335"/>
        <v>0</v>
      </c>
    </row>
    <row r="1007" spans="1:23" x14ac:dyDescent="0.25">
      <c r="A1007" s="204" t="s">
        <v>16652</v>
      </c>
      <c r="B1007" s="351" t="s">
        <v>20735</v>
      </c>
      <c r="C1007" s="352"/>
      <c r="D1007" s="353" t="s">
        <v>5</v>
      </c>
      <c r="E1007" s="249">
        <f t="shared" si="336"/>
        <v>0</v>
      </c>
      <c r="F1007" s="336">
        <v>0</v>
      </c>
      <c r="G1007" s="258">
        <f t="shared" si="337"/>
        <v>0</v>
      </c>
      <c r="H1007" s="249">
        <f t="shared" si="338"/>
        <v>6.377743716657748E-2</v>
      </c>
      <c r="I1007" s="336">
        <v>8.2217429404130918E-3</v>
      </c>
      <c r="J1007" s="258">
        <f t="shared" si="339"/>
        <v>8.2217429404130918E-3</v>
      </c>
      <c r="K1007" s="249">
        <f t="shared" si="340"/>
        <v>7.5832831752041541</v>
      </c>
      <c r="L1007" s="336">
        <v>0.97758404352380357</v>
      </c>
      <c r="M1007" s="258">
        <f t="shared" si="341"/>
        <v>0.97758404352380357</v>
      </c>
      <c r="N1007" s="251">
        <f t="shared" si="342"/>
        <v>0.1100473425619376</v>
      </c>
      <c r="O1007" s="336">
        <v>1.4186536838359843E-2</v>
      </c>
      <c r="P1007" s="258">
        <f t="shared" si="343"/>
        <v>1.4186536838359843E-2</v>
      </c>
      <c r="Q1007" s="354">
        <v>7.5735087209302323</v>
      </c>
      <c r="R1007" s="249">
        <f t="shared" si="344"/>
        <v>7.7571675043604635</v>
      </c>
      <c r="S1007" s="355">
        <v>0.1</v>
      </c>
      <c r="T1007" s="355"/>
      <c r="U1007" s="315">
        <f t="shared" si="345"/>
        <v>8.5328842547965102</v>
      </c>
      <c r="V1007" s="315">
        <f t="shared" si="346"/>
        <v>9</v>
      </c>
      <c r="W1007" s="316">
        <f t="shared" si="335"/>
        <v>0</v>
      </c>
    </row>
    <row r="1008" spans="1:23" x14ac:dyDescent="0.25">
      <c r="A1008" s="204" t="s">
        <v>16653</v>
      </c>
      <c r="B1008" s="351" t="s">
        <v>20736</v>
      </c>
      <c r="C1008" s="352"/>
      <c r="D1008" s="353" t="s">
        <v>14859</v>
      </c>
      <c r="E1008" s="249">
        <f t="shared" si="336"/>
        <v>0</v>
      </c>
      <c r="F1008" s="336">
        <v>0</v>
      </c>
      <c r="G1008" s="258">
        <f t="shared" si="337"/>
        <v>0</v>
      </c>
      <c r="H1008" s="249">
        <f t="shared" si="338"/>
        <v>10.96995140550694</v>
      </c>
      <c r="I1008" s="336">
        <v>7.7522746520162439E-3</v>
      </c>
      <c r="J1008" s="258">
        <f t="shared" si="339"/>
        <v>7.7522746520162439E-3</v>
      </c>
      <c r="K1008" s="249">
        <f t="shared" si="340"/>
        <v>1385.163779992834</v>
      </c>
      <c r="L1008" s="336">
        <v>0.9788712514386223</v>
      </c>
      <c r="M1008" s="258">
        <f t="shared" si="341"/>
        <v>0.9788712514386223</v>
      </c>
      <c r="N1008" s="251">
        <f t="shared" si="342"/>
        <v>18.92854360165903</v>
      </c>
      <c r="O1008" s="336">
        <v>1.337647390936136E-2</v>
      </c>
      <c r="P1008" s="258">
        <f t="shared" si="343"/>
        <v>1.337647390936136E-2</v>
      </c>
      <c r="Q1008" s="354">
        <v>1381.53</v>
      </c>
      <c r="R1008" s="249">
        <f t="shared" si="344"/>
        <v>1415.062275</v>
      </c>
      <c r="S1008" s="355">
        <v>0.1</v>
      </c>
      <c r="T1008" s="355"/>
      <c r="U1008" s="315">
        <f t="shared" si="345"/>
        <v>1556.5685025</v>
      </c>
      <c r="V1008" s="315">
        <f t="shared" si="346"/>
        <v>1575</v>
      </c>
      <c r="W1008" s="316">
        <f t="shared" si="335"/>
        <v>0</v>
      </c>
    </row>
    <row r="1009" spans="1:28" x14ac:dyDescent="0.25">
      <c r="A1009" s="204" t="s">
        <v>16654</v>
      </c>
      <c r="B1009" s="351" t="s">
        <v>20737</v>
      </c>
      <c r="C1009" s="352"/>
      <c r="D1009" s="353" t="s">
        <v>5</v>
      </c>
      <c r="E1009" s="249">
        <f t="shared" si="336"/>
        <v>0</v>
      </c>
      <c r="F1009" s="336">
        <v>0</v>
      </c>
      <c r="G1009" s="258">
        <f t="shared" si="337"/>
        <v>0</v>
      </c>
      <c r="H1009" s="249">
        <f t="shared" si="338"/>
        <v>6.3778325485192619E-2</v>
      </c>
      <c r="I1009" s="336">
        <v>7.7522746520162439E-3</v>
      </c>
      <c r="J1009" s="258">
        <f t="shared" si="339"/>
        <v>7.7522746520162439E-3</v>
      </c>
      <c r="K1009" s="249">
        <f t="shared" si="340"/>
        <v>8.0531599349570975</v>
      </c>
      <c r="L1009" s="336">
        <v>0.97886401308693982</v>
      </c>
      <c r="M1009" s="258">
        <f t="shared" si="341"/>
        <v>0.97886401308693982</v>
      </c>
      <c r="N1009" s="251">
        <f t="shared" si="342"/>
        <v>0.110048875346999</v>
      </c>
      <c r="O1009" s="336">
        <v>1.337647390936136E-2</v>
      </c>
      <c r="P1009" s="258">
        <f t="shared" si="343"/>
        <v>1.337647390936136E-2</v>
      </c>
      <c r="Q1009" s="354">
        <v>8.0321511627906972</v>
      </c>
      <c r="R1009" s="249">
        <f t="shared" si="344"/>
        <v>8.2270466860465117</v>
      </c>
      <c r="S1009" s="355">
        <v>0.1</v>
      </c>
      <c r="T1009" s="355"/>
      <c r="U1009" s="315">
        <f t="shared" si="345"/>
        <v>9.0497513546511623</v>
      </c>
      <c r="V1009" s="315">
        <f t="shared" si="346"/>
        <v>10</v>
      </c>
      <c r="W1009" s="316">
        <f t="shared" si="335"/>
        <v>0</v>
      </c>
    </row>
    <row r="1010" spans="1:28" x14ac:dyDescent="0.25">
      <c r="A1010" s="204" t="s">
        <v>16655</v>
      </c>
      <c r="B1010" s="351" t="s">
        <v>20738</v>
      </c>
      <c r="C1010" s="352"/>
      <c r="D1010" s="353" t="s">
        <v>14859</v>
      </c>
      <c r="E1010" s="249">
        <f t="shared" si="336"/>
        <v>0</v>
      </c>
      <c r="F1010" s="336">
        <v>0</v>
      </c>
      <c r="G1010" s="258">
        <f t="shared" si="337"/>
        <v>0</v>
      </c>
      <c r="H1010" s="249">
        <f t="shared" si="338"/>
        <v>10.970957626359395</v>
      </c>
      <c r="I1010" s="336">
        <v>4.5600508886351277E-3</v>
      </c>
      <c r="J1010" s="258">
        <f t="shared" si="339"/>
        <v>4.5600508886351277E-3</v>
      </c>
      <c r="K1010" s="249">
        <f t="shared" si="340"/>
        <v>2375.9836735477656</v>
      </c>
      <c r="L1010" s="336">
        <v>0.98757162600940618</v>
      </c>
      <c r="M1010" s="258">
        <f t="shared" si="341"/>
        <v>0.98757162600940618</v>
      </c>
      <c r="N1010" s="251">
        <f t="shared" si="342"/>
        <v>18.930279825875036</v>
      </c>
      <c r="O1010" s="336">
        <v>7.8683231019586516E-3</v>
      </c>
      <c r="P1010" s="258">
        <f t="shared" si="343"/>
        <v>7.8683231019586516E-3</v>
      </c>
      <c r="Q1010" s="354">
        <v>2348.6579999999999</v>
      </c>
      <c r="R1010" s="249">
        <f t="shared" si="344"/>
        <v>2405.8849110000001</v>
      </c>
      <c r="S1010" s="355">
        <v>0.1</v>
      </c>
      <c r="T1010" s="355"/>
      <c r="U1010" s="315">
        <f t="shared" si="345"/>
        <v>2646.4734020999999</v>
      </c>
      <c r="V1010" s="315">
        <f t="shared" si="346"/>
        <v>2650</v>
      </c>
      <c r="W1010" s="316">
        <f t="shared" si="335"/>
        <v>0</v>
      </c>
    </row>
    <row r="1011" spans="1:28" x14ac:dyDescent="0.25">
      <c r="A1011" s="204" t="s">
        <v>16656</v>
      </c>
      <c r="B1011" s="351" t="s">
        <v>20739</v>
      </c>
      <c r="C1011" s="352"/>
      <c r="D1011" s="353" t="s">
        <v>5</v>
      </c>
      <c r="E1011" s="249">
        <f t="shared" si="336"/>
        <v>0</v>
      </c>
      <c r="F1011" s="336">
        <v>0</v>
      </c>
      <c r="G1011" s="258">
        <f t="shared" si="337"/>
        <v>0</v>
      </c>
      <c r="H1011" s="249">
        <f t="shared" si="338"/>
        <v>6.3784365747895588E-2</v>
      </c>
      <c r="I1011" s="336">
        <v>4.5600508886351277E-3</v>
      </c>
      <c r="J1011" s="258">
        <f t="shared" si="339"/>
        <v>4.5600508886351277E-3</v>
      </c>
      <c r="K1011" s="249">
        <f t="shared" si="340"/>
        <v>13.813740187570721</v>
      </c>
      <c r="L1011" s="336">
        <v>0.98756736825881009</v>
      </c>
      <c r="M1011" s="258">
        <f t="shared" si="341"/>
        <v>0.98756736825881009</v>
      </c>
      <c r="N1011" s="251">
        <f t="shared" si="342"/>
        <v>0.11005929776107475</v>
      </c>
      <c r="O1011" s="336">
        <v>7.8683231019586516E-3</v>
      </c>
      <c r="P1011" s="258">
        <f t="shared" si="343"/>
        <v>7.8683231019586516E-3</v>
      </c>
      <c r="Q1011" s="354">
        <v>13.654988372093023</v>
      </c>
      <c r="R1011" s="249">
        <f t="shared" si="344"/>
        <v>13.987643406976746</v>
      </c>
      <c r="S1011" s="355">
        <v>0.1</v>
      </c>
      <c r="T1011" s="355"/>
      <c r="U1011" s="315">
        <f t="shared" si="345"/>
        <v>15.38640774767442</v>
      </c>
      <c r="V1011" s="315">
        <f t="shared" si="346"/>
        <v>16</v>
      </c>
      <c r="W1011" s="316">
        <f t="shared" si="335"/>
        <v>0</v>
      </c>
    </row>
    <row r="1012" spans="1:28" ht="14.4" thickBot="1" x14ac:dyDescent="0.3">
      <c r="A1012" s="356" t="s">
        <v>16657</v>
      </c>
      <c r="B1012" s="357" t="s">
        <v>20740</v>
      </c>
      <c r="C1012" s="358"/>
      <c r="D1012" s="359" t="s">
        <v>14859</v>
      </c>
      <c r="E1012" s="266">
        <f t="shared" si="336"/>
        <v>0</v>
      </c>
      <c r="F1012" s="360">
        <v>0</v>
      </c>
      <c r="G1012" s="322">
        <f t="shared" si="337"/>
        <v>0</v>
      </c>
      <c r="H1012" s="266">
        <f t="shared" si="338"/>
        <v>10.971024578485364</v>
      </c>
      <c r="I1012" s="360">
        <v>4.3476460602045464E-3</v>
      </c>
      <c r="J1012" s="322">
        <f t="shared" si="339"/>
        <v>4.3476460602045464E-3</v>
      </c>
      <c r="K1012" s="266">
        <f t="shared" si="340"/>
        <v>2493.5387190704027</v>
      </c>
      <c r="L1012" s="360">
        <v>0.98815053328689351</v>
      </c>
      <c r="M1012" s="322">
        <f t="shared" si="341"/>
        <v>0.98815053328689351</v>
      </c>
      <c r="N1012" s="270">
        <f t="shared" si="342"/>
        <v>18.930395351112001</v>
      </c>
      <c r="O1012" s="360">
        <v>7.5018206529019627E-3</v>
      </c>
      <c r="P1012" s="322">
        <f t="shared" si="343"/>
        <v>7.5018206529019627E-3</v>
      </c>
      <c r="Q1012" s="361">
        <v>2463.402</v>
      </c>
      <c r="R1012" s="266">
        <f t="shared" si="344"/>
        <v>2523.4401390000003</v>
      </c>
      <c r="S1012" s="362">
        <v>0.1</v>
      </c>
      <c r="T1012" s="362"/>
      <c r="U1012" s="324">
        <f t="shared" si="345"/>
        <v>2775.7841529000002</v>
      </c>
      <c r="V1012" s="324">
        <f t="shared" si="346"/>
        <v>2800</v>
      </c>
      <c r="W1012" s="325">
        <f t="shared" si="335"/>
        <v>0</v>
      </c>
    </row>
    <row r="1013" spans="1:28" x14ac:dyDescent="0.25">
      <c r="A1013" s="204" t="s">
        <v>16658</v>
      </c>
      <c r="B1013" s="351" t="s">
        <v>20741</v>
      </c>
      <c r="C1013" s="352"/>
      <c r="D1013" s="353" t="s">
        <v>5</v>
      </c>
      <c r="E1013" s="249">
        <f t="shared" si="336"/>
        <v>0</v>
      </c>
      <c r="F1013" s="336">
        <v>0</v>
      </c>
      <c r="G1013" s="258">
        <f t="shared" si="337"/>
        <v>0</v>
      </c>
      <c r="H1013" s="249">
        <f t="shared" si="338"/>
        <v>6.3784767656113253E-2</v>
      </c>
      <c r="I1013" s="336">
        <v>4.3476460602045472E-3</v>
      </c>
      <c r="J1013" s="258">
        <f t="shared" si="339"/>
        <v>4.3476460602045472E-3</v>
      </c>
      <c r="K1013" s="249">
        <f t="shared" si="340"/>
        <v>14.497199719705526</v>
      </c>
      <c r="L1013" s="336">
        <v>0.98814647386013343</v>
      </c>
      <c r="M1013" s="258">
        <f t="shared" si="341"/>
        <v>0.98814647386013343</v>
      </c>
      <c r="N1013" s="251">
        <f t="shared" si="342"/>
        <v>0.11005999124976402</v>
      </c>
      <c r="O1013" s="336">
        <v>7.5018206529019627E-3</v>
      </c>
      <c r="P1013" s="258">
        <f t="shared" si="343"/>
        <v>7.5018206529019627E-3</v>
      </c>
      <c r="Q1013" s="354">
        <v>14.322104651162791</v>
      </c>
      <c r="R1013" s="249">
        <f t="shared" si="344"/>
        <v>14.671104034883722</v>
      </c>
      <c r="S1013" s="355">
        <v>0.1</v>
      </c>
      <c r="T1013" s="355"/>
      <c r="U1013" s="315">
        <f t="shared" si="345"/>
        <v>16.138214438372096</v>
      </c>
      <c r="V1013" s="315">
        <f t="shared" si="346"/>
        <v>17</v>
      </c>
      <c r="W1013" s="316">
        <f t="shared" si="335"/>
        <v>0</v>
      </c>
    </row>
    <row r="1014" spans="1:28" x14ac:dyDescent="0.25">
      <c r="A1014" s="204" t="s">
        <v>16659</v>
      </c>
      <c r="B1014" s="351" t="s">
        <v>20742</v>
      </c>
      <c r="C1014" s="352"/>
      <c r="D1014" s="353" t="s">
        <v>14859</v>
      </c>
      <c r="E1014" s="249">
        <f t="shared" si="336"/>
        <v>0</v>
      </c>
      <c r="F1014" s="336">
        <v>0</v>
      </c>
      <c r="G1014" s="258">
        <f t="shared" si="337"/>
        <v>0</v>
      </c>
      <c r="H1014" s="249">
        <f t="shared" si="338"/>
        <v>10.971071369489797</v>
      </c>
      <c r="I1014" s="336">
        <v>4.1992021515911979E-3</v>
      </c>
      <c r="J1014" s="258">
        <f t="shared" si="339"/>
        <v>4.1992021515911979E-3</v>
      </c>
      <c r="K1014" s="249">
        <f t="shared" si="340"/>
        <v>2582.7546127919791</v>
      </c>
      <c r="L1014" s="336">
        <v>0.98855511570448673</v>
      </c>
      <c r="M1014" s="258">
        <f t="shared" si="341"/>
        <v>0.98855511570448673</v>
      </c>
      <c r="N1014" s="251">
        <f t="shared" si="342"/>
        <v>18.930476088531414</v>
      </c>
      <c r="O1014" s="336">
        <v>7.2456821439220668E-3</v>
      </c>
      <c r="P1014" s="258">
        <f t="shared" si="343"/>
        <v>7.2456821439220668E-3</v>
      </c>
      <c r="Q1014" s="354">
        <v>2550.4845</v>
      </c>
      <c r="R1014" s="249">
        <f t="shared" si="344"/>
        <v>2612.6561602500001</v>
      </c>
      <c r="S1014" s="355">
        <v>0.1</v>
      </c>
      <c r="T1014" s="355"/>
      <c r="U1014" s="315">
        <f t="shared" si="345"/>
        <v>2873.921776275</v>
      </c>
      <c r="V1014" s="315">
        <f t="shared" si="346"/>
        <v>2875</v>
      </c>
      <c r="W1014" s="316">
        <f t="shared" si="335"/>
        <v>0</v>
      </c>
    </row>
    <row r="1015" spans="1:28" x14ac:dyDescent="0.25">
      <c r="A1015" s="204" t="s">
        <v>16660</v>
      </c>
      <c r="B1015" s="351" t="s">
        <v>20743</v>
      </c>
      <c r="C1015" s="352"/>
      <c r="D1015" s="353" t="s">
        <v>5</v>
      </c>
      <c r="E1015" s="249">
        <f t="shared" si="336"/>
        <v>0</v>
      </c>
      <c r="F1015" s="336">
        <v>0</v>
      </c>
      <c r="G1015" s="258">
        <f t="shared" si="337"/>
        <v>0</v>
      </c>
      <c r="H1015" s="249">
        <f t="shared" si="338"/>
        <v>6.3785048538742756E-2</v>
      </c>
      <c r="I1015" s="336">
        <v>4.1992021515911979E-3</v>
      </c>
      <c r="J1015" s="258">
        <f t="shared" si="339"/>
        <v>4.1992021515911979E-3</v>
      </c>
      <c r="K1015" s="249">
        <f t="shared" si="340"/>
        <v>15.015896751865526</v>
      </c>
      <c r="L1015" s="336">
        <v>0.98855119488081589</v>
      </c>
      <c r="M1015" s="258">
        <f t="shared" si="341"/>
        <v>0.98855119488081589</v>
      </c>
      <c r="N1015" s="251">
        <f t="shared" si="342"/>
        <v>0.11006047590998751</v>
      </c>
      <c r="O1015" s="336">
        <v>7.2456821439220668E-3</v>
      </c>
      <c r="P1015" s="258">
        <f t="shared" si="343"/>
        <v>7.2456821439220668E-3</v>
      </c>
      <c r="Q1015" s="354">
        <v>14.828398255813953</v>
      </c>
      <c r="R1015" s="249">
        <f t="shared" si="344"/>
        <v>15.189801832848838</v>
      </c>
      <c r="S1015" s="355">
        <v>0.1</v>
      </c>
      <c r="T1015" s="355"/>
      <c r="U1015" s="315">
        <f t="shared" si="345"/>
        <v>16.708782016133721</v>
      </c>
      <c r="V1015" s="315">
        <f t="shared" si="346"/>
        <v>17</v>
      </c>
      <c r="W1015" s="316">
        <f t="shared" si="335"/>
        <v>0</v>
      </c>
    </row>
    <row r="1016" spans="1:28" x14ac:dyDescent="0.25">
      <c r="A1016" s="204" t="s">
        <v>16661</v>
      </c>
      <c r="B1016" s="351" t="s">
        <v>20744</v>
      </c>
      <c r="C1016" s="352"/>
      <c r="D1016" s="353" t="s">
        <v>14859</v>
      </c>
      <c r="E1016" s="249">
        <f t="shared" si="336"/>
        <v>0</v>
      </c>
      <c r="F1016" s="336">
        <v>0</v>
      </c>
      <c r="G1016" s="258">
        <f t="shared" si="337"/>
        <v>0</v>
      </c>
      <c r="H1016" s="249">
        <f t="shared" si="338"/>
        <v>10.97143388719968</v>
      </c>
      <c r="I1016" s="336">
        <v>3.0491190010505371E-3</v>
      </c>
      <c r="J1016" s="258">
        <f t="shared" si="339"/>
        <v>3.0491190010505371E-3</v>
      </c>
      <c r="K1016" s="249">
        <f t="shared" si="340"/>
        <v>3568.3282595035143</v>
      </c>
      <c r="L1016" s="336">
        <v>0.99168965605596027</v>
      </c>
      <c r="M1016" s="258">
        <f t="shared" si="341"/>
        <v>0.99168965605596027</v>
      </c>
      <c r="N1016" s="251">
        <f t="shared" si="342"/>
        <v>18.931101609285722</v>
      </c>
      <c r="O1016" s="336">
        <v>5.2612249429891617E-3</v>
      </c>
      <c r="P1016" s="258">
        <f t="shared" si="343"/>
        <v>5.2612249429891617E-3</v>
      </c>
      <c r="Q1016" s="354">
        <v>3512.49</v>
      </c>
      <c r="R1016" s="249">
        <f t="shared" si="344"/>
        <v>3598.2307949999999</v>
      </c>
      <c r="S1016" s="355">
        <v>0.1</v>
      </c>
      <c r="T1016" s="355"/>
      <c r="U1016" s="315">
        <f t="shared" si="345"/>
        <v>3958.0538744999999</v>
      </c>
      <c r="V1016" s="315">
        <f t="shared" si="346"/>
        <v>3975</v>
      </c>
      <c r="W1016" s="316">
        <f t="shared" si="335"/>
        <v>0</v>
      </c>
    </row>
    <row r="1017" spans="1:28" x14ac:dyDescent="0.25">
      <c r="A1017" s="204" t="s">
        <v>16662</v>
      </c>
      <c r="B1017" s="351" t="s">
        <v>20745</v>
      </c>
      <c r="C1017" s="352"/>
      <c r="D1017" s="353" t="s">
        <v>5</v>
      </c>
      <c r="E1017" s="249">
        <f t="shared" si="336"/>
        <v>0</v>
      </c>
      <c r="F1017" s="336">
        <v>0</v>
      </c>
      <c r="G1017" s="258">
        <f t="shared" si="337"/>
        <v>0</v>
      </c>
      <c r="H1017" s="249">
        <f t="shared" si="338"/>
        <v>6.3787224703346024E-2</v>
      </c>
      <c r="I1017" s="336">
        <v>3.0491190010505376E-3</v>
      </c>
      <c r="J1017" s="258">
        <f t="shared" si="339"/>
        <v>3.0491190010505376E-3</v>
      </c>
      <c r="K1017" s="249">
        <f t="shared" si="340"/>
        <v>20.745975904474147</v>
      </c>
      <c r="L1017" s="336">
        <v>0.99168680907276607</v>
      </c>
      <c r="M1017" s="258">
        <f t="shared" si="341"/>
        <v>0.99168680907276607</v>
      </c>
      <c r="N1017" s="251">
        <f t="shared" si="342"/>
        <v>0.11006423086067546</v>
      </c>
      <c r="O1017" s="336">
        <v>5.2612249429891617E-3</v>
      </c>
      <c r="P1017" s="258">
        <f t="shared" si="343"/>
        <v>5.2612249429891617E-3</v>
      </c>
      <c r="Q1017" s="354">
        <v>20.421453488372091</v>
      </c>
      <c r="R1017" s="249">
        <f t="shared" si="344"/>
        <v>20.91988691860465</v>
      </c>
      <c r="S1017" s="355">
        <v>0.1</v>
      </c>
      <c r="T1017" s="355"/>
      <c r="U1017" s="315">
        <f t="shared" si="345"/>
        <v>23.011875610465115</v>
      </c>
      <c r="V1017" s="315">
        <f t="shared" si="346"/>
        <v>24</v>
      </c>
      <c r="W1017" s="316">
        <f t="shared" si="335"/>
        <v>0</v>
      </c>
    </row>
    <row r="1018" spans="1:28" x14ac:dyDescent="0.25">
      <c r="A1018" s="204" t="s">
        <v>16663</v>
      </c>
      <c r="B1018" s="351" t="s">
        <v>20746</v>
      </c>
      <c r="C1018" s="352"/>
      <c r="D1018" s="353" t="s">
        <v>14859</v>
      </c>
      <c r="E1018" s="249">
        <f t="shared" si="336"/>
        <v>0</v>
      </c>
      <c r="F1018" s="336">
        <v>0</v>
      </c>
      <c r="G1018" s="258">
        <f t="shared" si="337"/>
        <v>0</v>
      </c>
      <c r="H1018" s="249">
        <f t="shared" si="338"/>
        <v>10.97143388719968</v>
      </c>
      <c r="I1018" s="336">
        <v>3.0491190010505371E-3</v>
      </c>
      <c r="J1018" s="258">
        <f t="shared" si="339"/>
        <v>3.0491190010505371E-3</v>
      </c>
      <c r="K1018" s="249">
        <f t="shared" si="340"/>
        <v>3568.3282595035143</v>
      </c>
      <c r="L1018" s="336">
        <v>0.99168965605596027</v>
      </c>
      <c r="M1018" s="258">
        <f t="shared" si="341"/>
        <v>0.99168965605596027</v>
      </c>
      <c r="N1018" s="251">
        <f t="shared" si="342"/>
        <v>18.931101609285722</v>
      </c>
      <c r="O1018" s="336">
        <v>5.2612249429891617E-3</v>
      </c>
      <c r="P1018" s="258">
        <f t="shared" si="343"/>
        <v>5.2612249429891617E-3</v>
      </c>
      <c r="Q1018" s="354">
        <v>3512.49</v>
      </c>
      <c r="R1018" s="249">
        <f t="shared" si="344"/>
        <v>3598.2307949999999</v>
      </c>
      <c r="S1018" s="355">
        <v>0.1</v>
      </c>
      <c r="T1018" s="355"/>
      <c r="U1018" s="315">
        <f t="shared" si="345"/>
        <v>3958.0538744999999</v>
      </c>
      <c r="V1018" s="315">
        <f t="shared" si="346"/>
        <v>3975</v>
      </c>
      <c r="W1018" s="316">
        <f t="shared" ref="W1018:W1037" si="347">C1018*V1018</f>
        <v>0</v>
      </c>
    </row>
    <row r="1019" spans="1:28" x14ac:dyDescent="0.25">
      <c r="A1019" s="204" t="s">
        <v>16664</v>
      </c>
      <c r="B1019" s="351" t="s">
        <v>20747</v>
      </c>
      <c r="C1019" s="352"/>
      <c r="D1019" s="353" t="s">
        <v>5</v>
      </c>
      <c r="E1019" s="249">
        <f t="shared" si="336"/>
        <v>0</v>
      </c>
      <c r="F1019" s="336">
        <v>0</v>
      </c>
      <c r="G1019" s="258">
        <f t="shared" si="337"/>
        <v>0</v>
      </c>
      <c r="H1019" s="249">
        <f t="shared" si="338"/>
        <v>6.3787224703346024E-2</v>
      </c>
      <c r="I1019" s="336">
        <v>3.0491190010505376E-3</v>
      </c>
      <c r="J1019" s="258">
        <f t="shared" si="339"/>
        <v>3.0491190010505376E-3</v>
      </c>
      <c r="K1019" s="249">
        <f t="shared" si="340"/>
        <v>20.745975904474147</v>
      </c>
      <c r="L1019" s="336">
        <v>0.99168680907276607</v>
      </c>
      <c r="M1019" s="258">
        <f t="shared" si="341"/>
        <v>0.99168680907276607</v>
      </c>
      <c r="N1019" s="251">
        <f t="shared" si="342"/>
        <v>0.11006423086067546</v>
      </c>
      <c r="O1019" s="336">
        <v>5.2612249429891617E-3</v>
      </c>
      <c r="P1019" s="258">
        <f t="shared" si="343"/>
        <v>5.2612249429891617E-3</v>
      </c>
      <c r="Q1019" s="354">
        <v>20.421453488372091</v>
      </c>
      <c r="R1019" s="249">
        <f t="shared" si="344"/>
        <v>20.91988691860465</v>
      </c>
      <c r="S1019" s="355">
        <v>0.1</v>
      </c>
      <c r="T1019" s="355"/>
      <c r="U1019" s="315">
        <f t="shared" si="345"/>
        <v>23.011875610465115</v>
      </c>
      <c r="V1019" s="315">
        <f t="shared" si="346"/>
        <v>24</v>
      </c>
      <c r="W1019" s="316">
        <f t="shared" si="347"/>
        <v>0</v>
      </c>
    </row>
    <row r="1020" spans="1:28" x14ac:dyDescent="0.25">
      <c r="A1020" s="204" t="s">
        <v>16665</v>
      </c>
      <c r="B1020" s="351" t="s">
        <v>20748</v>
      </c>
      <c r="C1020" s="352"/>
      <c r="D1020" s="353" t="s">
        <v>14859</v>
      </c>
      <c r="E1020" s="249">
        <f t="shared" si="336"/>
        <v>0</v>
      </c>
      <c r="F1020" s="336">
        <v>0</v>
      </c>
      <c r="G1020" s="258">
        <f t="shared" si="337"/>
        <v>0</v>
      </c>
      <c r="H1020" s="249">
        <f t="shared" si="338"/>
        <v>10.971912862114442</v>
      </c>
      <c r="I1020" s="336">
        <v>1.5295767442637662E-3</v>
      </c>
      <c r="J1020" s="258">
        <f t="shared" si="339"/>
        <v>1.5295767442637662E-3</v>
      </c>
      <c r="K1020" s="249">
        <f t="shared" si="340"/>
        <v>7143.2654055620796</v>
      </c>
      <c r="L1020" s="336">
        <v>0.99583115357935958</v>
      </c>
      <c r="M1020" s="258">
        <f t="shared" si="341"/>
        <v>0.99583115357935958</v>
      </c>
      <c r="N1020" s="251">
        <f t="shared" si="342"/>
        <v>18.931928075805306</v>
      </c>
      <c r="O1020" s="336">
        <v>2.6392696763766943E-3</v>
      </c>
      <c r="P1020" s="258">
        <f t="shared" si="343"/>
        <v>2.6392696763766943E-3</v>
      </c>
      <c r="Q1020" s="354">
        <v>7001.936999999999</v>
      </c>
      <c r="R1020" s="249">
        <f t="shared" si="344"/>
        <v>7173.1692464999987</v>
      </c>
      <c r="S1020" s="355">
        <v>0.1</v>
      </c>
      <c r="T1020" s="355"/>
      <c r="U1020" s="315">
        <f t="shared" si="345"/>
        <v>7890.4861711499989</v>
      </c>
      <c r="V1020" s="315">
        <f t="shared" si="346"/>
        <v>7900</v>
      </c>
      <c r="W1020" s="316">
        <f t="shared" si="347"/>
        <v>0</v>
      </c>
    </row>
    <row r="1021" spans="1:28" s="284" customFormat="1" ht="14.4" x14ac:dyDescent="0.3">
      <c r="A1021" s="204" t="s">
        <v>16666</v>
      </c>
      <c r="B1021" s="351" t="s">
        <v>20749</v>
      </c>
      <c r="C1021" s="352"/>
      <c r="D1021" s="353" t="s">
        <v>5</v>
      </c>
      <c r="E1021" s="249">
        <f t="shared" si="336"/>
        <v>0</v>
      </c>
      <c r="F1021" s="336">
        <v>0</v>
      </c>
      <c r="G1021" s="258">
        <f t="shared" si="337"/>
        <v>0</v>
      </c>
      <c r="H1021" s="249">
        <f t="shared" si="338"/>
        <v>6.3790099951166843E-2</v>
      </c>
      <c r="I1021" s="336">
        <v>1.5295767442637662E-3</v>
      </c>
      <c r="J1021" s="258">
        <f t="shared" si="339"/>
        <v>1.5295767442637662E-3</v>
      </c>
      <c r="K1021" s="249">
        <f t="shared" si="340"/>
        <v>41.530493946143707</v>
      </c>
      <c r="L1021" s="336">
        <v>0.99582972540312775</v>
      </c>
      <c r="M1021" s="258">
        <f t="shared" si="341"/>
        <v>0.99582972540312775</v>
      </c>
      <c r="N1021" s="251">
        <f t="shared" si="342"/>
        <v>0.11006919207260159</v>
      </c>
      <c r="O1021" s="336">
        <v>2.6392696763766943E-3</v>
      </c>
      <c r="P1021" s="258">
        <f t="shared" si="343"/>
        <v>2.6392696763766943E-3</v>
      </c>
      <c r="Q1021" s="354">
        <v>40.708936046511624</v>
      </c>
      <c r="R1021" s="249">
        <f t="shared" si="344"/>
        <v>41.704412799418598</v>
      </c>
      <c r="S1021" s="355">
        <v>0.1</v>
      </c>
      <c r="T1021" s="355"/>
      <c r="U1021" s="315">
        <f t="shared" si="345"/>
        <v>45.87485407936046</v>
      </c>
      <c r="V1021" s="315">
        <f t="shared" si="346"/>
        <v>46</v>
      </c>
      <c r="W1021" s="316">
        <f t="shared" si="347"/>
        <v>0</v>
      </c>
      <c r="X1021" s="185"/>
      <c r="Y1021" s="185"/>
      <c r="Z1021" s="185"/>
      <c r="AA1021" s="206"/>
      <c r="AB1021" s="283"/>
    </row>
    <row r="1022" spans="1:28" x14ac:dyDescent="0.25">
      <c r="A1022" s="204" t="s">
        <v>16667</v>
      </c>
      <c r="B1022" s="351" t="s">
        <v>20750</v>
      </c>
      <c r="C1022" s="352"/>
      <c r="D1022" s="353" t="s">
        <v>14859</v>
      </c>
      <c r="E1022" s="249">
        <f t="shared" si="336"/>
        <v>0</v>
      </c>
      <c r="F1022" s="336">
        <v>0</v>
      </c>
      <c r="G1022" s="258">
        <f t="shared" si="337"/>
        <v>0</v>
      </c>
      <c r="H1022" s="249">
        <f t="shared" si="338"/>
        <v>10.971928823123672</v>
      </c>
      <c r="I1022" s="336">
        <v>1.4789406310975234E-3</v>
      </c>
      <c r="J1022" s="258">
        <f t="shared" si="339"/>
        <v>1.4789406310975234E-3</v>
      </c>
      <c r="K1022" s="249">
        <f t="shared" si="340"/>
        <v>7388.8718205605055</v>
      </c>
      <c r="L1022" s="336">
        <v>0.99596916180936168</v>
      </c>
      <c r="M1022" s="258">
        <f t="shared" si="341"/>
        <v>0.99596916180936168</v>
      </c>
      <c r="N1022" s="251">
        <f t="shared" si="342"/>
        <v>18.931955616370256</v>
      </c>
      <c r="O1022" s="336">
        <v>2.5518975595408243E-3</v>
      </c>
      <c r="P1022" s="258">
        <f t="shared" si="343"/>
        <v>2.5518975595408243E-3</v>
      </c>
      <c r="Q1022" s="354">
        <v>7241.6699999999992</v>
      </c>
      <c r="R1022" s="249">
        <f t="shared" si="344"/>
        <v>7418.7757049999991</v>
      </c>
      <c r="S1022" s="355">
        <v>0.1</v>
      </c>
      <c r="T1022" s="355"/>
      <c r="U1022" s="315">
        <f t="shared" si="345"/>
        <v>8160.6532754999989</v>
      </c>
      <c r="V1022" s="315">
        <f t="shared" si="346"/>
        <v>8175</v>
      </c>
      <c r="W1022" s="316">
        <f t="shared" si="347"/>
        <v>0</v>
      </c>
    </row>
    <row r="1023" spans="1:28" s="284" customFormat="1" ht="14.4" x14ac:dyDescent="0.3">
      <c r="A1023" s="204" t="s">
        <v>16668</v>
      </c>
      <c r="B1023" s="351" t="s">
        <v>20751</v>
      </c>
      <c r="C1023" s="352"/>
      <c r="D1023" s="353" t="s">
        <v>5</v>
      </c>
      <c r="E1023" s="249">
        <f t="shared" si="336"/>
        <v>0</v>
      </c>
      <c r="F1023" s="336">
        <v>0</v>
      </c>
      <c r="G1023" s="258">
        <f t="shared" si="337"/>
        <v>0</v>
      </c>
      <c r="H1023" s="249">
        <f t="shared" si="338"/>
        <v>6.3790195763819224E-2</v>
      </c>
      <c r="I1023" s="336">
        <v>1.4789406310975234E-3</v>
      </c>
      <c r="J1023" s="258">
        <f t="shared" si="339"/>
        <v>1.4789406310975234E-3</v>
      </c>
      <c r="K1023" s="249">
        <f t="shared" si="340"/>
        <v>42.958438211080598</v>
      </c>
      <c r="L1023" s="336">
        <v>0.99596778091241389</v>
      </c>
      <c r="M1023" s="258">
        <f t="shared" si="341"/>
        <v>0.99596778091241389</v>
      </c>
      <c r="N1023" s="251">
        <f t="shared" si="342"/>
        <v>0.11006935739639395</v>
      </c>
      <c r="O1023" s="336">
        <v>2.5518975595408247E-3</v>
      </c>
      <c r="P1023" s="258">
        <f t="shared" si="343"/>
        <v>2.5518975595408247E-3</v>
      </c>
      <c r="Q1023" s="354">
        <v>42.102732558139529</v>
      </c>
      <c r="R1023" s="249">
        <f t="shared" si="344"/>
        <v>43.132357325581388</v>
      </c>
      <c r="S1023" s="355">
        <v>0.1</v>
      </c>
      <c r="T1023" s="355"/>
      <c r="U1023" s="315">
        <f t="shared" si="345"/>
        <v>47.445593058139529</v>
      </c>
      <c r="V1023" s="315">
        <f t="shared" si="346"/>
        <v>48</v>
      </c>
      <c r="W1023" s="316">
        <f t="shared" si="347"/>
        <v>0</v>
      </c>
      <c r="X1023" s="185"/>
      <c r="Y1023" s="185"/>
      <c r="Z1023" s="185"/>
      <c r="AA1023" s="206"/>
      <c r="AB1023" s="283"/>
    </row>
    <row r="1024" spans="1:28" s="284" customFormat="1" ht="14.4" x14ac:dyDescent="0.3">
      <c r="A1024" s="204" t="s">
        <v>16669</v>
      </c>
      <c r="B1024" s="351" t="s">
        <v>20752</v>
      </c>
      <c r="C1024" s="352"/>
      <c r="D1024" s="353" t="s">
        <v>14859</v>
      </c>
      <c r="E1024" s="249">
        <f t="shared" si="336"/>
        <v>0</v>
      </c>
      <c r="F1024" s="336">
        <v>0</v>
      </c>
      <c r="G1024" s="258">
        <f t="shared" si="337"/>
        <v>0</v>
      </c>
      <c r="H1024" s="249">
        <f t="shared" si="338"/>
        <v>10.971950157464931</v>
      </c>
      <c r="I1024" s="336">
        <v>1.4112576855729738E-3</v>
      </c>
      <c r="J1024" s="258">
        <f t="shared" si="339"/>
        <v>1.4112576855729738E-3</v>
      </c>
      <c r="K1024" s="249">
        <f t="shared" si="340"/>
        <v>7744.6862471639688</v>
      </c>
      <c r="L1024" s="336">
        <v>0.99615363101383059</v>
      </c>
      <c r="M1024" s="258">
        <f t="shared" si="341"/>
        <v>0.99615363101383059</v>
      </c>
      <c r="N1024" s="251">
        <f t="shared" si="342"/>
        <v>18.931992428566939</v>
      </c>
      <c r="O1024" s="336">
        <v>2.4351113005965036E-3</v>
      </c>
      <c r="P1024" s="258">
        <f t="shared" si="343"/>
        <v>2.4351113005965036E-3</v>
      </c>
      <c r="Q1024" s="354">
        <v>7588.9754999999996</v>
      </c>
      <c r="R1024" s="249">
        <f t="shared" si="344"/>
        <v>7774.5901897499998</v>
      </c>
      <c r="S1024" s="355">
        <v>0.1</v>
      </c>
      <c r="T1024" s="355"/>
      <c r="U1024" s="315">
        <f t="shared" si="345"/>
        <v>8552.0492087250004</v>
      </c>
      <c r="V1024" s="315">
        <f t="shared" si="346"/>
        <v>8575</v>
      </c>
      <c r="W1024" s="316">
        <f t="shared" si="347"/>
        <v>0</v>
      </c>
      <c r="X1024" s="185"/>
      <c r="Y1024" s="185"/>
      <c r="Z1024" s="185"/>
      <c r="AA1024" s="206"/>
      <c r="AB1024" s="283"/>
    </row>
    <row r="1025" spans="1:28" s="284" customFormat="1" ht="14.4" x14ac:dyDescent="0.3">
      <c r="A1025" s="204" t="s">
        <v>16670</v>
      </c>
      <c r="B1025" s="351" t="s">
        <v>20753</v>
      </c>
      <c r="C1025" s="352"/>
      <c r="D1025" s="353" t="s">
        <v>5</v>
      </c>
      <c r="E1025" s="249">
        <f t="shared" si="336"/>
        <v>0</v>
      </c>
      <c r="F1025" s="336">
        <v>0</v>
      </c>
      <c r="G1025" s="258">
        <f t="shared" si="337"/>
        <v>0</v>
      </c>
      <c r="H1025" s="249">
        <f t="shared" si="338"/>
        <v>6.379032383215083E-2</v>
      </c>
      <c r="I1025" s="336">
        <v>1.4112576855729738E-3</v>
      </c>
      <c r="J1025" s="258">
        <f t="shared" si="339"/>
        <v>1.4112576855729738E-3</v>
      </c>
      <c r="K1025" s="249">
        <f t="shared" si="340"/>
        <v>45.027126726737613</v>
      </c>
      <c r="L1025" s="336">
        <v>0.99615231331291032</v>
      </c>
      <c r="M1025" s="258">
        <f t="shared" si="341"/>
        <v>0.99615231331291032</v>
      </c>
      <c r="N1025" s="251">
        <f t="shared" si="342"/>
        <v>0.11006957837704455</v>
      </c>
      <c r="O1025" s="336">
        <v>2.4351113005965036E-3</v>
      </c>
      <c r="P1025" s="258">
        <f t="shared" si="343"/>
        <v>2.4351113005965036E-3</v>
      </c>
      <c r="Q1025" s="354">
        <v>44.121950581395346</v>
      </c>
      <c r="R1025" s="249">
        <f t="shared" si="344"/>
        <v>45.20104619040697</v>
      </c>
      <c r="S1025" s="355">
        <v>0.1</v>
      </c>
      <c r="T1025" s="355"/>
      <c r="U1025" s="315">
        <f t="shared" si="345"/>
        <v>49.721150809447664</v>
      </c>
      <c r="V1025" s="315">
        <f t="shared" si="346"/>
        <v>50</v>
      </c>
      <c r="W1025" s="316">
        <f t="shared" si="347"/>
        <v>0</v>
      </c>
      <c r="X1025" s="185"/>
      <c r="Y1025" s="185"/>
      <c r="Z1025" s="185"/>
      <c r="AA1025" s="206"/>
      <c r="AB1025" s="283"/>
    </row>
    <row r="1026" spans="1:28" s="284" customFormat="1" ht="14.4" x14ac:dyDescent="0.3">
      <c r="A1026" s="204" t="s">
        <v>16671</v>
      </c>
      <c r="B1026" s="351" t="s">
        <v>20754</v>
      </c>
      <c r="C1026" s="352"/>
      <c r="D1026" s="353" t="s">
        <v>14859</v>
      </c>
      <c r="E1026" s="249">
        <f t="shared" si="336"/>
        <v>0</v>
      </c>
      <c r="F1026" s="336">
        <v>0</v>
      </c>
      <c r="G1026" s="258">
        <f t="shared" si="337"/>
        <v>0</v>
      </c>
      <c r="H1026" s="249">
        <f t="shared" si="338"/>
        <v>10.971950157464931</v>
      </c>
      <c r="I1026" s="336">
        <v>1.4112576855729738E-3</v>
      </c>
      <c r="J1026" s="258">
        <f t="shared" si="339"/>
        <v>1.4112576855729738E-3</v>
      </c>
      <c r="K1026" s="249">
        <f t="shared" si="340"/>
        <v>7744.6862471639688</v>
      </c>
      <c r="L1026" s="336">
        <v>0.99615363101383059</v>
      </c>
      <c r="M1026" s="258">
        <f t="shared" si="341"/>
        <v>0.99615363101383059</v>
      </c>
      <c r="N1026" s="251">
        <f t="shared" si="342"/>
        <v>18.931992428566939</v>
      </c>
      <c r="O1026" s="336">
        <v>2.4351113005965036E-3</v>
      </c>
      <c r="P1026" s="258">
        <f t="shared" si="343"/>
        <v>2.4351113005965036E-3</v>
      </c>
      <c r="Q1026" s="354">
        <v>7588.9754999999996</v>
      </c>
      <c r="R1026" s="249">
        <f t="shared" si="344"/>
        <v>7774.5901897499998</v>
      </c>
      <c r="S1026" s="355">
        <v>0.1</v>
      </c>
      <c r="T1026" s="355"/>
      <c r="U1026" s="315">
        <f t="shared" si="345"/>
        <v>8552.0492087250004</v>
      </c>
      <c r="V1026" s="315">
        <f t="shared" si="346"/>
        <v>8575</v>
      </c>
      <c r="W1026" s="316">
        <f t="shared" si="347"/>
        <v>0</v>
      </c>
      <c r="X1026" s="185"/>
      <c r="Y1026" s="185"/>
      <c r="Z1026" s="185"/>
      <c r="AA1026" s="206"/>
      <c r="AB1026" s="283"/>
    </row>
    <row r="1027" spans="1:28" s="284" customFormat="1" ht="14.4" x14ac:dyDescent="0.3">
      <c r="A1027" s="204" t="s">
        <v>16672</v>
      </c>
      <c r="B1027" s="351" t="s">
        <v>20755</v>
      </c>
      <c r="C1027" s="352"/>
      <c r="D1027" s="353" t="s">
        <v>5</v>
      </c>
      <c r="E1027" s="249">
        <f t="shared" ref="E1027:E1090" si="348">R1027*G1027</f>
        <v>0</v>
      </c>
      <c r="F1027" s="336">
        <v>0</v>
      </c>
      <c r="G1027" s="258">
        <f t="shared" ref="G1027:G1090" si="349">F1027</f>
        <v>0</v>
      </c>
      <c r="H1027" s="249">
        <f t="shared" ref="H1027:H1090" si="350">R1027*J1027</f>
        <v>6.379032383215083E-2</v>
      </c>
      <c r="I1027" s="336">
        <v>1.4112576855729738E-3</v>
      </c>
      <c r="J1027" s="258">
        <f t="shared" ref="J1027:J1090" si="351">I1027</f>
        <v>1.4112576855729738E-3</v>
      </c>
      <c r="K1027" s="249">
        <f t="shared" ref="K1027:K1090" si="352">R1027*M1027</f>
        <v>45.027126726737613</v>
      </c>
      <c r="L1027" s="336">
        <v>0.99615231331291032</v>
      </c>
      <c r="M1027" s="258">
        <f t="shared" ref="M1027:M1090" si="353">L1027</f>
        <v>0.99615231331291032</v>
      </c>
      <c r="N1027" s="251">
        <f t="shared" ref="N1027:N1090" si="354">P1027*R1027</f>
        <v>0.11006957837704455</v>
      </c>
      <c r="O1027" s="336">
        <v>2.4351113005965036E-3</v>
      </c>
      <c r="P1027" s="258">
        <f t="shared" ref="P1027:P1090" si="355">O1027</f>
        <v>2.4351113005965036E-3</v>
      </c>
      <c r="Q1027" s="354">
        <v>44.121950581395346</v>
      </c>
      <c r="R1027" s="249">
        <f t="shared" ref="R1027:R1090" si="356">SUM(F1027*Q1027*1.0235,I1027*Q1027*1.0175,L1027*Q1027*1.0245,O1027*Q1027*1.0115)</f>
        <v>45.20104619040697</v>
      </c>
      <c r="S1027" s="355">
        <v>0.1</v>
      </c>
      <c r="T1027" s="355"/>
      <c r="U1027" s="315">
        <f t="shared" si="345"/>
        <v>49.721150809447664</v>
      </c>
      <c r="V1027" s="315">
        <f t="shared" si="346"/>
        <v>50</v>
      </c>
      <c r="W1027" s="316">
        <f t="shared" si="347"/>
        <v>0</v>
      </c>
      <c r="X1027" s="185"/>
      <c r="Y1027" s="185"/>
      <c r="Z1027" s="185"/>
      <c r="AA1027" s="206"/>
      <c r="AB1027" s="283"/>
    </row>
    <row r="1028" spans="1:28" s="284" customFormat="1" ht="14.4" x14ac:dyDescent="0.3">
      <c r="A1028" s="204" t="s">
        <v>16673</v>
      </c>
      <c r="B1028" s="351" t="s">
        <v>20756</v>
      </c>
      <c r="C1028" s="352"/>
      <c r="D1028" s="353" t="s">
        <v>14859</v>
      </c>
      <c r="E1028" s="249">
        <f t="shared" si="348"/>
        <v>0</v>
      </c>
      <c r="F1028" s="336">
        <v>0</v>
      </c>
      <c r="G1028" s="258">
        <f t="shared" si="349"/>
        <v>0</v>
      </c>
      <c r="H1028" s="249">
        <f t="shared" si="350"/>
        <v>10.971950157464931</v>
      </c>
      <c r="I1028" s="336">
        <v>1.4112576855729738E-3</v>
      </c>
      <c r="J1028" s="258">
        <f t="shared" si="351"/>
        <v>1.4112576855729738E-3</v>
      </c>
      <c r="K1028" s="249">
        <f t="shared" si="352"/>
        <v>7744.6862471639688</v>
      </c>
      <c r="L1028" s="336">
        <v>0.99615363101383059</v>
      </c>
      <c r="M1028" s="258">
        <f t="shared" si="353"/>
        <v>0.99615363101383059</v>
      </c>
      <c r="N1028" s="251">
        <f t="shared" si="354"/>
        <v>18.931992428566939</v>
      </c>
      <c r="O1028" s="336">
        <v>2.4351113005965036E-3</v>
      </c>
      <c r="P1028" s="258">
        <f t="shared" si="355"/>
        <v>2.4351113005965036E-3</v>
      </c>
      <c r="Q1028" s="354">
        <v>7588.9754999999996</v>
      </c>
      <c r="R1028" s="249">
        <f t="shared" si="356"/>
        <v>7774.5901897499998</v>
      </c>
      <c r="S1028" s="355">
        <v>0.1</v>
      </c>
      <c r="T1028" s="355"/>
      <c r="U1028" s="315">
        <f t="shared" si="345"/>
        <v>8552.0492087250004</v>
      </c>
      <c r="V1028" s="315">
        <f t="shared" si="346"/>
        <v>8575</v>
      </c>
      <c r="W1028" s="316">
        <f t="shared" si="347"/>
        <v>0</v>
      </c>
      <c r="X1028" s="185"/>
      <c r="Y1028" s="185"/>
      <c r="Z1028" s="185"/>
      <c r="AA1028" s="206"/>
      <c r="AB1028" s="283"/>
    </row>
    <row r="1029" spans="1:28" s="284" customFormat="1" ht="14.4" x14ac:dyDescent="0.3">
      <c r="A1029" s="204" t="s">
        <v>16674</v>
      </c>
      <c r="B1029" s="351" t="s">
        <v>20757</v>
      </c>
      <c r="C1029" s="352"/>
      <c r="D1029" s="353" t="s">
        <v>5</v>
      </c>
      <c r="E1029" s="249">
        <f t="shared" si="348"/>
        <v>0</v>
      </c>
      <c r="F1029" s="336">
        <v>0</v>
      </c>
      <c r="G1029" s="258">
        <f t="shared" si="349"/>
        <v>0</v>
      </c>
      <c r="H1029" s="249">
        <f t="shared" si="350"/>
        <v>6.379032383215083E-2</v>
      </c>
      <c r="I1029" s="336">
        <v>1.4112576855729738E-3</v>
      </c>
      <c r="J1029" s="258">
        <f t="shared" si="351"/>
        <v>1.4112576855729738E-3</v>
      </c>
      <c r="K1029" s="249">
        <f t="shared" si="352"/>
        <v>45.027126726737613</v>
      </c>
      <c r="L1029" s="336">
        <v>0.99615231331291032</v>
      </c>
      <c r="M1029" s="258">
        <f t="shared" si="353"/>
        <v>0.99615231331291032</v>
      </c>
      <c r="N1029" s="251">
        <f t="shared" si="354"/>
        <v>0.11006957837704455</v>
      </c>
      <c r="O1029" s="336">
        <v>2.4351113005965036E-3</v>
      </c>
      <c r="P1029" s="258">
        <f t="shared" si="355"/>
        <v>2.4351113005965036E-3</v>
      </c>
      <c r="Q1029" s="354">
        <v>44.121950581395346</v>
      </c>
      <c r="R1029" s="249">
        <f t="shared" si="356"/>
        <v>45.20104619040697</v>
      </c>
      <c r="S1029" s="355">
        <v>0.1</v>
      </c>
      <c r="T1029" s="355"/>
      <c r="U1029" s="315">
        <f t="shared" si="345"/>
        <v>49.721150809447664</v>
      </c>
      <c r="V1029" s="315">
        <f t="shared" si="346"/>
        <v>50</v>
      </c>
      <c r="W1029" s="316">
        <f t="shared" si="347"/>
        <v>0</v>
      </c>
      <c r="X1029" s="185"/>
      <c r="Y1029" s="185"/>
      <c r="Z1029" s="185"/>
      <c r="AA1029" s="206"/>
      <c r="AB1029" s="283"/>
    </row>
    <row r="1030" spans="1:28" s="284" customFormat="1" ht="14.4" x14ac:dyDescent="0.3">
      <c r="A1030" s="204" t="s">
        <v>16675</v>
      </c>
      <c r="B1030" s="351" t="s">
        <v>20758</v>
      </c>
      <c r="C1030" s="352"/>
      <c r="D1030" s="353" t="s">
        <v>14859</v>
      </c>
      <c r="E1030" s="249">
        <f t="shared" si="348"/>
        <v>0</v>
      </c>
      <c r="F1030" s="336">
        <v>0</v>
      </c>
      <c r="G1030" s="258">
        <f t="shared" si="349"/>
        <v>0</v>
      </c>
      <c r="H1030" s="249">
        <f t="shared" si="350"/>
        <v>10.972002179989319</v>
      </c>
      <c r="I1030" s="336">
        <v>1.2462168417304615E-3</v>
      </c>
      <c r="J1030" s="258">
        <f t="shared" si="351"/>
        <v>1.2462168417304615E-3</v>
      </c>
      <c r="K1030" s="249">
        <f t="shared" si="352"/>
        <v>8774.3439506270879</v>
      </c>
      <c r="L1030" s="336">
        <v>0.99660344821567592</v>
      </c>
      <c r="M1030" s="258">
        <f t="shared" si="353"/>
        <v>0.99660344821567592</v>
      </c>
      <c r="N1030" s="251">
        <f t="shared" si="354"/>
        <v>18.932082192922746</v>
      </c>
      <c r="O1030" s="336">
        <v>2.1503349425937373E-3</v>
      </c>
      <c r="P1030" s="258">
        <f t="shared" si="355"/>
        <v>2.1503349425937373E-3</v>
      </c>
      <c r="Q1030" s="354">
        <v>8594.0099999999984</v>
      </c>
      <c r="R1030" s="249">
        <f t="shared" si="356"/>
        <v>8804.2480349999987</v>
      </c>
      <c r="S1030" s="355">
        <v>0.1</v>
      </c>
      <c r="T1030" s="355"/>
      <c r="U1030" s="315">
        <f t="shared" si="345"/>
        <v>9684.6728384999988</v>
      </c>
      <c r="V1030" s="315">
        <f t="shared" si="346"/>
        <v>9700</v>
      </c>
      <c r="W1030" s="316">
        <f t="shared" si="347"/>
        <v>0</v>
      </c>
      <c r="X1030" s="185"/>
      <c r="Y1030" s="185"/>
      <c r="Z1030" s="185"/>
      <c r="AA1030" s="206"/>
      <c r="AB1030" s="283"/>
    </row>
    <row r="1031" spans="1:28" s="284" customFormat="1" ht="14.4" x14ac:dyDescent="0.3">
      <c r="A1031" s="204" t="s">
        <v>16676</v>
      </c>
      <c r="B1031" s="351" t="s">
        <v>20759</v>
      </c>
      <c r="C1031" s="352"/>
      <c r="D1031" s="353" t="s">
        <v>5</v>
      </c>
      <c r="E1031" s="249">
        <f t="shared" si="348"/>
        <v>0</v>
      </c>
      <c r="F1031" s="336">
        <v>0</v>
      </c>
      <c r="G1031" s="258">
        <f t="shared" si="349"/>
        <v>0</v>
      </c>
      <c r="H1031" s="249">
        <f t="shared" si="350"/>
        <v>6.3790636119173114E-2</v>
      </c>
      <c r="I1031" s="336">
        <v>1.2462168417304615E-3</v>
      </c>
      <c r="J1031" s="258">
        <f t="shared" si="351"/>
        <v>1.2462168417304615E-3</v>
      </c>
      <c r="K1031" s="249">
        <f t="shared" si="352"/>
        <v>51.013508696531744</v>
      </c>
      <c r="L1031" s="336">
        <v>0.9966022846145165</v>
      </c>
      <c r="M1031" s="258">
        <f t="shared" si="353"/>
        <v>0.9966022846145165</v>
      </c>
      <c r="N1031" s="251">
        <f t="shared" si="354"/>
        <v>0.11007011722523988</v>
      </c>
      <c r="O1031" s="336">
        <v>2.1503349425937373E-3</v>
      </c>
      <c r="P1031" s="258">
        <f t="shared" si="355"/>
        <v>2.1503349425937373E-3</v>
      </c>
      <c r="Q1031" s="354">
        <v>49.96517441860464</v>
      </c>
      <c r="R1031" s="249">
        <f t="shared" si="356"/>
        <v>51.187429011627898</v>
      </c>
      <c r="S1031" s="355">
        <v>0.1</v>
      </c>
      <c r="T1031" s="355"/>
      <c r="U1031" s="315">
        <f t="shared" si="345"/>
        <v>56.306171912790688</v>
      </c>
      <c r="V1031" s="315">
        <f t="shared" si="346"/>
        <v>57</v>
      </c>
      <c r="W1031" s="316">
        <f t="shared" si="347"/>
        <v>0</v>
      </c>
      <c r="X1031" s="185"/>
      <c r="Y1031" s="185"/>
      <c r="Z1031" s="185"/>
      <c r="AA1031" s="206"/>
      <c r="AB1031" s="283"/>
    </row>
    <row r="1032" spans="1:28" s="284" customFormat="1" ht="14.4" x14ac:dyDescent="0.3">
      <c r="A1032" s="204" t="s">
        <v>16677</v>
      </c>
      <c r="B1032" s="351" t="s">
        <v>20760</v>
      </c>
      <c r="C1032" s="352"/>
      <c r="D1032" s="353" t="s">
        <v>14859</v>
      </c>
      <c r="E1032" s="249">
        <f t="shared" si="348"/>
        <v>0</v>
      </c>
      <c r="F1032" s="336">
        <v>0</v>
      </c>
      <c r="G1032" s="258">
        <f t="shared" si="349"/>
        <v>0</v>
      </c>
      <c r="H1032" s="249">
        <f t="shared" si="350"/>
        <v>10.972039476413739</v>
      </c>
      <c r="I1032" s="336">
        <v>1.1278943760090236E-3</v>
      </c>
      <c r="J1032" s="258">
        <f t="shared" si="351"/>
        <v>1.1278943760090236E-3</v>
      </c>
      <c r="K1032" s="249">
        <f t="shared" si="352"/>
        <v>9697.9920689760493</v>
      </c>
      <c r="L1032" s="336">
        <v>0.99692593493597559</v>
      </c>
      <c r="M1032" s="258">
        <f t="shared" si="353"/>
        <v>0.99692593493597559</v>
      </c>
      <c r="N1032" s="251">
        <f t="shared" si="354"/>
        <v>18.932146547537432</v>
      </c>
      <c r="O1032" s="336">
        <v>1.9461706880155698E-3</v>
      </c>
      <c r="P1032" s="258">
        <f t="shared" si="355"/>
        <v>1.9461706880155698E-3</v>
      </c>
      <c r="Q1032" s="354">
        <v>9495.5699999999979</v>
      </c>
      <c r="R1032" s="249">
        <f t="shared" si="356"/>
        <v>9727.8962549999978</v>
      </c>
      <c r="S1032" s="355">
        <v>0.1</v>
      </c>
      <c r="T1032" s="355"/>
      <c r="U1032" s="315">
        <f t="shared" si="345"/>
        <v>10700.685880499997</v>
      </c>
      <c r="V1032" s="315">
        <f t="shared" si="346"/>
        <v>10750</v>
      </c>
      <c r="W1032" s="316">
        <f t="shared" si="347"/>
        <v>0</v>
      </c>
      <c r="X1032" s="185"/>
      <c r="Y1032" s="185"/>
      <c r="Z1032" s="185"/>
      <c r="AA1032" s="206"/>
      <c r="AB1032" s="283"/>
    </row>
    <row r="1033" spans="1:28" s="284" customFormat="1" ht="14.4" x14ac:dyDescent="0.3">
      <c r="A1033" s="204" t="s">
        <v>16678</v>
      </c>
      <c r="B1033" s="351" t="s">
        <v>20761</v>
      </c>
      <c r="C1033" s="352"/>
      <c r="D1033" s="353" t="s">
        <v>5</v>
      </c>
      <c r="E1033" s="249">
        <f t="shared" si="348"/>
        <v>0</v>
      </c>
      <c r="F1033" s="336">
        <v>0</v>
      </c>
      <c r="G1033" s="258">
        <f t="shared" si="349"/>
        <v>0</v>
      </c>
      <c r="H1033" s="249">
        <f t="shared" si="350"/>
        <v>6.3790860006603833E-2</v>
      </c>
      <c r="I1033" s="336">
        <v>1.1278943760090236E-3</v>
      </c>
      <c r="J1033" s="258">
        <f t="shared" si="351"/>
        <v>1.1278943760090236E-3</v>
      </c>
      <c r="K1033" s="249">
        <f t="shared" si="352"/>
        <v>56.383555876817383</v>
      </c>
      <c r="L1033" s="336">
        <v>0.99692488181330885</v>
      </c>
      <c r="M1033" s="258">
        <f t="shared" si="353"/>
        <v>0.99692488181330885</v>
      </c>
      <c r="N1033" s="251">
        <f t="shared" si="354"/>
        <v>0.11007050354080659</v>
      </c>
      <c r="O1033" s="336">
        <v>1.9461706880155698E-3</v>
      </c>
      <c r="P1033" s="258">
        <f t="shared" si="355"/>
        <v>1.9461706880155698E-3</v>
      </c>
      <c r="Q1033" s="354">
        <v>55.206802325581386</v>
      </c>
      <c r="R1033" s="249">
        <f t="shared" si="356"/>
        <v>56.557476802325574</v>
      </c>
      <c r="S1033" s="355">
        <v>0.1</v>
      </c>
      <c r="T1033" s="355"/>
      <c r="U1033" s="315">
        <f t="shared" si="345"/>
        <v>62.213224482558132</v>
      </c>
      <c r="V1033" s="315">
        <f t="shared" si="346"/>
        <v>63</v>
      </c>
      <c r="W1033" s="316">
        <f t="shared" si="347"/>
        <v>0</v>
      </c>
      <c r="X1033" s="185"/>
      <c r="Y1033" s="185"/>
      <c r="Z1033" s="185"/>
      <c r="AA1033" s="206"/>
      <c r="AB1033" s="283"/>
    </row>
    <row r="1034" spans="1:28" s="284" customFormat="1" ht="14.4" x14ac:dyDescent="0.3">
      <c r="A1034" s="204" t="s">
        <v>16679</v>
      </c>
      <c r="B1034" s="351" t="s">
        <v>20762</v>
      </c>
      <c r="C1034" s="352"/>
      <c r="D1034" s="353" t="s">
        <v>14859</v>
      </c>
      <c r="E1034" s="249">
        <f t="shared" si="348"/>
        <v>0</v>
      </c>
      <c r="F1034" s="336">
        <v>0</v>
      </c>
      <c r="G1034" s="258">
        <f t="shared" si="349"/>
        <v>0</v>
      </c>
      <c r="H1034" s="249">
        <f t="shared" si="350"/>
        <v>10.972107676478174</v>
      </c>
      <c r="I1034" s="336">
        <v>9.115304775449448E-4</v>
      </c>
      <c r="J1034" s="258">
        <f t="shared" si="351"/>
        <v>9.115304775449448E-4</v>
      </c>
      <c r="K1034" s="249">
        <f t="shared" si="352"/>
        <v>12007.11243309744</v>
      </c>
      <c r="L1034" s="336">
        <v>0.99751563262002463</v>
      </c>
      <c r="M1034" s="258">
        <f t="shared" si="353"/>
        <v>0.99751563262002463</v>
      </c>
      <c r="N1034" s="251">
        <f t="shared" si="354"/>
        <v>18.932264226079987</v>
      </c>
      <c r="O1034" s="336">
        <v>1.5728369024304929E-3</v>
      </c>
      <c r="P1034" s="258">
        <f t="shared" si="355"/>
        <v>1.5728369024304929E-3</v>
      </c>
      <c r="Q1034" s="354">
        <v>11749.469999999998</v>
      </c>
      <c r="R1034" s="249">
        <f t="shared" si="356"/>
        <v>12037.016804999997</v>
      </c>
      <c r="S1034" s="355">
        <v>0.1</v>
      </c>
      <c r="T1034" s="355"/>
      <c r="U1034" s="315">
        <f t="shared" si="345"/>
        <v>13240.718485499998</v>
      </c>
      <c r="V1034" s="315">
        <f t="shared" si="346"/>
        <v>13250</v>
      </c>
      <c r="W1034" s="316">
        <f t="shared" si="347"/>
        <v>0</v>
      </c>
      <c r="X1034" s="185"/>
      <c r="Y1034" s="185"/>
      <c r="Z1034" s="185"/>
      <c r="AA1034" s="206"/>
      <c r="AB1034" s="283"/>
    </row>
    <row r="1035" spans="1:28" s="284" customFormat="1" ht="14.4" x14ac:dyDescent="0.3">
      <c r="A1035" s="204" t="s">
        <v>16680</v>
      </c>
      <c r="B1035" s="351" t="s">
        <v>20763</v>
      </c>
      <c r="C1035" s="352"/>
      <c r="D1035" s="353" t="s">
        <v>5</v>
      </c>
      <c r="E1035" s="249">
        <f t="shared" si="348"/>
        <v>0</v>
      </c>
      <c r="F1035" s="336">
        <v>0</v>
      </c>
      <c r="G1035" s="258">
        <f t="shared" si="349"/>
        <v>0</v>
      </c>
      <c r="H1035" s="249">
        <f t="shared" si="350"/>
        <v>6.379126940609553E-2</v>
      </c>
      <c r="I1035" s="336">
        <v>9.1153047754494491E-4</v>
      </c>
      <c r="J1035" s="258">
        <f t="shared" si="351"/>
        <v>9.1153047754494491E-4</v>
      </c>
      <c r="K1035" s="249">
        <f t="shared" si="352"/>
        <v>69.808674237364997</v>
      </c>
      <c r="L1035" s="336">
        <v>0.99751478151780471</v>
      </c>
      <c r="M1035" s="258">
        <f t="shared" si="353"/>
        <v>0.99751478151780471</v>
      </c>
      <c r="N1035" s="251">
        <f t="shared" si="354"/>
        <v>0.11007120995561583</v>
      </c>
      <c r="O1035" s="336">
        <v>1.5728369024304932E-3</v>
      </c>
      <c r="P1035" s="258">
        <f t="shared" si="355"/>
        <v>1.5728369024304932E-3</v>
      </c>
      <c r="Q1035" s="354">
        <v>68.310872093023235</v>
      </c>
      <c r="R1035" s="249">
        <f t="shared" si="356"/>
        <v>69.982596279069753</v>
      </c>
      <c r="S1035" s="355">
        <v>0.1</v>
      </c>
      <c r="T1035" s="355"/>
      <c r="U1035" s="315">
        <f t="shared" si="345"/>
        <v>76.980855906976728</v>
      </c>
      <c r="V1035" s="315">
        <f t="shared" si="346"/>
        <v>77</v>
      </c>
      <c r="W1035" s="316">
        <f t="shared" si="347"/>
        <v>0</v>
      </c>
      <c r="X1035" s="185"/>
      <c r="Y1035" s="185"/>
      <c r="Z1035" s="185"/>
      <c r="AA1035" s="206"/>
      <c r="AB1035" s="283"/>
    </row>
    <row r="1036" spans="1:28" s="284" customFormat="1" ht="14.4" x14ac:dyDescent="0.3">
      <c r="A1036" s="204" t="s">
        <v>16681</v>
      </c>
      <c r="B1036" s="351" t="s">
        <v>20764</v>
      </c>
      <c r="C1036" s="352"/>
      <c r="D1036" s="353" t="s">
        <v>14859</v>
      </c>
      <c r="E1036" s="249">
        <f t="shared" si="348"/>
        <v>0</v>
      </c>
      <c r="F1036" s="336">
        <v>0</v>
      </c>
      <c r="G1036" s="258">
        <f t="shared" si="349"/>
        <v>0</v>
      </c>
      <c r="H1036" s="249">
        <f t="shared" si="350"/>
        <v>10.972107676478174</v>
      </c>
      <c r="I1036" s="336">
        <v>9.115304775449448E-4</v>
      </c>
      <c r="J1036" s="258">
        <f t="shared" si="351"/>
        <v>9.115304775449448E-4</v>
      </c>
      <c r="K1036" s="249">
        <f t="shared" si="352"/>
        <v>12007.11243309744</v>
      </c>
      <c r="L1036" s="336">
        <v>0.99751563262002463</v>
      </c>
      <c r="M1036" s="258">
        <f t="shared" si="353"/>
        <v>0.99751563262002463</v>
      </c>
      <c r="N1036" s="251">
        <f t="shared" si="354"/>
        <v>18.932264226079987</v>
      </c>
      <c r="O1036" s="336">
        <v>1.5728369024304929E-3</v>
      </c>
      <c r="P1036" s="258">
        <f t="shared" si="355"/>
        <v>1.5728369024304929E-3</v>
      </c>
      <c r="Q1036" s="354">
        <v>11749.469999999998</v>
      </c>
      <c r="R1036" s="249">
        <f t="shared" si="356"/>
        <v>12037.016804999997</v>
      </c>
      <c r="S1036" s="355">
        <v>0.1</v>
      </c>
      <c r="T1036" s="355"/>
      <c r="U1036" s="315">
        <f t="shared" si="345"/>
        <v>13240.718485499998</v>
      </c>
      <c r="V1036" s="315">
        <f t="shared" si="346"/>
        <v>13250</v>
      </c>
      <c r="W1036" s="316">
        <f t="shared" si="347"/>
        <v>0</v>
      </c>
      <c r="X1036" s="185"/>
      <c r="Y1036" s="185"/>
      <c r="Z1036" s="185"/>
      <c r="AA1036" s="206"/>
      <c r="AB1036" s="283"/>
    </row>
    <row r="1037" spans="1:28" s="284" customFormat="1" ht="14.4" x14ac:dyDescent="0.3">
      <c r="A1037" s="204" t="s">
        <v>16682</v>
      </c>
      <c r="B1037" s="351" t="s">
        <v>20765</v>
      </c>
      <c r="C1037" s="352"/>
      <c r="D1037" s="353" t="s">
        <v>5</v>
      </c>
      <c r="E1037" s="249">
        <f t="shared" si="348"/>
        <v>0</v>
      </c>
      <c r="F1037" s="336">
        <v>0</v>
      </c>
      <c r="G1037" s="258">
        <f t="shared" si="349"/>
        <v>0</v>
      </c>
      <c r="H1037" s="249">
        <f t="shared" si="350"/>
        <v>6.379126940609553E-2</v>
      </c>
      <c r="I1037" s="336">
        <v>9.1153047754494491E-4</v>
      </c>
      <c r="J1037" s="258">
        <f t="shared" si="351"/>
        <v>9.1153047754494491E-4</v>
      </c>
      <c r="K1037" s="249">
        <f t="shared" si="352"/>
        <v>69.808674237364997</v>
      </c>
      <c r="L1037" s="336">
        <v>0.99751478151780471</v>
      </c>
      <c r="M1037" s="258">
        <f t="shared" si="353"/>
        <v>0.99751478151780471</v>
      </c>
      <c r="N1037" s="251">
        <f t="shared" si="354"/>
        <v>0.11007120995561583</v>
      </c>
      <c r="O1037" s="336">
        <v>1.5728369024304932E-3</v>
      </c>
      <c r="P1037" s="258">
        <f t="shared" si="355"/>
        <v>1.5728369024304932E-3</v>
      </c>
      <c r="Q1037" s="354">
        <v>68.310872093023235</v>
      </c>
      <c r="R1037" s="249">
        <f t="shared" si="356"/>
        <v>69.982596279069753</v>
      </c>
      <c r="S1037" s="355">
        <v>0.1</v>
      </c>
      <c r="T1037" s="355"/>
      <c r="U1037" s="315">
        <f t="shared" si="345"/>
        <v>76.980855906976728</v>
      </c>
      <c r="V1037" s="315">
        <f t="shared" si="346"/>
        <v>77</v>
      </c>
      <c r="W1037" s="316">
        <f t="shared" si="347"/>
        <v>0</v>
      </c>
      <c r="X1037" s="185"/>
      <c r="Y1037" s="185"/>
      <c r="Z1037" s="185"/>
      <c r="AA1037" s="206"/>
      <c r="AB1037" s="283"/>
    </row>
    <row r="1038" spans="1:28" x14ac:dyDescent="0.25">
      <c r="A1038" s="203" t="s">
        <v>16683</v>
      </c>
      <c r="B1038" s="345" t="s">
        <v>16684</v>
      </c>
      <c r="C1038" s="346"/>
      <c r="D1038" s="347"/>
      <c r="E1038" s="347"/>
      <c r="F1038" s="347"/>
      <c r="G1038" s="347"/>
      <c r="H1038" s="347"/>
      <c r="I1038" s="347"/>
      <c r="J1038" s="347"/>
      <c r="K1038" s="347"/>
      <c r="L1038" s="347"/>
      <c r="M1038" s="347"/>
      <c r="N1038" s="347"/>
      <c r="O1038" s="347"/>
      <c r="P1038" s="347"/>
      <c r="Q1038" s="347"/>
      <c r="R1038" s="347"/>
      <c r="S1038" s="347"/>
      <c r="T1038" s="348"/>
      <c r="U1038" s="349"/>
      <c r="V1038" s="349"/>
      <c r="W1038" s="350"/>
    </row>
    <row r="1039" spans="1:28" s="284" customFormat="1" ht="14.4" x14ac:dyDescent="0.3">
      <c r="A1039" s="204" t="s">
        <v>16685</v>
      </c>
      <c r="B1039" s="351" t="s">
        <v>20766</v>
      </c>
      <c r="C1039" s="352"/>
      <c r="D1039" s="353" t="s">
        <v>5</v>
      </c>
      <c r="E1039" s="249">
        <f t="shared" si="348"/>
        <v>0</v>
      </c>
      <c r="F1039" s="336">
        <v>0</v>
      </c>
      <c r="G1039" s="258">
        <f t="shared" si="349"/>
        <v>0</v>
      </c>
      <c r="H1039" s="249">
        <f t="shared" si="350"/>
        <v>6.3338182980509916E-2</v>
      </c>
      <c r="I1039" s="336">
        <v>0.24036357515569776</v>
      </c>
      <c r="J1039" s="258">
        <f t="shared" si="351"/>
        <v>0.24036357515569776</v>
      </c>
      <c r="K1039" s="249">
        <f t="shared" si="352"/>
        <v>9.0823169479288576E-2</v>
      </c>
      <c r="L1039" s="336">
        <v>0.34466700331032929</v>
      </c>
      <c r="M1039" s="258">
        <f t="shared" si="353"/>
        <v>0.34466700331032929</v>
      </c>
      <c r="N1039" s="251">
        <f t="shared" si="354"/>
        <v>0.10928941377029161</v>
      </c>
      <c r="O1039" s="336">
        <v>0.41474499242551766</v>
      </c>
      <c r="P1039" s="258">
        <f t="shared" si="355"/>
        <v>0.41474499242551766</v>
      </c>
      <c r="Q1039" s="354">
        <v>0.2590552325581395</v>
      </c>
      <c r="R1039" s="249">
        <f t="shared" si="356"/>
        <v>0.26350990552325582</v>
      </c>
      <c r="S1039" s="355">
        <v>0.1</v>
      </c>
      <c r="T1039" s="355"/>
      <c r="U1039" s="315">
        <f t="shared" si="345"/>
        <v>0.28986089607558141</v>
      </c>
      <c r="V1039" s="315">
        <f t="shared" si="346"/>
        <v>1</v>
      </c>
      <c r="W1039" s="316">
        <f t="shared" ref="W1039:W1102" si="357">C1039*V1039</f>
        <v>0</v>
      </c>
      <c r="X1039" s="185"/>
      <c r="Y1039" s="185"/>
      <c r="Z1039" s="185"/>
      <c r="AA1039" s="206"/>
      <c r="AB1039" s="283"/>
    </row>
    <row r="1040" spans="1:28" s="284" customFormat="1" ht="14.4" x14ac:dyDescent="0.3">
      <c r="A1040" s="204" t="s">
        <v>16686</v>
      </c>
      <c r="B1040" s="351" t="s">
        <v>20767</v>
      </c>
      <c r="C1040" s="352"/>
      <c r="D1040" s="353" t="s">
        <v>14859</v>
      </c>
      <c r="E1040" s="249">
        <f t="shared" si="348"/>
        <v>0</v>
      </c>
      <c r="F1040" s="336">
        <v>0</v>
      </c>
      <c r="G1040" s="258">
        <f t="shared" si="349"/>
        <v>0</v>
      </c>
      <c r="H1040" s="249">
        <f t="shared" si="350"/>
        <v>10.896629997475175</v>
      </c>
      <c r="I1040" s="336">
        <v>0.24036357515569773</v>
      </c>
      <c r="J1040" s="258">
        <f t="shared" si="351"/>
        <v>0.24036357515569773</v>
      </c>
      <c r="K1040" s="249">
        <f t="shared" si="352"/>
        <v>15.635290521587274</v>
      </c>
      <c r="L1040" s="336">
        <v>0.34489143241878467</v>
      </c>
      <c r="M1040" s="258">
        <f t="shared" si="353"/>
        <v>0.34489143241878467</v>
      </c>
      <c r="N1040" s="251">
        <f t="shared" si="354"/>
        <v>18.802028230937555</v>
      </c>
      <c r="O1040" s="336">
        <v>0.4147449924255176</v>
      </c>
      <c r="P1040" s="258">
        <f t="shared" si="355"/>
        <v>0.4147449924255176</v>
      </c>
      <c r="Q1040" s="354">
        <v>44.557499999999997</v>
      </c>
      <c r="R1040" s="249">
        <f t="shared" si="356"/>
        <v>45.333948750000005</v>
      </c>
      <c r="S1040" s="355">
        <v>0.1</v>
      </c>
      <c r="T1040" s="355"/>
      <c r="U1040" s="315">
        <f t="shared" si="345"/>
        <v>49.867343625000004</v>
      </c>
      <c r="V1040" s="315">
        <f t="shared" si="346"/>
        <v>50</v>
      </c>
      <c r="W1040" s="316">
        <f t="shared" si="357"/>
        <v>0</v>
      </c>
      <c r="X1040" s="185"/>
      <c r="Y1040" s="185"/>
      <c r="Z1040" s="185"/>
      <c r="AA1040" s="206"/>
      <c r="AB1040" s="283"/>
    </row>
    <row r="1041" spans="1:28" s="284" customFormat="1" ht="14.4" x14ac:dyDescent="0.3">
      <c r="A1041" s="204" t="s">
        <v>16687</v>
      </c>
      <c r="B1041" s="351" t="s">
        <v>20768</v>
      </c>
      <c r="C1041" s="352"/>
      <c r="D1041" s="353" t="s">
        <v>5</v>
      </c>
      <c r="E1041" s="249">
        <f t="shared" si="348"/>
        <v>0</v>
      </c>
      <c r="F1041" s="336">
        <v>0</v>
      </c>
      <c r="G1041" s="258">
        <f t="shared" si="349"/>
        <v>0</v>
      </c>
      <c r="H1041" s="249">
        <f t="shared" si="350"/>
        <v>6.3615576664339535E-2</v>
      </c>
      <c r="I1041" s="336">
        <v>9.3763542528463945E-2</v>
      </c>
      <c r="J1041" s="258">
        <f t="shared" si="351"/>
        <v>9.3763542528463945E-2</v>
      </c>
      <c r="K1041" s="249">
        <f t="shared" si="352"/>
        <v>0.50502511508127657</v>
      </c>
      <c r="L1041" s="336">
        <v>0.7443608364303318</v>
      </c>
      <c r="M1041" s="258">
        <f t="shared" si="353"/>
        <v>0.7443608364303318</v>
      </c>
      <c r="N1041" s="251">
        <f t="shared" si="354"/>
        <v>0.10976805385219369</v>
      </c>
      <c r="O1041" s="336">
        <v>0.16178807338244758</v>
      </c>
      <c r="P1041" s="258">
        <f t="shared" si="355"/>
        <v>0.16178807338244758</v>
      </c>
      <c r="Q1041" s="354">
        <v>0.66409011627906978</v>
      </c>
      <c r="R1041" s="249">
        <f t="shared" si="356"/>
        <v>0.67846814389534882</v>
      </c>
      <c r="S1041" s="355">
        <v>0.1</v>
      </c>
      <c r="T1041" s="355"/>
      <c r="U1041" s="315">
        <f t="shared" si="345"/>
        <v>0.7463149582848837</v>
      </c>
      <c r="V1041" s="315">
        <f t="shared" si="346"/>
        <v>1</v>
      </c>
      <c r="W1041" s="316">
        <f t="shared" si="357"/>
        <v>0</v>
      </c>
      <c r="X1041" s="185"/>
      <c r="Y1041" s="185"/>
      <c r="Z1041" s="185"/>
      <c r="AA1041" s="206"/>
      <c r="AB1041" s="283"/>
    </row>
    <row r="1042" spans="1:28" s="284" customFormat="1" ht="14.4" x14ac:dyDescent="0.3">
      <c r="A1042" s="204" t="s">
        <v>16688</v>
      </c>
      <c r="B1042" s="351" t="s">
        <v>20769</v>
      </c>
      <c r="C1042" s="352"/>
      <c r="D1042" s="353" t="s">
        <v>14859</v>
      </c>
      <c r="E1042" s="249">
        <f t="shared" si="348"/>
        <v>0</v>
      </c>
      <c r="F1042" s="336">
        <v>0</v>
      </c>
      <c r="G1042" s="258">
        <f t="shared" si="349"/>
        <v>0</v>
      </c>
      <c r="H1042" s="249">
        <f t="shared" si="350"/>
        <v>10.942839793759603</v>
      </c>
      <c r="I1042" s="336">
        <v>9.3763542528463945E-2</v>
      </c>
      <c r="J1042" s="258">
        <f t="shared" si="351"/>
        <v>9.3763542528463945E-2</v>
      </c>
      <c r="K1042" s="249">
        <f t="shared" si="352"/>
        <v>86.882163174851257</v>
      </c>
      <c r="L1042" s="336">
        <v>0.74444838408908842</v>
      </c>
      <c r="M1042" s="258">
        <f t="shared" si="353"/>
        <v>0.74444838408908842</v>
      </c>
      <c r="N1042" s="251">
        <f t="shared" si="354"/>
        <v>18.881762781389117</v>
      </c>
      <c r="O1042" s="336">
        <v>0.16178807338244758</v>
      </c>
      <c r="P1042" s="258">
        <f t="shared" si="355"/>
        <v>0.16178807338244758</v>
      </c>
      <c r="Q1042" s="354">
        <v>114.2235</v>
      </c>
      <c r="R1042" s="249">
        <f t="shared" si="356"/>
        <v>116.70676574999999</v>
      </c>
      <c r="S1042" s="355">
        <v>0.1</v>
      </c>
      <c r="T1042" s="355"/>
      <c r="U1042" s="315">
        <f t="shared" si="345"/>
        <v>128.37744232499998</v>
      </c>
      <c r="V1042" s="315">
        <f t="shared" si="346"/>
        <v>130</v>
      </c>
      <c r="W1042" s="316">
        <f t="shared" si="357"/>
        <v>0</v>
      </c>
      <c r="X1042" s="185"/>
      <c r="Y1042" s="185"/>
      <c r="Z1042" s="185"/>
      <c r="AA1042" s="206"/>
      <c r="AB1042" s="283"/>
    </row>
    <row r="1043" spans="1:28" s="284" customFormat="1" ht="14.4" x14ac:dyDescent="0.3">
      <c r="A1043" s="204" t="s">
        <v>16689</v>
      </c>
      <c r="B1043" s="351" t="s">
        <v>20770</v>
      </c>
      <c r="C1043" s="352"/>
      <c r="D1043" s="353" t="s">
        <v>5</v>
      </c>
      <c r="E1043" s="249">
        <f t="shared" si="348"/>
        <v>0</v>
      </c>
      <c r="F1043" s="336">
        <v>0</v>
      </c>
      <c r="G1043" s="258">
        <f t="shared" si="349"/>
        <v>0</v>
      </c>
      <c r="H1043" s="249">
        <f t="shared" si="350"/>
        <v>6.3695788251158111E-2</v>
      </c>
      <c r="I1043" s="336">
        <v>5.137245026441703E-2</v>
      </c>
      <c r="J1043" s="258">
        <f t="shared" si="351"/>
        <v>5.137245026441703E-2</v>
      </c>
      <c r="K1043" s="249">
        <f t="shared" si="352"/>
        <v>1.0662205115029875</v>
      </c>
      <c r="L1043" s="336">
        <v>0.85993692364883501</v>
      </c>
      <c r="M1043" s="258">
        <f t="shared" si="353"/>
        <v>0.85993692364883501</v>
      </c>
      <c r="N1043" s="251">
        <f t="shared" si="354"/>
        <v>0.10990645815886105</v>
      </c>
      <c r="O1043" s="336">
        <v>8.8642659279778394E-2</v>
      </c>
      <c r="P1043" s="258">
        <f t="shared" si="355"/>
        <v>8.8642659279778394E-2</v>
      </c>
      <c r="Q1043" s="354">
        <v>1.212078488372093</v>
      </c>
      <c r="R1043" s="249">
        <f t="shared" si="356"/>
        <v>1.2398822311046511</v>
      </c>
      <c r="S1043" s="355">
        <v>0.1</v>
      </c>
      <c r="T1043" s="355"/>
      <c r="U1043" s="315">
        <f t="shared" si="345"/>
        <v>1.3638704542151163</v>
      </c>
      <c r="V1043" s="315">
        <f t="shared" si="346"/>
        <v>2</v>
      </c>
      <c r="W1043" s="316">
        <f t="shared" si="357"/>
        <v>0</v>
      </c>
      <c r="X1043" s="185"/>
      <c r="Y1043" s="185"/>
      <c r="Z1043" s="185"/>
      <c r="AA1043" s="206"/>
      <c r="AB1043" s="283"/>
    </row>
    <row r="1044" spans="1:28" s="284" customFormat="1" ht="14.4" x14ac:dyDescent="0.3">
      <c r="A1044" s="204" t="s">
        <v>16690</v>
      </c>
      <c r="B1044" s="351" t="s">
        <v>20771</v>
      </c>
      <c r="C1044" s="352"/>
      <c r="D1044" s="353" t="s">
        <v>14859</v>
      </c>
      <c r="E1044" s="249">
        <f t="shared" si="348"/>
        <v>0</v>
      </c>
      <c r="F1044" s="336">
        <v>0</v>
      </c>
      <c r="G1044" s="258">
        <f t="shared" si="349"/>
        <v>0</v>
      </c>
      <c r="H1044" s="249">
        <f t="shared" si="350"/>
        <v>10.956201889952153</v>
      </c>
      <c r="I1044" s="336">
        <v>5.137245026441703E-2</v>
      </c>
      <c r="J1044" s="258">
        <f t="shared" si="351"/>
        <v>5.137245026441703E-2</v>
      </c>
      <c r="K1044" s="249">
        <f t="shared" si="352"/>
        <v>183.40896791267943</v>
      </c>
      <c r="L1044" s="336">
        <v>0.85998489045580462</v>
      </c>
      <c r="M1044" s="258">
        <f t="shared" si="353"/>
        <v>0.85998489045580462</v>
      </c>
      <c r="N1044" s="251">
        <f t="shared" si="354"/>
        <v>18.904818947368419</v>
      </c>
      <c r="O1044" s="336">
        <v>8.8642659279778394E-2</v>
      </c>
      <c r="P1044" s="258">
        <f t="shared" si="355"/>
        <v>8.8642659279778394E-2</v>
      </c>
      <c r="Q1044" s="354">
        <v>208.47749999999999</v>
      </c>
      <c r="R1044" s="249">
        <f t="shared" si="356"/>
        <v>213.26998874999998</v>
      </c>
      <c r="S1044" s="355">
        <v>0.1</v>
      </c>
      <c r="T1044" s="355"/>
      <c r="U1044" s="315">
        <f t="shared" si="345"/>
        <v>234.596987625</v>
      </c>
      <c r="V1044" s="315">
        <f t="shared" si="346"/>
        <v>235</v>
      </c>
      <c r="W1044" s="316">
        <f t="shared" si="357"/>
        <v>0</v>
      </c>
      <c r="X1044" s="185"/>
      <c r="Y1044" s="185"/>
      <c r="Z1044" s="185"/>
      <c r="AA1044" s="206"/>
      <c r="AB1044" s="283"/>
    </row>
    <row r="1045" spans="1:28" s="284" customFormat="1" ht="14.4" x14ac:dyDescent="0.3">
      <c r="A1045" s="204" t="s">
        <v>16691</v>
      </c>
      <c r="B1045" s="351" t="s">
        <v>20772</v>
      </c>
      <c r="C1045" s="352"/>
      <c r="D1045" s="353" t="s">
        <v>5</v>
      </c>
      <c r="E1045" s="249">
        <f t="shared" si="348"/>
        <v>0</v>
      </c>
      <c r="F1045" s="336">
        <v>0</v>
      </c>
      <c r="G1045" s="258">
        <f t="shared" si="349"/>
        <v>0</v>
      </c>
      <c r="H1045" s="249">
        <f t="shared" si="350"/>
        <v>6.3712418732566403E-2</v>
      </c>
      <c r="I1045" s="336">
        <v>4.2583392476933997E-2</v>
      </c>
      <c r="J1045" s="258">
        <f t="shared" si="351"/>
        <v>4.2583392476933997E-2</v>
      </c>
      <c r="K1045" s="249">
        <f t="shared" si="352"/>
        <v>1.3224729052260762</v>
      </c>
      <c r="L1045" s="336">
        <v>0.88389962088454987</v>
      </c>
      <c r="M1045" s="258">
        <f t="shared" si="353"/>
        <v>0.88389962088454987</v>
      </c>
      <c r="N1045" s="251">
        <f t="shared" si="354"/>
        <v>0.10993515389148711</v>
      </c>
      <c r="O1045" s="336">
        <v>7.3477226234709633E-2</v>
      </c>
      <c r="P1045" s="258">
        <f t="shared" si="355"/>
        <v>7.3477226234709633E-2</v>
      </c>
      <c r="Q1045" s="354">
        <v>1.4622470930232558</v>
      </c>
      <c r="R1045" s="249">
        <f t="shared" si="356"/>
        <v>1.4961799665697677</v>
      </c>
      <c r="S1045" s="355">
        <v>0.1</v>
      </c>
      <c r="T1045" s="355"/>
      <c r="U1045" s="315">
        <f t="shared" si="345"/>
        <v>1.6457979632267445</v>
      </c>
      <c r="V1045" s="315">
        <f t="shared" si="346"/>
        <v>2</v>
      </c>
      <c r="W1045" s="316">
        <f t="shared" si="357"/>
        <v>0</v>
      </c>
      <c r="X1045" s="185"/>
      <c r="Y1045" s="185"/>
      <c r="Z1045" s="185"/>
      <c r="AA1045" s="206"/>
      <c r="AB1045" s="283"/>
    </row>
    <row r="1046" spans="1:28" s="284" customFormat="1" ht="14.4" x14ac:dyDescent="0.3">
      <c r="A1046" s="204" t="s">
        <v>16692</v>
      </c>
      <c r="B1046" s="351" t="s">
        <v>20773</v>
      </c>
      <c r="C1046" s="352"/>
      <c r="D1046" s="353" t="s">
        <v>14859</v>
      </c>
      <c r="E1046" s="249">
        <f t="shared" si="348"/>
        <v>0</v>
      </c>
      <c r="F1046" s="336">
        <v>0</v>
      </c>
      <c r="G1046" s="258">
        <f t="shared" si="349"/>
        <v>0</v>
      </c>
      <c r="H1046" s="249">
        <f t="shared" si="350"/>
        <v>10.958972288857348</v>
      </c>
      <c r="I1046" s="336">
        <v>4.2583392476934004E-2</v>
      </c>
      <c r="J1046" s="258">
        <f t="shared" si="351"/>
        <v>4.2583392476934004E-2</v>
      </c>
      <c r="K1046" s="249">
        <f t="shared" si="352"/>
        <v>227.48462771762408</v>
      </c>
      <c r="L1046" s="336">
        <v>0.88393938128835636</v>
      </c>
      <c r="M1046" s="258">
        <f t="shared" si="353"/>
        <v>0.88393938128835636</v>
      </c>
      <c r="N1046" s="251">
        <f t="shared" si="354"/>
        <v>18.90959924351856</v>
      </c>
      <c r="O1046" s="336">
        <v>7.3477226234709647E-2</v>
      </c>
      <c r="P1046" s="258">
        <f t="shared" si="355"/>
        <v>7.3477226234709647E-2</v>
      </c>
      <c r="Q1046" s="354">
        <v>251.50649999999999</v>
      </c>
      <c r="R1046" s="249">
        <f t="shared" si="356"/>
        <v>257.35319924999999</v>
      </c>
      <c r="S1046" s="355">
        <v>0.1</v>
      </c>
      <c r="T1046" s="355"/>
      <c r="U1046" s="315">
        <f t="shared" si="345"/>
        <v>283.08851917499999</v>
      </c>
      <c r="V1046" s="315">
        <f t="shared" si="346"/>
        <v>285</v>
      </c>
      <c r="W1046" s="316">
        <f t="shared" si="357"/>
        <v>0</v>
      </c>
      <c r="X1046" s="185"/>
      <c r="Y1046" s="185"/>
      <c r="Z1046" s="185"/>
      <c r="AA1046" s="206"/>
      <c r="AB1046" s="283"/>
    </row>
    <row r="1047" spans="1:28" s="284" customFormat="1" ht="14.4" x14ac:dyDescent="0.3">
      <c r="A1047" s="204" t="s">
        <v>16693</v>
      </c>
      <c r="B1047" s="351" t="s">
        <v>20774</v>
      </c>
      <c r="C1047" s="352"/>
      <c r="D1047" s="353" t="s">
        <v>5</v>
      </c>
      <c r="E1047" s="249">
        <f t="shared" si="348"/>
        <v>0</v>
      </c>
      <c r="F1047" s="336">
        <v>0</v>
      </c>
      <c r="G1047" s="258">
        <f t="shared" si="349"/>
        <v>0</v>
      </c>
      <c r="H1047" s="249">
        <f t="shared" si="350"/>
        <v>6.3737036405026926E-2</v>
      </c>
      <c r="I1047" s="336">
        <v>2.9573177045581628E-2</v>
      </c>
      <c r="J1047" s="258">
        <f t="shared" si="351"/>
        <v>2.9573177045581628E-2</v>
      </c>
      <c r="K1047" s="249">
        <f t="shared" si="352"/>
        <v>1.9814571067828874</v>
      </c>
      <c r="L1047" s="336">
        <v>0.91937098321839561</v>
      </c>
      <c r="M1047" s="258">
        <f t="shared" si="353"/>
        <v>0.91937098321839561</v>
      </c>
      <c r="N1047" s="251">
        <f t="shared" si="354"/>
        <v>0.10997763144396802</v>
      </c>
      <c r="O1047" s="336">
        <v>5.1028227059042808E-2</v>
      </c>
      <c r="P1047" s="258">
        <f t="shared" si="355"/>
        <v>5.1028227059042808E-2</v>
      </c>
      <c r="Q1047" s="354">
        <v>2.1055377906976744</v>
      </c>
      <c r="R1047" s="249">
        <f t="shared" si="356"/>
        <v>2.1552312863372092</v>
      </c>
      <c r="S1047" s="355">
        <v>0.1</v>
      </c>
      <c r="T1047" s="355"/>
      <c r="U1047" s="315">
        <f t="shared" si="345"/>
        <v>2.3707544149709303</v>
      </c>
      <c r="V1047" s="315">
        <f t="shared" si="346"/>
        <v>3</v>
      </c>
      <c r="W1047" s="316">
        <f t="shared" si="357"/>
        <v>0</v>
      </c>
      <c r="X1047" s="185"/>
      <c r="Y1047" s="185"/>
      <c r="Z1047" s="185"/>
      <c r="AA1047" s="206"/>
      <c r="AB1047" s="283"/>
    </row>
    <row r="1048" spans="1:28" s="284" customFormat="1" ht="14.4" x14ac:dyDescent="0.3">
      <c r="A1048" s="204" t="s">
        <v>16694</v>
      </c>
      <c r="B1048" s="351" t="s">
        <v>20775</v>
      </c>
      <c r="C1048" s="352"/>
      <c r="D1048" s="353" t="s">
        <v>14859</v>
      </c>
      <c r="E1048" s="249">
        <f t="shared" si="348"/>
        <v>0</v>
      </c>
      <c r="F1048" s="336">
        <v>0</v>
      </c>
      <c r="G1048" s="258">
        <f t="shared" si="349"/>
        <v>0</v>
      </c>
      <c r="H1048" s="249">
        <f t="shared" si="350"/>
        <v>10.963073238863462</v>
      </c>
      <c r="I1048" s="336">
        <v>2.9573177045581631E-2</v>
      </c>
      <c r="J1048" s="258">
        <f t="shared" si="351"/>
        <v>2.9573177045581631E-2</v>
      </c>
      <c r="K1048" s="249">
        <f t="shared" si="352"/>
        <v>340.83027761858773</v>
      </c>
      <c r="L1048" s="336">
        <v>0.91939859589537554</v>
      </c>
      <c r="M1048" s="258">
        <f t="shared" si="353"/>
        <v>0.91939859589537554</v>
      </c>
      <c r="N1048" s="251">
        <f t="shared" si="354"/>
        <v>18.916675392548719</v>
      </c>
      <c r="O1048" s="336">
        <v>5.1028227059042815E-2</v>
      </c>
      <c r="P1048" s="258">
        <f t="shared" si="355"/>
        <v>5.1028227059042815E-2</v>
      </c>
      <c r="Q1048" s="354">
        <v>362.15249999999997</v>
      </c>
      <c r="R1048" s="249">
        <f t="shared" si="356"/>
        <v>370.71002624999994</v>
      </c>
      <c r="S1048" s="355">
        <v>0.1</v>
      </c>
      <c r="T1048" s="355"/>
      <c r="U1048" s="315">
        <f t="shared" si="345"/>
        <v>407.78102887499995</v>
      </c>
      <c r="V1048" s="315">
        <f t="shared" si="346"/>
        <v>410</v>
      </c>
      <c r="W1048" s="316">
        <f t="shared" si="357"/>
        <v>0</v>
      </c>
      <c r="X1048" s="185"/>
      <c r="Y1048" s="185"/>
      <c r="Z1048" s="185"/>
      <c r="AA1048" s="206"/>
      <c r="AB1048" s="283"/>
    </row>
    <row r="1049" spans="1:28" s="284" customFormat="1" ht="14.4" x14ac:dyDescent="0.3">
      <c r="A1049" s="204" t="s">
        <v>16695</v>
      </c>
      <c r="B1049" s="351" t="s">
        <v>20776</v>
      </c>
      <c r="C1049" s="352"/>
      <c r="D1049" s="353" t="s">
        <v>5</v>
      </c>
      <c r="E1049" s="249">
        <f t="shared" si="348"/>
        <v>0</v>
      </c>
      <c r="F1049" s="336">
        <v>0</v>
      </c>
      <c r="G1049" s="258">
        <f t="shared" si="349"/>
        <v>0</v>
      </c>
      <c r="H1049" s="249">
        <f t="shared" si="350"/>
        <v>6.373857585538989E-2</v>
      </c>
      <c r="I1049" s="336">
        <v>2.8759591565464326E-2</v>
      </c>
      <c r="J1049" s="258">
        <f t="shared" si="351"/>
        <v>2.8759591565464326E-2</v>
      </c>
      <c r="K1049" s="249">
        <f t="shared" si="352"/>
        <v>2.0424761799374567</v>
      </c>
      <c r="L1049" s="336">
        <v>0.92158916211843511</v>
      </c>
      <c r="M1049" s="258">
        <f t="shared" si="353"/>
        <v>0.92158916211843511</v>
      </c>
      <c r="N1049" s="251">
        <f t="shared" si="354"/>
        <v>0.10998028775047665</v>
      </c>
      <c r="O1049" s="336">
        <v>4.9624393289428637E-2</v>
      </c>
      <c r="P1049" s="258">
        <f t="shared" si="355"/>
        <v>4.9624393289428637E-2</v>
      </c>
      <c r="Q1049" s="354">
        <v>2.1651017441860465</v>
      </c>
      <c r="R1049" s="249">
        <f t="shared" si="356"/>
        <v>2.2162545566860459</v>
      </c>
      <c r="S1049" s="355">
        <v>0.1</v>
      </c>
      <c r="T1049" s="355"/>
      <c r="U1049" s="315">
        <f t="shared" si="345"/>
        <v>2.4378800123546505</v>
      </c>
      <c r="V1049" s="315">
        <f t="shared" si="346"/>
        <v>3</v>
      </c>
      <c r="W1049" s="316">
        <f t="shared" si="357"/>
        <v>0</v>
      </c>
      <c r="X1049" s="185"/>
      <c r="Y1049" s="185"/>
      <c r="Z1049" s="185"/>
      <c r="AA1049" s="206"/>
      <c r="AB1049" s="283"/>
    </row>
    <row r="1050" spans="1:28" s="284" customFormat="1" ht="14.4" x14ac:dyDescent="0.3">
      <c r="A1050" s="204" t="s">
        <v>16696</v>
      </c>
      <c r="B1050" s="351" t="s">
        <v>20777</v>
      </c>
      <c r="C1050" s="352"/>
      <c r="D1050" s="353" t="s">
        <v>14859</v>
      </c>
      <c r="E1050" s="249">
        <f t="shared" si="348"/>
        <v>0</v>
      </c>
      <c r="F1050" s="336">
        <v>0</v>
      </c>
      <c r="G1050" s="258">
        <f t="shared" si="349"/>
        <v>0</v>
      </c>
      <c r="H1050" s="249">
        <f t="shared" si="350"/>
        <v>10.96332968914265</v>
      </c>
      <c r="I1050" s="336">
        <v>2.8759591565464326E-2</v>
      </c>
      <c r="J1050" s="258">
        <f t="shared" si="351"/>
        <v>2.8759591565464326E-2</v>
      </c>
      <c r="K1050" s="249">
        <f t="shared" si="352"/>
        <v>351.32558116586608</v>
      </c>
      <c r="L1050" s="336">
        <v>0.92161601514510705</v>
      </c>
      <c r="M1050" s="258">
        <f t="shared" si="353"/>
        <v>0.92161601514510705</v>
      </c>
      <c r="N1050" s="251">
        <f t="shared" si="354"/>
        <v>18.91711789499124</v>
      </c>
      <c r="O1050" s="336">
        <v>4.9624393289428637E-2</v>
      </c>
      <c r="P1050" s="258">
        <f t="shared" si="355"/>
        <v>4.9624393289428637E-2</v>
      </c>
      <c r="Q1050" s="354">
        <v>372.39749999999998</v>
      </c>
      <c r="R1050" s="249">
        <f t="shared" si="356"/>
        <v>381.20602874999997</v>
      </c>
      <c r="S1050" s="355">
        <v>0.1</v>
      </c>
      <c r="T1050" s="355"/>
      <c r="U1050" s="315">
        <f t="shared" si="345"/>
        <v>419.32663162499995</v>
      </c>
      <c r="V1050" s="315">
        <f t="shared" si="346"/>
        <v>420</v>
      </c>
      <c r="W1050" s="316">
        <f t="shared" si="357"/>
        <v>0</v>
      </c>
      <c r="X1050" s="185"/>
      <c r="Y1050" s="185"/>
      <c r="Z1050" s="185"/>
      <c r="AA1050" s="206"/>
      <c r="AB1050" s="283"/>
    </row>
    <row r="1051" spans="1:28" s="284" customFormat="1" ht="14.4" x14ac:dyDescent="0.3">
      <c r="A1051" s="204" t="s">
        <v>16697</v>
      </c>
      <c r="B1051" s="351" t="s">
        <v>20778</v>
      </c>
      <c r="C1051" s="352"/>
      <c r="D1051" s="353" t="s">
        <v>5</v>
      </c>
      <c r="E1051" s="249">
        <f t="shared" si="348"/>
        <v>0</v>
      </c>
      <c r="F1051" s="336">
        <v>0</v>
      </c>
      <c r="G1051" s="258">
        <f t="shared" si="349"/>
        <v>0</v>
      </c>
      <c r="H1051" s="249">
        <f t="shared" si="350"/>
        <v>6.3746830833143947E-2</v>
      </c>
      <c r="I1051" s="336">
        <v>2.4396911091368826E-2</v>
      </c>
      <c r="J1051" s="258">
        <f t="shared" si="351"/>
        <v>2.4396911091368826E-2</v>
      </c>
      <c r="K1051" s="249">
        <f t="shared" si="352"/>
        <v>2.4391049306362329</v>
      </c>
      <c r="L1051" s="336">
        <v>0.93348367844370028</v>
      </c>
      <c r="M1051" s="258">
        <f t="shared" si="353"/>
        <v>0.93348367844370028</v>
      </c>
      <c r="N1051" s="251">
        <f t="shared" si="354"/>
        <v>0.10999453163366013</v>
      </c>
      <c r="O1051" s="336">
        <v>4.2096630902754048E-2</v>
      </c>
      <c r="P1051" s="258">
        <f t="shared" si="355"/>
        <v>4.2096630902754048E-2</v>
      </c>
      <c r="Q1051" s="354">
        <v>2.5522674418604652</v>
      </c>
      <c r="R1051" s="249">
        <f t="shared" si="356"/>
        <v>2.6129058139534882</v>
      </c>
      <c r="S1051" s="355">
        <v>0.1</v>
      </c>
      <c r="T1051" s="355"/>
      <c r="U1051" s="315">
        <f t="shared" si="345"/>
        <v>2.8741963953488372</v>
      </c>
      <c r="V1051" s="315">
        <f t="shared" si="346"/>
        <v>3</v>
      </c>
      <c r="W1051" s="316">
        <f t="shared" si="357"/>
        <v>0</v>
      </c>
      <c r="X1051" s="185"/>
      <c r="Y1051" s="185"/>
      <c r="Z1051" s="185"/>
      <c r="AA1051" s="206"/>
      <c r="AB1051" s="283"/>
    </row>
    <row r="1052" spans="1:28" x14ac:dyDescent="0.25">
      <c r="A1052" s="204" t="s">
        <v>16698</v>
      </c>
      <c r="B1052" s="351" t="s">
        <v>20779</v>
      </c>
      <c r="C1052" s="352"/>
      <c r="D1052" s="353" t="s">
        <v>14859</v>
      </c>
      <c r="E1052" s="249">
        <f t="shared" si="348"/>
        <v>0</v>
      </c>
      <c r="F1052" s="336">
        <v>0</v>
      </c>
      <c r="G1052" s="258">
        <f t="shared" si="349"/>
        <v>0</v>
      </c>
      <c r="H1052" s="249">
        <f t="shared" si="350"/>
        <v>10.964704849654892</v>
      </c>
      <c r="I1052" s="336">
        <v>2.4396911091368826E-2</v>
      </c>
      <c r="J1052" s="258">
        <f t="shared" si="351"/>
        <v>2.4396911091368826E-2</v>
      </c>
      <c r="K1052" s="249">
        <f t="shared" si="352"/>
        <v>419.54584942937197</v>
      </c>
      <c r="L1052" s="336">
        <v>0.93350645800587717</v>
      </c>
      <c r="M1052" s="258">
        <f t="shared" si="353"/>
        <v>0.93350645800587717</v>
      </c>
      <c r="N1052" s="251">
        <f t="shared" si="354"/>
        <v>18.919490720973144</v>
      </c>
      <c r="O1052" s="336">
        <v>4.2096630902754048E-2</v>
      </c>
      <c r="P1052" s="258">
        <f t="shared" si="355"/>
        <v>4.2096630902754048E-2</v>
      </c>
      <c r="Q1052" s="354">
        <v>438.99</v>
      </c>
      <c r="R1052" s="249">
        <f t="shared" si="356"/>
        <v>449.43004500000001</v>
      </c>
      <c r="S1052" s="355">
        <v>0.1</v>
      </c>
      <c r="T1052" s="355"/>
      <c r="U1052" s="315">
        <f t="shared" si="345"/>
        <v>494.37304949999998</v>
      </c>
      <c r="V1052" s="315">
        <f t="shared" si="346"/>
        <v>495</v>
      </c>
      <c r="W1052" s="316">
        <f t="shared" si="357"/>
        <v>0</v>
      </c>
    </row>
    <row r="1053" spans="1:28" s="284" customFormat="1" ht="14.4" x14ac:dyDescent="0.3">
      <c r="A1053" s="204" t="s">
        <v>16699</v>
      </c>
      <c r="B1053" s="351" t="s">
        <v>20780</v>
      </c>
      <c r="C1053" s="352"/>
      <c r="D1053" s="353" t="s">
        <v>5</v>
      </c>
      <c r="E1053" s="249">
        <f t="shared" si="348"/>
        <v>0</v>
      </c>
      <c r="F1053" s="336">
        <v>0</v>
      </c>
      <c r="G1053" s="258">
        <f t="shared" si="349"/>
        <v>0</v>
      </c>
      <c r="H1053" s="249">
        <f t="shared" si="350"/>
        <v>6.3750772275738166E-2</v>
      </c>
      <c r="I1053" s="336">
        <v>2.2313894618413654E-2</v>
      </c>
      <c r="J1053" s="258">
        <f t="shared" si="351"/>
        <v>2.2313894618413654E-2</v>
      </c>
      <c r="K1053" s="249">
        <f t="shared" si="352"/>
        <v>2.6831872659882805</v>
      </c>
      <c r="L1053" s="336">
        <v>0.93916286434568819</v>
      </c>
      <c r="M1053" s="258">
        <f t="shared" si="353"/>
        <v>0.93916286434568819</v>
      </c>
      <c r="N1053" s="251">
        <f t="shared" si="354"/>
        <v>0.11000133255421486</v>
      </c>
      <c r="O1053" s="336">
        <v>3.8502406400400029E-2</v>
      </c>
      <c r="P1053" s="258">
        <f t="shared" si="355"/>
        <v>3.8502406400400029E-2</v>
      </c>
      <c r="Q1053" s="354">
        <v>2.7905232558139534</v>
      </c>
      <c r="R1053" s="249">
        <f t="shared" si="356"/>
        <v>2.8569988953488368</v>
      </c>
      <c r="S1053" s="355">
        <v>0.1</v>
      </c>
      <c r="T1053" s="355"/>
      <c r="U1053" s="315">
        <f t="shared" si="345"/>
        <v>3.1426987848837205</v>
      </c>
      <c r="V1053" s="315">
        <f t="shared" si="346"/>
        <v>4</v>
      </c>
      <c r="W1053" s="316">
        <f t="shared" si="357"/>
        <v>0</v>
      </c>
      <c r="X1053" s="185"/>
      <c r="Y1053" s="185"/>
      <c r="Z1053" s="185"/>
      <c r="AA1053" s="206"/>
      <c r="AB1053" s="283"/>
    </row>
    <row r="1054" spans="1:28" x14ac:dyDescent="0.25">
      <c r="A1054" s="204" t="s">
        <v>16700</v>
      </c>
      <c r="B1054" s="351" t="s">
        <v>20781</v>
      </c>
      <c r="C1054" s="352"/>
      <c r="D1054" s="353" t="s">
        <v>14859</v>
      </c>
      <c r="E1054" s="249">
        <f t="shared" si="348"/>
        <v>0</v>
      </c>
      <c r="F1054" s="336">
        <v>0</v>
      </c>
      <c r="G1054" s="258">
        <f t="shared" si="349"/>
        <v>0</v>
      </c>
      <c r="H1054" s="249">
        <f t="shared" si="350"/>
        <v>10.96536143727733</v>
      </c>
      <c r="I1054" s="336">
        <v>2.2313894618413654E-2</v>
      </c>
      <c r="J1054" s="258">
        <f t="shared" si="351"/>
        <v>2.2313894618413654E-2</v>
      </c>
      <c r="K1054" s="249">
        <f t="shared" si="352"/>
        <v>461.52806990624413</v>
      </c>
      <c r="L1054" s="336">
        <v>0.93918369898118637</v>
      </c>
      <c r="M1054" s="258">
        <f t="shared" si="353"/>
        <v>0.93918369898118637</v>
      </c>
      <c r="N1054" s="251">
        <f t="shared" si="354"/>
        <v>18.920623656478529</v>
      </c>
      <c r="O1054" s="336">
        <v>3.8502406400400029E-2</v>
      </c>
      <c r="P1054" s="258">
        <f t="shared" si="355"/>
        <v>3.8502406400400029E-2</v>
      </c>
      <c r="Q1054" s="354">
        <v>479.96999999999997</v>
      </c>
      <c r="R1054" s="249">
        <f t="shared" si="356"/>
        <v>491.41405499999996</v>
      </c>
      <c r="S1054" s="355">
        <v>0.1</v>
      </c>
      <c r="T1054" s="355"/>
      <c r="U1054" s="315">
        <f t="shared" si="345"/>
        <v>540.55546049999998</v>
      </c>
      <c r="V1054" s="315">
        <f t="shared" si="346"/>
        <v>545</v>
      </c>
      <c r="W1054" s="316">
        <f t="shared" si="357"/>
        <v>0</v>
      </c>
    </row>
    <row r="1055" spans="1:28" x14ac:dyDescent="0.25">
      <c r="A1055" s="204" t="s">
        <v>16701</v>
      </c>
      <c r="B1055" s="351" t="s">
        <v>20782</v>
      </c>
      <c r="C1055" s="352"/>
      <c r="D1055" s="353" t="s">
        <v>5</v>
      </c>
      <c r="E1055" s="249">
        <f t="shared" si="348"/>
        <v>0</v>
      </c>
      <c r="F1055" s="336">
        <v>0</v>
      </c>
      <c r="G1055" s="258">
        <f t="shared" si="349"/>
        <v>0</v>
      </c>
      <c r="H1055" s="249">
        <f t="shared" si="350"/>
        <v>6.37519973878828E-2</v>
      </c>
      <c r="I1055" s="336">
        <v>2.1666434020549737E-2</v>
      </c>
      <c r="J1055" s="258">
        <f t="shared" si="351"/>
        <v>2.1666434020549737E-2</v>
      </c>
      <c r="K1055" s="249">
        <f t="shared" si="352"/>
        <v>2.7686165043016175</v>
      </c>
      <c r="L1055" s="336">
        <v>0.94092811639588669</v>
      </c>
      <c r="M1055" s="258">
        <f t="shared" si="353"/>
        <v>0.94092811639588669</v>
      </c>
      <c r="N1055" s="251">
        <f t="shared" si="354"/>
        <v>0.11000344647320952</v>
      </c>
      <c r="O1055" s="336">
        <v>3.7385219486438755E-2</v>
      </c>
      <c r="P1055" s="258">
        <f t="shared" si="355"/>
        <v>3.7385219486438755E-2</v>
      </c>
      <c r="Q1055" s="354">
        <v>2.8739127906976742</v>
      </c>
      <c r="R1055" s="249">
        <f t="shared" si="356"/>
        <v>2.9424314738372086</v>
      </c>
      <c r="S1055" s="355">
        <v>0.1</v>
      </c>
      <c r="T1055" s="355"/>
      <c r="U1055" s="315">
        <f t="shared" si="345"/>
        <v>3.2366746212209296</v>
      </c>
      <c r="V1055" s="315">
        <f t="shared" si="346"/>
        <v>4</v>
      </c>
      <c r="W1055" s="316">
        <f t="shared" si="357"/>
        <v>0</v>
      </c>
    </row>
    <row r="1056" spans="1:28" x14ac:dyDescent="0.25">
      <c r="A1056" s="204" t="s">
        <v>16702</v>
      </c>
      <c r="B1056" s="351" t="s">
        <v>20783</v>
      </c>
      <c r="C1056" s="352"/>
      <c r="D1056" s="353" t="s">
        <v>14859</v>
      </c>
      <c r="E1056" s="249">
        <f t="shared" si="348"/>
        <v>0</v>
      </c>
      <c r="F1056" s="336">
        <v>0</v>
      </c>
      <c r="G1056" s="258">
        <f t="shared" si="349"/>
        <v>0</v>
      </c>
      <c r="H1056" s="249">
        <f t="shared" si="350"/>
        <v>10.965565523332383</v>
      </c>
      <c r="I1056" s="336">
        <v>2.1666434020549734E-2</v>
      </c>
      <c r="J1056" s="258">
        <f t="shared" si="351"/>
        <v>2.1666434020549734E-2</v>
      </c>
      <c r="K1056" s="249">
        <f t="shared" si="352"/>
        <v>476.22191717170193</v>
      </c>
      <c r="L1056" s="336">
        <v>0.94094834649301151</v>
      </c>
      <c r="M1056" s="258">
        <f t="shared" si="353"/>
        <v>0.94094834649301151</v>
      </c>
      <c r="N1056" s="251">
        <f t="shared" si="354"/>
        <v>18.920975804965678</v>
      </c>
      <c r="O1056" s="336">
        <v>3.7385219486438755E-2</v>
      </c>
      <c r="P1056" s="258">
        <f t="shared" si="355"/>
        <v>3.7385219486438755E-2</v>
      </c>
      <c r="Q1056" s="354">
        <v>494.31299999999999</v>
      </c>
      <c r="R1056" s="249">
        <f t="shared" si="356"/>
        <v>506.10845849999998</v>
      </c>
      <c r="S1056" s="355">
        <v>0.1</v>
      </c>
      <c r="T1056" s="355"/>
      <c r="U1056" s="315">
        <f t="shared" si="345"/>
        <v>556.71930435000002</v>
      </c>
      <c r="V1056" s="315">
        <f t="shared" si="346"/>
        <v>560</v>
      </c>
      <c r="W1056" s="316">
        <f t="shared" si="357"/>
        <v>0</v>
      </c>
    </row>
    <row r="1057" spans="1:23" x14ac:dyDescent="0.25">
      <c r="A1057" s="204" t="s">
        <v>16703</v>
      </c>
      <c r="B1057" s="351" t="s">
        <v>20784</v>
      </c>
      <c r="C1057" s="352"/>
      <c r="D1057" s="353" t="s">
        <v>5</v>
      </c>
      <c r="E1057" s="249">
        <f t="shared" si="348"/>
        <v>0</v>
      </c>
      <c r="F1057" s="336">
        <v>0</v>
      </c>
      <c r="G1057" s="258">
        <f t="shared" si="349"/>
        <v>0</v>
      </c>
      <c r="H1057" s="249">
        <f t="shared" si="350"/>
        <v>6.3753707311479543E-2</v>
      </c>
      <c r="I1057" s="336">
        <v>2.0762754990767265E-2</v>
      </c>
      <c r="J1057" s="258">
        <f t="shared" si="351"/>
        <v>2.0762754990767265E-2</v>
      </c>
      <c r="K1057" s="249">
        <f t="shared" si="352"/>
        <v>2.89676071005761</v>
      </c>
      <c r="L1057" s="336">
        <v>0.94339192850323017</v>
      </c>
      <c r="M1057" s="258">
        <f t="shared" si="353"/>
        <v>0.94339192850323017</v>
      </c>
      <c r="N1057" s="251">
        <f t="shared" si="354"/>
        <v>0.11000639692961173</v>
      </c>
      <c r="O1057" s="336">
        <v>3.5825930180147431E-2</v>
      </c>
      <c r="P1057" s="258">
        <f t="shared" si="355"/>
        <v>3.5825930180147431E-2</v>
      </c>
      <c r="Q1057" s="354">
        <v>2.9989970930232559</v>
      </c>
      <c r="R1057" s="249">
        <f t="shared" si="356"/>
        <v>3.0705803415697672</v>
      </c>
      <c r="S1057" s="355">
        <v>0.1</v>
      </c>
      <c r="T1057" s="355"/>
      <c r="U1057" s="315">
        <f t="shared" si="345"/>
        <v>3.3776383757267441</v>
      </c>
      <c r="V1057" s="315">
        <f t="shared" si="346"/>
        <v>4</v>
      </c>
      <c r="W1057" s="316">
        <f t="shared" si="357"/>
        <v>0</v>
      </c>
    </row>
    <row r="1058" spans="1:23" ht="14.4" thickBot="1" x14ac:dyDescent="0.3">
      <c r="A1058" s="356" t="s">
        <v>16704</v>
      </c>
      <c r="B1058" s="357" t="s">
        <v>20785</v>
      </c>
      <c r="C1058" s="358"/>
      <c r="D1058" s="359" t="s">
        <v>14859</v>
      </c>
      <c r="E1058" s="266">
        <f t="shared" si="348"/>
        <v>0</v>
      </c>
      <c r="F1058" s="360">
        <v>0</v>
      </c>
      <c r="G1058" s="322">
        <f t="shared" si="349"/>
        <v>0</v>
      </c>
      <c r="H1058" s="266">
        <f t="shared" si="350"/>
        <v>10.965850371999361</v>
      </c>
      <c r="I1058" s="360">
        <v>2.0762754990767265E-2</v>
      </c>
      <c r="J1058" s="322">
        <f t="shared" si="351"/>
        <v>2.0762754990767265E-2</v>
      </c>
      <c r="K1058" s="266">
        <f t="shared" si="352"/>
        <v>498.2627460694527</v>
      </c>
      <c r="L1058" s="360">
        <v>0.94341131482908536</v>
      </c>
      <c r="M1058" s="322">
        <f t="shared" si="353"/>
        <v>0.94341131482908536</v>
      </c>
      <c r="N1058" s="270">
        <f t="shared" si="354"/>
        <v>18.921467308547918</v>
      </c>
      <c r="O1058" s="360">
        <v>3.5825930180147438E-2</v>
      </c>
      <c r="P1058" s="322">
        <f t="shared" si="355"/>
        <v>3.5825930180147438E-2</v>
      </c>
      <c r="Q1058" s="361">
        <v>515.82749999999999</v>
      </c>
      <c r="R1058" s="266">
        <f t="shared" si="356"/>
        <v>528.15006374999996</v>
      </c>
      <c r="S1058" s="362">
        <v>0.1</v>
      </c>
      <c r="T1058" s="362"/>
      <c r="U1058" s="324">
        <f t="shared" si="345"/>
        <v>580.96507012500001</v>
      </c>
      <c r="V1058" s="324">
        <f t="shared" si="346"/>
        <v>585</v>
      </c>
      <c r="W1058" s="325">
        <f t="shared" si="357"/>
        <v>0</v>
      </c>
    </row>
    <row r="1059" spans="1:23" x14ac:dyDescent="0.25">
      <c r="A1059" s="204" t="s">
        <v>16705</v>
      </c>
      <c r="B1059" s="351" t="s">
        <v>20786</v>
      </c>
      <c r="C1059" s="352"/>
      <c r="D1059" s="353" t="s">
        <v>5</v>
      </c>
      <c r="E1059" s="249">
        <f t="shared" si="348"/>
        <v>0</v>
      </c>
      <c r="F1059" s="336">
        <v>0</v>
      </c>
      <c r="G1059" s="258">
        <f t="shared" si="349"/>
        <v>0</v>
      </c>
      <c r="H1059" s="249">
        <f t="shared" si="350"/>
        <v>6.3753961750347254E-2</v>
      </c>
      <c r="I1059" s="336">
        <v>2.0628286369151948E-2</v>
      </c>
      <c r="J1059" s="258">
        <f t="shared" si="351"/>
        <v>2.0628286369151948E-2</v>
      </c>
      <c r="K1059" s="249">
        <f t="shared" si="352"/>
        <v>2.9167883957098644</v>
      </c>
      <c r="L1059" s="336">
        <v>0.94375854696739148</v>
      </c>
      <c r="M1059" s="258">
        <f t="shared" si="353"/>
        <v>0.94375854696739148</v>
      </c>
      <c r="N1059" s="251">
        <f t="shared" si="354"/>
        <v>0.11000683596138348</v>
      </c>
      <c r="O1059" s="336">
        <v>3.5593905891870024E-2</v>
      </c>
      <c r="P1059" s="258">
        <f t="shared" si="355"/>
        <v>3.5593905891870024E-2</v>
      </c>
      <c r="Q1059" s="354">
        <v>3.0185465116279073</v>
      </c>
      <c r="R1059" s="249">
        <f t="shared" si="356"/>
        <v>3.0906087209302324</v>
      </c>
      <c r="S1059" s="355">
        <v>0.1</v>
      </c>
      <c r="T1059" s="355"/>
      <c r="U1059" s="315">
        <f t="shared" si="345"/>
        <v>3.3996695930232557</v>
      </c>
      <c r="V1059" s="315">
        <f t="shared" si="346"/>
        <v>4</v>
      </c>
      <c r="W1059" s="316">
        <f t="shared" si="357"/>
        <v>0</v>
      </c>
    </row>
    <row r="1060" spans="1:23" x14ac:dyDescent="0.25">
      <c r="A1060" s="204" t="s">
        <v>16706</v>
      </c>
      <c r="B1060" s="351" t="s">
        <v>20787</v>
      </c>
      <c r="C1060" s="352"/>
      <c r="D1060" s="353" t="s">
        <v>14859</v>
      </c>
      <c r="E1060" s="249">
        <f t="shared" si="348"/>
        <v>0</v>
      </c>
      <c r="F1060" s="336">
        <v>0</v>
      </c>
      <c r="G1060" s="258">
        <f t="shared" si="349"/>
        <v>0</v>
      </c>
      <c r="H1060" s="249">
        <f t="shared" si="350"/>
        <v>10.965892757853581</v>
      </c>
      <c r="I1060" s="336">
        <v>2.0628286369151948E-2</v>
      </c>
      <c r="J1060" s="258">
        <f t="shared" si="351"/>
        <v>2.0628286369151948E-2</v>
      </c>
      <c r="K1060" s="249">
        <f t="shared" si="352"/>
        <v>501.70751179722265</v>
      </c>
      <c r="L1060" s="336">
        <v>0.94377780773897801</v>
      </c>
      <c r="M1060" s="258">
        <f t="shared" si="353"/>
        <v>0.94377780773897801</v>
      </c>
      <c r="N1060" s="251">
        <f t="shared" si="354"/>
        <v>18.921540444923824</v>
      </c>
      <c r="O1060" s="336">
        <v>3.5593905891870024E-2</v>
      </c>
      <c r="P1060" s="258">
        <f t="shared" si="355"/>
        <v>3.5593905891870024E-2</v>
      </c>
      <c r="Q1060" s="354">
        <v>519.19000000000005</v>
      </c>
      <c r="R1060" s="249">
        <f t="shared" si="356"/>
        <v>531.59494500000005</v>
      </c>
      <c r="S1060" s="355">
        <v>0.1</v>
      </c>
      <c r="T1060" s="355"/>
      <c r="U1060" s="315">
        <f t="shared" si="345"/>
        <v>584.7544395000001</v>
      </c>
      <c r="V1060" s="315">
        <f t="shared" si="346"/>
        <v>585</v>
      </c>
      <c r="W1060" s="316">
        <f t="shared" si="357"/>
        <v>0</v>
      </c>
    </row>
    <row r="1061" spans="1:23" x14ac:dyDescent="0.25">
      <c r="A1061" s="204" t="s">
        <v>16707</v>
      </c>
      <c r="B1061" s="351" t="s">
        <v>20788</v>
      </c>
      <c r="C1061" s="352"/>
      <c r="D1061" s="353" t="s">
        <v>5</v>
      </c>
      <c r="E1061" s="249">
        <f t="shared" si="348"/>
        <v>0</v>
      </c>
      <c r="F1061" s="336">
        <v>0</v>
      </c>
      <c r="G1061" s="258">
        <f t="shared" si="349"/>
        <v>0</v>
      </c>
      <c r="H1061" s="249">
        <f t="shared" si="350"/>
        <v>6.3755565753919774E-2</v>
      </c>
      <c r="I1061" s="336">
        <v>1.9780585106382979E-2</v>
      </c>
      <c r="J1061" s="258">
        <f t="shared" si="351"/>
        <v>1.9780585106382979E-2</v>
      </c>
      <c r="K1061" s="249">
        <f t="shared" si="352"/>
        <v>3.049313819027812</v>
      </c>
      <c r="L1061" s="336">
        <v>0.94606973995271859</v>
      </c>
      <c r="M1061" s="258">
        <f t="shared" si="353"/>
        <v>0.94606973995271859</v>
      </c>
      <c r="N1061" s="251">
        <f t="shared" si="354"/>
        <v>0.11000960365382237</v>
      </c>
      <c r="O1061" s="336">
        <v>3.4131205673758866E-2</v>
      </c>
      <c r="P1061" s="258">
        <f t="shared" si="355"/>
        <v>3.4131205673758866E-2</v>
      </c>
      <c r="Q1061" s="354">
        <v>3.1479069767441863</v>
      </c>
      <c r="R1061" s="249">
        <f t="shared" si="356"/>
        <v>3.2231385174418605</v>
      </c>
      <c r="S1061" s="355">
        <v>0.1</v>
      </c>
      <c r="T1061" s="355"/>
      <c r="U1061" s="315">
        <f t="shared" si="345"/>
        <v>3.5454523691860467</v>
      </c>
      <c r="V1061" s="315">
        <f t="shared" si="346"/>
        <v>4</v>
      </c>
      <c r="W1061" s="316">
        <f t="shared" si="357"/>
        <v>0</v>
      </c>
    </row>
    <row r="1062" spans="1:23" x14ac:dyDescent="0.25">
      <c r="A1062" s="204" t="s">
        <v>16708</v>
      </c>
      <c r="B1062" s="351" t="s">
        <v>20789</v>
      </c>
      <c r="C1062" s="352"/>
      <c r="D1062" s="353" t="s">
        <v>14859</v>
      </c>
      <c r="E1062" s="249">
        <f t="shared" si="348"/>
        <v>0</v>
      </c>
      <c r="F1062" s="336">
        <v>0</v>
      </c>
      <c r="G1062" s="258">
        <f t="shared" si="349"/>
        <v>0</v>
      </c>
      <c r="H1062" s="249">
        <f t="shared" si="350"/>
        <v>10.966159961768618</v>
      </c>
      <c r="I1062" s="336">
        <v>1.9780585106382979E-2</v>
      </c>
      <c r="J1062" s="258">
        <f t="shared" si="351"/>
        <v>1.9780585106382979E-2</v>
      </c>
      <c r="K1062" s="249">
        <f t="shared" si="352"/>
        <v>524.50190853557183</v>
      </c>
      <c r="L1062" s="336">
        <v>0.94608820921985803</v>
      </c>
      <c r="M1062" s="258">
        <f t="shared" si="353"/>
        <v>0.94608820921985803</v>
      </c>
      <c r="N1062" s="251">
        <f t="shared" si="354"/>
        <v>18.922001502659576</v>
      </c>
      <c r="O1062" s="336">
        <v>3.4131205673758866E-2</v>
      </c>
      <c r="P1062" s="258">
        <f t="shared" si="355"/>
        <v>3.4131205673758866E-2</v>
      </c>
      <c r="Q1062" s="354">
        <v>541.44000000000005</v>
      </c>
      <c r="R1062" s="249">
        <f t="shared" si="356"/>
        <v>554.39007000000004</v>
      </c>
      <c r="S1062" s="355">
        <v>0.1</v>
      </c>
      <c r="T1062" s="355"/>
      <c r="U1062" s="315">
        <f t="shared" ref="U1062:U1125" si="358">(R1062*S1062)+R1062</f>
        <v>609.8290770000001</v>
      </c>
      <c r="V1062" s="315">
        <f t="shared" ref="V1062:V1125" si="359">IF(U1062=0, 0, IF(U1062&lt;10, _xlfn.CEILING.MATH(U1062,1), IF(U1062&lt;100, _xlfn.CEILING.MATH(U1062,1),IF(U1062&lt;1000, _xlfn.CEILING.MATH(U1062,5), IF(U1062&lt;10000, _xlfn.CEILING.MATH(U1062, 25), IF(U1062&lt;100000, _xlfn.CEILING.MATH(U1062,250), IF(U1062&lt;1000000, _xlfn.CEILING.MATH(U1062,500), 0)))))))</f>
        <v>610</v>
      </c>
      <c r="W1062" s="316">
        <f t="shared" si="357"/>
        <v>0</v>
      </c>
    </row>
    <row r="1063" spans="1:23" x14ac:dyDescent="0.25">
      <c r="A1063" s="204" t="s">
        <v>16709</v>
      </c>
      <c r="B1063" s="351" t="s">
        <v>20790</v>
      </c>
      <c r="C1063" s="352"/>
      <c r="D1063" s="353" t="s">
        <v>5</v>
      </c>
      <c r="E1063" s="249">
        <f t="shared" si="348"/>
        <v>0</v>
      </c>
      <c r="F1063" s="336">
        <v>0</v>
      </c>
      <c r="G1063" s="258">
        <f t="shared" si="349"/>
        <v>0</v>
      </c>
      <c r="H1063" s="249">
        <f t="shared" si="350"/>
        <v>6.3755823199251632E-2</v>
      </c>
      <c r="I1063" s="336">
        <v>1.9644527595884004E-2</v>
      </c>
      <c r="J1063" s="258">
        <f t="shared" si="351"/>
        <v>1.9644527595884004E-2</v>
      </c>
      <c r="K1063" s="249">
        <f t="shared" si="352"/>
        <v>3.0716495996808448</v>
      </c>
      <c r="L1063" s="336">
        <v>0.94644069040151135</v>
      </c>
      <c r="M1063" s="258">
        <f t="shared" si="353"/>
        <v>0.94644069040151135</v>
      </c>
      <c r="N1063" s="251">
        <f t="shared" si="354"/>
        <v>0.1100100478732185</v>
      </c>
      <c r="O1063" s="336">
        <v>3.3896439773290044E-2</v>
      </c>
      <c r="P1063" s="258">
        <f t="shared" si="355"/>
        <v>3.3896439773290044E-2</v>
      </c>
      <c r="Q1063" s="354">
        <v>3.1697093023255816</v>
      </c>
      <c r="R1063" s="249">
        <f t="shared" si="356"/>
        <v>3.2454749999999999</v>
      </c>
      <c r="S1063" s="355">
        <v>0.1</v>
      </c>
      <c r="T1063" s="355"/>
      <c r="U1063" s="315">
        <f t="shared" si="358"/>
        <v>3.5700224999999999</v>
      </c>
      <c r="V1063" s="315">
        <f t="shared" si="359"/>
        <v>4</v>
      </c>
      <c r="W1063" s="316">
        <f t="shared" si="357"/>
        <v>0</v>
      </c>
    </row>
    <row r="1064" spans="1:23" x14ac:dyDescent="0.25">
      <c r="A1064" s="204" t="s">
        <v>16710</v>
      </c>
      <c r="B1064" s="351" t="s">
        <v>20791</v>
      </c>
      <c r="C1064" s="352"/>
      <c r="D1064" s="353" t="s">
        <v>14859</v>
      </c>
      <c r="E1064" s="249">
        <f t="shared" si="348"/>
        <v>0</v>
      </c>
      <c r="F1064" s="336">
        <v>0</v>
      </c>
      <c r="G1064" s="258">
        <f t="shared" si="349"/>
        <v>0</v>
      </c>
      <c r="H1064" s="249">
        <f t="shared" si="350"/>
        <v>10.966202848456501</v>
      </c>
      <c r="I1064" s="336">
        <v>1.9644527595884004E-2</v>
      </c>
      <c r="J1064" s="258">
        <f t="shared" si="351"/>
        <v>1.9644527595884004E-2</v>
      </c>
      <c r="K1064" s="249">
        <f t="shared" si="352"/>
        <v>528.34366664832442</v>
      </c>
      <c r="L1064" s="336">
        <v>0.94645903263082587</v>
      </c>
      <c r="M1064" s="258">
        <f t="shared" si="353"/>
        <v>0.94645903263082587</v>
      </c>
      <c r="N1064" s="251">
        <f t="shared" si="354"/>
        <v>18.922075503219059</v>
      </c>
      <c r="O1064" s="336">
        <v>3.3896439773290044E-2</v>
      </c>
      <c r="P1064" s="258">
        <f t="shared" si="355"/>
        <v>3.3896439773290044E-2</v>
      </c>
      <c r="Q1064" s="354">
        <v>545.19000000000005</v>
      </c>
      <c r="R1064" s="249">
        <f t="shared" si="356"/>
        <v>558.231945</v>
      </c>
      <c r="S1064" s="355">
        <v>0.1</v>
      </c>
      <c r="T1064" s="355"/>
      <c r="U1064" s="315">
        <f t="shared" si="358"/>
        <v>614.0551395</v>
      </c>
      <c r="V1064" s="315">
        <f t="shared" si="359"/>
        <v>615</v>
      </c>
      <c r="W1064" s="316">
        <f t="shared" si="357"/>
        <v>0</v>
      </c>
    </row>
    <row r="1065" spans="1:23" x14ac:dyDescent="0.25">
      <c r="A1065" s="204" t="s">
        <v>16711</v>
      </c>
      <c r="B1065" s="351" t="s">
        <v>20792</v>
      </c>
      <c r="C1065" s="352"/>
      <c r="D1065" s="353" t="s">
        <v>5</v>
      </c>
      <c r="E1065" s="249">
        <f t="shared" si="348"/>
        <v>0</v>
      </c>
      <c r="F1065" s="336">
        <v>0</v>
      </c>
      <c r="G1065" s="258">
        <f t="shared" si="349"/>
        <v>0</v>
      </c>
      <c r="H1065" s="249">
        <f t="shared" si="350"/>
        <v>6.3757256312938299E-2</v>
      </c>
      <c r="I1065" s="336">
        <v>1.888714007962226E-2</v>
      </c>
      <c r="J1065" s="258">
        <f t="shared" si="351"/>
        <v>1.888714007962226E-2</v>
      </c>
      <c r="K1065" s="249">
        <f t="shared" si="352"/>
        <v>3.2018673857193871</v>
      </c>
      <c r="L1065" s="336">
        <v>0.94850564982960128</v>
      </c>
      <c r="M1065" s="258">
        <f t="shared" si="353"/>
        <v>0.94850564982960128</v>
      </c>
      <c r="N1065" s="251">
        <f t="shared" si="354"/>
        <v>0.11001252069683469</v>
      </c>
      <c r="O1065" s="336">
        <v>3.2589575039348208E-2</v>
      </c>
      <c r="P1065" s="258">
        <f t="shared" si="355"/>
        <v>3.2589575039348208E-2</v>
      </c>
      <c r="Q1065" s="354">
        <v>3.2968168604651162</v>
      </c>
      <c r="R1065" s="249">
        <f t="shared" si="356"/>
        <v>3.3756966933139529</v>
      </c>
      <c r="S1065" s="355">
        <v>0.1</v>
      </c>
      <c r="T1065" s="355"/>
      <c r="U1065" s="315">
        <f t="shared" si="358"/>
        <v>3.7132663626453484</v>
      </c>
      <c r="V1065" s="315">
        <f t="shared" si="359"/>
        <v>4</v>
      </c>
      <c r="W1065" s="316">
        <f t="shared" si="357"/>
        <v>0</v>
      </c>
    </row>
    <row r="1066" spans="1:23" x14ac:dyDescent="0.25">
      <c r="A1066" s="204" t="s">
        <v>16712</v>
      </c>
      <c r="B1066" s="351" t="s">
        <v>20793</v>
      </c>
      <c r="C1066" s="352"/>
      <c r="D1066" s="353" t="s">
        <v>14859</v>
      </c>
      <c r="E1066" s="249">
        <f t="shared" si="348"/>
        <v>0</v>
      </c>
      <c r="F1066" s="336">
        <v>0</v>
      </c>
      <c r="G1066" s="258">
        <f t="shared" si="349"/>
        <v>0</v>
      </c>
      <c r="H1066" s="249">
        <f t="shared" si="350"/>
        <v>10.966441584575502</v>
      </c>
      <c r="I1066" s="336">
        <v>1.8887140079622257E-2</v>
      </c>
      <c r="J1066" s="258">
        <f t="shared" si="351"/>
        <v>1.8887140079622257E-2</v>
      </c>
      <c r="K1066" s="249">
        <f t="shared" si="352"/>
        <v>550.74114722537263</v>
      </c>
      <c r="L1066" s="336">
        <v>0.94852328488102944</v>
      </c>
      <c r="M1066" s="258">
        <f t="shared" si="353"/>
        <v>0.94852328488102944</v>
      </c>
      <c r="N1066" s="251">
        <f t="shared" si="354"/>
        <v>18.922487440051846</v>
      </c>
      <c r="O1066" s="336">
        <v>3.2589575039348208E-2</v>
      </c>
      <c r="P1066" s="258">
        <f t="shared" si="355"/>
        <v>3.2589575039348208E-2</v>
      </c>
      <c r="Q1066" s="354">
        <v>567.05250000000001</v>
      </c>
      <c r="R1066" s="249">
        <f t="shared" si="356"/>
        <v>580.63007625</v>
      </c>
      <c r="S1066" s="355">
        <v>0.1</v>
      </c>
      <c r="T1066" s="355"/>
      <c r="U1066" s="315">
        <f t="shared" si="358"/>
        <v>638.69308387499996</v>
      </c>
      <c r="V1066" s="315">
        <f t="shared" si="359"/>
        <v>640</v>
      </c>
      <c r="W1066" s="316">
        <f t="shared" si="357"/>
        <v>0</v>
      </c>
    </row>
    <row r="1067" spans="1:23" x14ac:dyDescent="0.25">
      <c r="A1067" s="204" t="s">
        <v>16713</v>
      </c>
      <c r="B1067" s="351" t="s">
        <v>20794</v>
      </c>
      <c r="C1067" s="352"/>
      <c r="D1067" s="353" t="s">
        <v>5</v>
      </c>
      <c r="E1067" s="249">
        <f t="shared" si="348"/>
        <v>0</v>
      </c>
      <c r="F1067" s="336">
        <v>0</v>
      </c>
      <c r="G1067" s="258">
        <f t="shared" si="349"/>
        <v>0</v>
      </c>
      <c r="H1067" s="249">
        <f t="shared" si="350"/>
        <v>6.3756818512987909E-2</v>
      </c>
      <c r="I1067" s="336">
        <v>1.911851336153805E-2</v>
      </c>
      <c r="J1067" s="258">
        <f t="shared" si="351"/>
        <v>1.911851336153805E-2</v>
      </c>
      <c r="K1067" s="249">
        <f t="shared" si="352"/>
        <v>3.160992816266242</v>
      </c>
      <c r="L1067" s="336">
        <v>0.94787482818329494</v>
      </c>
      <c r="M1067" s="258">
        <f t="shared" si="353"/>
        <v>0.94787482818329494</v>
      </c>
      <c r="N1067" s="251">
        <f t="shared" si="354"/>
        <v>0.11001176527731246</v>
      </c>
      <c r="O1067" s="336">
        <v>3.2988807368928397E-2</v>
      </c>
      <c r="P1067" s="258">
        <f t="shared" si="355"/>
        <v>3.2988807368928397E-2</v>
      </c>
      <c r="Q1067" s="354">
        <v>3.2569186046511631</v>
      </c>
      <c r="R1067" s="249">
        <f t="shared" si="356"/>
        <v>3.3348209302325582</v>
      </c>
      <c r="S1067" s="355">
        <v>0.1</v>
      </c>
      <c r="T1067" s="355"/>
      <c r="U1067" s="315">
        <f t="shared" si="358"/>
        <v>3.668303023255814</v>
      </c>
      <c r="V1067" s="315">
        <f t="shared" si="359"/>
        <v>4</v>
      </c>
      <c r="W1067" s="316">
        <f t="shared" si="357"/>
        <v>0</v>
      </c>
    </row>
    <row r="1068" spans="1:23" x14ac:dyDescent="0.25">
      <c r="A1068" s="204" t="s">
        <v>16714</v>
      </c>
      <c r="B1068" s="351" t="s">
        <v>20795</v>
      </c>
      <c r="C1068" s="352"/>
      <c r="D1068" s="353" t="s">
        <v>14859</v>
      </c>
      <c r="E1068" s="249">
        <f t="shared" si="348"/>
        <v>0</v>
      </c>
      <c r="F1068" s="336">
        <v>0</v>
      </c>
      <c r="G1068" s="258">
        <f t="shared" si="349"/>
        <v>0</v>
      </c>
      <c r="H1068" s="249">
        <f t="shared" si="350"/>
        <v>10.966368653403311</v>
      </c>
      <c r="I1068" s="336">
        <v>1.911851336153805E-2</v>
      </c>
      <c r="J1068" s="258">
        <f t="shared" si="351"/>
        <v>1.911851336153805E-2</v>
      </c>
      <c r="K1068" s="249">
        <f t="shared" si="352"/>
        <v>543.71071474856751</v>
      </c>
      <c r="L1068" s="336">
        <v>0.94789267926953347</v>
      </c>
      <c r="M1068" s="258">
        <f t="shared" si="353"/>
        <v>0.94789267926953347</v>
      </c>
      <c r="N1068" s="251">
        <f t="shared" si="354"/>
        <v>18.922361598029241</v>
      </c>
      <c r="O1068" s="336">
        <v>3.2988807368928397E-2</v>
      </c>
      <c r="P1068" s="258">
        <f t="shared" si="355"/>
        <v>3.2988807368928397E-2</v>
      </c>
      <c r="Q1068" s="354">
        <v>560.19000000000005</v>
      </c>
      <c r="R1068" s="249">
        <f t="shared" si="356"/>
        <v>573.59944500000006</v>
      </c>
      <c r="S1068" s="355">
        <v>0.1</v>
      </c>
      <c r="T1068" s="355"/>
      <c r="U1068" s="315">
        <f t="shared" si="358"/>
        <v>630.95938950000004</v>
      </c>
      <c r="V1068" s="315">
        <f t="shared" si="359"/>
        <v>635</v>
      </c>
      <c r="W1068" s="316">
        <f t="shared" si="357"/>
        <v>0</v>
      </c>
    </row>
    <row r="1069" spans="1:23" x14ac:dyDescent="0.25">
      <c r="A1069" s="204" t="s">
        <v>16715</v>
      </c>
      <c r="B1069" s="351" t="s">
        <v>20796</v>
      </c>
      <c r="C1069" s="352"/>
      <c r="D1069" s="353" t="s">
        <v>5</v>
      </c>
      <c r="E1069" s="249">
        <f t="shared" si="348"/>
        <v>0</v>
      </c>
      <c r="F1069" s="336">
        <v>0</v>
      </c>
      <c r="G1069" s="258">
        <f t="shared" si="349"/>
        <v>0</v>
      </c>
      <c r="H1069" s="249">
        <f t="shared" si="350"/>
        <v>6.3758800754190909E-2</v>
      </c>
      <c r="I1069" s="336">
        <v>1.8070916959833969E-2</v>
      </c>
      <c r="J1069" s="258">
        <f t="shared" si="351"/>
        <v>1.8070916959833969E-2</v>
      </c>
      <c r="K1069" s="249">
        <f t="shared" si="352"/>
        <v>3.3544213507899334</v>
      </c>
      <c r="L1069" s="336">
        <v>0.9507310200534872</v>
      </c>
      <c r="M1069" s="258">
        <f t="shared" si="353"/>
        <v>0.9507310200534872</v>
      </c>
      <c r="N1069" s="251">
        <f t="shared" si="354"/>
        <v>0.11001518561507451</v>
      </c>
      <c r="O1069" s="336">
        <v>3.1181190048340964E-2</v>
      </c>
      <c r="P1069" s="258">
        <f t="shared" si="355"/>
        <v>3.1181190048340964E-2</v>
      </c>
      <c r="Q1069" s="354">
        <v>3.4457267441860471</v>
      </c>
      <c r="R1069" s="249">
        <f t="shared" si="356"/>
        <v>3.5282548691860467</v>
      </c>
      <c r="S1069" s="355">
        <v>0.1</v>
      </c>
      <c r="T1069" s="355"/>
      <c r="U1069" s="315">
        <f t="shared" si="358"/>
        <v>3.8810803561046514</v>
      </c>
      <c r="V1069" s="315">
        <f t="shared" si="359"/>
        <v>4</v>
      </c>
      <c r="W1069" s="316">
        <f t="shared" si="357"/>
        <v>0</v>
      </c>
    </row>
    <row r="1070" spans="1:23" x14ac:dyDescent="0.25">
      <c r="A1070" s="204" t="s">
        <v>16716</v>
      </c>
      <c r="B1070" s="351" t="s">
        <v>20797</v>
      </c>
      <c r="C1070" s="352"/>
      <c r="D1070" s="353" t="s">
        <v>14859</v>
      </c>
      <c r="E1070" s="249">
        <f t="shared" si="348"/>
        <v>0</v>
      </c>
      <c r="F1070" s="336">
        <v>0</v>
      </c>
      <c r="G1070" s="258">
        <f t="shared" si="349"/>
        <v>0</v>
      </c>
      <c r="H1070" s="249">
        <f t="shared" si="350"/>
        <v>10.966698866265091</v>
      </c>
      <c r="I1070" s="336">
        <v>1.8070916959833969E-2</v>
      </c>
      <c r="J1070" s="258">
        <f t="shared" si="351"/>
        <v>1.8070916959833969E-2</v>
      </c>
      <c r="K1070" s="249">
        <f t="shared" si="352"/>
        <v>576.9804522566501</v>
      </c>
      <c r="L1070" s="336">
        <v>0.95074789299182494</v>
      </c>
      <c r="M1070" s="258">
        <f t="shared" si="353"/>
        <v>0.95074789299182494</v>
      </c>
      <c r="N1070" s="251">
        <f t="shared" si="354"/>
        <v>18.922931377084861</v>
      </c>
      <c r="O1070" s="336">
        <v>3.1181190048340964E-2</v>
      </c>
      <c r="P1070" s="258">
        <f t="shared" si="355"/>
        <v>3.1181190048340964E-2</v>
      </c>
      <c r="Q1070" s="354">
        <v>592.66500000000008</v>
      </c>
      <c r="R1070" s="249">
        <f t="shared" si="356"/>
        <v>606.87008250000008</v>
      </c>
      <c r="S1070" s="355">
        <v>0.1</v>
      </c>
      <c r="T1070" s="355"/>
      <c r="U1070" s="315">
        <f t="shared" si="358"/>
        <v>667.55709075000004</v>
      </c>
      <c r="V1070" s="315">
        <f t="shared" si="359"/>
        <v>670</v>
      </c>
      <c r="W1070" s="316">
        <f t="shared" si="357"/>
        <v>0</v>
      </c>
    </row>
    <row r="1071" spans="1:23" x14ac:dyDescent="0.25">
      <c r="A1071" s="204" t="s">
        <v>16717</v>
      </c>
      <c r="B1071" s="351" t="s">
        <v>20798</v>
      </c>
      <c r="C1071" s="352"/>
      <c r="D1071" s="353" t="s">
        <v>5</v>
      </c>
      <c r="E1071" s="249">
        <f t="shared" si="348"/>
        <v>0</v>
      </c>
      <c r="F1071" s="336">
        <v>0</v>
      </c>
      <c r="G1071" s="258">
        <f t="shared" si="349"/>
        <v>0</v>
      </c>
      <c r="H1071" s="249">
        <f t="shared" si="350"/>
        <v>6.3758800754190909E-2</v>
      </c>
      <c r="I1071" s="336">
        <v>1.8070916959833969E-2</v>
      </c>
      <c r="J1071" s="258">
        <f t="shared" si="351"/>
        <v>1.8070916959833969E-2</v>
      </c>
      <c r="K1071" s="249">
        <f t="shared" si="352"/>
        <v>3.3544213507899334</v>
      </c>
      <c r="L1071" s="336">
        <v>0.9507310200534872</v>
      </c>
      <c r="M1071" s="258">
        <f t="shared" si="353"/>
        <v>0.9507310200534872</v>
      </c>
      <c r="N1071" s="251">
        <f t="shared" si="354"/>
        <v>0.11001518561507451</v>
      </c>
      <c r="O1071" s="336">
        <v>3.1181190048340964E-2</v>
      </c>
      <c r="P1071" s="258">
        <f t="shared" si="355"/>
        <v>3.1181190048340964E-2</v>
      </c>
      <c r="Q1071" s="354">
        <v>3.4457267441860471</v>
      </c>
      <c r="R1071" s="249">
        <f t="shared" si="356"/>
        <v>3.5282548691860467</v>
      </c>
      <c r="S1071" s="355">
        <v>0.1</v>
      </c>
      <c r="T1071" s="355"/>
      <c r="U1071" s="315">
        <f t="shared" si="358"/>
        <v>3.8810803561046514</v>
      </c>
      <c r="V1071" s="315">
        <f t="shared" si="359"/>
        <v>4</v>
      </c>
      <c r="W1071" s="316">
        <f t="shared" si="357"/>
        <v>0</v>
      </c>
    </row>
    <row r="1072" spans="1:23" x14ac:dyDescent="0.25">
      <c r="A1072" s="204" t="s">
        <v>16718</v>
      </c>
      <c r="B1072" s="351" t="s">
        <v>20799</v>
      </c>
      <c r="C1072" s="352"/>
      <c r="D1072" s="353" t="s">
        <v>14859</v>
      </c>
      <c r="E1072" s="249">
        <f t="shared" si="348"/>
        <v>0</v>
      </c>
      <c r="F1072" s="336">
        <v>0</v>
      </c>
      <c r="G1072" s="258">
        <f t="shared" si="349"/>
        <v>0</v>
      </c>
      <c r="H1072" s="249">
        <f t="shared" si="350"/>
        <v>10.966698866265091</v>
      </c>
      <c r="I1072" s="336">
        <v>1.8070916959833969E-2</v>
      </c>
      <c r="J1072" s="258">
        <f t="shared" si="351"/>
        <v>1.8070916959833969E-2</v>
      </c>
      <c r="K1072" s="249">
        <f t="shared" si="352"/>
        <v>576.9804522566501</v>
      </c>
      <c r="L1072" s="336">
        <v>0.95074789299182494</v>
      </c>
      <c r="M1072" s="258">
        <f t="shared" si="353"/>
        <v>0.95074789299182494</v>
      </c>
      <c r="N1072" s="251">
        <f t="shared" si="354"/>
        <v>18.922931377084861</v>
      </c>
      <c r="O1072" s="336">
        <v>3.1181190048340964E-2</v>
      </c>
      <c r="P1072" s="258">
        <f t="shared" si="355"/>
        <v>3.1181190048340964E-2</v>
      </c>
      <c r="Q1072" s="354">
        <v>592.66500000000008</v>
      </c>
      <c r="R1072" s="249">
        <f t="shared" si="356"/>
        <v>606.87008250000008</v>
      </c>
      <c r="S1072" s="355">
        <v>0.1</v>
      </c>
      <c r="T1072" s="355"/>
      <c r="U1072" s="315">
        <f t="shared" si="358"/>
        <v>667.55709075000004</v>
      </c>
      <c r="V1072" s="315">
        <f t="shared" si="359"/>
        <v>670</v>
      </c>
      <c r="W1072" s="316">
        <f t="shared" si="357"/>
        <v>0</v>
      </c>
    </row>
    <row r="1073" spans="1:28" x14ac:dyDescent="0.25">
      <c r="A1073" s="204" t="s">
        <v>16719</v>
      </c>
      <c r="B1073" s="351" t="s">
        <v>20800</v>
      </c>
      <c r="C1073" s="352"/>
      <c r="D1073" s="353" t="s">
        <v>5</v>
      </c>
      <c r="E1073" s="249">
        <f t="shared" si="348"/>
        <v>0</v>
      </c>
      <c r="F1073" s="336">
        <v>0</v>
      </c>
      <c r="G1073" s="258">
        <f t="shared" si="349"/>
        <v>0</v>
      </c>
      <c r="H1073" s="249">
        <f t="shared" si="350"/>
        <v>6.3760217236714378E-2</v>
      </c>
      <c r="I1073" s="336">
        <v>1.7322318861676188E-2</v>
      </c>
      <c r="J1073" s="258">
        <f t="shared" si="351"/>
        <v>1.7322318861676188E-2</v>
      </c>
      <c r="K1073" s="249">
        <f t="shared" si="352"/>
        <v>3.5069756647302159</v>
      </c>
      <c r="L1073" s="336">
        <v>0.95277201580196591</v>
      </c>
      <c r="M1073" s="258">
        <f t="shared" si="353"/>
        <v>0.95277201580196591</v>
      </c>
      <c r="N1073" s="251">
        <f t="shared" si="354"/>
        <v>0.11001762974178167</v>
      </c>
      <c r="O1073" s="336">
        <v>2.9889491369166757E-2</v>
      </c>
      <c r="P1073" s="258">
        <f t="shared" si="355"/>
        <v>2.9889491369166757E-2</v>
      </c>
      <c r="Q1073" s="354">
        <v>3.594636627906977</v>
      </c>
      <c r="R1073" s="249">
        <f t="shared" si="356"/>
        <v>3.6808130450581396</v>
      </c>
      <c r="S1073" s="355">
        <v>0.1</v>
      </c>
      <c r="T1073" s="355"/>
      <c r="U1073" s="315">
        <f t="shared" si="358"/>
        <v>4.0488943495639536</v>
      </c>
      <c r="V1073" s="315">
        <f t="shared" si="359"/>
        <v>5</v>
      </c>
      <c r="W1073" s="316">
        <f t="shared" si="357"/>
        <v>0</v>
      </c>
    </row>
    <row r="1074" spans="1:28" x14ac:dyDescent="0.25">
      <c r="A1074" s="204" t="s">
        <v>16720</v>
      </c>
      <c r="B1074" s="351" t="s">
        <v>20801</v>
      </c>
      <c r="C1074" s="352"/>
      <c r="D1074" s="353" t="s">
        <v>14859</v>
      </c>
      <c r="E1074" s="249">
        <f t="shared" si="348"/>
        <v>0</v>
      </c>
      <c r="F1074" s="336">
        <v>0</v>
      </c>
      <c r="G1074" s="258">
        <f t="shared" si="349"/>
        <v>0</v>
      </c>
      <c r="H1074" s="249">
        <f t="shared" si="350"/>
        <v>10.96693483187161</v>
      </c>
      <c r="I1074" s="336">
        <v>1.7322318861676188E-2</v>
      </c>
      <c r="J1074" s="258">
        <f t="shared" si="351"/>
        <v>1.7322318861676188E-2</v>
      </c>
      <c r="K1074" s="249">
        <f t="shared" si="352"/>
        <v>603.21981538470266</v>
      </c>
      <c r="L1074" s="336">
        <v>0.95278818976915691</v>
      </c>
      <c r="M1074" s="258">
        <f t="shared" si="353"/>
        <v>0.95278818976915691</v>
      </c>
      <c r="N1074" s="251">
        <f t="shared" si="354"/>
        <v>18.923338533425522</v>
      </c>
      <c r="O1074" s="336">
        <v>2.9889491369166757E-2</v>
      </c>
      <c r="P1074" s="258">
        <f t="shared" si="355"/>
        <v>2.9889491369166757E-2</v>
      </c>
      <c r="Q1074" s="354">
        <v>618.27750000000003</v>
      </c>
      <c r="R1074" s="249">
        <f t="shared" si="356"/>
        <v>633.11008874999993</v>
      </c>
      <c r="S1074" s="355">
        <v>0.1</v>
      </c>
      <c r="T1074" s="355"/>
      <c r="U1074" s="315">
        <f t="shared" si="358"/>
        <v>696.4210976249999</v>
      </c>
      <c r="V1074" s="315">
        <f t="shared" si="359"/>
        <v>700</v>
      </c>
      <c r="W1074" s="316">
        <f t="shared" si="357"/>
        <v>0</v>
      </c>
    </row>
    <row r="1075" spans="1:28" x14ac:dyDescent="0.25">
      <c r="A1075" s="204" t="s">
        <v>16721</v>
      </c>
      <c r="B1075" s="351" t="s">
        <v>20802</v>
      </c>
      <c r="C1075" s="352"/>
      <c r="D1075" s="353" t="s">
        <v>5</v>
      </c>
      <c r="E1075" s="249">
        <f t="shared" si="348"/>
        <v>0</v>
      </c>
      <c r="F1075" s="336">
        <v>0</v>
      </c>
      <c r="G1075" s="258">
        <f t="shared" si="349"/>
        <v>0</v>
      </c>
      <c r="H1075" s="249">
        <f t="shared" si="350"/>
        <v>6.3768065609208099E-2</v>
      </c>
      <c r="I1075" s="336">
        <v>1.3174525560240243E-2</v>
      </c>
      <c r="J1075" s="258">
        <f t="shared" si="351"/>
        <v>1.3174525560240243E-2</v>
      </c>
      <c r="K1075" s="249">
        <f t="shared" si="352"/>
        <v>4.6663964033677576</v>
      </c>
      <c r="L1075" s="336">
        <v>0.96408065860326664</v>
      </c>
      <c r="M1075" s="258">
        <f t="shared" si="353"/>
        <v>0.96408065860326664</v>
      </c>
      <c r="N1075" s="251">
        <f t="shared" si="354"/>
        <v>0.11003117203157475</v>
      </c>
      <c r="O1075" s="336">
        <v>2.273251469217924E-2</v>
      </c>
      <c r="P1075" s="258">
        <f t="shared" si="355"/>
        <v>2.273251469217924E-2</v>
      </c>
      <c r="Q1075" s="354">
        <v>4.7263517441860463</v>
      </c>
      <c r="R1075" s="249">
        <f t="shared" si="356"/>
        <v>4.8402551816860466</v>
      </c>
      <c r="S1075" s="355">
        <v>0.1</v>
      </c>
      <c r="T1075" s="355"/>
      <c r="U1075" s="315">
        <f t="shared" si="358"/>
        <v>5.3242806998546515</v>
      </c>
      <c r="V1075" s="315">
        <f t="shared" si="359"/>
        <v>6</v>
      </c>
      <c r="W1075" s="316">
        <f t="shared" si="357"/>
        <v>0</v>
      </c>
    </row>
    <row r="1076" spans="1:28" x14ac:dyDescent="0.25">
      <c r="A1076" s="204" t="s">
        <v>16722</v>
      </c>
      <c r="B1076" s="351" t="s">
        <v>20803</v>
      </c>
      <c r="C1076" s="352"/>
      <c r="D1076" s="353" t="s">
        <v>14859</v>
      </c>
      <c r="E1076" s="249">
        <f t="shared" si="348"/>
        <v>0</v>
      </c>
      <c r="F1076" s="336">
        <v>0</v>
      </c>
      <c r="G1076" s="258">
        <f t="shared" si="349"/>
        <v>0</v>
      </c>
      <c r="H1076" s="249">
        <f t="shared" si="350"/>
        <v>10.968242257798156</v>
      </c>
      <c r="I1076" s="336">
        <v>1.3174525560240243E-2</v>
      </c>
      <c r="J1076" s="258">
        <f t="shared" si="351"/>
        <v>1.3174525560240243E-2</v>
      </c>
      <c r="K1076" s="249">
        <f t="shared" si="352"/>
        <v>802.6402995081578</v>
      </c>
      <c r="L1076" s="336">
        <v>0.96409295974758047</v>
      </c>
      <c r="M1076" s="258">
        <f t="shared" si="353"/>
        <v>0.96409295974758047</v>
      </c>
      <c r="N1076" s="251">
        <f t="shared" si="354"/>
        <v>18.925594484043874</v>
      </c>
      <c r="O1076" s="336">
        <v>2.273251469217924E-2</v>
      </c>
      <c r="P1076" s="258">
        <f t="shared" si="355"/>
        <v>2.273251469217924E-2</v>
      </c>
      <c r="Q1076" s="354">
        <v>812.9325</v>
      </c>
      <c r="R1076" s="249">
        <f t="shared" si="356"/>
        <v>832.53413624999985</v>
      </c>
      <c r="S1076" s="355">
        <v>0.1</v>
      </c>
      <c r="T1076" s="355"/>
      <c r="U1076" s="315">
        <f t="shared" si="358"/>
        <v>915.78754987499985</v>
      </c>
      <c r="V1076" s="315">
        <f t="shared" si="359"/>
        <v>920</v>
      </c>
      <c r="W1076" s="316">
        <f t="shared" si="357"/>
        <v>0</v>
      </c>
    </row>
    <row r="1077" spans="1:28" x14ac:dyDescent="0.25">
      <c r="A1077" s="204" t="s">
        <v>16723</v>
      </c>
      <c r="B1077" s="351" t="s">
        <v>20804</v>
      </c>
      <c r="C1077" s="352"/>
      <c r="D1077" s="353" t="s">
        <v>5</v>
      </c>
      <c r="E1077" s="249">
        <f t="shared" si="348"/>
        <v>0</v>
      </c>
      <c r="F1077" s="336">
        <v>0</v>
      </c>
      <c r="G1077" s="258">
        <f t="shared" si="349"/>
        <v>0</v>
      </c>
      <c r="H1077" s="249">
        <f t="shared" si="350"/>
        <v>6.3776209493521308E-2</v>
      </c>
      <c r="I1077" s="336">
        <v>8.8705569566783875E-3</v>
      </c>
      <c r="J1077" s="258">
        <f t="shared" si="351"/>
        <v>8.8705569566783875E-3</v>
      </c>
      <c r="K1077" s="249">
        <f t="shared" si="352"/>
        <v>7.0157701081171346</v>
      </c>
      <c r="L1077" s="336">
        <v>0.97581510148132489</v>
      </c>
      <c r="M1077" s="258">
        <f t="shared" si="353"/>
        <v>0.97581510148132489</v>
      </c>
      <c r="N1077" s="251">
        <f t="shared" si="354"/>
        <v>0.11004522422411517</v>
      </c>
      <c r="O1077" s="336">
        <v>1.5306059062503881E-2</v>
      </c>
      <c r="P1077" s="258">
        <f t="shared" si="355"/>
        <v>1.5306059062503881E-2</v>
      </c>
      <c r="Q1077" s="354">
        <v>7.0195639534883725</v>
      </c>
      <c r="R1077" s="249">
        <f t="shared" si="356"/>
        <v>7.1896510901162785</v>
      </c>
      <c r="S1077" s="355">
        <v>0.1</v>
      </c>
      <c r="T1077" s="355"/>
      <c r="U1077" s="315">
        <f t="shared" si="358"/>
        <v>7.9086161991279065</v>
      </c>
      <c r="V1077" s="315">
        <f t="shared" si="359"/>
        <v>8</v>
      </c>
      <c r="W1077" s="316">
        <f t="shared" si="357"/>
        <v>0</v>
      </c>
    </row>
    <row r="1078" spans="1:28" x14ac:dyDescent="0.25">
      <c r="A1078" s="204" t="s">
        <v>16724</v>
      </c>
      <c r="B1078" s="351" t="s">
        <v>20805</v>
      </c>
      <c r="C1078" s="352"/>
      <c r="D1078" s="353" t="s">
        <v>14859</v>
      </c>
      <c r="E1078" s="249">
        <f t="shared" si="348"/>
        <v>0</v>
      </c>
      <c r="F1078" s="336">
        <v>0</v>
      </c>
      <c r="G1078" s="258">
        <f t="shared" si="349"/>
        <v>0</v>
      </c>
      <c r="H1078" s="249">
        <f t="shared" si="350"/>
        <v>10.969598911741688</v>
      </c>
      <c r="I1078" s="336">
        <v>8.8705569566783875E-3</v>
      </c>
      <c r="J1078" s="258">
        <f t="shared" si="351"/>
        <v>8.8705569566783875E-3</v>
      </c>
      <c r="K1078" s="249">
        <f t="shared" si="352"/>
        <v>1206.7326982111356</v>
      </c>
      <c r="L1078" s="336">
        <v>0.97582338398081769</v>
      </c>
      <c r="M1078" s="258">
        <f t="shared" si="353"/>
        <v>0.97582338398081769</v>
      </c>
      <c r="N1078" s="251">
        <f t="shared" si="354"/>
        <v>18.92793537712291</v>
      </c>
      <c r="O1078" s="336">
        <v>1.5306059062503883E-2</v>
      </c>
      <c r="P1078" s="258">
        <f t="shared" si="355"/>
        <v>1.5306059062503883E-2</v>
      </c>
      <c r="Q1078" s="354">
        <v>1207.365</v>
      </c>
      <c r="R1078" s="249">
        <f t="shared" si="356"/>
        <v>1236.6302325000001</v>
      </c>
      <c r="S1078" s="355">
        <v>0.1</v>
      </c>
      <c r="T1078" s="355"/>
      <c r="U1078" s="315">
        <f t="shared" si="358"/>
        <v>1360.2932557500001</v>
      </c>
      <c r="V1078" s="315">
        <f t="shared" si="359"/>
        <v>1375</v>
      </c>
      <c r="W1078" s="316">
        <f t="shared" si="357"/>
        <v>0</v>
      </c>
    </row>
    <row r="1079" spans="1:28" x14ac:dyDescent="0.25">
      <c r="A1079" s="204" t="s">
        <v>16725</v>
      </c>
      <c r="B1079" s="351" t="s">
        <v>20806</v>
      </c>
      <c r="C1079" s="352"/>
      <c r="D1079" s="353" t="s">
        <v>5</v>
      </c>
      <c r="E1079" s="249">
        <f t="shared" si="348"/>
        <v>0</v>
      </c>
      <c r="F1079" s="336">
        <v>0</v>
      </c>
      <c r="G1079" s="258">
        <f t="shared" si="349"/>
        <v>0</v>
      </c>
      <c r="H1079" s="249">
        <f t="shared" si="350"/>
        <v>6.3776760492403564E-2</v>
      </c>
      <c r="I1079" s="336">
        <v>8.5793590714105476E-3</v>
      </c>
      <c r="J1079" s="258">
        <f t="shared" si="351"/>
        <v>8.5793590714105476E-3</v>
      </c>
      <c r="K1079" s="249">
        <f t="shared" si="352"/>
        <v>7.2598616872559605</v>
      </c>
      <c r="L1079" s="336">
        <v>0.97660903035619151</v>
      </c>
      <c r="M1079" s="258">
        <f t="shared" si="353"/>
        <v>0.97660903035619151</v>
      </c>
      <c r="N1079" s="251">
        <f t="shared" si="354"/>
        <v>0.11004617496728458</v>
      </c>
      <c r="O1079" s="336">
        <v>1.4803599966355455E-2</v>
      </c>
      <c r="P1079" s="258">
        <f t="shared" si="355"/>
        <v>1.4803599966355455E-2</v>
      </c>
      <c r="Q1079" s="354">
        <v>7.2578197674418607</v>
      </c>
      <c r="R1079" s="249">
        <f t="shared" si="356"/>
        <v>7.433744171511627</v>
      </c>
      <c r="S1079" s="355">
        <v>0.1</v>
      </c>
      <c r="T1079" s="355"/>
      <c r="U1079" s="315">
        <f t="shared" si="358"/>
        <v>8.1771185886627897</v>
      </c>
      <c r="V1079" s="315">
        <f t="shared" si="359"/>
        <v>9</v>
      </c>
      <c r="W1079" s="316">
        <f t="shared" si="357"/>
        <v>0</v>
      </c>
    </row>
    <row r="1080" spans="1:28" x14ac:dyDescent="0.25">
      <c r="A1080" s="204" t="s">
        <v>16726</v>
      </c>
      <c r="B1080" s="351" t="s">
        <v>20807</v>
      </c>
      <c r="C1080" s="352"/>
      <c r="D1080" s="353" t="s">
        <v>14859</v>
      </c>
      <c r="E1080" s="249">
        <f t="shared" si="348"/>
        <v>0</v>
      </c>
      <c r="F1080" s="336">
        <v>0</v>
      </c>
      <c r="G1080" s="258">
        <f t="shared" si="349"/>
        <v>0</v>
      </c>
      <c r="H1080" s="249">
        <f t="shared" si="350"/>
        <v>10.969690700227101</v>
      </c>
      <c r="I1080" s="336">
        <v>8.5793590714105476E-3</v>
      </c>
      <c r="J1080" s="258">
        <f t="shared" si="351"/>
        <v>8.5793590714105476E-3</v>
      </c>
      <c r="K1080" s="249">
        <f t="shared" si="352"/>
        <v>1248.7164580425183</v>
      </c>
      <c r="L1080" s="336">
        <v>0.97661704096223401</v>
      </c>
      <c r="M1080" s="258">
        <f t="shared" si="353"/>
        <v>0.97661704096223401</v>
      </c>
      <c r="N1080" s="251">
        <f t="shared" si="354"/>
        <v>18.928093757254604</v>
      </c>
      <c r="O1080" s="336">
        <v>1.4803599966355455E-2</v>
      </c>
      <c r="P1080" s="258">
        <f t="shared" si="355"/>
        <v>1.4803599966355455E-2</v>
      </c>
      <c r="Q1080" s="354">
        <v>1248.345</v>
      </c>
      <c r="R1080" s="249">
        <f t="shared" si="356"/>
        <v>1278.6142425</v>
      </c>
      <c r="S1080" s="355">
        <v>0.1</v>
      </c>
      <c r="T1080" s="355"/>
      <c r="U1080" s="315">
        <f t="shared" si="358"/>
        <v>1406.4756667500001</v>
      </c>
      <c r="V1080" s="315">
        <f t="shared" si="359"/>
        <v>1425</v>
      </c>
      <c r="W1080" s="316">
        <f t="shared" si="357"/>
        <v>0</v>
      </c>
    </row>
    <row r="1081" spans="1:28" x14ac:dyDescent="0.25">
      <c r="A1081" s="204" t="s">
        <v>16727</v>
      </c>
      <c r="B1081" s="351" t="s">
        <v>20808</v>
      </c>
      <c r="C1081" s="352"/>
      <c r="D1081" s="353" t="s">
        <v>5</v>
      </c>
      <c r="E1081" s="249">
        <f t="shared" si="348"/>
        <v>0</v>
      </c>
      <c r="F1081" s="336">
        <v>0</v>
      </c>
      <c r="G1081" s="258">
        <f t="shared" si="349"/>
        <v>0</v>
      </c>
      <c r="H1081" s="249">
        <f t="shared" si="350"/>
        <v>6.3777150571659058E-2</v>
      </c>
      <c r="I1081" s="336">
        <v>8.3732057416267946E-3</v>
      </c>
      <c r="J1081" s="258">
        <f t="shared" si="351"/>
        <v>8.3732057416267946E-3</v>
      </c>
      <c r="K1081" s="249">
        <f t="shared" si="352"/>
        <v>7.442930434781065</v>
      </c>
      <c r="L1081" s="336">
        <v>0.9771710917221752</v>
      </c>
      <c r="M1081" s="258">
        <f t="shared" si="353"/>
        <v>0.9771710917221752</v>
      </c>
      <c r="N1081" s="251">
        <f t="shared" si="354"/>
        <v>0.11004684804521563</v>
      </c>
      <c r="O1081" s="336">
        <v>1.4447884416924664E-2</v>
      </c>
      <c r="P1081" s="258">
        <f t="shared" si="355"/>
        <v>1.4447884416924664E-2</v>
      </c>
      <c r="Q1081" s="354">
        <v>7.4365116279069765</v>
      </c>
      <c r="R1081" s="249">
        <f t="shared" si="356"/>
        <v>7.6168139825581385</v>
      </c>
      <c r="S1081" s="355">
        <v>0.1</v>
      </c>
      <c r="T1081" s="355"/>
      <c r="U1081" s="315">
        <f t="shared" si="358"/>
        <v>8.378495380813952</v>
      </c>
      <c r="V1081" s="315">
        <f t="shared" si="359"/>
        <v>9</v>
      </c>
      <c r="W1081" s="316">
        <f t="shared" si="357"/>
        <v>0</v>
      </c>
    </row>
    <row r="1082" spans="1:28" x14ac:dyDescent="0.25">
      <c r="A1082" s="204" t="s">
        <v>16728</v>
      </c>
      <c r="B1082" s="351" t="s">
        <v>20809</v>
      </c>
      <c r="C1082" s="352"/>
      <c r="D1082" s="353" t="s">
        <v>14859</v>
      </c>
      <c r="E1082" s="249">
        <f t="shared" si="348"/>
        <v>0</v>
      </c>
      <c r="F1082" s="336">
        <v>0</v>
      </c>
      <c r="G1082" s="258">
        <f t="shared" si="349"/>
        <v>0</v>
      </c>
      <c r="H1082" s="249">
        <f t="shared" si="350"/>
        <v>10.969755681818182</v>
      </c>
      <c r="I1082" s="336">
        <v>8.3732057416267946E-3</v>
      </c>
      <c r="J1082" s="258">
        <f t="shared" si="351"/>
        <v>8.3732057416267946E-3</v>
      </c>
      <c r="K1082" s="249">
        <f t="shared" si="352"/>
        <v>1280.2042884358289</v>
      </c>
      <c r="L1082" s="336">
        <v>0.97717890984144851</v>
      </c>
      <c r="M1082" s="258">
        <f t="shared" si="353"/>
        <v>0.97717890984144851</v>
      </c>
      <c r="N1082" s="251">
        <f t="shared" si="354"/>
        <v>18.928205882352941</v>
      </c>
      <c r="O1082" s="336">
        <v>1.4447884416924666E-2</v>
      </c>
      <c r="P1082" s="258">
        <f t="shared" si="355"/>
        <v>1.4447884416924666E-2</v>
      </c>
      <c r="Q1082" s="354">
        <v>1279.08</v>
      </c>
      <c r="R1082" s="249">
        <f t="shared" si="356"/>
        <v>1310.1022499999999</v>
      </c>
      <c r="S1082" s="355">
        <v>0.1</v>
      </c>
      <c r="T1082" s="355"/>
      <c r="U1082" s="315">
        <f t="shared" si="358"/>
        <v>1441.1124749999999</v>
      </c>
      <c r="V1082" s="315">
        <f t="shared" si="359"/>
        <v>1450</v>
      </c>
      <c r="W1082" s="316">
        <f t="shared" si="357"/>
        <v>0</v>
      </c>
    </row>
    <row r="1083" spans="1:28" s="284" customFormat="1" ht="14.4" x14ac:dyDescent="0.3">
      <c r="A1083" s="204" t="s">
        <v>16729</v>
      </c>
      <c r="B1083" s="351" t="s">
        <v>20810</v>
      </c>
      <c r="C1083" s="352"/>
      <c r="D1083" s="353" t="s">
        <v>5</v>
      </c>
      <c r="E1083" s="249">
        <f t="shared" si="348"/>
        <v>0</v>
      </c>
      <c r="F1083" s="336">
        <v>0</v>
      </c>
      <c r="G1083" s="258">
        <f t="shared" si="349"/>
        <v>0</v>
      </c>
      <c r="H1083" s="249">
        <f t="shared" si="350"/>
        <v>6.3777522344381318E-2</v>
      </c>
      <c r="I1083" s="336">
        <v>8.1767272477410932E-3</v>
      </c>
      <c r="J1083" s="258">
        <f t="shared" si="351"/>
        <v>8.1767272477410932E-3</v>
      </c>
      <c r="K1083" s="249">
        <f t="shared" si="352"/>
        <v>7.6259992322175432</v>
      </c>
      <c r="L1083" s="336">
        <v>0.97770677538431006</v>
      </c>
      <c r="M1083" s="258">
        <f t="shared" si="353"/>
        <v>0.97770677538431006</v>
      </c>
      <c r="N1083" s="251">
        <f t="shared" si="354"/>
        <v>0.11004748953540307</v>
      </c>
      <c r="O1083" s="336">
        <v>1.4108862701984632E-2</v>
      </c>
      <c r="P1083" s="258">
        <f t="shared" si="355"/>
        <v>1.4108862701984632E-2</v>
      </c>
      <c r="Q1083" s="354">
        <v>7.6152034883720932</v>
      </c>
      <c r="R1083" s="249">
        <f t="shared" si="356"/>
        <v>7.7998837936046517</v>
      </c>
      <c r="S1083" s="355">
        <v>0.1</v>
      </c>
      <c r="T1083" s="355"/>
      <c r="U1083" s="315">
        <f t="shared" si="358"/>
        <v>8.5798721729651177</v>
      </c>
      <c r="V1083" s="315">
        <f t="shared" si="359"/>
        <v>9</v>
      </c>
      <c r="W1083" s="316">
        <f t="shared" si="357"/>
        <v>0</v>
      </c>
      <c r="X1083" s="185"/>
      <c r="Y1083" s="185"/>
      <c r="Z1083" s="185"/>
      <c r="AA1083" s="206"/>
      <c r="AB1083" s="283"/>
    </row>
    <row r="1084" spans="1:28" x14ac:dyDescent="0.25">
      <c r="A1084" s="204" t="s">
        <v>16730</v>
      </c>
      <c r="B1084" s="351" t="s">
        <v>20811</v>
      </c>
      <c r="C1084" s="352"/>
      <c r="D1084" s="353" t="s">
        <v>14859</v>
      </c>
      <c r="E1084" s="249">
        <f t="shared" si="348"/>
        <v>0</v>
      </c>
      <c r="F1084" s="336">
        <v>0</v>
      </c>
      <c r="G1084" s="258">
        <f t="shared" si="349"/>
        <v>0</v>
      </c>
      <c r="H1084" s="249">
        <f t="shared" si="350"/>
        <v>10.969817613804242</v>
      </c>
      <c r="I1084" s="336">
        <v>8.1767272477410932E-3</v>
      </c>
      <c r="J1084" s="258">
        <f t="shared" si="351"/>
        <v>8.1767272477410932E-3</v>
      </c>
      <c r="K1084" s="249">
        <f t="shared" si="352"/>
        <v>1311.6921271408082</v>
      </c>
      <c r="L1084" s="336">
        <v>0.97771441005027426</v>
      </c>
      <c r="M1084" s="258">
        <f t="shared" si="353"/>
        <v>0.97771441005027426</v>
      </c>
      <c r="N1084" s="251">
        <f t="shared" si="354"/>
        <v>18.928312745387711</v>
      </c>
      <c r="O1084" s="336">
        <v>1.4108862701984632E-2</v>
      </c>
      <c r="P1084" s="258">
        <f t="shared" si="355"/>
        <v>1.4108862701984632E-2</v>
      </c>
      <c r="Q1084" s="354">
        <v>1309.8150000000001</v>
      </c>
      <c r="R1084" s="249">
        <f t="shared" si="356"/>
        <v>1341.5902575000002</v>
      </c>
      <c r="S1084" s="355">
        <v>0.1</v>
      </c>
      <c r="T1084" s="355"/>
      <c r="U1084" s="315">
        <f t="shared" si="358"/>
        <v>1475.7492832500002</v>
      </c>
      <c r="V1084" s="315">
        <f t="shared" si="359"/>
        <v>1500</v>
      </c>
      <c r="W1084" s="316">
        <f t="shared" si="357"/>
        <v>0</v>
      </c>
    </row>
    <row r="1085" spans="1:28" x14ac:dyDescent="0.25">
      <c r="A1085" s="204" t="s">
        <v>16731</v>
      </c>
      <c r="B1085" s="351" t="s">
        <v>20812</v>
      </c>
      <c r="C1085" s="352"/>
      <c r="D1085" s="353" t="s">
        <v>5</v>
      </c>
      <c r="E1085" s="249">
        <f t="shared" si="348"/>
        <v>0</v>
      </c>
      <c r="F1085" s="336">
        <v>0</v>
      </c>
      <c r="G1085" s="258">
        <f t="shared" si="349"/>
        <v>0</v>
      </c>
      <c r="H1085" s="249">
        <f t="shared" si="350"/>
        <v>6.3778104652828765E-2</v>
      </c>
      <c r="I1085" s="336">
        <v>7.8689825427614192E-3</v>
      </c>
      <c r="J1085" s="258">
        <f t="shared" si="351"/>
        <v>7.8689825427614192E-3</v>
      </c>
      <c r="K1085" s="249">
        <f t="shared" si="352"/>
        <v>7.9311139963420585</v>
      </c>
      <c r="L1085" s="336">
        <v>0.97854581790395578</v>
      </c>
      <c r="M1085" s="258">
        <f t="shared" si="353"/>
        <v>0.97854581790395578</v>
      </c>
      <c r="N1085" s="251">
        <f t="shared" si="354"/>
        <v>0.11004849430292021</v>
      </c>
      <c r="O1085" s="336">
        <v>1.3577852230647154E-2</v>
      </c>
      <c r="P1085" s="258">
        <f t="shared" si="355"/>
        <v>1.3577852230647154E-2</v>
      </c>
      <c r="Q1085" s="354">
        <v>7.913023255813953</v>
      </c>
      <c r="R1085" s="249">
        <f t="shared" si="356"/>
        <v>8.1050001453488374</v>
      </c>
      <c r="S1085" s="355">
        <v>0.1</v>
      </c>
      <c r="T1085" s="355"/>
      <c r="U1085" s="315">
        <f t="shared" si="358"/>
        <v>8.9155001598837202</v>
      </c>
      <c r="V1085" s="315">
        <f t="shared" si="359"/>
        <v>9</v>
      </c>
      <c r="W1085" s="316">
        <f t="shared" si="357"/>
        <v>0</v>
      </c>
    </row>
    <row r="1086" spans="1:28" x14ac:dyDescent="0.25">
      <c r="A1086" s="204" t="s">
        <v>16732</v>
      </c>
      <c r="B1086" s="351" t="s">
        <v>20813</v>
      </c>
      <c r="C1086" s="352"/>
      <c r="D1086" s="353" t="s">
        <v>14859</v>
      </c>
      <c r="E1086" s="249">
        <f t="shared" si="348"/>
        <v>0</v>
      </c>
      <c r="F1086" s="336">
        <v>0</v>
      </c>
      <c r="G1086" s="258">
        <f t="shared" si="349"/>
        <v>0</v>
      </c>
      <c r="H1086" s="249">
        <f t="shared" si="350"/>
        <v>10.969914618012698</v>
      </c>
      <c r="I1086" s="336">
        <v>7.8689825427614192E-3</v>
      </c>
      <c r="J1086" s="258">
        <f t="shared" si="351"/>
        <v>7.8689825427614192E-3</v>
      </c>
      <c r="K1086" s="249">
        <f t="shared" si="352"/>
        <v>1364.1718752567888</v>
      </c>
      <c r="L1086" s="336">
        <v>0.97855316522659141</v>
      </c>
      <c r="M1086" s="258">
        <f t="shared" si="353"/>
        <v>0.97855316522659141</v>
      </c>
      <c r="N1086" s="251">
        <f t="shared" si="354"/>
        <v>18.928480125198377</v>
      </c>
      <c r="O1086" s="336">
        <v>1.3577852230647152E-2</v>
      </c>
      <c r="P1086" s="258">
        <f t="shared" si="355"/>
        <v>1.3577852230647152E-2</v>
      </c>
      <c r="Q1086" s="354">
        <v>1361.04</v>
      </c>
      <c r="R1086" s="249">
        <f t="shared" si="356"/>
        <v>1394.0702699999999</v>
      </c>
      <c r="S1086" s="355">
        <v>0.1</v>
      </c>
      <c r="T1086" s="355"/>
      <c r="U1086" s="315">
        <f t="shared" si="358"/>
        <v>1533.4772969999999</v>
      </c>
      <c r="V1086" s="315">
        <f t="shared" si="359"/>
        <v>1550</v>
      </c>
      <c r="W1086" s="316">
        <f t="shared" si="357"/>
        <v>0</v>
      </c>
    </row>
    <row r="1087" spans="1:28" x14ac:dyDescent="0.25">
      <c r="A1087" s="204" t="s">
        <v>16733</v>
      </c>
      <c r="B1087" s="351" t="s">
        <v>20814</v>
      </c>
      <c r="C1087" s="352"/>
      <c r="D1087" s="353" t="s">
        <v>5</v>
      </c>
      <c r="E1087" s="249">
        <f t="shared" si="348"/>
        <v>0</v>
      </c>
      <c r="F1087" s="336">
        <v>0</v>
      </c>
      <c r="G1087" s="258">
        <f t="shared" si="349"/>
        <v>0</v>
      </c>
      <c r="H1087" s="249">
        <f t="shared" si="350"/>
        <v>6.3778379673549199E-2</v>
      </c>
      <c r="I1087" s="336">
        <v>7.7236365996527622E-3</v>
      </c>
      <c r="J1087" s="258">
        <f t="shared" si="351"/>
        <v>7.7236365996527622E-3</v>
      </c>
      <c r="K1087" s="249">
        <f t="shared" si="352"/>
        <v>8.0836714223910864</v>
      </c>
      <c r="L1087" s="336">
        <v>0.97894209255743603</v>
      </c>
      <c r="M1087" s="258">
        <f t="shared" si="353"/>
        <v>0.97894209255743603</v>
      </c>
      <c r="N1087" s="251">
        <f t="shared" si="354"/>
        <v>0.11004896884847704</v>
      </c>
      <c r="O1087" s="336">
        <v>1.3327059230773392E-2</v>
      </c>
      <c r="P1087" s="258">
        <f t="shared" si="355"/>
        <v>1.3327059230773392E-2</v>
      </c>
      <c r="Q1087" s="354">
        <v>8.061933139534883</v>
      </c>
      <c r="R1087" s="249">
        <f t="shared" si="356"/>
        <v>8.2575583212209303</v>
      </c>
      <c r="S1087" s="355">
        <v>0.1</v>
      </c>
      <c r="T1087" s="355"/>
      <c r="U1087" s="315">
        <f t="shared" si="358"/>
        <v>9.0833141533430233</v>
      </c>
      <c r="V1087" s="315">
        <f t="shared" si="359"/>
        <v>10</v>
      </c>
      <c r="W1087" s="316">
        <f t="shared" si="357"/>
        <v>0</v>
      </c>
    </row>
    <row r="1088" spans="1:28" x14ac:dyDescent="0.25">
      <c r="A1088" s="204" t="s">
        <v>16734</v>
      </c>
      <c r="B1088" s="351" t="s">
        <v>20815</v>
      </c>
      <c r="C1088" s="352"/>
      <c r="D1088" s="353" t="s">
        <v>14859</v>
      </c>
      <c r="E1088" s="249">
        <f t="shared" si="348"/>
        <v>0</v>
      </c>
      <c r="F1088" s="336">
        <v>0</v>
      </c>
      <c r="G1088" s="258">
        <f t="shared" si="349"/>
        <v>0</v>
      </c>
      <c r="H1088" s="249">
        <f t="shared" si="350"/>
        <v>10.969960432507426</v>
      </c>
      <c r="I1088" s="336">
        <v>7.7236365996527622E-3</v>
      </c>
      <c r="J1088" s="258">
        <f t="shared" si="351"/>
        <v>7.7236365996527622E-3</v>
      </c>
      <c r="K1088" s="249">
        <f t="shared" si="352"/>
        <v>1390.4117566398327</v>
      </c>
      <c r="L1088" s="336">
        <v>0.97894930416957382</v>
      </c>
      <c r="M1088" s="258">
        <f t="shared" si="353"/>
        <v>0.97894930416957382</v>
      </c>
      <c r="N1088" s="251">
        <f t="shared" si="354"/>
        <v>18.928559177659871</v>
      </c>
      <c r="O1088" s="336">
        <v>1.3327059230773392E-2</v>
      </c>
      <c r="P1088" s="258">
        <f t="shared" si="355"/>
        <v>1.3327059230773392E-2</v>
      </c>
      <c r="Q1088" s="354">
        <v>1386.6524999999999</v>
      </c>
      <c r="R1088" s="249">
        <f t="shared" si="356"/>
        <v>1420.31027625</v>
      </c>
      <c r="S1088" s="355">
        <v>0.1</v>
      </c>
      <c r="T1088" s="355"/>
      <c r="U1088" s="315">
        <f t="shared" si="358"/>
        <v>1562.341303875</v>
      </c>
      <c r="V1088" s="315">
        <f t="shared" si="359"/>
        <v>1575</v>
      </c>
      <c r="W1088" s="316">
        <f t="shared" si="357"/>
        <v>0</v>
      </c>
    </row>
    <row r="1089" spans="1:23" x14ac:dyDescent="0.25">
      <c r="A1089" s="204" t="s">
        <v>16735</v>
      </c>
      <c r="B1089" s="351" t="s">
        <v>20816</v>
      </c>
      <c r="C1089" s="352"/>
      <c r="D1089" s="353" t="s">
        <v>5</v>
      </c>
      <c r="E1089" s="249">
        <f t="shared" si="348"/>
        <v>0</v>
      </c>
      <c r="F1089" s="336">
        <v>0</v>
      </c>
      <c r="G1089" s="258">
        <f t="shared" si="349"/>
        <v>0</v>
      </c>
      <c r="H1089" s="249">
        <f t="shared" si="350"/>
        <v>6.377839046321282E-2</v>
      </c>
      <c r="I1089" s="336">
        <v>7.7179343608058662E-3</v>
      </c>
      <c r="J1089" s="258">
        <f t="shared" si="351"/>
        <v>7.7179343608058662E-3</v>
      </c>
      <c r="K1089" s="249">
        <f t="shared" si="352"/>
        <v>8.08977372000877</v>
      </c>
      <c r="L1089" s="336">
        <v>0.97895763927772805</v>
      </c>
      <c r="M1089" s="258">
        <f t="shared" si="353"/>
        <v>0.97895763927772805</v>
      </c>
      <c r="N1089" s="251">
        <f t="shared" si="354"/>
        <v>0.11004898746593583</v>
      </c>
      <c r="O1089" s="336">
        <v>1.3317220073547376E-2</v>
      </c>
      <c r="P1089" s="258">
        <f t="shared" si="355"/>
        <v>1.3317220073547376E-2</v>
      </c>
      <c r="Q1089" s="354">
        <v>8.0678895348837205</v>
      </c>
      <c r="R1089" s="249">
        <f t="shared" si="356"/>
        <v>8.2636606482558133</v>
      </c>
      <c r="S1089" s="355">
        <v>0.1</v>
      </c>
      <c r="T1089" s="355"/>
      <c r="U1089" s="315">
        <f t="shared" si="358"/>
        <v>9.0900267130813948</v>
      </c>
      <c r="V1089" s="315">
        <f t="shared" si="359"/>
        <v>10</v>
      </c>
      <c r="W1089" s="316">
        <f t="shared" si="357"/>
        <v>0</v>
      </c>
    </row>
    <row r="1090" spans="1:23" x14ac:dyDescent="0.25">
      <c r="A1090" s="204" t="s">
        <v>16736</v>
      </c>
      <c r="B1090" s="351" t="s">
        <v>20817</v>
      </c>
      <c r="C1090" s="352"/>
      <c r="D1090" s="353" t="s">
        <v>14859</v>
      </c>
      <c r="E1090" s="249">
        <f t="shared" si="348"/>
        <v>0</v>
      </c>
      <c r="F1090" s="336">
        <v>0</v>
      </c>
      <c r="G1090" s="258">
        <f t="shared" si="349"/>
        <v>0</v>
      </c>
      <c r="H1090" s="249">
        <f t="shared" si="350"/>
        <v>10.969962229910132</v>
      </c>
      <c r="I1090" s="336">
        <v>7.7179343608058662E-3</v>
      </c>
      <c r="J1090" s="258">
        <f t="shared" si="351"/>
        <v>7.7179343608058662E-3</v>
      </c>
      <c r="K1090" s="249">
        <f t="shared" si="352"/>
        <v>1391.461351991029</v>
      </c>
      <c r="L1090" s="336">
        <v>0.97896484556564667</v>
      </c>
      <c r="M1090" s="258">
        <f t="shared" si="353"/>
        <v>0.97896484556564667</v>
      </c>
      <c r="N1090" s="251">
        <f t="shared" si="354"/>
        <v>18.928562279060618</v>
      </c>
      <c r="O1090" s="336">
        <v>1.3317220073547376E-2</v>
      </c>
      <c r="P1090" s="258">
        <f t="shared" si="355"/>
        <v>1.3317220073547376E-2</v>
      </c>
      <c r="Q1090" s="354">
        <v>1387.6769999999999</v>
      </c>
      <c r="R1090" s="249">
        <f t="shared" si="356"/>
        <v>1421.3598764999999</v>
      </c>
      <c r="S1090" s="355">
        <v>0.1</v>
      </c>
      <c r="T1090" s="355"/>
      <c r="U1090" s="315">
        <f t="shared" si="358"/>
        <v>1563.49586415</v>
      </c>
      <c r="V1090" s="315">
        <f t="shared" si="359"/>
        <v>1575</v>
      </c>
      <c r="W1090" s="316">
        <f t="shared" si="357"/>
        <v>0</v>
      </c>
    </row>
    <row r="1091" spans="1:23" x14ac:dyDescent="0.25">
      <c r="A1091" s="204" t="s">
        <v>16737</v>
      </c>
      <c r="B1091" s="351" t="s">
        <v>20818</v>
      </c>
      <c r="C1091" s="352"/>
      <c r="D1091" s="353" t="s">
        <v>5</v>
      </c>
      <c r="E1091" s="249">
        <f t="shared" ref="E1091:E1154" si="360">R1091*G1091</f>
        <v>0</v>
      </c>
      <c r="F1091" s="336">
        <v>0</v>
      </c>
      <c r="G1091" s="258">
        <f t="shared" ref="G1091:G1154" si="361">F1091</f>
        <v>0</v>
      </c>
      <c r="H1091" s="249">
        <f t="shared" ref="H1091:H1154" si="362">R1091*J1091</f>
        <v>6.377907878890593E-2</v>
      </c>
      <c r="I1091" s="336">
        <v>7.3541605081580714E-3</v>
      </c>
      <c r="J1091" s="258">
        <f t="shared" ref="J1091:J1154" si="363">I1091</f>
        <v>7.3541605081580714E-3</v>
      </c>
      <c r="K1091" s="249">
        <f t="shared" ref="K1091:K1154" si="364">R1091*M1091</f>
        <v>8.4986277546783597</v>
      </c>
      <c r="L1091" s="336">
        <v>0.97994944100483516</v>
      </c>
      <c r="M1091" s="258">
        <f t="shared" ref="M1091:M1154" si="365">L1091</f>
        <v>0.97994944100483516</v>
      </c>
      <c r="N1091" s="251">
        <f t="shared" ref="N1091:N1154" si="366">P1091*R1091</f>
        <v>0.11005017516517099</v>
      </c>
      <c r="O1091" s="336">
        <v>1.2689531857213925E-2</v>
      </c>
      <c r="P1091" s="258">
        <f t="shared" ref="P1091:P1154" si="367">O1091</f>
        <v>1.2689531857213925E-2</v>
      </c>
      <c r="Q1091" s="354">
        <v>8.4669680232558147</v>
      </c>
      <c r="R1091" s="249">
        <f t="shared" ref="R1091:R1154" si="368">SUM(F1091*Q1091*1.0235,I1091*Q1091*1.0175,L1091*Q1091*1.0245,O1091*Q1091*1.0115)</f>
        <v>8.6725165595930243</v>
      </c>
      <c r="S1091" s="355">
        <v>0.1</v>
      </c>
      <c r="T1091" s="355"/>
      <c r="U1091" s="315">
        <f t="shared" si="358"/>
        <v>9.5397682155523267</v>
      </c>
      <c r="V1091" s="315">
        <f t="shared" si="359"/>
        <v>10</v>
      </c>
      <c r="W1091" s="316">
        <f t="shared" si="357"/>
        <v>0</v>
      </c>
    </row>
    <row r="1092" spans="1:23" x14ac:dyDescent="0.25">
      <c r="A1092" s="204" t="s">
        <v>16738</v>
      </c>
      <c r="B1092" s="351" t="s">
        <v>20819</v>
      </c>
      <c r="C1092" s="352"/>
      <c r="D1092" s="353" t="s">
        <v>14859</v>
      </c>
      <c r="E1092" s="249">
        <f t="shared" si="360"/>
        <v>0</v>
      </c>
      <c r="F1092" s="336">
        <v>0</v>
      </c>
      <c r="G1092" s="258">
        <f t="shared" si="361"/>
        <v>0</v>
      </c>
      <c r="H1092" s="249">
        <f t="shared" si="362"/>
        <v>10.970076895066224</v>
      </c>
      <c r="I1092" s="336">
        <v>7.3541605081580714E-3</v>
      </c>
      <c r="J1092" s="258">
        <f t="shared" si="363"/>
        <v>7.3541605081580714E-3</v>
      </c>
      <c r="K1092" s="249">
        <f t="shared" si="364"/>
        <v>1461.7842562222706</v>
      </c>
      <c r="L1092" s="336">
        <v>0.97995630763462793</v>
      </c>
      <c r="M1092" s="258">
        <f t="shared" si="365"/>
        <v>0.97995630763462793</v>
      </c>
      <c r="N1092" s="251">
        <f t="shared" si="366"/>
        <v>18.928760132663289</v>
      </c>
      <c r="O1092" s="336">
        <v>1.2689531857213927E-2</v>
      </c>
      <c r="P1092" s="258">
        <f t="shared" si="367"/>
        <v>1.2689531857213927E-2</v>
      </c>
      <c r="Q1092" s="354">
        <v>1456.3185000000001</v>
      </c>
      <c r="R1092" s="249">
        <f t="shared" si="368"/>
        <v>1491.6830932500002</v>
      </c>
      <c r="S1092" s="355">
        <v>0.1</v>
      </c>
      <c r="T1092" s="355"/>
      <c r="U1092" s="315">
        <f t="shared" si="358"/>
        <v>1640.8514025750003</v>
      </c>
      <c r="V1092" s="315">
        <f t="shared" si="359"/>
        <v>1650</v>
      </c>
      <c r="W1092" s="316">
        <f t="shared" si="357"/>
        <v>0</v>
      </c>
    </row>
    <row r="1093" spans="1:23" x14ac:dyDescent="0.25">
      <c r="A1093" s="204" t="s">
        <v>16739</v>
      </c>
      <c r="B1093" s="351" t="s">
        <v>20820</v>
      </c>
      <c r="C1093" s="352"/>
      <c r="D1093" s="353" t="s">
        <v>5</v>
      </c>
      <c r="E1093" s="249">
        <f t="shared" si="360"/>
        <v>0</v>
      </c>
      <c r="F1093" s="336">
        <v>0</v>
      </c>
      <c r="G1093" s="258">
        <f t="shared" si="361"/>
        <v>0</v>
      </c>
      <c r="H1093" s="249">
        <f t="shared" si="362"/>
        <v>6.3779385149535794E-2</v>
      </c>
      <c r="I1093" s="336">
        <v>7.1922517086634406E-3</v>
      </c>
      <c r="J1093" s="258">
        <f t="shared" si="363"/>
        <v>7.1922517086634406E-3</v>
      </c>
      <c r="K1093" s="249">
        <f t="shared" si="364"/>
        <v>8.6939013845256934</v>
      </c>
      <c r="L1093" s="336">
        <v>0.98039087302586625</v>
      </c>
      <c r="M1093" s="258">
        <f t="shared" si="365"/>
        <v>0.98039087302586625</v>
      </c>
      <c r="N1093" s="251">
        <f t="shared" si="366"/>
        <v>0.11005070378743431</v>
      </c>
      <c r="O1093" s="336">
        <v>1.2410159811027112E-2</v>
      </c>
      <c r="P1093" s="258">
        <f t="shared" si="367"/>
        <v>1.2410159811027112E-2</v>
      </c>
      <c r="Q1093" s="354">
        <v>8.6575726744186046</v>
      </c>
      <c r="R1093" s="249">
        <f t="shared" si="368"/>
        <v>8.8677910247093017</v>
      </c>
      <c r="S1093" s="355">
        <v>0.1</v>
      </c>
      <c r="T1093" s="355"/>
      <c r="U1093" s="315">
        <f t="shared" si="358"/>
        <v>9.7545701271802319</v>
      </c>
      <c r="V1093" s="315">
        <f t="shared" si="359"/>
        <v>10</v>
      </c>
      <c r="W1093" s="316">
        <f t="shared" si="357"/>
        <v>0</v>
      </c>
    </row>
    <row r="1094" spans="1:23" x14ac:dyDescent="0.25">
      <c r="A1094" s="204" t="s">
        <v>16740</v>
      </c>
      <c r="B1094" s="351" t="s">
        <v>20821</v>
      </c>
      <c r="C1094" s="352"/>
      <c r="D1094" s="353" t="s">
        <v>14859</v>
      </c>
      <c r="E1094" s="249">
        <f t="shared" si="360"/>
        <v>0</v>
      </c>
      <c r="F1094" s="336">
        <v>0</v>
      </c>
      <c r="G1094" s="258">
        <f t="shared" si="361"/>
        <v>0</v>
      </c>
      <c r="H1094" s="249">
        <f t="shared" si="362"/>
        <v>10.970127930338913</v>
      </c>
      <c r="I1094" s="336">
        <v>7.1922517086634406E-3</v>
      </c>
      <c r="J1094" s="258">
        <f t="shared" si="363"/>
        <v>7.1922517086634406E-3</v>
      </c>
      <c r="K1094" s="249">
        <f t="shared" si="364"/>
        <v>1495.3713251261352</v>
      </c>
      <c r="L1094" s="336">
        <v>0.98039758848030945</v>
      </c>
      <c r="M1094" s="258">
        <f t="shared" si="365"/>
        <v>0.98039758848030945</v>
      </c>
      <c r="N1094" s="251">
        <f t="shared" si="366"/>
        <v>18.928848193525969</v>
      </c>
      <c r="O1094" s="336">
        <v>1.2410159811027112E-2</v>
      </c>
      <c r="P1094" s="258">
        <f t="shared" si="367"/>
        <v>1.2410159811027112E-2</v>
      </c>
      <c r="Q1094" s="354">
        <v>1489.1025</v>
      </c>
      <c r="R1094" s="249">
        <f t="shared" si="368"/>
        <v>1525.2703012500001</v>
      </c>
      <c r="S1094" s="355">
        <v>0.1</v>
      </c>
      <c r="T1094" s="355"/>
      <c r="U1094" s="315">
        <f t="shared" si="358"/>
        <v>1677.7973313750001</v>
      </c>
      <c r="V1094" s="315">
        <f t="shared" si="359"/>
        <v>1700</v>
      </c>
      <c r="W1094" s="316">
        <f t="shared" si="357"/>
        <v>0</v>
      </c>
    </row>
    <row r="1095" spans="1:23" x14ac:dyDescent="0.25">
      <c r="A1095" s="204" t="s">
        <v>16741</v>
      </c>
      <c r="B1095" s="351" t="s">
        <v>20822</v>
      </c>
      <c r="C1095" s="352"/>
      <c r="D1095" s="353" t="s">
        <v>5</v>
      </c>
      <c r="E1095" s="249">
        <f t="shared" si="360"/>
        <v>0</v>
      </c>
      <c r="F1095" s="336">
        <v>0</v>
      </c>
      <c r="G1095" s="258">
        <f t="shared" si="361"/>
        <v>0</v>
      </c>
      <c r="H1095" s="249">
        <f t="shared" si="362"/>
        <v>6.377993328795846E-2</v>
      </c>
      <c r="I1095" s="336">
        <v>6.9025655502040813E-3</v>
      </c>
      <c r="J1095" s="258">
        <f t="shared" si="363"/>
        <v>6.9025655502040813E-3</v>
      </c>
      <c r="K1095" s="249">
        <f t="shared" si="364"/>
        <v>9.0661418391958986</v>
      </c>
      <c r="L1095" s="336">
        <v>0.98118068029262739</v>
      </c>
      <c r="M1095" s="258">
        <f t="shared" si="365"/>
        <v>0.98118068029262739</v>
      </c>
      <c r="N1095" s="251">
        <f t="shared" si="366"/>
        <v>0.11005164959490872</v>
      </c>
      <c r="O1095" s="336">
        <v>1.1910309184665865E-2</v>
      </c>
      <c r="P1095" s="258">
        <f t="shared" si="367"/>
        <v>1.1910309184665865E-2</v>
      </c>
      <c r="Q1095" s="354">
        <v>9.0209127906976736</v>
      </c>
      <c r="R1095" s="249">
        <f t="shared" si="368"/>
        <v>9.2400329738372058</v>
      </c>
      <c r="S1095" s="355">
        <v>0.1</v>
      </c>
      <c r="T1095" s="355"/>
      <c r="U1095" s="315">
        <f t="shared" si="358"/>
        <v>10.164036271220926</v>
      </c>
      <c r="V1095" s="315">
        <f t="shared" si="359"/>
        <v>11</v>
      </c>
      <c r="W1095" s="316">
        <f t="shared" si="357"/>
        <v>0</v>
      </c>
    </row>
    <row r="1096" spans="1:23" x14ac:dyDescent="0.25">
      <c r="A1096" s="204" t="s">
        <v>16742</v>
      </c>
      <c r="B1096" s="351" t="s">
        <v>20823</v>
      </c>
      <c r="C1096" s="352"/>
      <c r="D1096" s="353" t="s">
        <v>14859</v>
      </c>
      <c r="E1096" s="249">
        <f t="shared" si="360"/>
        <v>0</v>
      </c>
      <c r="F1096" s="336">
        <v>0</v>
      </c>
      <c r="G1096" s="258">
        <f t="shared" si="361"/>
        <v>0</v>
      </c>
      <c r="H1096" s="249">
        <f t="shared" si="362"/>
        <v>10.97021924231292</v>
      </c>
      <c r="I1096" s="336">
        <v>6.9025655502040805E-3</v>
      </c>
      <c r="J1096" s="258">
        <f t="shared" si="363"/>
        <v>6.9025655502040805E-3</v>
      </c>
      <c r="K1096" s="249">
        <f t="shared" si="364"/>
        <v>1559.3966915062449</v>
      </c>
      <c r="L1096" s="336">
        <v>0.98118712526512997</v>
      </c>
      <c r="M1096" s="258">
        <f t="shared" si="365"/>
        <v>0.98118712526512997</v>
      </c>
      <c r="N1096" s="251">
        <f t="shared" si="366"/>
        <v>18.929005751441899</v>
      </c>
      <c r="O1096" s="336">
        <v>1.1910309184665863E-2</v>
      </c>
      <c r="P1096" s="258">
        <f t="shared" si="367"/>
        <v>1.1910309184665863E-2</v>
      </c>
      <c r="Q1096" s="354">
        <v>1551.597</v>
      </c>
      <c r="R1096" s="249">
        <f t="shared" si="368"/>
        <v>1589.2959165</v>
      </c>
      <c r="S1096" s="355">
        <v>0.1</v>
      </c>
      <c r="T1096" s="355"/>
      <c r="U1096" s="315">
        <f t="shared" si="358"/>
        <v>1748.22550815</v>
      </c>
      <c r="V1096" s="315">
        <f t="shared" si="359"/>
        <v>1750</v>
      </c>
      <c r="W1096" s="316">
        <f t="shared" si="357"/>
        <v>0</v>
      </c>
    </row>
    <row r="1097" spans="1:23" x14ac:dyDescent="0.25">
      <c r="A1097" s="204" t="s">
        <v>16743</v>
      </c>
      <c r="B1097" s="351" t="s">
        <v>20824</v>
      </c>
      <c r="C1097" s="352"/>
      <c r="D1097" s="353" t="s">
        <v>5</v>
      </c>
      <c r="E1097" s="249">
        <f t="shared" si="360"/>
        <v>0</v>
      </c>
      <c r="F1097" s="336">
        <v>0</v>
      </c>
      <c r="G1097" s="258">
        <f t="shared" si="361"/>
        <v>0</v>
      </c>
      <c r="H1097" s="249">
        <f t="shared" si="362"/>
        <v>6.3781635749959861E-2</v>
      </c>
      <c r="I1097" s="336">
        <v>6.0028299055268916E-3</v>
      </c>
      <c r="J1097" s="258">
        <f t="shared" si="363"/>
        <v>6.0028299055268916E-3</v>
      </c>
      <c r="K1097" s="249">
        <f t="shared" si="364"/>
        <v>10.451365434481414</v>
      </c>
      <c r="L1097" s="336">
        <v>0.98363374106056167</v>
      </c>
      <c r="M1097" s="258">
        <f t="shared" si="365"/>
        <v>0.98363374106056167</v>
      </c>
      <c r="N1097" s="251">
        <f t="shared" si="366"/>
        <v>0.11005458717640132</v>
      </c>
      <c r="O1097" s="336">
        <v>1.0357824150713067E-2</v>
      </c>
      <c r="P1097" s="258">
        <f t="shared" si="367"/>
        <v>1.0357824150713067E-2</v>
      </c>
      <c r="Q1097" s="354">
        <v>10.373014534883721</v>
      </c>
      <c r="R1097" s="249">
        <f t="shared" si="368"/>
        <v>10.625261210755813</v>
      </c>
      <c r="S1097" s="355">
        <v>0.1</v>
      </c>
      <c r="T1097" s="355"/>
      <c r="U1097" s="315">
        <f t="shared" si="358"/>
        <v>11.687787331831395</v>
      </c>
      <c r="V1097" s="315">
        <f t="shared" si="359"/>
        <v>12</v>
      </c>
      <c r="W1097" s="316">
        <f t="shared" si="357"/>
        <v>0</v>
      </c>
    </row>
    <row r="1098" spans="1:23" x14ac:dyDescent="0.25">
      <c r="A1098" s="204" t="s">
        <v>16744</v>
      </c>
      <c r="B1098" s="351" t="s">
        <v>20825</v>
      </c>
      <c r="C1098" s="352"/>
      <c r="D1098" s="353" t="s">
        <v>14859</v>
      </c>
      <c r="E1098" s="249">
        <f t="shared" si="360"/>
        <v>0</v>
      </c>
      <c r="F1098" s="336">
        <v>0</v>
      </c>
      <c r="G1098" s="258">
        <f t="shared" si="361"/>
        <v>0</v>
      </c>
      <c r="H1098" s="249">
        <f t="shared" si="362"/>
        <v>10.970502847985481</v>
      </c>
      <c r="I1098" s="336">
        <v>6.0028299055268916E-3</v>
      </c>
      <c r="J1098" s="258">
        <f t="shared" si="363"/>
        <v>6.0028299055268916E-3</v>
      </c>
      <c r="K1098" s="249">
        <f t="shared" si="364"/>
        <v>1797.6551752917651</v>
      </c>
      <c r="L1098" s="336">
        <v>0.98363934594376001</v>
      </c>
      <c r="M1098" s="258">
        <f t="shared" si="365"/>
        <v>0.98363934594376001</v>
      </c>
      <c r="N1098" s="251">
        <f t="shared" si="366"/>
        <v>18.929495110249455</v>
      </c>
      <c r="O1098" s="336">
        <v>1.0357824150713067E-2</v>
      </c>
      <c r="P1098" s="258">
        <f t="shared" si="367"/>
        <v>1.0357824150713067E-2</v>
      </c>
      <c r="Q1098" s="354">
        <v>1784.1585</v>
      </c>
      <c r="R1098" s="249">
        <f t="shared" si="368"/>
        <v>1827.5551732500001</v>
      </c>
      <c r="S1098" s="355">
        <v>0.1</v>
      </c>
      <c r="T1098" s="355"/>
      <c r="U1098" s="315">
        <f t="shared" si="358"/>
        <v>2010.3106905750001</v>
      </c>
      <c r="V1098" s="315">
        <f t="shared" si="359"/>
        <v>2025</v>
      </c>
      <c r="W1098" s="316">
        <f t="shared" si="357"/>
        <v>0</v>
      </c>
    </row>
    <row r="1099" spans="1:23" x14ac:dyDescent="0.25">
      <c r="A1099" s="204" t="s">
        <v>16745</v>
      </c>
      <c r="B1099" s="351" t="s">
        <v>20826</v>
      </c>
      <c r="C1099" s="352"/>
      <c r="D1099" s="353" t="s">
        <v>5</v>
      </c>
      <c r="E1099" s="249">
        <f t="shared" si="360"/>
        <v>0</v>
      </c>
      <c r="F1099" s="336">
        <v>0</v>
      </c>
      <c r="G1099" s="258">
        <f t="shared" si="361"/>
        <v>0</v>
      </c>
      <c r="H1099" s="249">
        <f t="shared" si="362"/>
        <v>6.3783218696203223E-2</v>
      </c>
      <c r="I1099" s="336">
        <v>5.1662572492212639E-3</v>
      </c>
      <c r="J1099" s="258">
        <f t="shared" si="363"/>
        <v>5.1662572492212639E-3</v>
      </c>
      <c r="K1099" s="249">
        <f t="shared" si="364"/>
        <v>12.172217342536147</v>
      </c>
      <c r="L1099" s="336">
        <v>0.98591459274722126</v>
      </c>
      <c r="M1099" s="258">
        <f t="shared" si="365"/>
        <v>0.98591459274722126</v>
      </c>
      <c r="N1099" s="251">
        <f t="shared" si="366"/>
        <v>0.11005731853462516</v>
      </c>
      <c r="O1099" s="336">
        <v>8.9143262339504148E-3</v>
      </c>
      <c r="P1099" s="258">
        <f t="shared" si="367"/>
        <v>8.9143262339504148E-3</v>
      </c>
      <c r="Q1099" s="354">
        <v>12.052718023255812</v>
      </c>
      <c r="R1099" s="249">
        <f t="shared" si="368"/>
        <v>12.346117434593021</v>
      </c>
      <c r="S1099" s="355">
        <v>0.1</v>
      </c>
      <c r="T1099" s="355"/>
      <c r="U1099" s="315">
        <f t="shared" si="358"/>
        <v>13.580729178052323</v>
      </c>
      <c r="V1099" s="315">
        <f t="shared" si="359"/>
        <v>14</v>
      </c>
      <c r="W1099" s="316">
        <f t="shared" si="357"/>
        <v>0</v>
      </c>
    </row>
    <row r="1100" spans="1:23" x14ac:dyDescent="0.25">
      <c r="A1100" s="204" t="s">
        <v>16746</v>
      </c>
      <c r="B1100" s="351" t="s">
        <v>20827</v>
      </c>
      <c r="C1100" s="352"/>
      <c r="D1100" s="353" t="s">
        <v>14859</v>
      </c>
      <c r="E1100" s="249">
        <f t="shared" si="360"/>
        <v>0</v>
      </c>
      <c r="F1100" s="336">
        <v>0</v>
      </c>
      <c r="G1100" s="258">
        <f t="shared" si="361"/>
        <v>0</v>
      </c>
      <c r="H1100" s="249">
        <f t="shared" si="362"/>
        <v>10.970766544052474</v>
      </c>
      <c r="I1100" s="336">
        <v>5.1662572492212639E-3</v>
      </c>
      <c r="J1100" s="258">
        <f t="shared" si="363"/>
        <v>5.1662572492212639E-3</v>
      </c>
      <c r="K1100" s="249">
        <f t="shared" si="364"/>
        <v>2093.6417270907191</v>
      </c>
      <c r="L1100" s="336">
        <v>0.98591941651682824</v>
      </c>
      <c r="M1100" s="258">
        <f t="shared" si="365"/>
        <v>0.98591941651682824</v>
      </c>
      <c r="N1100" s="251">
        <f t="shared" si="366"/>
        <v>18.929950115227797</v>
      </c>
      <c r="O1100" s="336">
        <v>8.9143262339504165E-3</v>
      </c>
      <c r="P1100" s="258">
        <f t="shared" si="367"/>
        <v>8.9143262339504165E-3</v>
      </c>
      <c r="Q1100" s="354">
        <v>2073.0674999999997</v>
      </c>
      <c r="R1100" s="249">
        <f t="shared" si="368"/>
        <v>2123.5424437499996</v>
      </c>
      <c r="S1100" s="355">
        <v>0.1</v>
      </c>
      <c r="T1100" s="355"/>
      <c r="U1100" s="315">
        <f t="shared" si="358"/>
        <v>2335.8966881249994</v>
      </c>
      <c r="V1100" s="315">
        <f t="shared" si="359"/>
        <v>2350</v>
      </c>
      <c r="W1100" s="316">
        <f t="shared" si="357"/>
        <v>0</v>
      </c>
    </row>
    <row r="1101" spans="1:23" x14ac:dyDescent="0.25">
      <c r="A1101" s="204" t="s">
        <v>16747</v>
      </c>
      <c r="B1101" s="351" t="s">
        <v>20828</v>
      </c>
      <c r="C1101" s="352"/>
      <c r="D1101" s="353" t="s">
        <v>5</v>
      </c>
      <c r="E1101" s="249">
        <f t="shared" si="360"/>
        <v>0</v>
      </c>
      <c r="F1101" s="336">
        <v>0</v>
      </c>
      <c r="G1101" s="258">
        <f t="shared" si="361"/>
        <v>0</v>
      </c>
      <c r="H1101" s="249">
        <f t="shared" si="362"/>
        <v>6.3783408190324714E-2</v>
      </c>
      <c r="I1101" s="336">
        <v>5.066111333827646E-3</v>
      </c>
      <c r="J1101" s="258">
        <f t="shared" si="363"/>
        <v>5.066111333827646E-3</v>
      </c>
      <c r="K1101" s="249">
        <f t="shared" si="364"/>
        <v>12.416309907290197</v>
      </c>
      <c r="L1101" s="336">
        <v>0.98618763296472767</v>
      </c>
      <c r="M1101" s="258">
        <f t="shared" si="365"/>
        <v>0.98618763296472767</v>
      </c>
      <c r="N1101" s="251">
        <f t="shared" si="366"/>
        <v>0.11005764550487399</v>
      </c>
      <c r="O1101" s="336">
        <v>8.7415254387614265E-3</v>
      </c>
      <c r="P1101" s="258">
        <f t="shared" si="367"/>
        <v>8.7415254387614265E-3</v>
      </c>
      <c r="Q1101" s="354">
        <v>12.290973837209304</v>
      </c>
      <c r="R1101" s="249">
        <f t="shared" si="368"/>
        <v>12.590210515988373</v>
      </c>
      <c r="S1101" s="355">
        <v>0.1</v>
      </c>
      <c r="T1101" s="355"/>
      <c r="U1101" s="315">
        <f t="shared" si="358"/>
        <v>13.849231567587211</v>
      </c>
      <c r="V1101" s="315">
        <f t="shared" si="359"/>
        <v>14</v>
      </c>
      <c r="W1101" s="316">
        <f t="shared" si="357"/>
        <v>0</v>
      </c>
    </row>
    <row r="1102" spans="1:23" x14ac:dyDescent="0.25">
      <c r="A1102" s="204" t="s">
        <v>16748</v>
      </c>
      <c r="B1102" s="351" t="s">
        <v>20829</v>
      </c>
      <c r="C1102" s="352"/>
      <c r="D1102" s="353" t="s">
        <v>14859</v>
      </c>
      <c r="E1102" s="249">
        <f t="shared" si="360"/>
        <v>0</v>
      </c>
      <c r="F1102" s="336">
        <v>0</v>
      </c>
      <c r="G1102" s="258">
        <f t="shared" si="361"/>
        <v>0</v>
      </c>
      <c r="H1102" s="249">
        <f t="shared" si="362"/>
        <v>10.970798111046465</v>
      </c>
      <c r="I1102" s="336">
        <v>5.066111333827646E-3</v>
      </c>
      <c r="J1102" s="258">
        <f t="shared" si="363"/>
        <v>5.066111333827646E-3</v>
      </c>
      <c r="K1102" s="249">
        <f t="shared" si="364"/>
        <v>2135.6256510551871</v>
      </c>
      <c r="L1102" s="336">
        <v>0.98619236322741088</v>
      </c>
      <c r="M1102" s="258">
        <f t="shared" si="365"/>
        <v>0.98619236322741088</v>
      </c>
      <c r="N1102" s="251">
        <f t="shared" si="366"/>
        <v>18.930004583766451</v>
      </c>
      <c r="O1102" s="336">
        <v>8.7415254387614282E-3</v>
      </c>
      <c r="P1102" s="258">
        <f t="shared" si="367"/>
        <v>8.7415254387614282E-3</v>
      </c>
      <c r="Q1102" s="354">
        <v>2114.0475000000001</v>
      </c>
      <c r="R1102" s="249">
        <f t="shared" si="368"/>
        <v>2165.5264537500002</v>
      </c>
      <c r="S1102" s="355">
        <v>0.1</v>
      </c>
      <c r="T1102" s="355"/>
      <c r="U1102" s="315">
        <f t="shared" si="358"/>
        <v>2382.0790991250001</v>
      </c>
      <c r="V1102" s="315">
        <f t="shared" si="359"/>
        <v>2400</v>
      </c>
      <c r="W1102" s="316">
        <f t="shared" si="357"/>
        <v>0</v>
      </c>
    </row>
    <row r="1103" spans="1:23" x14ac:dyDescent="0.25">
      <c r="A1103" s="204" t="s">
        <v>16749</v>
      </c>
      <c r="B1103" s="351" t="s">
        <v>20830</v>
      </c>
      <c r="C1103" s="352"/>
      <c r="D1103" s="353" t="s">
        <v>5</v>
      </c>
      <c r="E1103" s="249">
        <f t="shared" si="360"/>
        <v>0</v>
      </c>
      <c r="F1103" s="336">
        <v>0</v>
      </c>
      <c r="G1103" s="258">
        <f t="shared" si="361"/>
        <v>0</v>
      </c>
      <c r="H1103" s="249">
        <f t="shared" si="362"/>
        <v>6.3785277904745294E-2</v>
      </c>
      <c r="I1103" s="336">
        <v>4.0779843106121833E-3</v>
      </c>
      <c r="J1103" s="258">
        <f t="shared" si="363"/>
        <v>4.0779843106121833E-3</v>
      </c>
      <c r="K1103" s="249">
        <f t="shared" si="364"/>
        <v>15.467468327097968</v>
      </c>
      <c r="L1103" s="336">
        <v>0.98888168609991822</v>
      </c>
      <c r="M1103" s="258">
        <f t="shared" si="365"/>
        <v>0.98888168609991822</v>
      </c>
      <c r="N1103" s="251">
        <f t="shared" si="366"/>
        <v>0.11006087167877618</v>
      </c>
      <c r="O1103" s="336">
        <v>7.0365219477229821E-3</v>
      </c>
      <c r="P1103" s="258">
        <f t="shared" si="367"/>
        <v>7.0365219477229821E-3</v>
      </c>
      <c r="Q1103" s="354">
        <v>15.269171511627908</v>
      </c>
      <c r="R1103" s="249">
        <f t="shared" si="368"/>
        <v>15.641374033430234</v>
      </c>
      <c r="S1103" s="355">
        <v>0.1</v>
      </c>
      <c r="T1103" s="355"/>
      <c r="U1103" s="315">
        <f t="shared" si="358"/>
        <v>17.205511436773257</v>
      </c>
      <c r="V1103" s="315">
        <f t="shared" si="359"/>
        <v>18</v>
      </c>
      <c r="W1103" s="316">
        <f t="shared" ref="W1103:W1110" si="369">C1103*V1103</f>
        <v>0</v>
      </c>
    </row>
    <row r="1104" spans="1:23" x14ac:dyDescent="0.25">
      <c r="A1104" s="204" t="s">
        <v>16750</v>
      </c>
      <c r="B1104" s="351" t="s">
        <v>20831</v>
      </c>
      <c r="C1104" s="352"/>
      <c r="D1104" s="353" t="s">
        <v>14859</v>
      </c>
      <c r="E1104" s="249">
        <f t="shared" si="360"/>
        <v>0</v>
      </c>
      <c r="F1104" s="336">
        <v>0</v>
      </c>
      <c r="G1104" s="258">
        <f t="shared" si="361"/>
        <v>0</v>
      </c>
      <c r="H1104" s="249">
        <f t="shared" si="362"/>
        <v>10.971109578565452</v>
      </c>
      <c r="I1104" s="336">
        <v>4.0779843106121833E-3</v>
      </c>
      <c r="J1104" s="258">
        <f t="shared" si="363"/>
        <v>4.0779843106121833E-3</v>
      </c>
      <c r="K1104" s="249">
        <f t="shared" si="364"/>
        <v>2660.4249271535177</v>
      </c>
      <c r="L1104" s="336">
        <v>0.98888549374166479</v>
      </c>
      <c r="M1104" s="258">
        <f t="shared" si="365"/>
        <v>0.98888549374166479</v>
      </c>
      <c r="N1104" s="251">
        <f t="shared" si="366"/>
        <v>18.930542017916856</v>
      </c>
      <c r="O1104" s="336">
        <v>7.0365219477229821E-3</v>
      </c>
      <c r="P1104" s="258">
        <f t="shared" si="367"/>
        <v>7.0365219477229821E-3</v>
      </c>
      <c r="Q1104" s="354">
        <v>2626.2975000000001</v>
      </c>
      <c r="R1104" s="249">
        <f t="shared" si="368"/>
        <v>2690.32657875</v>
      </c>
      <c r="S1104" s="355">
        <v>0.1</v>
      </c>
      <c r="T1104" s="355"/>
      <c r="U1104" s="315">
        <f t="shared" si="358"/>
        <v>2959.359236625</v>
      </c>
      <c r="V1104" s="315">
        <f t="shared" si="359"/>
        <v>2975</v>
      </c>
      <c r="W1104" s="316">
        <f t="shared" si="369"/>
        <v>0</v>
      </c>
    </row>
    <row r="1105" spans="1:23" ht="14.4" thickBot="1" x14ac:dyDescent="0.3">
      <c r="A1105" s="356" t="s">
        <v>16751</v>
      </c>
      <c r="B1105" s="357" t="s">
        <v>20832</v>
      </c>
      <c r="C1105" s="358"/>
      <c r="D1105" s="359" t="s">
        <v>5</v>
      </c>
      <c r="E1105" s="266">
        <f t="shared" si="360"/>
        <v>0</v>
      </c>
      <c r="F1105" s="360">
        <v>0</v>
      </c>
      <c r="G1105" s="322">
        <f t="shared" si="361"/>
        <v>0</v>
      </c>
      <c r="H1105" s="266">
        <f t="shared" si="362"/>
        <v>6.3785468720732055E-2</v>
      </c>
      <c r="I1105" s="360">
        <v>3.9771398014772242E-3</v>
      </c>
      <c r="J1105" s="322">
        <f t="shared" si="363"/>
        <v>3.9771398014772242E-3</v>
      </c>
      <c r="K1105" s="266">
        <f t="shared" si="364"/>
        <v>15.864119064120143</v>
      </c>
      <c r="L1105" s="360">
        <v>0.98915663098009943</v>
      </c>
      <c r="M1105" s="322">
        <f t="shared" si="365"/>
        <v>0.98915663098009943</v>
      </c>
      <c r="N1105" s="270">
        <f t="shared" si="366"/>
        <v>0.11006120092989058</v>
      </c>
      <c r="O1105" s="360">
        <v>6.8625157358822679E-3</v>
      </c>
      <c r="P1105" s="322">
        <f t="shared" si="367"/>
        <v>6.8625157358822679E-3</v>
      </c>
      <c r="Q1105" s="361">
        <v>15.656337209302325</v>
      </c>
      <c r="R1105" s="266">
        <f t="shared" si="368"/>
        <v>16.038025290697675</v>
      </c>
      <c r="S1105" s="362">
        <v>0.1</v>
      </c>
      <c r="T1105" s="362"/>
      <c r="U1105" s="324">
        <f t="shared" si="358"/>
        <v>17.641827819767443</v>
      </c>
      <c r="V1105" s="324">
        <f t="shared" si="359"/>
        <v>18</v>
      </c>
      <c r="W1105" s="325">
        <f t="shared" si="369"/>
        <v>0</v>
      </c>
    </row>
    <row r="1106" spans="1:23" x14ac:dyDescent="0.25">
      <c r="A1106" s="204" t="s">
        <v>16752</v>
      </c>
      <c r="B1106" s="351" t="s">
        <v>20833</v>
      </c>
      <c r="C1106" s="352"/>
      <c r="D1106" s="353" t="s">
        <v>14859</v>
      </c>
      <c r="E1106" s="249">
        <f t="shared" si="360"/>
        <v>0</v>
      </c>
      <c r="F1106" s="336">
        <v>0</v>
      </c>
      <c r="G1106" s="258">
        <f t="shared" si="361"/>
        <v>0</v>
      </c>
      <c r="H1106" s="249">
        <f t="shared" si="362"/>
        <v>10.971141365763177</v>
      </c>
      <c r="I1106" s="336">
        <v>3.9771398014772242E-3</v>
      </c>
      <c r="J1106" s="258">
        <f t="shared" si="363"/>
        <v>3.9771398014772242E-3</v>
      </c>
      <c r="K1106" s="249">
        <f t="shared" si="364"/>
        <v>2728.6488567678216</v>
      </c>
      <c r="L1106" s="336">
        <v>0.98916034446264045</v>
      </c>
      <c r="M1106" s="258">
        <f t="shared" si="365"/>
        <v>0.98916034446264045</v>
      </c>
      <c r="N1106" s="251">
        <f t="shared" si="366"/>
        <v>18.930596866414891</v>
      </c>
      <c r="O1106" s="336">
        <v>6.8625157358822679E-3</v>
      </c>
      <c r="P1106" s="258">
        <f t="shared" si="367"/>
        <v>6.8625157358822679E-3</v>
      </c>
      <c r="Q1106" s="354">
        <v>2692.89</v>
      </c>
      <c r="R1106" s="249">
        <f t="shared" si="368"/>
        <v>2758.5505949999997</v>
      </c>
      <c r="S1106" s="355">
        <v>0.1</v>
      </c>
      <c r="T1106" s="355"/>
      <c r="U1106" s="315">
        <f t="shared" si="358"/>
        <v>3034.4056544999999</v>
      </c>
      <c r="V1106" s="315">
        <f t="shared" si="359"/>
        <v>3050</v>
      </c>
      <c r="W1106" s="316">
        <f t="shared" si="369"/>
        <v>0</v>
      </c>
    </row>
    <row r="1107" spans="1:23" x14ac:dyDescent="0.25">
      <c r="A1107" s="204" t="s">
        <v>16753</v>
      </c>
      <c r="B1107" s="351" t="s">
        <v>20834</v>
      </c>
      <c r="C1107" s="352"/>
      <c r="D1107" s="353" t="s">
        <v>5</v>
      </c>
      <c r="E1107" s="249">
        <f t="shared" si="360"/>
        <v>0</v>
      </c>
      <c r="F1107" s="336">
        <v>0</v>
      </c>
      <c r="G1107" s="258">
        <f t="shared" si="361"/>
        <v>0</v>
      </c>
      <c r="H1107" s="249">
        <f t="shared" si="362"/>
        <v>6.3787224703346024E-2</v>
      </c>
      <c r="I1107" s="336">
        <v>3.0491190010505376E-3</v>
      </c>
      <c r="J1107" s="258">
        <f t="shared" si="363"/>
        <v>3.0491190010505376E-3</v>
      </c>
      <c r="K1107" s="249">
        <f t="shared" si="364"/>
        <v>20.745975904474147</v>
      </c>
      <c r="L1107" s="336">
        <v>0.99168680907276607</v>
      </c>
      <c r="M1107" s="258">
        <f t="shared" si="365"/>
        <v>0.99168680907276607</v>
      </c>
      <c r="N1107" s="251">
        <f t="shared" si="366"/>
        <v>0.11006423086067546</v>
      </c>
      <c r="O1107" s="336">
        <v>5.2612249429891617E-3</v>
      </c>
      <c r="P1107" s="258">
        <f t="shared" si="367"/>
        <v>5.2612249429891617E-3</v>
      </c>
      <c r="Q1107" s="354">
        <v>20.421453488372091</v>
      </c>
      <c r="R1107" s="249">
        <f t="shared" si="368"/>
        <v>20.91988691860465</v>
      </c>
      <c r="S1107" s="355">
        <v>0.1</v>
      </c>
      <c r="T1107" s="355"/>
      <c r="U1107" s="315">
        <f t="shared" si="358"/>
        <v>23.011875610465115</v>
      </c>
      <c r="V1107" s="315">
        <f t="shared" si="359"/>
        <v>24</v>
      </c>
      <c r="W1107" s="316">
        <f t="shared" si="369"/>
        <v>0</v>
      </c>
    </row>
    <row r="1108" spans="1:23" x14ac:dyDescent="0.25">
      <c r="A1108" s="204" t="s">
        <v>16754</v>
      </c>
      <c r="B1108" s="351" t="s">
        <v>20835</v>
      </c>
      <c r="C1108" s="352"/>
      <c r="D1108" s="353" t="s">
        <v>14859</v>
      </c>
      <c r="E1108" s="249">
        <f t="shared" si="360"/>
        <v>0</v>
      </c>
      <c r="F1108" s="336">
        <v>0</v>
      </c>
      <c r="G1108" s="258">
        <f t="shared" si="361"/>
        <v>0</v>
      </c>
      <c r="H1108" s="249">
        <f t="shared" si="362"/>
        <v>10.97143388719968</v>
      </c>
      <c r="I1108" s="336">
        <v>3.0491190010505371E-3</v>
      </c>
      <c r="J1108" s="258">
        <f t="shared" si="363"/>
        <v>3.0491190010505371E-3</v>
      </c>
      <c r="K1108" s="249">
        <f t="shared" si="364"/>
        <v>3568.3282595035143</v>
      </c>
      <c r="L1108" s="336">
        <v>0.99168965605596027</v>
      </c>
      <c r="M1108" s="258">
        <f t="shared" si="365"/>
        <v>0.99168965605596027</v>
      </c>
      <c r="N1108" s="251">
        <f t="shared" si="366"/>
        <v>18.931101609285722</v>
      </c>
      <c r="O1108" s="336">
        <v>5.2612249429891617E-3</v>
      </c>
      <c r="P1108" s="258">
        <f t="shared" si="367"/>
        <v>5.2612249429891617E-3</v>
      </c>
      <c r="Q1108" s="354">
        <v>3512.49</v>
      </c>
      <c r="R1108" s="249">
        <f t="shared" si="368"/>
        <v>3598.2307949999999</v>
      </c>
      <c r="S1108" s="355">
        <v>0.1</v>
      </c>
      <c r="T1108" s="355"/>
      <c r="U1108" s="315">
        <f t="shared" si="358"/>
        <v>3958.0538744999999</v>
      </c>
      <c r="V1108" s="315">
        <f t="shared" si="359"/>
        <v>3975</v>
      </c>
      <c r="W1108" s="316">
        <f t="shared" si="369"/>
        <v>0</v>
      </c>
    </row>
    <row r="1109" spans="1:23" x14ac:dyDescent="0.25">
      <c r="A1109" s="204" t="s">
        <v>16755</v>
      </c>
      <c r="B1109" s="351" t="s">
        <v>20836</v>
      </c>
      <c r="C1109" s="352"/>
      <c r="D1109" s="353" t="s">
        <v>5</v>
      </c>
      <c r="E1109" s="249">
        <f t="shared" si="360"/>
        <v>0</v>
      </c>
      <c r="F1109" s="336">
        <v>0</v>
      </c>
      <c r="G1109" s="258">
        <f t="shared" si="361"/>
        <v>0</v>
      </c>
      <c r="H1109" s="249">
        <f t="shared" si="362"/>
        <v>6.3787688924493491E-2</v>
      </c>
      <c r="I1109" s="336">
        <v>2.8037823573762253E-3</v>
      </c>
      <c r="J1109" s="258">
        <f t="shared" si="363"/>
        <v>2.8037823573762253E-3</v>
      </c>
      <c r="K1109" s="249">
        <f t="shared" si="364"/>
        <v>22.57667274927563</v>
      </c>
      <c r="L1109" s="336">
        <v>0.99235570076233559</v>
      </c>
      <c r="M1109" s="258">
        <f t="shared" si="365"/>
        <v>0.99235570076233559</v>
      </c>
      <c r="N1109" s="251">
        <f t="shared" si="366"/>
        <v>0.11006503186971425</v>
      </c>
      <c r="O1109" s="336">
        <v>4.8378989695903492E-3</v>
      </c>
      <c r="P1109" s="258">
        <f t="shared" si="367"/>
        <v>4.8378989695903492E-3</v>
      </c>
      <c r="Q1109" s="354">
        <v>22.208372093023257</v>
      </c>
      <c r="R1109" s="249">
        <f t="shared" si="368"/>
        <v>22.750585029069768</v>
      </c>
      <c r="S1109" s="355">
        <v>0.1</v>
      </c>
      <c r="T1109" s="355"/>
      <c r="U1109" s="315">
        <f t="shared" si="358"/>
        <v>25.025643531976744</v>
      </c>
      <c r="V1109" s="315">
        <f t="shared" si="359"/>
        <v>26</v>
      </c>
      <c r="W1109" s="316">
        <f t="shared" si="369"/>
        <v>0</v>
      </c>
    </row>
    <row r="1110" spans="1:23" x14ac:dyDescent="0.25">
      <c r="A1110" s="204" t="s">
        <v>16756</v>
      </c>
      <c r="B1110" s="351" t="s">
        <v>20837</v>
      </c>
      <c r="C1110" s="352"/>
      <c r="D1110" s="353" t="s">
        <v>14859</v>
      </c>
      <c r="E1110" s="249">
        <f t="shared" si="360"/>
        <v>0</v>
      </c>
      <c r="F1110" s="336">
        <v>0</v>
      </c>
      <c r="G1110" s="258">
        <f t="shared" si="361"/>
        <v>0</v>
      </c>
      <c r="H1110" s="249">
        <f t="shared" si="362"/>
        <v>10.971511219763132</v>
      </c>
      <c r="I1110" s="336">
        <v>2.8037823573762253E-3</v>
      </c>
      <c r="J1110" s="258">
        <f t="shared" si="363"/>
        <v>2.8037823573762253E-3</v>
      </c>
      <c r="K1110" s="249">
        <f t="shared" si="364"/>
        <v>3883.2081237343709</v>
      </c>
      <c r="L1110" s="336">
        <v>0.99235831867303337</v>
      </c>
      <c r="M1110" s="258">
        <f t="shared" si="365"/>
        <v>0.99235831867303337</v>
      </c>
      <c r="N1110" s="251">
        <f t="shared" si="366"/>
        <v>18.931235045865794</v>
      </c>
      <c r="O1110" s="336">
        <v>4.8378989695903492E-3</v>
      </c>
      <c r="P1110" s="258">
        <f t="shared" si="367"/>
        <v>4.8378989695903492E-3</v>
      </c>
      <c r="Q1110" s="354">
        <v>3819.84</v>
      </c>
      <c r="R1110" s="249">
        <f t="shared" si="368"/>
        <v>3913.11087</v>
      </c>
      <c r="S1110" s="355">
        <v>0.1</v>
      </c>
      <c r="T1110" s="355"/>
      <c r="U1110" s="315">
        <f t="shared" si="358"/>
        <v>4304.4219570000005</v>
      </c>
      <c r="V1110" s="315">
        <f t="shared" si="359"/>
        <v>4325</v>
      </c>
      <c r="W1110" s="316">
        <f t="shared" si="369"/>
        <v>0</v>
      </c>
    </row>
    <row r="1111" spans="1:23" x14ac:dyDescent="0.25">
      <c r="A1111" s="203" t="s">
        <v>16757</v>
      </c>
      <c r="B1111" s="345" t="s">
        <v>16758</v>
      </c>
      <c r="C1111" s="346"/>
      <c r="D1111" s="347"/>
      <c r="E1111" s="347"/>
      <c r="F1111" s="347"/>
      <c r="G1111" s="347"/>
      <c r="H1111" s="347"/>
      <c r="I1111" s="347"/>
      <c r="J1111" s="347"/>
      <c r="K1111" s="347"/>
      <c r="L1111" s="347"/>
      <c r="M1111" s="347"/>
      <c r="N1111" s="347"/>
      <c r="O1111" s="347"/>
      <c r="P1111" s="347"/>
      <c r="Q1111" s="347"/>
      <c r="R1111" s="347"/>
      <c r="S1111" s="347"/>
      <c r="T1111" s="348"/>
      <c r="U1111" s="349"/>
      <c r="V1111" s="349"/>
      <c r="W1111" s="350"/>
    </row>
    <row r="1112" spans="1:23" x14ac:dyDescent="0.25">
      <c r="A1112" s="204" t="s">
        <v>16759</v>
      </c>
      <c r="B1112" s="351" t="s">
        <v>20838</v>
      </c>
      <c r="C1112" s="352"/>
      <c r="D1112" s="353" t="s">
        <v>14859</v>
      </c>
      <c r="E1112" s="249">
        <f t="shared" si="360"/>
        <v>0</v>
      </c>
      <c r="F1112" s="336">
        <v>0</v>
      </c>
      <c r="G1112" s="258">
        <f t="shared" si="361"/>
        <v>0</v>
      </c>
      <c r="H1112" s="249">
        <f t="shared" si="362"/>
        <v>10.952721412405921</v>
      </c>
      <c r="I1112" s="336">
        <v>6.2414224149234691E-2</v>
      </c>
      <c r="J1112" s="258">
        <f t="shared" si="363"/>
        <v>6.2414224149234691E-2</v>
      </c>
      <c r="K1112" s="249">
        <f t="shared" si="364"/>
        <v>145.63284492010936</v>
      </c>
      <c r="L1112" s="336">
        <v>0.82989064398541923</v>
      </c>
      <c r="M1112" s="258">
        <f t="shared" si="365"/>
        <v>0.82989064398541923</v>
      </c>
      <c r="N1112" s="251">
        <f t="shared" si="366"/>
        <v>18.898813417484725</v>
      </c>
      <c r="O1112" s="336">
        <v>0.10769513186534613</v>
      </c>
      <c r="P1112" s="258">
        <f t="shared" si="367"/>
        <v>0.10769513186534613</v>
      </c>
      <c r="Q1112" s="354">
        <v>171.59549999999999</v>
      </c>
      <c r="R1112" s="249">
        <f t="shared" si="368"/>
        <v>175.48437974999999</v>
      </c>
      <c r="S1112" s="355">
        <v>0.1</v>
      </c>
      <c r="T1112" s="355"/>
      <c r="U1112" s="315">
        <f t="shared" si="358"/>
        <v>193.03281772499997</v>
      </c>
      <c r="V1112" s="315">
        <f t="shared" si="359"/>
        <v>195</v>
      </c>
      <c r="W1112" s="316">
        <f t="shared" ref="W1112:W1149" si="370">C1112*V1112</f>
        <v>0</v>
      </c>
    </row>
    <row r="1113" spans="1:23" x14ac:dyDescent="0.25">
      <c r="A1113" s="204" t="s">
        <v>16760</v>
      </c>
      <c r="B1113" s="351" t="s">
        <v>20839</v>
      </c>
      <c r="C1113" s="352"/>
      <c r="D1113" s="353" t="s">
        <v>5</v>
      </c>
      <c r="E1113" s="249">
        <f t="shared" si="360"/>
        <v>0</v>
      </c>
      <c r="F1113" s="336">
        <v>0</v>
      </c>
      <c r="G1113" s="258">
        <f t="shared" si="361"/>
        <v>0</v>
      </c>
      <c r="H1113" s="249">
        <f t="shared" si="362"/>
        <v>6.3674895224880887E-2</v>
      </c>
      <c r="I1113" s="336">
        <v>6.2414224149234691E-2</v>
      </c>
      <c r="J1113" s="258">
        <f t="shared" si="363"/>
        <v>6.2414224149234691E-2</v>
      </c>
      <c r="K1113" s="249">
        <f t="shared" si="364"/>
        <v>0.84659370149341973</v>
      </c>
      <c r="L1113" s="336">
        <v>0.82983236739891197</v>
      </c>
      <c r="M1113" s="258">
        <f t="shared" si="365"/>
        <v>0.82983236739891197</v>
      </c>
      <c r="N1113" s="251">
        <f t="shared" si="366"/>
        <v>0.10987040744685329</v>
      </c>
      <c r="O1113" s="336">
        <v>0.10769513186534613</v>
      </c>
      <c r="P1113" s="258">
        <f t="shared" si="367"/>
        <v>0.10769513186534613</v>
      </c>
      <c r="Q1113" s="354">
        <v>0.99764825581395344</v>
      </c>
      <c r="R1113" s="249">
        <f t="shared" si="368"/>
        <v>1.0201984578488372</v>
      </c>
      <c r="S1113" s="355">
        <v>0.1</v>
      </c>
      <c r="T1113" s="355"/>
      <c r="U1113" s="315">
        <f t="shared" si="358"/>
        <v>1.122218303633721</v>
      </c>
      <c r="V1113" s="315">
        <f t="shared" si="359"/>
        <v>2</v>
      </c>
      <c r="W1113" s="316">
        <f t="shared" si="370"/>
        <v>0</v>
      </c>
    </row>
    <row r="1114" spans="1:23" x14ac:dyDescent="0.25">
      <c r="A1114" s="204" t="s">
        <v>16761</v>
      </c>
      <c r="B1114" s="351" t="s">
        <v>20840</v>
      </c>
      <c r="C1114" s="352"/>
      <c r="D1114" s="353" t="s">
        <v>14859</v>
      </c>
      <c r="E1114" s="249">
        <f t="shared" si="360"/>
        <v>0</v>
      </c>
      <c r="F1114" s="336">
        <v>0</v>
      </c>
      <c r="G1114" s="258">
        <f t="shared" si="361"/>
        <v>0</v>
      </c>
      <c r="H1114" s="249">
        <f t="shared" si="362"/>
        <v>10.953933845049628</v>
      </c>
      <c r="I1114" s="336">
        <v>5.8567795915019288E-2</v>
      </c>
      <c r="J1114" s="258">
        <f t="shared" si="363"/>
        <v>5.8567795915019288E-2</v>
      </c>
      <c r="K1114" s="249">
        <f t="shared" si="364"/>
        <v>157.1751431968255</v>
      </c>
      <c r="L1114" s="336">
        <v>0.84037404642769253</v>
      </c>
      <c r="M1114" s="258">
        <f t="shared" si="365"/>
        <v>0.84037404642769253</v>
      </c>
      <c r="N1114" s="251">
        <f t="shared" si="366"/>
        <v>18.900905458124846</v>
      </c>
      <c r="O1114" s="336">
        <v>0.10105815765728818</v>
      </c>
      <c r="P1114" s="258">
        <f t="shared" si="367"/>
        <v>0.10105815765728818</v>
      </c>
      <c r="Q1114" s="354">
        <v>182.86499999999998</v>
      </c>
      <c r="R1114" s="249">
        <f t="shared" si="368"/>
        <v>187.02998249999999</v>
      </c>
      <c r="S1114" s="355">
        <v>0.1</v>
      </c>
      <c r="T1114" s="355"/>
      <c r="U1114" s="315">
        <f t="shared" si="358"/>
        <v>205.73298075</v>
      </c>
      <c r="V1114" s="315">
        <f t="shared" si="359"/>
        <v>210</v>
      </c>
      <c r="W1114" s="316">
        <f t="shared" si="370"/>
        <v>0</v>
      </c>
    </row>
    <row r="1115" spans="1:23" x14ac:dyDescent="0.25">
      <c r="A1115" s="204" t="s">
        <v>16762</v>
      </c>
      <c r="B1115" s="351" t="s">
        <v>20841</v>
      </c>
      <c r="C1115" s="352"/>
      <c r="D1115" s="353" t="s">
        <v>5</v>
      </c>
      <c r="E1115" s="249">
        <f t="shared" si="360"/>
        <v>0</v>
      </c>
      <c r="F1115" s="336">
        <v>0</v>
      </c>
      <c r="G1115" s="258">
        <f t="shared" si="361"/>
        <v>0</v>
      </c>
      <c r="H1115" s="249">
        <f t="shared" si="362"/>
        <v>6.3682173360351618E-2</v>
      </c>
      <c r="I1115" s="336">
        <v>5.8567795915019295E-2</v>
      </c>
      <c r="J1115" s="258">
        <f t="shared" si="363"/>
        <v>5.8567795915019295E-2</v>
      </c>
      <c r="K1115" s="249">
        <f t="shared" si="364"/>
        <v>0.9136994555946244</v>
      </c>
      <c r="L1115" s="336">
        <v>0.84031936127744511</v>
      </c>
      <c r="M1115" s="258">
        <f t="shared" si="365"/>
        <v>0.84031936127744511</v>
      </c>
      <c r="N1115" s="251">
        <f t="shared" si="366"/>
        <v>0.10988296579825374</v>
      </c>
      <c r="O1115" s="336">
        <v>0.10105815765728818</v>
      </c>
      <c r="P1115" s="258">
        <f t="shared" si="367"/>
        <v>0.10105815765728818</v>
      </c>
      <c r="Q1115" s="354">
        <v>1.0631686046511626</v>
      </c>
      <c r="R1115" s="249">
        <f t="shared" si="368"/>
        <v>1.0873240552325578</v>
      </c>
      <c r="S1115" s="355">
        <v>0.1</v>
      </c>
      <c r="T1115" s="355"/>
      <c r="U1115" s="315">
        <f t="shared" si="358"/>
        <v>1.1960564607558135</v>
      </c>
      <c r="V1115" s="315">
        <f t="shared" si="359"/>
        <v>2</v>
      </c>
      <c r="W1115" s="316">
        <f t="shared" si="370"/>
        <v>0</v>
      </c>
    </row>
    <row r="1116" spans="1:23" x14ac:dyDescent="0.25">
      <c r="A1116" s="204" t="s">
        <v>16763</v>
      </c>
      <c r="B1116" s="351" t="s">
        <v>20842</v>
      </c>
      <c r="C1116" s="352"/>
      <c r="D1116" s="353" t="s">
        <v>14859</v>
      </c>
      <c r="E1116" s="249">
        <f t="shared" si="360"/>
        <v>0</v>
      </c>
      <c r="F1116" s="336">
        <v>0</v>
      </c>
      <c r="G1116" s="258">
        <f t="shared" si="361"/>
        <v>0</v>
      </c>
      <c r="H1116" s="249">
        <f t="shared" si="362"/>
        <v>10.957716667275385</v>
      </c>
      <c r="I1116" s="336">
        <v>4.6566837107377655E-2</v>
      </c>
      <c r="J1116" s="258">
        <f t="shared" si="363"/>
        <v>4.6566837107377655E-2</v>
      </c>
      <c r="K1116" s="249">
        <f t="shared" si="364"/>
        <v>205.44644465193571</v>
      </c>
      <c r="L1116" s="336">
        <v>0.87308254200146096</v>
      </c>
      <c r="M1116" s="258">
        <f t="shared" si="365"/>
        <v>0.87308254200146096</v>
      </c>
      <c r="N1116" s="251">
        <f t="shared" si="366"/>
        <v>18.907432680788897</v>
      </c>
      <c r="O1116" s="336">
        <v>8.0350620891161434E-2</v>
      </c>
      <c r="P1116" s="258">
        <f t="shared" si="367"/>
        <v>8.0350620891161434E-2</v>
      </c>
      <c r="Q1116" s="354">
        <v>229.99199999999999</v>
      </c>
      <c r="R1116" s="249">
        <f t="shared" si="368"/>
        <v>235.31159399999999</v>
      </c>
      <c r="S1116" s="355">
        <v>0.1</v>
      </c>
      <c r="T1116" s="355"/>
      <c r="U1116" s="315">
        <f t="shared" si="358"/>
        <v>258.84275339999999</v>
      </c>
      <c r="V1116" s="315">
        <f t="shared" si="359"/>
        <v>260</v>
      </c>
      <c r="W1116" s="316">
        <f t="shared" si="370"/>
        <v>0</v>
      </c>
    </row>
    <row r="1117" spans="1:23" x14ac:dyDescent="0.25">
      <c r="A1117" s="204" t="s">
        <v>16764</v>
      </c>
      <c r="B1117" s="351" t="s">
        <v>20843</v>
      </c>
      <c r="C1117" s="352"/>
      <c r="D1117" s="353" t="s">
        <v>5</v>
      </c>
      <c r="E1117" s="249">
        <f t="shared" si="360"/>
        <v>0</v>
      </c>
      <c r="F1117" s="336">
        <v>0</v>
      </c>
      <c r="G1117" s="258">
        <f t="shared" si="361"/>
        <v>0</v>
      </c>
      <c r="H1117" s="249">
        <f t="shared" si="362"/>
        <v>6.3704881337379185E-2</v>
      </c>
      <c r="I1117" s="336">
        <v>4.6566837107377655E-2</v>
      </c>
      <c r="J1117" s="258">
        <f t="shared" si="363"/>
        <v>4.6566837107377655E-2</v>
      </c>
      <c r="K1117" s="249">
        <f t="shared" si="364"/>
        <v>1.1943445876279215</v>
      </c>
      <c r="L1117" s="336">
        <v>0.87303906222825145</v>
      </c>
      <c r="M1117" s="258">
        <f t="shared" si="365"/>
        <v>0.87303906222825145</v>
      </c>
      <c r="N1117" s="251">
        <f t="shared" si="366"/>
        <v>0.10992214818998761</v>
      </c>
      <c r="O1117" s="336">
        <v>8.0350620891161434E-2</v>
      </c>
      <c r="P1117" s="258">
        <f t="shared" si="367"/>
        <v>8.0350620891161434E-2</v>
      </c>
      <c r="Q1117" s="354">
        <v>1.3371627906976744</v>
      </c>
      <c r="R1117" s="249">
        <f t="shared" si="368"/>
        <v>1.3680310988372093</v>
      </c>
      <c r="S1117" s="355">
        <v>0.1</v>
      </c>
      <c r="T1117" s="355"/>
      <c r="U1117" s="315">
        <f t="shared" si="358"/>
        <v>1.5048342087209303</v>
      </c>
      <c r="V1117" s="315">
        <f t="shared" si="359"/>
        <v>2</v>
      </c>
      <c r="W1117" s="316">
        <f t="shared" si="370"/>
        <v>0</v>
      </c>
    </row>
    <row r="1118" spans="1:23" x14ac:dyDescent="0.25">
      <c r="A1118" s="204" t="s">
        <v>16765</v>
      </c>
      <c r="B1118" s="351" t="s">
        <v>20844</v>
      </c>
      <c r="C1118" s="352"/>
      <c r="D1118" s="353" t="s">
        <v>14859</v>
      </c>
      <c r="E1118" s="249">
        <f t="shared" si="360"/>
        <v>0</v>
      </c>
      <c r="F1118" s="336">
        <v>0</v>
      </c>
      <c r="G1118" s="258">
        <f t="shared" si="361"/>
        <v>0</v>
      </c>
      <c r="H1118" s="249">
        <f t="shared" si="362"/>
        <v>10.959240215856353</v>
      </c>
      <c r="I1118" s="336">
        <v>4.1733397238815577E-2</v>
      </c>
      <c r="J1118" s="258">
        <f t="shared" si="363"/>
        <v>4.1733397238815577E-2</v>
      </c>
      <c r="K1118" s="249">
        <f t="shared" si="364"/>
        <v>232.731898735215</v>
      </c>
      <c r="L1118" s="336">
        <v>0.88625603497656147</v>
      </c>
      <c r="M1118" s="258">
        <f t="shared" si="365"/>
        <v>0.88625603497656147</v>
      </c>
      <c r="N1118" s="251">
        <f t="shared" si="366"/>
        <v>18.910061548928606</v>
      </c>
      <c r="O1118" s="336">
        <v>7.2010567784622947E-2</v>
      </c>
      <c r="P1118" s="258">
        <f t="shared" si="367"/>
        <v>7.2010567784622947E-2</v>
      </c>
      <c r="Q1118" s="354">
        <v>256.62899999999996</v>
      </c>
      <c r="R1118" s="249">
        <f t="shared" si="368"/>
        <v>262.60120049999995</v>
      </c>
      <c r="S1118" s="355">
        <v>0.1</v>
      </c>
      <c r="T1118" s="355"/>
      <c r="U1118" s="315">
        <f t="shared" si="358"/>
        <v>288.86132054999996</v>
      </c>
      <c r="V1118" s="315">
        <f t="shared" si="359"/>
        <v>290</v>
      </c>
      <c r="W1118" s="316">
        <f t="shared" si="370"/>
        <v>0</v>
      </c>
    </row>
    <row r="1119" spans="1:23" x14ac:dyDescent="0.25">
      <c r="A1119" s="204" t="s">
        <v>16766</v>
      </c>
      <c r="B1119" s="351" t="s">
        <v>20845</v>
      </c>
      <c r="C1119" s="352"/>
      <c r="D1119" s="353" t="s">
        <v>5</v>
      </c>
      <c r="E1119" s="249">
        <f t="shared" si="360"/>
        <v>0</v>
      </c>
      <c r="F1119" s="336">
        <v>0</v>
      </c>
      <c r="G1119" s="258">
        <f t="shared" si="361"/>
        <v>0</v>
      </c>
      <c r="H1119" s="249">
        <f t="shared" si="362"/>
        <v>6.3714027076753749E-2</v>
      </c>
      <c r="I1119" s="336">
        <v>4.1733397238815577E-2</v>
      </c>
      <c r="J1119" s="258">
        <f t="shared" si="363"/>
        <v>4.1733397238815577E-2</v>
      </c>
      <c r="K1119" s="249">
        <f t="shared" si="364"/>
        <v>1.3529801553724579</v>
      </c>
      <c r="L1119" s="336">
        <v>0.88621706821910229</v>
      </c>
      <c r="M1119" s="258">
        <f t="shared" si="365"/>
        <v>0.88621706821910229</v>
      </c>
      <c r="N1119" s="251">
        <f t="shared" si="366"/>
        <v>0.10993792907361429</v>
      </c>
      <c r="O1119" s="336">
        <v>7.2010567784622947E-2</v>
      </c>
      <c r="P1119" s="258">
        <f t="shared" si="367"/>
        <v>7.2010567784622947E-2</v>
      </c>
      <c r="Q1119" s="354">
        <v>1.4920290697674417</v>
      </c>
      <c r="R1119" s="249">
        <f t="shared" si="368"/>
        <v>1.5266916017441861</v>
      </c>
      <c r="S1119" s="355">
        <v>0.1</v>
      </c>
      <c r="T1119" s="355"/>
      <c r="U1119" s="315">
        <f t="shared" si="358"/>
        <v>1.6793607619186046</v>
      </c>
      <c r="V1119" s="315">
        <f t="shared" si="359"/>
        <v>2</v>
      </c>
      <c r="W1119" s="316">
        <f t="shared" si="370"/>
        <v>0</v>
      </c>
    </row>
    <row r="1120" spans="1:23" x14ac:dyDescent="0.25">
      <c r="A1120" s="204" t="s">
        <v>16767</v>
      </c>
      <c r="B1120" s="351" t="s">
        <v>20846</v>
      </c>
      <c r="C1120" s="352"/>
      <c r="D1120" s="353" t="s">
        <v>14859</v>
      </c>
      <c r="E1120" s="249">
        <f t="shared" si="360"/>
        <v>0</v>
      </c>
      <c r="F1120" s="336">
        <v>0</v>
      </c>
      <c r="G1120" s="258">
        <f t="shared" si="361"/>
        <v>0</v>
      </c>
      <c r="H1120" s="249">
        <f t="shared" si="362"/>
        <v>10.962333172454031</v>
      </c>
      <c r="I1120" s="336">
        <v>3.1921028983757836E-2</v>
      </c>
      <c r="J1120" s="258">
        <f t="shared" si="363"/>
        <v>3.1921028983757836E-2</v>
      </c>
      <c r="K1120" s="249">
        <f t="shared" si="364"/>
        <v>313.54268816233116</v>
      </c>
      <c r="L1120" s="336">
        <v>0.91299954845603259</v>
      </c>
      <c r="M1120" s="258">
        <f t="shared" si="365"/>
        <v>0.91299954845603259</v>
      </c>
      <c r="N1120" s="251">
        <f t="shared" si="366"/>
        <v>18.915398415214796</v>
      </c>
      <c r="O1120" s="336">
        <v>5.507942256020959E-2</v>
      </c>
      <c r="P1120" s="258">
        <f t="shared" si="367"/>
        <v>5.507942256020959E-2</v>
      </c>
      <c r="Q1120" s="354">
        <v>335.51549999999997</v>
      </c>
      <c r="R1120" s="249">
        <f t="shared" si="368"/>
        <v>343.42041974999995</v>
      </c>
      <c r="S1120" s="355">
        <v>0.1</v>
      </c>
      <c r="T1120" s="355"/>
      <c r="U1120" s="315">
        <f t="shared" si="358"/>
        <v>377.76246172499992</v>
      </c>
      <c r="V1120" s="315">
        <f t="shared" si="359"/>
        <v>380</v>
      </c>
      <c r="W1120" s="316">
        <f t="shared" si="370"/>
        <v>0</v>
      </c>
    </row>
    <row r="1121" spans="1:23" x14ac:dyDescent="0.25">
      <c r="A1121" s="204" t="s">
        <v>16768</v>
      </c>
      <c r="B1121" s="351" t="s">
        <v>20847</v>
      </c>
      <c r="C1121" s="352"/>
      <c r="D1121" s="353" t="s">
        <v>5</v>
      </c>
      <c r="E1121" s="249">
        <f t="shared" si="360"/>
        <v>0</v>
      </c>
      <c r="F1121" s="336">
        <v>0</v>
      </c>
      <c r="G1121" s="258">
        <f t="shared" si="361"/>
        <v>0</v>
      </c>
      <c r="H1121" s="249">
        <f t="shared" si="362"/>
        <v>6.3732593846000524E-2</v>
      </c>
      <c r="I1121" s="336">
        <v>3.1921028983757836E-2</v>
      </c>
      <c r="J1121" s="258">
        <f t="shared" si="363"/>
        <v>3.1921028983757836E-2</v>
      </c>
      <c r="K1121" s="249">
        <f t="shared" si="364"/>
        <v>1.8228087161750295</v>
      </c>
      <c r="L1121" s="336">
        <v>0.91296974357369465</v>
      </c>
      <c r="M1121" s="258">
        <f t="shared" si="365"/>
        <v>0.91296974357369465</v>
      </c>
      <c r="N1121" s="251">
        <f t="shared" si="366"/>
        <v>0.10996996585192247</v>
      </c>
      <c r="O1121" s="336">
        <v>5.5079422560209597E-2</v>
      </c>
      <c r="P1121" s="258">
        <f t="shared" si="367"/>
        <v>5.5079422560209597E-2</v>
      </c>
      <c r="Q1121" s="354">
        <v>1.9506715116279068</v>
      </c>
      <c r="R1121" s="249">
        <f t="shared" si="368"/>
        <v>1.996570783430232</v>
      </c>
      <c r="S1121" s="355">
        <v>0.1</v>
      </c>
      <c r="T1121" s="355"/>
      <c r="U1121" s="315">
        <f t="shared" si="358"/>
        <v>2.1962278617732554</v>
      </c>
      <c r="V1121" s="315">
        <f t="shared" si="359"/>
        <v>3</v>
      </c>
      <c r="W1121" s="316">
        <f t="shared" si="370"/>
        <v>0</v>
      </c>
    </row>
    <row r="1122" spans="1:23" x14ac:dyDescent="0.25">
      <c r="A1122" s="204" t="s">
        <v>16769</v>
      </c>
      <c r="B1122" s="351" t="s">
        <v>20848</v>
      </c>
      <c r="C1122" s="352"/>
      <c r="D1122" s="353" t="s">
        <v>14859</v>
      </c>
      <c r="E1122" s="249">
        <f t="shared" si="360"/>
        <v>0</v>
      </c>
      <c r="F1122" s="336">
        <v>0</v>
      </c>
      <c r="G1122" s="258">
        <f t="shared" si="361"/>
        <v>0</v>
      </c>
      <c r="H1122" s="249">
        <f t="shared" si="362"/>
        <v>10.962333172454031</v>
      </c>
      <c r="I1122" s="336">
        <v>3.1921028983757836E-2</v>
      </c>
      <c r="J1122" s="258">
        <f t="shared" si="363"/>
        <v>3.1921028983757836E-2</v>
      </c>
      <c r="K1122" s="249">
        <f t="shared" si="364"/>
        <v>313.54268816233116</v>
      </c>
      <c r="L1122" s="336">
        <v>0.91299954845603259</v>
      </c>
      <c r="M1122" s="258">
        <f t="shared" si="365"/>
        <v>0.91299954845603259</v>
      </c>
      <c r="N1122" s="251">
        <f t="shared" si="366"/>
        <v>18.915398415214796</v>
      </c>
      <c r="O1122" s="336">
        <v>5.507942256020959E-2</v>
      </c>
      <c r="P1122" s="258">
        <f t="shared" si="367"/>
        <v>5.507942256020959E-2</v>
      </c>
      <c r="Q1122" s="354">
        <v>335.51549999999997</v>
      </c>
      <c r="R1122" s="249">
        <f t="shared" si="368"/>
        <v>343.42041974999995</v>
      </c>
      <c r="S1122" s="355">
        <v>0.1</v>
      </c>
      <c r="T1122" s="355"/>
      <c r="U1122" s="315">
        <f t="shared" si="358"/>
        <v>377.76246172499992</v>
      </c>
      <c r="V1122" s="315">
        <f t="shared" si="359"/>
        <v>380</v>
      </c>
      <c r="W1122" s="316">
        <f t="shared" si="370"/>
        <v>0</v>
      </c>
    </row>
    <row r="1123" spans="1:23" x14ac:dyDescent="0.25">
      <c r="A1123" s="204" t="s">
        <v>16770</v>
      </c>
      <c r="B1123" s="351" t="s">
        <v>20849</v>
      </c>
      <c r="C1123" s="352"/>
      <c r="D1123" s="353" t="s">
        <v>5</v>
      </c>
      <c r="E1123" s="249">
        <f t="shared" si="360"/>
        <v>0</v>
      </c>
      <c r="F1123" s="336">
        <v>0</v>
      </c>
      <c r="G1123" s="258">
        <f t="shared" si="361"/>
        <v>0</v>
      </c>
      <c r="H1123" s="249">
        <f t="shared" si="362"/>
        <v>6.3732593846000524E-2</v>
      </c>
      <c r="I1123" s="336">
        <v>3.1921028983757836E-2</v>
      </c>
      <c r="J1123" s="258">
        <f t="shared" si="363"/>
        <v>3.1921028983757836E-2</v>
      </c>
      <c r="K1123" s="249">
        <f t="shared" si="364"/>
        <v>1.8228087161750295</v>
      </c>
      <c r="L1123" s="336">
        <v>0.91296974357369465</v>
      </c>
      <c r="M1123" s="258">
        <f t="shared" si="365"/>
        <v>0.91296974357369465</v>
      </c>
      <c r="N1123" s="251">
        <f t="shared" si="366"/>
        <v>0.10996996585192247</v>
      </c>
      <c r="O1123" s="336">
        <v>5.5079422560209597E-2</v>
      </c>
      <c r="P1123" s="258">
        <f t="shared" si="367"/>
        <v>5.5079422560209597E-2</v>
      </c>
      <c r="Q1123" s="354">
        <v>1.9506715116279068</v>
      </c>
      <c r="R1123" s="249">
        <f t="shared" si="368"/>
        <v>1.996570783430232</v>
      </c>
      <c r="S1123" s="355">
        <v>0.1</v>
      </c>
      <c r="T1123" s="355"/>
      <c r="U1123" s="315">
        <f t="shared" si="358"/>
        <v>2.1962278617732554</v>
      </c>
      <c r="V1123" s="315">
        <f t="shared" si="359"/>
        <v>3</v>
      </c>
      <c r="W1123" s="316">
        <f t="shared" si="370"/>
        <v>0</v>
      </c>
    </row>
    <row r="1124" spans="1:23" x14ac:dyDescent="0.25">
      <c r="A1124" s="204" t="s">
        <v>16771</v>
      </c>
      <c r="B1124" s="351" t="s">
        <v>20850</v>
      </c>
      <c r="C1124" s="352"/>
      <c r="D1124" s="353" t="s">
        <v>14859</v>
      </c>
      <c r="E1124" s="249">
        <f t="shared" si="360"/>
        <v>0</v>
      </c>
      <c r="F1124" s="336">
        <v>0</v>
      </c>
      <c r="G1124" s="258">
        <f t="shared" si="361"/>
        <v>0</v>
      </c>
      <c r="H1124" s="249">
        <f t="shared" si="362"/>
        <v>10.962660152471994</v>
      </c>
      <c r="I1124" s="336">
        <v>3.0883688740862499E-2</v>
      </c>
      <c r="J1124" s="258">
        <f t="shared" si="363"/>
        <v>3.0883688740862499E-2</v>
      </c>
      <c r="K1124" s="249">
        <f t="shared" si="364"/>
        <v>325.0873997314979</v>
      </c>
      <c r="L1124" s="336">
        <v>0.91582680911804148</v>
      </c>
      <c r="M1124" s="258">
        <f t="shared" si="365"/>
        <v>0.91582680911804148</v>
      </c>
      <c r="N1124" s="251">
        <f t="shared" si="366"/>
        <v>18.915962616030104</v>
      </c>
      <c r="O1124" s="336">
        <v>5.3289502141096075E-2</v>
      </c>
      <c r="P1124" s="258">
        <f t="shared" si="367"/>
        <v>5.3289502141096075E-2</v>
      </c>
      <c r="Q1124" s="354">
        <v>346.78499999999997</v>
      </c>
      <c r="R1124" s="249">
        <f t="shared" si="368"/>
        <v>354.96602249999995</v>
      </c>
      <c r="S1124" s="355">
        <v>0.1</v>
      </c>
      <c r="T1124" s="355"/>
      <c r="U1124" s="315">
        <f t="shared" si="358"/>
        <v>390.46262474999992</v>
      </c>
      <c r="V1124" s="315">
        <f t="shared" si="359"/>
        <v>395</v>
      </c>
      <c r="W1124" s="316">
        <f t="shared" si="370"/>
        <v>0</v>
      </c>
    </row>
    <row r="1125" spans="1:23" x14ac:dyDescent="0.25">
      <c r="A1125" s="204" t="s">
        <v>16772</v>
      </c>
      <c r="B1125" s="351" t="s">
        <v>20851</v>
      </c>
      <c r="C1125" s="352"/>
      <c r="D1125" s="353" t="s">
        <v>5</v>
      </c>
      <c r="E1125" s="249">
        <f t="shared" si="360"/>
        <v>0</v>
      </c>
      <c r="F1125" s="336">
        <v>0</v>
      </c>
      <c r="G1125" s="258">
        <f t="shared" si="361"/>
        <v>0</v>
      </c>
      <c r="H1125" s="249">
        <f t="shared" si="362"/>
        <v>6.3734556680702575E-2</v>
      </c>
      <c r="I1125" s="336">
        <v>3.0883688740862499E-2</v>
      </c>
      <c r="J1125" s="258">
        <f t="shared" si="363"/>
        <v>3.0883688740862499E-2</v>
      </c>
      <c r="K1125" s="249">
        <f t="shared" si="364"/>
        <v>1.8899289620393014</v>
      </c>
      <c r="L1125" s="336">
        <v>0.91579797280735886</v>
      </c>
      <c r="M1125" s="258">
        <f t="shared" si="365"/>
        <v>0.91579797280735886</v>
      </c>
      <c r="N1125" s="251">
        <f t="shared" si="366"/>
        <v>0.10997335270395737</v>
      </c>
      <c r="O1125" s="336">
        <v>5.3289502141096075E-2</v>
      </c>
      <c r="P1125" s="258">
        <f t="shared" si="367"/>
        <v>5.3289502141096075E-2</v>
      </c>
      <c r="Q1125" s="354">
        <v>2.0161918604651161</v>
      </c>
      <c r="R1125" s="249">
        <f t="shared" si="368"/>
        <v>2.063696380813953</v>
      </c>
      <c r="S1125" s="355">
        <v>0.1</v>
      </c>
      <c r="T1125" s="355"/>
      <c r="U1125" s="315">
        <f t="shared" si="358"/>
        <v>2.2700660188953483</v>
      </c>
      <c r="V1125" s="315">
        <f t="shared" si="359"/>
        <v>3</v>
      </c>
      <c r="W1125" s="316">
        <f t="shared" si="370"/>
        <v>0</v>
      </c>
    </row>
    <row r="1126" spans="1:23" x14ac:dyDescent="0.25">
      <c r="A1126" s="204" t="s">
        <v>16773</v>
      </c>
      <c r="B1126" s="351" t="s">
        <v>20852</v>
      </c>
      <c r="C1126" s="352"/>
      <c r="D1126" s="353" t="s">
        <v>14859</v>
      </c>
      <c r="E1126" s="249">
        <f t="shared" si="360"/>
        <v>0</v>
      </c>
      <c r="F1126" s="336">
        <v>0</v>
      </c>
      <c r="G1126" s="258">
        <f t="shared" si="361"/>
        <v>0</v>
      </c>
      <c r="H1126" s="249">
        <f t="shared" si="362"/>
        <v>10.963073238863462</v>
      </c>
      <c r="I1126" s="336">
        <v>2.9573177045581631E-2</v>
      </c>
      <c r="J1126" s="258">
        <f t="shared" si="363"/>
        <v>2.9573177045581631E-2</v>
      </c>
      <c r="K1126" s="249">
        <f t="shared" si="364"/>
        <v>340.83027761858773</v>
      </c>
      <c r="L1126" s="336">
        <v>0.91939859589537554</v>
      </c>
      <c r="M1126" s="258">
        <f t="shared" si="365"/>
        <v>0.91939859589537554</v>
      </c>
      <c r="N1126" s="251">
        <f t="shared" si="366"/>
        <v>18.916675392548719</v>
      </c>
      <c r="O1126" s="336">
        <v>5.1028227059042815E-2</v>
      </c>
      <c r="P1126" s="258">
        <f t="shared" si="367"/>
        <v>5.1028227059042815E-2</v>
      </c>
      <c r="Q1126" s="354">
        <v>362.15249999999997</v>
      </c>
      <c r="R1126" s="249">
        <f t="shared" si="368"/>
        <v>370.71002624999994</v>
      </c>
      <c r="S1126" s="355">
        <v>0.1</v>
      </c>
      <c r="T1126" s="355"/>
      <c r="U1126" s="315">
        <f t="shared" ref="U1126:U1189" si="371">(R1126*S1126)+R1126</f>
        <v>407.78102887499995</v>
      </c>
      <c r="V1126" s="315">
        <f t="shared" ref="V1126:V1189" si="372">IF(U1126=0, 0, IF(U1126&lt;10, _xlfn.CEILING.MATH(U1126,1), IF(U1126&lt;100, _xlfn.CEILING.MATH(U1126,1),IF(U1126&lt;1000, _xlfn.CEILING.MATH(U1126,5), IF(U1126&lt;10000, _xlfn.CEILING.MATH(U1126, 25), IF(U1126&lt;100000, _xlfn.CEILING.MATH(U1126,250), IF(U1126&lt;1000000, _xlfn.CEILING.MATH(U1126,500), 0)))))))</f>
        <v>410</v>
      </c>
      <c r="W1126" s="316">
        <f t="shared" si="370"/>
        <v>0</v>
      </c>
    </row>
    <row r="1127" spans="1:23" x14ac:dyDescent="0.25">
      <c r="A1127" s="204" t="s">
        <v>16774</v>
      </c>
      <c r="B1127" s="351" t="s">
        <v>20853</v>
      </c>
      <c r="C1127" s="352"/>
      <c r="D1127" s="353" t="s">
        <v>5</v>
      </c>
      <c r="E1127" s="249">
        <f t="shared" si="360"/>
        <v>0</v>
      </c>
      <c r="F1127" s="336">
        <v>0</v>
      </c>
      <c r="G1127" s="258">
        <f t="shared" si="361"/>
        <v>0</v>
      </c>
      <c r="H1127" s="249">
        <f t="shared" si="362"/>
        <v>6.3737036405026926E-2</v>
      </c>
      <c r="I1127" s="336">
        <v>2.9573177045581628E-2</v>
      </c>
      <c r="J1127" s="258">
        <f t="shared" si="363"/>
        <v>2.9573177045581628E-2</v>
      </c>
      <c r="K1127" s="249">
        <f t="shared" si="364"/>
        <v>1.9814571067828874</v>
      </c>
      <c r="L1127" s="336">
        <v>0.91937098321839561</v>
      </c>
      <c r="M1127" s="258">
        <f t="shared" si="365"/>
        <v>0.91937098321839561</v>
      </c>
      <c r="N1127" s="251">
        <f t="shared" si="366"/>
        <v>0.10997763144396802</v>
      </c>
      <c r="O1127" s="336">
        <v>5.1028227059042808E-2</v>
      </c>
      <c r="P1127" s="258">
        <f t="shared" si="367"/>
        <v>5.1028227059042808E-2</v>
      </c>
      <c r="Q1127" s="354">
        <v>2.1055377906976744</v>
      </c>
      <c r="R1127" s="249">
        <f t="shared" si="368"/>
        <v>2.1552312863372092</v>
      </c>
      <c r="S1127" s="355">
        <v>0.1</v>
      </c>
      <c r="T1127" s="355"/>
      <c r="U1127" s="315">
        <f t="shared" si="371"/>
        <v>2.3707544149709303</v>
      </c>
      <c r="V1127" s="315">
        <f t="shared" si="372"/>
        <v>3</v>
      </c>
      <c r="W1127" s="316">
        <f t="shared" si="370"/>
        <v>0</v>
      </c>
    </row>
    <row r="1128" spans="1:23" x14ac:dyDescent="0.25">
      <c r="A1128" s="204" t="s">
        <v>16775</v>
      </c>
      <c r="B1128" s="351" t="s">
        <v>20854</v>
      </c>
      <c r="C1128" s="352"/>
      <c r="D1128" s="353" t="s">
        <v>14859</v>
      </c>
      <c r="E1128" s="249">
        <f t="shared" si="360"/>
        <v>0</v>
      </c>
      <c r="F1128" s="336">
        <v>0</v>
      </c>
      <c r="G1128" s="258">
        <f t="shared" si="361"/>
        <v>0</v>
      </c>
      <c r="H1128" s="249">
        <f t="shared" si="362"/>
        <v>10.963476896316022</v>
      </c>
      <c r="I1128" s="336">
        <v>2.8292578547568389E-2</v>
      </c>
      <c r="J1128" s="258">
        <f t="shared" si="363"/>
        <v>2.8292578547568389E-2</v>
      </c>
      <c r="K1128" s="249">
        <f t="shared" si="364"/>
        <v>357.62278145415826</v>
      </c>
      <c r="L1128" s="336">
        <v>0.92288885454682346</v>
      </c>
      <c r="M1128" s="258">
        <f t="shared" si="365"/>
        <v>0.92288885454682346</v>
      </c>
      <c r="N1128" s="251">
        <f t="shared" si="366"/>
        <v>18.917371899525683</v>
      </c>
      <c r="O1128" s="336">
        <v>4.8818566905608193E-2</v>
      </c>
      <c r="P1128" s="258">
        <f t="shared" si="367"/>
        <v>4.8818566905608193E-2</v>
      </c>
      <c r="Q1128" s="354">
        <v>378.54449999999997</v>
      </c>
      <c r="R1128" s="249">
        <f t="shared" si="368"/>
        <v>387.50363024999996</v>
      </c>
      <c r="S1128" s="355">
        <v>0.1</v>
      </c>
      <c r="T1128" s="355"/>
      <c r="U1128" s="315">
        <f t="shared" si="371"/>
        <v>426.25399327499997</v>
      </c>
      <c r="V1128" s="315">
        <f t="shared" si="372"/>
        <v>430</v>
      </c>
      <c r="W1128" s="316">
        <f t="shared" si="370"/>
        <v>0</v>
      </c>
    </row>
    <row r="1129" spans="1:23" x14ac:dyDescent="0.25">
      <c r="A1129" s="204" t="s">
        <v>16776</v>
      </c>
      <c r="B1129" s="351" t="s">
        <v>20855</v>
      </c>
      <c r="C1129" s="352"/>
      <c r="D1129" s="353" t="s">
        <v>5</v>
      </c>
      <c r="E1129" s="249">
        <f t="shared" si="360"/>
        <v>0</v>
      </c>
      <c r="F1129" s="336">
        <v>0</v>
      </c>
      <c r="G1129" s="258">
        <f t="shared" si="361"/>
        <v>0</v>
      </c>
      <c r="H1129" s="249">
        <f t="shared" si="362"/>
        <v>6.3739459528190712E-2</v>
      </c>
      <c r="I1129" s="336">
        <v>2.8292578547568392E-2</v>
      </c>
      <c r="J1129" s="258">
        <f t="shared" si="363"/>
        <v>2.8292578547568392E-2</v>
      </c>
      <c r="K1129" s="249">
        <f t="shared" si="364"/>
        <v>2.0790877328801129</v>
      </c>
      <c r="L1129" s="336">
        <v>0.92286243757338959</v>
      </c>
      <c r="M1129" s="258">
        <f t="shared" si="365"/>
        <v>0.92286243757338959</v>
      </c>
      <c r="N1129" s="251">
        <f t="shared" si="366"/>
        <v>0.10998181251923102</v>
      </c>
      <c r="O1129" s="336">
        <v>4.88185669056082E-2</v>
      </c>
      <c r="P1129" s="258">
        <f t="shared" si="367"/>
        <v>4.88185669056082E-2</v>
      </c>
      <c r="Q1129" s="354">
        <v>2.2008401162790694</v>
      </c>
      <c r="R1129" s="249">
        <f t="shared" si="368"/>
        <v>2.2528685188953483</v>
      </c>
      <c r="S1129" s="355">
        <v>0.1</v>
      </c>
      <c r="T1129" s="355"/>
      <c r="U1129" s="315">
        <f t="shared" si="371"/>
        <v>2.4781553707848833</v>
      </c>
      <c r="V1129" s="315">
        <f t="shared" si="372"/>
        <v>3</v>
      </c>
      <c r="W1129" s="316">
        <f t="shared" si="370"/>
        <v>0</v>
      </c>
    </row>
    <row r="1130" spans="1:23" x14ac:dyDescent="0.25">
      <c r="A1130" s="204" t="s">
        <v>16777</v>
      </c>
      <c r="B1130" s="351" t="s">
        <v>20856</v>
      </c>
      <c r="C1130" s="352"/>
      <c r="D1130" s="353" t="s">
        <v>14859</v>
      </c>
      <c r="E1130" s="249">
        <f t="shared" si="360"/>
        <v>0</v>
      </c>
      <c r="F1130" s="336">
        <v>0</v>
      </c>
      <c r="G1130" s="258">
        <f t="shared" si="361"/>
        <v>0</v>
      </c>
      <c r="H1130" s="249">
        <f t="shared" si="362"/>
        <v>10.964845794300359</v>
      </c>
      <c r="I1130" s="336">
        <v>2.3949765869235622E-2</v>
      </c>
      <c r="J1130" s="258">
        <f t="shared" si="363"/>
        <v>2.3949765869235622E-2</v>
      </c>
      <c r="K1130" s="249">
        <f t="shared" si="364"/>
        <v>427.94226728612256</v>
      </c>
      <c r="L1130" s="336">
        <v>0.93472514792502448</v>
      </c>
      <c r="M1130" s="258">
        <f t="shared" si="365"/>
        <v>0.93472514792502448</v>
      </c>
      <c r="N1130" s="251">
        <f t="shared" si="366"/>
        <v>18.919733919577087</v>
      </c>
      <c r="O1130" s="336">
        <v>4.1325086205739894E-2</v>
      </c>
      <c r="P1130" s="258">
        <f t="shared" si="367"/>
        <v>4.1325086205739894E-2</v>
      </c>
      <c r="Q1130" s="354">
        <v>447.18599999999998</v>
      </c>
      <c r="R1130" s="249">
        <f t="shared" si="368"/>
        <v>457.82684699999999</v>
      </c>
      <c r="S1130" s="355">
        <v>0.1</v>
      </c>
      <c r="T1130" s="355"/>
      <c r="U1130" s="315">
        <f t="shared" si="371"/>
        <v>503.60953169999999</v>
      </c>
      <c r="V1130" s="315">
        <f t="shared" si="372"/>
        <v>505</v>
      </c>
      <c r="W1130" s="316">
        <f t="shared" si="370"/>
        <v>0</v>
      </c>
    </row>
    <row r="1131" spans="1:23" x14ac:dyDescent="0.25">
      <c r="A1131" s="204" t="s">
        <v>16778</v>
      </c>
      <c r="B1131" s="351" t="s">
        <v>20857</v>
      </c>
      <c r="C1131" s="352"/>
      <c r="D1131" s="353" t="s">
        <v>5</v>
      </c>
      <c r="E1131" s="249">
        <f t="shared" si="360"/>
        <v>0</v>
      </c>
      <c r="F1131" s="336">
        <v>0</v>
      </c>
      <c r="G1131" s="258">
        <f t="shared" si="361"/>
        <v>0</v>
      </c>
      <c r="H1131" s="249">
        <f t="shared" si="362"/>
        <v>6.3747676912494347E-2</v>
      </c>
      <c r="I1131" s="336">
        <v>2.3949765869235622E-2</v>
      </c>
      <c r="J1131" s="258">
        <f t="shared" si="363"/>
        <v>2.3949765869235622E-2</v>
      </c>
      <c r="K1131" s="249">
        <f t="shared" si="364"/>
        <v>2.4879212401443374</v>
      </c>
      <c r="L1131" s="336">
        <v>0.93470278586538924</v>
      </c>
      <c r="M1131" s="258">
        <f t="shared" si="365"/>
        <v>0.93470278586538924</v>
      </c>
      <c r="N1131" s="251">
        <f t="shared" si="366"/>
        <v>0.10999599153528435</v>
      </c>
      <c r="O1131" s="336">
        <v>4.1325086205739894E-2</v>
      </c>
      <c r="P1131" s="258">
        <f t="shared" si="367"/>
        <v>4.1325086205739894E-2</v>
      </c>
      <c r="Q1131" s="354">
        <v>2.5999186046511626</v>
      </c>
      <c r="R1131" s="249">
        <f t="shared" si="368"/>
        <v>2.6617244302325576</v>
      </c>
      <c r="S1131" s="355">
        <v>0.1</v>
      </c>
      <c r="T1131" s="355"/>
      <c r="U1131" s="315">
        <f t="shared" si="371"/>
        <v>2.9278968732558135</v>
      </c>
      <c r="V1131" s="315">
        <f t="shared" si="372"/>
        <v>3</v>
      </c>
      <c r="W1131" s="316">
        <f t="shared" si="370"/>
        <v>0</v>
      </c>
    </row>
    <row r="1132" spans="1:23" x14ac:dyDescent="0.25">
      <c r="A1132" s="204" t="s">
        <v>16779</v>
      </c>
      <c r="B1132" s="351" t="s">
        <v>20858</v>
      </c>
      <c r="C1132" s="352"/>
      <c r="D1132" s="353" t="s">
        <v>14859</v>
      </c>
      <c r="E1132" s="249">
        <f t="shared" si="360"/>
        <v>0</v>
      </c>
      <c r="F1132" s="336">
        <v>0</v>
      </c>
      <c r="G1132" s="258">
        <f t="shared" si="361"/>
        <v>0</v>
      </c>
      <c r="H1132" s="249">
        <f t="shared" si="362"/>
        <v>10.965420981680259</v>
      </c>
      <c r="I1132" s="336">
        <v>2.2124990703785419E-2</v>
      </c>
      <c r="J1132" s="258">
        <f t="shared" si="363"/>
        <v>2.2124990703785419E-2</v>
      </c>
      <c r="K1132" s="249">
        <f t="shared" si="364"/>
        <v>465.72630861855765</v>
      </c>
      <c r="L1132" s="336">
        <v>0.93969855474850639</v>
      </c>
      <c r="M1132" s="258">
        <f t="shared" si="365"/>
        <v>0.93969855474850639</v>
      </c>
      <c r="N1132" s="251">
        <f t="shared" si="366"/>
        <v>18.920726399762017</v>
      </c>
      <c r="O1132" s="336">
        <v>3.8176454547708176E-2</v>
      </c>
      <c r="P1132" s="258">
        <f t="shared" si="367"/>
        <v>3.8176454547708176E-2</v>
      </c>
      <c r="Q1132" s="354">
        <v>484.06799999999998</v>
      </c>
      <c r="R1132" s="249">
        <f t="shared" si="368"/>
        <v>495.61245599999995</v>
      </c>
      <c r="S1132" s="355">
        <v>0.1</v>
      </c>
      <c r="T1132" s="355"/>
      <c r="U1132" s="315">
        <f t="shared" si="371"/>
        <v>545.17370159999996</v>
      </c>
      <c r="V1132" s="315">
        <f t="shared" si="372"/>
        <v>550</v>
      </c>
      <c r="W1132" s="316">
        <f t="shared" si="370"/>
        <v>0</v>
      </c>
    </row>
    <row r="1133" spans="1:23" x14ac:dyDescent="0.25">
      <c r="A1133" s="204" t="s">
        <v>16780</v>
      </c>
      <c r="B1133" s="351" t="s">
        <v>20859</v>
      </c>
      <c r="C1133" s="352"/>
      <c r="D1133" s="353" t="s">
        <v>5</v>
      </c>
      <c r="E1133" s="249">
        <f t="shared" si="360"/>
        <v>0</v>
      </c>
      <c r="F1133" s="336">
        <v>0</v>
      </c>
      <c r="G1133" s="258">
        <f t="shared" si="361"/>
        <v>0</v>
      </c>
      <c r="H1133" s="249">
        <f t="shared" si="362"/>
        <v>6.375112971599127E-2</v>
      </c>
      <c r="I1133" s="336">
        <v>2.2124990703785423E-2</v>
      </c>
      <c r="J1133" s="258">
        <f t="shared" si="363"/>
        <v>2.2124990703785423E-2</v>
      </c>
      <c r="K1133" s="249">
        <f t="shared" si="364"/>
        <v>2.7075955995941654</v>
      </c>
      <c r="L1133" s="336">
        <v>0.93967789649388089</v>
      </c>
      <c r="M1133" s="258">
        <f t="shared" si="365"/>
        <v>0.93967789649388089</v>
      </c>
      <c r="N1133" s="251">
        <f t="shared" si="366"/>
        <v>0.11000194931386728</v>
      </c>
      <c r="O1133" s="336">
        <v>3.8176454547708176E-2</v>
      </c>
      <c r="P1133" s="258">
        <f t="shared" si="367"/>
        <v>3.8176454547708176E-2</v>
      </c>
      <c r="Q1133" s="354">
        <v>2.8143488372093022</v>
      </c>
      <c r="R1133" s="249">
        <f t="shared" si="368"/>
        <v>2.8814082034883715</v>
      </c>
      <c r="S1133" s="355">
        <v>0.1</v>
      </c>
      <c r="T1133" s="355"/>
      <c r="U1133" s="315">
        <f t="shared" si="371"/>
        <v>3.1695490238372086</v>
      </c>
      <c r="V1133" s="315">
        <f t="shared" si="372"/>
        <v>4</v>
      </c>
      <c r="W1133" s="316">
        <f t="shared" si="370"/>
        <v>0</v>
      </c>
    </row>
    <row r="1134" spans="1:23" x14ac:dyDescent="0.25">
      <c r="A1134" s="204" t="s">
        <v>16781</v>
      </c>
      <c r="B1134" s="351" t="s">
        <v>20860</v>
      </c>
      <c r="C1134" s="352"/>
      <c r="D1134" s="353" t="s">
        <v>14859</v>
      </c>
      <c r="E1134" s="249">
        <f t="shared" si="360"/>
        <v>0</v>
      </c>
      <c r="F1134" s="336">
        <v>0</v>
      </c>
      <c r="G1134" s="258">
        <f t="shared" si="361"/>
        <v>0</v>
      </c>
      <c r="H1134" s="249">
        <f t="shared" si="362"/>
        <v>10.96549400928166</v>
      </c>
      <c r="I1134" s="336">
        <v>2.1893311501347636E-2</v>
      </c>
      <c r="J1134" s="258">
        <f t="shared" si="363"/>
        <v>2.1893311501347636E-2</v>
      </c>
      <c r="K1134" s="249">
        <f t="shared" si="364"/>
        <v>470.97411083254605</v>
      </c>
      <c r="L1134" s="336">
        <v>0.94032999414338592</v>
      </c>
      <c r="M1134" s="258">
        <f t="shared" si="365"/>
        <v>0.94032999414338592</v>
      </c>
      <c r="N1134" s="251">
        <f t="shared" si="366"/>
        <v>18.920852408172276</v>
      </c>
      <c r="O1134" s="336">
        <v>3.777669435526651E-2</v>
      </c>
      <c r="P1134" s="258">
        <f t="shared" si="367"/>
        <v>3.777669435526651E-2</v>
      </c>
      <c r="Q1134" s="354">
        <v>489.19049999999999</v>
      </c>
      <c r="R1134" s="249">
        <f t="shared" si="368"/>
        <v>500.86045724999997</v>
      </c>
      <c r="S1134" s="355">
        <v>0.1</v>
      </c>
      <c r="T1134" s="355"/>
      <c r="U1134" s="315">
        <f t="shared" si="371"/>
        <v>550.94650297499993</v>
      </c>
      <c r="V1134" s="315">
        <f t="shared" si="372"/>
        <v>555</v>
      </c>
      <c r="W1134" s="316">
        <f t="shared" si="370"/>
        <v>0</v>
      </c>
    </row>
    <row r="1135" spans="1:23" x14ac:dyDescent="0.25">
      <c r="A1135" s="204" t="s">
        <v>16782</v>
      </c>
      <c r="B1135" s="351" t="s">
        <v>20861</v>
      </c>
      <c r="C1135" s="352"/>
      <c r="D1135" s="353" t="s">
        <v>5</v>
      </c>
      <c r="E1135" s="249">
        <f t="shared" si="360"/>
        <v>0</v>
      </c>
      <c r="F1135" s="336">
        <v>0</v>
      </c>
      <c r="G1135" s="258">
        <f t="shared" si="361"/>
        <v>0</v>
      </c>
      <c r="H1135" s="249">
        <f t="shared" si="362"/>
        <v>6.3751568094798428E-2</v>
      </c>
      <c r="I1135" s="336">
        <v>2.1893311501347636E-2</v>
      </c>
      <c r="J1135" s="258">
        <f t="shared" si="363"/>
        <v>2.1893311501347636E-2</v>
      </c>
      <c r="K1135" s="249">
        <f t="shared" si="364"/>
        <v>2.7381060395621262</v>
      </c>
      <c r="L1135" s="336">
        <v>0.94030955220921086</v>
      </c>
      <c r="M1135" s="258">
        <f t="shared" si="365"/>
        <v>0.94030955220921086</v>
      </c>
      <c r="N1135" s="251">
        <f t="shared" si="366"/>
        <v>0.11000270573220118</v>
      </c>
      <c r="O1135" s="336">
        <v>3.7776694355266503E-2</v>
      </c>
      <c r="P1135" s="258">
        <f t="shared" si="367"/>
        <v>3.7776694355266503E-2</v>
      </c>
      <c r="Q1135" s="354">
        <v>2.8441308139534884</v>
      </c>
      <c r="R1135" s="249">
        <f t="shared" si="368"/>
        <v>2.9119198386627905</v>
      </c>
      <c r="S1135" s="355">
        <v>0.1</v>
      </c>
      <c r="T1135" s="355"/>
      <c r="U1135" s="315">
        <f t="shared" si="371"/>
        <v>3.2031118225290696</v>
      </c>
      <c r="V1135" s="315">
        <f t="shared" si="372"/>
        <v>4</v>
      </c>
      <c r="W1135" s="316">
        <f t="shared" si="370"/>
        <v>0</v>
      </c>
    </row>
    <row r="1136" spans="1:23" x14ac:dyDescent="0.25">
      <c r="A1136" s="204" t="s">
        <v>16783</v>
      </c>
      <c r="B1136" s="351" t="s">
        <v>20862</v>
      </c>
      <c r="C1136" s="352"/>
      <c r="D1136" s="353" t="s">
        <v>14859</v>
      </c>
      <c r="E1136" s="249">
        <f t="shared" si="360"/>
        <v>0</v>
      </c>
      <c r="F1136" s="336">
        <v>0</v>
      </c>
      <c r="G1136" s="258">
        <f t="shared" si="361"/>
        <v>0</v>
      </c>
      <c r="H1136" s="249">
        <f t="shared" si="362"/>
        <v>10.966171737279584</v>
      </c>
      <c r="I1136" s="336">
        <v>1.974322743700279E-2</v>
      </c>
      <c r="J1136" s="258">
        <f t="shared" si="363"/>
        <v>1.974322743700279E-2</v>
      </c>
      <c r="K1136" s="249">
        <f t="shared" si="364"/>
        <v>525.55147669153212</v>
      </c>
      <c r="L1136" s="336">
        <v>0.94619002718150214</v>
      </c>
      <c r="M1136" s="258">
        <f t="shared" si="365"/>
        <v>0.94619002718150214</v>
      </c>
      <c r="N1136" s="251">
        <f t="shared" si="366"/>
        <v>18.922021821188302</v>
      </c>
      <c r="O1136" s="336">
        <v>3.4066745381495012E-2</v>
      </c>
      <c r="P1136" s="258">
        <f t="shared" si="367"/>
        <v>3.4066745381495012E-2</v>
      </c>
      <c r="Q1136" s="354">
        <v>542.46450000000004</v>
      </c>
      <c r="R1136" s="249">
        <f t="shared" si="368"/>
        <v>555.43967025000006</v>
      </c>
      <c r="S1136" s="355">
        <v>0.1</v>
      </c>
      <c r="T1136" s="355"/>
      <c r="U1136" s="315">
        <f t="shared" si="371"/>
        <v>610.98363727500009</v>
      </c>
      <c r="V1136" s="315">
        <f t="shared" si="372"/>
        <v>615</v>
      </c>
      <c r="W1136" s="316">
        <f t="shared" si="370"/>
        <v>0</v>
      </c>
    </row>
    <row r="1137" spans="1:23" x14ac:dyDescent="0.25">
      <c r="A1137" s="204" t="s">
        <v>16784</v>
      </c>
      <c r="B1137" s="351" t="s">
        <v>20863</v>
      </c>
      <c r="C1137" s="352"/>
      <c r="D1137" s="353" t="s">
        <v>5</v>
      </c>
      <c r="E1137" s="249">
        <f t="shared" si="360"/>
        <v>0</v>
      </c>
      <c r="F1137" s="336">
        <v>0</v>
      </c>
      <c r="G1137" s="258">
        <f t="shared" si="361"/>
        <v>0</v>
      </c>
      <c r="H1137" s="249">
        <f t="shared" si="362"/>
        <v>6.3755636441363311E-2</v>
      </c>
      <c r="I1137" s="336">
        <v>1.974322743700279E-2</v>
      </c>
      <c r="J1137" s="258">
        <f t="shared" si="363"/>
        <v>1.974322743700279E-2</v>
      </c>
      <c r="K1137" s="249">
        <f t="shared" si="364"/>
        <v>3.0554159533387595</v>
      </c>
      <c r="L1137" s="336">
        <v>0.94617159279547314</v>
      </c>
      <c r="M1137" s="258">
        <f t="shared" si="365"/>
        <v>0.94617159279547314</v>
      </c>
      <c r="N1137" s="251">
        <f t="shared" si="366"/>
        <v>0.11000972562431317</v>
      </c>
      <c r="O1137" s="336">
        <v>3.4066745381495012E-2</v>
      </c>
      <c r="P1137" s="258">
        <f t="shared" si="367"/>
        <v>3.4066745381495012E-2</v>
      </c>
      <c r="Q1137" s="354">
        <v>3.1538633720930234</v>
      </c>
      <c r="R1137" s="249">
        <f t="shared" si="368"/>
        <v>3.229240844476744</v>
      </c>
      <c r="S1137" s="355">
        <v>0.1</v>
      </c>
      <c r="T1137" s="355"/>
      <c r="U1137" s="315">
        <f t="shared" si="371"/>
        <v>3.5521649289244186</v>
      </c>
      <c r="V1137" s="315">
        <f t="shared" si="372"/>
        <v>4</v>
      </c>
      <c r="W1137" s="316">
        <f t="shared" si="370"/>
        <v>0</v>
      </c>
    </row>
    <row r="1138" spans="1:23" x14ac:dyDescent="0.25">
      <c r="A1138" s="204" t="s">
        <v>16785</v>
      </c>
      <c r="B1138" s="351" t="s">
        <v>20864</v>
      </c>
      <c r="C1138" s="352"/>
      <c r="D1138" s="353" t="s">
        <v>14859</v>
      </c>
      <c r="E1138" s="249">
        <f t="shared" si="360"/>
        <v>0</v>
      </c>
      <c r="F1138" s="336">
        <v>0</v>
      </c>
      <c r="G1138" s="258">
        <f t="shared" si="361"/>
        <v>0</v>
      </c>
      <c r="H1138" s="249">
        <f t="shared" si="362"/>
        <v>10.966171737279584</v>
      </c>
      <c r="I1138" s="336">
        <v>1.974322743700279E-2</v>
      </c>
      <c r="J1138" s="258">
        <f t="shared" si="363"/>
        <v>1.974322743700279E-2</v>
      </c>
      <c r="K1138" s="249">
        <f t="shared" si="364"/>
        <v>525.55147669153212</v>
      </c>
      <c r="L1138" s="336">
        <v>0.94619002718150214</v>
      </c>
      <c r="M1138" s="258">
        <f t="shared" si="365"/>
        <v>0.94619002718150214</v>
      </c>
      <c r="N1138" s="251">
        <f t="shared" si="366"/>
        <v>18.922021821188302</v>
      </c>
      <c r="O1138" s="336">
        <v>3.4066745381495012E-2</v>
      </c>
      <c r="P1138" s="258">
        <f t="shared" si="367"/>
        <v>3.4066745381495012E-2</v>
      </c>
      <c r="Q1138" s="354">
        <v>542.46450000000004</v>
      </c>
      <c r="R1138" s="249">
        <f t="shared" si="368"/>
        <v>555.43967025000006</v>
      </c>
      <c r="S1138" s="355">
        <v>0.1</v>
      </c>
      <c r="T1138" s="355"/>
      <c r="U1138" s="315">
        <f t="shared" si="371"/>
        <v>610.98363727500009</v>
      </c>
      <c r="V1138" s="315">
        <f t="shared" si="372"/>
        <v>615</v>
      </c>
      <c r="W1138" s="316">
        <f t="shared" si="370"/>
        <v>0</v>
      </c>
    </row>
    <row r="1139" spans="1:23" x14ac:dyDescent="0.25">
      <c r="A1139" s="204" t="s">
        <v>16786</v>
      </c>
      <c r="B1139" s="351" t="s">
        <v>20865</v>
      </c>
      <c r="C1139" s="352"/>
      <c r="D1139" s="353" t="s">
        <v>5</v>
      </c>
      <c r="E1139" s="249">
        <f t="shared" si="360"/>
        <v>0</v>
      </c>
      <c r="F1139" s="336">
        <v>0</v>
      </c>
      <c r="G1139" s="258">
        <f t="shared" si="361"/>
        <v>0</v>
      </c>
      <c r="H1139" s="249">
        <f t="shared" si="362"/>
        <v>6.3755636441363311E-2</v>
      </c>
      <c r="I1139" s="336">
        <v>1.974322743700279E-2</v>
      </c>
      <c r="J1139" s="258">
        <f t="shared" si="363"/>
        <v>1.974322743700279E-2</v>
      </c>
      <c r="K1139" s="249">
        <f t="shared" si="364"/>
        <v>3.0554159533387595</v>
      </c>
      <c r="L1139" s="336">
        <v>0.94617159279547314</v>
      </c>
      <c r="M1139" s="258">
        <f t="shared" si="365"/>
        <v>0.94617159279547314</v>
      </c>
      <c r="N1139" s="251">
        <f t="shared" si="366"/>
        <v>0.11000972562431317</v>
      </c>
      <c r="O1139" s="336">
        <v>3.4066745381495012E-2</v>
      </c>
      <c r="P1139" s="258">
        <f t="shared" si="367"/>
        <v>3.4066745381495012E-2</v>
      </c>
      <c r="Q1139" s="354">
        <v>3.1538633720930234</v>
      </c>
      <c r="R1139" s="249">
        <f t="shared" si="368"/>
        <v>3.229240844476744</v>
      </c>
      <c r="S1139" s="355">
        <v>0.1</v>
      </c>
      <c r="T1139" s="355"/>
      <c r="U1139" s="315">
        <f t="shared" si="371"/>
        <v>3.5521649289244186</v>
      </c>
      <c r="V1139" s="315">
        <f t="shared" si="372"/>
        <v>4</v>
      </c>
      <c r="W1139" s="316">
        <f t="shared" si="370"/>
        <v>0</v>
      </c>
    </row>
    <row r="1140" spans="1:23" x14ac:dyDescent="0.25">
      <c r="A1140" s="204" t="s">
        <v>16787</v>
      </c>
      <c r="B1140" s="351" t="s">
        <v>20866</v>
      </c>
      <c r="C1140" s="352"/>
      <c r="D1140" s="353" t="s">
        <v>14859</v>
      </c>
      <c r="E1140" s="249">
        <f t="shared" si="360"/>
        <v>0</v>
      </c>
      <c r="F1140" s="336">
        <v>0</v>
      </c>
      <c r="G1140" s="258">
        <f t="shared" si="361"/>
        <v>0</v>
      </c>
      <c r="H1140" s="249">
        <f t="shared" si="362"/>
        <v>10.966698866265091</v>
      </c>
      <c r="I1140" s="336">
        <v>1.8070916959833969E-2</v>
      </c>
      <c r="J1140" s="258">
        <f t="shared" si="363"/>
        <v>1.8070916959833969E-2</v>
      </c>
      <c r="K1140" s="249">
        <f t="shared" si="364"/>
        <v>576.9804522566501</v>
      </c>
      <c r="L1140" s="336">
        <v>0.95074789299182494</v>
      </c>
      <c r="M1140" s="258">
        <f t="shared" si="365"/>
        <v>0.95074789299182494</v>
      </c>
      <c r="N1140" s="251">
        <f t="shared" si="366"/>
        <v>18.922931377084861</v>
      </c>
      <c r="O1140" s="336">
        <v>3.1181190048340964E-2</v>
      </c>
      <c r="P1140" s="258">
        <f t="shared" si="367"/>
        <v>3.1181190048340964E-2</v>
      </c>
      <c r="Q1140" s="354">
        <v>592.66500000000008</v>
      </c>
      <c r="R1140" s="249">
        <f t="shared" si="368"/>
        <v>606.87008250000008</v>
      </c>
      <c r="S1140" s="355">
        <v>0.1</v>
      </c>
      <c r="T1140" s="355"/>
      <c r="U1140" s="315">
        <f t="shared" si="371"/>
        <v>667.55709075000004</v>
      </c>
      <c r="V1140" s="315">
        <f t="shared" si="372"/>
        <v>670</v>
      </c>
      <c r="W1140" s="316">
        <f t="shared" si="370"/>
        <v>0</v>
      </c>
    </row>
    <row r="1141" spans="1:23" x14ac:dyDescent="0.25">
      <c r="A1141" s="204" t="s">
        <v>16788</v>
      </c>
      <c r="B1141" s="351" t="s">
        <v>20867</v>
      </c>
      <c r="C1141" s="352"/>
      <c r="D1141" s="353" t="s">
        <v>5</v>
      </c>
      <c r="E1141" s="249">
        <f t="shared" si="360"/>
        <v>0</v>
      </c>
      <c r="F1141" s="336">
        <v>0</v>
      </c>
      <c r="G1141" s="258">
        <f t="shared" si="361"/>
        <v>0</v>
      </c>
      <c r="H1141" s="249">
        <f t="shared" si="362"/>
        <v>6.3758800754190909E-2</v>
      </c>
      <c r="I1141" s="336">
        <v>1.8070916959833969E-2</v>
      </c>
      <c r="J1141" s="258">
        <f t="shared" si="363"/>
        <v>1.8070916959833969E-2</v>
      </c>
      <c r="K1141" s="249">
        <f t="shared" si="364"/>
        <v>3.3544213507899334</v>
      </c>
      <c r="L1141" s="336">
        <v>0.9507310200534872</v>
      </c>
      <c r="M1141" s="258">
        <f t="shared" si="365"/>
        <v>0.9507310200534872</v>
      </c>
      <c r="N1141" s="251">
        <f t="shared" si="366"/>
        <v>0.11001518561507451</v>
      </c>
      <c r="O1141" s="336">
        <v>3.1181190048340964E-2</v>
      </c>
      <c r="P1141" s="258">
        <f t="shared" si="367"/>
        <v>3.1181190048340964E-2</v>
      </c>
      <c r="Q1141" s="354">
        <v>3.4457267441860471</v>
      </c>
      <c r="R1141" s="249">
        <f t="shared" si="368"/>
        <v>3.5282548691860467</v>
      </c>
      <c r="S1141" s="355">
        <v>0.1</v>
      </c>
      <c r="T1141" s="355"/>
      <c r="U1141" s="315">
        <f t="shared" si="371"/>
        <v>3.8810803561046514</v>
      </c>
      <c r="V1141" s="315">
        <f t="shared" si="372"/>
        <v>4</v>
      </c>
      <c r="W1141" s="316">
        <f t="shared" si="370"/>
        <v>0</v>
      </c>
    </row>
    <row r="1142" spans="1:23" x14ac:dyDescent="0.25">
      <c r="A1142" s="204" t="s">
        <v>16789</v>
      </c>
      <c r="B1142" s="351" t="s">
        <v>20868</v>
      </c>
      <c r="C1142" s="352"/>
      <c r="D1142" s="353" t="s">
        <v>14859</v>
      </c>
      <c r="E1142" s="249">
        <f t="shared" si="360"/>
        <v>0</v>
      </c>
      <c r="F1142" s="336">
        <v>0</v>
      </c>
      <c r="G1142" s="258">
        <f t="shared" si="361"/>
        <v>0</v>
      </c>
      <c r="H1142" s="249">
        <f t="shared" si="362"/>
        <v>10.96684283116034</v>
      </c>
      <c r="I1142" s="336">
        <v>1.7614190030960517E-2</v>
      </c>
      <c r="J1142" s="258">
        <f t="shared" si="363"/>
        <v>1.7614190030960517E-2</v>
      </c>
      <c r="K1142" s="249">
        <f t="shared" si="364"/>
        <v>592.72406363173934</v>
      </c>
      <c r="L1142" s="336">
        <v>0.95199269775875461</v>
      </c>
      <c r="M1142" s="258">
        <f t="shared" si="365"/>
        <v>0.95199269775875461</v>
      </c>
      <c r="N1142" s="251">
        <f t="shared" si="366"/>
        <v>18.923179787100192</v>
      </c>
      <c r="O1142" s="336">
        <v>3.039311221028481E-2</v>
      </c>
      <c r="P1142" s="258">
        <f t="shared" si="367"/>
        <v>3.039311221028481E-2</v>
      </c>
      <c r="Q1142" s="354">
        <v>608.03250000000003</v>
      </c>
      <c r="R1142" s="249">
        <f t="shared" si="368"/>
        <v>622.6140862499999</v>
      </c>
      <c r="S1142" s="355">
        <v>0.1</v>
      </c>
      <c r="T1142" s="355"/>
      <c r="U1142" s="315">
        <f t="shared" si="371"/>
        <v>684.87549487499984</v>
      </c>
      <c r="V1142" s="315">
        <f t="shared" si="372"/>
        <v>685</v>
      </c>
      <c r="W1142" s="316">
        <f t="shared" si="370"/>
        <v>0</v>
      </c>
    </row>
    <row r="1143" spans="1:23" x14ac:dyDescent="0.25">
      <c r="A1143" s="204" t="s">
        <v>16790</v>
      </c>
      <c r="B1143" s="351" t="s">
        <v>20869</v>
      </c>
      <c r="C1143" s="352"/>
      <c r="D1143" s="353" t="s">
        <v>5</v>
      </c>
      <c r="E1143" s="249">
        <f t="shared" si="360"/>
        <v>0</v>
      </c>
      <c r="F1143" s="336">
        <v>0</v>
      </c>
      <c r="G1143" s="258">
        <f t="shared" si="361"/>
        <v>0</v>
      </c>
      <c r="H1143" s="249">
        <f t="shared" si="362"/>
        <v>6.3759664963857404E-2</v>
      </c>
      <c r="I1143" s="336">
        <v>1.7614190030960517E-2</v>
      </c>
      <c r="J1143" s="258">
        <f t="shared" si="363"/>
        <v>1.7614190030960517E-2</v>
      </c>
      <c r="K1143" s="249">
        <f t="shared" si="364"/>
        <v>3.4459539001112973</v>
      </c>
      <c r="L1143" s="336">
        <v>0.95197625126946339</v>
      </c>
      <c r="M1143" s="258">
        <f t="shared" si="365"/>
        <v>0.95197625126946339</v>
      </c>
      <c r="N1143" s="251">
        <f t="shared" si="366"/>
        <v>0.11001667680038141</v>
      </c>
      <c r="O1143" s="336">
        <v>3.039311221028481E-2</v>
      </c>
      <c r="P1143" s="258">
        <f t="shared" si="367"/>
        <v>3.039311221028481E-2</v>
      </c>
      <c r="Q1143" s="354">
        <v>3.535072674418605</v>
      </c>
      <c r="R1143" s="249">
        <f t="shared" si="368"/>
        <v>3.6197897747093024</v>
      </c>
      <c r="S1143" s="355">
        <v>0.1</v>
      </c>
      <c r="T1143" s="355"/>
      <c r="U1143" s="315">
        <f t="shared" si="371"/>
        <v>3.9817687521802325</v>
      </c>
      <c r="V1143" s="315">
        <f t="shared" si="372"/>
        <v>4</v>
      </c>
      <c r="W1143" s="316">
        <f t="shared" si="370"/>
        <v>0</v>
      </c>
    </row>
    <row r="1144" spans="1:23" x14ac:dyDescent="0.25">
      <c r="A1144" s="204" t="s">
        <v>16791</v>
      </c>
      <c r="B1144" s="351" t="s">
        <v>20870</v>
      </c>
      <c r="C1144" s="352"/>
      <c r="D1144" s="353" t="s">
        <v>14859</v>
      </c>
      <c r="E1144" s="249">
        <f t="shared" si="360"/>
        <v>0</v>
      </c>
      <c r="F1144" s="336">
        <v>0</v>
      </c>
      <c r="G1144" s="258">
        <f t="shared" si="361"/>
        <v>0</v>
      </c>
      <c r="H1144" s="249">
        <f t="shared" si="362"/>
        <v>10.967305874938098</v>
      </c>
      <c r="I1144" s="336">
        <v>1.6145189118052086E-2</v>
      </c>
      <c r="J1144" s="258">
        <f t="shared" si="363"/>
        <v>1.6145189118052086E-2</v>
      </c>
      <c r="K1144" s="249">
        <f t="shared" si="364"/>
        <v>649.40121511046266</v>
      </c>
      <c r="L1144" s="336">
        <v>0.95599644534491679</v>
      </c>
      <c r="M1144" s="258">
        <f t="shared" si="365"/>
        <v>0.95599644534491679</v>
      </c>
      <c r="N1144" s="251">
        <f t="shared" si="366"/>
        <v>18.92397876459907</v>
      </c>
      <c r="O1144" s="336">
        <v>2.7858365537031048E-2</v>
      </c>
      <c r="P1144" s="258">
        <f t="shared" si="367"/>
        <v>2.7858365537031048E-2</v>
      </c>
      <c r="Q1144" s="354">
        <v>663.35550000000001</v>
      </c>
      <c r="R1144" s="249">
        <f t="shared" si="368"/>
        <v>679.29249974999993</v>
      </c>
      <c r="S1144" s="355">
        <v>0.1</v>
      </c>
      <c r="T1144" s="355"/>
      <c r="U1144" s="315">
        <f t="shared" si="371"/>
        <v>747.22174972499988</v>
      </c>
      <c r="V1144" s="315">
        <f t="shared" si="372"/>
        <v>750</v>
      </c>
      <c r="W1144" s="316">
        <f t="shared" si="370"/>
        <v>0</v>
      </c>
    </row>
    <row r="1145" spans="1:23" x14ac:dyDescent="0.25">
      <c r="A1145" s="204" t="s">
        <v>16792</v>
      </c>
      <c r="B1145" s="351" t="s">
        <v>20871</v>
      </c>
      <c r="C1145" s="352"/>
      <c r="D1145" s="353" t="s">
        <v>5</v>
      </c>
      <c r="E1145" s="249">
        <f t="shared" si="360"/>
        <v>0</v>
      </c>
      <c r="F1145" s="336">
        <v>0</v>
      </c>
      <c r="G1145" s="258">
        <f t="shared" si="361"/>
        <v>0</v>
      </c>
      <c r="H1145" s="249">
        <f t="shared" si="362"/>
        <v>6.3762444578346414E-2</v>
      </c>
      <c r="I1145" s="336">
        <v>1.6145189118052086E-2</v>
      </c>
      <c r="J1145" s="258">
        <f t="shared" si="363"/>
        <v>1.6145189118052086E-2</v>
      </c>
      <c r="K1145" s="249">
        <f t="shared" si="364"/>
        <v>3.7754719815876334</v>
      </c>
      <c r="L1145" s="336">
        <v>0.95598137047179066</v>
      </c>
      <c r="M1145" s="258">
        <f t="shared" si="365"/>
        <v>0.95598137047179066</v>
      </c>
      <c r="N1145" s="251">
        <f t="shared" si="366"/>
        <v>0.11002147299793107</v>
      </c>
      <c r="O1145" s="336">
        <v>2.7858365537031048E-2</v>
      </c>
      <c r="P1145" s="258">
        <f t="shared" si="367"/>
        <v>2.7858365537031048E-2</v>
      </c>
      <c r="Q1145" s="354">
        <v>3.856718023255814</v>
      </c>
      <c r="R1145" s="249">
        <f t="shared" si="368"/>
        <v>3.9493154345930228</v>
      </c>
      <c r="S1145" s="355">
        <v>0.1</v>
      </c>
      <c r="T1145" s="355"/>
      <c r="U1145" s="315">
        <f t="shared" si="371"/>
        <v>4.3442469780523254</v>
      </c>
      <c r="V1145" s="315">
        <f t="shared" si="372"/>
        <v>5</v>
      </c>
      <c r="W1145" s="316">
        <f t="shared" si="370"/>
        <v>0</v>
      </c>
    </row>
    <row r="1146" spans="1:23" x14ac:dyDescent="0.25">
      <c r="A1146" s="204" t="s">
        <v>16793</v>
      </c>
      <c r="B1146" s="351" t="s">
        <v>20872</v>
      </c>
      <c r="C1146" s="352"/>
      <c r="D1146" s="353" t="s">
        <v>14859</v>
      </c>
      <c r="E1146" s="249">
        <f t="shared" si="360"/>
        <v>0</v>
      </c>
      <c r="F1146" s="336">
        <v>0</v>
      </c>
      <c r="G1146" s="258">
        <f t="shared" si="361"/>
        <v>0</v>
      </c>
      <c r="H1146" s="249">
        <f t="shared" si="362"/>
        <v>10.967697629618112</v>
      </c>
      <c r="I1146" s="336">
        <v>1.4902352025279734E-2</v>
      </c>
      <c r="J1146" s="258">
        <f t="shared" si="363"/>
        <v>1.4902352025279734E-2</v>
      </c>
      <c r="K1146" s="249">
        <f t="shared" si="364"/>
        <v>706.07856088692313</v>
      </c>
      <c r="L1146" s="336">
        <v>0.95938378565659044</v>
      </c>
      <c r="M1146" s="258">
        <f t="shared" si="365"/>
        <v>0.95938378565659044</v>
      </c>
      <c r="N1146" s="251">
        <f t="shared" si="366"/>
        <v>18.924654733458702</v>
      </c>
      <c r="O1146" s="336">
        <v>2.5713862318129735E-2</v>
      </c>
      <c r="P1146" s="258">
        <f t="shared" si="367"/>
        <v>2.5713862318129735E-2</v>
      </c>
      <c r="Q1146" s="354">
        <v>718.67849999999999</v>
      </c>
      <c r="R1146" s="249">
        <f t="shared" si="368"/>
        <v>735.97091324999997</v>
      </c>
      <c r="S1146" s="355">
        <v>0.1</v>
      </c>
      <c r="T1146" s="355"/>
      <c r="U1146" s="315">
        <f t="shared" si="371"/>
        <v>809.56800457499992</v>
      </c>
      <c r="V1146" s="315">
        <f t="shared" si="372"/>
        <v>810</v>
      </c>
      <c r="W1146" s="316">
        <f t="shared" si="370"/>
        <v>0</v>
      </c>
    </row>
    <row r="1147" spans="1:23" x14ac:dyDescent="0.25">
      <c r="A1147" s="204" t="s">
        <v>16794</v>
      </c>
      <c r="B1147" s="351" t="s">
        <v>20873</v>
      </c>
      <c r="C1147" s="352"/>
      <c r="D1147" s="353" t="s">
        <v>5</v>
      </c>
      <c r="E1147" s="249">
        <f t="shared" si="360"/>
        <v>0</v>
      </c>
      <c r="F1147" s="336">
        <v>0</v>
      </c>
      <c r="G1147" s="258">
        <f t="shared" si="361"/>
        <v>0</v>
      </c>
      <c r="H1147" s="249">
        <f t="shared" si="362"/>
        <v>6.3764796250125669E-2</v>
      </c>
      <c r="I1147" s="336">
        <v>1.4902352025279734E-2</v>
      </c>
      <c r="J1147" s="258">
        <f t="shared" si="363"/>
        <v>1.4902352025279734E-2</v>
      </c>
      <c r="K1147" s="249">
        <f t="shared" si="364"/>
        <v>4.1049912298172053</v>
      </c>
      <c r="L1147" s="336">
        <v>0.95936987122892925</v>
      </c>
      <c r="M1147" s="258">
        <f t="shared" si="365"/>
        <v>0.95936987122892925</v>
      </c>
      <c r="N1147" s="251">
        <f t="shared" si="366"/>
        <v>0.11002553078453055</v>
      </c>
      <c r="O1147" s="336">
        <v>2.5713862318129735E-2</v>
      </c>
      <c r="P1147" s="258">
        <f t="shared" si="367"/>
        <v>2.5713862318129735E-2</v>
      </c>
      <c r="Q1147" s="354">
        <v>4.1783633720930231</v>
      </c>
      <c r="R1147" s="249">
        <f t="shared" si="368"/>
        <v>4.2788410944767445</v>
      </c>
      <c r="S1147" s="355">
        <v>0.1</v>
      </c>
      <c r="T1147" s="355"/>
      <c r="U1147" s="315">
        <f t="shared" si="371"/>
        <v>4.7067252039244192</v>
      </c>
      <c r="V1147" s="315">
        <f t="shared" si="372"/>
        <v>5</v>
      </c>
      <c r="W1147" s="316">
        <f t="shared" si="370"/>
        <v>0</v>
      </c>
    </row>
    <row r="1148" spans="1:23" x14ac:dyDescent="0.25">
      <c r="A1148" s="204" t="s">
        <v>16795</v>
      </c>
      <c r="B1148" s="351" t="s">
        <v>20874</v>
      </c>
      <c r="C1148" s="352"/>
      <c r="D1148" s="353" t="s">
        <v>14859</v>
      </c>
      <c r="E1148" s="249">
        <f t="shared" si="360"/>
        <v>0</v>
      </c>
      <c r="F1148" s="336">
        <v>0</v>
      </c>
      <c r="G1148" s="258">
        <f t="shared" si="361"/>
        <v>0</v>
      </c>
      <c r="H1148" s="249">
        <f t="shared" si="362"/>
        <v>10.968989113774729</v>
      </c>
      <c r="I1148" s="336">
        <v>1.0805133800546915E-2</v>
      </c>
      <c r="J1148" s="258">
        <f t="shared" si="363"/>
        <v>1.0805133800546915E-2</v>
      </c>
      <c r="K1148" s="249">
        <f t="shared" si="364"/>
        <v>985.26870745951601</v>
      </c>
      <c r="L1148" s="336">
        <v>0.97055071375929369</v>
      </c>
      <c r="M1148" s="258">
        <f t="shared" si="365"/>
        <v>0.97055071375929369</v>
      </c>
      <c r="N1148" s="251">
        <f t="shared" si="366"/>
        <v>18.926883176709335</v>
      </c>
      <c r="O1148" s="336">
        <v>1.8644152440159382E-2</v>
      </c>
      <c r="P1148" s="258">
        <f t="shared" si="367"/>
        <v>1.8644152440159382E-2</v>
      </c>
      <c r="Q1148" s="354">
        <v>991.19550000000004</v>
      </c>
      <c r="R1148" s="249">
        <f t="shared" si="368"/>
        <v>1015.16457975</v>
      </c>
      <c r="S1148" s="355">
        <v>0.1</v>
      </c>
      <c r="T1148" s="355"/>
      <c r="U1148" s="315">
        <f t="shared" si="371"/>
        <v>1116.6810377250001</v>
      </c>
      <c r="V1148" s="315">
        <f t="shared" si="372"/>
        <v>1125</v>
      </c>
      <c r="W1148" s="316">
        <f t="shared" si="370"/>
        <v>0</v>
      </c>
    </row>
    <row r="1149" spans="1:23" ht="14.4" thickBot="1" x14ac:dyDescent="0.3">
      <c r="A1149" s="356" t="s">
        <v>16796</v>
      </c>
      <c r="B1149" s="357" t="s">
        <v>20875</v>
      </c>
      <c r="C1149" s="358"/>
      <c r="D1149" s="359" t="s">
        <v>5</v>
      </c>
      <c r="E1149" s="266">
        <f t="shared" si="360"/>
        <v>0</v>
      </c>
      <c r="F1149" s="360">
        <v>0</v>
      </c>
      <c r="G1149" s="322">
        <f t="shared" si="361"/>
        <v>0</v>
      </c>
      <c r="H1149" s="266">
        <f t="shared" si="362"/>
        <v>6.3772548925458986E-2</v>
      </c>
      <c r="I1149" s="360">
        <v>1.0805133800546917E-2</v>
      </c>
      <c r="J1149" s="322">
        <f t="shared" si="363"/>
        <v>1.0805133800546917E-2</v>
      </c>
      <c r="K1149" s="266">
        <f t="shared" si="364"/>
        <v>5.7281890840169352</v>
      </c>
      <c r="L1149" s="360">
        <v>0.97054062493221571</v>
      </c>
      <c r="M1149" s="322">
        <f t="shared" si="365"/>
        <v>0.97054062493221571</v>
      </c>
      <c r="N1149" s="270">
        <f t="shared" si="366"/>
        <v>0.11003890794981155</v>
      </c>
      <c r="O1149" s="360">
        <v>1.8644152440159382E-2</v>
      </c>
      <c r="P1149" s="322">
        <f t="shared" si="367"/>
        <v>1.8644152440159382E-2</v>
      </c>
      <c r="Q1149" s="361">
        <v>5.7627645348837211</v>
      </c>
      <c r="R1149" s="266">
        <f t="shared" si="368"/>
        <v>5.9020600857558145</v>
      </c>
      <c r="S1149" s="362">
        <v>0.1</v>
      </c>
      <c r="T1149" s="362"/>
      <c r="U1149" s="324">
        <f t="shared" si="371"/>
        <v>6.4922660943313959</v>
      </c>
      <c r="V1149" s="324">
        <f t="shared" si="372"/>
        <v>7</v>
      </c>
      <c r="W1149" s="325">
        <f t="shared" si="370"/>
        <v>0</v>
      </c>
    </row>
    <row r="1150" spans="1:23" x14ac:dyDescent="0.25">
      <c r="A1150" s="203" t="s">
        <v>16797</v>
      </c>
      <c r="B1150" s="345" t="s">
        <v>16798</v>
      </c>
      <c r="C1150" s="346"/>
      <c r="D1150" s="347"/>
      <c r="E1150" s="347"/>
      <c r="F1150" s="347"/>
      <c r="G1150" s="347"/>
      <c r="H1150" s="347"/>
      <c r="I1150" s="347"/>
      <c r="J1150" s="347"/>
      <c r="K1150" s="347"/>
      <c r="L1150" s="347"/>
      <c r="M1150" s="347"/>
      <c r="N1150" s="347"/>
      <c r="O1150" s="347"/>
      <c r="P1150" s="347"/>
      <c r="Q1150" s="347"/>
      <c r="R1150" s="347"/>
      <c r="S1150" s="347"/>
      <c r="T1150" s="348"/>
      <c r="U1150" s="349"/>
      <c r="V1150" s="349"/>
      <c r="W1150" s="350"/>
    </row>
    <row r="1151" spans="1:23" x14ac:dyDescent="0.25">
      <c r="A1151" s="204" t="s">
        <v>16799</v>
      </c>
      <c r="B1151" s="351" t="s">
        <v>20876</v>
      </c>
      <c r="C1151" s="352"/>
      <c r="D1151" s="353" t="s">
        <v>5</v>
      </c>
      <c r="E1151" s="249">
        <f t="shared" si="360"/>
        <v>0</v>
      </c>
      <c r="F1151" s="336">
        <v>0</v>
      </c>
      <c r="G1151" s="258">
        <f t="shared" si="361"/>
        <v>0</v>
      </c>
      <c r="H1151" s="249">
        <f t="shared" si="362"/>
        <v>6.3785966052603907E-2</v>
      </c>
      <c r="I1151" s="336">
        <v>3.7143044418711359E-3</v>
      </c>
      <c r="J1151" s="258">
        <f t="shared" si="363"/>
        <v>3.7143044418711359E-3</v>
      </c>
      <c r="K1151" s="249">
        <f t="shared" si="364"/>
        <v>16.99915053667101</v>
      </c>
      <c r="L1151" s="336">
        <v>0.98987323158705531</v>
      </c>
      <c r="M1151" s="258">
        <f t="shared" si="365"/>
        <v>0.98987323158705531</v>
      </c>
      <c r="N1151" s="251">
        <f t="shared" si="366"/>
        <v>0.11006205907115967</v>
      </c>
      <c r="O1151" s="336">
        <v>6.4089958996992142E-3</v>
      </c>
      <c r="P1151" s="258">
        <f t="shared" si="367"/>
        <v>6.4089958996992142E-3</v>
      </c>
      <c r="Q1151" s="354">
        <v>16.764226744186047</v>
      </c>
      <c r="R1151" s="249">
        <f t="shared" si="368"/>
        <v>17.173058119186045</v>
      </c>
      <c r="S1151" s="355">
        <v>0.1</v>
      </c>
      <c r="T1151" s="355"/>
      <c r="U1151" s="315">
        <f t="shared" si="371"/>
        <v>18.890363931104648</v>
      </c>
      <c r="V1151" s="315">
        <f t="shared" si="372"/>
        <v>19</v>
      </c>
      <c r="W1151" s="316">
        <f t="shared" ref="W1151:W1214" si="373">C1151*V1151</f>
        <v>0</v>
      </c>
    </row>
    <row r="1152" spans="1:23" x14ac:dyDescent="0.25">
      <c r="A1152" s="204" t="s">
        <v>16800</v>
      </c>
      <c r="B1152" s="351" t="s">
        <v>20877</v>
      </c>
      <c r="C1152" s="352"/>
      <c r="D1152" s="353" t="s">
        <v>14859</v>
      </c>
      <c r="E1152" s="249">
        <f t="shared" si="360"/>
        <v>0</v>
      </c>
      <c r="F1152" s="336">
        <v>0</v>
      </c>
      <c r="G1152" s="258">
        <f t="shared" si="361"/>
        <v>0</v>
      </c>
      <c r="H1152" s="249">
        <f t="shared" si="362"/>
        <v>10.971224214096878</v>
      </c>
      <c r="I1152" s="336">
        <v>3.7143044418711355E-3</v>
      </c>
      <c r="J1152" s="258">
        <f t="shared" si="363"/>
        <v>3.7143044418711355E-3</v>
      </c>
      <c r="K1152" s="249">
        <f t="shared" si="364"/>
        <v>2923.8742774655007</v>
      </c>
      <c r="L1152" s="336">
        <v>0.98987669965842962</v>
      </c>
      <c r="M1152" s="258">
        <f t="shared" si="365"/>
        <v>0.98987669965842962</v>
      </c>
      <c r="N1152" s="251">
        <f t="shared" si="366"/>
        <v>18.930739820402458</v>
      </c>
      <c r="O1152" s="336">
        <v>6.4089958996992142E-3</v>
      </c>
      <c r="P1152" s="258">
        <f t="shared" si="367"/>
        <v>6.4089958996992142E-3</v>
      </c>
      <c r="Q1152" s="354">
        <v>2883.4470000000001</v>
      </c>
      <c r="R1152" s="249">
        <f t="shared" si="368"/>
        <v>2953.7762415000002</v>
      </c>
      <c r="S1152" s="355">
        <v>0.1</v>
      </c>
      <c r="T1152" s="355"/>
      <c r="U1152" s="315">
        <f t="shared" si="371"/>
        <v>3249.1538656500002</v>
      </c>
      <c r="V1152" s="315">
        <f t="shared" si="372"/>
        <v>3250</v>
      </c>
      <c r="W1152" s="316">
        <f t="shared" si="373"/>
        <v>0</v>
      </c>
    </row>
    <row r="1153" spans="1:23" x14ac:dyDescent="0.25">
      <c r="A1153" s="204" t="s">
        <v>16801</v>
      </c>
      <c r="B1153" s="351" t="s">
        <v>20878</v>
      </c>
      <c r="C1153" s="352"/>
      <c r="D1153" s="353" t="s">
        <v>5</v>
      </c>
      <c r="E1153" s="249">
        <f t="shared" si="360"/>
        <v>0</v>
      </c>
      <c r="F1153" s="336">
        <v>0</v>
      </c>
      <c r="G1153" s="258">
        <f t="shared" si="361"/>
        <v>0</v>
      </c>
      <c r="H1153" s="249">
        <f t="shared" si="362"/>
        <v>6.3786503397778388E-2</v>
      </c>
      <c r="I1153" s="336">
        <v>3.4303224166765561E-3</v>
      </c>
      <c r="J1153" s="258">
        <f t="shared" si="363"/>
        <v>3.4303224166765561E-3</v>
      </c>
      <c r="K1153" s="249">
        <f t="shared" si="364"/>
        <v>18.420991270768191</v>
      </c>
      <c r="L1153" s="336">
        <v>0.99064748696853822</v>
      </c>
      <c r="M1153" s="258">
        <f t="shared" si="365"/>
        <v>0.99064748696853822</v>
      </c>
      <c r="N1153" s="251">
        <f t="shared" si="366"/>
        <v>0.11006298625499014</v>
      </c>
      <c r="O1153" s="336">
        <v>5.9189876993634687E-3</v>
      </c>
      <c r="P1153" s="258">
        <f t="shared" si="367"/>
        <v>5.9189876993634687E-3</v>
      </c>
      <c r="Q1153" s="354">
        <v>18.152066860465116</v>
      </c>
      <c r="R1153" s="249">
        <f t="shared" si="368"/>
        <v>18.594900318313954</v>
      </c>
      <c r="S1153" s="355">
        <v>0.1</v>
      </c>
      <c r="T1153" s="355"/>
      <c r="U1153" s="315">
        <f t="shared" si="371"/>
        <v>20.454390350145349</v>
      </c>
      <c r="V1153" s="315">
        <f t="shared" si="372"/>
        <v>21</v>
      </c>
      <c r="W1153" s="316">
        <f t="shared" si="373"/>
        <v>0</v>
      </c>
    </row>
    <row r="1154" spans="1:23" x14ac:dyDescent="0.25">
      <c r="A1154" s="204" t="s">
        <v>16802</v>
      </c>
      <c r="B1154" s="351" t="s">
        <v>20879</v>
      </c>
      <c r="C1154" s="352"/>
      <c r="D1154" s="353" t="s">
        <v>14859</v>
      </c>
      <c r="E1154" s="249">
        <f t="shared" si="360"/>
        <v>0</v>
      </c>
      <c r="F1154" s="336">
        <v>0</v>
      </c>
      <c r="G1154" s="258">
        <f t="shared" si="361"/>
        <v>0</v>
      </c>
      <c r="H1154" s="249">
        <f t="shared" si="362"/>
        <v>10.97131372807104</v>
      </c>
      <c r="I1154" s="336">
        <v>3.4303224166765561E-3</v>
      </c>
      <c r="J1154" s="258">
        <f t="shared" si="363"/>
        <v>3.4303224166765561E-3</v>
      </c>
      <c r="K1154" s="249">
        <f t="shared" si="364"/>
        <v>3168.4308917460417</v>
      </c>
      <c r="L1154" s="336">
        <v>0.99065068988395999</v>
      </c>
      <c r="M1154" s="258">
        <f t="shared" si="365"/>
        <v>0.99065068988395999</v>
      </c>
      <c r="N1154" s="251">
        <f t="shared" si="366"/>
        <v>18.930894275887283</v>
      </c>
      <c r="O1154" s="336">
        <v>5.9189876993634687E-3</v>
      </c>
      <c r="P1154" s="258">
        <f t="shared" si="367"/>
        <v>5.9189876993634687E-3</v>
      </c>
      <c r="Q1154" s="354">
        <v>3122.1554999999998</v>
      </c>
      <c r="R1154" s="249">
        <f t="shared" si="368"/>
        <v>3198.3330997499997</v>
      </c>
      <c r="S1154" s="355">
        <v>0.1</v>
      </c>
      <c r="T1154" s="355"/>
      <c r="U1154" s="315">
        <f t="shared" si="371"/>
        <v>3518.1664097249995</v>
      </c>
      <c r="V1154" s="315">
        <f t="shared" si="372"/>
        <v>3525</v>
      </c>
      <c r="W1154" s="316">
        <f t="shared" si="373"/>
        <v>0</v>
      </c>
    </row>
    <row r="1155" spans="1:23" x14ac:dyDescent="0.25">
      <c r="A1155" s="204" t="s">
        <v>16803</v>
      </c>
      <c r="B1155" s="351" t="s">
        <v>20880</v>
      </c>
      <c r="C1155" s="352"/>
      <c r="D1155" s="353" t="s">
        <v>5</v>
      </c>
      <c r="E1155" s="249">
        <f t="shared" ref="E1155:E1218" si="374">R1155*G1155</f>
        <v>0</v>
      </c>
      <c r="F1155" s="336">
        <v>0</v>
      </c>
      <c r="G1155" s="258">
        <f t="shared" ref="G1155:G1218" si="375">F1155</f>
        <v>0</v>
      </c>
      <c r="H1155" s="249">
        <f t="shared" ref="H1155:H1218" si="376">R1155*J1155</f>
        <v>6.3788132280152399E-2</v>
      </c>
      <c r="I1155" s="336">
        <v>2.5694729341653537E-3</v>
      </c>
      <c r="J1155" s="258">
        <f t="shared" ref="J1155:J1218" si="377">I1155</f>
        <v>2.5694729341653537E-3</v>
      </c>
      <c r="K1155" s="249">
        <f t="shared" ref="K1155:K1218" si="378">R1155*M1155</f>
        <v>24.651462732360624</v>
      </c>
      <c r="L1155" s="336">
        <v>0.99299452757445117</v>
      </c>
      <c r="M1155" s="258">
        <f t="shared" ref="M1155:M1218" si="379">L1155</f>
        <v>0.99299452757445117</v>
      </c>
      <c r="N1155" s="251">
        <f t="shared" ref="N1155:N1218" si="380">P1155*R1155</f>
        <v>0.11006579687555705</v>
      </c>
      <c r="O1155" s="336">
        <v>4.4336003569911981E-3</v>
      </c>
      <c r="P1155" s="258">
        <f t="shared" ref="P1155:P1218" si="381">O1155</f>
        <v>4.4336003569911981E-3</v>
      </c>
      <c r="Q1155" s="354">
        <v>24.233546511627903</v>
      </c>
      <c r="R1155" s="249">
        <f t="shared" ref="R1155:R1218" si="382">SUM(F1155*Q1155*1.0235,I1155*Q1155*1.0175,L1155*Q1155*1.0245,O1155*Q1155*1.0115)</f>
        <v>24.825376220930227</v>
      </c>
      <c r="S1155" s="355">
        <v>0.1</v>
      </c>
      <c r="T1155" s="355"/>
      <c r="U1155" s="315">
        <f t="shared" si="371"/>
        <v>27.30791384302325</v>
      </c>
      <c r="V1155" s="315">
        <f t="shared" si="372"/>
        <v>28</v>
      </c>
      <c r="W1155" s="316">
        <f t="shared" si="373"/>
        <v>0</v>
      </c>
    </row>
    <row r="1156" spans="1:23" x14ac:dyDescent="0.25">
      <c r="A1156" s="204" t="s">
        <v>16804</v>
      </c>
      <c r="B1156" s="351" t="s">
        <v>20881</v>
      </c>
      <c r="C1156" s="352"/>
      <c r="D1156" s="353" t="s">
        <v>14859</v>
      </c>
      <c r="E1156" s="249">
        <f t="shared" si="374"/>
        <v>0</v>
      </c>
      <c r="F1156" s="336">
        <v>0</v>
      </c>
      <c r="G1156" s="258">
        <f t="shared" si="375"/>
        <v>0</v>
      </c>
      <c r="H1156" s="249">
        <f t="shared" si="376"/>
        <v>10.971585076436421</v>
      </c>
      <c r="I1156" s="336">
        <v>2.5694729341653537E-3</v>
      </c>
      <c r="J1156" s="258">
        <f t="shared" si="377"/>
        <v>2.5694729341653537E-3</v>
      </c>
      <c r="K1156" s="249">
        <f t="shared" si="378"/>
        <v>4240.0720074387309</v>
      </c>
      <c r="L1156" s="336">
        <v>0.99299692670884354</v>
      </c>
      <c r="M1156" s="258">
        <f t="shared" si="379"/>
        <v>0.99299692670884354</v>
      </c>
      <c r="N1156" s="251">
        <f t="shared" si="380"/>
        <v>18.931362484831475</v>
      </c>
      <c r="O1156" s="336">
        <v>4.433600356991199E-3</v>
      </c>
      <c r="P1156" s="258">
        <f t="shared" si="381"/>
        <v>4.433600356991199E-3</v>
      </c>
      <c r="Q1156" s="354">
        <v>4168.1699999999992</v>
      </c>
      <c r="R1156" s="249">
        <f t="shared" si="382"/>
        <v>4269.9749549999988</v>
      </c>
      <c r="S1156" s="355">
        <v>0.1</v>
      </c>
      <c r="T1156" s="355"/>
      <c r="U1156" s="315">
        <f t="shared" si="371"/>
        <v>4696.9724504999986</v>
      </c>
      <c r="V1156" s="315">
        <f t="shared" si="372"/>
        <v>4700</v>
      </c>
      <c r="W1156" s="316">
        <f t="shared" si="373"/>
        <v>0</v>
      </c>
    </row>
    <row r="1157" spans="1:23" x14ac:dyDescent="0.25">
      <c r="A1157" s="203" t="s">
        <v>16805</v>
      </c>
      <c r="B1157" s="345" t="s">
        <v>16806</v>
      </c>
      <c r="C1157" s="346"/>
      <c r="D1157" s="347"/>
      <c r="E1157" s="347"/>
      <c r="F1157" s="347"/>
      <c r="G1157" s="347"/>
      <c r="H1157" s="347"/>
      <c r="I1157" s="347"/>
      <c r="J1157" s="347"/>
      <c r="K1157" s="347"/>
      <c r="L1157" s="347"/>
      <c r="M1157" s="347"/>
      <c r="N1157" s="347"/>
      <c r="O1157" s="347"/>
      <c r="P1157" s="347"/>
      <c r="Q1157" s="347"/>
      <c r="R1157" s="347"/>
      <c r="S1157" s="347"/>
      <c r="T1157" s="348"/>
      <c r="U1157" s="349"/>
      <c r="V1157" s="349"/>
      <c r="W1157" s="350"/>
    </row>
    <row r="1158" spans="1:23" x14ac:dyDescent="0.25">
      <c r="A1158" s="204" t="s">
        <v>16807</v>
      </c>
      <c r="B1158" s="351" t="s">
        <v>20882</v>
      </c>
      <c r="C1158" s="352"/>
      <c r="D1158" s="353" t="s">
        <v>14859</v>
      </c>
      <c r="E1158" s="249">
        <f t="shared" si="374"/>
        <v>0</v>
      </c>
      <c r="F1158" s="336">
        <v>0</v>
      </c>
      <c r="G1158" s="258">
        <f t="shared" si="375"/>
        <v>0</v>
      </c>
      <c r="H1158" s="249">
        <f t="shared" si="376"/>
        <v>10.958862037070443</v>
      </c>
      <c r="I1158" s="336">
        <v>4.2933164967980525E-2</v>
      </c>
      <c r="J1158" s="258">
        <f t="shared" si="377"/>
        <v>4.2933164967980525E-2</v>
      </c>
      <c r="K1158" s="249">
        <f t="shared" si="378"/>
        <v>225.38572770778836</v>
      </c>
      <c r="L1158" s="336">
        <v>0.88298607979315114</v>
      </c>
      <c r="M1158" s="258">
        <f t="shared" si="379"/>
        <v>0.88298607979315114</v>
      </c>
      <c r="N1158" s="251">
        <f t="shared" si="380"/>
        <v>18.909409005141157</v>
      </c>
      <c r="O1158" s="336">
        <v>7.4080755238868354E-2</v>
      </c>
      <c r="P1158" s="258">
        <f t="shared" si="381"/>
        <v>7.4080755238868354E-2</v>
      </c>
      <c r="Q1158" s="354">
        <v>249.45749999999998</v>
      </c>
      <c r="R1158" s="249">
        <f t="shared" si="382"/>
        <v>255.25399874999997</v>
      </c>
      <c r="S1158" s="355">
        <v>0.1</v>
      </c>
      <c r="T1158" s="355"/>
      <c r="U1158" s="315">
        <f t="shared" si="371"/>
        <v>280.77939862499994</v>
      </c>
      <c r="V1158" s="315">
        <f t="shared" si="372"/>
        <v>285</v>
      </c>
      <c r="W1158" s="316">
        <f t="shared" si="373"/>
        <v>0</v>
      </c>
    </row>
    <row r="1159" spans="1:23" x14ac:dyDescent="0.25">
      <c r="A1159" s="204" t="s">
        <v>16808</v>
      </c>
      <c r="B1159" s="351" t="s">
        <v>20883</v>
      </c>
      <c r="C1159" s="352"/>
      <c r="D1159" s="353" t="s">
        <v>5</v>
      </c>
      <c r="E1159" s="249">
        <f t="shared" si="374"/>
        <v>0</v>
      </c>
      <c r="F1159" s="336">
        <v>0</v>
      </c>
      <c r="G1159" s="258">
        <f t="shared" si="375"/>
        <v>0</v>
      </c>
      <c r="H1159" s="249">
        <f t="shared" si="376"/>
        <v>6.3711756899972952E-2</v>
      </c>
      <c r="I1159" s="336">
        <v>4.2933164967980525E-2</v>
      </c>
      <c r="J1159" s="258">
        <f t="shared" si="377"/>
        <v>4.2933164967980525E-2</v>
      </c>
      <c r="K1159" s="249">
        <f t="shared" si="378"/>
        <v>1.3102700555925109</v>
      </c>
      <c r="L1159" s="336">
        <v>0.88294599280438546</v>
      </c>
      <c r="M1159" s="258">
        <f t="shared" si="379"/>
        <v>0.88294599280438546</v>
      </c>
      <c r="N1159" s="251">
        <f t="shared" si="380"/>
        <v>0.10993401190583568</v>
      </c>
      <c r="O1159" s="336">
        <v>7.4080755238868354E-2</v>
      </c>
      <c r="P1159" s="258">
        <f t="shared" si="381"/>
        <v>7.4080755238868354E-2</v>
      </c>
      <c r="Q1159" s="354">
        <v>1.4503343023255812</v>
      </c>
      <c r="R1159" s="249">
        <f t="shared" si="382"/>
        <v>1.4839753125000001</v>
      </c>
      <c r="S1159" s="355">
        <v>0.1</v>
      </c>
      <c r="T1159" s="355"/>
      <c r="U1159" s="315">
        <f t="shared" si="371"/>
        <v>1.6323728437500002</v>
      </c>
      <c r="V1159" s="315">
        <f t="shared" si="372"/>
        <v>2</v>
      </c>
      <c r="W1159" s="316">
        <f t="shared" si="373"/>
        <v>0</v>
      </c>
    </row>
    <row r="1160" spans="1:23" x14ac:dyDescent="0.25">
      <c r="A1160" s="204" t="s">
        <v>16809</v>
      </c>
      <c r="B1160" s="351" t="s">
        <v>20884</v>
      </c>
      <c r="C1160" s="352"/>
      <c r="D1160" s="353" t="s">
        <v>14859</v>
      </c>
      <c r="E1160" s="249">
        <f t="shared" si="374"/>
        <v>0</v>
      </c>
      <c r="F1160" s="336">
        <v>0</v>
      </c>
      <c r="G1160" s="258">
        <f t="shared" si="375"/>
        <v>0</v>
      </c>
      <c r="H1160" s="249">
        <f t="shared" si="376"/>
        <v>10.966229953897734</v>
      </c>
      <c r="I1160" s="336">
        <v>1.9558535903883768E-2</v>
      </c>
      <c r="J1160" s="258">
        <f t="shared" si="377"/>
        <v>1.9558535903883768E-2</v>
      </c>
      <c r="K1160" s="249">
        <f t="shared" si="378"/>
        <v>530.79931927270991</v>
      </c>
      <c r="L1160" s="336">
        <v>0.94669340214431674</v>
      </c>
      <c r="M1160" s="258">
        <f t="shared" si="379"/>
        <v>0.94669340214431674</v>
      </c>
      <c r="N1160" s="251">
        <f t="shared" si="380"/>
        <v>18.922122273392169</v>
      </c>
      <c r="O1160" s="336">
        <v>3.3748061951799441E-2</v>
      </c>
      <c r="P1160" s="258">
        <f t="shared" si="381"/>
        <v>3.3748061951799441E-2</v>
      </c>
      <c r="Q1160" s="354">
        <v>547.58699999999999</v>
      </c>
      <c r="R1160" s="249">
        <f t="shared" si="382"/>
        <v>560.68767149999985</v>
      </c>
      <c r="S1160" s="355">
        <v>0.1</v>
      </c>
      <c r="T1160" s="355"/>
      <c r="U1160" s="315">
        <f t="shared" si="371"/>
        <v>616.75643864999984</v>
      </c>
      <c r="V1160" s="315">
        <f t="shared" si="372"/>
        <v>620</v>
      </c>
      <c r="W1160" s="316">
        <f t="shared" si="373"/>
        <v>0</v>
      </c>
    </row>
    <row r="1161" spans="1:23" x14ac:dyDescent="0.25">
      <c r="A1161" s="204" t="s">
        <v>16810</v>
      </c>
      <c r="B1161" s="351" t="s">
        <v>20885</v>
      </c>
      <c r="C1161" s="352"/>
      <c r="D1161" s="353" t="s">
        <v>5</v>
      </c>
      <c r="E1161" s="249">
        <f t="shared" si="374"/>
        <v>0</v>
      </c>
      <c r="F1161" s="336">
        <v>0</v>
      </c>
      <c r="G1161" s="258">
        <f t="shared" si="375"/>
        <v>0</v>
      </c>
      <c r="H1161" s="249">
        <f t="shared" si="376"/>
        <v>6.3755985911031404E-2</v>
      </c>
      <c r="I1161" s="336">
        <v>1.9558535903883768E-2</v>
      </c>
      <c r="J1161" s="258">
        <f t="shared" si="377"/>
        <v>1.9558535903883768E-2</v>
      </c>
      <c r="K1161" s="249">
        <f t="shared" si="378"/>
        <v>3.085926635710722</v>
      </c>
      <c r="L1161" s="336">
        <v>0.94667514020603116</v>
      </c>
      <c r="M1161" s="258">
        <f t="shared" si="379"/>
        <v>0.94667514020603116</v>
      </c>
      <c r="N1161" s="251">
        <f t="shared" si="380"/>
        <v>0.11001032863079928</v>
      </c>
      <c r="O1161" s="336">
        <v>3.3748061951799441E-2</v>
      </c>
      <c r="P1161" s="258">
        <f t="shared" si="381"/>
        <v>3.3748061951799441E-2</v>
      </c>
      <c r="Q1161" s="354">
        <v>3.1836453488372092</v>
      </c>
      <c r="R1161" s="249">
        <f t="shared" si="382"/>
        <v>3.2597524796511625</v>
      </c>
      <c r="S1161" s="355">
        <v>0.1</v>
      </c>
      <c r="T1161" s="355"/>
      <c r="U1161" s="315">
        <f t="shared" si="371"/>
        <v>3.5857277276162787</v>
      </c>
      <c r="V1161" s="315">
        <f t="shared" si="372"/>
        <v>4</v>
      </c>
      <c r="W1161" s="316">
        <f t="shared" si="373"/>
        <v>0</v>
      </c>
    </row>
    <row r="1162" spans="1:23" x14ac:dyDescent="0.25">
      <c r="A1162" s="204" t="s">
        <v>16811</v>
      </c>
      <c r="B1162" s="351" t="s">
        <v>20886</v>
      </c>
      <c r="C1162" s="352"/>
      <c r="D1162" s="353" t="s">
        <v>14859</v>
      </c>
      <c r="E1162" s="249">
        <f t="shared" si="374"/>
        <v>0</v>
      </c>
      <c r="F1162" s="336">
        <v>0</v>
      </c>
      <c r="G1162" s="258">
        <f t="shared" si="375"/>
        <v>0</v>
      </c>
      <c r="H1162" s="249">
        <f t="shared" si="376"/>
        <v>10.968819095179535</v>
      </c>
      <c r="I1162" s="336">
        <v>1.1344515784606733E-2</v>
      </c>
      <c r="J1162" s="258">
        <f t="shared" si="377"/>
        <v>1.1344515784606733E-2</v>
      </c>
      <c r="K1162" s="249">
        <f t="shared" si="378"/>
        <v>936.98755934353028</v>
      </c>
      <c r="L1162" s="336">
        <v>0.96908063344979734</v>
      </c>
      <c r="M1162" s="258">
        <f t="shared" si="379"/>
        <v>0.96908063344979734</v>
      </c>
      <c r="N1162" s="251">
        <f t="shared" si="380"/>
        <v>18.926589811290174</v>
      </c>
      <c r="O1162" s="336">
        <v>1.9574850765595928E-2</v>
      </c>
      <c r="P1162" s="258">
        <f t="shared" si="381"/>
        <v>1.9574850765595928E-2</v>
      </c>
      <c r="Q1162" s="354">
        <v>944.06849999999997</v>
      </c>
      <c r="R1162" s="249">
        <f t="shared" si="382"/>
        <v>966.88296824999998</v>
      </c>
      <c r="S1162" s="355">
        <v>0.1</v>
      </c>
      <c r="T1162" s="355"/>
      <c r="U1162" s="315">
        <f t="shared" si="371"/>
        <v>1063.5712650749999</v>
      </c>
      <c r="V1162" s="315">
        <f t="shared" si="372"/>
        <v>1075</v>
      </c>
      <c r="W1162" s="316">
        <f t="shared" si="373"/>
        <v>0</v>
      </c>
    </row>
    <row r="1163" spans="1:23" x14ac:dyDescent="0.25">
      <c r="A1163" s="204" t="s">
        <v>16812</v>
      </c>
      <c r="B1163" s="351" t="s">
        <v>20887</v>
      </c>
      <c r="C1163" s="352"/>
      <c r="D1163" s="353" t="s">
        <v>5</v>
      </c>
      <c r="E1163" s="249">
        <f t="shared" si="374"/>
        <v>0</v>
      </c>
      <c r="F1163" s="336">
        <v>0</v>
      </c>
      <c r="G1163" s="258">
        <f t="shared" si="375"/>
        <v>0</v>
      </c>
      <c r="H1163" s="249">
        <f t="shared" si="376"/>
        <v>6.377152831753094E-2</v>
      </c>
      <c r="I1163" s="336">
        <v>1.1344515784606731E-2</v>
      </c>
      <c r="J1163" s="258">
        <f t="shared" si="377"/>
        <v>1.1344515784606731E-2</v>
      </c>
      <c r="K1163" s="249">
        <f t="shared" si="378"/>
        <v>5.4474848230221333</v>
      </c>
      <c r="L1163" s="336">
        <v>0.96907004099808436</v>
      </c>
      <c r="M1163" s="258">
        <f t="shared" si="379"/>
        <v>0.96907004099808436</v>
      </c>
      <c r="N1163" s="251">
        <f t="shared" si="380"/>
        <v>0.11003714690083768</v>
      </c>
      <c r="O1163" s="336">
        <v>1.9574850765595928E-2</v>
      </c>
      <c r="P1163" s="258">
        <f t="shared" si="381"/>
        <v>1.9574850765595928E-2</v>
      </c>
      <c r="Q1163" s="354">
        <v>5.4887703488372095</v>
      </c>
      <c r="R1163" s="249">
        <f t="shared" si="382"/>
        <v>5.6213530421511626</v>
      </c>
      <c r="S1163" s="355">
        <v>0.1</v>
      </c>
      <c r="T1163" s="355"/>
      <c r="U1163" s="315">
        <f t="shared" si="371"/>
        <v>6.1834883463662784</v>
      </c>
      <c r="V1163" s="315">
        <f t="shared" si="372"/>
        <v>7</v>
      </c>
      <c r="W1163" s="316">
        <f t="shared" si="373"/>
        <v>0</v>
      </c>
    </row>
    <row r="1164" spans="1:23" x14ac:dyDescent="0.25">
      <c r="A1164" s="204" t="s">
        <v>16813</v>
      </c>
      <c r="B1164" s="351" t="s">
        <v>20888</v>
      </c>
      <c r="C1164" s="352"/>
      <c r="D1164" s="353" t="s">
        <v>14859</v>
      </c>
      <c r="E1164" s="249">
        <f t="shared" si="374"/>
        <v>0</v>
      </c>
      <c r="F1164" s="336">
        <v>0</v>
      </c>
      <c r="G1164" s="258">
        <f t="shared" si="375"/>
        <v>0</v>
      </c>
      <c r="H1164" s="249">
        <f t="shared" si="376"/>
        <v>10.971160157414216</v>
      </c>
      <c r="I1164" s="336">
        <v>3.9175235106277918E-3</v>
      </c>
      <c r="J1164" s="258">
        <f t="shared" si="377"/>
        <v>3.9175235106277918E-3</v>
      </c>
      <c r="K1164" s="249">
        <f t="shared" si="378"/>
        <v>2770.6328155513611</v>
      </c>
      <c r="L1164" s="336">
        <v>0.98932282807887717</v>
      </c>
      <c r="M1164" s="258">
        <f t="shared" si="379"/>
        <v>0.98932282807887717</v>
      </c>
      <c r="N1164" s="251">
        <f t="shared" si="380"/>
        <v>18.930629291224527</v>
      </c>
      <c r="O1164" s="336">
        <v>6.759648410495013E-3</v>
      </c>
      <c r="P1164" s="258">
        <f t="shared" si="381"/>
        <v>6.759648410495013E-3</v>
      </c>
      <c r="Q1164" s="354">
        <v>2733.87</v>
      </c>
      <c r="R1164" s="249">
        <f t="shared" si="382"/>
        <v>2800.5346049999998</v>
      </c>
      <c r="S1164" s="355">
        <v>0.1</v>
      </c>
      <c r="T1164" s="355"/>
      <c r="U1164" s="315">
        <f t="shared" si="371"/>
        <v>3080.5880654999996</v>
      </c>
      <c r="V1164" s="315">
        <f t="shared" si="372"/>
        <v>3100</v>
      </c>
      <c r="W1164" s="316">
        <f t="shared" si="373"/>
        <v>0</v>
      </c>
    </row>
    <row r="1165" spans="1:23" x14ac:dyDescent="0.25">
      <c r="A1165" s="204" t="s">
        <v>16814</v>
      </c>
      <c r="B1165" s="351" t="s">
        <v>20889</v>
      </c>
      <c r="C1165" s="352"/>
      <c r="D1165" s="353" t="s">
        <v>5</v>
      </c>
      <c r="E1165" s="249">
        <f t="shared" si="374"/>
        <v>0</v>
      </c>
      <c r="F1165" s="336">
        <v>0</v>
      </c>
      <c r="G1165" s="258">
        <f t="shared" si="375"/>
        <v>0</v>
      </c>
      <c r="H1165" s="249">
        <f t="shared" si="376"/>
        <v>6.3785581525499124E-2</v>
      </c>
      <c r="I1165" s="336">
        <v>3.9175235106277918E-3</v>
      </c>
      <c r="J1165" s="258">
        <f t="shared" si="377"/>
        <v>3.9175235106277918E-3</v>
      </c>
      <c r="K1165" s="249">
        <f t="shared" si="378"/>
        <v>16.108211837961878</v>
      </c>
      <c r="L1165" s="336">
        <v>0.98931917026047322</v>
      </c>
      <c r="M1165" s="258">
        <f t="shared" si="379"/>
        <v>0.98931917026047322</v>
      </c>
      <c r="N1165" s="251">
        <f t="shared" si="380"/>
        <v>0.11006139557341026</v>
      </c>
      <c r="O1165" s="336">
        <v>6.759648410495013E-3</v>
      </c>
      <c r="P1165" s="258">
        <f t="shared" si="381"/>
        <v>6.759648410495013E-3</v>
      </c>
      <c r="Q1165" s="354">
        <v>15.894593023255814</v>
      </c>
      <c r="R1165" s="249">
        <f t="shared" si="382"/>
        <v>16.282118372093024</v>
      </c>
      <c r="S1165" s="355">
        <v>0.1</v>
      </c>
      <c r="T1165" s="355"/>
      <c r="U1165" s="315">
        <f t="shared" si="371"/>
        <v>17.910330209302327</v>
      </c>
      <c r="V1165" s="315">
        <f t="shared" si="372"/>
        <v>18</v>
      </c>
      <c r="W1165" s="316">
        <f t="shared" si="373"/>
        <v>0</v>
      </c>
    </row>
    <row r="1166" spans="1:23" x14ac:dyDescent="0.25">
      <c r="A1166" s="204" t="s">
        <v>16815</v>
      </c>
      <c r="B1166" s="351" t="s">
        <v>20890</v>
      </c>
      <c r="C1166" s="352"/>
      <c r="D1166" s="353" t="s">
        <v>14859</v>
      </c>
      <c r="E1166" s="249">
        <f t="shared" si="374"/>
        <v>0</v>
      </c>
      <c r="F1166" s="336">
        <v>0</v>
      </c>
      <c r="G1166" s="258">
        <f t="shared" si="375"/>
        <v>0</v>
      </c>
      <c r="H1166" s="249">
        <f t="shared" si="376"/>
        <v>10.971774264859199</v>
      </c>
      <c r="I1166" s="336">
        <v>1.9692748986402629E-3</v>
      </c>
      <c r="J1166" s="258">
        <f t="shared" si="377"/>
        <v>1.9692748986402629E-3</v>
      </c>
      <c r="K1166" s="249">
        <f t="shared" si="378"/>
        <v>5541.5758018075394</v>
      </c>
      <c r="L1166" s="336">
        <v>0.99463276057037264</v>
      </c>
      <c r="M1166" s="258">
        <f t="shared" si="379"/>
        <v>0.99463276057037264</v>
      </c>
      <c r="N1166" s="251">
        <f t="shared" si="380"/>
        <v>18.931688927600188</v>
      </c>
      <c r="O1166" s="336">
        <v>3.3979645309871204E-3</v>
      </c>
      <c r="P1166" s="258">
        <f t="shared" si="381"/>
        <v>3.3979645309871204E-3</v>
      </c>
      <c r="Q1166" s="354">
        <v>5438.5499999999993</v>
      </c>
      <c r="R1166" s="249">
        <f t="shared" si="382"/>
        <v>5571.479264999999</v>
      </c>
      <c r="S1166" s="355">
        <v>0.1</v>
      </c>
      <c r="T1166" s="355"/>
      <c r="U1166" s="315">
        <f t="shared" si="371"/>
        <v>6128.6271914999988</v>
      </c>
      <c r="V1166" s="315">
        <f t="shared" si="372"/>
        <v>6150</v>
      </c>
      <c r="W1166" s="316">
        <f t="shared" si="373"/>
        <v>0</v>
      </c>
    </row>
    <row r="1167" spans="1:23" x14ac:dyDescent="0.25">
      <c r="A1167" s="204" t="s">
        <v>16816</v>
      </c>
      <c r="B1167" s="351" t="s">
        <v>20891</v>
      </c>
      <c r="C1167" s="352"/>
      <c r="D1167" s="353" t="s">
        <v>5</v>
      </c>
      <c r="E1167" s="249">
        <f t="shared" si="374"/>
        <v>0</v>
      </c>
      <c r="F1167" s="336">
        <v>0</v>
      </c>
      <c r="G1167" s="258">
        <f t="shared" si="375"/>
        <v>0</v>
      </c>
      <c r="H1167" s="249">
        <f t="shared" si="376"/>
        <v>6.3789267963010834E-2</v>
      </c>
      <c r="I1167" s="336">
        <v>1.9692748986402629E-3</v>
      </c>
      <c r="J1167" s="258">
        <f t="shared" si="377"/>
        <v>1.9692748986402629E-3</v>
      </c>
      <c r="K1167" s="249">
        <f t="shared" si="378"/>
        <v>32.218345159263549</v>
      </c>
      <c r="L1167" s="336">
        <v>0.99463092184497703</v>
      </c>
      <c r="M1167" s="258">
        <f t="shared" si="379"/>
        <v>0.99463092184497703</v>
      </c>
      <c r="N1167" s="251">
        <f t="shared" si="380"/>
        <v>0.11006775648519518</v>
      </c>
      <c r="O1167" s="336">
        <v>3.3979645309871204E-3</v>
      </c>
      <c r="P1167" s="258">
        <f t="shared" si="381"/>
        <v>3.3979645309871204E-3</v>
      </c>
      <c r="Q1167" s="354">
        <v>31.619476744186041</v>
      </c>
      <c r="R1167" s="249">
        <f t="shared" si="382"/>
        <v>32.392261744186044</v>
      </c>
      <c r="S1167" s="355">
        <v>0.1</v>
      </c>
      <c r="T1167" s="355"/>
      <c r="U1167" s="315">
        <f t="shared" si="371"/>
        <v>35.631487918604648</v>
      </c>
      <c r="V1167" s="315">
        <f t="shared" si="372"/>
        <v>36</v>
      </c>
      <c r="W1167" s="316">
        <f t="shared" si="373"/>
        <v>0</v>
      </c>
    </row>
    <row r="1168" spans="1:23" x14ac:dyDescent="0.25">
      <c r="A1168" s="204" t="s">
        <v>16817</v>
      </c>
      <c r="B1168" s="351" t="s">
        <v>20892</v>
      </c>
      <c r="C1168" s="352"/>
      <c r="D1168" s="353" t="s">
        <v>14859</v>
      </c>
      <c r="E1168" s="249">
        <f t="shared" si="374"/>
        <v>0</v>
      </c>
      <c r="F1168" s="336">
        <v>0</v>
      </c>
      <c r="G1168" s="258">
        <f t="shared" si="375"/>
        <v>0</v>
      </c>
      <c r="H1168" s="249">
        <f t="shared" si="376"/>
        <v>10.971877257574739</v>
      </c>
      <c r="I1168" s="336">
        <v>1.6425317257073241E-3</v>
      </c>
      <c r="J1168" s="258">
        <f t="shared" si="377"/>
        <v>1.6425317257073241E-3</v>
      </c>
      <c r="K1168" s="249">
        <f t="shared" si="378"/>
        <v>6649.9533851019041</v>
      </c>
      <c r="L1168" s="336">
        <v>0.99552329588483701</v>
      </c>
      <c r="M1168" s="258">
        <f t="shared" si="379"/>
        <v>0.99552329588483701</v>
      </c>
      <c r="N1168" s="251">
        <f t="shared" si="380"/>
        <v>18.931866640521118</v>
      </c>
      <c r="O1168" s="336">
        <v>2.8341723894557747E-3</v>
      </c>
      <c r="P1168" s="258">
        <f t="shared" si="381"/>
        <v>2.8341723894557747E-3</v>
      </c>
      <c r="Q1168" s="354">
        <v>6520.4219999999996</v>
      </c>
      <c r="R1168" s="249">
        <f t="shared" si="382"/>
        <v>6679.8571289999991</v>
      </c>
      <c r="S1168" s="355">
        <v>0.1</v>
      </c>
      <c r="T1168" s="355"/>
      <c r="U1168" s="315">
        <f t="shared" si="371"/>
        <v>7347.8428418999993</v>
      </c>
      <c r="V1168" s="315">
        <f t="shared" si="372"/>
        <v>7350</v>
      </c>
      <c r="W1168" s="316">
        <f t="shared" si="373"/>
        <v>0</v>
      </c>
    </row>
    <row r="1169" spans="1:39" x14ac:dyDescent="0.25">
      <c r="A1169" s="204" t="s">
        <v>16818</v>
      </c>
      <c r="B1169" s="351" t="s">
        <v>20893</v>
      </c>
      <c r="C1169" s="352"/>
      <c r="D1169" s="353" t="s">
        <v>5</v>
      </c>
      <c r="E1169" s="249">
        <f t="shared" si="374"/>
        <v>0</v>
      </c>
      <c r="F1169" s="336">
        <v>0</v>
      </c>
      <c r="G1169" s="258">
        <f t="shared" si="375"/>
        <v>0</v>
      </c>
      <c r="H1169" s="249">
        <f t="shared" si="376"/>
        <v>6.3789886219983771E-2</v>
      </c>
      <c r="I1169" s="336">
        <v>1.6425317257073241E-3</v>
      </c>
      <c r="J1169" s="258">
        <f t="shared" si="377"/>
        <v>1.6425317257073241E-3</v>
      </c>
      <c r="K1169" s="249">
        <f t="shared" si="378"/>
        <v>38.662400822470168</v>
      </c>
      <c r="L1169" s="336">
        <v>0.99552176224176903</v>
      </c>
      <c r="M1169" s="258">
        <f t="shared" si="379"/>
        <v>0.99552176224176903</v>
      </c>
      <c r="N1169" s="251">
        <f t="shared" si="380"/>
        <v>0.11006882328154063</v>
      </c>
      <c r="O1169" s="336">
        <v>2.8341723894557747E-3</v>
      </c>
      <c r="P1169" s="258">
        <f t="shared" si="381"/>
        <v>2.8341723894557747E-3</v>
      </c>
      <c r="Q1169" s="354">
        <v>37.909430232558137</v>
      </c>
      <c r="R1169" s="249">
        <f t="shared" si="382"/>
        <v>38.836319093023249</v>
      </c>
      <c r="S1169" s="355">
        <v>0.1</v>
      </c>
      <c r="T1169" s="355"/>
      <c r="U1169" s="315">
        <f t="shared" si="371"/>
        <v>42.719951002325573</v>
      </c>
      <c r="V1169" s="315">
        <f t="shared" si="372"/>
        <v>43</v>
      </c>
      <c r="W1169" s="316">
        <f t="shared" si="373"/>
        <v>0</v>
      </c>
    </row>
    <row r="1170" spans="1:39" x14ac:dyDescent="0.25">
      <c r="A1170" s="203" t="s">
        <v>16819</v>
      </c>
      <c r="B1170" s="345" t="s">
        <v>16820</v>
      </c>
      <c r="C1170" s="346"/>
      <c r="D1170" s="347"/>
      <c r="E1170" s="347"/>
      <c r="F1170" s="347"/>
      <c r="G1170" s="347"/>
      <c r="H1170" s="347"/>
      <c r="I1170" s="347"/>
      <c r="J1170" s="347"/>
      <c r="K1170" s="347"/>
      <c r="L1170" s="347"/>
      <c r="M1170" s="347"/>
      <c r="N1170" s="347"/>
      <c r="O1170" s="347"/>
      <c r="P1170" s="347"/>
      <c r="Q1170" s="347"/>
      <c r="R1170" s="347"/>
      <c r="S1170" s="347"/>
      <c r="T1170" s="348"/>
      <c r="U1170" s="349"/>
      <c r="V1170" s="349"/>
      <c r="W1170" s="350"/>
    </row>
    <row r="1171" spans="1:39" x14ac:dyDescent="0.25">
      <c r="A1171" s="204" t="s">
        <v>16821</v>
      </c>
      <c r="B1171" s="351" t="s">
        <v>20894</v>
      </c>
      <c r="C1171" s="352"/>
      <c r="D1171" s="353" t="s">
        <v>5</v>
      </c>
      <c r="E1171" s="249">
        <f t="shared" si="374"/>
        <v>0</v>
      </c>
      <c r="F1171" s="336">
        <v>0</v>
      </c>
      <c r="G1171" s="258">
        <f t="shared" si="375"/>
        <v>0</v>
      </c>
      <c r="H1171" s="249">
        <f t="shared" si="376"/>
        <v>6.3698119418767976E-2</v>
      </c>
      <c r="I1171" s="336">
        <v>5.0140449438202256E-2</v>
      </c>
      <c r="J1171" s="258">
        <f t="shared" si="377"/>
        <v>5.0140449438202256E-2</v>
      </c>
      <c r="K1171" s="249">
        <f t="shared" si="378"/>
        <v>1.0967257909263131</v>
      </c>
      <c r="L1171" s="336">
        <v>0.86329588014981273</v>
      </c>
      <c r="M1171" s="258">
        <f t="shared" si="379"/>
        <v>0.86329588014981273</v>
      </c>
      <c r="N1171" s="251">
        <f t="shared" si="380"/>
        <v>0.10991048056571728</v>
      </c>
      <c r="O1171" s="336">
        <v>8.6516853932584278E-2</v>
      </c>
      <c r="P1171" s="258">
        <f t="shared" si="381"/>
        <v>8.6516853932584278E-2</v>
      </c>
      <c r="Q1171" s="354">
        <v>1.241860465116279</v>
      </c>
      <c r="R1171" s="249">
        <f t="shared" si="382"/>
        <v>1.2703938662790697</v>
      </c>
      <c r="S1171" s="355">
        <v>0.1</v>
      </c>
      <c r="T1171" s="355"/>
      <c r="U1171" s="315">
        <f t="shared" si="371"/>
        <v>1.3974332529069766</v>
      </c>
      <c r="V1171" s="315">
        <f t="shared" si="372"/>
        <v>2</v>
      </c>
      <c r="W1171" s="316">
        <f t="shared" si="373"/>
        <v>0</v>
      </c>
    </row>
    <row r="1172" spans="1:39" x14ac:dyDescent="0.25">
      <c r="A1172" s="204" t="s">
        <v>16822</v>
      </c>
      <c r="B1172" s="351" t="s">
        <v>20895</v>
      </c>
      <c r="C1172" s="352"/>
      <c r="D1172" s="353" t="s">
        <v>14859</v>
      </c>
      <c r="E1172" s="249">
        <f t="shared" si="374"/>
        <v>0</v>
      </c>
      <c r="F1172" s="336">
        <v>0</v>
      </c>
      <c r="G1172" s="258">
        <f t="shared" si="375"/>
        <v>0</v>
      </c>
      <c r="H1172" s="249">
        <f t="shared" si="376"/>
        <v>10.956590228932585</v>
      </c>
      <c r="I1172" s="336">
        <v>5.0140449438202256E-2</v>
      </c>
      <c r="J1172" s="258">
        <f t="shared" si="377"/>
        <v>5.0140449438202256E-2</v>
      </c>
      <c r="K1172" s="249">
        <f t="shared" si="378"/>
        <v>188.65591074859552</v>
      </c>
      <c r="L1172" s="336">
        <v>0.86334269662921348</v>
      </c>
      <c r="M1172" s="258">
        <f t="shared" si="379"/>
        <v>0.86334269662921348</v>
      </c>
      <c r="N1172" s="251">
        <f t="shared" si="380"/>
        <v>18.905489022471912</v>
      </c>
      <c r="O1172" s="336">
        <v>8.6516853932584278E-2</v>
      </c>
      <c r="P1172" s="258">
        <f t="shared" si="381"/>
        <v>8.6516853932584278E-2</v>
      </c>
      <c r="Q1172" s="354">
        <v>213.6</v>
      </c>
      <c r="R1172" s="249">
        <f t="shared" si="382"/>
        <v>218.51799</v>
      </c>
      <c r="S1172" s="355">
        <v>0.1</v>
      </c>
      <c r="T1172" s="355"/>
      <c r="U1172" s="315">
        <f t="shared" si="371"/>
        <v>240.369789</v>
      </c>
      <c r="V1172" s="315">
        <f t="shared" si="372"/>
        <v>245</v>
      </c>
      <c r="W1172" s="316">
        <f t="shared" si="373"/>
        <v>0</v>
      </c>
    </row>
    <row r="1173" spans="1:39" x14ac:dyDescent="0.25">
      <c r="A1173" s="204" t="s">
        <v>16823</v>
      </c>
      <c r="B1173" s="351" t="s">
        <v>20896</v>
      </c>
      <c r="C1173" s="352"/>
      <c r="D1173" s="353" t="s">
        <v>5</v>
      </c>
      <c r="E1173" s="249">
        <f t="shared" si="374"/>
        <v>0</v>
      </c>
      <c r="F1173" s="336">
        <v>0</v>
      </c>
      <c r="G1173" s="258">
        <f t="shared" si="375"/>
        <v>0</v>
      </c>
      <c r="H1173" s="249">
        <f t="shared" si="376"/>
        <v>6.370077335804572E-2</v>
      </c>
      <c r="I1173" s="336">
        <v>4.8737866728556026E-2</v>
      </c>
      <c r="J1173" s="258">
        <f t="shared" si="377"/>
        <v>4.8737866728556026E-2</v>
      </c>
      <c r="K1173" s="249">
        <f t="shared" si="378"/>
        <v>1.1333325173721325</v>
      </c>
      <c r="L1173" s="336">
        <v>0.86711991517517895</v>
      </c>
      <c r="M1173" s="258">
        <f t="shared" si="379"/>
        <v>0.86711991517517895</v>
      </c>
      <c r="N1173" s="251">
        <f t="shared" si="380"/>
        <v>0.10991505991192202</v>
      </c>
      <c r="O1173" s="336">
        <v>8.4096711217900591E-2</v>
      </c>
      <c r="P1173" s="258">
        <f t="shared" si="381"/>
        <v>8.4096711217900591E-2</v>
      </c>
      <c r="Q1173" s="354">
        <v>1.2775988372093023</v>
      </c>
      <c r="R1173" s="249">
        <f t="shared" si="382"/>
        <v>1.3070078284883726</v>
      </c>
      <c r="S1173" s="355">
        <v>0.1</v>
      </c>
      <c r="T1173" s="355"/>
      <c r="U1173" s="315">
        <f t="shared" si="371"/>
        <v>1.43770861133721</v>
      </c>
      <c r="V1173" s="315">
        <f t="shared" si="372"/>
        <v>2</v>
      </c>
      <c r="W1173" s="316">
        <f t="shared" si="373"/>
        <v>0</v>
      </c>
    </row>
    <row r="1174" spans="1:39" x14ac:dyDescent="0.25">
      <c r="A1174" s="204" t="s">
        <v>16824</v>
      </c>
      <c r="B1174" s="351" t="s">
        <v>20897</v>
      </c>
      <c r="C1174" s="352"/>
      <c r="D1174" s="353" t="s">
        <v>14859</v>
      </c>
      <c r="E1174" s="249">
        <f t="shared" si="374"/>
        <v>0</v>
      </c>
      <c r="F1174" s="336">
        <v>0</v>
      </c>
      <c r="G1174" s="258">
        <f t="shared" si="375"/>
        <v>0</v>
      </c>
      <c r="H1174" s="249">
        <f t="shared" si="376"/>
        <v>10.957032337028492</v>
      </c>
      <c r="I1174" s="336">
        <v>4.8737866728556026E-2</v>
      </c>
      <c r="J1174" s="258">
        <f t="shared" si="377"/>
        <v>4.8737866728556026E-2</v>
      </c>
      <c r="K1174" s="249">
        <f t="shared" si="378"/>
        <v>194.95230728731448</v>
      </c>
      <c r="L1174" s="336">
        <v>0.86716542205354341</v>
      </c>
      <c r="M1174" s="258">
        <f t="shared" si="379"/>
        <v>0.86716542205354341</v>
      </c>
      <c r="N1174" s="251">
        <f t="shared" si="380"/>
        <v>18.906251875657006</v>
      </c>
      <c r="O1174" s="336">
        <v>8.4096711217900591E-2</v>
      </c>
      <c r="P1174" s="258">
        <f t="shared" si="381"/>
        <v>8.4096711217900591E-2</v>
      </c>
      <c r="Q1174" s="354">
        <v>219.74699999999999</v>
      </c>
      <c r="R1174" s="249">
        <f t="shared" si="382"/>
        <v>224.81559149999998</v>
      </c>
      <c r="S1174" s="355">
        <v>0.1</v>
      </c>
      <c r="T1174" s="355"/>
      <c r="U1174" s="315">
        <f t="shared" si="371"/>
        <v>247.29715064999999</v>
      </c>
      <c r="V1174" s="315">
        <f t="shared" si="372"/>
        <v>250</v>
      </c>
      <c r="W1174" s="316">
        <f t="shared" si="373"/>
        <v>0</v>
      </c>
    </row>
    <row r="1175" spans="1:39" s="284" customFormat="1" ht="14.4" x14ac:dyDescent="0.3">
      <c r="A1175" s="204" t="s">
        <v>16825</v>
      </c>
      <c r="B1175" s="351" t="s">
        <v>20898</v>
      </c>
      <c r="C1175" s="352"/>
      <c r="D1175" s="353" t="s">
        <v>5</v>
      </c>
      <c r="E1175" s="249">
        <f t="shared" si="374"/>
        <v>0</v>
      </c>
      <c r="F1175" s="336">
        <v>0</v>
      </c>
      <c r="G1175" s="258">
        <f t="shared" si="375"/>
        <v>0</v>
      </c>
      <c r="H1175" s="249">
        <f t="shared" si="376"/>
        <v>6.3706423848609237E-2</v>
      </c>
      <c r="I1175" s="336">
        <v>4.5751633986928109E-2</v>
      </c>
      <c r="J1175" s="258">
        <f t="shared" si="377"/>
        <v>4.5751633986928109E-2</v>
      </c>
      <c r="K1175" s="249">
        <f t="shared" si="378"/>
        <v>1.2187496902279691</v>
      </c>
      <c r="L1175" s="336">
        <v>0.87526165150155943</v>
      </c>
      <c r="M1175" s="258">
        <f t="shared" si="379"/>
        <v>0.87526165150155943</v>
      </c>
      <c r="N1175" s="251">
        <f t="shared" si="380"/>
        <v>0.1099248097779924</v>
      </c>
      <c r="O1175" s="336">
        <v>7.89439958990132E-2</v>
      </c>
      <c r="P1175" s="258">
        <f t="shared" si="381"/>
        <v>7.89439958990132E-2</v>
      </c>
      <c r="Q1175" s="354">
        <v>1.3609883720930234</v>
      </c>
      <c r="R1175" s="249">
        <f t="shared" si="382"/>
        <v>1.3924404069767446</v>
      </c>
      <c r="S1175" s="355">
        <v>0.1</v>
      </c>
      <c r="T1175" s="355"/>
      <c r="U1175" s="315">
        <f t="shared" si="371"/>
        <v>1.5316844476744191</v>
      </c>
      <c r="V1175" s="315">
        <f t="shared" si="372"/>
        <v>2</v>
      </c>
      <c r="W1175" s="316">
        <f t="shared" si="373"/>
        <v>0</v>
      </c>
      <c r="X1175" s="185"/>
      <c r="Y1175" s="185"/>
      <c r="Z1175" s="185"/>
      <c r="AA1175" s="206"/>
      <c r="AB1175" s="283"/>
      <c r="AC1175" s="285"/>
      <c r="AD1175" s="285"/>
      <c r="AE1175" s="285"/>
      <c r="AF1175" s="285"/>
      <c r="AG1175" s="285"/>
      <c r="AH1175" s="285"/>
      <c r="AI1175" s="285"/>
      <c r="AJ1175" s="285"/>
      <c r="AK1175" s="285"/>
      <c r="AL1175" s="283"/>
      <c r="AM1175" s="283"/>
    </row>
    <row r="1176" spans="1:39" x14ac:dyDescent="0.25">
      <c r="A1176" s="204" t="s">
        <v>16826</v>
      </c>
      <c r="B1176" s="351" t="s">
        <v>20899</v>
      </c>
      <c r="C1176" s="352"/>
      <c r="D1176" s="353" t="s">
        <v>14859</v>
      </c>
      <c r="E1176" s="249">
        <f t="shared" si="374"/>
        <v>0</v>
      </c>
      <c r="F1176" s="336">
        <v>0</v>
      </c>
      <c r="G1176" s="258">
        <f t="shared" si="375"/>
        <v>0</v>
      </c>
      <c r="H1176" s="249">
        <f t="shared" si="376"/>
        <v>10.957973627450981</v>
      </c>
      <c r="I1176" s="336">
        <v>4.5751633986928109E-2</v>
      </c>
      <c r="J1176" s="258">
        <f t="shared" si="377"/>
        <v>4.5751633986928109E-2</v>
      </c>
      <c r="K1176" s="249">
        <f t="shared" si="378"/>
        <v>209.64414530949637</v>
      </c>
      <c r="L1176" s="336">
        <v>0.87530437011405871</v>
      </c>
      <c r="M1176" s="258">
        <f t="shared" si="379"/>
        <v>0.87530437011405871</v>
      </c>
      <c r="N1176" s="251">
        <f t="shared" si="380"/>
        <v>18.907876063052672</v>
      </c>
      <c r="O1176" s="336">
        <v>7.89439958990132E-2</v>
      </c>
      <c r="P1176" s="258">
        <f t="shared" si="381"/>
        <v>7.89439958990132E-2</v>
      </c>
      <c r="Q1176" s="354">
        <v>234.09</v>
      </c>
      <c r="R1176" s="249">
        <f t="shared" si="382"/>
        <v>239.509995</v>
      </c>
      <c r="S1176" s="355">
        <v>0.1</v>
      </c>
      <c r="T1176" s="355"/>
      <c r="U1176" s="315">
        <f t="shared" si="371"/>
        <v>263.46099450000003</v>
      </c>
      <c r="V1176" s="315">
        <f t="shared" si="372"/>
        <v>265</v>
      </c>
      <c r="W1176" s="316">
        <f t="shared" si="373"/>
        <v>0</v>
      </c>
    </row>
    <row r="1177" spans="1:39" x14ac:dyDescent="0.25">
      <c r="A1177" s="204" t="s">
        <v>16827</v>
      </c>
      <c r="B1177" s="351" t="s">
        <v>20900</v>
      </c>
      <c r="C1177" s="352"/>
      <c r="D1177" s="353" t="s">
        <v>5</v>
      </c>
      <c r="E1177" s="249">
        <f t="shared" si="374"/>
        <v>0</v>
      </c>
      <c r="F1177" s="336">
        <v>0</v>
      </c>
      <c r="G1177" s="258">
        <f t="shared" si="375"/>
        <v>0</v>
      </c>
      <c r="H1177" s="249">
        <f t="shared" si="376"/>
        <v>6.3706801074644631E-2</v>
      </c>
      <c r="I1177" s="336">
        <v>4.5552273466757692E-2</v>
      </c>
      <c r="J1177" s="258">
        <f t="shared" si="377"/>
        <v>4.5552273466757692E-2</v>
      </c>
      <c r="K1177" s="249">
        <f t="shared" si="378"/>
        <v>1.2248509887847723</v>
      </c>
      <c r="L1177" s="336">
        <v>0.87580519278904534</v>
      </c>
      <c r="M1177" s="258">
        <f t="shared" si="379"/>
        <v>0.87580519278904534</v>
      </c>
      <c r="N1177" s="251">
        <f t="shared" si="380"/>
        <v>0.10992546067781819</v>
      </c>
      <c r="O1177" s="336">
        <v>7.8600001275974052E-2</v>
      </c>
      <c r="P1177" s="258">
        <f t="shared" si="381"/>
        <v>7.8600001275974052E-2</v>
      </c>
      <c r="Q1177" s="354">
        <v>1.3669447674418604</v>
      </c>
      <c r="R1177" s="249">
        <f t="shared" si="382"/>
        <v>1.3985427340116279</v>
      </c>
      <c r="S1177" s="355">
        <v>0.1</v>
      </c>
      <c r="T1177" s="355"/>
      <c r="U1177" s="315">
        <f t="shared" si="371"/>
        <v>1.5383970074127906</v>
      </c>
      <c r="V1177" s="315">
        <f t="shared" si="372"/>
        <v>2</v>
      </c>
      <c r="W1177" s="316">
        <f t="shared" si="373"/>
        <v>0</v>
      </c>
    </row>
    <row r="1178" spans="1:39" x14ac:dyDescent="0.25">
      <c r="A1178" s="204" t="s">
        <v>16828</v>
      </c>
      <c r="B1178" s="351" t="s">
        <v>20901</v>
      </c>
      <c r="C1178" s="352"/>
      <c r="D1178" s="353" t="s">
        <v>14859</v>
      </c>
      <c r="E1178" s="249">
        <f t="shared" si="374"/>
        <v>0</v>
      </c>
      <c r="F1178" s="336">
        <v>0</v>
      </c>
      <c r="G1178" s="258">
        <f t="shared" si="375"/>
        <v>0</v>
      </c>
      <c r="H1178" s="249">
        <f t="shared" si="376"/>
        <v>10.958036467880545</v>
      </c>
      <c r="I1178" s="336">
        <v>4.5552273466757692E-2</v>
      </c>
      <c r="J1178" s="258">
        <f t="shared" si="377"/>
        <v>4.5552273466757692E-2</v>
      </c>
      <c r="K1178" s="249">
        <f t="shared" si="378"/>
        <v>210.69357428852166</v>
      </c>
      <c r="L1178" s="336">
        <v>0.87584772525726828</v>
      </c>
      <c r="M1178" s="258">
        <f t="shared" si="379"/>
        <v>0.87584772525726828</v>
      </c>
      <c r="N1178" s="251">
        <f t="shared" si="380"/>
        <v>18.907984493597802</v>
      </c>
      <c r="O1178" s="336">
        <v>7.8600001275974052E-2</v>
      </c>
      <c r="P1178" s="258">
        <f t="shared" si="381"/>
        <v>7.8600001275974052E-2</v>
      </c>
      <c r="Q1178" s="354">
        <v>235.11449999999999</v>
      </c>
      <c r="R1178" s="249">
        <f t="shared" si="382"/>
        <v>240.55959525</v>
      </c>
      <c r="S1178" s="355">
        <v>0.1</v>
      </c>
      <c r="T1178" s="355"/>
      <c r="U1178" s="315">
        <f t="shared" si="371"/>
        <v>264.61555477500002</v>
      </c>
      <c r="V1178" s="315">
        <f t="shared" si="372"/>
        <v>265</v>
      </c>
      <c r="W1178" s="316">
        <f t="shared" si="373"/>
        <v>0</v>
      </c>
    </row>
    <row r="1179" spans="1:39" x14ac:dyDescent="0.25">
      <c r="A1179" s="204" t="s">
        <v>16829</v>
      </c>
      <c r="B1179" s="351" t="s">
        <v>20902</v>
      </c>
      <c r="C1179" s="352"/>
      <c r="D1179" s="353" t="s">
        <v>5</v>
      </c>
      <c r="E1179" s="249">
        <f t="shared" si="374"/>
        <v>0</v>
      </c>
      <c r="F1179" s="336">
        <v>0</v>
      </c>
      <c r="G1179" s="258">
        <f t="shared" si="375"/>
        <v>0</v>
      </c>
      <c r="H1179" s="249">
        <f t="shared" si="376"/>
        <v>6.3708972251925317E-2</v>
      </c>
      <c r="I1179" s="336">
        <v>4.4404826070732623E-2</v>
      </c>
      <c r="J1179" s="258">
        <f t="shared" si="377"/>
        <v>4.4404826070732623E-2</v>
      </c>
      <c r="K1179" s="249">
        <f t="shared" si="378"/>
        <v>1.2610331491769979</v>
      </c>
      <c r="L1179" s="336">
        <v>0.87893362079688231</v>
      </c>
      <c r="M1179" s="258">
        <f t="shared" si="379"/>
        <v>0.87893362079688231</v>
      </c>
      <c r="N1179" s="251">
        <f t="shared" si="380"/>
        <v>0.10992920702292994</v>
      </c>
      <c r="O1179" s="336">
        <v>7.6620092043617069E-2</v>
      </c>
      <c r="P1179" s="258">
        <f t="shared" si="381"/>
        <v>7.6620092043617069E-2</v>
      </c>
      <c r="Q1179" s="354">
        <v>1.402267441860465</v>
      </c>
      <c r="R1179" s="249">
        <f t="shared" si="382"/>
        <v>1.4347308139534887</v>
      </c>
      <c r="S1179" s="355">
        <v>0.1</v>
      </c>
      <c r="T1179" s="355"/>
      <c r="U1179" s="315">
        <f t="shared" si="371"/>
        <v>1.5782038953488375</v>
      </c>
      <c r="V1179" s="315">
        <f t="shared" si="372"/>
        <v>2</v>
      </c>
      <c r="W1179" s="316">
        <f t="shared" si="373"/>
        <v>0</v>
      </c>
    </row>
    <row r="1180" spans="1:39" x14ac:dyDescent="0.25">
      <c r="A1180" s="204" t="s">
        <v>16830</v>
      </c>
      <c r="B1180" s="351" t="s">
        <v>20903</v>
      </c>
      <c r="C1180" s="352"/>
      <c r="D1180" s="353" t="s">
        <v>14859</v>
      </c>
      <c r="E1180" s="249">
        <f t="shared" si="374"/>
        <v>0</v>
      </c>
      <c r="F1180" s="336">
        <v>0</v>
      </c>
      <c r="G1180" s="258">
        <f t="shared" si="375"/>
        <v>0</v>
      </c>
      <c r="H1180" s="249">
        <f t="shared" si="376"/>
        <v>10.958398154774246</v>
      </c>
      <c r="I1180" s="336">
        <v>4.4404826070732623E-2</v>
      </c>
      <c r="J1180" s="258">
        <f t="shared" si="377"/>
        <v>4.4404826070732623E-2</v>
      </c>
      <c r="K1180" s="249">
        <f t="shared" si="378"/>
        <v>216.91693826443881</v>
      </c>
      <c r="L1180" s="336">
        <v>0.87897508188565032</v>
      </c>
      <c r="M1180" s="258">
        <f t="shared" si="379"/>
        <v>0.87897508188565032</v>
      </c>
      <c r="N1180" s="251">
        <f t="shared" si="380"/>
        <v>18.908608580786932</v>
      </c>
      <c r="O1180" s="336">
        <v>7.6620092043617069E-2</v>
      </c>
      <c r="P1180" s="258">
        <f t="shared" si="381"/>
        <v>7.6620092043617069E-2</v>
      </c>
      <c r="Q1180" s="354">
        <v>241.19</v>
      </c>
      <c r="R1180" s="249">
        <f t="shared" si="382"/>
        <v>246.78394499999999</v>
      </c>
      <c r="S1180" s="355">
        <v>0.1</v>
      </c>
      <c r="T1180" s="355"/>
      <c r="U1180" s="315">
        <f t="shared" si="371"/>
        <v>271.46233949999998</v>
      </c>
      <c r="V1180" s="315">
        <f t="shared" si="372"/>
        <v>275</v>
      </c>
      <c r="W1180" s="316">
        <f t="shared" si="373"/>
        <v>0</v>
      </c>
    </row>
    <row r="1181" spans="1:39" x14ac:dyDescent="0.25">
      <c r="A1181" s="204" t="s">
        <v>16831</v>
      </c>
      <c r="B1181" s="351" t="s">
        <v>20904</v>
      </c>
      <c r="C1181" s="352"/>
      <c r="D1181" s="353" t="s">
        <v>5</v>
      </c>
      <c r="E1181" s="249">
        <f t="shared" si="374"/>
        <v>0</v>
      </c>
      <c r="F1181" s="336">
        <v>0</v>
      </c>
      <c r="G1181" s="258">
        <f t="shared" si="375"/>
        <v>0</v>
      </c>
      <c r="H1181" s="249">
        <f t="shared" si="376"/>
        <v>6.3714961628444283E-2</v>
      </c>
      <c r="I1181" s="336">
        <v>4.123949519161349E-2</v>
      </c>
      <c r="J1181" s="258">
        <f t="shared" si="377"/>
        <v>4.123949519161349E-2</v>
      </c>
      <c r="K1181" s="249">
        <f t="shared" si="378"/>
        <v>1.3712845884930418</v>
      </c>
      <c r="L1181" s="336">
        <v>0.88756365456628272</v>
      </c>
      <c r="M1181" s="258">
        <f t="shared" si="379"/>
        <v>0.88756365456628272</v>
      </c>
      <c r="N1181" s="251">
        <f t="shared" si="380"/>
        <v>0.10993954163339405</v>
      </c>
      <c r="O1181" s="336">
        <v>7.1158344644352681E-2</v>
      </c>
      <c r="P1181" s="258">
        <f t="shared" si="381"/>
        <v>7.1158344644352681E-2</v>
      </c>
      <c r="Q1181" s="354">
        <v>1.5098982558139533</v>
      </c>
      <c r="R1181" s="249">
        <f t="shared" si="382"/>
        <v>1.5449985828488373</v>
      </c>
      <c r="S1181" s="355">
        <v>0.1</v>
      </c>
      <c r="T1181" s="355"/>
      <c r="U1181" s="315">
        <f t="shared" si="371"/>
        <v>1.6994984411337211</v>
      </c>
      <c r="V1181" s="315">
        <f t="shared" si="372"/>
        <v>2</v>
      </c>
      <c r="W1181" s="316">
        <f t="shared" si="373"/>
        <v>0</v>
      </c>
    </row>
    <row r="1182" spans="1:39" x14ac:dyDescent="0.25">
      <c r="A1182" s="204" t="s">
        <v>16832</v>
      </c>
      <c r="B1182" s="351" t="s">
        <v>20905</v>
      </c>
      <c r="C1182" s="352"/>
      <c r="D1182" s="353" t="s">
        <v>14859</v>
      </c>
      <c r="E1182" s="249">
        <f t="shared" si="374"/>
        <v>0</v>
      </c>
      <c r="F1182" s="336">
        <v>0</v>
      </c>
      <c r="G1182" s="258">
        <f t="shared" si="375"/>
        <v>0</v>
      </c>
      <c r="H1182" s="249">
        <f t="shared" si="376"/>
        <v>10.959395898720651</v>
      </c>
      <c r="I1182" s="336">
        <v>4.1239495191613483E-2</v>
      </c>
      <c r="J1182" s="258">
        <f t="shared" si="377"/>
        <v>4.1239495191613483E-2</v>
      </c>
      <c r="K1182" s="249">
        <f t="shared" si="378"/>
        <v>235.88027517309465</v>
      </c>
      <c r="L1182" s="336">
        <v>0.88760216016403382</v>
      </c>
      <c r="M1182" s="258">
        <f t="shared" si="379"/>
        <v>0.88760216016403382</v>
      </c>
      <c r="N1182" s="251">
        <f t="shared" si="380"/>
        <v>18.910330178184655</v>
      </c>
      <c r="O1182" s="336">
        <v>7.1158344644352681E-2</v>
      </c>
      <c r="P1182" s="258">
        <f t="shared" si="381"/>
        <v>7.1158344644352681E-2</v>
      </c>
      <c r="Q1182" s="354">
        <v>259.70249999999999</v>
      </c>
      <c r="R1182" s="249">
        <f t="shared" si="382"/>
        <v>265.75000124999997</v>
      </c>
      <c r="S1182" s="355">
        <v>0.1</v>
      </c>
      <c r="T1182" s="355"/>
      <c r="U1182" s="315">
        <f t="shared" si="371"/>
        <v>292.32500137499994</v>
      </c>
      <c r="V1182" s="315">
        <f t="shared" si="372"/>
        <v>295</v>
      </c>
      <c r="W1182" s="316">
        <f t="shared" si="373"/>
        <v>0</v>
      </c>
    </row>
    <row r="1183" spans="1:39" x14ac:dyDescent="0.25">
      <c r="A1183" s="204" t="s">
        <v>16833</v>
      </c>
      <c r="B1183" s="351" t="s">
        <v>20906</v>
      </c>
      <c r="C1183" s="352"/>
      <c r="D1183" s="353" t="s">
        <v>5</v>
      </c>
      <c r="E1183" s="249">
        <f t="shared" si="374"/>
        <v>0</v>
      </c>
      <c r="F1183" s="336">
        <v>0</v>
      </c>
      <c r="G1183" s="258">
        <f t="shared" si="375"/>
        <v>0</v>
      </c>
      <c r="H1183" s="249">
        <f t="shared" si="376"/>
        <v>6.3720135211126377E-2</v>
      </c>
      <c r="I1183" s="336">
        <v>3.8505303916863069E-2</v>
      </c>
      <c r="J1183" s="258">
        <f t="shared" si="377"/>
        <v>3.8505303916863069E-2</v>
      </c>
      <c r="K1183" s="249">
        <f t="shared" si="378"/>
        <v>1.4811123697414597</v>
      </c>
      <c r="L1183" s="336">
        <v>0.8950182190128475</v>
      </c>
      <c r="M1183" s="258">
        <f t="shared" si="379"/>
        <v>0.8950182190128475</v>
      </c>
      <c r="N1183" s="251">
        <f t="shared" si="380"/>
        <v>0.10994846859959061</v>
      </c>
      <c r="O1183" s="336">
        <v>6.6440524405567636E-2</v>
      </c>
      <c r="P1183" s="258">
        <f t="shared" si="381"/>
        <v>6.6440524405567636E-2</v>
      </c>
      <c r="Q1183" s="354">
        <v>1.6171133720930231</v>
      </c>
      <c r="R1183" s="249">
        <f t="shared" si="382"/>
        <v>1.6548404694767438</v>
      </c>
      <c r="S1183" s="355">
        <v>0.1</v>
      </c>
      <c r="T1183" s="355"/>
      <c r="U1183" s="315">
        <f t="shared" si="371"/>
        <v>1.8203245164244182</v>
      </c>
      <c r="V1183" s="315">
        <f t="shared" si="372"/>
        <v>2</v>
      </c>
      <c r="W1183" s="316">
        <f t="shared" si="373"/>
        <v>0</v>
      </c>
    </row>
    <row r="1184" spans="1:39" x14ac:dyDescent="0.25">
      <c r="A1184" s="204" t="s">
        <v>16834</v>
      </c>
      <c r="B1184" s="351" t="s">
        <v>20907</v>
      </c>
      <c r="C1184" s="352"/>
      <c r="D1184" s="353" t="s">
        <v>14859</v>
      </c>
      <c r="E1184" s="249">
        <f t="shared" si="374"/>
        <v>0</v>
      </c>
      <c r="F1184" s="336">
        <v>0</v>
      </c>
      <c r="G1184" s="258">
        <f t="shared" si="375"/>
        <v>0</v>
      </c>
      <c r="H1184" s="249">
        <f t="shared" si="376"/>
        <v>10.960257743152368</v>
      </c>
      <c r="I1184" s="336">
        <v>3.8505303916863069E-2</v>
      </c>
      <c r="J1184" s="258">
        <f t="shared" si="377"/>
        <v>3.8505303916863069E-2</v>
      </c>
      <c r="K1184" s="249">
        <f t="shared" si="378"/>
        <v>254.77073072454553</v>
      </c>
      <c r="L1184" s="336">
        <v>0.8950541716775694</v>
      </c>
      <c r="M1184" s="258">
        <f t="shared" si="379"/>
        <v>0.8950541716775694</v>
      </c>
      <c r="N1184" s="251">
        <f t="shared" si="380"/>
        <v>18.91181728230212</v>
      </c>
      <c r="O1184" s="336">
        <v>6.6440524405567636E-2</v>
      </c>
      <c r="P1184" s="258">
        <f t="shared" si="381"/>
        <v>6.6440524405567636E-2</v>
      </c>
      <c r="Q1184" s="354">
        <v>278.14349999999996</v>
      </c>
      <c r="R1184" s="249">
        <f t="shared" si="382"/>
        <v>284.64280574999998</v>
      </c>
      <c r="S1184" s="355">
        <v>0.1</v>
      </c>
      <c r="T1184" s="355"/>
      <c r="U1184" s="315">
        <f t="shared" si="371"/>
        <v>313.10708632499995</v>
      </c>
      <c r="V1184" s="315">
        <f t="shared" si="372"/>
        <v>315</v>
      </c>
      <c r="W1184" s="316">
        <f t="shared" si="373"/>
        <v>0</v>
      </c>
    </row>
    <row r="1185" spans="1:28" x14ac:dyDescent="0.25">
      <c r="A1185" s="204" t="s">
        <v>16835</v>
      </c>
      <c r="B1185" s="351" t="s">
        <v>20908</v>
      </c>
      <c r="C1185" s="352"/>
      <c r="D1185" s="353" t="s">
        <v>5</v>
      </c>
      <c r="E1185" s="249">
        <f t="shared" si="374"/>
        <v>0</v>
      </c>
      <c r="F1185" s="336">
        <v>0</v>
      </c>
      <c r="G1185" s="258">
        <f t="shared" si="375"/>
        <v>0</v>
      </c>
      <c r="H1185" s="249">
        <f t="shared" si="376"/>
        <v>6.3739459528190712E-2</v>
      </c>
      <c r="I1185" s="336">
        <v>2.8292578547568392E-2</v>
      </c>
      <c r="J1185" s="258">
        <f t="shared" si="377"/>
        <v>2.8292578547568392E-2</v>
      </c>
      <c r="K1185" s="249">
        <f t="shared" si="378"/>
        <v>2.0790877328801129</v>
      </c>
      <c r="L1185" s="336">
        <v>0.92286243757338959</v>
      </c>
      <c r="M1185" s="258">
        <f t="shared" si="379"/>
        <v>0.92286243757338959</v>
      </c>
      <c r="N1185" s="251">
        <f t="shared" si="380"/>
        <v>0.10998181251923102</v>
      </c>
      <c r="O1185" s="336">
        <v>4.88185669056082E-2</v>
      </c>
      <c r="P1185" s="258">
        <f t="shared" si="381"/>
        <v>4.88185669056082E-2</v>
      </c>
      <c r="Q1185" s="354">
        <v>2.2008401162790694</v>
      </c>
      <c r="R1185" s="249">
        <f t="shared" si="382"/>
        <v>2.2528685188953483</v>
      </c>
      <c r="S1185" s="355">
        <v>0.1</v>
      </c>
      <c r="T1185" s="355"/>
      <c r="U1185" s="315">
        <f t="shared" si="371"/>
        <v>2.4781553707848833</v>
      </c>
      <c r="V1185" s="315">
        <f t="shared" si="372"/>
        <v>3</v>
      </c>
      <c r="W1185" s="316">
        <f t="shared" si="373"/>
        <v>0</v>
      </c>
    </row>
    <row r="1186" spans="1:28" x14ac:dyDescent="0.25">
      <c r="A1186" s="204" t="s">
        <v>16836</v>
      </c>
      <c r="B1186" s="351" t="s">
        <v>20909</v>
      </c>
      <c r="C1186" s="352"/>
      <c r="D1186" s="353" t="s">
        <v>14859</v>
      </c>
      <c r="E1186" s="249">
        <f t="shared" si="374"/>
        <v>0</v>
      </c>
      <c r="F1186" s="336">
        <v>0</v>
      </c>
      <c r="G1186" s="258">
        <f t="shared" si="375"/>
        <v>0</v>
      </c>
      <c r="H1186" s="249">
        <f t="shared" si="376"/>
        <v>10.963476896316022</v>
      </c>
      <c r="I1186" s="336">
        <v>2.8292578547568389E-2</v>
      </c>
      <c r="J1186" s="258">
        <f t="shared" si="377"/>
        <v>2.8292578547568389E-2</v>
      </c>
      <c r="K1186" s="249">
        <f t="shared" si="378"/>
        <v>357.62278145415826</v>
      </c>
      <c r="L1186" s="336">
        <v>0.92288885454682346</v>
      </c>
      <c r="M1186" s="258">
        <f t="shared" si="379"/>
        <v>0.92288885454682346</v>
      </c>
      <c r="N1186" s="251">
        <f t="shared" si="380"/>
        <v>18.917371899525683</v>
      </c>
      <c r="O1186" s="336">
        <v>4.8818566905608193E-2</v>
      </c>
      <c r="P1186" s="258">
        <f t="shared" si="381"/>
        <v>4.8818566905608193E-2</v>
      </c>
      <c r="Q1186" s="354">
        <v>378.54449999999997</v>
      </c>
      <c r="R1186" s="249">
        <f t="shared" si="382"/>
        <v>387.50363024999996</v>
      </c>
      <c r="S1186" s="355">
        <v>0.1</v>
      </c>
      <c r="T1186" s="355"/>
      <c r="U1186" s="315">
        <f t="shared" si="371"/>
        <v>426.25399327499997</v>
      </c>
      <c r="V1186" s="315">
        <f t="shared" si="372"/>
        <v>430</v>
      </c>
      <c r="W1186" s="316">
        <f t="shared" si="373"/>
        <v>0</v>
      </c>
    </row>
    <row r="1187" spans="1:28" x14ac:dyDescent="0.25">
      <c r="A1187" s="204" t="s">
        <v>16837</v>
      </c>
      <c r="B1187" s="351" t="s">
        <v>20910</v>
      </c>
      <c r="C1187" s="352"/>
      <c r="D1187" s="353" t="s">
        <v>5</v>
      </c>
      <c r="E1187" s="249">
        <f t="shared" si="374"/>
        <v>0</v>
      </c>
      <c r="F1187" s="336">
        <v>0</v>
      </c>
      <c r="G1187" s="258">
        <f t="shared" si="375"/>
        <v>0</v>
      </c>
      <c r="H1187" s="249">
        <f t="shared" si="376"/>
        <v>6.3743355479133679E-2</v>
      </c>
      <c r="I1187" s="336">
        <v>2.6233603997501562E-2</v>
      </c>
      <c r="J1187" s="258">
        <f t="shared" si="377"/>
        <v>2.6233603997501562E-2</v>
      </c>
      <c r="K1187" s="249">
        <f t="shared" si="378"/>
        <v>2.2560445948779657</v>
      </c>
      <c r="L1187" s="336">
        <v>0.92847607500214313</v>
      </c>
      <c r="M1187" s="258">
        <f t="shared" si="379"/>
        <v>0.92847607500214313</v>
      </c>
      <c r="N1187" s="251">
        <f t="shared" si="380"/>
        <v>0.10998853494438751</v>
      </c>
      <c r="O1187" s="336">
        <v>4.5265826505492886E-2</v>
      </c>
      <c r="P1187" s="258">
        <f t="shared" si="381"/>
        <v>4.5265826505492886E-2</v>
      </c>
      <c r="Q1187" s="354">
        <v>2.373575581395349</v>
      </c>
      <c r="R1187" s="249">
        <f t="shared" si="382"/>
        <v>2.4298360029069768</v>
      </c>
      <c r="S1187" s="355">
        <v>0.1</v>
      </c>
      <c r="T1187" s="355"/>
      <c r="U1187" s="315">
        <f t="shared" si="371"/>
        <v>2.6728196031976745</v>
      </c>
      <c r="V1187" s="315">
        <f t="shared" si="372"/>
        <v>3</v>
      </c>
      <c r="W1187" s="316">
        <f t="shared" si="373"/>
        <v>0</v>
      </c>
    </row>
    <row r="1188" spans="1:28" x14ac:dyDescent="0.25">
      <c r="A1188" s="204" t="s">
        <v>16838</v>
      </c>
      <c r="B1188" s="351" t="s">
        <v>20911</v>
      </c>
      <c r="C1188" s="352"/>
      <c r="D1188" s="353" t="s">
        <v>14859</v>
      </c>
      <c r="E1188" s="249">
        <f t="shared" si="374"/>
        <v>0</v>
      </c>
      <c r="F1188" s="336">
        <v>0</v>
      </c>
      <c r="G1188" s="258">
        <f t="shared" si="375"/>
        <v>0</v>
      </c>
      <c r="H1188" s="249">
        <f t="shared" si="376"/>
        <v>10.964125905683948</v>
      </c>
      <c r="I1188" s="336">
        <v>2.6233603997501565E-2</v>
      </c>
      <c r="J1188" s="258">
        <f t="shared" si="377"/>
        <v>2.6233603997501565E-2</v>
      </c>
      <c r="K1188" s="249">
        <f t="shared" si="378"/>
        <v>388.05941983548882</v>
      </c>
      <c r="L1188" s="336">
        <v>0.92850056949700555</v>
      </c>
      <c r="M1188" s="258">
        <f t="shared" si="379"/>
        <v>0.92850056949700555</v>
      </c>
      <c r="N1188" s="251">
        <f t="shared" si="380"/>
        <v>18.918491758827201</v>
      </c>
      <c r="O1188" s="336">
        <v>4.5265826505492893E-2</v>
      </c>
      <c r="P1188" s="258">
        <f t="shared" si="381"/>
        <v>4.5265826505492893E-2</v>
      </c>
      <c r="Q1188" s="354">
        <v>408.255</v>
      </c>
      <c r="R1188" s="249">
        <f t="shared" si="382"/>
        <v>417.94203749999997</v>
      </c>
      <c r="S1188" s="355">
        <v>0.1</v>
      </c>
      <c r="T1188" s="355"/>
      <c r="U1188" s="315">
        <f t="shared" si="371"/>
        <v>459.73624124999998</v>
      </c>
      <c r="V1188" s="315">
        <f t="shared" si="372"/>
        <v>460</v>
      </c>
      <c r="W1188" s="316">
        <f t="shared" si="373"/>
        <v>0</v>
      </c>
    </row>
    <row r="1189" spans="1:28" x14ac:dyDescent="0.25">
      <c r="A1189" s="204" t="s">
        <v>16839</v>
      </c>
      <c r="B1189" s="351" t="s">
        <v>20912</v>
      </c>
      <c r="C1189" s="352"/>
      <c r="D1189" s="353" t="s">
        <v>5</v>
      </c>
      <c r="E1189" s="249">
        <f t="shared" si="374"/>
        <v>0</v>
      </c>
      <c r="F1189" s="336">
        <v>0</v>
      </c>
      <c r="G1189" s="258">
        <f t="shared" si="375"/>
        <v>0</v>
      </c>
      <c r="H1189" s="249">
        <f t="shared" si="376"/>
        <v>6.374457064891223E-2</v>
      </c>
      <c r="I1189" s="336">
        <v>2.5591397849462367E-2</v>
      </c>
      <c r="J1189" s="258">
        <f t="shared" si="377"/>
        <v>2.5591397849462367E-2</v>
      </c>
      <c r="K1189" s="249">
        <f t="shared" si="378"/>
        <v>2.3170645521588726</v>
      </c>
      <c r="L1189" s="336">
        <v>0.930227001194743</v>
      </c>
      <c r="M1189" s="258">
        <f t="shared" si="379"/>
        <v>0.930227001194743</v>
      </c>
      <c r="N1189" s="251">
        <f t="shared" si="380"/>
        <v>0.10999063170792697</v>
      </c>
      <c r="O1189" s="336">
        <v>4.4157706093189961E-2</v>
      </c>
      <c r="P1189" s="258">
        <f t="shared" si="381"/>
        <v>4.4157706093189961E-2</v>
      </c>
      <c r="Q1189" s="354">
        <v>2.433139534883721</v>
      </c>
      <c r="R1189" s="249">
        <f t="shared" si="382"/>
        <v>2.4908592732558139</v>
      </c>
      <c r="S1189" s="355">
        <v>0.1</v>
      </c>
      <c r="T1189" s="355"/>
      <c r="U1189" s="315">
        <f t="shared" si="371"/>
        <v>2.7399452005813951</v>
      </c>
      <c r="V1189" s="315">
        <f t="shared" si="372"/>
        <v>3</v>
      </c>
      <c r="W1189" s="316">
        <f t="shared" si="373"/>
        <v>0</v>
      </c>
    </row>
    <row r="1190" spans="1:28" x14ac:dyDescent="0.25">
      <c r="A1190" s="204" t="s">
        <v>16840</v>
      </c>
      <c r="B1190" s="351" t="s">
        <v>20913</v>
      </c>
      <c r="C1190" s="352"/>
      <c r="D1190" s="353" t="s">
        <v>14859</v>
      </c>
      <c r="E1190" s="249">
        <f t="shared" si="374"/>
        <v>0</v>
      </c>
      <c r="F1190" s="336">
        <v>0</v>
      </c>
      <c r="G1190" s="258">
        <f t="shared" si="375"/>
        <v>0</v>
      </c>
      <c r="H1190" s="249">
        <f t="shared" si="376"/>
        <v>10.964328335483872</v>
      </c>
      <c r="I1190" s="336">
        <v>2.5591397849462367E-2</v>
      </c>
      <c r="J1190" s="258">
        <f t="shared" si="377"/>
        <v>2.5591397849462367E-2</v>
      </c>
      <c r="K1190" s="249">
        <f t="shared" si="378"/>
        <v>398.55487061505374</v>
      </c>
      <c r="L1190" s="336">
        <v>0.93025089605734768</v>
      </c>
      <c r="M1190" s="258">
        <f t="shared" si="379"/>
        <v>0.93025089605734768</v>
      </c>
      <c r="N1190" s="251">
        <f t="shared" si="380"/>
        <v>18.918841049462365</v>
      </c>
      <c r="O1190" s="336">
        <v>4.4157706093189968E-2</v>
      </c>
      <c r="P1190" s="258">
        <f t="shared" si="381"/>
        <v>4.4157706093189968E-2</v>
      </c>
      <c r="Q1190" s="354">
        <v>418.5</v>
      </c>
      <c r="R1190" s="249">
        <f t="shared" si="382"/>
        <v>428.43804</v>
      </c>
      <c r="S1190" s="355">
        <v>0.1</v>
      </c>
      <c r="T1190" s="355"/>
      <c r="U1190" s="315">
        <f t="shared" ref="U1190:U1253" si="383">(R1190*S1190)+R1190</f>
        <v>471.28184399999998</v>
      </c>
      <c r="V1190" s="315">
        <f t="shared" ref="V1190:V1253" si="384">IF(U1190=0, 0, IF(U1190&lt;10, _xlfn.CEILING.MATH(U1190,1), IF(U1190&lt;100, _xlfn.CEILING.MATH(U1190,1),IF(U1190&lt;1000, _xlfn.CEILING.MATH(U1190,5), IF(U1190&lt;10000, _xlfn.CEILING.MATH(U1190, 25), IF(U1190&lt;100000, _xlfn.CEILING.MATH(U1190,250), IF(U1190&lt;1000000, _xlfn.CEILING.MATH(U1190,500), 0)))))))</f>
        <v>475</v>
      </c>
      <c r="W1190" s="316">
        <f t="shared" si="373"/>
        <v>0</v>
      </c>
    </row>
    <row r="1191" spans="1:28" s="287" customFormat="1" x14ac:dyDescent="0.25">
      <c r="A1191" s="204" t="s">
        <v>16841</v>
      </c>
      <c r="B1191" s="351" t="s">
        <v>20914</v>
      </c>
      <c r="C1191" s="352"/>
      <c r="D1191" s="353" t="s">
        <v>5</v>
      </c>
      <c r="E1191" s="249">
        <f t="shared" si="374"/>
        <v>0</v>
      </c>
      <c r="F1191" s="336">
        <v>0</v>
      </c>
      <c r="G1191" s="258">
        <f t="shared" si="375"/>
        <v>0</v>
      </c>
      <c r="H1191" s="249">
        <f t="shared" si="376"/>
        <v>6.3745727744943526E-2</v>
      </c>
      <c r="I1191" s="336">
        <v>2.4979883147325334E-2</v>
      </c>
      <c r="J1191" s="258">
        <f t="shared" si="377"/>
        <v>2.4979883147325334E-2</v>
      </c>
      <c r="K1191" s="249">
        <f t="shared" si="378"/>
        <v>2.378084667773432</v>
      </c>
      <c r="L1191" s="336">
        <v>0.93189424949562083</v>
      </c>
      <c r="M1191" s="258">
        <f t="shared" si="379"/>
        <v>0.93189424949562083</v>
      </c>
      <c r="N1191" s="251">
        <f t="shared" si="380"/>
        <v>0.10999262826578492</v>
      </c>
      <c r="O1191" s="336">
        <v>4.3102543469894693E-2</v>
      </c>
      <c r="P1191" s="258">
        <f t="shared" si="381"/>
        <v>4.3102543469894693E-2</v>
      </c>
      <c r="Q1191" s="354">
        <v>2.4927034883720931</v>
      </c>
      <c r="R1191" s="249">
        <f t="shared" si="382"/>
        <v>2.5518825436046511</v>
      </c>
      <c r="S1191" s="355">
        <v>0.1</v>
      </c>
      <c r="T1191" s="355"/>
      <c r="U1191" s="315">
        <f t="shared" si="383"/>
        <v>2.8070707979651162</v>
      </c>
      <c r="V1191" s="315">
        <f t="shared" si="384"/>
        <v>3</v>
      </c>
      <c r="W1191" s="316">
        <f t="shared" si="373"/>
        <v>0</v>
      </c>
      <c r="X1191" s="185"/>
      <c r="Y1191" s="185"/>
      <c r="Z1191" s="185"/>
      <c r="AA1191" s="207"/>
      <c r="AB1191" s="286"/>
    </row>
    <row r="1192" spans="1:28" x14ac:dyDescent="0.25">
      <c r="A1192" s="204" t="s">
        <v>16842</v>
      </c>
      <c r="B1192" s="351" t="s">
        <v>20915</v>
      </c>
      <c r="C1192" s="352"/>
      <c r="D1192" s="353" t="s">
        <v>14859</v>
      </c>
      <c r="E1192" s="249">
        <f t="shared" si="374"/>
        <v>0</v>
      </c>
      <c r="F1192" s="336">
        <v>0</v>
      </c>
      <c r="G1192" s="258">
        <f t="shared" si="375"/>
        <v>0</v>
      </c>
      <c r="H1192" s="249">
        <f t="shared" si="376"/>
        <v>10.964521091033131</v>
      </c>
      <c r="I1192" s="336">
        <v>2.4979883147325334E-2</v>
      </c>
      <c r="J1192" s="258">
        <f t="shared" si="377"/>
        <v>2.4979883147325334E-2</v>
      </c>
      <c r="K1192" s="249">
        <f t="shared" si="378"/>
        <v>409.05034776169401</v>
      </c>
      <c r="L1192" s="336">
        <v>0.93191757338278003</v>
      </c>
      <c r="M1192" s="258">
        <f t="shared" si="379"/>
        <v>0.93191757338278003</v>
      </c>
      <c r="N1192" s="251">
        <f t="shared" si="380"/>
        <v>18.919173647272853</v>
      </c>
      <c r="O1192" s="336">
        <v>4.3102543469894693E-2</v>
      </c>
      <c r="P1192" s="258">
        <f t="shared" si="381"/>
        <v>4.3102543469894693E-2</v>
      </c>
      <c r="Q1192" s="354">
        <v>428.745</v>
      </c>
      <c r="R1192" s="249">
        <f t="shared" si="382"/>
        <v>438.93404249999998</v>
      </c>
      <c r="S1192" s="355">
        <v>0.1</v>
      </c>
      <c r="T1192" s="355"/>
      <c r="U1192" s="315">
        <f t="shared" si="383"/>
        <v>482.82744674999998</v>
      </c>
      <c r="V1192" s="315">
        <f t="shared" si="384"/>
        <v>485</v>
      </c>
      <c r="W1192" s="316">
        <f t="shared" si="373"/>
        <v>0</v>
      </c>
    </row>
    <row r="1193" spans="1:28" x14ac:dyDescent="0.25">
      <c r="A1193" s="204" t="s">
        <v>16843</v>
      </c>
      <c r="B1193" s="351" t="s">
        <v>20916</v>
      </c>
      <c r="C1193" s="352"/>
      <c r="D1193" s="353" t="s">
        <v>5</v>
      </c>
      <c r="E1193" s="249">
        <f t="shared" si="374"/>
        <v>0</v>
      </c>
      <c r="F1193" s="336">
        <v>0</v>
      </c>
      <c r="G1193" s="258">
        <f t="shared" si="375"/>
        <v>0</v>
      </c>
      <c r="H1193" s="249">
        <f t="shared" si="376"/>
        <v>6.3767585284840084E-2</v>
      </c>
      <c r="I1193" s="336">
        <v>1.3428372609129036E-2</v>
      </c>
      <c r="J1193" s="258">
        <f t="shared" si="377"/>
        <v>1.3428372609129036E-2</v>
      </c>
      <c r="K1193" s="249">
        <f t="shared" si="378"/>
        <v>4.5748628074123383</v>
      </c>
      <c r="L1193" s="336">
        <v>0.96338856394149675</v>
      </c>
      <c r="M1193" s="258">
        <f t="shared" si="379"/>
        <v>0.96338856394149675</v>
      </c>
      <c r="N1193" s="251">
        <f t="shared" si="380"/>
        <v>0.11003034323658679</v>
      </c>
      <c r="O1193" s="336">
        <v>2.3170525286340296E-2</v>
      </c>
      <c r="P1193" s="258">
        <f t="shared" si="381"/>
        <v>2.3170525286340296E-2</v>
      </c>
      <c r="Q1193" s="354">
        <v>4.6370058139534889</v>
      </c>
      <c r="R1193" s="249">
        <f t="shared" si="382"/>
        <v>4.74872027616279</v>
      </c>
      <c r="S1193" s="355">
        <v>0.1</v>
      </c>
      <c r="T1193" s="355"/>
      <c r="U1193" s="315">
        <f t="shared" si="383"/>
        <v>5.2235923037790695</v>
      </c>
      <c r="V1193" s="315">
        <f t="shared" si="384"/>
        <v>6</v>
      </c>
      <c r="W1193" s="316">
        <f t="shared" si="373"/>
        <v>0</v>
      </c>
    </row>
    <row r="1194" spans="1:28" x14ac:dyDescent="0.25">
      <c r="A1194" s="204" t="s">
        <v>16844</v>
      </c>
      <c r="B1194" s="351" t="s">
        <v>20917</v>
      </c>
      <c r="C1194" s="352"/>
      <c r="D1194" s="353" t="s">
        <v>14859</v>
      </c>
      <c r="E1194" s="249">
        <f t="shared" si="374"/>
        <v>0</v>
      </c>
      <c r="F1194" s="336">
        <v>0</v>
      </c>
      <c r="G1194" s="258">
        <f t="shared" si="375"/>
        <v>0</v>
      </c>
      <c r="H1194" s="249">
        <f t="shared" si="376"/>
        <v>10.968162242669877</v>
      </c>
      <c r="I1194" s="336">
        <v>1.3428372609129036E-2</v>
      </c>
      <c r="J1194" s="258">
        <f t="shared" si="377"/>
        <v>1.3428372609129036E-2</v>
      </c>
      <c r="K1194" s="249">
        <f t="shared" si="378"/>
        <v>786.89651383860553</v>
      </c>
      <c r="L1194" s="336">
        <v>0.96340110210453056</v>
      </c>
      <c r="M1194" s="258">
        <f t="shared" si="379"/>
        <v>0.96340110210453056</v>
      </c>
      <c r="N1194" s="251">
        <f t="shared" si="380"/>
        <v>18.92545641872449</v>
      </c>
      <c r="O1194" s="336">
        <v>2.3170525286340296E-2</v>
      </c>
      <c r="P1194" s="258">
        <f t="shared" si="381"/>
        <v>2.3170525286340296E-2</v>
      </c>
      <c r="Q1194" s="354">
        <v>797.56500000000005</v>
      </c>
      <c r="R1194" s="249">
        <f t="shared" si="382"/>
        <v>816.79013250000003</v>
      </c>
      <c r="S1194" s="355">
        <v>0.1</v>
      </c>
      <c r="T1194" s="355"/>
      <c r="U1194" s="315">
        <f t="shared" si="383"/>
        <v>898.46914575000005</v>
      </c>
      <c r="V1194" s="315">
        <f t="shared" si="384"/>
        <v>900</v>
      </c>
      <c r="W1194" s="316">
        <f t="shared" si="373"/>
        <v>0</v>
      </c>
    </row>
    <row r="1195" spans="1:28" x14ac:dyDescent="0.25">
      <c r="A1195" s="204" t="s">
        <v>16845</v>
      </c>
      <c r="B1195" s="351" t="s">
        <v>20918</v>
      </c>
      <c r="C1195" s="352"/>
      <c r="D1195" s="353" t="s">
        <v>5</v>
      </c>
      <c r="E1195" s="249">
        <f t="shared" si="374"/>
        <v>0</v>
      </c>
      <c r="F1195" s="336">
        <v>0</v>
      </c>
      <c r="G1195" s="258">
        <f t="shared" si="375"/>
        <v>0</v>
      </c>
      <c r="H1195" s="249">
        <f t="shared" si="376"/>
        <v>6.3769118727699109E-2</v>
      </c>
      <c r="I1195" s="336">
        <v>1.2617962040080585E-2</v>
      </c>
      <c r="J1195" s="258">
        <f t="shared" si="377"/>
        <v>1.2617962040080585E-2</v>
      </c>
      <c r="K1195" s="249">
        <f t="shared" si="378"/>
        <v>4.879974978341262</v>
      </c>
      <c r="L1195" s="336">
        <v>0.96559808668810898</v>
      </c>
      <c r="M1195" s="258">
        <f t="shared" si="379"/>
        <v>0.96559808668810898</v>
      </c>
      <c r="N1195" s="251">
        <f t="shared" si="380"/>
        <v>0.1100329891772063</v>
      </c>
      <c r="O1195" s="336">
        <v>2.1772169794648851E-2</v>
      </c>
      <c r="P1195" s="258">
        <f t="shared" si="381"/>
        <v>2.1772169794648851E-2</v>
      </c>
      <c r="Q1195" s="354">
        <v>4.9348255813953497</v>
      </c>
      <c r="R1195" s="249">
        <f t="shared" si="382"/>
        <v>5.0538366279069775</v>
      </c>
      <c r="S1195" s="355">
        <v>0.1</v>
      </c>
      <c r="T1195" s="355"/>
      <c r="U1195" s="315">
        <f t="shared" si="383"/>
        <v>5.5592202906976755</v>
      </c>
      <c r="V1195" s="315">
        <f t="shared" si="384"/>
        <v>6</v>
      </c>
      <c r="W1195" s="316">
        <f t="shared" si="373"/>
        <v>0</v>
      </c>
    </row>
    <row r="1196" spans="1:28" ht="14.4" thickBot="1" x14ac:dyDescent="0.3">
      <c r="A1196" s="356" t="s">
        <v>16846</v>
      </c>
      <c r="B1196" s="357" t="s">
        <v>20919</v>
      </c>
      <c r="C1196" s="358"/>
      <c r="D1196" s="359" t="s">
        <v>14859</v>
      </c>
      <c r="E1196" s="266">
        <f t="shared" si="374"/>
        <v>0</v>
      </c>
      <c r="F1196" s="360">
        <v>0</v>
      </c>
      <c r="G1196" s="322">
        <f t="shared" si="375"/>
        <v>0</v>
      </c>
      <c r="H1196" s="266">
        <f t="shared" si="376"/>
        <v>10.968417692185344</v>
      </c>
      <c r="I1196" s="360">
        <v>1.2617962040080585E-2</v>
      </c>
      <c r="J1196" s="322">
        <f t="shared" si="377"/>
        <v>1.2617962040080585E-2</v>
      </c>
      <c r="K1196" s="266">
        <f t="shared" si="378"/>
        <v>839.37583011345555</v>
      </c>
      <c r="L1196" s="360">
        <v>0.9656098681652705</v>
      </c>
      <c r="M1196" s="322">
        <f t="shared" si="379"/>
        <v>0.9656098681652705</v>
      </c>
      <c r="N1196" s="270">
        <f t="shared" si="380"/>
        <v>18.925897194359028</v>
      </c>
      <c r="O1196" s="360">
        <v>2.1772169794648851E-2</v>
      </c>
      <c r="P1196" s="322">
        <f t="shared" si="381"/>
        <v>2.1772169794648851E-2</v>
      </c>
      <c r="Q1196" s="361">
        <v>848.79000000000008</v>
      </c>
      <c r="R1196" s="266">
        <f t="shared" si="382"/>
        <v>869.27014499999996</v>
      </c>
      <c r="S1196" s="362">
        <v>0.1</v>
      </c>
      <c r="T1196" s="362"/>
      <c r="U1196" s="324">
        <f t="shared" si="383"/>
        <v>956.1971595</v>
      </c>
      <c r="V1196" s="324">
        <f t="shared" si="384"/>
        <v>960</v>
      </c>
      <c r="W1196" s="325">
        <f t="shared" si="373"/>
        <v>0</v>
      </c>
    </row>
    <row r="1197" spans="1:28" x14ac:dyDescent="0.25">
      <c r="A1197" s="204" t="s">
        <v>16847</v>
      </c>
      <c r="B1197" s="351" t="s">
        <v>20920</v>
      </c>
      <c r="C1197" s="352"/>
      <c r="D1197" s="353" t="s">
        <v>5</v>
      </c>
      <c r="E1197" s="249">
        <f t="shared" si="374"/>
        <v>0</v>
      </c>
      <c r="F1197" s="336">
        <v>0</v>
      </c>
      <c r="G1197" s="258">
        <f t="shared" si="375"/>
        <v>0</v>
      </c>
      <c r="H1197" s="249">
        <f t="shared" si="376"/>
        <v>6.3769118727699109E-2</v>
      </c>
      <c r="I1197" s="336">
        <v>1.2617962040080585E-2</v>
      </c>
      <c r="J1197" s="258">
        <f t="shared" si="377"/>
        <v>1.2617962040080585E-2</v>
      </c>
      <c r="K1197" s="249">
        <f t="shared" si="378"/>
        <v>4.879974978341262</v>
      </c>
      <c r="L1197" s="336">
        <v>0.96559808668810898</v>
      </c>
      <c r="M1197" s="258">
        <f t="shared" si="379"/>
        <v>0.96559808668810898</v>
      </c>
      <c r="N1197" s="251">
        <f t="shared" si="380"/>
        <v>0.1100329891772063</v>
      </c>
      <c r="O1197" s="336">
        <v>2.1772169794648851E-2</v>
      </c>
      <c r="P1197" s="258">
        <f t="shared" si="381"/>
        <v>2.1772169794648851E-2</v>
      </c>
      <c r="Q1197" s="354">
        <v>4.9348255813953497</v>
      </c>
      <c r="R1197" s="249">
        <f t="shared" si="382"/>
        <v>5.0538366279069775</v>
      </c>
      <c r="S1197" s="355">
        <v>0.1</v>
      </c>
      <c r="T1197" s="355"/>
      <c r="U1197" s="315">
        <f t="shared" si="383"/>
        <v>5.5592202906976755</v>
      </c>
      <c r="V1197" s="315">
        <f t="shared" si="384"/>
        <v>6</v>
      </c>
      <c r="W1197" s="316">
        <f t="shared" si="373"/>
        <v>0</v>
      </c>
    </row>
    <row r="1198" spans="1:28" x14ac:dyDescent="0.25">
      <c r="A1198" s="204" t="s">
        <v>16848</v>
      </c>
      <c r="B1198" s="351" t="s">
        <v>20921</v>
      </c>
      <c r="C1198" s="352"/>
      <c r="D1198" s="353" t="s">
        <v>14859</v>
      </c>
      <c r="E1198" s="249">
        <f t="shared" si="374"/>
        <v>0</v>
      </c>
      <c r="F1198" s="336">
        <v>0</v>
      </c>
      <c r="G1198" s="258">
        <f t="shared" si="375"/>
        <v>0</v>
      </c>
      <c r="H1198" s="249">
        <f t="shared" si="376"/>
        <v>10.968417692185344</v>
      </c>
      <c r="I1198" s="336">
        <v>1.2617962040080585E-2</v>
      </c>
      <c r="J1198" s="258">
        <f t="shared" si="377"/>
        <v>1.2617962040080585E-2</v>
      </c>
      <c r="K1198" s="249">
        <f t="shared" si="378"/>
        <v>839.37583011345555</v>
      </c>
      <c r="L1198" s="336">
        <v>0.9656098681652705</v>
      </c>
      <c r="M1198" s="258">
        <f t="shared" si="379"/>
        <v>0.9656098681652705</v>
      </c>
      <c r="N1198" s="251">
        <f t="shared" si="380"/>
        <v>18.925897194359028</v>
      </c>
      <c r="O1198" s="336">
        <v>2.1772169794648851E-2</v>
      </c>
      <c r="P1198" s="258">
        <f t="shared" si="381"/>
        <v>2.1772169794648851E-2</v>
      </c>
      <c r="Q1198" s="354">
        <v>848.79000000000008</v>
      </c>
      <c r="R1198" s="249">
        <f t="shared" si="382"/>
        <v>869.27014499999996</v>
      </c>
      <c r="S1198" s="355">
        <v>0.1</v>
      </c>
      <c r="T1198" s="355"/>
      <c r="U1198" s="315">
        <f t="shared" si="383"/>
        <v>956.1971595</v>
      </c>
      <c r="V1198" s="315">
        <f t="shared" si="384"/>
        <v>960</v>
      </c>
      <c r="W1198" s="316">
        <f t="shared" si="373"/>
        <v>0</v>
      </c>
    </row>
    <row r="1199" spans="1:28" x14ac:dyDescent="0.25">
      <c r="A1199" s="204" t="s">
        <v>16849</v>
      </c>
      <c r="B1199" s="351" t="s">
        <v>20922</v>
      </c>
      <c r="C1199" s="352"/>
      <c r="D1199" s="353" t="s">
        <v>5</v>
      </c>
      <c r="E1199" s="249">
        <f t="shared" si="374"/>
        <v>0</v>
      </c>
      <c r="F1199" s="336">
        <v>0</v>
      </c>
      <c r="G1199" s="258">
        <f t="shared" si="375"/>
        <v>0</v>
      </c>
      <c r="H1199" s="249">
        <f t="shared" si="376"/>
        <v>6.3771804260374293E-2</v>
      </c>
      <c r="I1199" s="336">
        <v>1.1198682507940243E-2</v>
      </c>
      <c r="J1199" s="258">
        <f t="shared" si="377"/>
        <v>1.1198682507940243E-2</v>
      </c>
      <c r="K1199" s="249">
        <f t="shared" si="378"/>
        <v>5.5207119951035741</v>
      </c>
      <c r="L1199" s="336">
        <v>0.96946764432942534</v>
      </c>
      <c r="M1199" s="258">
        <f t="shared" si="379"/>
        <v>0.96946764432942534</v>
      </c>
      <c r="N1199" s="251">
        <f t="shared" si="380"/>
        <v>0.11003762303750857</v>
      </c>
      <c r="O1199" s="336">
        <v>1.9323216876445906E-2</v>
      </c>
      <c r="P1199" s="258">
        <f t="shared" si="381"/>
        <v>1.9323216876445906E-2</v>
      </c>
      <c r="Q1199" s="354">
        <v>5.5602470930232561</v>
      </c>
      <c r="R1199" s="249">
        <f t="shared" si="382"/>
        <v>5.6945809665697675</v>
      </c>
      <c r="S1199" s="355">
        <v>0.1</v>
      </c>
      <c r="T1199" s="355"/>
      <c r="U1199" s="315">
        <f t="shared" si="383"/>
        <v>6.2640390632267442</v>
      </c>
      <c r="V1199" s="315">
        <f t="shared" si="384"/>
        <v>7</v>
      </c>
      <c r="W1199" s="316">
        <f t="shared" si="373"/>
        <v>0</v>
      </c>
    </row>
    <row r="1200" spans="1:28" x14ac:dyDescent="0.25">
      <c r="A1200" s="204" t="s">
        <v>16850</v>
      </c>
      <c r="B1200" s="351" t="s">
        <v>20923</v>
      </c>
      <c r="C1200" s="352"/>
      <c r="D1200" s="353" t="s">
        <v>14859</v>
      </c>
      <c r="E1200" s="249">
        <f t="shared" si="374"/>
        <v>0</v>
      </c>
      <c r="F1200" s="336">
        <v>0</v>
      </c>
      <c r="G1200" s="258">
        <f t="shared" si="375"/>
        <v>0</v>
      </c>
      <c r="H1200" s="249">
        <f t="shared" si="376"/>
        <v>10.968865063286673</v>
      </c>
      <c r="I1200" s="336">
        <v>1.1198682507940242E-2</v>
      </c>
      <c r="J1200" s="258">
        <f t="shared" si="377"/>
        <v>1.1198682507940242E-2</v>
      </c>
      <c r="K1200" s="249">
        <f t="shared" si="378"/>
        <v>949.582637057905</v>
      </c>
      <c r="L1200" s="336">
        <v>0.96947810061561379</v>
      </c>
      <c r="M1200" s="258">
        <f t="shared" si="379"/>
        <v>0.96947810061561379</v>
      </c>
      <c r="N1200" s="251">
        <f t="shared" si="380"/>
        <v>18.926669128808374</v>
      </c>
      <c r="O1200" s="336">
        <v>1.9323216876445906E-2</v>
      </c>
      <c r="P1200" s="258">
        <f t="shared" si="381"/>
        <v>1.9323216876445906E-2</v>
      </c>
      <c r="Q1200" s="354">
        <v>956.36250000000007</v>
      </c>
      <c r="R1200" s="249">
        <f t="shared" si="382"/>
        <v>979.47817125000006</v>
      </c>
      <c r="S1200" s="355">
        <v>0.1</v>
      </c>
      <c r="T1200" s="355"/>
      <c r="U1200" s="315">
        <f t="shared" si="383"/>
        <v>1077.4259883750001</v>
      </c>
      <c r="V1200" s="315">
        <f t="shared" si="384"/>
        <v>1100</v>
      </c>
      <c r="W1200" s="316">
        <f t="shared" si="373"/>
        <v>0</v>
      </c>
    </row>
    <row r="1201" spans="1:28" x14ac:dyDescent="0.25">
      <c r="A1201" s="204" t="s">
        <v>16851</v>
      </c>
      <c r="B1201" s="351" t="s">
        <v>20924</v>
      </c>
      <c r="C1201" s="352"/>
      <c r="D1201" s="353" t="s">
        <v>5</v>
      </c>
      <c r="E1201" s="249">
        <f t="shared" si="374"/>
        <v>0</v>
      </c>
      <c r="F1201" s="336">
        <v>0</v>
      </c>
      <c r="G1201" s="258">
        <f t="shared" si="375"/>
        <v>0</v>
      </c>
      <c r="H1201" s="249">
        <f t="shared" si="376"/>
        <v>6.3772778766764349E-2</v>
      </c>
      <c r="I1201" s="336">
        <v>1.0683664766350945E-2</v>
      </c>
      <c r="J1201" s="258">
        <f t="shared" si="377"/>
        <v>1.0683664766350945E-2</v>
      </c>
      <c r="K1201" s="249">
        <f t="shared" si="378"/>
        <v>5.7953140547558268</v>
      </c>
      <c r="L1201" s="336">
        <v>0.97087180101050918</v>
      </c>
      <c r="M1201" s="258">
        <f t="shared" si="379"/>
        <v>0.97087180101050918</v>
      </c>
      <c r="N1201" s="251">
        <f t="shared" si="380"/>
        <v>0.11003930453873063</v>
      </c>
      <c r="O1201" s="336">
        <v>1.8434558812527122E-2</v>
      </c>
      <c r="P1201" s="258">
        <f t="shared" si="381"/>
        <v>1.8434558812527122E-2</v>
      </c>
      <c r="Q1201" s="354">
        <v>5.8282848837209302</v>
      </c>
      <c r="R1201" s="249">
        <f t="shared" si="382"/>
        <v>5.9691856831395347</v>
      </c>
      <c r="S1201" s="355">
        <v>0.1</v>
      </c>
      <c r="T1201" s="355"/>
      <c r="U1201" s="315">
        <f t="shared" si="383"/>
        <v>6.5661042514534884</v>
      </c>
      <c r="V1201" s="315">
        <f t="shared" si="384"/>
        <v>7</v>
      </c>
      <c r="W1201" s="316">
        <f t="shared" si="373"/>
        <v>0</v>
      </c>
    </row>
    <row r="1202" spans="1:28" x14ac:dyDescent="0.25">
      <c r="A1202" s="204" t="s">
        <v>16852</v>
      </c>
      <c r="B1202" s="351" t="s">
        <v>20925</v>
      </c>
      <c r="C1202" s="352"/>
      <c r="D1202" s="353" t="s">
        <v>14859</v>
      </c>
      <c r="E1202" s="249">
        <f t="shared" si="374"/>
        <v>0</v>
      </c>
      <c r="F1202" s="336">
        <v>0</v>
      </c>
      <c r="G1202" s="258">
        <f t="shared" si="375"/>
        <v>0</v>
      </c>
      <c r="H1202" s="249">
        <f t="shared" si="376"/>
        <v>10.969027402028999</v>
      </c>
      <c r="I1202" s="336">
        <v>1.0683664766350945E-2</v>
      </c>
      <c r="J1202" s="258">
        <f t="shared" si="377"/>
        <v>1.0683664766350945E-2</v>
      </c>
      <c r="K1202" s="249">
        <f t="shared" si="378"/>
        <v>996.81420585525416</v>
      </c>
      <c r="L1202" s="336">
        <v>0.97088177642112183</v>
      </c>
      <c r="M1202" s="258">
        <f t="shared" si="379"/>
        <v>0.97088177642112183</v>
      </c>
      <c r="N1202" s="251">
        <f t="shared" si="380"/>
        <v>18.926949242716706</v>
      </c>
      <c r="O1202" s="336">
        <v>1.8434558812527122E-2</v>
      </c>
      <c r="P1202" s="258">
        <f t="shared" si="381"/>
        <v>1.8434558812527122E-2</v>
      </c>
      <c r="Q1202" s="354">
        <v>1002.465</v>
      </c>
      <c r="R1202" s="249">
        <f t="shared" si="382"/>
        <v>1026.7101825</v>
      </c>
      <c r="S1202" s="355">
        <v>0.1</v>
      </c>
      <c r="T1202" s="355"/>
      <c r="U1202" s="315">
        <f t="shared" si="383"/>
        <v>1129.3812007500001</v>
      </c>
      <c r="V1202" s="315">
        <f t="shared" si="384"/>
        <v>1150</v>
      </c>
      <c r="W1202" s="316">
        <f t="shared" si="373"/>
        <v>0</v>
      </c>
    </row>
    <row r="1203" spans="1:28" s="287" customFormat="1" x14ac:dyDescent="0.25">
      <c r="A1203" s="204" t="s">
        <v>16853</v>
      </c>
      <c r="B1203" s="351" t="s">
        <v>20926</v>
      </c>
      <c r="C1203" s="352"/>
      <c r="D1203" s="353" t="s">
        <v>5</v>
      </c>
      <c r="E1203" s="249">
        <f t="shared" si="374"/>
        <v>0</v>
      </c>
      <c r="F1203" s="336">
        <v>0</v>
      </c>
      <c r="G1203" s="258">
        <f t="shared" si="375"/>
        <v>0</v>
      </c>
      <c r="H1203" s="249">
        <f t="shared" si="376"/>
        <v>6.3773282393608008E-2</v>
      </c>
      <c r="I1203" s="336">
        <v>1.0417502571547381E-2</v>
      </c>
      <c r="J1203" s="258">
        <f t="shared" si="377"/>
        <v>1.0417502571547381E-2</v>
      </c>
      <c r="K1203" s="249">
        <f t="shared" si="378"/>
        <v>5.9478708575276533</v>
      </c>
      <c r="L1203" s="336">
        <v>0.97159747198046842</v>
      </c>
      <c r="M1203" s="258">
        <f t="shared" si="379"/>
        <v>0.97159747198046842</v>
      </c>
      <c r="N1203" s="251">
        <f t="shared" si="380"/>
        <v>0.11004017354191185</v>
      </c>
      <c r="O1203" s="336">
        <v>1.7975298554826852E-2</v>
      </c>
      <c r="P1203" s="258">
        <f t="shared" si="381"/>
        <v>1.7975298554826852E-2</v>
      </c>
      <c r="Q1203" s="354">
        <v>5.9771947674418593</v>
      </c>
      <c r="R1203" s="249">
        <f t="shared" si="382"/>
        <v>6.1217438590116267</v>
      </c>
      <c r="S1203" s="355">
        <v>0.1</v>
      </c>
      <c r="T1203" s="355"/>
      <c r="U1203" s="315">
        <f t="shared" si="383"/>
        <v>6.7339182449127897</v>
      </c>
      <c r="V1203" s="315">
        <f t="shared" si="384"/>
        <v>7</v>
      </c>
      <c r="W1203" s="316">
        <f t="shared" si="373"/>
        <v>0</v>
      </c>
      <c r="X1203" s="185"/>
      <c r="Y1203" s="185"/>
      <c r="Z1203" s="185"/>
      <c r="AA1203" s="207"/>
      <c r="AB1203" s="286"/>
    </row>
    <row r="1204" spans="1:28" s="287" customFormat="1" x14ac:dyDescent="0.25">
      <c r="A1204" s="204" t="s">
        <v>16854</v>
      </c>
      <c r="B1204" s="351" t="s">
        <v>20927</v>
      </c>
      <c r="C1204" s="352"/>
      <c r="D1204" s="353" t="s">
        <v>14859</v>
      </c>
      <c r="E1204" s="249">
        <f t="shared" si="374"/>
        <v>0</v>
      </c>
      <c r="F1204" s="336">
        <v>0</v>
      </c>
      <c r="G1204" s="258">
        <f t="shared" si="375"/>
        <v>0</v>
      </c>
      <c r="H1204" s="249">
        <f t="shared" si="376"/>
        <v>10.969111299014424</v>
      </c>
      <c r="I1204" s="336">
        <v>1.0417502571547381E-2</v>
      </c>
      <c r="J1204" s="258">
        <f t="shared" si="377"/>
        <v>1.0417502571547381E-2</v>
      </c>
      <c r="K1204" s="249">
        <f t="shared" si="378"/>
        <v>1023.0539834448427</v>
      </c>
      <c r="L1204" s="336">
        <v>0.97160719887362568</v>
      </c>
      <c r="M1204" s="258">
        <f t="shared" si="379"/>
        <v>0.97160719887362568</v>
      </c>
      <c r="N1204" s="251">
        <f t="shared" si="380"/>
        <v>18.927094006142532</v>
      </c>
      <c r="O1204" s="336">
        <v>1.7975298554826852E-2</v>
      </c>
      <c r="P1204" s="258">
        <f t="shared" si="381"/>
        <v>1.7975298554826852E-2</v>
      </c>
      <c r="Q1204" s="354">
        <v>1028.0774999999999</v>
      </c>
      <c r="R1204" s="249">
        <f t="shared" si="382"/>
        <v>1052.9501887499998</v>
      </c>
      <c r="S1204" s="355">
        <v>0.1</v>
      </c>
      <c r="T1204" s="355"/>
      <c r="U1204" s="315">
        <f t="shared" si="383"/>
        <v>1158.2452076249997</v>
      </c>
      <c r="V1204" s="315">
        <f t="shared" si="384"/>
        <v>1175</v>
      </c>
      <c r="W1204" s="316">
        <f t="shared" si="373"/>
        <v>0</v>
      </c>
      <c r="X1204" s="185"/>
      <c r="Y1204" s="185"/>
      <c r="Z1204" s="185"/>
      <c r="AA1204" s="207"/>
      <c r="AB1204" s="286"/>
    </row>
    <row r="1205" spans="1:28" s="287" customFormat="1" x14ac:dyDescent="0.25">
      <c r="A1205" s="204" t="s">
        <v>16855</v>
      </c>
      <c r="B1205" s="351" t="s">
        <v>20928</v>
      </c>
      <c r="C1205" s="352"/>
      <c r="D1205" s="353" t="s">
        <v>5</v>
      </c>
      <c r="E1205" s="249">
        <f t="shared" si="374"/>
        <v>0</v>
      </c>
      <c r="F1205" s="336">
        <v>0</v>
      </c>
      <c r="G1205" s="258">
        <f t="shared" si="375"/>
        <v>0</v>
      </c>
      <c r="H1205" s="249">
        <f t="shared" si="376"/>
        <v>6.3773380122660234E-2</v>
      </c>
      <c r="I1205" s="336">
        <v>1.0365853658536586E-2</v>
      </c>
      <c r="J1205" s="258">
        <f t="shared" si="377"/>
        <v>1.0365853658536586E-2</v>
      </c>
      <c r="K1205" s="249">
        <f t="shared" si="378"/>
        <v>5.9783822262512478</v>
      </c>
      <c r="L1205" s="336">
        <v>0.97173828881145941</v>
      </c>
      <c r="M1205" s="258">
        <f t="shared" si="379"/>
        <v>0.97173828881145941</v>
      </c>
      <c r="N1205" s="251">
        <f t="shared" si="380"/>
        <v>0.11004034217243333</v>
      </c>
      <c r="O1205" s="336">
        <v>1.7886178861788615E-2</v>
      </c>
      <c r="P1205" s="258">
        <f t="shared" si="381"/>
        <v>1.7886178861788615E-2</v>
      </c>
      <c r="Q1205" s="354">
        <v>6.0069767441860469</v>
      </c>
      <c r="R1205" s="249">
        <f t="shared" si="382"/>
        <v>6.1522554941860461</v>
      </c>
      <c r="S1205" s="355">
        <v>0.1</v>
      </c>
      <c r="T1205" s="355"/>
      <c r="U1205" s="315">
        <f t="shared" si="383"/>
        <v>6.7674810436046506</v>
      </c>
      <c r="V1205" s="315">
        <f t="shared" si="384"/>
        <v>7</v>
      </c>
      <c r="W1205" s="316">
        <f t="shared" si="373"/>
        <v>0</v>
      </c>
      <c r="X1205" s="185"/>
      <c r="Y1205" s="185"/>
      <c r="Z1205" s="185"/>
      <c r="AA1205" s="207"/>
      <c r="AB1205" s="286"/>
    </row>
    <row r="1206" spans="1:28" s="287" customFormat="1" x14ac:dyDescent="0.25">
      <c r="A1206" s="204" t="s">
        <v>16856</v>
      </c>
      <c r="B1206" s="351" t="s">
        <v>20929</v>
      </c>
      <c r="C1206" s="352"/>
      <c r="D1206" s="353" t="s">
        <v>14859</v>
      </c>
      <c r="E1206" s="249">
        <f t="shared" si="374"/>
        <v>0</v>
      </c>
      <c r="F1206" s="336">
        <v>0</v>
      </c>
      <c r="G1206" s="258">
        <f t="shared" si="375"/>
        <v>0</v>
      </c>
      <c r="H1206" s="249">
        <f t="shared" si="376"/>
        <v>10.969127579268294</v>
      </c>
      <c r="I1206" s="336">
        <v>1.0365853658536586E-2</v>
      </c>
      <c r="J1206" s="258">
        <f t="shared" si="377"/>
        <v>1.0365853658536586E-2</v>
      </c>
      <c r="K1206" s="249">
        <f t="shared" si="378"/>
        <v>1028.3019403231708</v>
      </c>
      <c r="L1206" s="336">
        <v>0.97174796747967473</v>
      </c>
      <c r="M1206" s="258">
        <f t="shared" si="379"/>
        <v>0.97174796747967473</v>
      </c>
      <c r="N1206" s="251">
        <f t="shared" si="380"/>
        <v>18.927122097560979</v>
      </c>
      <c r="O1206" s="336">
        <v>1.7886178861788619E-2</v>
      </c>
      <c r="P1206" s="258">
        <f t="shared" si="381"/>
        <v>1.7886178861788619E-2</v>
      </c>
      <c r="Q1206" s="354">
        <v>1033.2</v>
      </c>
      <c r="R1206" s="249">
        <f t="shared" si="382"/>
        <v>1058.1981900000001</v>
      </c>
      <c r="S1206" s="355">
        <v>0.1</v>
      </c>
      <c r="T1206" s="355"/>
      <c r="U1206" s="315">
        <f t="shared" si="383"/>
        <v>1164.0180090000001</v>
      </c>
      <c r="V1206" s="315">
        <f t="shared" si="384"/>
        <v>1175</v>
      </c>
      <c r="W1206" s="316">
        <f t="shared" si="373"/>
        <v>0</v>
      </c>
      <c r="X1206" s="185"/>
      <c r="Y1206" s="185"/>
      <c r="Z1206" s="185"/>
      <c r="AA1206" s="207"/>
      <c r="AB1206" s="286"/>
    </row>
    <row r="1207" spans="1:28" x14ac:dyDescent="0.25">
      <c r="A1207" s="204" t="s">
        <v>16857</v>
      </c>
      <c r="B1207" s="351" t="s">
        <v>20930</v>
      </c>
      <c r="C1207" s="352"/>
      <c r="D1207" s="353" t="s">
        <v>5</v>
      </c>
      <c r="E1207" s="249">
        <f t="shared" si="374"/>
        <v>0</v>
      </c>
      <c r="F1207" s="336">
        <v>0</v>
      </c>
      <c r="G1207" s="258">
        <f t="shared" si="375"/>
        <v>0</v>
      </c>
      <c r="H1207" s="249">
        <f t="shared" si="376"/>
        <v>6.3775387807089912E-2</v>
      </c>
      <c r="I1207" s="336">
        <v>9.3048107435377853E-3</v>
      </c>
      <c r="J1207" s="258">
        <f t="shared" si="377"/>
        <v>9.3048107435377853E-3</v>
      </c>
      <c r="K1207" s="249">
        <f t="shared" si="378"/>
        <v>6.6801443614640581</v>
      </c>
      <c r="L1207" s="336">
        <v>0.97463114157690911</v>
      </c>
      <c r="M1207" s="258">
        <f t="shared" si="379"/>
        <v>0.97463114157690911</v>
      </c>
      <c r="N1207" s="251">
        <f t="shared" si="380"/>
        <v>0.11004380641223353</v>
      </c>
      <c r="O1207" s="336">
        <v>1.6055359714339704E-2</v>
      </c>
      <c r="P1207" s="258">
        <f t="shared" si="381"/>
        <v>1.6055359714339704E-2</v>
      </c>
      <c r="Q1207" s="354">
        <v>6.691962209302325</v>
      </c>
      <c r="R1207" s="249">
        <f t="shared" si="382"/>
        <v>6.8540231031976742</v>
      </c>
      <c r="S1207" s="355">
        <v>0.1</v>
      </c>
      <c r="T1207" s="355"/>
      <c r="U1207" s="315">
        <f t="shared" si="383"/>
        <v>7.5394254135174421</v>
      </c>
      <c r="V1207" s="315">
        <f t="shared" si="384"/>
        <v>8</v>
      </c>
      <c r="W1207" s="316">
        <f t="shared" si="373"/>
        <v>0</v>
      </c>
    </row>
    <row r="1208" spans="1:28" s="287" customFormat="1" x14ac:dyDescent="0.25">
      <c r="A1208" s="204" t="s">
        <v>16858</v>
      </c>
      <c r="B1208" s="351" t="s">
        <v>20931</v>
      </c>
      <c r="C1208" s="352"/>
      <c r="D1208" s="353" t="s">
        <v>14859</v>
      </c>
      <c r="E1208" s="249">
        <f t="shared" si="374"/>
        <v>0</v>
      </c>
      <c r="F1208" s="336">
        <v>0</v>
      </c>
      <c r="G1208" s="258">
        <f t="shared" si="375"/>
        <v>0</v>
      </c>
      <c r="H1208" s="249">
        <f t="shared" si="376"/>
        <v>10.969462030605531</v>
      </c>
      <c r="I1208" s="336">
        <v>9.3048107435377836E-3</v>
      </c>
      <c r="J1208" s="258">
        <f t="shared" si="377"/>
        <v>9.3048107435377836E-3</v>
      </c>
      <c r="K1208" s="249">
        <f t="shared" si="378"/>
        <v>1149.0050575293299</v>
      </c>
      <c r="L1208" s="336">
        <v>0.97463982954212247</v>
      </c>
      <c r="M1208" s="258">
        <f t="shared" si="379"/>
        <v>0.97463982954212247</v>
      </c>
      <c r="N1208" s="251">
        <f t="shared" si="380"/>
        <v>18.927699190064441</v>
      </c>
      <c r="O1208" s="336">
        <v>1.6055359714339704E-2</v>
      </c>
      <c r="P1208" s="258">
        <f t="shared" si="381"/>
        <v>1.6055359714339704E-2</v>
      </c>
      <c r="Q1208" s="354">
        <v>1151.0174999999999</v>
      </c>
      <c r="R1208" s="249">
        <f t="shared" si="382"/>
        <v>1178.90221875</v>
      </c>
      <c r="S1208" s="355">
        <v>0.1</v>
      </c>
      <c r="T1208" s="355"/>
      <c r="U1208" s="315">
        <f t="shared" si="383"/>
        <v>1296.7924406249999</v>
      </c>
      <c r="V1208" s="315">
        <f t="shared" si="384"/>
        <v>1300</v>
      </c>
      <c r="W1208" s="316">
        <f t="shared" si="373"/>
        <v>0</v>
      </c>
      <c r="X1208" s="185"/>
      <c r="Y1208" s="185"/>
      <c r="Z1208" s="185"/>
      <c r="AA1208" s="207"/>
      <c r="AB1208" s="286"/>
    </row>
    <row r="1209" spans="1:28" s="287" customFormat="1" x14ac:dyDescent="0.25">
      <c r="A1209" s="204" t="s">
        <v>16859</v>
      </c>
      <c r="B1209" s="351" t="s">
        <v>20932</v>
      </c>
      <c r="C1209" s="352"/>
      <c r="D1209" s="353" t="s">
        <v>5</v>
      </c>
      <c r="E1209" s="249">
        <f t="shared" si="374"/>
        <v>0</v>
      </c>
      <c r="F1209" s="336">
        <v>0</v>
      </c>
      <c r="G1209" s="258">
        <f t="shared" si="375"/>
        <v>0</v>
      </c>
      <c r="H1209" s="249">
        <f t="shared" si="376"/>
        <v>6.3775387807089912E-2</v>
      </c>
      <c r="I1209" s="336">
        <v>9.3048107435377853E-3</v>
      </c>
      <c r="J1209" s="258">
        <f t="shared" si="377"/>
        <v>9.3048107435377853E-3</v>
      </c>
      <c r="K1209" s="249">
        <f t="shared" si="378"/>
        <v>6.6801443614640581</v>
      </c>
      <c r="L1209" s="336">
        <v>0.97463114157690911</v>
      </c>
      <c r="M1209" s="258">
        <f t="shared" si="379"/>
        <v>0.97463114157690911</v>
      </c>
      <c r="N1209" s="251">
        <f t="shared" si="380"/>
        <v>0.11004380641223353</v>
      </c>
      <c r="O1209" s="336">
        <v>1.6055359714339704E-2</v>
      </c>
      <c r="P1209" s="258">
        <f t="shared" si="381"/>
        <v>1.6055359714339704E-2</v>
      </c>
      <c r="Q1209" s="354">
        <v>6.691962209302325</v>
      </c>
      <c r="R1209" s="249">
        <f t="shared" si="382"/>
        <v>6.8540231031976742</v>
      </c>
      <c r="S1209" s="355">
        <v>0.1</v>
      </c>
      <c r="T1209" s="355"/>
      <c r="U1209" s="315">
        <f t="shared" si="383"/>
        <v>7.5394254135174421</v>
      </c>
      <c r="V1209" s="315">
        <f t="shared" si="384"/>
        <v>8</v>
      </c>
      <c r="W1209" s="316">
        <f t="shared" si="373"/>
        <v>0</v>
      </c>
      <c r="X1209" s="185"/>
      <c r="Y1209" s="185"/>
      <c r="Z1209" s="185"/>
      <c r="AA1209" s="207"/>
      <c r="AB1209" s="286"/>
    </row>
    <row r="1210" spans="1:28" s="287" customFormat="1" x14ac:dyDescent="0.25">
      <c r="A1210" s="204" t="s">
        <v>16860</v>
      </c>
      <c r="B1210" s="351" t="s">
        <v>20933</v>
      </c>
      <c r="C1210" s="352"/>
      <c r="D1210" s="353" t="s">
        <v>14859</v>
      </c>
      <c r="E1210" s="249">
        <f t="shared" si="374"/>
        <v>0</v>
      </c>
      <c r="F1210" s="336">
        <v>0</v>
      </c>
      <c r="G1210" s="258">
        <f t="shared" si="375"/>
        <v>0</v>
      </c>
      <c r="H1210" s="249">
        <f t="shared" si="376"/>
        <v>10.969462030605531</v>
      </c>
      <c r="I1210" s="336">
        <v>9.3048107435377836E-3</v>
      </c>
      <c r="J1210" s="258">
        <f t="shared" si="377"/>
        <v>9.3048107435377836E-3</v>
      </c>
      <c r="K1210" s="249">
        <f t="shared" si="378"/>
        <v>1149.0050575293299</v>
      </c>
      <c r="L1210" s="336">
        <v>0.97463982954212247</v>
      </c>
      <c r="M1210" s="258">
        <f t="shared" si="379"/>
        <v>0.97463982954212247</v>
      </c>
      <c r="N1210" s="251">
        <f t="shared" si="380"/>
        <v>18.927699190064441</v>
      </c>
      <c r="O1210" s="336">
        <v>1.6055359714339704E-2</v>
      </c>
      <c r="P1210" s="258">
        <f t="shared" si="381"/>
        <v>1.6055359714339704E-2</v>
      </c>
      <c r="Q1210" s="354">
        <v>1151.0174999999999</v>
      </c>
      <c r="R1210" s="249">
        <f t="shared" si="382"/>
        <v>1178.90221875</v>
      </c>
      <c r="S1210" s="355">
        <v>0.1</v>
      </c>
      <c r="T1210" s="355"/>
      <c r="U1210" s="315">
        <f t="shared" si="383"/>
        <v>1296.7924406249999</v>
      </c>
      <c r="V1210" s="315">
        <f t="shared" si="384"/>
        <v>1300</v>
      </c>
      <c r="W1210" s="316">
        <f t="shared" si="373"/>
        <v>0</v>
      </c>
      <c r="X1210" s="185"/>
      <c r="Y1210" s="185"/>
      <c r="Z1210" s="185"/>
      <c r="AA1210" s="207"/>
      <c r="AB1210" s="286"/>
    </row>
    <row r="1211" spans="1:28" x14ac:dyDescent="0.25">
      <c r="A1211" s="204" t="s">
        <v>16861</v>
      </c>
      <c r="B1211" s="351" t="s">
        <v>20934</v>
      </c>
      <c r="C1211" s="352"/>
      <c r="D1211" s="353" t="s">
        <v>5</v>
      </c>
      <c r="E1211" s="249">
        <f t="shared" si="374"/>
        <v>0</v>
      </c>
      <c r="F1211" s="336">
        <v>0</v>
      </c>
      <c r="G1211" s="258">
        <f t="shared" si="375"/>
        <v>0</v>
      </c>
      <c r="H1211" s="249">
        <f t="shared" si="376"/>
        <v>6.3775919725559349E-2</v>
      </c>
      <c r="I1211" s="336">
        <v>9.0236966824644559E-3</v>
      </c>
      <c r="J1211" s="258">
        <f t="shared" si="377"/>
        <v>9.0236966824644559E-3</v>
      </c>
      <c r="K1211" s="249">
        <f t="shared" si="378"/>
        <v>6.8937243574497575</v>
      </c>
      <c r="L1211" s="336">
        <v>0.97539757767245905</v>
      </c>
      <c r="M1211" s="258">
        <f t="shared" si="379"/>
        <v>0.97539757767245905</v>
      </c>
      <c r="N1211" s="251">
        <f t="shared" si="380"/>
        <v>0.11004472423233769</v>
      </c>
      <c r="O1211" s="336">
        <v>1.5570300157977881E-2</v>
      </c>
      <c r="P1211" s="258">
        <f t="shared" si="381"/>
        <v>1.5570300157977881E-2</v>
      </c>
      <c r="Q1211" s="354">
        <v>6.9004360465116283</v>
      </c>
      <c r="R1211" s="249">
        <f t="shared" si="382"/>
        <v>7.0676045494186042</v>
      </c>
      <c r="S1211" s="355">
        <v>0.1</v>
      </c>
      <c r="T1211" s="355"/>
      <c r="U1211" s="315">
        <f t="shared" si="383"/>
        <v>7.7743650043604644</v>
      </c>
      <c r="V1211" s="315">
        <f t="shared" si="384"/>
        <v>8</v>
      </c>
      <c r="W1211" s="316">
        <f t="shared" si="373"/>
        <v>0</v>
      </c>
    </row>
    <row r="1212" spans="1:28" x14ac:dyDescent="0.25">
      <c r="A1212" s="204" t="s">
        <v>16862</v>
      </c>
      <c r="B1212" s="351" t="s">
        <v>20935</v>
      </c>
      <c r="C1212" s="352"/>
      <c r="D1212" s="353" t="s">
        <v>14859</v>
      </c>
      <c r="E1212" s="249">
        <f t="shared" si="374"/>
        <v>0</v>
      </c>
      <c r="F1212" s="336">
        <v>0</v>
      </c>
      <c r="G1212" s="258">
        <f t="shared" si="375"/>
        <v>0</v>
      </c>
      <c r="H1212" s="249">
        <f t="shared" si="376"/>
        <v>10.969550640568722</v>
      </c>
      <c r="I1212" s="336">
        <v>9.0236966824644559E-3</v>
      </c>
      <c r="J1212" s="258">
        <f t="shared" si="377"/>
        <v>9.0236966824644559E-3</v>
      </c>
      <c r="K1212" s="249">
        <f t="shared" si="378"/>
        <v>1185.7408247737442</v>
      </c>
      <c r="L1212" s="336">
        <v>0.97540600315955761</v>
      </c>
      <c r="M1212" s="258">
        <f t="shared" si="379"/>
        <v>0.97540600315955761</v>
      </c>
      <c r="N1212" s="251">
        <f t="shared" si="380"/>
        <v>18.927852085687206</v>
      </c>
      <c r="O1212" s="336">
        <v>1.5570300157977883E-2</v>
      </c>
      <c r="P1212" s="258">
        <f t="shared" si="381"/>
        <v>1.5570300157977883E-2</v>
      </c>
      <c r="Q1212" s="354">
        <v>1186.875</v>
      </c>
      <c r="R1212" s="249">
        <f t="shared" si="382"/>
        <v>1215.6382275000001</v>
      </c>
      <c r="S1212" s="355">
        <v>0.1</v>
      </c>
      <c r="T1212" s="355"/>
      <c r="U1212" s="315">
        <f t="shared" si="383"/>
        <v>1337.2020502500002</v>
      </c>
      <c r="V1212" s="315">
        <f t="shared" si="384"/>
        <v>1350</v>
      </c>
      <c r="W1212" s="316">
        <f t="shared" si="373"/>
        <v>0</v>
      </c>
    </row>
    <row r="1213" spans="1:28" x14ac:dyDescent="0.25">
      <c r="A1213" s="204" t="s">
        <v>16863</v>
      </c>
      <c r="B1213" s="351" t="s">
        <v>20936</v>
      </c>
      <c r="C1213" s="352"/>
      <c r="D1213" s="353" t="s">
        <v>5</v>
      </c>
      <c r="E1213" s="249">
        <f t="shared" si="374"/>
        <v>0</v>
      </c>
      <c r="F1213" s="336">
        <v>0</v>
      </c>
      <c r="G1213" s="258">
        <f t="shared" si="375"/>
        <v>0</v>
      </c>
      <c r="H1213" s="249">
        <f t="shared" si="376"/>
        <v>6.3785439981039624E-2</v>
      </c>
      <c r="I1213" s="336">
        <v>3.9923284668675878E-3</v>
      </c>
      <c r="J1213" s="258">
        <f t="shared" si="377"/>
        <v>3.9923284668675878E-3</v>
      </c>
      <c r="K1213" s="249">
        <f t="shared" si="378"/>
        <v>15.803095872127889</v>
      </c>
      <c r="L1213" s="336">
        <v>0.98911522023972609</v>
      </c>
      <c r="M1213" s="258">
        <f t="shared" si="379"/>
        <v>0.98911522023972609</v>
      </c>
      <c r="N1213" s="251">
        <f t="shared" si="380"/>
        <v>0.11006115133983307</v>
      </c>
      <c r="O1213" s="336">
        <v>6.888723629104857E-3</v>
      </c>
      <c r="P1213" s="258">
        <f t="shared" si="381"/>
        <v>6.888723629104857E-3</v>
      </c>
      <c r="Q1213" s="354">
        <v>15.596773255813954</v>
      </c>
      <c r="R1213" s="249">
        <f t="shared" si="382"/>
        <v>15.977002020348838</v>
      </c>
      <c r="S1213" s="355">
        <v>0.1</v>
      </c>
      <c r="T1213" s="355"/>
      <c r="U1213" s="315">
        <f t="shared" si="383"/>
        <v>17.574702222383721</v>
      </c>
      <c r="V1213" s="315">
        <f t="shared" si="384"/>
        <v>18</v>
      </c>
      <c r="W1213" s="316">
        <f t="shared" si="373"/>
        <v>0</v>
      </c>
    </row>
    <row r="1214" spans="1:28" x14ac:dyDescent="0.25">
      <c r="A1214" s="204" t="s">
        <v>16864</v>
      </c>
      <c r="B1214" s="351" t="s">
        <v>20937</v>
      </c>
      <c r="C1214" s="352"/>
      <c r="D1214" s="353" t="s">
        <v>14859</v>
      </c>
      <c r="E1214" s="249">
        <f t="shared" si="374"/>
        <v>0</v>
      </c>
      <c r="F1214" s="336">
        <v>0</v>
      </c>
      <c r="G1214" s="258">
        <f t="shared" si="375"/>
        <v>0</v>
      </c>
      <c r="H1214" s="249">
        <f t="shared" si="376"/>
        <v>10.971136578143959</v>
      </c>
      <c r="I1214" s="336">
        <v>3.9923284668675878E-3</v>
      </c>
      <c r="J1214" s="258">
        <f t="shared" si="377"/>
        <v>3.9923284668675878E-3</v>
      </c>
      <c r="K1214" s="249">
        <f t="shared" si="378"/>
        <v>2718.1528673164312</v>
      </c>
      <c r="L1214" s="336">
        <v>0.98911894790402755</v>
      </c>
      <c r="M1214" s="258">
        <f t="shared" si="379"/>
        <v>0.98911894790402755</v>
      </c>
      <c r="N1214" s="251">
        <f t="shared" si="380"/>
        <v>18.930588605424873</v>
      </c>
      <c r="O1214" s="336">
        <v>6.8887236291048579E-3</v>
      </c>
      <c r="P1214" s="258">
        <f t="shared" si="381"/>
        <v>6.8887236291048579E-3</v>
      </c>
      <c r="Q1214" s="354">
        <v>2682.645</v>
      </c>
      <c r="R1214" s="249">
        <f t="shared" si="382"/>
        <v>2748.0545925000001</v>
      </c>
      <c r="S1214" s="355">
        <v>0.1</v>
      </c>
      <c r="T1214" s="355"/>
      <c r="U1214" s="315">
        <f t="shared" si="383"/>
        <v>3022.8600517499999</v>
      </c>
      <c r="V1214" s="315">
        <f t="shared" si="384"/>
        <v>3025</v>
      </c>
      <c r="W1214" s="316">
        <f t="shared" si="373"/>
        <v>0</v>
      </c>
    </row>
    <row r="1215" spans="1:28" x14ac:dyDescent="0.25">
      <c r="A1215" s="204" t="s">
        <v>16865</v>
      </c>
      <c r="B1215" s="351" t="s">
        <v>20938</v>
      </c>
      <c r="C1215" s="352"/>
      <c r="D1215" s="353" t="s">
        <v>5</v>
      </c>
      <c r="E1215" s="249">
        <f t="shared" si="374"/>
        <v>0</v>
      </c>
      <c r="F1215" s="336">
        <v>0</v>
      </c>
      <c r="G1215" s="258">
        <f t="shared" si="375"/>
        <v>0</v>
      </c>
      <c r="H1215" s="249">
        <f t="shared" si="376"/>
        <v>6.3786484172091623E-2</v>
      </c>
      <c r="I1215" s="336">
        <v>3.4404830168313833E-3</v>
      </c>
      <c r="J1215" s="258">
        <f t="shared" si="377"/>
        <v>3.4404830168313833E-3</v>
      </c>
      <c r="K1215" s="249">
        <f t="shared" si="378"/>
        <v>18.366070379871605</v>
      </c>
      <c r="L1215" s="336">
        <v>0.99061978486540836</v>
      </c>
      <c r="M1215" s="258">
        <f t="shared" si="379"/>
        <v>0.99061978486540836</v>
      </c>
      <c r="N1215" s="251">
        <f t="shared" si="380"/>
        <v>0.11006295308125612</v>
      </c>
      <c r="O1215" s="336">
        <v>5.9365197153168963E-3</v>
      </c>
      <c r="P1215" s="258">
        <f t="shared" si="381"/>
        <v>5.9365197153168963E-3</v>
      </c>
      <c r="Q1215" s="354">
        <v>18.09845930232558</v>
      </c>
      <c r="R1215" s="249">
        <f t="shared" si="382"/>
        <v>18.539979374999998</v>
      </c>
      <c r="S1215" s="355">
        <v>0.1</v>
      </c>
      <c r="T1215" s="355"/>
      <c r="U1215" s="315">
        <f t="shared" si="383"/>
        <v>20.393977312499999</v>
      </c>
      <c r="V1215" s="315">
        <f t="shared" si="384"/>
        <v>21</v>
      </c>
      <c r="W1215" s="316">
        <f t="shared" ref="W1215:W1218" si="385">C1215*V1215</f>
        <v>0</v>
      </c>
    </row>
    <row r="1216" spans="1:28" x14ac:dyDescent="0.25">
      <c r="A1216" s="204" t="s">
        <v>16866</v>
      </c>
      <c r="B1216" s="351" t="s">
        <v>20939</v>
      </c>
      <c r="C1216" s="352"/>
      <c r="D1216" s="353" t="s">
        <v>14859</v>
      </c>
      <c r="E1216" s="249">
        <f t="shared" si="374"/>
        <v>0</v>
      </c>
      <c r="F1216" s="336">
        <v>0</v>
      </c>
      <c r="G1216" s="258">
        <f t="shared" si="375"/>
        <v>0</v>
      </c>
      <c r="H1216" s="249">
        <f t="shared" si="376"/>
        <v>10.971310525348265</v>
      </c>
      <c r="I1216" s="336">
        <v>3.4404830168313829E-3</v>
      </c>
      <c r="J1216" s="258">
        <f t="shared" si="377"/>
        <v>3.4404830168313829E-3</v>
      </c>
      <c r="K1216" s="249">
        <f t="shared" si="378"/>
        <v>3158.9844982250315</v>
      </c>
      <c r="L1216" s="336">
        <v>0.99062299726785175</v>
      </c>
      <c r="M1216" s="258">
        <f t="shared" si="379"/>
        <v>0.99062299726785175</v>
      </c>
      <c r="N1216" s="251">
        <f t="shared" si="380"/>
        <v>18.930888749620536</v>
      </c>
      <c r="O1216" s="336">
        <v>5.9365197153168955E-3</v>
      </c>
      <c r="P1216" s="258">
        <f t="shared" si="381"/>
        <v>5.9365197153168955E-3</v>
      </c>
      <c r="Q1216" s="354">
        <v>3112.9349999999999</v>
      </c>
      <c r="R1216" s="249">
        <f t="shared" si="382"/>
        <v>3188.8866975000001</v>
      </c>
      <c r="S1216" s="355">
        <v>0.1</v>
      </c>
      <c r="T1216" s="355"/>
      <c r="U1216" s="315">
        <f t="shared" si="383"/>
        <v>3507.7753672500003</v>
      </c>
      <c r="V1216" s="315">
        <f t="shared" si="384"/>
        <v>3525</v>
      </c>
      <c r="W1216" s="316">
        <f t="shared" si="385"/>
        <v>0</v>
      </c>
    </row>
    <row r="1217" spans="1:23" x14ac:dyDescent="0.25">
      <c r="A1217" s="204" t="s">
        <v>16867</v>
      </c>
      <c r="B1217" s="351" t="s">
        <v>20940</v>
      </c>
      <c r="C1217" s="352"/>
      <c r="D1217" s="353" t="s">
        <v>5</v>
      </c>
      <c r="E1217" s="249">
        <f t="shared" si="374"/>
        <v>0</v>
      </c>
      <c r="F1217" s="336">
        <v>0</v>
      </c>
      <c r="G1217" s="258">
        <f t="shared" si="375"/>
        <v>0</v>
      </c>
      <c r="H1217" s="249">
        <f t="shared" si="376"/>
        <v>6.378704242648385E-2</v>
      </c>
      <c r="I1217" s="336">
        <v>3.1454506606988278E-3</v>
      </c>
      <c r="J1217" s="258">
        <f t="shared" si="377"/>
        <v>3.1454506606988278E-3</v>
      </c>
      <c r="K1217" s="249">
        <f t="shared" si="378"/>
        <v>20.105232062775347</v>
      </c>
      <c r="L1217" s="336">
        <v>0.99142416813329548</v>
      </c>
      <c r="M1217" s="258">
        <f t="shared" si="379"/>
        <v>0.99142416813329548</v>
      </c>
      <c r="N1217" s="251">
        <f t="shared" si="380"/>
        <v>0.11006391634373684</v>
      </c>
      <c r="O1217" s="336">
        <v>5.427444277284252E-3</v>
      </c>
      <c r="P1217" s="258">
        <f t="shared" si="381"/>
        <v>5.427444277284252E-3</v>
      </c>
      <c r="Q1217" s="354">
        <v>19.796031976744185</v>
      </c>
      <c r="R1217" s="249">
        <f t="shared" si="382"/>
        <v>20.279142579941858</v>
      </c>
      <c r="S1217" s="355">
        <v>0.1</v>
      </c>
      <c r="T1217" s="355"/>
      <c r="U1217" s="315">
        <f t="shared" si="383"/>
        <v>22.307056837936045</v>
      </c>
      <c r="V1217" s="315">
        <f t="shared" si="384"/>
        <v>23</v>
      </c>
      <c r="W1217" s="316">
        <f t="shared" si="385"/>
        <v>0</v>
      </c>
    </row>
    <row r="1218" spans="1:23" x14ac:dyDescent="0.25">
      <c r="A1218" s="204" t="s">
        <v>16868</v>
      </c>
      <c r="B1218" s="351" t="s">
        <v>20941</v>
      </c>
      <c r="C1218" s="352"/>
      <c r="D1218" s="353" t="s">
        <v>14859</v>
      </c>
      <c r="E1218" s="249">
        <f t="shared" si="374"/>
        <v>0</v>
      </c>
      <c r="F1218" s="336">
        <v>0</v>
      </c>
      <c r="G1218" s="258">
        <f t="shared" si="375"/>
        <v>0</v>
      </c>
      <c r="H1218" s="249">
        <f t="shared" si="376"/>
        <v>10.971403522497242</v>
      </c>
      <c r="I1218" s="336">
        <v>3.1454506606988278E-3</v>
      </c>
      <c r="J1218" s="258">
        <f t="shared" si="377"/>
        <v>3.1454506606988278E-3</v>
      </c>
      <c r="K1218" s="249">
        <f t="shared" si="378"/>
        <v>3458.1203160122136</v>
      </c>
      <c r="L1218" s="336">
        <v>0.99142710506201692</v>
      </c>
      <c r="M1218" s="258">
        <f t="shared" si="379"/>
        <v>0.99142710506201692</v>
      </c>
      <c r="N1218" s="251">
        <f t="shared" si="380"/>
        <v>18.931049215289356</v>
      </c>
      <c r="O1218" s="336">
        <v>5.4274442772842511E-3</v>
      </c>
      <c r="P1218" s="258">
        <f t="shared" si="381"/>
        <v>5.4274442772842511E-3</v>
      </c>
      <c r="Q1218" s="354">
        <v>3404.9175</v>
      </c>
      <c r="R1218" s="249">
        <f t="shared" si="382"/>
        <v>3488.0227687500001</v>
      </c>
      <c r="S1218" s="355">
        <v>0.1</v>
      </c>
      <c r="T1218" s="355"/>
      <c r="U1218" s="315">
        <f t="shared" si="383"/>
        <v>3836.8250456250003</v>
      </c>
      <c r="V1218" s="315">
        <f t="shared" si="384"/>
        <v>3850</v>
      </c>
      <c r="W1218" s="316">
        <f t="shared" si="385"/>
        <v>0</v>
      </c>
    </row>
    <row r="1219" spans="1:23" x14ac:dyDescent="0.25">
      <c r="A1219" s="203" t="s">
        <v>16869</v>
      </c>
      <c r="B1219" s="345" t="s">
        <v>16870</v>
      </c>
      <c r="C1219" s="346"/>
      <c r="D1219" s="347"/>
      <c r="E1219" s="347"/>
      <c r="F1219" s="347"/>
      <c r="G1219" s="347"/>
      <c r="H1219" s="347"/>
      <c r="I1219" s="347"/>
      <c r="J1219" s="347"/>
      <c r="K1219" s="347"/>
      <c r="L1219" s="347"/>
      <c r="M1219" s="347"/>
      <c r="N1219" s="347"/>
      <c r="O1219" s="347"/>
      <c r="P1219" s="347"/>
      <c r="Q1219" s="347"/>
      <c r="R1219" s="347"/>
      <c r="S1219" s="347"/>
      <c r="T1219" s="348"/>
      <c r="U1219" s="349"/>
      <c r="V1219" s="349"/>
      <c r="W1219" s="350"/>
    </row>
    <row r="1220" spans="1:23" x14ac:dyDescent="0.25">
      <c r="A1220" s="204" t="s">
        <v>16871</v>
      </c>
      <c r="B1220" s="351" t="s">
        <v>20942</v>
      </c>
      <c r="C1220" s="352"/>
      <c r="D1220" s="353" t="s">
        <v>14859</v>
      </c>
      <c r="E1220" s="249">
        <f t="shared" ref="E1220:E1280" si="386">R1220*G1220</f>
        <v>0</v>
      </c>
      <c r="F1220" s="336">
        <v>0</v>
      </c>
      <c r="G1220" s="258">
        <f t="shared" ref="G1220:G1280" si="387">F1220</f>
        <v>0</v>
      </c>
      <c r="H1220" s="249">
        <f t="shared" ref="H1220:H1280" si="388">R1220*J1220</f>
        <v>10.924977023892296</v>
      </c>
      <c r="I1220" s="336">
        <v>0.15043296883888502</v>
      </c>
      <c r="J1220" s="258">
        <f t="shared" ref="J1220:J1280" si="389">I1220</f>
        <v>0.15043296883888502</v>
      </c>
      <c r="K1220" s="249">
        <f t="shared" ref="K1220:K1280" si="390">R1220*M1220</f>
        <v>42.847637478999438</v>
      </c>
      <c r="L1220" s="336">
        <v>0.5899964182626467</v>
      </c>
      <c r="M1220" s="258">
        <f t="shared" ref="M1220:M1280" si="391">L1220</f>
        <v>0.5899964182626467</v>
      </c>
      <c r="N1220" s="251">
        <f t="shared" ref="N1220:N1280" si="392">P1220*R1220</f>
        <v>18.850940747108275</v>
      </c>
      <c r="O1220" s="336">
        <v>0.25957061289846828</v>
      </c>
      <c r="P1220" s="258">
        <f t="shared" ref="P1220:P1280" si="393">O1220</f>
        <v>0.25957061289846828</v>
      </c>
      <c r="Q1220" s="354">
        <v>71.194500000000005</v>
      </c>
      <c r="R1220" s="249">
        <f t="shared" ref="R1220:R1280" si="394">SUM(F1220*Q1220*1.0235,I1220*Q1220*1.0175,L1220*Q1220*1.0245,O1220*Q1220*1.0115)</f>
        <v>72.62355525000001</v>
      </c>
      <c r="S1220" s="355">
        <v>0.1</v>
      </c>
      <c r="T1220" s="355"/>
      <c r="U1220" s="315">
        <f t="shared" si="383"/>
        <v>79.885910775000013</v>
      </c>
      <c r="V1220" s="315">
        <f t="shared" si="384"/>
        <v>80</v>
      </c>
      <c r="W1220" s="316">
        <f t="shared" ref="W1220:W1277" si="395">C1220*V1220</f>
        <v>0</v>
      </c>
    </row>
    <row r="1221" spans="1:23" x14ac:dyDescent="0.25">
      <c r="A1221" s="204" t="s">
        <v>16872</v>
      </c>
      <c r="B1221" s="351" t="s">
        <v>20943</v>
      </c>
      <c r="C1221" s="352"/>
      <c r="D1221" s="353" t="s">
        <v>5</v>
      </c>
      <c r="E1221" s="249">
        <f t="shared" si="386"/>
        <v>0</v>
      </c>
      <c r="F1221" s="336">
        <v>0</v>
      </c>
      <c r="G1221" s="258">
        <f t="shared" si="387"/>
        <v>0</v>
      </c>
      <c r="H1221" s="249">
        <f t="shared" si="388"/>
        <v>6.3508347896084533E-2</v>
      </c>
      <c r="I1221" s="336">
        <v>0.15043296883888502</v>
      </c>
      <c r="J1221" s="258">
        <f t="shared" si="389"/>
        <v>0.15043296883888502</v>
      </c>
      <c r="K1221" s="249">
        <f t="shared" si="390"/>
        <v>0.24901973069300859</v>
      </c>
      <c r="L1221" s="336">
        <v>0.5898559579742817</v>
      </c>
      <c r="M1221" s="258">
        <f t="shared" si="391"/>
        <v>0.5898559579742817</v>
      </c>
      <c r="N1221" s="251">
        <f t="shared" si="392"/>
        <v>0.10958303166383215</v>
      </c>
      <c r="O1221" s="336">
        <v>0.25957061289846828</v>
      </c>
      <c r="P1221" s="258">
        <f t="shared" si="393"/>
        <v>0.25957061289846828</v>
      </c>
      <c r="Q1221" s="354">
        <v>0.41392151162790702</v>
      </c>
      <c r="R1221" s="249">
        <f t="shared" si="394"/>
        <v>0.42217040843023257</v>
      </c>
      <c r="S1221" s="355">
        <v>0.1</v>
      </c>
      <c r="T1221" s="355"/>
      <c r="U1221" s="315">
        <f t="shared" si="383"/>
        <v>0.46438744927325581</v>
      </c>
      <c r="V1221" s="315">
        <f t="shared" si="384"/>
        <v>1</v>
      </c>
      <c r="W1221" s="316">
        <f t="shared" si="395"/>
        <v>0</v>
      </c>
    </row>
    <row r="1222" spans="1:23" x14ac:dyDescent="0.25">
      <c r="A1222" s="204" t="s">
        <v>16873</v>
      </c>
      <c r="B1222" s="351" t="s">
        <v>20944</v>
      </c>
      <c r="C1222" s="352"/>
      <c r="D1222" s="353" t="s">
        <v>14859</v>
      </c>
      <c r="E1222" s="249">
        <f t="shared" si="386"/>
        <v>0</v>
      </c>
      <c r="F1222" s="336">
        <v>0</v>
      </c>
      <c r="G1222" s="258">
        <f t="shared" si="387"/>
        <v>0</v>
      </c>
      <c r="H1222" s="249">
        <f t="shared" si="388"/>
        <v>10.946750066089333</v>
      </c>
      <c r="I1222" s="336">
        <v>8.1358249772105734E-2</v>
      </c>
      <c r="J1222" s="258">
        <f t="shared" si="389"/>
        <v>8.1358249772105734E-2</v>
      </c>
      <c r="K1222" s="249">
        <f t="shared" si="390"/>
        <v>104.71471001595259</v>
      </c>
      <c r="L1222" s="336">
        <v>0.77825888787602548</v>
      </c>
      <c r="M1222" s="258">
        <f t="shared" si="391"/>
        <v>0.77825888787602548</v>
      </c>
      <c r="N1222" s="251">
        <f t="shared" si="392"/>
        <v>18.888509917958068</v>
      </c>
      <c r="O1222" s="336">
        <v>0.14038286235186873</v>
      </c>
      <c r="P1222" s="258">
        <f t="shared" si="393"/>
        <v>0.14038286235186873</v>
      </c>
      <c r="Q1222" s="354">
        <v>131.64000000000001</v>
      </c>
      <c r="R1222" s="249">
        <f t="shared" si="394"/>
        <v>134.54997</v>
      </c>
      <c r="S1222" s="355">
        <v>0.1</v>
      </c>
      <c r="T1222" s="355"/>
      <c r="U1222" s="315">
        <f t="shared" si="383"/>
        <v>148.00496699999999</v>
      </c>
      <c r="V1222" s="315">
        <f t="shared" si="384"/>
        <v>150</v>
      </c>
      <c r="W1222" s="316">
        <f t="shared" si="395"/>
        <v>0</v>
      </c>
    </row>
    <row r="1223" spans="1:23" x14ac:dyDescent="0.25">
      <c r="A1223" s="204" t="s">
        <v>16874</v>
      </c>
      <c r="B1223" s="351" t="s">
        <v>20945</v>
      </c>
      <c r="C1223" s="352"/>
      <c r="D1223" s="353" t="s">
        <v>5</v>
      </c>
      <c r="E1223" s="249">
        <f t="shared" si="386"/>
        <v>0</v>
      </c>
      <c r="F1223" s="336">
        <v>0</v>
      </c>
      <c r="G1223" s="258">
        <f t="shared" si="387"/>
        <v>0</v>
      </c>
      <c r="H1223" s="249">
        <f t="shared" si="388"/>
        <v>6.3639049714072207E-2</v>
      </c>
      <c r="I1223" s="336">
        <v>8.1358249772105748E-2</v>
      </c>
      <c r="J1223" s="258">
        <f t="shared" si="389"/>
        <v>8.1358249772105748E-2</v>
      </c>
      <c r="K1223" s="249">
        <f t="shared" si="390"/>
        <v>0.60870067719043486</v>
      </c>
      <c r="L1223" s="336">
        <v>0.77818292312367066</v>
      </c>
      <c r="M1223" s="258">
        <f t="shared" si="391"/>
        <v>0.77818292312367066</v>
      </c>
      <c r="N1223" s="251">
        <f t="shared" si="392"/>
        <v>0.10980855636937949</v>
      </c>
      <c r="O1223" s="336">
        <v>0.14038286235186873</v>
      </c>
      <c r="P1223" s="258">
        <f t="shared" si="393"/>
        <v>0.14038286235186873</v>
      </c>
      <c r="Q1223" s="354">
        <v>0.76534883720930236</v>
      </c>
      <c r="R1223" s="249">
        <f t="shared" si="394"/>
        <v>0.7822077034883721</v>
      </c>
      <c r="S1223" s="355">
        <v>0.1</v>
      </c>
      <c r="T1223" s="355"/>
      <c r="U1223" s="315">
        <f t="shared" si="383"/>
        <v>0.86042847383720933</v>
      </c>
      <c r="V1223" s="315">
        <f t="shared" si="384"/>
        <v>1</v>
      </c>
      <c r="W1223" s="316">
        <f t="shared" si="395"/>
        <v>0</v>
      </c>
    </row>
    <row r="1224" spans="1:23" x14ac:dyDescent="0.25">
      <c r="A1224" s="204" t="s">
        <v>16875</v>
      </c>
      <c r="B1224" s="351" t="s">
        <v>20946</v>
      </c>
      <c r="C1224" s="352"/>
      <c r="D1224" s="353" t="s">
        <v>14859</v>
      </c>
      <c r="E1224" s="249">
        <f t="shared" si="386"/>
        <v>0</v>
      </c>
      <c r="F1224" s="336">
        <v>0</v>
      </c>
      <c r="G1224" s="258">
        <f t="shared" si="387"/>
        <v>0</v>
      </c>
      <c r="H1224" s="249">
        <f t="shared" si="388"/>
        <v>10.948601793529971</v>
      </c>
      <c r="I1224" s="336">
        <v>7.5483666349508413E-2</v>
      </c>
      <c r="J1224" s="258">
        <f t="shared" si="389"/>
        <v>7.5483666349508413E-2</v>
      </c>
      <c r="K1224" s="249">
        <f t="shared" si="390"/>
        <v>115.2056656509673</v>
      </c>
      <c r="L1224" s="336">
        <v>0.79427000740035936</v>
      </c>
      <c r="M1224" s="258">
        <f t="shared" si="391"/>
        <v>0.79427000740035936</v>
      </c>
      <c r="N1224" s="251">
        <f t="shared" si="392"/>
        <v>18.891705055502694</v>
      </c>
      <c r="O1224" s="336">
        <v>0.13024632625013216</v>
      </c>
      <c r="P1224" s="258">
        <f t="shared" si="393"/>
        <v>0.13024632625013216</v>
      </c>
      <c r="Q1224" s="354">
        <v>141.88499999999999</v>
      </c>
      <c r="R1224" s="249">
        <f t="shared" si="394"/>
        <v>145.04597249999998</v>
      </c>
      <c r="S1224" s="355">
        <v>0.1</v>
      </c>
      <c r="T1224" s="355"/>
      <c r="U1224" s="315">
        <f t="shared" si="383"/>
        <v>159.55056974999997</v>
      </c>
      <c r="V1224" s="315">
        <f t="shared" si="384"/>
        <v>160</v>
      </c>
      <c r="W1224" s="316">
        <f t="shared" si="395"/>
        <v>0</v>
      </c>
    </row>
    <row r="1225" spans="1:23" x14ac:dyDescent="0.25">
      <c r="A1225" s="204" t="s">
        <v>16876</v>
      </c>
      <c r="B1225" s="351" t="s">
        <v>20947</v>
      </c>
      <c r="C1225" s="352"/>
      <c r="D1225" s="353" t="s">
        <v>5</v>
      </c>
      <c r="E1225" s="249">
        <f t="shared" si="386"/>
        <v>0</v>
      </c>
      <c r="F1225" s="336">
        <v>0</v>
      </c>
      <c r="G1225" s="258">
        <f t="shared" si="387"/>
        <v>0</v>
      </c>
      <c r="H1225" s="249">
        <f t="shared" si="388"/>
        <v>6.365016548469897E-2</v>
      </c>
      <c r="I1225" s="336">
        <v>7.5483666349508427E-2</v>
      </c>
      <c r="J1225" s="258">
        <f t="shared" si="389"/>
        <v>7.5483666349508427E-2</v>
      </c>
      <c r="K1225" s="249">
        <f t="shared" si="390"/>
        <v>0.66969364123653607</v>
      </c>
      <c r="L1225" s="336">
        <v>0.79419952778658776</v>
      </c>
      <c r="M1225" s="258">
        <f t="shared" si="391"/>
        <v>0.79419952778658776</v>
      </c>
      <c r="N1225" s="251">
        <f t="shared" si="392"/>
        <v>0.10982773652261779</v>
      </c>
      <c r="O1225" s="336">
        <v>0.13024632625013216</v>
      </c>
      <c r="P1225" s="258">
        <f t="shared" si="393"/>
        <v>0.13024632625013216</v>
      </c>
      <c r="Q1225" s="354">
        <v>0.82491279069767431</v>
      </c>
      <c r="R1225" s="249">
        <f t="shared" si="394"/>
        <v>0.84323097383720913</v>
      </c>
      <c r="S1225" s="355">
        <v>0.1</v>
      </c>
      <c r="T1225" s="355"/>
      <c r="U1225" s="315">
        <f t="shared" si="383"/>
        <v>0.92755407122093003</v>
      </c>
      <c r="V1225" s="315">
        <f t="shared" si="384"/>
        <v>1</v>
      </c>
      <c r="W1225" s="316">
        <f t="shared" si="395"/>
        <v>0</v>
      </c>
    </row>
    <row r="1226" spans="1:23" x14ac:dyDescent="0.25">
      <c r="A1226" s="204" t="s">
        <v>16877</v>
      </c>
      <c r="B1226" s="351" t="s">
        <v>20948</v>
      </c>
      <c r="C1226" s="352"/>
      <c r="D1226" s="353" t="s">
        <v>14859</v>
      </c>
      <c r="E1226" s="249">
        <f t="shared" si="386"/>
        <v>0</v>
      </c>
      <c r="F1226" s="336">
        <v>0</v>
      </c>
      <c r="G1226" s="258">
        <f t="shared" si="387"/>
        <v>0</v>
      </c>
      <c r="H1226" s="249">
        <f t="shared" si="388"/>
        <v>10.949269710753994</v>
      </c>
      <c r="I1226" s="336">
        <v>7.3364706849427683E-2</v>
      </c>
      <c r="J1226" s="258">
        <f t="shared" si="389"/>
        <v>7.3364706849427683E-2</v>
      </c>
      <c r="K1226" s="249">
        <f t="shared" si="390"/>
        <v>119.40224624912146</v>
      </c>
      <c r="L1226" s="336">
        <v>0.80004521074371671</v>
      </c>
      <c r="M1226" s="258">
        <f t="shared" si="391"/>
        <v>0.80004521074371671</v>
      </c>
      <c r="N1226" s="251">
        <f t="shared" si="392"/>
        <v>18.892857540124535</v>
      </c>
      <c r="O1226" s="336">
        <v>0.1265900824068556</v>
      </c>
      <c r="P1226" s="258">
        <f t="shared" si="393"/>
        <v>0.1265900824068556</v>
      </c>
      <c r="Q1226" s="354">
        <v>145.983</v>
      </c>
      <c r="R1226" s="249">
        <f t="shared" si="394"/>
        <v>149.24437349999999</v>
      </c>
      <c r="S1226" s="355">
        <v>0.1</v>
      </c>
      <c r="T1226" s="355"/>
      <c r="U1226" s="315">
        <f t="shared" si="383"/>
        <v>164.16881085</v>
      </c>
      <c r="V1226" s="315">
        <f t="shared" si="384"/>
        <v>165</v>
      </c>
      <c r="W1226" s="316">
        <f t="shared" si="395"/>
        <v>0</v>
      </c>
    </row>
    <row r="1227" spans="1:23" x14ac:dyDescent="0.25">
      <c r="A1227" s="204" t="s">
        <v>16878</v>
      </c>
      <c r="B1227" s="351" t="s">
        <v>20949</v>
      </c>
      <c r="C1227" s="352"/>
      <c r="D1227" s="353" t="s">
        <v>5</v>
      </c>
      <c r="E1227" s="249">
        <f t="shared" si="386"/>
        <v>0</v>
      </c>
      <c r="F1227" s="336">
        <v>0</v>
      </c>
      <c r="G1227" s="258">
        <f t="shared" si="387"/>
        <v>0</v>
      </c>
      <c r="H1227" s="249">
        <f t="shared" si="388"/>
        <v>6.3654174937978605E-2</v>
      </c>
      <c r="I1227" s="336">
        <v>7.3364706849427683E-2</v>
      </c>
      <c r="J1227" s="258">
        <f t="shared" si="389"/>
        <v>7.3364706849427683E-2</v>
      </c>
      <c r="K1227" s="249">
        <f t="shared" si="390"/>
        <v>0.69409201790681185</v>
      </c>
      <c r="L1227" s="336">
        <v>0.79997670961687317</v>
      </c>
      <c r="M1227" s="258">
        <f t="shared" si="391"/>
        <v>0.79997670961687317</v>
      </c>
      <c r="N1227" s="251">
        <f t="shared" si="392"/>
        <v>0.10983465479494346</v>
      </c>
      <c r="O1227" s="336">
        <v>0.1265900824068556</v>
      </c>
      <c r="P1227" s="258">
        <f t="shared" si="393"/>
        <v>0.1265900824068556</v>
      </c>
      <c r="Q1227" s="354">
        <v>0.84873837209302327</v>
      </c>
      <c r="R1227" s="249">
        <f t="shared" si="394"/>
        <v>0.86764028197674414</v>
      </c>
      <c r="S1227" s="355">
        <v>0.1</v>
      </c>
      <c r="T1227" s="355"/>
      <c r="U1227" s="315">
        <f t="shared" si="383"/>
        <v>0.95440431017441862</v>
      </c>
      <c r="V1227" s="315">
        <f t="shared" si="384"/>
        <v>1</v>
      </c>
      <c r="W1227" s="316">
        <f t="shared" si="395"/>
        <v>0</v>
      </c>
    </row>
    <row r="1228" spans="1:23" x14ac:dyDescent="0.25">
      <c r="A1228" s="204" t="s">
        <v>16879</v>
      </c>
      <c r="B1228" s="351" t="s">
        <v>20950</v>
      </c>
      <c r="C1228" s="352"/>
      <c r="D1228" s="353" t="s">
        <v>14859</v>
      </c>
      <c r="E1228" s="249">
        <f t="shared" si="386"/>
        <v>0</v>
      </c>
      <c r="F1228" s="336">
        <v>0</v>
      </c>
      <c r="G1228" s="258">
        <f t="shared" si="387"/>
        <v>0</v>
      </c>
      <c r="H1228" s="249">
        <f t="shared" si="388"/>
        <v>10.949430871639203</v>
      </c>
      <c r="I1228" s="336">
        <v>7.2853425845620129E-2</v>
      </c>
      <c r="J1228" s="258">
        <f t="shared" si="389"/>
        <v>7.2853425845620129E-2</v>
      </c>
      <c r="K1228" s="249">
        <f t="shared" si="390"/>
        <v>120.45140725670882</v>
      </c>
      <c r="L1228" s="336">
        <v>0.80143870210703527</v>
      </c>
      <c r="M1228" s="258">
        <f t="shared" si="391"/>
        <v>0.80143870210703527</v>
      </c>
      <c r="N1228" s="251">
        <f t="shared" si="392"/>
        <v>18.893135621651957</v>
      </c>
      <c r="O1228" s="336">
        <v>0.12570787204734454</v>
      </c>
      <c r="P1228" s="258">
        <f t="shared" si="393"/>
        <v>0.12570787204734454</v>
      </c>
      <c r="Q1228" s="354">
        <v>147.00749999999999</v>
      </c>
      <c r="R1228" s="249">
        <f t="shared" si="394"/>
        <v>150.29397374999999</v>
      </c>
      <c r="S1228" s="355">
        <v>0.1</v>
      </c>
      <c r="T1228" s="355"/>
      <c r="U1228" s="315">
        <f t="shared" si="383"/>
        <v>165.32337112499999</v>
      </c>
      <c r="V1228" s="315">
        <f t="shared" si="384"/>
        <v>170</v>
      </c>
      <c r="W1228" s="316">
        <f t="shared" si="395"/>
        <v>0</v>
      </c>
    </row>
    <row r="1229" spans="1:23" x14ac:dyDescent="0.25">
      <c r="A1229" s="204" t="s">
        <v>16880</v>
      </c>
      <c r="B1229" s="351" t="s">
        <v>20951</v>
      </c>
      <c r="C1229" s="352"/>
      <c r="D1229" s="353" t="s">
        <v>5</v>
      </c>
      <c r="E1229" s="249">
        <f t="shared" si="386"/>
        <v>0</v>
      </c>
      <c r="F1229" s="336">
        <v>0</v>
      </c>
      <c r="G1229" s="258">
        <f t="shared" si="387"/>
        <v>0</v>
      </c>
      <c r="H1229" s="249">
        <f t="shared" si="388"/>
        <v>6.3655142373787291E-2</v>
      </c>
      <c r="I1229" s="336">
        <v>7.2853425845620129E-2</v>
      </c>
      <c r="J1229" s="258">
        <f t="shared" si="389"/>
        <v>7.2853425845620129E-2</v>
      </c>
      <c r="K1229" s="249">
        <f t="shared" si="390"/>
        <v>0.70019170730158231</v>
      </c>
      <c r="L1229" s="336">
        <v>0.80137067836675002</v>
      </c>
      <c r="M1229" s="258">
        <f t="shared" si="391"/>
        <v>0.80137067836675002</v>
      </c>
      <c r="N1229" s="251">
        <f t="shared" si="392"/>
        <v>0.10983632409594669</v>
      </c>
      <c r="O1229" s="336">
        <v>0.12570787204734452</v>
      </c>
      <c r="P1229" s="258">
        <f t="shared" si="393"/>
        <v>0.12570787204734452</v>
      </c>
      <c r="Q1229" s="354">
        <v>0.85469476744186046</v>
      </c>
      <c r="R1229" s="249">
        <f t="shared" si="394"/>
        <v>0.87374260901162792</v>
      </c>
      <c r="S1229" s="355">
        <v>0.1</v>
      </c>
      <c r="T1229" s="355"/>
      <c r="U1229" s="315">
        <f t="shared" si="383"/>
        <v>0.96111686991279077</v>
      </c>
      <c r="V1229" s="315">
        <f t="shared" si="384"/>
        <v>1</v>
      </c>
      <c r="W1229" s="316">
        <f t="shared" si="395"/>
        <v>0</v>
      </c>
    </row>
    <row r="1230" spans="1:23" x14ac:dyDescent="0.25">
      <c r="A1230" s="204" t="s">
        <v>16881</v>
      </c>
      <c r="B1230" s="351" t="s">
        <v>20952</v>
      </c>
      <c r="C1230" s="352"/>
      <c r="D1230" s="353" t="s">
        <v>14859</v>
      </c>
      <c r="E1230" s="249">
        <f t="shared" si="386"/>
        <v>0</v>
      </c>
      <c r="F1230" s="336">
        <v>0</v>
      </c>
      <c r="G1230" s="258">
        <f t="shared" si="387"/>
        <v>0</v>
      </c>
      <c r="H1230" s="249">
        <f t="shared" si="388"/>
        <v>10.951472231864793</v>
      </c>
      <c r="I1230" s="336">
        <v>6.63772346537507E-2</v>
      </c>
      <c r="J1230" s="258">
        <f t="shared" si="389"/>
        <v>6.63772346537507E-2</v>
      </c>
      <c r="K1230" s="249">
        <f t="shared" si="390"/>
        <v>135.14024704942733</v>
      </c>
      <c r="L1230" s="336">
        <v>0.819089497708405</v>
      </c>
      <c r="M1230" s="258">
        <f t="shared" si="391"/>
        <v>0.819089497708405</v>
      </c>
      <c r="N1230" s="251">
        <f t="shared" si="392"/>
        <v>18.896657968707878</v>
      </c>
      <c r="O1230" s="336">
        <v>0.11453326763784434</v>
      </c>
      <c r="P1230" s="258">
        <f t="shared" si="393"/>
        <v>0.11453326763784434</v>
      </c>
      <c r="Q1230" s="354">
        <v>161.35049999999998</v>
      </c>
      <c r="R1230" s="249">
        <f t="shared" si="394"/>
        <v>164.98837724999998</v>
      </c>
      <c r="S1230" s="355">
        <v>0.1</v>
      </c>
      <c r="T1230" s="355"/>
      <c r="U1230" s="315">
        <f t="shared" si="383"/>
        <v>181.48721497499997</v>
      </c>
      <c r="V1230" s="315">
        <f t="shared" si="384"/>
        <v>185</v>
      </c>
      <c r="W1230" s="316">
        <f t="shared" si="395"/>
        <v>0</v>
      </c>
    </row>
    <row r="1231" spans="1:23" x14ac:dyDescent="0.25">
      <c r="A1231" s="204" t="s">
        <v>16882</v>
      </c>
      <c r="B1231" s="351" t="s">
        <v>20953</v>
      </c>
      <c r="C1231" s="352"/>
      <c r="D1231" s="353" t="s">
        <v>5</v>
      </c>
      <c r="E1231" s="249">
        <f t="shared" si="386"/>
        <v>0</v>
      </c>
      <c r="F1231" s="336">
        <v>0</v>
      </c>
      <c r="G1231" s="258">
        <f t="shared" si="387"/>
        <v>0</v>
      </c>
      <c r="H1231" s="249">
        <f t="shared" si="388"/>
        <v>6.3667396494742817E-2</v>
      </c>
      <c r="I1231" s="336">
        <v>6.63772346537507E-2</v>
      </c>
      <c r="J1231" s="258">
        <f t="shared" si="389"/>
        <v>6.63772346537507E-2</v>
      </c>
      <c r="K1231" s="249">
        <f t="shared" si="390"/>
        <v>0.78559087586167231</v>
      </c>
      <c r="L1231" s="336">
        <v>0.81902752083197772</v>
      </c>
      <c r="M1231" s="258">
        <f t="shared" si="391"/>
        <v>0.81902752083197772</v>
      </c>
      <c r="N1231" s="251">
        <f t="shared" si="392"/>
        <v>0.10985746846151702</v>
      </c>
      <c r="O1231" s="336">
        <v>0.11453326763784434</v>
      </c>
      <c r="P1231" s="258">
        <f t="shared" si="393"/>
        <v>0.11453326763784434</v>
      </c>
      <c r="Q1231" s="354">
        <v>0.93808430232558127</v>
      </c>
      <c r="R1231" s="249">
        <f t="shared" si="394"/>
        <v>0.95917518749999997</v>
      </c>
      <c r="S1231" s="355">
        <v>0.1</v>
      </c>
      <c r="T1231" s="355"/>
      <c r="U1231" s="315">
        <f t="shared" si="383"/>
        <v>1.05509270625</v>
      </c>
      <c r="V1231" s="315">
        <f t="shared" si="384"/>
        <v>2</v>
      </c>
      <c r="W1231" s="316">
        <f t="shared" si="395"/>
        <v>0</v>
      </c>
    </row>
    <row r="1232" spans="1:23" x14ac:dyDescent="0.25">
      <c r="A1232" s="204" t="s">
        <v>16883</v>
      </c>
      <c r="B1232" s="351" t="s">
        <v>20954</v>
      </c>
      <c r="C1232" s="352"/>
      <c r="D1232" s="353" t="s">
        <v>14859</v>
      </c>
      <c r="E1232" s="249">
        <f t="shared" si="386"/>
        <v>0</v>
      </c>
      <c r="F1232" s="336">
        <v>0</v>
      </c>
      <c r="G1232" s="258">
        <f t="shared" si="387"/>
        <v>0</v>
      </c>
      <c r="H1232" s="249">
        <f t="shared" si="388"/>
        <v>10.952116041249933</v>
      </c>
      <c r="I1232" s="336">
        <v>6.4334756987619632E-2</v>
      </c>
      <c r="J1232" s="258">
        <f t="shared" si="389"/>
        <v>6.4334756987619632E-2</v>
      </c>
      <c r="K1232" s="249">
        <f t="shared" si="390"/>
        <v>140.38649360325996</v>
      </c>
      <c r="L1232" s="336">
        <v>0.82465625056315439</v>
      </c>
      <c r="M1232" s="258">
        <f t="shared" si="391"/>
        <v>0.82465625056315439</v>
      </c>
      <c r="N1232" s="251">
        <f t="shared" si="392"/>
        <v>18.897768855490078</v>
      </c>
      <c r="O1232" s="336">
        <v>0.11100899244922602</v>
      </c>
      <c r="P1232" s="258">
        <f t="shared" si="393"/>
        <v>0.11100899244922602</v>
      </c>
      <c r="Q1232" s="354">
        <v>166.47299999999998</v>
      </c>
      <c r="R1232" s="249">
        <f t="shared" si="394"/>
        <v>170.23637849999997</v>
      </c>
      <c r="S1232" s="355">
        <v>0.1</v>
      </c>
      <c r="T1232" s="355"/>
      <c r="U1232" s="315">
        <f t="shared" si="383"/>
        <v>187.26001634999997</v>
      </c>
      <c r="V1232" s="315">
        <f t="shared" si="384"/>
        <v>190</v>
      </c>
      <c r="W1232" s="316">
        <f t="shared" si="395"/>
        <v>0</v>
      </c>
    </row>
    <row r="1233" spans="1:23" x14ac:dyDescent="0.25">
      <c r="A1233" s="204" t="s">
        <v>16884</v>
      </c>
      <c r="B1233" s="351" t="s">
        <v>20955</v>
      </c>
      <c r="C1233" s="352"/>
      <c r="D1233" s="353" t="s">
        <v>5</v>
      </c>
      <c r="E1233" s="249">
        <f t="shared" si="386"/>
        <v>0</v>
      </c>
      <c r="F1233" s="336">
        <v>0</v>
      </c>
      <c r="G1233" s="258">
        <f t="shared" si="387"/>
        <v>0</v>
      </c>
      <c r="H1233" s="249">
        <f t="shared" si="388"/>
        <v>6.3671261230608123E-2</v>
      </c>
      <c r="I1233" s="336">
        <v>6.4334756987619632E-2</v>
      </c>
      <c r="J1233" s="258">
        <f t="shared" si="389"/>
        <v>6.4334756987619632E-2</v>
      </c>
      <c r="K1233" s="249">
        <f t="shared" si="390"/>
        <v>0.8160919741278494</v>
      </c>
      <c r="L1233" s="336">
        <v>0.82459618076204555</v>
      </c>
      <c r="M1233" s="258">
        <f t="shared" si="391"/>
        <v>0.82459618076204555</v>
      </c>
      <c r="N1233" s="251">
        <f t="shared" si="392"/>
        <v>0.10986413702536302</v>
      </c>
      <c r="O1233" s="336">
        <v>0.11100899244922602</v>
      </c>
      <c r="P1233" s="258">
        <f t="shared" si="393"/>
        <v>0.11100899244922602</v>
      </c>
      <c r="Q1233" s="354">
        <v>0.9678662790697673</v>
      </c>
      <c r="R1233" s="249">
        <f t="shared" si="394"/>
        <v>0.98968682267441854</v>
      </c>
      <c r="S1233" s="355">
        <v>0.1</v>
      </c>
      <c r="T1233" s="355"/>
      <c r="U1233" s="315">
        <f t="shared" si="383"/>
        <v>1.0886555049418605</v>
      </c>
      <c r="V1233" s="315">
        <f t="shared" si="384"/>
        <v>2</v>
      </c>
      <c r="W1233" s="316">
        <f t="shared" si="395"/>
        <v>0</v>
      </c>
    </row>
    <row r="1234" spans="1:23" x14ac:dyDescent="0.25">
      <c r="A1234" s="204" t="s">
        <v>16885</v>
      </c>
      <c r="B1234" s="351" t="s">
        <v>20956</v>
      </c>
      <c r="C1234" s="352"/>
      <c r="D1234" s="353" t="s">
        <v>14859</v>
      </c>
      <c r="E1234" s="249">
        <f t="shared" si="386"/>
        <v>0</v>
      </c>
      <c r="F1234" s="336">
        <v>0</v>
      </c>
      <c r="G1234" s="258">
        <f t="shared" si="387"/>
        <v>0</v>
      </c>
      <c r="H1234" s="249">
        <f t="shared" si="388"/>
        <v>10.952240077687728</v>
      </c>
      <c r="I1234" s="336">
        <v>6.3941252854520222E-2</v>
      </c>
      <c r="J1234" s="258">
        <f t="shared" si="389"/>
        <v>6.3941252854520222E-2</v>
      </c>
      <c r="K1234" s="249">
        <f t="shared" si="390"/>
        <v>141.43575579316482</v>
      </c>
      <c r="L1234" s="336">
        <v>0.82572874222003312</v>
      </c>
      <c r="M1234" s="258">
        <f t="shared" si="391"/>
        <v>0.82572874222003312</v>
      </c>
      <c r="N1234" s="251">
        <f t="shared" si="392"/>
        <v>18.897982879147449</v>
      </c>
      <c r="O1234" s="336">
        <v>0.11033000492544665</v>
      </c>
      <c r="P1234" s="258">
        <f t="shared" si="393"/>
        <v>0.11033000492544665</v>
      </c>
      <c r="Q1234" s="354">
        <v>167.4975</v>
      </c>
      <c r="R1234" s="249">
        <f t="shared" si="394"/>
        <v>171.28597875</v>
      </c>
      <c r="S1234" s="355">
        <v>0.1</v>
      </c>
      <c r="T1234" s="355"/>
      <c r="U1234" s="315">
        <f t="shared" si="383"/>
        <v>188.414576625</v>
      </c>
      <c r="V1234" s="315">
        <f t="shared" si="384"/>
        <v>190</v>
      </c>
      <c r="W1234" s="316">
        <f t="shared" si="395"/>
        <v>0</v>
      </c>
    </row>
    <row r="1235" spans="1:23" x14ac:dyDescent="0.25">
      <c r="A1235" s="204" t="s">
        <v>16886</v>
      </c>
      <c r="B1235" s="351" t="s">
        <v>20957</v>
      </c>
      <c r="C1235" s="352"/>
      <c r="D1235" s="353" t="s">
        <v>5</v>
      </c>
      <c r="E1235" s="249">
        <f t="shared" si="386"/>
        <v>0</v>
      </c>
      <c r="F1235" s="336">
        <v>0</v>
      </c>
      <c r="G1235" s="258">
        <f t="shared" si="387"/>
        <v>0</v>
      </c>
      <c r="H1235" s="249">
        <f t="shared" si="388"/>
        <v>6.3672005811350199E-2</v>
      </c>
      <c r="I1235" s="336">
        <v>6.3941252854520222E-2</v>
      </c>
      <c r="J1235" s="258">
        <f t="shared" si="389"/>
        <v>6.3941252854520222E-2</v>
      </c>
      <c r="K1235" s="249">
        <f t="shared" si="390"/>
        <v>0.82219227112000026</v>
      </c>
      <c r="L1235" s="336">
        <v>0.82566903983641549</v>
      </c>
      <c r="M1235" s="258">
        <f t="shared" si="391"/>
        <v>0.82566903983641549</v>
      </c>
      <c r="N1235" s="251">
        <f t="shared" si="392"/>
        <v>0.10986542179213366</v>
      </c>
      <c r="O1235" s="336">
        <v>0.11033000492544665</v>
      </c>
      <c r="P1235" s="258">
        <f t="shared" si="393"/>
        <v>0.11033000492544665</v>
      </c>
      <c r="Q1235" s="354">
        <v>0.97382267441860471</v>
      </c>
      <c r="R1235" s="249">
        <f t="shared" si="394"/>
        <v>0.99578914970930232</v>
      </c>
      <c r="S1235" s="355">
        <v>0.1</v>
      </c>
      <c r="T1235" s="355"/>
      <c r="U1235" s="315">
        <f t="shared" si="383"/>
        <v>1.0953680646802326</v>
      </c>
      <c r="V1235" s="315">
        <f t="shared" si="384"/>
        <v>2</v>
      </c>
      <c r="W1235" s="316">
        <f t="shared" si="395"/>
        <v>0</v>
      </c>
    </row>
    <row r="1236" spans="1:23" x14ac:dyDescent="0.25">
      <c r="A1236" s="204" t="s">
        <v>16887</v>
      </c>
      <c r="B1236" s="351" t="s">
        <v>20958</v>
      </c>
      <c r="C1236" s="352"/>
      <c r="D1236" s="353" t="s">
        <v>14859</v>
      </c>
      <c r="E1236" s="249">
        <f t="shared" si="386"/>
        <v>0</v>
      </c>
      <c r="F1236" s="336">
        <v>0</v>
      </c>
      <c r="G1236" s="258">
        <f t="shared" si="387"/>
        <v>0</v>
      </c>
      <c r="H1236" s="249">
        <f t="shared" si="388"/>
        <v>10.953401798599097</v>
      </c>
      <c r="I1236" s="336">
        <v>6.02557069918562E-2</v>
      </c>
      <c r="J1236" s="258">
        <f t="shared" si="389"/>
        <v>6.02557069918562E-2</v>
      </c>
      <c r="K1236" s="249">
        <f t="shared" si="390"/>
        <v>151.92859203421031</v>
      </c>
      <c r="L1236" s="336">
        <v>0.83577366133592135</v>
      </c>
      <c r="M1236" s="258">
        <f t="shared" si="391"/>
        <v>0.83577366133592135</v>
      </c>
      <c r="N1236" s="251">
        <f t="shared" si="392"/>
        <v>18.899987417190598</v>
      </c>
      <c r="O1236" s="336">
        <v>0.10397063167222245</v>
      </c>
      <c r="P1236" s="258">
        <f t="shared" si="393"/>
        <v>0.10397063167222245</v>
      </c>
      <c r="Q1236" s="354">
        <v>177.74250000000001</v>
      </c>
      <c r="R1236" s="249">
        <f t="shared" si="394"/>
        <v>181.78198125</v>
      </c>
      <c r="S1236" s="355">
        <v>0.1</v>
      </c>
      <c r="T1236" s="355"/>
      <c r="U1236" s="315">
        <f t="shared" si="383"/>
        <v>199.960179375</v>
      </c>
      <c r="V1236" s="315">
        <f t="shared" si="384"/>
        <v>200</v>
      </c>
      <c r="W1236" s="316">
        <f t="shared" si="395"/>
        <v>0</v>
      </c>
    </row>
    <row r="1237" spans="1:23" x14ac:dyDescent="0.25">
      <c r="A1237" s="204" t="s">
        <v>16888</v>
      </c>
      <c r="B1237" s="351" t="s">
        <v>20959</v>
      </c>
      <c r="C1237" s="352"/>
      <c r="D1237" s="353" t="s">
        <v>5</v>
      </c>
      <c r="E1237" s="249">
        <f t="shared" si="386"/>
        <v>0</v>
      </c>
      <c r="F1237" s="336">
        <v>0</v>
      </c>
      <c r="G1237" s="258">
        <f t="shared" si="387"/>
        <v>0</v>
      </c>
      <c r="H1237" s="249">
        <f t="shared" si="388"/>
        <v>6.3678979528377713E-2</v>
      </c>
      <c r="I1237" s="336">
        <v>6.02557069918562E-2</v>
      </c>
      <c r="J1237" s="258">
        <f t="shared" si="389"/>
        <v>6.02557069918562E-2</v>
      </c>
      <c r="K1237" s="249">
        <f t="shared" si="390"/>
        <v>0.8831965281600419</v>
      </c>
      <c r="L1237" s="336">
        <v>0.83571740017159668</v>
      </c>
      <c r="M1237" s="258">
        <f t="shared" si="391"/>
        <v>0.83571740017159668</v>
      </c>
      <c r="N1237" s="251">
        <f t="shared" si="392"/>
        <v>0.10987745487249488</v>
      </c>
      <c r="O1237" s="336">
        <v>0.10397063167222245</v>
      </c>
      <c r="P1237" s="258">
        <f t="shared" si="393"/>
        <v>0.10397063167222245</v>
      </c>
      <c r="Q1237" s="354">
        <v>1.0333866279069768</v>
      </c>
      <c r="R1237" s="249">
        <f t="shared" si="394"/>
        <v>1.0568124200581397</v>
      </c>
      <c r="S1237" s="355">
        <v>0.1</v>
      </c>
      <c r="T1237" s="355"/>
      <c r="U1237" s="315">
        <f t="shared" si="383"/>
        <v>1.1624936620639537</v>
      </c>
      <c r="V1237" s="315">
        <f t="shared" si="384"/>
        <v>2</v>
      </c>
      <c r="W1237" s="316">
        <f t="shared" si="395"/>
        <v>0</v>
      </c>
    </row>
    <row r="1238" spans="1:23" x14ac:dyDescent="0.25">
      <c r="A1238" s="204" t="s">
        <v>16889</v>
      </c>
      <c r="B1238" s="351" t="s">
        <v>20960</v>
      </c>
      <c r="C1238" s="352"/>
      <c r="D1238" s="353" t="s">
        <v>14859</v>
      </c>
      <c r="E1238" s="249">
        <f t="shared" si="386"/>
        <v>0</v>
      </c>
      <c r="F1238" s="336">
        <v>0</v>
      </c>
      <c r="G1238" s="258">
        <f t="shared" si="387"/>
        <v>0</v>
      </c>
      <c r="H1238" s="249">
        <f t="shared" si="388"/>
        <v>10.953401798599097</v>
      </c>
      <c r="I1238" s="336">
        <v>6.02557069918562E-2</v>
      </c>
      <c r="J1238" s="258">
        <f t="shared" si="389"/>
        <v>6.02557069918562E-2</v>
      </c>
      <c r="K1238" s="249">
        <f t="shared" si="390"/>
        <v>151.92859203421031</v>
      </c>
      <c r="L1238" s="336">
        <v>0.83577366133592135</v>
      </c>
      <c r="M1238" s="258">
        <f t="shared" si="391"/>
        <v>0.83577366133592135</v>
      </c>
      <c r="N1238" s="251">
        <f t="shared" si="392"/>
        <v>18.899987417190598</v>
      </c>
      <c r="O1238" s="336">
        <v>0.10397063167222245</v>
      </c>
      <c r="P1238" s="258">
        <f t="shared" si="393"/>
        <v>0.10397063167222245</v>
      </c>
      <c r="Q1238" s="354">
        <v>177.74250000000001</v>
      </c>
      <c r="R1238" s="249">
        <f t="shared" si="394"/>
        <v>181.78198125</v>
      </c>
      <c r="S1238" s="355">
        <v>0.1</v>
      </c>
      <c r="T1238" s="355"/>
      <c r="U1238" s="315">
        <f t="shared" si="383"/>
        <v>199.960179375</v>
      </c>
      <c r="V1238" s="315">
        <f t="shared" si="384"/>
        <v>200</v>
      </c>
      <c r="W1238" s="316">
        <f t="shared" si="395"/>
        <v>0</v>
      </c>
    </row>
    <row r="1239" spans="1:23" x14ac:dyDescent="0.25">
      <c r="A1239" s="204" t="s">
        <v>16890</v>
      </c>
      <c r="B1239" s="351" t="s">
        <v>20961</v>
      </c>
      <c r="C1239" s="352"/>
      <c r="D1239" s="353" t="s">
        <v>5</v>
      </c>
      <c r="E1239" s="249">
        <f t="shared" si="386"/>
        <v>0</v>
      </c>
      <c r="F1239" s="336">
        <v>0</v>
      </c>
      <c r="G1239" s="258">
        <f t="shared" si="387"/>
        <v>0</v>
      </c>
      <c r="H1239" s="249">
        <f t="shared" si="388"/>
        <v>6.3678979528377713E-2</v>
      </c>
      <c r="I1239" s="336">
        <v>6.02557069918562E-2</v>
      </c>
      <c r="J1239" s="258">
        <f t="shared" si="389"/>
        <v>6.02557069918562E-2</v>
      </c>
      <c r="K1239" s="249">
        <f t="shared" si="390"/>
        <v>0.8831965281600419</v>
      </c>
      <c r="L1239" s="336">
        <v>0.83571740017159668</v>
      </c>
      <c r="M1239" s="258">
        <f t="shared" si="391"/>
        <v>0.83571740017159668</v>
      </c>
      <c r="N1239" s="251">
        <f t="shared" si="392"/>
        <v>0.10987745487249488</v>
      </c>
      <c r="O1239" s="336">
        <v>0.10397063167222245</v>
      </c>
      <c r="P1239" s="258">
        <f t="shared" si="393"/>
        <v>0.10397063167222245</v>
      </c>
      <c r="Q1239" s="354">
        <v>1.0333866279069768</v>
      </c>
      <c r="R1239" s="249">
        <f t="shared" si="394"/>
        <v>1.0568124200581397</v>
      </c>
      <c r="S1239" s="355">
        <v>0.1</v>
      </c>
      <c r="T1239" s="355"/>
      <c r="U1239" s="315">
        <f t="shared" si="383"/>
        <v>1.1624936620639537</v>
      </c>
      <c r="V1239" s="315">
        <f t="shared" si="384"/>
        <v>2</v>
      </c>
      <c r="W1239" s="316">
        <f t="shared" si="395"/>
        <v>0</v>
      </c>
    </row>
    <row r="1240" spans="1:23" x14ac:dyDescent="0.25">
      <c r="A1240" s="204" t="s">
        <v>16891</v>
      </c>
      <c r="B1240" s="351" t="s">
        <v>20962</v>
      </c>
      <c r="C1240" s="352"/>
      <c r="D1240" s="353" t="s">
        <v>14859</v>
      </c>
      <c r="E1240" s="249">
        <f t="shared" si="386"/>
        <v>0</v>
      </c>
      <c r="F1240" s="336">
        <v>0</v>
      </c>
      <c r="G1240" s="258">
        <f t="shared" si="387"/>
        <v>0</v>
      </c>
      <c r="H1240" s="249">
        <f t="shared" si="388"/>
        <v>10.953933845049628</v>
      </c>
      <c r="I1240" s="336">
        <v>5.8567795915019288E-2</v>
      </c>
      <c r="J1240" s="258">
        <f t="shared" si="389"/>
        <v>5.8567795915019288E-2</v>
      </c>
      <c r="K1240" s="249">
        <f t="shared" si="390"/>
        <v>157.1751431968255</v>
      </c>
      <c r="L1240" s="336">
        <v>0.84037404642769253</v>
      </c>
      <c r="M1240" s="258">
        <f t="shared" si="391"/>
        <v>0.84037404642769253</v>
      </c>
      <c r="N1240" s="251">
        <f t="shared" si="392"/>
        <v>18.900905458124846</v>
      </c>
      <c r="O1240" s="336">
        <v>0.10105815765728818</v>
      </c>
      <c r="P1240" s="258">
        <f t="shared" si="393"/>
        <v>0.10105815765728818</v>
      </c>
      <c r="Q1240" s="354">
        <v>182.86499999999998</v>
      </c>
      <c r="R1240" s="249">
        <f t="shared" si="394"/>
        <v>187.02998249999999</v>
      </c>
      <c r="S1240" s="355">
        <v>0.1</v>
      </c>
      <c r="T1240" s="355"/>
      <c r="U1240" s="315">
        <f t="shared" si="383"/>
        <v>205.73298075</v>
      </c>
      <c r="V1240" s="315">
        <f t="shared" si="384"/>
        <v>210</v>
      </c>
      <c r="W1240" s="316">
        <f t="shared" si="395"/>
        <v>0</v>
      </c>
    </row>
    <row r="1241" spans="1:23" x14ac:dyDescent="0.25">
      <c r="A1241" s="204" t="s">
        <v>16892</v>
      </c>
      <c r="B1241" s="351" t="s">
        <v>20963</v>
      </c>
      <c r="C1241" s="352"/>
      <c r="D1241" s="353" t="s">
        <v>5</v>
      </c>
      <c r="E1241" s="249">
        <f t="shared" si="386"/>
        <v>0</v>
      </c>
      <c r="F1241" s="336">
        <v>0</v>
      </c>
      <c r="G1241" s="258">
        <f t="shared" si="387"/>
        <v>0</v>
      </c>
      <c r="H1241" s="249">
        <f t="shared" si="388"/>
        <v>6.3682173360351618E-2</v>
      </c>
      <c r="I1241" s="336">
        <v>5.8567795915019295E-2</v>
      </c>
      <c r="J1241" s="258">
        <f t="shared" si="389"/>
        <v>5.8567795915019295E-2</v>
      </c>
      <c r="K1241" s="249">
        <f t="shared" si="390"/>
        <v>0.9136994555946244</v>
      </c>
      <c r="L1241" s="336">
        <v>0.84031936127744511</v>
      </c>
      <c r="M1241" s="258">
        <f t="shared" si="391"/>
        <v>0.84031936127744511</v>
      </c>
      <c r="N1241" s="251">
        <f t="shared" si="392"/>
        <v>0.10988296579825374</v>
      </c>
      <c r="O1241" s="336">
        <v>0.10105815765728818</v>
      </c>
      <c r="P1241" s="258">
        <f t="shared" si="393"/>
        <v>0.10105815765728818</v>
      </c>
      <c r="Q1241" s="354">
        <v>1.0631686046511626</v>
      </c>
      <c r="R1241" s="249">
        <f t="shared" si="394"/>
        <v>1.0873240552325578</v>
      </c>
      <c r="S1241" s="355">
        <v>0.1</v>
      </c>
      <c r="T1241" s="355"/>
      <c r="U1241" s="315">
        <f t="shared" si="383"/>
        <v>1.1960564607558135</v>
      </c>
      <c r="V1241" s="315">
        <f t="shared" si="384"/>
        <v>2</v>
      </c>
      <c r="W1241" s="316">
        <f t="shared" si="395"/>
        <v>0</v>
      </c>
    </row>
    <row r="1242" spans="1:23" x14ac:dyDescent="0.25">
      <c r="A1242" s="204" t="s">
        <v>16893</v>
      </c>
      <c r="B1242" s="351" t="s">
        <v>20964</v>
      </c>
      <c r="C1242" s="352"/>
      <c r="D1242" s="353" t="s">
        <v>14859</v>
      </c>
      <c r="E1242" s="249">
        <f t="shared" si="386"/>
        <v>0</v>
      </c>
      <c r="F1242" s="336">
        <v>0</v>
      </c>
      <c r="G1242" s="258">
        <f t="shared" si="387"/>
        <v>0</v>
      </c>
      <c r="H1242" s="249">
        <f t="shared" si="388"/>
        <v>10.953933845049628</v>
      </c>
      <c r="I1242" s="336">
        <v>5.8567795915019288E-2</v>
      </c>
      <c r="J1242" s="258">
        <f t="shared" si="389"/>
        <v>5.8567795915019288E-2</v>
      </c>
      <c r="K1242" s="249">
        <f t="shared" si="390"/>
        <v>157.1751431968255</v>
      </c>
      <c r="L1242" s="336">
        <v>0.84037404642769253</v>
      </c>
      <c r="M1242" s="258">
        <f t="shared" si="391"/>
        <v>0.84037404642769253</v>
      </c>
      <c r="N1242" s="251">
        <f t="shared" si="392"/>
        <v>18.900905458124846</v>
      </c>
      <c r="O1242" s="336">
        <v>0.10105815765728818</v>
      </c>
      <c r="P1242" s="258">
        <f t="shared" si="393"/>
        <v>0.10105815765728818</v>
      </c>
      <c r="Q1242" s="354">
        <v>182.86499999999998</v>
      </c>
      <c r="R1242" s="249">
        <f t="shared" si="394"/>
        <v>187.02998249999999</v>
      </c>
      <c r="S1242" s="355">
        <v>0.1</v>
      </c>
      <c r="T1242" s="355"/>
      <c r="U1242" s="315">
        <f t="shared" si="383"/>
        <v>205.73298075</v>
      </c>
      <c r="V1242" s="315">
        <f t="shared" si="384"/>
        <v>210</v>
      </c>
      <c r="W1242" s="316">
        <f t="shared" si="395"/>
        <v>0</v>
      </c>
    </row>
    <row r="1243" spans="1:23" ht="14.4" thickBot="1" x14ac:dyDescent="0.3">
      <c r="A1243" s="356" t="s">
        <v>16894</v>
      </c>
      <c r="B1243" s="357" t="s">
        <v>20965</v>
      </c>
      <c r="C1243" s="358"/>
      <c r="D1243" s="359" t="s">
        <v>5</v>
      </c>
      <c r="E1243" s="266">
        <f t="shared" si="386"/>
        <v>0</v>
      </c>
      <c r="F1243" s="360">
        <v>0</v>
      </c>
      <c r="G1243" s="322">
        <f t="shared" si="387"/>
        <v>0</v>
      </c>
      <c r="H1243" s="266">
        <f t="shared" si="388"/>
        <v>6.3682173360351618E-2</v>
      </c>
      <c r="I1243" s="360">
        <v>5.8567795915019295E-2</v>
      </c>
      <c r="J1243" s="322">
        <f t="shared" si="389"/>
        <v>5.8567795915019295E-2</v>
      </c>
      <c r="K1243" s="266">
        <f t="shared" si="390"/>
        <v>0.9136994555946244</v>
      </c>
      <c r="L1243" s="360">
        <v>0.84031936127744511</v>
      </c>
      <c r="M1243" s="322">
        <f t="shared" si="391"/>
        <v>0.84031936127744511</v>
      </c>
      <c r="N1243" s="270">
        <f t="shared" si="392"/>
        <v>0.10988296579825374</v>
      </c>
      <c r="O1243" s="360">
        <v>0.10105815765728818</v>
      </c>
      <c r="P1243" s="322">
        <f t="shared" si="393"/>
        <v>0.10105815765728818</v>
      </c>
      <c r="Q1243" s="361">
        <v>1.0631686046511626</v>
      </c>
      <c r="R1243" s="266">
        <f t="shared" si="394"/>
        <v>1.0873240552325578</v>
      </c>
      <c r="S1243" s="362">
        <v>0.1</v>
      </c>
      <c r="T1243" s="362"/>
      <c r="U1243" s="324">
        <f t="shared" si="383"/>
        <v>1.1960564607558135</v>
      </c>
      <c r="V1243" s="324">
        <f t="shared" si="384"/>
        <v>2</v>
      </c>
      <c r="W1243" s="325">
        <f t="shared" si="395"/>
        <v>0</v>
      </c>
    </row>
    <row r="1244" spans="1:23" x14ac:dyDescent="0.25">
      <c r="A1244" s="204" t="s">
        <v>16895</v>
      </c>
      <c r="B1244" s="351" t="s">
        <v>18952</v>
      </c>
      <c r="C1244" s="352"/>
      <c r="D1244" s="353" t="s">
        <v>14859</v>
      </c>
      <c r="E1244" s="249">
        <f t="shared" si="386"/>
        <v>0</v>
      </c>
      <c r="F1244" s="336">
        <v>0</v>
      </c>
      <c r="G1244" s="258">
        <f t="shared" si="387"/>
        <v>0</v>
      </c>
      <c r="H1244" s="249">
        <f t="shared" si="388"/>
        <v>10.954436895870737</v>
      </c>
      <c r="I1244" s="336">
        <v>5.697187312986237E-2</v>
      </c>
      <c r="J1244" s="258">
        <f t="shared" si="389"/>
        <v>5.697187312986237E-2</v>
      </c>
      <c r="K1244" s="249">
        <f t="shared" si="390"/>
        <v>162.42177338674446</v>
      </c>
      <c r="L1244" s="336">
        <v>0.84472371833233595</v>
      </c>
      <c r="M1244" s="258">
        <f t="shared" si="391"/>
        <v>0.84472371833233595</v>
      </c>
      <c r="N1244" s="251">
        <f t="shared" si="392"/>
        <v>18.9017734673848</v>
      </c>
      <c r="O1244" s="336">
        <v>9.830440853780173E-2</v>
      </c>
      <c r="P1244" s="258">
        <f t="shared" si="393"/>
        <v>9.830440853780173E-2</v>
      </c>
      <c r="Q1244" s="354">
        <v>187.98749999999998</v>
      </c>
      <c r="R1244" s="249">
        <f t="shared" si="394"/>
        <v>192.27798374999998</v>
      </c>
      <c r="S1244" s="355">
        <v>0.1</v>
      </c>
      <c r="T1244" s="355"/>
      <c r="U1244" s="315">
        <f t="shared" si="383"/>
        <v>211.50578212499997</v>
      </c>
      <c r="V1244" s="315">
        <f t="shared" si="384"/>
        <v>215</v>
      </c>
      <c r="W1244" s="316">
        <f t="shared" si="395"/>
        <v>0</v>
      </c>
    </row>
    <row r="1245" spans="1:23" x14ac:dyDescent="0.25">
      <c r="A1245" s="204" t="s">
        <v>16896</v>
      </c>
      <c r="B1245" s="351" t="s">
        <v>20966</v>
      </c>
      <c r="C1245" s="352"/>
      <c r="D1245" s="353" t="s">
        <v>5</v>
      </c>
      <c r="E1245" s="249">
        <f t="shared" si="386"/>
        <v>0</v>
      </c>
      <c r="F1245" s="336">
        <v>0</v>
      </c>
      <c r="G1245" s="258">
        <f t="shared" si="387"/>
        <v>0</v>
      </c>
      <c r="H1245" s="249">
        <f t="shared" si="388"/>
        <v>6.3685193133898393E-2</v>
      </c>
      <c r="I1245" s="336">
        <v>5.6971873129862363E-2</v>
      </c>
      <c r="J1245" s="258">
        <f t="shared" si="389"/>
        <v>5.6971873129862363E-2</v>
      </c>
      <c r="K1245" s="249">
        <f t="shared" si="390"/>
        <v>0.94420285758626421</v>
      </c>
      <c r="L1245" s="336">
        <v>0.84467052330607095</v>
      </c>
      <c r="M1245" s="258">
        <f t="shared" si="391"/>
        <v>0.84467052330607095</v>
      </c>
      <c r="N1245" s="251">
        <f t="shared" si="392"/>
        <v>0.10988817638790309</v>
      </c>
      <c r="O1245" s="336">
        <v>9.8304408537801716E-2</v>
      </c>
      <c r="P1245" s="258">
        <f t="shared" si="393"/>
        <v>9.8304408537801716E-2</v>
      </c>
      <c r="Q1245" s="354">
        <v>1.0929505813953488</v>
      </c>
      <c r="R1245" s="249">
        <f t="shared" si="394"/>
        <v>1.1178356904069768</v>
      </c>
      <c r="S1245" s="355">
        <v>0.1</v>
      </c>
      <c r="T1245" s="355"/>
      <c r="U1245" s="315">
        <f t="shared" si="383"/>
        <v>1.2296192594476745</v>
      </c>
      <c r="V1245" s="315">
        <f t="shared" si="384"/>
        <v>2</v>
      </c>
      <c r="W1245" s="316">
        <f t="shared" si="395"/>
        <v>0</v>
      </c>
    </row>
    <row r="1246" spans="1:23" x14ac:dyDescent="0.25">
      <c r="A1246" s="204" t="s">
        <v>16897</v>
      </c>
      <c r="B1246" s="351" t="s">
        <v>20967</v>
      </c>
      <c r="C1246" s="352"/>
      <c r="D1246" s="353" t="s">
        <v>14859</v>
      </c>
      <c r="E1246" s="249">
        <f t="shared" si="386"/>
        <v>0</v>
      </c>
      <c r="F1246" s="336">
        <v>0</v>
      </c>
      <c r="G1246" s="258">
        <f t="shared" si="387"/>
        <v>0</v>
      </c>
      <c r="H1246" s="249">
        <f t="shared" si="388"/>
        <v>10.956665672267146</v>
      </c>
      <c r="I1246" s="336">
        <v>4.9901106350859301E-2</v>
      </c>
      <c r="J1246" s="258">
        <f t="shared" si="389"/>
        <v>4.9901106350859301E-2</v>
      </c>
      <c r="K1246" s="249">
        <f t="shared" si="390"/>
        <v>189.70530537852679</v>
      </c>
      <c r="L1246" s="336">
        <v>0.8639950238672659</v>
      </c>
      <c r="M1246" s="258">
        <f t="shared" si="391"/>
        <v>0.8639950238672659</v>
      </c>
      <c r="N1246" s="251">
        <f t="shared" si="392"/>
        <v>18.905619199206054</v>
      </c>
      <c r="O1246" s="336">
        <v>8.610386978187487E-2</v>
      </c>
      <c r="P1246" s="258">
        <f t="shared" si="393"/>
        <v>8.610386978187487E-2</v>
      </c>
      <c r="Q1246" s="354">
        <v>214.62449999999998</v>
      </c>
      <c r="R1246" s="249">
        <f t="shared" si="394"/>
        <v>219.56759024999997</v>
      </c>
      <c r="S1246" s="355">
        <v>0.1</v>
      </c>
      <c r="T1246" s="355"/>
      <c r="U1246" s="315">
        <f t="shared" si="383"/>
        <v>241.52434927499996</v>
      </c>
      <c r="V1246" s="315">
        <f t="shared" si="384"/>
        <v>245</v>
      </c>
      <c r="W1246" s="316">
        <f t="shared" si="395"/>
        <v>0</v>
      </c>
    </row>
    <row r="1247" spans="1:23" x14ac:dyDescent="0.25">
      <c r="A1247" s="204" t="s">
        <v>16898</v>
      </c>
      <c r="B1247" s="351" t="s">
        <v>20968</v>
      </c>
      <c r="C1247" s="352"/>
      <c r="D1247" s="353" t="s">
        <v>5</v>
      </c>
      <c r="E1247" s="249">
        <f t="shared" si="386"/>
        <v>0</v>
      </c>
      <c r="F1247" s="336">
        <v>0</v>
      </c>
      <c r="G1247" s="258">
        <f t="shared" si="387"/>
        <v>0</v>
      </c>
      <c r="H1247" s="249">
        <f t="shared" si="388"/>
        <v>6.369857229902666E-2</v>
      </c>
      <c r="I1247" s="336">
        <v>4.9901106350859308E-2</v>
      </c>
      <c r="J1247" s="258">
        <f t="shared" si="389"/>
        <v>4.9901106350859308E-2</v>
      </c>
      <c r="K1247" s="249">
        <f t="shared" si="390"/>
        <v>1.1028268832176344</v>
      </c>
      <c r="L1247" s="336">
        <v>0.86394843086413708</v>
      </c>
      <c r="M1247" s="258">
        <f t="shared" si="391"/>
        <v>0.86394843086413708</v>
      </c>
      <c r="N1247" s="251">
        <f t="shared" si="392"/>
        <v>0.10991126200616363</v>
      </c>
      <c r="O1247" s="336">
        <v>8.610386978187487E-2</v>
      </c>
      <c r="P1247" s="258">
        <f t="shared" si="393"/>
        <v>8.610386978187487E-2</v>
      </c>
      <c r="Q1247" s="354">
        <v>1.2478168604651161</v>
      </c>
      <c r="R1247" s="249">
        <f t="shared" si="394"/>
        <v>1.2764961933139536</v>
      </c>
      <c r="S1247" s="355">
        <v>0.1</v>
      </c>
      <c r="T1247" s="355"/>
      <c r="U1247" s="315">
        <f t="shared" si="383"/>
        <v>1.404145812645349</v>
      </c>
      <c r="V1247" s="315">
        <f t="shared" si="384"/>
        <v>2</v>
      </c>
      <c r="W1247" s="316">
        <f t="shared" si="395"/>
        <v>0</v>
      </c>
    </row>
    <row r="1248" spans="1:23" x14ac:dyDescent="0.25">
      <c r="A1248" s="204" t="s">
        <v>16899</v>
      </c>
      <c r="B1248" s="351" t="s">
        <v>20969</v>
      </c>
      <c r="C1248" s="352"/>
      <c r="D1248" s="353" t="s">
        <v>14859</v>
      </c>
      <c r="E1248" s="249">
        <f t="shared" si="386"/>
        <v>0</v>
      </c>
      <c r="F1248" s="336">
        <v>0</v>
      </c>
      <c r="G1248" s="258">
        <f t="shared" si="387"/>
        <v>0</v>
      </c>
      <c r="H1248" s="249">
        <f t="shared" si="388"/>
        <v>10.956665672267146</v>
      </c>
      <c r="I1248" s="336">
        <v>4.9901106350859301E-2</v>
      </c>
      <c r="J1248" s="258">
        <f t="shared" si="389"/>
        <v>4.9901106350859301E-2</v>
      </c>
      <c r="K1248" s="249">
        <f t="shared" si="390"/>
        <v>189.70530537852679</v>
      </c>
      <c r="L1248" s="336">
        <v>0.8639950238672659</v>
      </c>
      <c r="M1248" s="258">
        <f t="shared" si="391"/>
        <v>0.8639950238672659</v>
      </c>
      <c r="N1248" s="251">
        <f t="shared" si="392"/>
        <v>18.905619199206054</v>
      </c>
      <c r="O1248" s="336">
        <v>8.610386978187487E-2</v>
      </c>
      <c r="P1248" s="258">
        <f t="shared" si="393"/>
        <v>8.610386978187487E-2</v>
      </c>
      <c r="Q1248" s="354">
        <v>214.62449999999998</v>
      </c>
      <c r="R1248" s="249">
        <f t="shared" si="394"/>
        <v>219.56759024999997</v>
      </c>
      <c r="S1248" s="355">
        <v>0.1</v>
      </c>
      <c r="T1248" s="355"/>
      <c r="U1248" s="315">
        <f t="shared" si="383"/>
        <v>241.52434927499996</v>
      </c>
      <c r="V1248" s="315">
        <f t="shared" si="384"/>
        <v>245</v>
      </c>
      <c r="W1248" s="316">
        <f t="shared" si="395"/>
        <v>0</v>
      </c>
    </row>
    <row r="1249" spans="1:23" x14ac:dyDescent="0.25">
      <c r="A1249" s="204" t="s">
        <v>16900</v>
      </c>
      <c r="B1249" s="351" t="s">
        <v>20970</v>
      </c>
      <c r="C1249" s="352"/>
      <c r="D1249" s="353" t="s">
        <v>5</v>
      </c>
      <c r="E1249" s="249">
        <f t="shared" si="386"/>
        <v>0</v>
      </c>
      <c r="F1249" s="336">
        <v>0</v>
      </c>
      <c r="G1249" s="258">
        <f t="shared" si="387"/>
        <v>0</v>
      </c>
      <c r="H1249" s="249">
        <f t="shared" si="388"/>
        <v>6.369857229902666E-2</v>
      </c>
      <c r="I1249" s="336">
        <v>4.9901106350859308E-2</v>
      </c>
      <c r="J1249" s="258">
        <f t="shared" si="389"/>
        <v>4.9901106350859308E-2</v>
      </c>
      <c r="K1249" s="249">
        <f t="shared" si="390"/>
        <v>1.1028268832176344</v>
      </c>
      <c r="L1249" s="336">
        <v>0.86394843086413708</v>
      </c>
      <c r="M1249" s="258">
        <f t="shared" si="391"/>
        <v>0.86394843086413708</v>
      </c>
      <c r="N1249" s="251">
        <f t="shared" si="392"/>
        <v>0.10991126200616363</v>
      </c>
      <c r="O1249" s="336">
        <v>8.610386978187487E-2</v>
      </c>
      <c r="P1249" s="258">
        <f t="shared" si="393"/>
        <v>8.610386978187487E-2</v>
      </c>
      <c r="Q1249" s="354">
        <v>1.2478168604651161</v>
      </c>
      <c r="R1249" s="249">
        <f t="shared" si="394"/>
        <v>1.2764961933139536</v>
      </c>
      <c r="S1249" s="355">
        <v>0.1</v>
      </c>
      <c r="T1249" s="355"/>
      <c r="U1249" s="315">
        <f t="shared" si="383"/>
        <v>1.404145812645349</v>
      </c>
      <c r="V1249" s="315">
        <f t="shared" si="384"/>
        <v>2</v>
      </c>
      <c r="W1249" s="316">
        <f t="shared" si="395"/>
        <v>0</v>
      </c>
    </row>
    <row r="1250" spans="1:23" x14ac:dyDescent="0.25">
      <c r="A1250" s="204" t="s">
        <v>16901</v>
      </c>
      <c r="B1250" s="351" t="s">
        <v>20971</v>
      </c>
      <c r="C1250" s="352"/>
      <c r="D1250" s="353" t="s">
        <v>14859</v>
      </c>
      <c r="E1250" s="249">
        <f t="shared" si="386"/>
        <v>0</v>
      </c>
      <c r="F1250" s="336">
        <v>0</v>
      </c>
      <c r="G1250" s="258">
        <f t="shared" si="387"/>
        <v>0</v>
      </c>
      <c r="H1250" s="249">
        <f t="shared" si="388"/>
        <v>10.960477229776961</v>
      </c>
      <c r="I1250" s="336">
        <v>3.7808985194128494E-2</v>
      </c>
      <c r="J1250" s="258">
        <f t="shared" si="389"/>
        <v>3.7808985194128494E-2</v>
      </c>
      <c r="K1250" s="249">
        <f t="shared" si="390"/>
        <v>260.01813376590201</v>
      </c>
      <c r="L1250" s="336">
        <v>0.89695198152972833</v>
      </c>
      <c r="M1250" s="258">
        <f t="shared" si="391"/>
        <v>0.89695198152972833</v>
      </c>
      <c r="N1250" s="251">
        <f t="shared" si="392"/>
        <v>18.912196004321029</v>
      </c>
      <c r="O1250" s="336">
        <v>6.5239033276143277E-2</v>
      </c>
      <c r="P1250" s="258">
        <f t="shared" si="393"/>
        <v>6.5239033276143277E-2</v>
      </c>
      <c r="Q1250" s="354">
        <v>283.26599999999996</v>
      </c>
      <c r="R1250" s="249">
        <f t="shared" si="394"/>
        <v>289.890807</v>
      </c>
      <c r="S1250" s="355">
        <v>0.1</v>
      </c>
      <c r="T1250" s="355"/>
      <c r="U1250" s="315">
        <f t="shared" si="383"/>
        <v>318.87988769999998</v>
      </c>
      <c r="V1250" s="315">
        <f t="shared" si="384"/>
        <v>320</v>
      </c>
      <c r="W1250" s="316">
        <f t="shared" si="395"/>
        <v>0</v>
      </c>
    </row>
    <row r="1251" spans="1:23" x14ac:dyDescent="0.25">
      <c r="A1251" s="204" t="s">
        <v>16902</v>
      </c>
      <c r="B1251" s="351" t="s">
        <v>20972</v>
      </c>
      <c r="C1251" s="352"/>
      <c r="D1251" s="353" t="s">
        <v>5</v>
      </c>
      <c r="E1251" s="249">
        <f t="shared" si="386"/>
        <v>0</v>
      </c>
      <c r="F1251" s="336">
        <v>0</v>
      </c>
      <c r="G1251" s="258">
        <f t="shared" si="387"/>
        <v>0</v>
      </c>
      <c r="H1251" s="249">
        <f t="shared" si="388"/>
        <v>6.372145277164909E-2</v>
      </c>
      <c r="I1251" s="336">
        <v>3.7808985194128494E-2</v>
      </c>
      <c r="J1251" s="258">
        <f t="shared" si="389"/>
        <v>3.7808985194128494E-2</v>
      </c>
      <c r="K1251" s="249">
        <f t="shared" si="390"/>
        <v>1.5116204126873756</v>
      </c>
      <c r="L1251" s="336">
        <v>0.89691667902254402</v>
      </c>
      <c r="M1251" s="258">
        <f t="shared" si="391"/>
        <v>0.89691667902254402</v>
      </c>
      <c r="N1251" s="251">
        <f t="shared" si="392"/>
        <v>0.10995074203735529</v>
      </c>
      <c r="O1251" s="336">
        <v>6.5239033276143277E-2</v>
      </c>
      <c r="P1251" s="258">
        <f t="shared" si="393"/>
        <v>6.5239033276143277E-2</v>
      </c>
      <c r="Q1251" s="354">
        <v>1.6468953488372091</v>
      </c>
      <c r="R1251" s="249">
        <f t="shared" si="394"/>
        <v>1.6853521046511624</v>
      </c>
      <c r="S1251" s="355">
        <v>0.1</v>
      </c>
      <c r="T1251" s="355"/>
      <c r="U1251" s="315">
        <f t="shared" si="383"/>
        <v>1.8538873151162787</v>
      </c>
      <c r="V1251" s="315">
        <f t="shared" si="384"/>
        <v>2</v>
      </c>
      <c r="W1251" s="316">
        <f t="shared" si="395"/>
        <v>0</v>
      </c>
    </row>
    <row r="1252" spans="1:23" x14ac:dyDescent="0.25">
      <c r="A1252" s="204" t="s">
        <v>16903</v>
      </c>
      <c r="B1252" s="351" t="s">
        <v>20973</v>
      </c>
      <c r="C1252" s="352"/>
      <c r="D1252" s="353" t="s">
        <v>14859</v>
      </c>
      <c r="E1252" s="249">
        <f t="shared" si="386"/>
        <v>0</v>
      </c>
      <c r="F1252" s="336">
        <v>0</v>
      </c>
      <c r="G1252" s="258">
        <f t="shared" si="387"/>
        <v>0</v>
      </c>
      <c r="H1252" s="249">
        <f t="shared" si="388"/>
        <v>10.964464238603007</v>
      </c>
      <c r="I1252" s="336">
        <v>2.516024681004014E-2</v>
      </c>
      <c r="J1252" s="258">
        <f t="shared" si="389"/>
        <v>2.516024681004014E-2</v>
      </c>
      <c r="K1252" s="249">
        <f t="shared" si="390"/>
        <v>405.90170196243486</v>
      </c>
      <c r="L1252" s="336">
        <v>0.93142599398832193</v>
      </c>
      <c r="M1252" s="258">
        <f t="shared" si="391"/>
        <v>0.93142599398832193</v>
      </c>
      <c r="N1252" s="251">
        <f t="shared" si="392"/>
        <v>18.919075548962049</v>
      </c>
      <c r="O1252" s="336">
        <v>4.3413759201637883E-2</v>
      </c>
      <c r="P1252" s="258">
        <f t="shared" si="393"/>
        <v>4.3413759201637883E-2</v>
      </c>
      <c r="Q1252" s="354">
        <v>425.67149999999998</v>
      </c>
      <c r="R1252" s="249">
        <f t="shared" si="394"/>
        <v>435.78524174999995</v>
      </c>
      <c r="S1252" s="355">
        <v>0.1</v>
      </c>
      <c r="T1252" s="355"/>
      <c r="U1252" s="315">
        <f t="shared" si="383"/>
        <v>479.36376592499994</v>
      </c>
      <c r="V1252" s="315">
        <f t="shared" si="384"/>
        <v>480</v>
      </c>
      <c r="W1252" s="316">
        <f t="shared" si="395"/>
        <v>0</v>
      </c>
    </row>
    <row r="1253" spans="1:23" x14ac:dyDescent="0.25">
      <c r="A1253" s="204" t="s">
        <v>16904</v>
      </c>
      <c r="B1253" s="351" t="s">
        <v>20974</v>
      </c>
      <c r="C1253" s="352"/>
      <c r="D1253" s="353" t="s">
        <v>5</v>
      </c>
      <c r="E1253" s="249">
        <f t="shared" si="386"/>
        <v>0</v>
      </c>
      <c r="F1253" s="336">
        <v>0</v>
      </c>
      <c r="G1253" s="258">
        <f t="shared" si="387"/>
        <v>0</v>
      </c>
      <c r="H1253" s="249">
        <f t="shared" si="388"/>
        <v>6.3745386464386267E-2</v>
      </c>
      <c r="I1253" s="336">
        <v>2.516024681004014E-2</v>
      </c>
      <c r="J1253" s="258">
        <f t="shared" si="389"/>
        <v>2.516024681004014E-2</v>
      </c>
      <c r="K1253" s="249">
        <f t="shared" si="390"/>
        <v>2.3597786171442499</v>
      </c>
      <c r="L1253" s="336">
        <v>0.93140250169438166</v>
      </c>
      <c r="M1253" s="258">
        <f t="shared" si="391"/>
        <v>0.93140250169438166</v>
      </c>
      <c r="N1253" s="251">
        <f t="shared" si="392"/>
        <v>0.10999203938952924</v>
      </c>
      <c r="O1253" s="336">
        <v>4.3413759201637883E-2</v>
      </c>
      <c r="P1253" s="258">
        <f t="shared" si="393"/>
        <v>4.3413759201637883E-2</v>
      </c>
      <c r="Q1253" s="354">
        <v>2.4748343023255814</v>
      </c>
      <c r="R1253" s="249">
        <f t="shared" si="394"/>
        <v>2.5335755624999998</v>
      </c>
      <c r="S1253" s="355">
        <v>0.1</v>
      </c>
      <c r="T1253" s="355"/>
      <c r="U1253" s="315">
        <f t="shared" si="383"/>
        <v>2.7869331187499999</v>
      </c>
      <c r="V1253" s="315">
        <f t="shared" si="384"/>
        <v>3</v>
      </c>
      <c r="W1253" s="316">
        <f t="shared" si="395"/>
        <v>0</v>
      </c>
    </row>
    <row r="1254" spans="1:23" x14ac:dyDescent="0.25">
      <c r="A1254" s="204" t="s">
        <v>16905</v>
      </c>
      <c r="B1254" s="351" t="s">
        <v>20975</v>
      </c>
      <c r="C1254" s="352"/>
      <c r="D1254" s="353" t="s">
        <v>14859</v>
      </c>
      <c r="E1254" s="249">
        <f t="shared" si="386"/>
        <v>0</v>
      </c>
      <c r="F1254" s="336">
        <v>0</v>
      </c>
      <c r="G1254" s="258">
        <f t="shared" si="387"/>
        <v>0</v>
      </c>
      <c r="H1254" s="249">
        <f t="shared" si="388"/>
        <v>10.965704195176766</v>
      </c>
      <c r="I1254" s="336">
        <v>2.1226499232992045E-2</v>
      </c>
      <c r="J1254" s="258">
        <f t="shared" si="389"/>
        <v>2.1226499232992045E-2</v>
      </c>
      <c r="K1254" s="249">
        <f t="shared" si="390"/>
        <v>486.71754172294948</v>
      </c>
      <c r="L1254" s="336">
        <v>0.94214738444341384</v>
      </c>
      <c r="M1254" s="258">
        <f t="shared" si="391"/>
        <v>0.94214738444341384</v>
      </c>
      <c r="N1254" s="251">
        <f t="shared" si="392"/>
        <v>18.921215081873637</v>
      </c>
      <c r="O1254" s="336">
        <v>3.6626116323594117E-2</v>
      </c>
      <c r="P1254" s="258">
        <f t="shared" si="393"/>
        <v>3.6626116323594117E-2</v>
      </c>
      <c r="Q1254" s="354">
        <v>504.55799999999999</v>
      </c>
      <c r="R1254" s="249">
        <f t="shared" si="394"/>
        <v>516.6044609999999</v>
      </c>
      <c r="S1254" s="355">
        <v>0.1</v>
      </c>
      <c r="T1254" s="355"/>
      <c r="U1254" s="315">
        <f t="shared" ref="U1254:U1317" si="396">(R1254*S1254)+R1254</f>
        <v>568.26490709999985</v>
      </c>
      <c r="V1254" s="315">
        <f t="shared" ref="V1254:V1317" si="397">IF(U1254=0, 0, IF(U1254&lt;10, _xlfn.CEILING.MATH(U1254,1), IF(U1254&lt;100, _xlfn.CEILING.MATH(U1254,1),IF(U1254&lt;1000, _xlfn.CEILING.MATH(U1254,5), IF(U1254&lt;10000, _xlfn.CEILING.MATH(U1254, 25), IF(U1254&lt;100000, _xlfn.CEILING.MATH(U1254,250), IF(U1254&lt;1000000, _xlfn.CEILING.MATH(U1254,500), 0)))))))</f>
        <v>570</v>
      </c>
      <c r="W1254" s="316">
        <f t="shared" si="395"/>
        <v>0</v>
      </c>
    </row>
    <row r="1255" spans="1:23" x14ac:dyDescent="0.25">
      <c r="A1255" s="204" t="s">
        <v>16906</v>
      </c>
      <c r="B1255" s="351" t="s">
        <v>20976</v>
      </c>
      <c r="C1255" s="352"/>
      <c r="D1255" s="353" t="s">
        <v>5</v>
      </c>
      <c r="E1255" s="249">
        <f t="shared" si="386"/>
        <v>0</v>
      </c>
      <c r="F1255" s="336">
        <v>0</v>
      </c>
      <c r="G1255" s="258">
        <f t="shared" si="387"/>
        <v>0</v>
      </c>
      <c r="H1255" s="249">
        <f t="shared" si="388"/>
        <v>6.3752829823791435E-2</v>
      </c>
      <c r="I1255" s="336">
        <v>2.1226499232992049E-2</v>
      </c>
      <c r="J1255" s="258">
        <f t="shared" si="389"/>
        <v>2.1226499232992049E-2</v>
      </c>
      <c r="K1255" s="249">
        <f t="shared" si="390"/>
        <v>2.8296375050772964</v>
      </c>
      <c r="L1255" s="336">
        <v>0.94212756511639884</v>
      </c>
      <c r="M1255" s="258">
        <f t="shared" si="391"/>
        <v>0.94212756511639884</v>
      </c>
      <c r="N1255" s="251">
        <f t="shared" si="392"/>
        <v>0.11000488283320874</v>
      </c>
      <c r="O1255" s="336">
        <v>3.6626116323594117E-2</v>
      </c>
      <c r="P1255" s="258">
        <f t="shared" si="393"/>
        <v>3.6626116323594117E-2</v>
      </c>
      <c r="Q1255" s="354">
        <v>2.9334767441860463</v>
      </c>
      <c r="R1255" s="249">
        <f t="shared" si="394"/>
        <v>3.0034547441860462</v>
      </c>
      <c r="S1255" s="355">
        <v>0.1</v>
      </c>
      <c r="T1255" s="355"/>
      <c r="U1255" s="315">
        <f t="shared" si="396"/>
        <v>3.3038002186046507</v>
      </c>
      <c r="V1255" s="315">
        <f t="shared" si="397"/>
        <v>4</v>
      </c>
      <c r="W1255" s="316">
        <f t="shared" si="395"/>
        <v>0</v>
      </c>
    </row>
    <row r="1256" spans="1:23" x14ac:dyDescent="0.25">
      <c r="A1256" s="204" t="s">
        <v>16907</v>
      </c>
      <c r="B1256" s="351" t="s">
        <v>20977</v>
      </c>
      <c r="C1256" s="352"/>
      <c r="D1256" s="353" t="s">
        <v>14859</v>
      </c>
      <c r="E1256" s="249">
        <f t="shared" si="386"/>
        <v>0</v>
      </c>
      <c r="F1256" s="336">
        <v>0</v>
      </c>
      <c r="G1256" s="258">
        <f t="shared" si="387"/>
        <v>0</v>
      </c>
      <c r="H1256" s="249">
        <f t="shared" si="388"/>
        <v>10.966145533886225</v>
      </c>
      <c r="I1256" s="336">
        <v>1.9826357392769209E-2</v>
      </c>
      <c r="J1256" s="258">
        <f t="shared" si="389"/>
        <v>1.9826357392769209E-2</v>
      </c>
      <c r="K1256" s="249">
        <f t="shared" si="390"/>
        <v>523.22132285862381</v>
      </c>
      <c r="L1256" s="336">
        <v>0.94596345730206033</v>
      </c>
      <c r="M1256" s="258">
        <f t="shared" si="391"/>
        <v>0.94596345730206033</v>
      </c>
      <c r="N1256" s="251">
        <f t="shared" si="392"/>
        <v>18.921976607489956</v>
      </c>
      <c r="O1256" s="336">
        <v>3.42101853051704E-2</v>
      </c>
      <c r="P1256" s="258">
        <f t="shared" si="393"/>
        <v>3.42101853051704E-2</v>
      </c>
      <c r="Q1256" s="354">
        <v>540.19000000000005</v>
      </c>
      <c r="R1256" s="249">
        <f t="shared" si="394"/>
        <v>553.10944500000005</v>
      </c>
      <c r="S1256" s="355">
        <v>0.1</v>
      </c>
      <c r="T1256" s="355"/>
      <c r="U1256" s="315">
        <f t="shared" si="396"/>
        <v>608.42038950000006</v>
      </c>
      <c r="V1256" s="315">
        <f t="shared" si="397"/>
        <v>610</v>
      </c>
      <c r="W1256" s="316">
        <f t="shared" si="395"/>
        <v>0</v>
      </c>
    </row>
    <row r="1257" spans="1:23" x14ac:dyDescent="0.25">
      <c r="A1257" s="204" t="s">
        <v>16908</v>
      </c>
      <c r="B1257" s="351" t="s">
        <v>20978</v>
      </c>
      <c r="C1257" s="352"/>
      <c r="D1257" s="353" t="s">
        <v>5</v>
      </c>
      <c r="E1257" s="249">
        <f t="shared" si="386"/>
        <v>0</v>
      </c>
      <c r="F1257" s="336">
        <v>0</v>
      </c>
      <c r="G1257" s="258">
        <f t="shared" si="387"/>
        <v>0</v>
      </c>
      <c r="H1257" s="249">
        <f t="shared" si="388"/>
        <v>6.3755479144504273E-2</v>
      </c>
      <c r="I1257" s="336">
        <v>1.9826357392769212E-2</v>
      </c>
      <c r="J1257" s="258">
        <f t="shared" si="389"/>
        <v>1.9826357392769212E-2</v>
      </c>
      <c r="K1257" s="249">
        <f t="shared" si="390"/>
        <v>3.0418685609757459</v>
      </c>
      <c r="L1257" s="336">
        <v>0.94594494529702511</v>
      </c>
      <c r="M1257" s="258">
        <f t="shared" si="391"/>
        <v>0.94594494529702511</v>
      </c>
      <c r="N1257" s="251">
        <f t="shared" si="392"/>
        <v>0.11000945421012501</v>
      </c>
      <c r="O1257" s="336">
        <v>3.42101853051704E-2</v>
      </c>
      <c r="P1257" s="258">
        <f t="shared" si="393"/>
        <v>3.42101853051704E-2</v>
      </c>
      <c r="Q1257" s="354">
        <v>3.1406395348837211</v>
      </c>
      <c r="R1257" s="249">
        <f t="shared" si="394"/>
        <v>3.2156930232558136</v>
      </c>
      <c r="S1257" s="355">
        <v>0.1</v>
      </c>
      <c r="T1257" s="355"/>
      <c r="U1257" s="315">
        <f t="shared" si="396"/>
        <v>3.5372623255813949</v>
      </c>
      <c r="V1257" s="315">
        <f t="shared" si="397"/>
        <v>4</v>
      </c>
      <c r="W1257" s="316">
        <f t="shared" si="395"/>
        <v>0</v>
      </c>
    </row>
    <row r="1258" spans="1:23" x14ac:dyDescent="0.25">
      <c r="A1258" s="204" t="s">
        <v>16909</v>
      </c>
      <c r="B1258" s="351" t="s">
        <v>20979</v>
      </c>
      <c r="C1258" s="352"/>
      <c r="D1258" s="353" t="s">
        <v>14859</v>
      </c>
      <c r="E1258" s="249">
        <f t="shared" si="386"/>
        <v>0</v>
      </c>
      <c r="F1258" s="336">
        <v>0</v>
      </c>
      <c r="G1258" s="258">
        <f t="shared" si="387"/>
        <v>0</v>
      </c>
      <c r="H1258" s="249">
        <f t="shared" si="388"/>
        <v>10.969500673426872</v>
      </c>
      <c r="I1258" s="336">
        <v>9.1822168494965217E-3</v>
      </c>
      <c r="J1258" s="258">
        <f t="shared" si="389"/>
        <v>9.1822168494965217E-3</v>
      </c>
      <c r="K1258" s="249">
        <f t="shared" si="390"/>
        <v>1164.7489559586993</v>
      </c>
      <c r="L1258" s="336">
        <v>0.97497395799843101</v>
      </c>
      <c r="M1258" s="258">
        <f t="shared" si="391"/>
        <v>0.97497395799843101</v>
      </c>
      <c r="N1258" s="251">
        <f t="shared" si="392"/>
        <v>18.927765867873816</v>
      </c>
      <c r="O1258" s="336">
        <v>1.584382515207243E-2</v>
      </c>
      <c r="P1258" s="258">
        <f t="shared" si="393"/>
        <v>1.584382515207243E-2</v>
      </c>
      <c r="Q1258" s="354">
        <v>1166.385</v>
      </c>
      <c r="R1258" s="249">
        <f t="shared" si="394"/>
        <v>1194.6462225</v>
      </c>
      <c r="S1258" s="355">
        <v>0.1</v>
      </c>
      <c r="T1258" s="355"/>
      <c r="U1258" s="315">
        <f t="shared" si="396"/>
        <v>1314.1108447500001</v>
      </c>
      <c r="V1258" s="315">
        <f t="shared" si="397"/>
        <v>1325</v>
      </c>
      <c r="W1258" s="316">
        <f t="shared" si="395"/>
        <v>0</v>
      </c>
    </row>
    <row r="1259" spans="1:23" x14ac:dyDescent="0.25">
      <c r="A1259" s="204" t="s">
        <v>16910</v>
      </c>
      <c r="B1259" s="351" t="s">
        <v>20980</v>
      </c>
      <c r="C1259" s="352"/>
      <c r="D1259" s="353" t="s">
        <v>5</v>
      </c>
      <c r="E1259" s="249">
        <f t="shared" si="386"/>
        <v>0</v>
      </c>
      <c r="F1259" s="336">
        <v>0</v>
      </c>
      <c r="G1259" s="258">
        <f t="shared" si="387"/>
        <v>0</v>
      </c>
      <c r="H1259" s="249">
        <f t="shared" si="388"/>
        <v>6.377561977683284E-2</v>
      </c>
      <c r="I1259" s="336">
        <v>9.1822168494965235E-3</v>
      </c>
      <c r="J1259" s="258">
        <f t="shared" si="389"/>
        <v>9.1822168494965235E-3</v>
      </c>
      <c r="K1259" s="249">
        <f t="shared" si="390"/>
        <v>6.7716786345394624</v>
      </c>
      <c r="L1259" s="336">
        <v>0.97496538449997217</v>
      </c>
      <c r="M1259" s="258">
        <f t="shared" si="391"/>
        <v>0.97496538449997217</v>
      </c>
      <c r="N1259" s="251">
        <f t="shared" si="392"/>
        <v>0.11004420667375077</v>
      </c>
      <c r="O1259" s="336">
        <v>1.584382515207243E-2</v>
      </c>
      <c r="P1259" s="258">
        <f t="shared" si="393"/>
        <v>1.584382515207243E-2</v>
      </c>
      <c r="Q1259" s="354">
        <v>6.7813081395348833</v>
      </c>
      <c r="R1259" s="249">
        <f t="shared" si="394"/>
        <v>6.9455580087209299</v>
      </c>
      <c r="S1259" s="355">
        <v>0.1</v>
      </c>
      <c r="T1259" s="355"/>
      <c r="U1259" s="315">
        <f t="shared" si="396"/>
        <v>7.6401138095930232</v>
      </c>
      <c r="V1259" s="315">
        <f t="shared" si="397"/>
        <v>8</v>
      </c>
      <c r="W1259" s="316">
        <f t="shared" si="395"/>
        <v>0</v>
      </c>
    </row>
    <row r="1260" spans="1:23" x14ac:dyDescent="0.25">
      <c r="A1260" s="204" t="s">
        <v>16911</v>
      </c>
      <c r="B1260" s="351" t="s">
        <v>20981</v>
      </c>
      <c r="C1260" s="352"/>
      <c r="D1260" s="353" t="s">
        <v>14859</v>
      </c>
      <c r="E1260" s="249">
        <f t="shared" si="386"/>
        <v>0</v>
      </c>
      <c r="F1260" s="336">
        <v>0</v>
      </c>
      <c r="G1260" s="258">
        <f t="shared" si="387"/>
        <v>0</v>
      </c>
      <c r="H1260" s="249">
        <f t="shared" si="388"/>
        <v>10.970371552784423</v>
      </c>
      <c r="I1260" s="336">
        <v>6.4193623792998039E-3</v>
      </c>
      <c r="J1260" s="258">
        <f t="shared" si="389"/>
        <v>6.4193623792998039E-3</v>
      </c>
      <c r="K1260" s="249">
        <f t="shared" si="390"/>
        <v>1679.0507048855486</v>
      </c>
      <c r="L1260" s="336">
        <v>0.98250409077014367</v>
      </c>
      <c r="M1260" s="258">
        <f t="shared" si="391"/>
        <v>0.98250409077014367</v>
      </c>
      <c r="N1260" s="251">
        <f t="shared" si="392"/>
        <v>18.929268561667236</v>
      </c>
      <c r="O1260" s="336">
        <v>1.1076546850556524E-2</v>
      </c>
      <c r="P1260" s="258">
        <f t="shared" si="393"/>
        <v>1.1076546850556524E-2</v>
      </c>
      <c r="Q1260" s="354">
        <v>1668.39</v>
      </c>
      <c r="R1260" s="249">
        <f t="shared" si="394"/>
        <v>1708.9503450000002</v>
      </c>
      <c r="S1260" s="355">
        <v>0.1</v>
      </c>
      <c r="T1260" s="355"/>
      <c r="U1260" s="315">
        <f t="shared" si="396"/>
        <v>1879.8453795000003</v>
      </c>
      <c r="V1260" s="315">
        <f t="shared" si="397"/>
        <v>1900</v>
      </c>
      <c r="W1260" s="316">
        <f t="shared" si="395"/>
        <v>0</v>
      </c>
    </row>
    <row r="1261" spans="1:23" x14ac:dyDescent="0.25">
      <c r="A1261" s="204" t="s">
        <v>16912</v>
      </c>
      <c r="B1261" s="351" t="s">
        <v>20982</v>
      </c>
      <c r="C1261" s="352"/>
      <c r="D1261" s="353" t="s">
        <v>5</v>
      </c>
      <c r="E1261" s="249">
        <f t="shared" si="386"/>
        <v>0</v>
      </c>
      <c r="F1261" s="336">
        <v>0</v>
      </c>
      <c r="G1261" s="258">
        <f t="shared" si="387"/>
        <v>0</v>
      </c>
      <c r="H1261" s="249">
        <f t="shared" si="388"/>
        <v>6.3780847595446777E-2</v>
      </c>
      <c r="I1261" s="336">
        <v>6.4193623792998039E-3</v>
      </c>
      <c r="J1261" s="258">
        <f t="shared" si="389"/>
        <v>6.4193623792998039E-3</v>
      </c>
      <c r="K1261" s="249">
        <f t="shared" si="390"/>
        <v>9.7618046283828566</v>
      </c>
      <c r="L1261" s="336">
        <v>0.98249809696773538</v>
      </c>
      <c r="M1261" s="258">
        <f t="shared" si="391"/>
        <v>0.98249809696773538</v>
      </c>
      <c r="N1261" s="251">
        <f t="shared" si="392"/>
        <v>0.110053227223516</v>
      </c>
      <c r="O1261" s="336">
        <v>1.1076546850556524E-2</v>
      </c>
      <c r="P1261" s="258">
        <f t="shared" si="393"/>
        <v>1.1076546850556524E-2</v>
      </c>
      <c r="Q1261" s="354">
        <v>9.6999418604651169</v>
      </c>
      <c r="R1261" s="249">
        <f t="shared" si="394"/>
        <v>9.9356982558139535</v>
      </c>
      <c r="S1261" s="355">
        <v>0.1</v>
      </c>
      <c r="T1261" s="355"/>
      <c r="U1261" s="315">
        <f t="shared" si="396"/>
        <v>10.92926808139535</v>
      </c>
      <c r="V1261" s="315">
        <f t="shared" si="397"/>
        <v>11</v>
      </c>
      <c r="W1261" s="316">
        <f t="shared" si="395"/>
        <v>0</v>
      </c>
    </row>
    <row r="1262" spans="1:23" x14ac:dyDescent="0.25">
      <c r="A1262" s="204" t="s">
        <v>16913</v>
      </c>
      <c r="B1262" s="351" t="s">
        <v>20983</v>
      </c>
      <c r="C1262" s="352"/>
      <c r="D1262" s="353" t="s">
        <v>14859</v>
      </c>
      <c r="E1262" s="249">
        <f t="shared" si="386"/>
        <v>0</v>
      </c>
      <c r="F1262" s="336">
        <v>0</v>
      </c>
      <c r="G1262" s="258">
        <f t="shared" si="387"/>
        <v>0</v>
      </c>
      <c r="H1262" s="249">
        <f t="shared" si="388"/>
        <v>10.970729505479868</v>
      </c>
      <c r="I1262" s="336">
        <v>5.2837616831075034E-3</v>
      </c>
      <c r="J1262" s="258">
        <f t="shared" si="389"/>
        <v>5.2837616831075034E-3</v>
      </c>
      <c r="K1262" s="249">
        <f t="shared" si="390"/>
        <v>2046.4098167889861</v>
      </c>
      <c r="L1262" s="336">
        <v>0.98559915933427555</v>
      </c>
      <c r="M1262" s="258">
        <f t="shared" si="391"/>
        <v>0.98559915933427555</v>
      </c>
      <c r="N1262" s="251">
        <f t="shared" si="392"/>
        <v>18.92988620553389</v>
      </c>
      <c r="O1262" s="336">
        <v>9.1170789826168688E-3</v>
      </c>
      <c r="P1262" s="258">
        <f t="shared" si="393"/>
        <v>9.1170789826168688E-3</v>
      </c>
      <c r="Q1262" s="354">
        <v>2026.9649999999999</v>
      </c>
      <c r="R1262" s="249">
        <f t="shared" si="394"/>
        <v>2076.3104324999999</v>
      </c>
      <c r="S1262" s="355">
        <v>0.1</v>
      </c>
      <c r="T1262" s="355"/>
      <c r="U1262" s="315">
        <f t="shared" si="396"/>
        <v>2283.9414757499999</v>
      </c>
      <c r="V1262" s="315">
        <f t="shared" si="397"/>
        <v>2300</v>
      </c>
      <c r="W1262" s="316">
        <f t="shared" si="395"/>
        <v>0</v>
      </c>
    </row>
    <row r="1263" spans="1:23" x14ac:dyDescent="0.25">
      <c r="A1263" s="204" t="s">
        <v>16914</v>
      </c>
      <c r="B1263" s="351" t="s">
        <v>20984</v>
      </c>
      <c r="C1263" s="352"/>
      <c r="D1263" s="353" t="s">
        <v>5</v>
      </c>
      <c r="E1263" s="249">
        <f t="shared" si="386"/>
        <v>0</v>
      </c>
      <c r="F1263" s="336">
        <v>0</v>
      </c>
      <c r="G1263" s="258">
        <f t="shared" si="387"/>
        <v>0</v>
      </c>
      <c r="H1263" s="249">
        <f t="shared" si="388"/>
        <v>6.3782996356636174E-2</v>
      </c>
      <c r="I1263" s="336">
        <v>5.2837616831075034E-3</v>
      </c>
      <c r="J1263" s="258">
        <f t="shared" si="389"/>
        <v>5.2837616831075034E-3</v>
      </c>
      <c r="K1263" s="249">
        <f t="shared" si="390"/>
        <v>11.897613232158287</v>
      </c>
      <c r="L1263" s="336">
        <v>0.98559422584997758</v>
      </c>
      <c r="M1263" s="258">
        <f t="shared" si="391"/>
        <v>0.98559422584997758</v>
      </c>
      <c r="N1263" s="251">
        <f t="shared" si="392"/>
        <v>0.11005693488988204</v>
      </c>
      <c r="O1263" s="336">
        <v>9.1170789826168688E-3</v>
      </c>
      <c r="P1263" s="258">
        <f t="shared" si="393"/>
        <v>9.1170789826168688E-3</v>
      </c>
      <c r="Q1263" s="354">
        <v>11.78468023255814</v>
      </c>
      <c r="R1263" s="249">
        <f t="shared" si="394"/>
        <v>12.071512718023254</v>
      </c>
      <c r="S1263" s="355">
        <v>0.1</v>
      </c>
      <c r="T1263" s="355"/>
      <c r="U1263" s="315">
        <f t="shared" si="396"/>
        <v>13.27866398982558</v>
      </c>
      <c r="V1263" s="315">
        <f t="shared" si="397"/>
        <v>14</v>
      </c>
      <c r="W1263" s="316">
        <f t="shared" si="395"/>
        <v>0</v>
      </c>
    </row>
    <row r="1264" spans="1:23" x14ac:dyDescent="0.25">
      <c r="A1264" s="204" t="s">
        <v>16915</v>
      </c>
      <c r="B1264" s="351" t="s">
        <v>20985</v>
      </c>
      <c r="C1264" s="352"/>
      <c r="D1264" s="353" t="s">
        <v>14859</v>
      </c>
      <c r="E1264" s="249">
        <f t="shared" si="386"/>
        <v>0</v>
      </c>
      <c r="F1264" s="336">
        <v>0</v>
      </c>
      <c r="G1264" s="258">
        <f t="shared" si="387"/>
        <v>0</v>
      </c>
      <c r="H1264" s="249">
        <f t="shared" si="388"/>
        <v>10.970729505479868</v>
      </c>
      <c r="I1264" s="336">
        <v>5.2837616831075034E-3</v>
      </c>
      <c r="J1264" s="258">
        <f t="shared" si="389"/>
        <v>5.2837616831075034E-3</v>
      </c>
      <c r="K1264" s="249">
        <f t="shared" si="390"/>
        <v>2046.4098167889861</v>
      </c>
      <c r="L1264" s="336">
        <v>0.98559915933427555</v>
      </c>
      <c r="M1264" s="258">
        <f t="shared" si="391"/>
        <v>0.98559915933427555</v>
      </c>
      <c r="N1264" s="251">
        <f t="shared" si="392"/>
        <v>18.92988620553389</v>
      </c>
      <c r="O1264" s="336">
        <v>9.1170789826168688E-3</v>
      </c>
      <c r="P1264" s="258">
        <f t="shared" si="393"/>
        <v>9.1170789826168688E-3</v>
      </c>
      <c r="Q1264" s="354">
        <v>2026.9649999999999</v>
      </c>
      <c r="R1264" s="249">
        <f t="shared" si="394"/>
        <v>2076.3104324999999</v>
      </c>
      <c r="S1264" s="355">
        <v>0.1</v>
      </c>
      <c r="T1264" s="355"/>
      <c r="U1264" s="315">
        <f t="shared" si="396"/>
        <v>2283.9414757499999</v>
      </c>
      <c r="V1264" s="315">
        <f t="shared" si="397"/>
        <v>2300</v>
      </c>
      <c r="W1264" s="316">
        <f t="shared" si="395"/>
        <v>0</v>
      </c>
    </row>
    <row r="1265" spans="1:23" x14ac:dyDescent="0.25">
      <c r="A1265" s="204" t="s">
        <v>16916</v>
      </c>
      <c r="B1265" s="351" t="s">
        <v>20986</v>
      </c>
      <c r="C1265" s="352"/>
      <c r="D1265" s="353" t="s">
        <v>5</v>
      </c>
      <c r="E1265" s="249">
        <f t="shared" si="386"/>
        <v>0</v>
      </c>
      <c r="F1265" s="336">
        <v>0</v>
      </c>
      <c r="G1265" s="258">
        <f t="shared" si="387"/>
        <v>0</v>
      </c>
      <c r="H1265" s="249">
        <f t="shared" si="388"/>
        <v>6.3782996356636174E-2</v>
      </c>
      <c r="I1265" s="336">
        <v>5.2837616831075034E-3</v>
      </c>
      <c r="J1265" s="258">
        <f t="shared" si="389"/>
        <v>5.2837616831075034E-3</v>
      </c>
      <c r="K1265" s="249">
        <f t="shared" si="390"/>
        <v>11.897613232158287</v>
      </c>
      <c r="L1265" s="336">
        <v>0.98559422584997758</v>
      </c>
      <c r="M1265" s="258">
        <f t="shared" si="391"/>
        <v>0.98559422584997758</v>
      </c>
      <c r="N1265" s="251">
        <f t="shared" si="392"/>
        <v>0.11005693488988204</v>
      </c>
      <c r="O1265" s="336">
        <v>9.1170789826168688E-3</v>
      </c>
      <c r="P1265" s="258">
        <f t="shared" si="393"/>
        <v>9.1170789826168688E-3</v>
      </c>
      <c r="Q1265" s="354">
        <v>11.78468023255814</v>
      </c>
      <c r="R1265" s="249">
        <f t="shared" si="394"/>
        <v>12.071512718023254</v>
      </c>
      <c r="S1265" s="355">
        <v>0.1</v>
      </c>
      <c r="T1265" s="355"/>
      <c r="U1265" s="315">
        <f t="shared" si="396"/>
        <v>13.27866398982558</v>
      </c>
      <c r="V1265" s="315">
        <f t="shared" si="397"/>
        <v>14</v>
      </c>
      <c r="W1265" s="316">
        <f t="shared" si="395"/>
        <v>0</v>
      </c>
    </row>
    <row r="1266" spans="1:23" x14ac:dyDescent="0.25">
      <c r="A1266" s="204" t="s">
        <v>16917</v>
      </c>
      <c r="B1266" s="351" t="s">
        <v>20987</v>
      </c>
      <c r="C1266" s="352"/>
      <c r="D1266" s="353" t="s">
        <v>14859</v>
      </c>
      <c r="E1266" s="249">
        <f t="shared" si="386"/>
        <v>0</v>
      </c>
      <c r="F1266" s="336">
        <v>0</v>
      </c>
      <c r="G1266" s="258">
        <f t="shared" si="387"/>
        <v>0</v>
      </c>
      <c r="H1266" s="249">
        <f t="shared" si="388"/>
        <v>10.970729505479868</v>
      </c>
      <c r="I1266" s="336">
        <v>5.2837616831075034E-3</v>
      </c>
      <c r="J1266" s="258">
        <f t="shared" si="389"/>
        <v>5.2837616831075034E-3</v>
      </c>
      <c r="K1266" s="249">
        <f t="shared" si="390"/>
        <v>2046.4098167889861</v>
      </c>
      <c r="L1266" s="336">
        <v>0.98559915933427555</v>
      </c>
      <c r="M1266" s="258">
        <f t="shared" si="391"/>
        <v>0.98559915933427555</v>
      </c>
      <c r="N1266" s="251">
        <f t="shared" si="392"/>
        <v>18.92988620553389</v>
      </c>
      <c r="O1266" s="336">
        <v>9.1170789826168688E-3</v>
      </c>
      <c r="P1266" s="258">
        <f t="shared" si="393"/>
        <v>9.1170789826168688E-3</v>
      </c>
      <c r="Q1266" s="354">
        <v>2026.9649999999999</v>
      </c>
      <c r="R1266" s="249">
        <f t="shared" si="394"/>
        <v>2076.3104324999999</v>
      </c>
      <c r="S1266" s="355">
        <v>0.1</v>
      </c>
      <c r="T1266" s="355"/>
      <c r="U1266" s="315">
        <f t="shared" si="396"/>
        <v>2283.9414757499999</v>
      </c>
      <c r="V1266" s="315">
        <f t="shared" si="397"/>
        <v>2300</v>
      </c>
      <c r="W1266" s="316">
        <f t="shared" si="395"/>
        <v>0</v>
      </c>
    </row>
    <row r="1267" spans="1:23" x14ac:dyDescent="0.25">
      <c r="A1267" s="204" t="s">
        <v>16918</v>
      </c>
      <c r="B1267" s="351" t="s">
        <v>20988</v>
      </c>
      <c r="C1267" s="352"/>
      <c r="D1267" s="353" t="s">
        <v>5</v>
      </c>
      <c r="E1267" s="249">
        <f t="shared" si="386"/>
        <v>0</v>
      </c>
      <c r="F1267" s="336">
        <v>0</v>
      </c>
      <c r="G1267" s="258">
        <f t="shared" si="387"/>
        <v>0</v>
      </c>
      <c r="H1267" s="249">
        <f t="shared" si="388"/>
        <v>6.3782996356636174E-2</v>
      </c>
      <c r="I1267" s="336">
        <v>5.2837616831075034E-3</v>
      </c>
      <c r="J1267" s="258">
        <f t="shared" si="389"/>
        <v>5.2837616831075034E-3</v>
      </c>
      <c r="K1267" s="249">
        <f t="shared" si="390"/>
        <v>11.897613232158287</v>
      </c>
      <c r="L1267" s="336">
        <v>0.98559422584997758</v>
      </c>
      <c r="M1267" s="258">
        <f t="shared" si="391"/>
        <v>0.98559422584997758</v>
      </c>
      <c r="N1267" s="251">
        <f t="shared" si="392"/>
        <v>0.11005693488988204</v>
      </c>
      <c r="O1267" s="336">
        <v>9.1170789826168688E-3</v>
      </c>
      <c r="P1267" s="258">
        <f t="shared" si="393"/>
        <v>9.1170789826168688E-3</v>
      </c>
      <c r="Q1267" s="354">
        <v>11.78468023255814</v>
      </c>
      <c r="R1267" s="249">
        <f t="shared" si="394"/>
        <v>12.071512718023254</v>
      </c>
      <c r="S1267" s="355">
        <v>0.1</v>
      </c>
      <c r="T1267" s="355"/>
      <c r="U1267" s="315">
        <f t="shared" si="396"/>
        <v>13.27866398982558</v>
      </c>
      <c r="V1267" s="315">
        <f t="shared" si="397"/>
        <v>14</v>
      </c>
      <c r="W1267" s="316">
        <f t="shared" si="395"/>
        <v>0</v>
      </c>
    </row>
    <row r="1268" spans="1:23" x14ac:dyDescent="0.25">
      <c r="A1268" s="204" t="s">
        <v>16919</v>
      </c>
      <c r="B1268" s="351" t="s">
        <v>20989</v>
      </c>
      <c r="C1268" s="352"/>
      <c r="D1268" s="353" t="s">
        <v>14859</v>
      </c>
      <c r="E1268" s="249">
        <f t="shared" si="386"/>
        <v>0</v>
      </c>
      <c r="F1268" s="336">
        <v>0</v>
      </c>
      <c r="G1268" s="258">
        <f t="shared" si="387"/>
        <v>0</v>
      </c>
      <c r="H1268" s="249">
        <f t="shared" si="388"/>
        <v>10.970729505479868</v>
      </c>
      <c r="I1268" s="336">
        <v>5.2837616831075034E-3</v>
      </c>
      <c r="J1268" s="258">
        <f t="shared" si="389"/>
        <v>5.2837616831075034E-3</v>
      </c>
      <c r="K1268" s="249">
        <f t="shared" si="390"/>
        <v>2046.4098167889861</v>
      </c>
      <c r="L1268" s="336">
        <v>0.98559915933427555</v>
      </c>
      <c r="M1268" s="258">
        <f t="shared" si="391"/>
        <v>0.98559915933427555</v>
      </c>
      <c r="N1268" s="251">
        <f t="shared" si="392"/>
        <v>18.92988620553389</v>
      </c>
      <c r="O1268" s="336">
        <v>9.1170789826168688E-3</v>
      </c>
      <c r="P1268" s="258">
        <f t="shared" si="393"/>
        <v>9.1170789826168688E-3</v>
      </c>
      <c r="Q1268" s="354">
        <v>2026.9649999999999</v>
      </c>
      <c r="R1268" s="249">
        <f t="shared" si="394"/>
        <v>2076.3104324999999</v>
      </c>
      <c r="S1268" s="355">
        <v>0.1</v>
      </c>
      <c r="T1268" s="355"/>
      <c r="U1268" s="315">
        <f t="shared" si="396"/>
        <v>2283.9414757499999</v>
      </c>
      <c r="V1268" s="315">
        <f t="shared" si="397"/>
        <v>2300</v>
      </c>
      <c r="W1268" s="316">
        <f t="shared" si="395"/>
        <v>0</v>
      </c>
    </row>
    <row r="1269" spans="1:23" x14ac:dyDescent="0.25">
      <c r="A1269" s="204" t="s">
        <v>16920</v>
      </c>
      <c r="B1269" s="351" t="s">
        <v>20990</v>
      </c>
      <c r="C1269" s="352"/>
      <c r="D1269" s="353" t="s">
        <v>5</v>
      </c>
      <c r="E1269" s="249">
        <f t="shared" si="386"/>
        <v>0</v>
      </c>
      <c r="F1269" s="336">
        <v>0</v>
      </c>
      <c r="G1269" s="258">
        <f t="shared" si="387"/>
        <v>0</v>
      </c>
      <c r="H1269" s="249">
        <f t="shared" si="388"/>
        <v>6.3782996356636174E-2</v>
      </c>
      <c r="I1269" s="336">
        <v>5.2837616831075034E-3</v>
      </c>
      <c r="J1269" s="258">
        <f t="shared" si="389"/>
        <v>5.2837616831075034E-3</v>
      </c>
      <c r="K1269" s="249">
        <f t="shared" si="390"/>
        <v>11.897613232158287</v>
      </c>
      <c r="L1269" s="336">
        <v>0.98559422584997758</v>
      </c>
      <c r="M1269" s="258">
        <f t="shared" si="391"/>
        <v>0.98559422584997758</v>
      </c>
      <c r="N1269" s="251">
        <f t="shared" si="392"/>
        <v>0.11005693488988204</v>
      </c>
      <c r="O1269" s="336">
        <v>9.1170789826168688E-3</v>
      </c>
      <c r="P1269" s="258">
        <f t="shared" si="393"/>
        <v>9.1170789826168688E-3</v>
      </c>
      <c r="Q1269" s="354">
        <v>11.78468023255814</v>
      </c>
      <c r="R1269" s="249">
        <f t="shared" si="394"/>
        <v>12.071512718023254</v>
      </c>
      <c r="S1269" s="355">
        <v>0.1</v>
      </c>
      <c r="T1269" s="355"/>
      <c r="U1269" s="315">
        <f t="shared" si="396"/>
        <v>13.27866398982558</v>
      </c>
      <c r="V1269" s="315">
        <f t="shared" si="397"/>
        <v>14</v>
      </c>
      <c r="W1269" s="316">
        <f t="shared" si="395"/>
        <v>0</v>
      </c>
    </row>
    <row r="1270" spans="1:23" x14ac:dyDescent="0.25">
      <c r="A1270" s="204" t="s">
        <v>16921</v>
      </c>
      <c r="B1270" s="351" t="s">
        <v>20991</v>
      </c>
      <c r="C1270" s="352"/>
      <c r="D1270" s="353" t="s">
        <v>14859</v>
      </c>
      <c r="E1270" s="249">
        <f t="shared" si="386"/>
        <v>0</v>
      </c>
      <c r="F1270" s="336">
        <v>0</v>
      </c>
      <c r="G1270" s="258">
        <f t="shared" si="387"/>
        <v>0</v>
      </c>
      <c r="H1270" s="249">
        <f t="shared" si="388"/>
        <v>10.970729505479868</v>
      </c>
      <c r="I1270" s="336">
        <v>5.2837616831075034E-3</v>
      </c>
      <c r="J1270" s="258">
        <f t="shared" si="389"/>
        <v>5.2837616831075034E-3</v>
      </c>
      <c r="K1270" s="249">
        <f t="shared" si="390"/>
        <v>2046.4098167889861</v>
      </c>
      <c r="L1270" s="336">
        <v>0.98559915933427555</v>
      </c>
      <c r="M1270" s="258">
        <f t="shared" si="391"/>
        <v>0.98559915933427555</v>
      </c>
      <c r="N1270" s="251">
        <f t="shared" si="392"/>
        <v>18.92988620553389</v>
      </c>
      <c r="O1270" s="336">
        <v>9.1170789826168688E-3</v>
      </c>
      <c r="P1270" s="258">
        <f t="shared" si="393"/>
        <v>9.1170789826168688E-3</v>
      </c>
      <c r="Q1270" s="354">
        <v>2026.9649999999999</v>
      </c>
      <c r="R1270" s="249">
        <f t="shared" si="394"/>
        <v>2076.3104324999999</v>
      </c>
      <c r="S1270" s="355">
        <v>0.1</v>
      </c>
      <c r="T1270" s="355"/>
      <c r="U1270" s="315">
        <f t="shared" si="396"/>
        <v>2283.9414757499999</v>
      </c>
      <c r="V1270" s="315">
        <f t="shared" si="397"/>
        <v>2300</v>
      </c>
      <c r="W1270" s="316">
        <f t="shared" si="395"/>
        <v>0</v>
      </c>
    </row>
    <row r="1271" spans="1:23" x14ac:dyDescent="0.25">
      <c r="A1271" s="204" t="s">
        <v>16922</v>
      </c>
      <c r="B1271" s="351" t="s">
        <v>20992</v>
      </c>
      <c r="C1271" s="352"/>
      <c r="D1271" s="353" t="s">
        <v>5</v>
      </c>
      <c r="E1271" s="249">
        <f t="shared" si="386"/>
        <v>0</v>
      </c>
      <c r="F1271" s="336">
        <v>0</v>
      </c>
      <c r="G1271" s="258">
        <f t="shared" si="387"/>
        <v>0</v>
      </c>
      <c r="H1271" s="249">
        <f t="shared" si="388"/>
        <v>6.3782996356636174E-2</v>
      </c>
      <c r="I1271" s="336">
        <v>5.2837616831075034E-3</v>
      </c>
      <c r="J1271" s="258">
        <f t="shared" si="389"/>
        <v>5.2837616831075034E-3</v>
      </c>
      <c r="K1271" s="249">
        <f t="shared" si="390"/>
        <v>11.897613232158287</v>
      </c>
      <c r="L1271" s="336">
        <v>0.98559422584997758</v>
      </c>
      <c r="M1271" s="258">
        <f t="shared" si="391"/>
        <v>0.98559422584997758</v>
      </c>
      <c r="N1271" s="251">
        <f t="shared" si="392"/>
        <v>0.11005693488988204</v>
      </c>
      <c r="O1271" s="336">
        <v>9.1170789826168688E-3</v>
      </c>
      <c r="P1271" s="258">
        <f t="shared" si="393"/>
        <v>9.1170789826168688E-3</v>
      </c>
      <c r="Q1271" s="354">
        <v>11.78468023255814</v>
      </c>
      <c r="R1271" s="249">
        <f t="shared" si="394"/>
        <v>12.071512718023254</v>
      </c>
      <c r="S1271" s="355">
        <v>0.1</v>
      </c>
      <c r="T1271" s="355"/>
      <c r="U1271" s="315">
        <f t="shared" si="396"/>
        <v>13.27866398982558</v>
      </c>
      <c r="V1271" s="315">
        <f t="shared" si="397"/>
        <v>14</v>
      </c>
      <c r="W1271" s="316">
        <f t="shared" si="395"/>
        <v>0</v>
      </c>
    </row>
    <row r="1272" spans="1:23" x14ac:dyDescent="0.25">
      <c r="A1272" s="204" t="s">
        <v>16923</v>
      </c>
      <c r="B1272" s="351" t="s">
        <v>18953</v>
      </c>
      <c r="C1272" s="352"/>
      <c r="D1272" s="353" t="s">
        <v>14859</v>
      </c>
      <c r="E1272" s="249">
        <f t="shared" si="386"/>
        <v>0</v>
      </c>
      <c r="F1272" s="336">
        <v>0</v>
      </c>
      <c r="G1272" s="258">
        <f t="shared" si="387"/>
        <v>0</v>
      </c>
      <c r="H1272" s="249">
        <f t="shared" si="388"/>
        <v>10.971358292167801</v>
      </c>
      <c r="I1272" s="336">
        <v>3.2889433463386326E-3</v>
      </c>
      <c r="J1272" s="258">
        <f t="shared" si="389"/>
        <v>3.2889433463386326E-3</v>
      </c>
      <c r="K1272" s="249">
        <f t="shared" si="390"/>
        <v>3305.9284030370322</v>
      </c>
      <c r="L1272" s="336">
        <v>0.99103601715409662</v>
      </c>
      <c r="M1272" s="258">
        <f t="shared" si="391"/>
        <v>0.99103601715409662</v>
      </c>
      <c r="N1272" s="251">
        <f t="shared" si="392"/>
        <v>18.930971170799342</v>
      </c>
      <c r="O1272" s="336">
        <v>5.6750394995646993E-3</v>
      </c>
      <c r="P1272" s="258">
        <f t="shared" si="393"/>
        <v>5.6750394995646993E-3</v>
      </c>
      <c r="Q1272" s="354">
        <v>3256.3649999999998</v>
      </c>
      <c r="R1272" s="249">
        <f t="shared" si="394"/>
        <v>3335.8307324999996</v>
      </c>
      <c r="S1272" s="355">
        <v>0.1</v>
      </c>
      <c r="T1272" s="355"/>
      <c r="U1272" s="315">
        <f t="shared" si="396"/>
        <v>3669.4138057499995</v>
      </c>
      <c r="V1272" s="315">
        <f t="shared" si="397"/>
        <v>3675</v>
      </c>
      <c r="W1272" s="316">
        <f t="shared" si="395"/>
        <v>0</v>
      </c>
    </row>
    <row r="1273" spans="1:23" x14ac:dyDescent="0.25">
      <c r="A1273" s="204" t="s">
        <v>16924</v>
      </c>
      <c r="B1273" s="351" t="s">
        <v>20993</v>
      </c>
      <c r="C1273" s="352"/>
      <c r="D1273" s="353" t="s">
        <v>5</v>
      </c>
      <c r="E1273" s="249">
        <f t="shared" si="386"/>
        <v>0</v>
      </c>
      <c r="F1273" s="336">
        <v>0</v>
      </c>
      <c r="G1273" s="258">
        <f t="shared" si="387"/>
        <v>0</v>
      </c>
      <c r="H1273" s="249">
        <f t="shared" si="388"/>
        <v>6.3786770912460558E-2</v>
      </c>
      <c r="I1273" s="336">
        <v>3.2889433463386326E-3</v>
      </c>
      <c r="J1273" s="258">
        <f t="shared" si="389"/>
        <v>3.2889433463386326E-3</v>
      </c>
      <c r="K1273" s="249">
        <f t="shared" si="390"/>
        <v>19.220395382979532</v>
      </c>
      <c r="L1273" s="336">
        <v>0.9910329462452766</v>
      </c>
      <c r="M1273" s="258">
        <f t="shared" si="391"/>
        <v>0.9910329462452766</v>
      </c>
      <c r="N1273" s="251">
        <f t="shared" si="392"/>
        <v>0.11006344784895156</v>
      </c>
      <c r="O1273" s="336">
        <v>5.6750394995646993E-3</v>
      </c>
      <c r="P1273" s="258">
        <f t="shared" si="393"/>
        <v>5.6750394995646993E-3</v>
      </c>
      <c r="Q1273" s="354">
        <v>18.93235465116279</v>
      </c>
      <c r="R1273" s="249">
        <f t="shared" si="394"/>
        <v>19.394305159883718</v>
      </c>
      <c r="S1273" s="355">
        <v>0.1</v>
      </c>
      <c r="T1273" s="355"/>
      <c r="U1273" s="315">
        <f t="shared" si="396"/>
        <v>21.333735675872092</v>
      </c>
      <c r="V1273" s="315">
        <f t="shared" si="397"/>
        <v>22</v>
      </c>
      <c r="W1273" s="316">
        <f t="shared" si="395"/>
        <v>0</v>
      </c>
    </row>
    <row r="1274" spans="1:23" x14ac:dyDescent="0.25">
      <c r="A1274" s="204" t="s">
        <v>16925</v>
      </c>
      <c r="B1274" s="351" t="s">
        <v>20994</v>
      </c>
      <c r="C1274" s="352"/>
      <c r="D1274" s="353" t="s">
        <v>14859</v>
      </c>
      <c r="E1274" s="249">
        <f t="shared" si="386"/>
        <v>0</v>
      </c>
      <c r="F1274" s="336">
        <v>0</v>
      </c>
      <c r="G1274" s="258">
        <f t="shared" si="387"/>
        <v>0</v>
      </c>
      <c r="H1274" s="249">
        <f t="shared" si="388"/>
        <v>10.971358292167801</v>
      </c>
      <c r="I1274" s="336">
        <v>3.2889433463386326E-3</v>
      </c>
      <c r="J1274" s="258">
        <f t="shared" si="389"/>
        <v>3.2889433463386326E-3</v>
      </c>
      <c r="K1274" s="249">
        <f t="shared" si="390"/>
        <v>3305.9284030370322</v>
      </c>
      <c r="L1274" s="336">
        <v>0.99103601715409662</v>
      </c>
      <c r="M1274" s="258">
        <f t="shared" si="391"/>
        <v>0.99103601715409662</v>
      </c>
      <c r="N1274" s="251">
        <f t="shared" si="392"/>
        <v>18.930971170799342</v>
      </c>
      <c r="O1274" s="336">
        <v>5.6750394995646993E-3</v>
      </c>
      <c r="P1274" s="258">
        <f t="shared" si="393"/>
        <v>5.6750394995646993E-3</v>
      </c>
      <c r="Q1274" s="354">
        <v>3256.3649999999998</v>
      </c>
      <c r="R1274" s="249">
        <f t="shared" si="394"/>
        <v>3335.8307324999996</v>
      </c>
      <c r="S1274" s="355">
        <v>0.1</v>
      </c>
      <c r="T1274" s="355"/>
      <c r="U1274" s="315">
        <f t="shared" si="396"/>
        <v>3669.4138057499995</v>
      </c>
      <c r="V1274" s="315">
        <f t="shared" si="397"/>
        <v>3675</v>
      </c>
      <c r="W1274" s="316">
        <f t="shared" si="395"/>
        <v>0</v>
      </c>
    </row>
    <row r="1275" spans="1:23" x14ac:dyDescent="0.25">
      <c r="A1275" s="204" t="s">
        <v>16926</v>
      </c>
      <c r="B1275" s="351" t="s">
        <v>20995</v>
      </c>
      <c r="C1275" s="352"/>
      <c r="D1275" s="353" t="s">
        <v>5</v>
      </c>
      <c r="E1275" s="249">
        <f t="shared" si="386"/>
        <v>0</v>
      </c>
      <c r="F1275" s="336">
        <v>0</v>
      </c>
      <c r="G1275" s="258">
        <f t="shared" si="387"/>
        <v>0</v>
      </c>
      <c r="H1275" s="249">
        <f t="shared" si="388"/>
        <v>6.3786770912460558E-2</v>
      </c>
      <c r="I1275" s="336">
        <v>3.2889433463386326E-3</v>
      </c>
      <c r="J1275" s="258">
        <f t="shared" si="389"/>
        <v>3.2889433463386326E-3</v>
      </c>
      <c r="K1275" s="249">
        <f t="shared" si="390"/>
        <v>19.220395382979532</v>
      </c>
      <c r="L1275" s="336">
        <v>0.9910329462452766</v>
      </c>
      <c r="M1275" s="258">
        <f t="shared" si="391"/>
        <v>0.9910329462452766</v>
      </c>
      <c r="N1275" s="251">
        <f t="shared" si="392"/>
        <v>0.11006344784895156</v>
      </c>
      <c r="O1275" s="336">
        <v>5.6750394995646993E-3</v>
      </c>
      <c r="P1275" s="258">
        <f t="shared" si="393"/>
        <v>5.6750394995646993E-3</v>
      </c>
      <c r="Q1275" s="354">
        <v>18.93235465116279</v>
      </c>
      <c r="R1275" s="249">
        <f t="shared" si="394"/>
        <v>19.394305159883718</v>
      </c>
      <c r="S1275" s="355">
        <v>0.1</v>
      </c>
      <c r="T1275" s="355"/>
      <c r="U1275" s="315">
        <f t="shared" si="396"/>
        <v>21.333735675872092</v>
      </c>
      <c r="V1275" s="315">
        <f t="shared" si="397"/>
        <v>22</v>
      </c>
      <c r="W1275" s="316">
        <f t="shared" si="395"/>
        <v>0</v>
      </c>
    </row>
    <row r="1276" spans="1:23" x14ac:dyDescent="0.25">
      <c r="A1276" s="204" t="s">
        <v>16927</v>
      </c>
      <c r="B1276" s="351" t="s">
        <v>18954</v>
      </c>
      <c r="C1276" s="352"/>
      <c r="D1276" s="353" t="s">
        <v>14859</v>
      </c>
      <c r="E1276" s="249">
        <f t="shared" si="386"/>
        <v>0</v>
      </c>
      <c r="F1276" s="336">
        <v>0</v>
      </c>
      <c r="G1276" s="258">
        <f t="shared" si="387"/>
        <v>0</v>
      </c>
      <c r="H1276" s="249">
        <f t="shared" si="388"/>
        <v>10.971712557628283</v>
      </c>
      <c r="I1276" s="336">
        <v>2.1650403595058622E-3</v>
      </c>
      <c r="J1276" s="258">
        <f t="shared" si="389"/>
        <v>2.1650403595058622E-3</v>
      </c>
      <c r="K1276" s="249">
        <f t="shared" si="390"/>
        <v>5037.767849989993</v>
      </c>
      <c r="L1276" s="336">
        <v>0.99409920372605276</v>
      </c>
      <c r="M1276" s="258">
        <f t="shared" si="391"/>
        <v>0.99409920372605276</v>
      </c>
      <c r="N1276" s="251">
        <f t="shared" si="392"/>
        <v>18.931582452378212</v>
      </c>
      <c r="O1276" s="336">
        <v>3.7357559144414873E-3</v>
      </c>
      <c r="P1276" s="258">
        <f t="shared" si="393"/>
        <v>3.7357559144414873E-3</v>
      </c>
      <c r="Q1276" s="354">
        <v>4946.7899999999991</v>
      </c>
      <c r="R1276" s="249">
        <f t="shared" si="394"/>
        <v>5067.6711449999993</v>
      </c>
      <c r="S1276" s="355">
        <v>0.1</v>
      </c>
      <c r="T1276" s="355"/>
      <c r="U1276" s="315">
        <f t="shared" si="396"/>
        <v>5574.4382594999988</v>
      </c>
      <c r="V1276" s="315">
        <f t="shared" si="397"/>
        <v>5575</v>
      </c>
      <c r="W1276" s="316">
        <f t="shared" si="395"/>
        <v>0</v>
      </c>
    </row>
    <row r="1277" spans="1:23" x14ac:dyDescent="0.25">
      <c r="A1277" s="204" t="s">
        <v>16928</v>
      </c>
      <c r="B1277" s="351" t="s">
        <v>18955</v>
      </c>
      <c r="C1277" s="352"/>
      <c r="D1277" s="353" t="s">
        <v>5</v>
      </c>
      <c r="E1277" s="249">
        <f t="shared" si="386"/>
        <v>0</v>
      </c>
      <c r="F1277" s="336">
        <v>0</v>
      </c>
      <c r="G1277" s="258">
        <f t="shared" si="387"/>
        <v>0</v>
      </c>
      <c r="H1277" s="249">
        <f t="shared" si="388"/>
        <v>6.3788897539475573E-2</v>
      </c>
      <c r="I1277" s="336">
        <v>2.1650403595058617E-3</v>
      </c>
      <c r="J1277" s="258">
        <f t="shared" si="389"/>
        <v>2.1650403595058617E-3</v>
      </c>
      <c r="K1277" s="249">
        <f t="shared" si="390"/>
        <v>29.289229192450943</v>
      </c>
      <c r="L1277" s="336">
        <v>0.99409718221311194</v>
      </c>
      <c r="M1277" s="258">
        <f t="shared" si="391"/>
        <v>0.99409718221311194</v>
      </c>
      <c r="N1277" s="251">
        <f t="shared" si="392"/>
        <v>0.11006711732301666</v>
      </c>
      <c r="O1277" s="336">
        <v>3.7357559144414868E-3</v>
      </c>
      <c r="P1277" s="258">
        <f t="shared" si="393"/>
        <v>3.7357559144414868E-3</v>
      </c>
      <c r="Q1277" s="354">
        <v>28.760406976744182</v>
      </c>
      <c r="R1277" s="249">
        <f t="shared" si="394"/>
        <v>29.463144767441857</v>
      </c>
      <c r="S1277" s="355">
        <v>0.1</v>
      </c>
      <c r="T1277" s="355"/>
      <c r="U1277" s="315">
        <f t="shared" si="396"/>
        <v>32.409459244186046</v>
      </c>
      <c r="V1277" s="315">
        <f t="shared" si="397"/>
        <v>33</v>
      </c>
      <c r="W1277" s="316">
        <f t="shared" si="395"/>
        <v>0</v>
      </c>
    </row>
    <row r="1278" spans="1:23" x14ac:dyDescent="0.25">
      <c r="A1278" s="203" t="s">
        <v>16929</v>
      </c>
      <c r="B1278" s="345" t="s">
        <v>16930</v>
      </c>
      <c r="C1278" s="346"/>
      <c r="D1278" s="347"/>
      <c r="E1278" s="347"/>
      <c r="F1278" s="347"/>
      <c r="G1278" s="347"/>
      <c r="H1278" s="347"/>
      <c r="I1278" s="347"/>
      <c r="J1278" s="347"/>
      <c r="K1278" s="347"/>
      <c r="L1278" s="347"/>
      <c r="M1278" s="347"/>
      <c r="N1278" s="347"/>
      <c r="O1278" s="347"/>
      <c r="P1278" s="347"/>
      <c r="Q1278" s="347"/>
      <c r="R1278" s="347"/>
      <c r="S1278" s="347"/>
      <c r="T1278" s="348"/>
      <c r="U1278" s="349"/>
      <c r="V1278" s="349"/>
      <c r="W1278" s="350"/>
    </row>
    <row r="1279" spans="1:23" x14ac:dyDescent="0.25">
      <c r="A1279" s="204" t="s">
        <v>16931</v>
      </c>
      <c r="B1279" s="351" t="s">
        <v>20996</v>
      </c>
      <c r="C1279" s="352"/>
      <c r="D1279" s="353" t="s">
        <v>5</v>
      </c>
      <c r="E1279" s="249">
        <f t="shared" si="386"/>
        <v>0</v>
      </c>
      <c r="F1279" s="336">
        <v>0</v>
      </c>
      <c r="G1279" s="258">
        <f t="shared" si="387"/>
        <v>0</v>
      </c>
      <c r="H1279" s="249">
        <f t="shared" si="388"/>
        <v>6.3775919725559349E-2</v>
      </c>
      <c r="I1279" s="336">
        <v>9.0236966824644559E-3</v>
      </c>
      <c r="J1279" s="258">
        <f t="shared" si="389"/>
        <v>9.0236966824644559E-3</v>
      </c>
      <c r="K1279" s="249">
        <f t="shared" si="390"/>
        <v>6.8937243574497575</v>
      </c>
      <c r="L1279" s="336">
        <v>0.97539757767245905</v>
      </c>
      <c r="M1279" s="258">
        <f t="shared" si="391"/>
        <v>0.97539757767245905</v>
      </c>
      <c r="N1279" s="251">
        <f t="shared" si="392"/>
        <v>0.11004472423233769</v>
      </c>
      <c r="O1279" s="336">
        <v>1.5570300157977881E-2</v>
      </c>
      <c r="P1279" s="258">
        <f t="shared" si="393"/>
        <v>1.5570300157977881E-2</v>
      </c>
      <c r="Q1279" s="354">
        <v>6.9004360465116283</v>
      </c>
      <c r="R1279" s="249">
        <f t="shared" si="394"/>
        <v>7.0676045494186042</v>
      </c>
      <c r="S1279" s="355">
        <v>0.1</v>
      </c>
      <c r="T1279" s="355"/>
      <c r="U1279" s="315">
        <f t="shared" si="396"/>
        <v>7.7743650043604644</v>
      </c>
      <c r="V1279" s="315">
        <f t="shared" si="397"/>
        <v>8</v>
      </c>
      <c r="W1279" s="316">
        <f t="shared" ref="W1279:W1342" si="398">C1279*V1279</f>
        <v>0</v>
      </c>
    </row>
    <row r="1280" spans="1:23" x14ac:dyDescent="0.25">
      <c r="A1280" s="204" t="s">
        <v>16932</v>
      </c>
      <c r="B1280" s="351" t="s">
        <v>20997</v>
      </c>
      <c r="C1280" s="352"/>
      <c r="D1280" s="353" t="s">
        <v>14859</v>
      </c>
      <c r="E1280" s="249">
        <f t="shared" si="386"/>
        <v>0</v>
      </c>
      <c r="F1280" s="336">
        <v>0</v>
      </c>
      <c r="G1280" s="258">
        <f t="shared" si="387"/>
        <v>0</v>
      </c>
      <c r="H1280" s="249">
        <f t="shared" si="388"/>
        <v>10.969550640568722</v>
      </c>
      <c r="I1280" s="336">
        <v>9.0236966824644559E-3</v>
      </c>
      <c r="J1280" s="258">
        <f t="shared" si="389"/>
        <v>9.0236966824644559E-3</v>
      </c>
      <c r="K1280" s="249">
        <f t="shared" si="390"/>
        <v>1185.7408247737442</v>
      </c>
      <c r="L1280" s="336">
        <v>0.97540600315955761</v>
      </c>
      <c r="M1280" s="258">
        <f t="shared" si="391"/>
        <v>0.97540600315955761</v>
      </c>
      <c r="N1280" s="251">
        <f t="shared" si="392"/>
        <v>18.927852085687206</v>
      </c>
      <c r="O1280" s="336">
        <v>1.5570300157977883E-2</v>
      </c>
      <c r="P1280" s="258">
        <f t="shared" si="393"/>
        <v>1.5570300157977883E-2</v>
      </c>
      <c r="Q1280" s="354">
        <v>1186.875</v>
      </c>
      <c r="R1280" s="249">
        <f t="shared" si="394"/>
        <v>1215.6382275000001</v>
      </c>
      <c r="S1280" s="355">
        <v>0.1</v>
      </c>
      <c r="T1280" s="355"/>
      <c r="U1280" s="315">
        <f t="shared" si="396"/>
        <v>1337.2020502500002</v>
      </c>
      <c r="V1280" s="315">
        <f t="shared" si="397"/>
        <v>1350</v>
      </c>
      <c r="W1280" s="316">
        <f t="shared" si="398"/>
        <v>0</v>
      </c>
    </row>
    <row r="1281" spans="1:23" x14ac:dyDescent="0.25">
      <c r="A1281" s="203" t="s">
        <v>16933</v>
      </c>
      <c r="B1281" s="345" t="s">
        <v>16934</v>
      </c>
      <c r="C1281" s="346"/>
      <c r="D1281" s="347"/>
      <c r="E1281" s="347"/>
      <c r="F1281" s="347"/>
      <c r="G1281" s="347"/>
      <c r="H1281" s="347"/>
      <c r="I1281" s="347"/>
      <c r="J1281" s="347"/>
      <c r="K1281" s="347"/>
      <c r="L1281" s="347"/>
      <c r="M1281" s="347"/>
      <c r="N1281" s="347"/>
      <c r="O1281" s="347"/>
      <c r="P1281" s="347"/>
      <c r="Q1281" s="347"/>
      <c r="R1281" s="347"/>
      <c r="S1281" s="347"/>
      <c r="T1281" s="348"/>
      <c r="U1281" s="349"/>
      <c r="V1281" s="349"/>
      <c r="W1281" s="350"/>
    </row>
    <row r="1282" spans="1:23" x14ac:dyDescent="0.25">
      <c r="A1282" s="204" t="s">
        <v>16935</v>
      </c>
      <c r="B1282" s="351" t="s">
        <v>20998</v>
      </c>
      <c r="C1282" s="352"/>
      <c r="D1282" s="353" t="s">
        <v>14859</v>
      </c>
      <c r="E1282" s="249">
        <f t="shared" ref="E1282:E1345" si="399">R1282*G1282</f>
        <v>0</v>
      </c>
      <c r="F1282" s="336">
        <v>0</v>
      </c>
      <c r="G1282" s="258">
        <f t="shared" ref="G1282:G1345" si="400">F1282</f>
        <v>0</v>
      </c>
      <c r="H1282" s="249">
        <f t="shared" ref="H1282:H1345" si="401">R1282*J1282</f>
        <v>10.971279314717918</v>
      </c>
      <c r="I1282" s="336">
        <v>3.5394983727726321E-3</v>
      </c>
      <c r="J1282" s="258">
        <f t="shared" ref="J1282:J1345" si="402">I1282</f>
        <v>3.5394983727726321E-3</v>
      </c>
      <c r="K1282" s="249">
        <f t="shared" ref="K1282:K1345" si="403">R1282*M1282</f>
        <v>3069.7685620392981</v>
      </c>
      <c r="L1282" s="336">
        <v>0.99035313188597263</v>
      </c>
      <c r="M1282" s="258">
        <f t="shared" ref="M1282:M1345" si="404">L1282</f>
        <v>0.99035313188597263</v>
      </c>
      <c r="N1282" s="251">
        <f t="shared" ref="N1282:N1345" si="405">P1282*R1282</f>
        <v>18.93083489598386</v>
      </c>
      <c r="O1282" s="336">
        <v>6.1073697412547378E-3</v>
      </c>
      <c r="P1282" s="258">
        <f t="shared" ref="P1282:P1345" si="406">O1282</f>
        <v>6.1073697412547378E-3</v>
      </c>
      <c r="Q1282" s="354">
        <v>3025.8525</v>
      </c>
      <c r="R1282" s="249">
        <f t="shared" ref="R1282:R1345" si="407">SUM(F1282*Q1282*1.0235,I1282*Q1282*1.0175,L1282*Q1282*1.0245,O1282*Q1282*1.0115)</f>
        <v>3099.6706762499998</v>
      </c>
      <c r="S1282" s="355">
        <v>0.1</v>
      </c>
      <c r="T1282" s="355"/>
      <c r="U1282" s="315">
        <f t="shared" si="396"/>
        <v>3409.6377438749996</v>
      </c>
      <c r="V1282" s="315">
        <f t="shared" si="397"/>
        <v>3425</v>
      </c>
      <c r="W1282" s="316">
        <f t="shared" si="398"/>
        <v>0</v>
      </c>
    </row>
    <row r="1283" spans="1:23" x14ac:dyDescent="0.25">
      <c r="A1283" s="204" t="s">
        <v>16936</v>
      </c>
      <c r="B1283" s="351" t="s">
        <v>20999</v>
      </c>
      <c r="C1283" s="352"/>
      <c r="D1283" s="353" t="s">
        <v>5</v>
      </c>
      <c r="E1283" s="249">
        <f t="shared" si="399"/>
        <v>0</v>
      </c>
      <c r="F1283" s="336">
        <v>0</v>
      </c>
      <c r="G1283" s="258">
        <f t="shared" si="400"/>
        <v>0</v>
      </c>
      <c r="H1283" s="249">
        <f t="shared" si="401"/>
        <v>6.3786296817192403E-2</v>
      </c>
      <c r="I1283" s="336">
        <v>3.5394983727726325E-3</v>
      </c>
      <c r="J1283" s="258">
        <f t="shared" si="402"/>
        <v>3.5394983727726325E-3</v>
      </c>
      <c r="K1283" s="249">
        <f t="shared" si="403"/>
        <v>17.847373092715376</v>
      </c>
      <c r="L1283" s="336">
        <v>0.99034982703221675</v>
      </c>
      <c r="M1283" s="258">
        <f t="shared" si="404"/>
        <v>0.99034982703221675</v>
      </c>
      <c r="N1283" s="251">
        <f t="shared" si="405"/>
        <v>0.11006262980221433</v>
      </c>
      <c r="O1283" s="336">
        <v>6.1073697412547378E-3</v>
      </c>
      <c r="P1283" s="258">
        <f t="shared" si="406"/>
        <v>6.1073697412547378E-3</v>
      </c>
      <c r="Q1283" s="354">
        <v>17.592165697674417</v>
      </c>
      <c r="R1283" s="249">
        <f t="shared" si="407"/>
        <v>18.021281577034888</v>
      </c>
      <c r="S1283" s="355">
        <v>0.1</v>
      </c>
      <c r="T1283" s="355"/>
      <c r="U1283" s="315">
        <f t="shared" si="396"/>
        <v>19.823409734738377</v>
      </c>
      <c r="V1283" s="315">
        <f t="shared" si="397"/>
        <v>20</v>
      </c>
      <c r="W1283" s="316">
        <f t="shared" si="398"/>
        <v>0</v>
      </c>
    </row>
    <row r="1284" spans="1:23" x14ac:dyDescent="0.25">
      <c r="A1284" s="204" t="s">
        <v>16937</v>
      </c>
      <c r="B1284" s="351" t="s">
        <v>21000</v>
      </c>
      <c r="C1284" s="352"/>
      <c r="D1284" s="353" t="s">
        <v>14859</v>
      </c>
      <c r="E1284" s="249">
        <f t="shared" si="399"/>
        <v>0</v>
      </c>
      <c r="F1284" s="336">
        <v>0</v>
      </c>
      <c r="G1284" s="258">
        <f t="shared" si="400"/>
        <v>0</v>
      </c>
      <c r="H1284" s="249">
        <f t="shared" si="401"/>
        <v>10.971288679232764</v>
      </c>
      <c r="I1284" s="336">
        <v>3.5097895600965439E-3</v>
      </c>
      <c r="J1284" s="258">
        <f t="shared" si="402"/>
        <v>3.5097895600965439E-3</v>
      </c>
      <c r="K1284" s="249">
        <f t="shared" si="403"/>
        <v>3096.0085427664053</v>
      </c>
      <c r="L1284" s="336">
        <v>0.99043410296365841</v>
      </c>
      <c r="M1284" s="258">
        <f t="shared" si="404"/>
        <v>0.99043410296365841</v>
      </c>
      <c r="N1284" s="251">
        <f t="shared" si="405"/>
        <v>18.930851054362414</v>
      </c>
      <c r="O1284" s="336">
        <v>6.0561074762450163E-3</v>
      </c>
      <c r="P1284" s="258">
        <f t="shared" si="406"/>
        <v>6.0561074762450163E-3</v>
      </c>
      <c r="Q1284" s="354">
        <v>3051.4650000000001</v>
      </c>
      <c r="R1284" s="249">
        <f t="shared" si="407"/>
        <v>3125.9106825000003</v>
      </c>
      <c r="S1284" s="355">
        <v>0.1</v>
      </c>
      <c r="T1284" s="355"/>
      <c r="U1284" s="315">
        <f t="shared" si="396"/>
        <v>3438.5017507500006</v>
      </c>
      <c r="V1284" s="315">
        <f t="shared" si="397"/>
        <v>3450</v>
      </c>
      <c r="W1284" s="316">
        <f t="shared" si="398"/>
        <v>0</v>
      </c>
    </row>
    <row r="1285" spans="1:23" x14ac:dyDescent="0.25">
      <c r="A1285" s="204" t="s">
        <v>16938</v>
      </c>
      <c r="B1285" s="351" t="s">
        <v>21001</v>
      </c>
      <c r="C1285" s="352"/>
      <c r="D1285" s="353" t="s">
        <v>5</v>
      </c>
      <c r="E1285" s="249">
        <f t="shared" si="399"/>
        <v>0</v>
      </c>
      <c r="F1285" s="336">
        <v>0</v>
      </c>
      <c r="G1285" s="258">
        <f t="shared" si="400"/>
        <v>0</v>
      </c>
      <c r="H1285" s="249">
        <f t="shared" si="401"/>
        <v>6.3786353031620474E-2</v>
      </c>
      <c r="I1285" s="336">
        <v>3.5097895600965439E-3</v>
      </c>
      <c r="J1285" s="258">
        <f t="shared" si="402"/>
        <v>3.5097895600965439E-3</v>
      </c>
      <c r="K1285" s="249">
        <f t="shared" si="403"/>
        <v>17.999931115323104</v>
      </c>
      <c r="L1285" s="336">
        <v>0.99043082584922326</v>
      </c>
      <c r="M1285" s="258">
        <f t="shared" si="404"/>
        <v>0.99043082584922326</v>
      </c>
      <c r="N1285" s="251">
        <f t="shared" si="405"/>
        <v>0.11006272679965884</v>
      </c>
      <c r="O1285" s="336">
        <v>6.0561074762450163E-3</v>
      </c>
      <c r="P1285" s="258">
        <f t="shared" si="406"/>
        <v>6.0561074762450163E-3</v>
      </c>
      <c r="Q1285" s="354">
        <v>17.74107558139535</v>
      </c>
      <c r="R1285" s="249">
        <f t="shared" si="407"/>
        <v>18.173839752906979</v>
      </c>
      <c r="S1285" s="355">
        <v>0.1</v>
      </c>
      <c r="T1285" s="355"/>
      <c r="U1285" s="315">
        <f t="shared" si="396"/>
        <v>19.991223728197678</v>
      </c>
      <c r="V1285" s="315">
        <f t="shared" si="397"/>
        <v>20</v>
      </c>
      <c r="W1285" s="316">
        <f t="shared" si="398"/>
        <v>0</v>
      </c>
    </row>
    <row r="1286" spans="1:23" x14ac:dyDescent="0.25">
      <c r="A1286" s="204" t="s">
        <v>16939</v>
      </c>
      <c r="B1286" s="351" t="s">
        <v>21002</v>
      </c>
      <c r="C1286" s="352"/>
      <c r="D1286" s="353" t="s">
        <v>14859</v>
      </c>
      <c r="E1286" s="249">
        <f t="shared" si="399"/>
        <v>0</v>
      </c>
      <c r="F1286" s="336">
        <v>0</v>
      </c>
      <c r="G1286" s="258">
        <f t="shared" si="400"/>
        <v>0</v>
      </c>
      <c r="H1286" s="249">
        <f t="shared" si="401"/>
        <v>10.971372764625997</v>
      </c>
      <c r="I1286" s="336">
        <v>3.2430296437436557E-3</v>
      </c>
      <c r="J1286" s="258">
        <f t="shared" si="402"/>
        <v>3.2430296437436557E-3</v>
      </c>
      <c r="K1286" s="249">
        <f t="shared" si="403"/>
        <v>3353.1603748424895</v>
      </c>
      <c r="L1286" s="336">
        <v>0.99116115450038489</v>
      </c>
      <c r="M1286" s="258">
        <f t="shared" si="404"/>
        <v>0.99116115450038489</v>
      </c>
      <c r="N1286" s="251">
        <f t="shared" si="405"/>
        <v>18.930996142884069</v>
      </c>
      <c r="O1286" s="336">
        <v>5.5958158558714055E-3</v>
      </c>
      <c r="P1286" s="258">
        <f t="shared" si="406"/>
        <v>5.5958158558714055E-3</v>
      </c>
      <c r="Q1286" s="354">
        <v>3302.4674999999997</v>
      </c>
      <c r="R1286" s="249">
        <f t="shared" si="407"/>
        <v>3383.0627437499998</v>
      </c>
      <c r="S1286" s="355">
        <v>0.1</v>
      </c>
      <c r="T1286" s="355"/>
      <c r="U1286" s="315">
        <f t="shared" si="396"/>
        <v>3721.3690181249999</v>
      </c>
      <c r="V1286" s="315">
        <f t="shared" si="397"/>
        <v>3725</v>
      </c>
      <c r="W1286" s="316">
        <f t="shared" si="398"/>
        <v>0</v>
      </c>
    </row>
    <row r="1287" spans="1:23" x14ac:dyDescent="0.25">
      <c r="A1287" s="204" t="s">
        <v>16940</v>
      </c>
      <c r="B1287" s="351" t="s">
        <v>21003</v>
      </c>
      <c r="C1287" s="352"/>
      <c r="D1287" s="353" t="s">
        <v>5</v>
      </c>
      <c r="E1287" s="249">
        <f t="shared" si="399"/>
        <v>0</v>
      </c>
      <c r="F1287" s="336">
        <v>0</v>
      </c>
      <c r="G1287" s="258">
        <f t="shared" si="400"/>
        <v>0</v>
      </c>
      <c r="H1287" s="249">
        <f t="shared" si="401"/>
        <v>6.3786857789461027E-2</v>
      </c>
      <c r="I1287" s="336">
        <v>3.2430296437436562E-3</v>
      </c>
      <c r="J1287" s="258">
        <f t="shared" si="402"/>
        <v>3.2430296437436562E-3</v>
      </c>
      <c r="K1287" s="249">
        <f t="shared" si="403"/>
        <v>19.494999862685766</v>
      </c>
      <c r="L1287" s="336">
        <v>0.99115812646150192</v>
      </c>
      <c r="M1287" s="258">
        <f t="shared" si="404"/>
        <v>0.99115812646150192</v>
      </c>
      <c r="N1287" s="251">
        <f t="shared" si="405"/>
        <v>0.11006359775436411</v>
      </c>
      <c r="O1287" s="336">
        <v>5.5958158558714064E-3</v>
      </c>
      <c r="P1287" s="258">
        <f t="shared" si="406"/>
        <v>5.5958158558714064E-3</v>
      </c>
      <c r="Q1287" s="354">
        <v>19.200392441860462</v>
      </c>
      <c r="R1287" s="249">
        <f t="shared" si="407"/>
        <v>19.668909876453483</v>
      </c>
      <c r="S1287" s="355">
        <v>0.1</v>
      </c>
      <c r="T1287" s="355"/>
      <c r="U1287" s="315">
        <f t="shared" si="396"/>
        <v>21.635800864098833</v>
      </c>
      <c r="V1287" s="315">
        <f t="shared" si="397"/>
        <v>22</v>
      </c>
      <c r="W1287" s="316">
        <f t="shared" si="398"/>
        <v>0</v>
      </c>
    </row>
    <row r="1288" spans="1:23" x14ac:dyDescent="0.25">
      <c r="A1288" s="204" t="s">
        <v>16941</v>
      </c>
      <c r="B1288" s="351" t="s">
        <v>21004</v>
      </c>
      <c r="C1288" s="352"/>
      <c r="D1288" s="353" t="s">
        <v>14859</v>
      </c>
      <c r="E1288" s="249">
        <f t="shared" si="399"/>
        <v>0</v>
      </c>
      <c r="F1288" s="336">
        <v>0</v>
      </c>
      <c r="G1288" s="258">
        <f t="shared" si="400"/>
        <v>0</v>
      </c>
      <c r="H1288" s="249">
        <f t="shared" si="401"/>
        <v>10.971368638160156</v>
      </c>
      <c r="I1288" s="336">
        <v>3.2561208078584697E-3</v>
      </c>
      <c r="J1288" s="258">
        <f t="shared" si="402"/>
        <v>3.2561208078584697E-3</v>
      </c>
      <c r="K1288" s="249">
        <f t="shared" si="403"/>
        <v>3339.5575873391322</v>
      </c>
      <c r="L1288" s="336">
        <v>0.9911254746609347</v>
      </c>
      <c r="M1288" s="258">
        <f t="shared" si="404"/>
        <v>0.9911254746609347</v>
      </c>
      <c r="N1288" s="251">
        <f t="shared" si="405"/>
        <v>18.93098902270772</v>
      </c>
      <c r="O1288" s="336">
        <v>5.6184045312067717E-3</v>
      </c>
      <c r="P1288" s="258">
        <f t="shared" si="406"/>
        <v>5.6184045312067717E-3</v>
      </c>
      <c r="Q1288" s="354">
        <v>3289.19</v>
      </c>
      <c r="R1288" s="249">
        <f t="shared" si="407"/>
        <v>3369.4599450000001</v>
      </c>
      <c r="S1288" s="355">
        <v>0.1</v>
      </c>
      <c r="T1288" s="355"/>
      <c r="U1288" s="315">
        <f t="shared" si="396"/>
        <v>3706.4059394999999</v>
      </c>
      <c r="V1288" s="315">
        <f t="shared" si="397"/>
        <v>3725</v>
      </c>
      <c r="W1288" s="316">
        <f t="shared" si="398"/>
        <v>0</v>
      </c>
    </row>
    <row r="1289" spans="1:23" x14ac:dyDescent="0.25">
      <c r="A1289" s="204" t="s">
        <v>16942</v>
      </c>
      <c r="B1289" s="351" t="s">
        <v>21005</v>
      </c>
      <c r="C1289" s="352"/>
      <c r="D1289" s="353" t="s">
        <v>5</v>
      </c>
      <c r="E1289" s="249">
        <f t="shared" si="399"/>
        <v>0</v>
      </c>
      <c r="F1289" s="336">
        <v>0</v>
      </c>
      <c r="G1289" s="258">
        <f t="shared" si="400"/>
        <v>0</v>
      </c>
      <c r="H1289" s="249">
        <f t="shared" si="401"/>
        <v>6.3786833018619066E-2</v>
      </c>
      <c r="I1289" s="336">
        <v>3.2561208078584697E-3</v>
      </c>
      <c r="J1289" s="258">
        <f t="shared" si="402"/>
        <v>3.2561208078584697E-3</v>
      </c>
      <c r="K1289" s="249">
        <f t="shared" si="403"/>
        <v>19.4159138909774</v>
      </c>
      <c r="L1289" s="336">
        <v>0.99112243439874259</v>
      </c>
      <c r="M1289" s="258">
        <f t="shared" si="404"/>
        <v>0.99112243439874259</v>
      </c>
      <c r="N1289" s="251">
        <f t="shared" si="405"/>
        <v>0.11006355501251916</v>
      </c>
      <c r="O1289" s="336">
        <v>5.6184045312067709E-3</v>
      </c>
      <c r="P1289" s="258">
        <f t="shared" si="406"/>
        <v>5.6184045312067709E-3</v>
      </c>
      <c r="Q1289" s="354">
        <v>19.123197674418606</v>
      </c>
      <c r="R1289" s="249">
        <f t="shared" si="407"/>
        <v>19.589823837209302</v>
      </c>
      <c r="S1289" s="355">
        <v>0.1</v>
      </c>
      <c r="T1289" s="355"/>
      <c r="U1289" s="315">
        <f t="shared" si="396"/>
        <v>21.548806220930231</v>
      </c>
      <c r="V1289" s="315">
        <f t="shared" si="397"/>
        <v>22</v>
      </c>
      <c r="W1289" s="316">
        <f t="shared" si="398"/>
        <v>0</v>
      </c>
    </row>
    <row r="1290" spans="1:23" ht="14.4" thickBot="1" x14ac:dyDescent="0.3">
      <c r="A1290" s="356" t="s">
        <v>16943</v>
      </c>
      <c r="B1290" s="357" t="s">
        <v>21006</v>
      </c>
      <c r="C1290" s="358"/>
      <c r="D1290" s="359" t="s">
        <v>14859</v>
      </c>
      <c r="E1290" s="266">
        <f t="shared" si="399"/>
        <v>0</v>
      </c>
      <c r="F1290" s="360">
        <v>0</v>
      </c>
      <c r="G1290" s="322">
        <f t="shared" si="400"/>
        <v>0</v>
      </c>
      <c r="H1290" s="266">
        <f t="shared" si="401"/>
        <v>10.971395973872438</v>
      </c>
      <c r="I1290" s="360">
        <v>3.1693985836842558E-3</v>
      </c>
      <c r="J1290" s="322">
        <f t="shared" si="402"/>
        <v>3.1693985836842558E-3</v>
      </c>
      <c r="K1290" s="266">
        <f t="shared" si="403"/>
        <v>3431.7625128359164</v>
      </c>
      <c r="L1290" s="360">
        <v>0.99136183523270371</v>
      </c>
      <c r="M1290" s="322">
        <f t="shared" si="404"/>
        <v>0.99136183523270371</v>
      </c>
      <c r="N1290" s="270">
        <f t="shared" si="405"/>
        <v>18.931036190211262</v>
      </c>
      <c r="O1290" s="360">
        <v>5.4687661836120491E-3</v>
      </c>
      <c r="P1290" s="322">
        <f t="shared" si="406"/>
        <v>5.4687661836120491E-3</v>
      </c>
      <c r="Q1290" s="361">
        <v>3379.19</v>
      </c>
      <c r="R1290" s="266">
        <f t="shared" si="407"/>
        <v>3461.664945</v>
      </c>
      <c r="S1290" s="362">
        <v>0.1</v>
      </c>
      <c r="T1290" s="362"/>
      <c r="U1290" s="324">
        <f t="shared" si="396"/>
        <v>3807.8314394999998</v>
      </c>
      <c r="V1290" s="324">
        <f t="shared" si="397"/>
        <v>3825</v>
      </c>
      <c r="W1290" s="325">
        <f t="shared" si="398"/>
        <v>0</v>
      </c>
    </row>
    <row r="1291" spans="1:23" x14ac:dyDescent="0.25">
      <c r="A1291" s="204" t="s">
        <v>16944</v>
      </c>
      <c r="B1291" s="351" t="s">
        <v>21007</v>
      </c>
      <c r="C1291" s="352"/>
      <c r="D1291" s="353" t="s">
        <v>5</v>
      </c>
      <c r="E1291" s="249">
        <f t="shared" si="399"/>
        <v>0</v>
      </c>
      <c r="F1291" s="336">
        <v>0</v>
      </c>
      <c r="G1291" s="258">
        <f t="shared" si="400"/>
        <v>0</v>
      </c>
      <c r="H1291" s="249">
        <f t="shared" si="401"/>
        <v>6.3786997112697391E-2</v>
      </c>
      <c r="I1291" s="336">
        <v>3.1693985836842562E-3</v>
      </c>
      <c r="J1291" s="258">
        <f t="shared" si="402"/>
        <v>3.1693985836842562E-3</v>
      </c>
      <c r="K1291" s="249">
        <f t="shared" si="403"/>
        <v>19.951989024982737</v>
      </c>
      <c r="L1291" s="336">
        <v>0.99135887594364347</v>
      </c>
      <c r="M1291" s="258">
        <f t="shared" si="404"/>
        <v>0.99135887594364347</v>
      </c>
      <c r="N1291" s="251">
        <f t="shared" si="405"/>
        <v>0.11006383815524252</v>
      </c>
      <c r="O1291" s="336">
        <v>5.4687661836120491E-3</v>
      </c>
      <c r="P1291" s="258">
        <f t="shared" si="406"/>
        <v>5.4687661836120491E-3</v>
      </c>
      <c r="Q1291" s="354">
        <v>19.646453488372092</v>
      </c>
      <c r="R1291" s="249">
        <f t="shared" si="407"/>
        <v>20.125899418604654</v>
      </c>
      <c r="S1291" s="355">
        <v>0.1</v>
      </c>
      <c r="T1291" s="355"/>
      <c r="U1291" s="315">
        <f t="shared" si="396"/>
        <v>22.138489360465119</v>
      </c>
      <c r="V1291" s="315">
        <f t="shared" si="397"/>
        <v>23</v>
      </c>
      <c r="W1291" s="316">
        <f t="shared" si="398"/>
        <v>0</v>
      </c>
    </row>
    <row r="1292" spans="1:23" x14ac:dyDescent="0.25">
      <c r="A1292" s="204" t="s">
        <v>16945</v>
      </c>
      <c r="B1292" s="351" t="s">
        <v>21008</v>
      </c>
      <c r="C1292" s="352"/>
      <c r="D1292" s="353" t="s">
        <v>14859</v>
      </c>
      <c r="E1292" s="249">
        <f t="shared" si="399"/>
        <v>0</v>
      </c>
      <c r="F1292" s="336">
        <v>0</v>
      </c>
      <c r="G1292" s="258">
        <f t="shared" si="400"/>
        <v>0</v>
      </c>
      <c r="H1292" s="249">
        <f t="shared" si="401"/>
        <v>10.971433805104509</v>
      </c>
      <c r="I1292" s="336">
        <v>3.0493794470116938E-3</v>
      </c>
      <c r="J1292" s="258">
        <f t="shared" si="402"/>
        <v>3.0493794470116938E-3</v>
      </c>
      <c r="K1292" s="249">
        <f t="shared" si="403"/>
        <v>3568.0209097272641</v>
      </c>
      <c r="L1292" s="336">
        <v>0.9916889462130466</v>
      </c>
      <c r="M1292" s="258">
        <f t="shared" si="404"/>
        <v>0.9916889462130466</v>
      </c>
      <c r="N1292" s="251">
        <f t="shared" si="405"/>
        <v>18.931101467631308</v>
      </c>
      <c r="O1292" s="336">
        <v>5.2616743399417458E-3</v>
      </c>
      <c r="P1292" s="258">
        <f t="shared" si="406"/>
        <v>5.2616743399417458E-3</v>
      </c>
      <c r="Q1292" s="354">
        <v>3512.19</v>
      </c>
      <c r="R1292" s="249">
        <f t="shared" si="407"/>
        <v>3597.9234449999999</v>
      </c>
      <c r="S1292" s="355">
        <v>0.1</v>
      </c>
      <c r="T1292" s="355"/>
      <c r="U1292" s="315">
        <f t="shared" si="396"/>
        <v>3957.7157895</v>
      </c>
      <c r="V1292" s="315">
        <f t="shared" si="397"/>
        <v>3975</v>
      </c>
      <c r="W1292" s="316">
        <f t="shared" si="398"/>
        <v>0</v>
      </c>
    </row>
    <row r="1293" spans="1:23" x14ac:dyDescent="0.25">
      <c r="A1293" s="204" t="s">
        <v>16946</v>
      </c>
      <c r="B1293" s="351" t="s">
        <v>21009</v>
      </c>
      <c r="C1293" s="352"/>
      <c r="D1293" s="353" t="s">
        <v>5</v>
      </c>
      <c r="E1293" s="249">
        <f t="shared" si="399"/>
        <v>0</v>
      </c>
      <c r="F1293" s="336">
        <v>0</v>
      </c>
      <c r="G1293" s="258">
        <f t="shared" si="400"/>
        <v>0</v>
      </c>
      <c r="H1293" s="249">
        <f t="shared" si="401"/>
        <v>6.3787224210535315E-2</v>
      </c>
      <c r="I1293" s="336">
        <v>3.0493794470116938E-3</v>
      </c>
      <c r="J1293" s="258">
        <f t="shared" si="402"/>
        <v>3.0493794470116938E-3</v>
      </c>
      <c r="K1293" s="249">
        <f t="shared" si="403"/>
        <v>20.744188987213107</v>
      </c>
      <c r="L1293" s="336">
        <v>0.99168609898667215</v>
      </c>
      <c r="M1293" s="258">
        <f t="shared" si="404"/>
        <v>0.99168609898667215</v>
      </c>
      <c r="N1293" s="251">
        <f t="shared" si="405"/>
        <v>0.11006423001033543</v>
      </c>
      <c r="O1293" s="336">
        <v>5.2616743399417458E-3</v>
      </c>
      <c r="P1293" s="258">
        <f t="shared" si="406"/>
        <v>5.2616743399417458E-3</v>
      </c>
      <c r="Q1293" s="354">
        <v>20.419709302325582</v>
      </c>
      <c r="R1293" s="249">
        <f t="shared" si="407"/>
        <v>20.918099999999999</v>
      </c>
      <c r="S1293" s="355">
        <v>0.1</v>
      </c>
      <c r="T1293" s="355"/>
      <c r="U1293" s="315">
        <f t="shared" si="396"/>
        <v>23.009909999999998</v>
      </c>
      <c r="V1293" s="315">
        <f t="shared" si="397"/>
        <v>24</v>
      </c>
      <c r="W1293" s="316">
        <f t="shared" si="398"/>
        <v>0</v>
      </c>
    </row>
    <row r="1294" spans="1:23" x14ac:dyDescent="0.25">
      <c r="A1294" s="204" t="s">
        <v>16947</v>
      </c>
      <c r="B1294" s="351" t="s">
        <v>21010</v>
      </c>
      <c r="C1294" s="352"/>
      <c r="D1294" s="353" t="s">
        <v>14859</v>
      </c>
      <c r="E1294" s="249">
        <f t="shared" si="399"/>
        <v>0</v>
      </c>
      <c r="F1294" s="336">
        <v>0</v>
      </c>
      <c r="G1294" s="258">
        <f t="shared" si="400"/>
        <v>0</v>
      </c>
      <c r="H1294" s="249">
        <f t="shared" si="401"/>
        <v>10.971433805104509</v>
      </c>
      <c r="I1294" s="336">
        <v>3.0493794470116938E-3</v>
      </c>
      <c r="J1294" s="258">
        <f t="shared" si="402"/>
        <v>3.0493794470116938E-3</v>
      </c>
      <c r="K1294" s="249">
        <f t="shared" si="403"/>
        <v>3568.0209097272641</v>
      </c>
      <c r="L1294" s="336">
        <v>0.9916889462130466</v>
      </c>
      <c r="M1294" s="258">
        <f t="shared" si="404"/>
        <v>0.9916889462130466</v>
      </c>
      <c r="N1294" s="251">
        <f t="shared" si="405"/>
        <v>18.931101467631308</v>
      </c>
      <c r="O1294" s="336">
        <v>5.2616743399417458E-3</v>
      </c>
      <c r="P1294" s="258">
        <f t="shared" si="406"/>
        <v>5.2616743399417458E-3</v>
      </c>
      <c r="Q1294" s="354">
        <v>3512.19</v>
      </c>
      <c r="R1294" s="249">
        <f t="shared" si="407"/>
        <v>3597.9234449999999</v>
      </c>
      <c r="S1294" s="355">
        <v>0.1</v>
      </c>
      <c r="T1294" s="355"/>
      <c r="U1294" s="315">
        <f t="shared" si="396"/>
        <v>3957.7157895</v>
      </c>
      <c r="V1294" s="315">
        <f t="shared" si="397"/>
        <v>3975</v>
      </c>
      <c r="W1294" s="316">
        <f t="shared" si="398"/>
        <v>0</v>
      </c>
    </row>
    <row r="1295" spans="1:23" x14ac:dyDescent="0.25">
      <c r="A1295" s="204" t="s">
        <v>16948</v>
      </c>
      <c r="B1295" s="351" t="s">
        <v>21011</v>
      </c>
      <c r="C1295" s="352"/>
      <c r="D1295" s="353" t="s">
        <v>5</v>
      </c>
      <c r="E1295" s="249">
        <f t="shared" si="399"/>
        <v>0</v>
      </c>
      <c r="F1295" s="336">
        <v>0</v>
      </c>
      <c r="G1295" s="258">
        <f t="shared" si="400"/>
        <v>0</v>
      </c>
      <c r="H1295" s="249">
        <f t="shared" si="401"/>
        <v>6.3787224210535315E-2</v>
      </c>
      <c r="I1295" s="336">
        <v>3.0493794470116938E-3</v>
      </c>
      <c r="J1295" s="258">
        <f t="shared" si="402"/>
        <v>3.0493794470116938E-3</v>
      </c>
      <c r="K1295" s="249">
        <f t="shared" si="403"/>
        <v>20.744188987213107</v>
      </c>
      <c r="L1295" s="336">
        <v>0.99168609898667215</v>
      </c>
      <c r="M1295" s="258">
        <f t="shared" si="404"/>
        <v>0.99168609898667215</v>
      </c>
      <c r="N1295" s="251">
        <f t="shared" si="405"/>
        <v>0.11006423001033543</v>
      </c>
      <c r="O1295" s="336">
        <v>5.2616743399417458E-3</v>
      </c>
      <c r="P1295" s="258">
        <f t="shared" si="406"/>
        <v>5.2616743399417458E-3</v>
      </c>
      <c r="Q1295" s="354">
        <v>20.419709302325582</v>
      </c>
      <c r="R1295" s="249">
        <f t="shared" si="407"/>
        <v>20.918099999999999</v>
      </c>
      <c r="S1295" s="355">
        <v>0.1</v>
      </c>
      <c r="T1295" s="355"/>
      <c r="U1295" s="315">
        <f t="shared" si="396"/>
        <v>23.009909999999998</v>
      </c>
      <c r="V1295" s="315">
        <f t="shared" si="397"/>
        <v>24</v>
      </c>
      <c r="W1295" s="316">
        <f t="shared" si="398"/>
        <v>0</v>
      </c>
    </row>
    <row r="1296" spans="1:23" x14ac:dyDescent="0.25">
      <c r="A1296" s="204" t="s">
        <v>16949</v>
      </c>
      <c r="B1296" s="351" t="s">
        <v>21012</v>
      </c>
      <c r="C1296" s="352"/>
      <c r="D1296" s="353" t="s">
        <v>14859</v>
      </c>
      <c r="E1296" s="249">
        <f t="shared" si="399"/>
        <v>0</v>
      </c>
      <c r="F1296" s="336">
        <v>0</v>
      </c>
      <c r="G1296" s="258">
        <f t="shared" si="400"/>
        <v>0</v>
      </c>
      <c r="H1296" s="249">
        <f t="shared" si="401"/>
        <v>10.971459800616653</v>
      </c>
      <c r="I1296" s="336">
        <v>2.9669089919365731E-3</v>
      </c>
      <c r="J1296" s="258">
        <f t="shared" si="402"/>
        <v>2.9669089919365731E-3</v>
      </c>
      <c r="K1296" s="249">
        <f t="shared" si="403"/>
        <v>3668.0402126267509</v>
      </c>
      <c r="L1296" s="336">
        <v>0.99191371862981992</v>
      </c>
      <c r="M1296" s="258">
        <f t="shared" si="404"/>
        <v>0.99191371862981992</v>
      </c>
      <c r="N1296" s="251">
        <f t="shared" si="405"/>
        <v>18.931146322632657</v>
      </c>
      <c r="O1296" s="336">
        <v>5.1193723782434987E-3</v>
      </c>
      <c r="P1296" s="258">
        <f t="shared" si="406"/>
        <v>5.1193723782434987E-3</v>
      </c>
      <c r="Q1296" s="354">
        <v>3609.8175000000001</v>
      </c>
      <c r="R1296" s="249">
        <f t="shared" si="407"/>
        <v>3697.9428187500002</v>
      </c>
      <c r="S1296" s="355">
        <v>0.1</v>
      </c>
      <c r="T1296" s="355"/>
      <c r="U1296" s="315">
        <f t="shared" si="396"/>
        <v>4067.7371006250005</v>
      </c>
      <c r="V1296" s="315">
        <f t="shared" si="397"/>
        <v>4075</v>
      </c>
      <c r="W1296" s="316">
        <f t="shared" si="398"/>
        <v>0</v>
      </c>
    </row>
    <row r="1297" spans="1:23" x14ac:dyDescent="0.25">
      <c r="A1297" s="204" t="s">
        <v>16950</v>
      </c>
      <c r="B1297" s="351" t="s">
        <v>21013</v>
      </c>
      <c r="C1297" s="352"/>
      <c r="D1297" s="353" t="s">
        <v>5</v>
      </c>
      <c r="E1297" s="249">
        <f t="shared" si="399"/>
        <v>0</v>
      </c>
      <c r="F1297" s="336">
        <v>0</v>
      </c>
      <c r="G1297" s="258">
        <f t="shared" si="400"/>
        <v>0</v>
      </c>
      <c r="H1297" s="249">
        <f t="shared" si="401"/>
        <v>6.3787380259500176E-2</v>
      </c>
      <c r="I1297" s="336">
        <v>2.9669089919365731E-3</v>
      </c>
      <c r="J1297" s="258">
        <f t="shared" si="402"/>
        <v>2.9669089919365731E-3</v>
      </c>
      <c r="K1297" s="249">
        <f t="shared" si="403"/>
        <v>21.325696548676081</v>
      </c>
      <c r="L1297" s="336">
        <v>0.99191094840667149</v>
      </c>
      <c r="M1297" s="258">
        <f t="shared" si="404"/>
        <v>0.99191094840667149</v>
      </c>
      <c r="N1297" s="251">
        <f t="shared" si="405"/>
        <v>0.11006449927129441</v>
      </c>
      <c r="O1297" s="336">
        <v>5.1193723782434987E-3</v>
      </c>
      <c r="P1297" s="258">
        <f t="shared" si="406"/>
        <v>5.1193723782434987E-3</v>
      </c>
      <c r="Q1297" s="354">
        <v>20.987311046511628</v>
      </c>
      <c r="R1297" s="249">
        <f t="shared" si="407"/>
        <v>21.499607986918605</v>
      </c>
      <c r="S1297" s="355">
        <v>0.1</v>
      </c>
      <c r="T1297" s="355"/>
      <c r="U1297" s="315">
        <f t="shared" si="396"/>
        <v>23.649568785610466</v>
      </c>
      <c r="V1297" s="315">
        <f t="shared" si="397"/>
        <v>24</v>
      </c>
      <c r="W1297" s="316">
        <f t="shared" si="398"/>
        <v>0</v>
      </c>
    </row>
    <row r="1298" spans="1:23" x14ac:dyDescent="0.25">
      <c r="A1298" s="204" t="s">
        <v>16951</v>
      </c>
      <c r="B1298" s="351" t="s">
        <v>21014</v>
      </c>
      <c r="C1298" s="352"/>
      <c r="D1298" s="353" t="s">
        <v>14859</v>
      </c>
      <c r="E1298" s="249">
        <f t="shared" si="399"/>
        <v>0</v>
      </c>
      <c r="F1298" s="336">
        <v>0</v>
      </c>
      <c r="G1298" s="258">
        <f t="shared" si="400"/>
        <v>0</v>
      </c>
      <c r="H1298" s="249">
        <f t="shared" si="401"/>
        <v>10.971439518098377</v>
      </c>
      <c r="I1298" s="336">
        <v>3.0312550414780979E-3</v>
      </c>
      <c r="J1298" s="258">
        <f t="shared" si="402"/>
        <v>3.0312550414780979E-3</v>
      </c>
      <c r="K1298" s="249">
        <f t="shared" si="403"/>
        <v>3589.5353941565554</v>
      </c>
      <c r="L1298" s="336">
        <v>0.99173834410263806</v>
      </c>
      <c r="M1298" s="258">
        <f t="shared" si="404"/>
        <v>0.99173834410263806</v>
      </c>
      <c r="N1298" s="251">
        <f t="shared" si="405"/>
        <v>18.931111325346219</v>
      </c>
      <c r="O1298" s="336">
        <v>5.2304008558837767E-3</v>
      </c>
      <c r="P1298" s="258">
        <f t="shared" si="406"/>
        <v>5.2304008558837767E-3</v>
      </c>
      <c r="Q1298" s="354">
        <v>3533.19</v>
      </c>
      <c r="R1298" s="249">
        <f t="shared" si="407"/>
        <v>3619.4379450000001</v>
      </c>
      <c r="S1298" s="355">
        <v>0.1</v>
      </c>
      <c r="T1298" s="355"/>
      <c r="U1298" s="315">
        <f t="shared" si="396"/>
        <v>3981.3817395000001</v>
      </c>
      <c r="V1298" s="315">
        <f t="shared" si="397"/>
        <v>4000</v>
      </c>
      <c r="W1298" s="316">
        <f t="shared" si="398"/>
        <v>0</v>
      </c>
    </row>
    <row r="1299" spans="1:23" x14ac:dyDescent="0.25">
      <c r="A1299" s="204" t="s">
        <v>16952</v>
      </c>
      <c r="B1299" s="351" t="s">
        <v>21015</v>
      </c>
      <c r="C1299" s="352"/>
      <c r="D1299" s="353" t="s">
        <v>5</v>
      </c>
      <c r="E1299" s="249">
        <f t="shared" si="399"/>
        <v>0</v>
      </c>
      <c r="F1299" s="336">
        <v>0</v>
      </c>
      <c r="G1299" s="258">
        <f t="shared" si="400"/>
        <v>0</v>
      </c>
      <c r="H1299" s="249">
        <f t="shared" si="401"/>
        <v>6.3787258505177205E-2</v>
      </c>
      <c r="I1299" s="336">
        <v>3.0312550414780979E-3</v>
      </c>
      <c r="J1299" s="258">
        <f t="shared" si="402"/>
        <v>3.0312550414780979E-3</v>
      </c>
      <c r="K1299" s="249">
        <f t="shared" si="403"/>
        <v>20.869273196036964</v>
      </c>
      <c r="L1299" s="336">
        <v>0.99173551379914482</v>
      </c>
      <c r="M1299" s="258">
        <f t="shared" si="404"/>
        <v>0.99173551379914482</v>
      </c>
      <c r="N1299" s="251">
        <f t="shared" si="405"/>
        <v>0.11006428918540377</v>
      </c>
      <c r="O1299" s="336">
        <v>5.2304008558837758E-3</v>
      </c>
      <c r="P1299" s="258">
        <f t="shared" si="406"/>
        <v>5.2304008558837758E-3</v>
      </c>
      <c r="Q1299" s="354">
        <v>20.541802325581397</v>
      </c>
      <c r="R1299" s="249">
        <f t="shared" si="407"/>
        <v>21.043184302325585</v>
      </c>
      <c r="S1299" s="355">
        <v>0.1</v>
      </c>
      <c r="T1299" s="355"/>
      <c r="U1299" s="315">
        <f t="shared" si="396"/>
        <v>23.147502732558145</v>
      </c>
      <c r="V1299" s="315">
        <f t="shared" si="397"/>
        <v>24</v>
      </c>
      <c r="W1299" s="316">
        <f t="shared" si="398"/>
        <v>0</v>
      </c>
    </row>
    <row r="1300" spans="1:23" x14ac:dyDescent="0.25">
      <c r="A1300" s="204" t="s">
        <v>16953</v>
      </c>
      <c r="B1300" s="351" t="s">
        <v>21016</v>
      </c>
      <c r="C1300" s="352"/>
      <c r="D1300" s="353" t="s">
        <v>14859</v>
      </c>
      <c r="E1300" s="249">
        <f t="shared" si="399"/>
        <v>0</v>
      </c>
      <c r="F1300" s="336">
        <v>0</v>
      </c>
      <c r="G1300" s="258">
        <f t="shared" si="400"/>
        <v>0</v>
      </c>
      <c r="H1300" s="249">
        <f t="shared" si="401"/>
        <v>10.971463765014752</v>
      </c>
      <c r="I1300" s="336">
        <v>2.9543319858158965E-3</v>
      </c>
      <c r="J1300" s="258">
        <f t="shared" si="402"/>
        <v>2.9543319858158965E-3</v>
      </c>
      <c r="K1300" s="249">
        <f t="shared" si="403"/>
        <v>3683.784205571822</v>
      </c>
      <c r="L1300" s="336">
        <v>0.99194799713669779</v>
      </c>
      <c r="M1300" s="258">
        <f t="shared" si="404"/>
        <v>0.99194799713669779</v>
      </c>
      <c r="N1300" s="251">
        <f t="shared" si="405"/>
        <v>18.931153163162708</v>
      </c>
      <c r="O1300" s="336">
        <v>5.0976708774862524E-3</v>
      </c>
      <c r="P1300" s="258">
        <f t="shared" si="406"/>
        <v>5.0976708774862524E-3</v>
      </c>
      <c r="Q1300" s="354">
        <v>3625.1849999999999</v>
      </c>
      <c r="R1300" s="249">
        <f t="shared" si="407"/>
        <v>3713.6868224999998</v>
      </c>
      <c r="S1300" s="355">
        <v>0.1</v>
      </c>
      <c r="T1300" s="355"/>
      <c r="U1300" s="315">
        <f t="shared" si="396"/>
        <v>4085.0555047499997</v>
      </c>
      <c r="V1300" s="315">
        <f t="shared" si="397"/>
        <v>4100</v>
      </c>
      <c r="W1300" s="316">
        <f t="shared" si="398"/>
        <v>0</v>
      </c>
    </row>
    <row r="1301" spans="1:23" x14ac:dyDescent="0.25">
      <c r="A1301" s="204" t="s">
        <v>16954</v>
      </c>
      <c r="B1301" s="351" t="s">
        <v>21017</v>
      </c>
      <c r="C1301" s="352"/>
      <c r="D1301" s="353" t="s">
        <v>5</v>
      </c>
      <c r="E1301" s="249">
        <f t="shared" si="399"/>
        <v>0</v>
      </c>
      <c r="F1301" s="336">
        <v>0</v>
      </c>
      <c r="G1301" s="258">
        <f t="shared" si="400"/>
        <v>0</v>
      </c>
      <c r="H1301" s="249">
        <f t="shared" si="401"/>
        <v>6.3787404057462541E-2</v>
      </c>
      <c r="I1301" s="336">
        <v>2.9543319858158965E-3</v>
      </c>
      <c r="J1301" s="258">
        <f t="shared" si="402"/>
        <v>2.9543319858158965E-3</v>
      </c>
      <c r="K1301" s="249">
        <f t="shared" si="403"/>
        <v>21.417231389316004</v>
      </c>
      <c r="L1301" s="336">
        <v>0.99194523865678585</v>
      </c>
      <c r="M1301" s="258">
        <f t="shared" si="404"/>
        <v>0.99194523865678585</v>
      </c>
      <c r="N1301" s="251">
        <f t="shared" si="405"/>
        <v>0.11006454033444515</v>
      </c>
      <c r="O1301" s="336">
        <v>5.0976708774862524E-3</v>
      </c>
      <c r="P1301" s="258">
        <f t="shared" si="406"/>
        <v>5.0976708774862524E-3</v>
      </c>
      <c r="Q1301" s="354">
        <v>21.076656976744186</v>
      </c>
      <c r="R1301" s="249">
        <f t="shared" si="407"/>
        <v>21.591142892441859</v>
      </c>
      <c r="S1301" s="355">
        <v>0.1</v>
      </c>
      <c r="T1301" s="355"/>
      <c r="U1301" s="315">
        <f t="shared" si="396"/>
        <v>23.750257181686045</v>
      </c>
      <c r="V1301" s="315">
        <f t="shared" si="397"/>
        <v>24</v>
      </c>
      <c r="W1301" s="316">
        <f t="shared" si="398"/>
        <v>0</v>
      </c>
    </row>
    <row r="1302" spans="1:23" x14ac:dyDescent="0.25">
      <c r="A1302" s="204" t="s">
        <v>16955</v>
      </c>
      <c r="B1302" s="351" t="s">
        <v>21018</v>
      </c>
      <c r="C1302" s="352"/>
      <c r="D1302" s="353" t="s">
        <v>14859</v>
      </c>
      <c r="E1302" s="249">
        <f t="shared" si="399"/>
        <v>0</v>
      </c>
      <c r="F1302" s="336">
        <v>0</v>
      </c>
      <c r="G1302" s="258">
        <f t="shared" si="400"/>
        <v>0</v>
      </c>
      <c r="H1302" s="249">
        <f t="shared" si="401"/>
        <v>10.971545399809742</v>
      </c>
      <c r="I1302" s="336">
        <v>2.6953465634331321E-3</v>
      </c>
      <c r="J1302" s="258">
        <f t="shared" si="402"/>
        <v>2.6953465634331321E-3</v>
      </c>
      <c r="K1302" s="249">
        <f t="shared" si="403"/>
        <v>4040.6480680769891</v>
      </c>
      <c r="L1302" s="336">
        <v>0.99265385936632933</v>
      </c>
      <c r="M1302" s="258">
        <f t="shared" si="404"/>
        <v>0.99265385936632933</v>
      </c>
      <c r="N1302" s="251">
        <f t="shared" si="405"/>
        <v>18.931294023201119</v>
      </c>
      <c r="O1302" s="336">
        <v>4.6507940702375603E-3</v>
      </c>
      <c r="P1302" s="258">
        <f t="shared" si="406"/>
        <v>4.6507940702375603E-3</v>
      </c>
      <c r="Q1302" s="354">
        <v>3973.5149999999999</v>
      </c>
      <c r="R1302" s="249">
        <f t="shared" si="407"/>
        <v>4070.5509075</v>
      </c>
      <c r="S1302" s="355">
        <v>0.1</v>
      </c>
      <c r="T1302" s="355"/>
      <c r="U1302" s="315">
        <f t="shared" si="396"/>
        <v>4477.6059982500001</v>
      </c>
      <c r="V1302" s="315">
        <f t="shared" si="397"/>
        <v>4500</v>
      </c>
      <c r="W1302" s="316">
        <f t="shared" si="398"/>
        <v>0</v>
      </c>
    </row>
    <row r="1303" spans="1:23" x14ac:dyDescent="0.25">
      <c r="A1303" s="204" t="s">
        <v>16956</v>
      </c>
      <c r="B1303" s="351" t="s">
        <v>21019</v>
      </c>
      <c r="C1303" s="352"/>
      <c r="D1303" s="353" t="s">
        <v>5</v>
      </c>
      <c r="E1303" s="249">
        <f t="shared" si="399"/>
        <v>0</v>
      </c>
      <c r="F1303" s="336">
        <v>0</v>
      </c>
      <c r="G1303" s="258">
        <f t="shared" si="400"/>
        <v>0</v>
      </c>
      <c r="H1303" s="249">
        <f t="shared" si="401"/>
        <v>6.3787894104559303E-2</v>
      </c>
      <c r="I1303" s="336">
        <v>2.6953465634331321E-3</v>
      </c>
      <c r="J1303" s="258">
        <f t="shared" si="402"/>
        <v>2.6953465634331321E-3</v>
      </c>
      <c r="K1303" s="249">
        <f t="shared" si="403"/>
        <v>23.492021245100357</v>
      </c>
      <c r="L1303" s="336">
        <v>0.99265134270287159</v>
      </c>
      <c r="M1303" s="258">
        <f t="shared" si="404"/>
        <v>0.99265134270287159</v>
      </c>
      <c r="N1303" s="251">
        <f t="shared" si="405"/>
        <v>0.11006538590590624</v>
      </c>
      <c r="O1303" s="336">
        <v>4.6507940702375612E-3</v>
      </c>
      <c r="P1303" s="258">
        <f t="shared" si="406"/>
        <v>4.6507940702375612E-3</v>
      </c>
      <c r="Q1303" s="354">
        <v>23.101831395348835</v>
      </c>
      <c r="R1303" s="249">
        <f t="shared" si="407"/>
        <v>23.665934084302325</v>
      </c>
      <c r="S1303" s="355">
        <v>0.1</v>
      </c>
      <c r="T1303" s="355"/>
      <c r="U1303" s="315">
        <f t="shared" si="396"/>
        <v>26.032527492732559</v>
      </c>
      <c r="V1303" s="315">
        <f t="shared" si="397"/>
        <v>27</v>
      </c>
      <c r="W1303" s="316">
        <f t="shared" si="398"/>
        <v>0</v>
      </c>
    </row>
    <row r="1304" spans="1:23" x14ac:dyDescent="0.25">
      <c r="A1304" s="204" t="s">
        <v>16957</v>
      </c>
      <c r="B1304" s="351" t="s">
        <v>21020</v>
      </c>
      <c r="C1304" s="352"/>
      <c r="D1304" s="353" t="s">
        <v>14859</v>
      </c>
      <c r="E1304" s="249">
        <f t="shared" si="399"/>
        <v>0</v>
      </c>
      <c r="F1304" s="336">
        <v>0</v>
      </c>
      <c r="G1304" s="258">
        <f t="shared" si="400"/>
        <v>0</v>
      </c>
      <c r="H1304" s="249">
        <f t="shared" si="401"/>
        <v>10.971549758419181</v>
      </c>
      <c r="I1304" s="336">
        <v>2.6815189264910787E-3</v>
      </c>
      <c r="J1304" s="258">
        <f t="shared" si="402"/>
        <v>2.6815189264910787E-3</v>
      </c>
      <c r="K1304" s="249">
        <f t="shared" si="403"/>
        <v>4061.6400611976419</v>
      </c>
      <c r="L1304" s="336">
        <v>0.99269154645524982</v>
      </c>
      <c r="M1304" s="258">
        <f t="shared" si="404"/>
        <v>0.99269154645524982</v>
      </c>
      <c r="N1304" s="251">
        <f t="shared" si="405"/>
        <v>18.931301543938979</v>
      </c>
      <c r="O1304" s="336">
        <v>4.6269346182591159E-3</v>
      </c>
      <c r="P1304" s="258">
        <f t="shared" si="406"/>
        <v>4.6269346182591159E-3</v>
      </c>
      <c r="Q1304" s="354">
        <v>3994.0050000000001</v>
      </c>
      <c r="R1304" s="249">
        <f t="shared" si="407"/>
        <v>4091.5429125000001</v>
      </c>
      <c r="S1304" s="355">
        <v>0.1</v>
      </c>
      <c r="T1304" s="355"/>
      <c r="U1304" s="315">
        <f t="shared" si="396"/>
        <v>4500.69720375</v>
      </c>
      <c r="V1304" s="315">
        <f t="shared" si="397"/>
        <v>4525</v>
      </c>
      <c r="W1304" s="316">
        <f t="shared" si="398"/>
        <v>0</v>
      </c>
    </row>
    <row r="1305" spans="1:23" x14ac:dyDescent="0.25">
      <c r="A1305" s="204" t="s">
        <v>16958</v>
      </c>
      <c r="B1305" s="351" t="s">
        <v>21021</v>
      </c>
      <c r="C1305" s="352"/>
      <c r="D1305" s="353" t="s">
        <v>5</v>
      </c>
      <c r="E1305" s="249">
        <f t="shared" si="399"/>
        <v>0</v>
      </c>
      <c r="F1305" s="336">
        <v>0</v>
      </c>
      <c r="G1305" s="258">
        <f t="shared" si="400"/>
        <v>0</v>
      </c>
      <c r="H1305" s="249">
        <f t="shared" si="401"/>
        <v>6.3787920268940576E-2</v>
      </c>
      <c r="I1305" s="336">
        <v>2.6815189264910787E-3</v>
      </c>
      <c r="J1305" s="258">
        <f t="shared" si="402"/>
        <v>2.6815189264910787E-3</v>
      </c>
      <c r="K1305" s="249">
        <f t="shared" si="403"/>
        <v>23.614067714462831</v>
      </c>
      <c r="L1305" s="336">
        <v>0.99268904270275071</v>
      </c>
      <c r="M1305" s="258">
        <f t="shared" si="404"/>
        <v>0.99268904270275071</v>
      </c>
      <c r="N1305" s="251">
        <f t="shared" si="405"/>
        <v>0.11006543105228962</v>
      </c>
      <c r="O1305" s="336">
        <v>4.6269346182591159E-3</v>
      </c>
      <c r="P1305" s="258">
        <f t="shared" si="406"/>
        <v>4.6269346182591159E-3</v>
      </c>
      <c r="Q1305" s="354">
        <v>23.220959302325582</v>
      </c>
      <c r="R1305" s="249">
        <f t="shared" si="407"/>
        <v>23.787980624999999</v>
      </c>
      <c r="S1305" s="355">
        <v>0.1</v>
      </c>
      <c r="T1305" s="355"/>
      <c r="U1305" s="315">
        <f t="shared" si="396"/>
        <v>26.166778687499999</v>
      </c>
      <c r="V1305" s="315">
        <f t="shared" si="397"/>
        <v>27</v>
      </c>
      <c r="W1305" s="316">
        <f t="shared" si="398"/>
        <v>0</v>
      </c>
    </row>
    <row r="1306" spans="1:23" x14ac:dyDescent="0.25">
      <c r="A1306" s="204" t="s">
        <v>16959</v>
      </c>
      <c r="B1306" s="351" t="s">
        <v>21022</v>
      </c>
      <c r="C1306" s="352"/>
      <c r="D1306" s="353" t="s">
        <v>14859</v>
      </c>
      <c r="E1306" s="249">
        <f t="shared" si="399"/>
        <v>0</v>
      </c>
      <c r="F1306" s="336">
        <v>0</v>
      </c>
      <c r="G1306" s="258">
        <f t="shared" si="400"/>
        <v>0</v>
      </c>
      <c r="H1306" s="249">
        <f t="shared" si="401"/>
        <v>10.971865272202864</v>
      </c>
      <c r="I1306" s="336">
        <v>1.6805551763453153E-3</v>
      </c>
      <c r="J1306" s="258">
        <f t="shared" si="402"/>
        <v>1.6805551763453153E-3</v>
      </c>
      <c r="K1306" s="249">
        <f t="shared" si="403"/>
        <v>6498.8109817679169</v>
      </c>
      <c r="L1306" s="336">
        <v>0.99541966334290199</v>
      </c>
      <c r="M1306" s="258">
        <f t="shared" si="404"/>
        <v>0.99541966334290199</v>
      </c>
      <c r="N1306" s="251">
        <f t="shared" si="405"/>
        <v>18.931845959879453</v>
      </c>
      <c r="O1306" s="336">
        <v>2.8997814807527008E-3</v>
      </c>
      <c r="P1306" s="258">
        <f t="shared" si="406"/>
        <v>2.8997814807527008E-3</v>
      </c>
      <c r="Q1306" s="354">
        <v>6372.8939999999993</v>
      </c>
      <c r="R1306" s="249">
        <f t="shared" si="407"/>
        <v>6528.714692999999</v>
      </c>
      <c r="S1306" s="355">
        <v>0.1</v>
      </c>
      <c r="T1306" s="355"/>
      <c r="U1306" s="315">
        <f t="shared" si="396"/>
        <v>7181.5861622999992</v>
      </c>
      <c r="V1306" s="315">
        <f t="shared" si="397"/>
        <v>7200</v>
      </c>
      <c r="W1306" s="316">
        <f t="shared" si="398"/>
        <v>0</v>
      </c>
    </row>
    <row r="1307" spans="1:23" x14ac:dyDescent="0.25">
      <c r="A1307" s="204" t="s">
        <v>16960</v>
      </c>
      <c r="B1307" s="351" t="s">
        <v>21023</v>
      </c>
      <c r="C1307" s="352"/>
      <c r="D1307" s="353" t="s">
        <v>5</v>
      </c>
      <c r="E1307" s="249">
        <f t="shared" si="399"/>
        <v>0</v>
      </c>
      <c r="F1307" s="336">
        <v>0</v>
      </c>
      <c r="G1307" s="258">
        <f t="shared" si="400"/>
        <v>0</v>
      </c>
      <c r="H1307" s="249">
        <f t="shared" si="401"/>
        <v>6.3789814272762119E-2</v>
      </c>
      <c r="I1307" s="336">
        <v>1.6805551763453153E-3</v>
      </c>
      <c r="J1307" s="258">
        <f t="shared" si="402"/>
        <v>1.6805551763453153E-3</v>
      </c>
      <c r="K1307" s="249">
        <f t="shared" si="403"/>
        <v>37.78366592560554</v>
      </c>
      <c r="L1307" s="336">
        <v>0.99541809419707905</v>
      </c>
      <c r="M1307" s="258">
        <f t="shared" si="404"/>
        <v>0.99541809419707905</v>
      </c>
      <c r="N1307" s="251">
        <f t="shared" si="405"/>
        <v>0.11006869913731501</v>
      </c>
      <c r="O1307" s="336">
        <v>2.8997814807527008E-3</v>
      </c>
      <c r="P1307" s="258">
        <f t="shared" si="406"/>
        <v>2.8997814807527008E-3</v>
      </c>
      <c r="Q1307" s="354">
        <v>37.051709302325577</v>
      </c>
      <c r="R1307" s="249">
        <f t="shared" si="407"/>
        <v>37.957583999999997</v>
      </c>
      <c r="S1307" s="355">
        <v>0.1</v>
      </c>
      <c r="T1307" s="355"/>
      <c r="U1307" s="315">
        <f t="shared" si="396"/>
        <v>41.753342399999994</v>
      </c>
      <c r="V1307" s="315">
        <f t="shared" si="397"/>
        <v>42</v>
      </c>
      <c r="W1307" s="316">
        <f t="shared" si="398"/>
        <v>0</v>
      </c>
    </row>
    <row r="1308" spans="1:23" x14ac:dyDescent="0.25">
      <c r="A1308" s="204" t="s">
        <v>16961</v>
      </c>
      <c r="B1308" s="351" t="s">
        <v>21024</v>
      </c>
      <c r="C1308" s="352"/>
      <c r="D1308" s="353" t="s">
        <v>14859</v>
      </c>
      <c r="E1308" s="249">
        <f t="shared" si="399"/>
        <v>0</v>
      </c>
      <c r="F1308" s="336">
        <v>0</v>
      </c>
      <c r="G1308" s="258">
        <f t="shared" si="400"/>
        <v>0</v>
      </c>
      <c r="H1308" s="249">
        <f t="shared" si="401"/>
        <v>10.971895842191335</v>
      </c>
      <c r="I1308" s="336">
        <v>1.5835722491901014E-3</v>
      </c>
      <c r="J1308" s="258">
        <f t="shared" si="402"/>
        <v>1.5835722491901014E-3</v>
      </c>
      <c r="K1308" s="249">
        <f t="shared" si="403"/>
        <v>6898.6691504497139</v>
      </c>
      <c r="L1308" s="336">
        <v>0.99568398936005054</v>
      </c>
      <c r="M1308" s="258">
        <f t="shared" si="404"/>
        <v>0.99568398936005054</v>
      </c>
      <c r="N1308" s="251">
        <f t="shared" si="405"/>
        <v>18.931898708094849</v>
      </c>
      <c r="O1308" s="336">
        <v>2.7324383907593904E-3</v>
      </c>
      <c r="P1308" s="258">
        <f t="shared" si="406"/>
        <v>2.7324383907593904E-3</v>
      </c>
      <c r="Q1308" s="354">
        <v>6763.19</v>
      </c>
      <c r="R1308" s="249">
        <f t="shared" si="407"/>
        <v>6928.5729449999999</v>
      </c>
      <c r="S1308" s="355">
        <v>0.1</v>
      </c>
      <c r="T1308" s="355"/>
      <c r="U1308" s="315">
        <f t="shared" si="396"/>
        <v>7621.4302394999995</v>
      </c>
      <c r="V1308" s="315">
        <f t="shared" si="397"/>
        <v>7625</v>
      </c>
      <c r="W1308" s="316">
        <f t="shared" si="398"/>
        <v>0</v>
      </c>
    </row>
    <row r="1309" spans="1:23" x14ac:dyDescent="0.25">
      <c r="A1309" s="204" t="s">
        <v>16962</v>
      </c>
      <c r="B1309" s="351" t="s">
        <v>21025</v>
      </c>
      <c r="C1309" s="352"/>
      <c r="D1309" s="353" t="s">
        <v>5</v>
      </c>
      <c r="E1309" s="249">
        <f t="shared" si="399"/>
        <v>0</v>
      </c>
      <c r="F1309" s="336">
        <v>0</v>
      </c>
      <c r="G1309" s="258">
        <f t="shared" si="400"/>
        <v>0</v>
      </c>
      <c r="H1309" s="249">
        <f t="shared" si="401"/>
        <v>6.3789997781939764E-2</v>
      </c>
      <c r="I1309" s="336">
        <v>1.5835722491901014E-3</v>
      </c>
      <c r="J1309" s="258">
        <f t="shared" si="402"/>
        <v>1.5835722491901014E-3</v>
      </c>
      <c r="K1309" s="249">
        <f t="shared" si="403"/>
        <v>40.108422704351497</v>
      </c>
      <c r="L1309" s="336">
        <v>0.99568251076784775</v>
      </c>
      <c r="M1309" s="258">
        <f t="shared" si="404"/>
        <v>0.99568251076784775</v>
      </c>
      <c r="N1309" s="251">
        <f t="shared" si="405"/>
        <v>0.11006901578060194</v>
      </c>
      <c r="O1309" s="336">
        <v>2.7324383907593904E-3</v>
      </c>
      <c r="P1309" s="258">
        <f t="shared" si="406"/>
        <v>2.7324383907593904E-3</v>
      </c>
      <c r="Q1309" s="354">
        <v>39.320872093023254</v>
      </c>
      <c r="R1309" s="249">
        <f t="shared" si="407"/>
        <v>40.282341279069762</v>
      </c>
      <c r="S1309" s="355">
        <v>0.1</v>
      </c>
      <c r="T1309" s="355"/>
      <c r="U1309" s="315">
        <f t="shared" si="396"/>
        <v>44.310575406976739</v>
      </c>
      <c r="V1309" s="315">
        <f t="shared" si="397"/>
        <v>45</v>
      </c>
      <c r="W1309" s="316">
        <f t="shared" si="398"/>
        <v>0</v>
      </c>
    </row>
    <row r="1310" spans="1:23" x14ac:dyDescent="0.25">
      <c r="A1310" s="204" t="s">
        <v>16963</v>
      </c>
      <c r="B1310" s="351" t="s">
        <v>21026</v>
      </c>
      <c r="C1310" s="352"/>
      <c r="D1310" s="353" t="s">
        <v>14859</v>
      </c>
      <c r="E1310" s="249">
        <f t="shared" si="399"/>
        <v>0</v>
      </c>
      <c r="F1310" s="336">
        <v>0</v>
      </c>
      <c r="G1310" s="258">
        <f t="shared" si="400"/>
        <v>0</v>
      </c>
      <c r="H1310" s="249">
        <f t="shared" si="401"/>
        <v>10.972011426971807</v>
      </c>
      <c r="I1310" s="336">
        <v>1.216880899060241E-3</v>
      </c>
      <c r="J1310" s="258">
        <f t="shared" si="402"/>
        <v>1.216880899060241E-3</v>
      </c>
      <c r="K1310" s="249">
        <f t="shared" si="403"/>
        <v>8986.5998354245276</v>
      </c>
      <c r="L1310" s="336">
        <v>0.9966834030398164</v>
      </c>
      <c r="M1310" s="258">
        <f t="shared" si="404"/>
        <v>0.9966834030398164</v>
      </c>
      <c r="N1310" s="251">
        <f t="shared" si="405"/>
        <v>18.932098148500373</v>
      </c>
      <c r="O1310" s="336">
        <v>2.099716061123553E-3</v>
      </c>
      <c r="P1310" s="258">
        <f t="shared" si="406"/>
        <v>2.099716061123553E-3</v>
      </c>
      <c r="Q1310" s="354">
        <v>8801.1899999999987</v>
      </c>
      <c r="R1310" s="249">
        <f t="shared" si="407"/>
        <v>9016.5039449999986</v>
      </c>
      <c r="S1310" s="355">
        <v>0.1</v>
      </c>
      <c r="T1310" s="355"/>
      <c r="U1310" s="315">
        <f t="shared" si="396"/>
        <v>9918.154339499999</v>
      </c>
      <c r="V1310" s="315">
        <f t="shared" si="397"/>
        <v>9925</v>
      </c>
      <c r="W1310" s="316">
        <f t="shared" si="398"/>
        <v>0</v>
      </c>
    </row>
    <row r="1311" spans="1:23" x14ac:dyDescent="0.25">
      <c r="A1311" s="204" t="s">
        <v>16964</v>
      </c>
      <c r="B1311" s="351" t="s">
        <v>21027</v>
      </c>
      <c r="C1311" s="352"/>
      <c r="D1311" s="353" t="s">
        <v>5</v>
      </c>
      <c r="E1311" s="249">
        <f t="shared" si="399"/>
        <v>0</v>
      </c>
      <c r="F1311" s="336">
        <v>0</v>
      </c>
      <c r="G1311" s="258">
        <f t="shared" si="400"/>
        <v>0</v>
      </c>
      <c r="H1311" s="249">
        <f t="shared" si="401"/>
        <v>6.3790691628063945E-2</v>
      </c>
      <c r="I1311" s="336">
        <v>1.216880899060241E-3</v>
      </c>
      <c r="J1311" s="258">
        <f t="shared" si="402"/>
        <v>1.216880899060241E-3</v>
      </c>
      <c r="K1311" s="249">
        <f t="shared" si="403"/>
        <v>52.247554533563076</v>
      </c>
      <c r="L1311" s="336">
        <v>0.99668226682982652</v>
      </c>
      <c r="M1311" s="258">
        <f t="shared" si="404"/>
        <v>0.99668226682982652</v>
      </c>
      <c r="N1311" s="251">
        <f t="shared" si="405"/>
        <v>0.1100702130052868</v>
      </c>
      <c r="O1311" s="336">
        <v>2.099716061123553E-3</v>
      </c>
      <c r="P1311" s="258">
        <f t="shared" si="406"/>
        <v>2.099716061123553E-3</v>
      </c>
      <c r="Q1311" s="354">
        <v>51.169709302325572</v>
      </c>
      <c r="R1311" s="249">
        <f t="shared" si="407"/>
        <v>52.421474999999994</v>
      </c>
      <c r="S1311" s="355">
        <v>0.1</v>
      </c>
      <c r="T1311" s="355"/>
      <c r="U1311" s="315">
        <f t="shared" si="396"/>
        <v>57.663622499999995</v>
      </c>
      <c r="V1311" s="315">
        <f t="shared" si="397"/>
        <v>58</v>
      </c>
      <c r="W1311" s="316">
        <f t="shared" si="398"/>
        <v>0</v>
      </c>
    </row>
    <row r="1312" spans="1:23" x14ac:dyDescent="0.25">
      <c r="A1312" s="203" t="s">
        <v>16965</v>
      </c>
      <c r="B1312" s="345" t="s">
        <v>16966</v>
      </c>
      <c r="C1312" s="346"/>
      <c r="D1312" s="347"/>
      <c r="E1312" s="347"/>
      <c r="F1312" s="347"/>
      <c r="G1312" s="347"/>
      <c r="H1312" s="347"/>
      <c r="I1312" s="347"/>
      <c r="J1312" s="347"/>
      <c r="K1312" s="347"/>
      <c r="L1312" s="347"/>
      <c r="M1312" s="347"/>
      <c r="N1312" s="347"/>
      <c r="O1312" s="347"/>
      <c r="P1312" s="347"/>
      <c r="Q1312" s="347"/>
      <c r="R1312" s="347"/>
      <c r="S1312" s="347"/>
      <c r="T1312" s="348"/>
      <c r="U1312" s="349"/>
      <c r="V1312" s="349"/>
      <c r="W1312" s="350"/>
    </row>
    <row r="1313" spans="1:23" x14ac:dyDescent="0.25">
      <c r="A1313" s="204" t="s">
        <v>16967</v>
      </c>
      <c r="B1313" s="351" t="s">
        <v>21028</v>
      </c>
      <c r="C1313" s="352"/>
      <c r="D1313" s="353" t="s">
        <v>5</v>
      </c>
      <c r="E1313" s="249">
        <f t="shared" si="399"/>
        <v>0</v>
      </c>
      <c r="F1313" s="336">
        <v>0</v>
      </c>
      <c r="G1313" s="258">
        <f t="shared" si="400"/>
        <v>0</v>
      </c>
      <c r="H1313" s="249">
        <f t="shared" si="401"/>
        <v>6.3601862165667877E-2</v>
      </c>
      <c r="I1313" s="336">
        <v>0.1010115300275872</v>
      </c>
      <c r="J1313" s="258">
        <f t="shared" si="402"/>
        <v>0.1010115300275872</v>
      </c>
      <c r="K1313" s="249">
        <f t="shared" si="403"/>
        <v>0.45624389033920149</v>
      </c>
      <c r="L1313" s="336">
        <v>0.72459975006484167</v>
      </c>
      <c r="M1313" s="258">
        <f t="shared" si="404"/>
        <v>0.72459975006484167</v>
      </c>
      <c r="N1313" s="251">
        <f t="shared" si="405"/>
        <v>0.1097443896191916</v>
      </c>
      <c r="O1313" s="336">
        <v>0.17429440475348376</v>
      </c>
      <c r="P1313" s="258">
        <f t="shared" si="406"/>
        <v>0.17429440475348376</v>
      </c>
      <c r="Q1313" s="354">
        <v>0.61643895348837208</v>
      </c>
      <c r="R1313" s="249">
        <f t="shared" si="407"/>
        <v>0.62964952761627913</v>
      </c>
      <c r="S1313" s="355">
        <v>0.1</v>
      </c>
      <c r="T1313" s="355"/>
      <c r="U1313" s="315">
        <f t="shared" si="396"/>
        <v>0.69261448037790707</v>
      </c>
      <c r="V1313" s="315">
        <f t="shared" si="397"/>
        <v>1</v>
      </c>
      <c r="W1313" s="316">
        <f t="shared" si="398"/>
        <v>0</v>
      </c>
    </row>
    <row r="1314" spans="1:23" x14ac:dyDescent="0.25">
      <c r="A1314" s="204" t="s">
        <v>16968</v>
      </c>
      <c r="B1314" s="351" t="s">
        <v>21029</v>
      </c>
      <c r="C1314" s="352"/>
      <c r="D1314" s="353" t="s">
        <v>14859</v>
      </c>
      <c r="E1314" s="249">
        <f t="shared" si="399"/>
        <v>0</v>
      </c>
      <c r="F1314" s="336">
        <v>0</v>
      </c>
      <c r="G1314" s="258">
        <f t="shared" si="400"/>
        <v>0</v>
      </c>
      <c r="H1314" s="249">
        <f t="shared" si="401"/>
        <v>10.940555155620004</v>
      </c>
      <c r="I1314" s="336">
        <v>0.10101153002758718</v>
      </c>
      <c r="J1314" s="258">
        <f t="shared" si="402"/>
        <v>0.10101153002758718</v>
      </c>
      <c r="K1314" s="249">
        <f t="shared" si="403"/>
        <v>78.491587933702334</v>
      </c>
      <c r="L1314" s="336">
        <v>0.72469406521892898</v>
      </c>
      <c r="M1314" s="258">
        <f t="shared" si="404"/>
        <v>0.72469406521892898</v>
      </c>
      <c r="N1314" s="251">
        <f t="shared" si="405"/>
        <v>18.877820660677653</v>
      </c>
      <c r="O1314" s="336">
        <v>0.17429440475348376</v>
      </c>
      <c r="P1314" s="258">
        <f t="shared" si="406"/>
        <v>0.17429440475348376</v>
      </c>
      <c r="Q1314" s="354">
        <v>106.0275</v>
      </c>
      <c r="R1314" s="249">
        <f t="shared" si="407"/>
        <v>108.30996374999999</v>
      </c>
      <c r="S1314" s="355">
        <v>0.1</v>
      </c>
      <c r="T1314" s="355"/>
      <c r="U1314" s="315">
        <f t="shared" si="396"/>
        <v>119.14096012499999</v>
      </c>
      <c r="V1314" s="315">
        <f t="shared" si="397"/>
        <v>120</v>
      </c>
      <c r="W1314" s="316">
        <f t="shared" si="398"/>
        <v>0</v>
      </c>
    </row>
    <row r="1315" spans="1:23" x14ac:dyDescent="0.25">
      <c r="A1315" s="204" t="s">
        <v>16969</v>
      </c>
      <c r="B1315" s="351" t="s">
        <v>21030</v>
      </c>
      <c r="C1315" s="352"/>
      <c r="D1315" s="353" t="s">
        <v>5</v>
      </c>
      <c r="E1315" s="249">
        <f t="shared" si="399"/>
        <v>0</v>
      </c>
      <c r="F1315" s="336">
        <v>0</v>
      </c>
      <c r="G1315" s="258">
        <f t="shared" si="400"/>
        <v>0</v>
      </c>
      <c r="H1315" s="249">
        <f t="shared" si="401"/>
        <v>6.3605485798092651E-2</v>
      </c>
      <c r="I1315" s="336">
        <v>9.9096473331390267E-2</v>
      </c>
      <c r="J1315" s="258">
        <f t="shared" si="402"/>
        <v>9.9096473331390267E-2</v>
      </c>
      <c r="K1315" s="249">
        <f t="shared" si="403"/>
        <v>0.46843866485091085</v>
      </c>
      <c r="L1315" s="336">
        <v>0.72982100641675118</v>
      </c>
      <c r="M1315" s="258">
        <f t="shared" si="404"/>
        <v>0.72982100641675118</v>
      </c>
      <c r="N1315" s="251">
        <f t="shared" si="405"/>
        <v>0.10975064216141475</v>
      </c>
      <c r="O1315" s="336">
        <v>0.17098999319926161</v>
      </c>
      <c r="P1315" s="258">
        <f t="shared" si="406"/>
        <v>0.17098999319926161</v>
      </c>
      <c r="Q1315" s="354">
        <v>0.62835174418604656</v>
      </c>
      <c r="R1315" s="249">
        <f t="shared" si="407"/>
        <v>0.64185418168604669</v>
      </c>
      <c r="S1315" s="355">
        <v>0.1</v>
      </c>
      <c r="T1315" s="355"/>
      <c r="U1315" s="315">
        <f t="shared" si="396"/>
        <v>0.70603959985465137</v>
      </c>
      <c r="V1315" s="315">
        <f t="shared" si="397"/>
        <v>1</v>
      </c>
      <c r="W1315" s="316">
        <f t="shared" si="398"/>
        <v>0</v>
      </c>
    </row>
    <row r="1316" spans="1:23" x14ac:dyDescent="0.25">
      <c r="A1316" s="204" t="s">
        <v>16970</v>
      </c>
      <c r="B1316" s="351" t="s">
        <v>21031</v>
      </c>
      <c r="C1316" s="352"/>
      <c r="D1316" s="353" t="s">
        <v>14859</v>
      </c>
      <c r="E1316" s="249">
        <f t="shared" si="399"/>
        <v>0</v>
      </c>
      <c r="F1316" s="336">
        <v>0</v>
      </c>
      <c r="G1316" s="258">
        <f t="shared" si="400"/>
        <v>0</v>
      </c>
      <c r="H1316" s="249">
        <f t="shared" si="401"/>
        <v>10.941158800641212</v>
      </c>
      <c r="I1316" s="336">
        <v>9.9096473331390267E-2</v>
      </c>
      <c r="J1316" s="258">
        <f t="shared" si="402"/>
        <v>9.9096473331390267E-2</v>
      </c>
      <c r="K1316" s="249">
        <f t="shared" si="403"/>
        <v>80.589143205115121</v>
      </c>
      <c r="L1316" s="336">
        <v>0.72991353346934806</v>
      </c>
      <c r="M1316" s="258">
        <f t="shared" si="404"/>
        <v>0.72991353346934806</v>
      </c>
      <c r="N1316" s="251">
        <f t="shared" si="405"/>
        <v>18.878862244243656</v>
      </c>
      <c r="O1316" s="336">
        <v>0.17098999319926161</v>
      </c>
      <c r="P1316" s="258">
        <f t="shared" si="406"/>
        <v>0.17098999319926161</v>
      </c>
      <c r="Q1316" s="354">
        <v>108.07650000000001</v>
      </c>
      <c r="R1316" s="249">
        <f t="shared" si="407"/>
        <v>110.40916424999999</v>
      </c>
      <c r="S1316" s="355">
        <v>0.1</v>
      </c>
      <c r="T1316" s="355"/>
      <c r="U1316" s="315">
        <f t="shared" si="396"/>
        <v>121.45008067499998</v>
      </c>
      <c r="V1316" s="315">
        <f t="shared" si="397"/>
        <v>125</v>
      </c>
      <c r="W1316" s="316">
        <f t="shared" si="398"/>
        <v>0</v>
      </c>
    </row>
    <row r="1317" spans="1:23" x14ac:dyDescent="0.25">
      <c r="A1317" s="204" t="s">
        <v>16971</v>
      </c>
      <c r="B1317" s="351" t="s">
        <v>21032</v>
      </c>
      <c r="C1317" s="352"/>
      <c r="D1317" s="353" t="s">
        <v>5</v>
      </c>
      <c r="E1317" s="249">
        <f t="shared" si="399"/>
        <v>0</v>
      </c>
      <c r="F1317" s="336">
        <v>0</v>
      </c>
      <c r="G1317" s="258">
        <f t="shared" si="400"/>
        <v>0</v>
      </c>
      <c r="H1317" s="249">
        <f t="shared" si="401"/>
        <v>6.36260577365165E-2</v>
      </c>
      <c r="I1317" s="336">
        <v>8.8224391449400724E-2</v>
      </c>
      <c r="J1317" s="258">
        <f t="shared" si="402"/>
        <v>8.8224391449400724E-2</v>
      </c>
      <c r="K1317" s="249">
        <f t="shared" si="403"/>
        <v>0.54771282847975145</v>
      </c>
      <c r="L1317" s="336">
        <v>0.75946291033403357</v>
      </c>
      <c r="M1317" s="258">
        <f t="shared" si="404"/>
        <v>0.75946291033403357</v>
      </c>
      <c r="N1317" s="251">
        <f t="shared" si="405"/>
        <v>0.10978613883947942</v>
      </c>
      <c r="O1317" s="336">
        <v>0.15223032250092672</v>
      </c>
      <c r="P1317" s="258">
        <f t="shared" si="406"/>
        <v>0.15223032250092672</v>
      </c>
      <c r="Q1317" s="354">
        <v>0.70578488372093029</v>
      </c>
      <c r="R1317" s="249">
        <f t="shared" si="407"/>
        <v>0.72118443313953495</v>
      </c>
      <c r="S1317" s="355">
        <v>0.1</v>
      </c>
      <c r="T1317" s="355"/>
      <c r="U1317" s="315">
        <f t="shared" si="396"/>
        <v>0.7933028764534884</v>
      </c>
      <c r="V1317" s="315">
        <f t="shared" si="397"/>
        <v>1</v>
      </c>
      <c r="W1317" s="316">
        <f t="shared" si="398"/>
        <v>0</v>
      </c>
    </row>
    <row r="1318" spans="1:23" x14ac:dyDescent="0.25">
      <c r="A1318" s="204" t="s">
        <v>16972</v>
      </c>
      <c r="B1318" s="351" t="s">
        <v>21033</v>
      </c>
      <c r="C1318" s="352"/>
      <c r="D1318" s="353" t="s">
        <v>14859</v>
      </c>
      <c r="E1318" s="249">
        <f t="shared" si="399"/>
        <v>0</v>
      </c>
      <c r="F1318" s="336">
        <v>0</v>
      </c>
      <c r="G1318" s="258">
        <f t="shared" si="400"/>
        <v>0</v>
      </c>
      <c r="H1318" s="249">
        <f t="shared" si="401"/>
        <v>10.944585789571233</v>
      </c>
      <c r="I1318" s="336">
        <v>8.822439144940071E-2</v>
      </c>
      <c r="J1318" s="258">
        <f t="shared" si="402"/>
        <v>8.822439144940071E-2</v>
      </c>
      <c r="K1318" s="249">
        <f t="shared" si="403"/>
        <v>94.224606230384282</v>
      </c>
      <c r="L1318" s="336">
        <v>0.75954528604967253</v>
      </c>
      <c r="M1318" s="258">
        <f t="shared" si="404"/>
        <v>0.75954528604967253</v>
      </c>
      <c r="N1318" s="251">
        <f t="shared" si="405"/>
        <v>18.884775480044482</v>
      </c>
      <c r="O1318" s="336">
        <v>0.15223032250092672</v>
      </c>
      <c r="P1318" s="258">
        <f t="shared" si="406"/>
        <v>0.15223032250092672</v>
      </c>
      <c r="Q1318" s="354">
        <v>121.39500000000001</v>
      </c>
      <c r="R1318" s="249">
        <f t="shared" si="407"/>
        <v>124.0539675</v>
      </c>
      <c r="S1318" s="355">
        <v>0.1</v>
      </c>
      <c r="T1318" s="355"/>
      <c r="U1318" s="315">
        <f t="shared" ref="U1318:U1381" si="408">(R1318*S1318)+R1318</f>
        <v>136.45936424999999</v>
      </c>
      <c r="V1318" s="315">
        <f t="shared" ref="V1318:V1381" si="409">IF(U1318=0, 0, IF(U1318&lt;10, _xlfn.CEILING.MATH(U1318,1), IF(U1318&lt;100, _xlfn.CEILING.MATH(U1318,1),IF(U1318&lt;1000, _xlfn.CEILING.MATH(U1318,5), IF(U1318&lt;10000, _xlfn.CEILING.MATH(U1318, 25), IF(U1318&lt;100000, _xlfn.CEILING.MATH(U1318,250), IF(U1318&lt;1000000, _xlfn.CEILING.MATH(U1318,500), 0)))))))</f>
        <v>140</v>
      </c>
      <c r="W1318" s="316">
        <f t="shared" si="398"/>
        <v>0</v>
      </c>
    </row>
    <row r="1319" spans="1:23" x14ac:dyDescent="0.25">
      <c r="A1319" s="204" t="s">
        <v>16973</v>
      </c>
      <c r="B1319" s="351" t="s">
        <v>21034</v>
      </c>
      <c r="C1319" s="352"/>
      <c r="D1319" s="353" t="s">
        <v>5</v>
      </c>
      <c r="E1319" s="249">
        <f t="shared" si="399"/>
        <v>0</v>
      </c>
      <c r="F1319" s="336">
        <v>0</v>
      </c>
      <c r="G1319" s="258">
        <f t="shared" si="400"/>
        <v>0</v>
      </c>
      <c r="H1319" s="249">
        <f t="shared" si="401"/>
        <v>6.3630179897365441E-2</v>
      </c>
      <c r="I1319" s="336">
        <v>8.6045867026597098E-2</v>
      </c>
      <c r="J1319" s="258">
        <f t="shared" si="402"/>
        <v>8.6045867026597098E-2</v>
      </c>
      <c r="K1319" s="249">
        <f t="shared" si="403"/>
        <v>0.56600857082653211</v>
      </c>
      <c r="L1319" s="336">
        <v>0.76540249139340466</v>
      </c>
      <c r="M1319" s="258">
        <f t="shared" si="404"/>
        <v>0.76540249139340466</v>
      </c>
      <c r="N1319" s="251">
        <f t="shared" si="405"/>
        <v>0.10979325158761095</v>
      </c>
      <c r="O1319" s="336">
        <v>0.14847129996746164</v>
      </c>
      <c r="P1319" s="258">
        <f t="shared" si="406"/>
        <v>0.14847129996746164</v>
      </c>
      <c r="Q1319" s="354">
        <v>0.72365406976744184</v>
      </c>
      <c r="R1319" s="249">
        <f t="shared" si="407"/>
        <v>0.73949141424418585</v>
      </c>
      <c r="S1319" s="355">
        <v>0.1</v>
      </c>
      <c r="T1319" s="355"/>
      <c r="U1319" s="315">
        <f t="shared" si="408"/>
        <v>0.8134405556686044</v>
      </c>
      <c r="V1319" s="315">
        <f t="shared" si="409"/>
        <v>1</v>
      </c>
      <c r="W1319" s="316">
        <f t="shared" si="398"/>
        <v>0</v>
      </c>
    </row>
    <row r="1320" spans="1:23" x14ac:dyDescent="0.25">
      <c r="A1320" s="204" t="s">
        <v>16974</v>
      </c>
      <c r="B1320" s="351" t="s">
        <v>21035</v>
      </c>
      <c r="C1320" s="352"/>
      <c r="D1320" s="353" t="s">
        <v>14859</v>
      </c>
      <c r="E1320" s="249">
        <f t="shared" si="399"/>
        <v>0</v>
      </c>
      <c r="F1320" s="336">
        <v>0</v>
      </c>
      <c r="G1320" s="258">
        <f t="shared" si="400"/>
        <v>0</v>
      </c>
      <c r="H1320" s="249">
        <f t="shared" si="401"/>
        <v>10.945272482254547</v>
      </c>
      <c r="I1320" s="336">
        <v>8.6045867026597098E-2</v>
      </c>
      <c r="J1320" s="258">
        <f t="shared" si="402"/>
        <v>8.6045867026597098E-2</v>
      </c>
      <c r="K1320" s="249">
        <f t="shared" si="403"/>
        <v>97.371535406208181</v>
      </c>
      <c r="L1320" s="336">
        <v>0.76548283300594122</v>
      </c>
      <c r="M1320" s="258">
        <f t="shared" si="404"/>
        <v>0.76548283300594122</v>
      </c>
      <c r="N1320" s="251">
        <f t="shared" si="405"/>
        <v>18.885960361537254</v>
      </c>
      <c r="O1320" s="336">
        <v>0.14847129996746164</v>
      </c>
      <c r="P1320" s="258">
        <f t="shared" si="406"/>
        <v>0.14847129996746164</v>
      </c>
      <c r="Q1320" s="354">
        <v>124.46850000000001</v>
      </c>
      <c r="R1320" s="249">
        <f t="shared" si="407"/>
        <v>127.20276824999999</v>
      </c>
      <c r="S1320" s="355">
        <v>0.1</v>
      </c>
      <c r="T1320" s="355"/>
      <c r="U1320" s="315">
        <f t="shared" si="408"/>
        <v>139.923045075</v>
      </c>
      <c r="V1320" s="315">
        <f t="shared" si="409"/>
        <v>140</v>
      </c>
      <c r="W1320" s="316">
        <f t="shared" si="398"/>
        <v>0</v>
      </c>
    </row>
    <row r="1321" spans="1:23" x14ac:dyDescent="0.25">
      <c r="A1321" s="204" t="s">
        <v>16975</v>
      </c>
      <c r="B1321" s="351" t="s">
        <v>21036</v>
      </c>
      <c r="C1321" s="352"/>
      <c r="D1321" s="353" t="s">
        <v>5</v>
      </c>
      <c r="E1321" s="249">
        <f t="shared" si="399"/>
        <v>0</v>
      </c>
      <c r="F1321" s="336">
        <v>0</v>
      </c>
      <c r="G1321" s="258">
        <f t="shared" si="400"/>
        <v>0</v>
      </c>
      <c r="H1321" s="249">
        <f t="shared" si="401"/>
        <v>6.3630179897365441E-2</v>
      </c>
      <c r="I1321" s="336">
        <v>8.6045867026597098E-2</v>
      </c>
      <c r="J1321" s="258">
        <f t="shared" si="402"/>
        <v>8.6045867026597098E-2</v>
      </c>
      <c r="K1321" s="249">
        <f t="shared" si="403"/>
        <v>0.56600857082653211</v>
      </c>
      <c r="L1321" s="336">
        <v>0.76540249139340466</v>
      </c>
      <c r="M1321" s="258">
        <f t="shared" si="404"/>
        <v>0.76540249139340466</v>
      </c>
      <c r="N1321" s="251">
        <f t="shared" si="405"/>
        <v>0.10979325158761095</v>
      </c>
      <c r="O1321" s="336">
        <v>0.14847129996746164</v>
      </c>
      <c r="P1321" s="258">
        <f t="shared" si="406"/>
        <v>0.14847129996746164</v>
      </c>
      <c r="Q1321" s="354">
        <v>0.72365406976744184</v>
      </c>
      <c r="R1321" s="249">
        <f t="shared" si="407"/>
        <v>0.73949141424418585</v>
      </c>
      <c r="S1321" s="355">
        <v>0.1</v>
      </c>
      <c r="T1321" s="355"/>
      <c r="U1321" s="315">
        <f t="shared" si="408"/>
        <v>0.8134405556686044</v>
      </c>
      <c r="V1321" s="315">
        <f t="shared" si="409"/>
        <v>1</v>
      </c>
      <c r="W1321" s="316">
        <f t="shared" si="398"/>
        <v>0</v>
      </c>
    </row>
    <row r="1322" spans="1:23" x14ac:dyDescent="0.25">
      <c r="A1322" s="204" t="s">
        <v>16976</v>
      </c>
      <c r="B1322" s="351" t="s">
        <v>21037</v>
      </c>
      <c r="C1322" s="352"/>
      <c r="D1322" s="353" t="s">
        <v>14859</v>
      </c>
      <c r="E1322" s="249">
        <f t="shared" si="399"/>
        <v>0</v>
      </c>
      <c r="F1322" s="336">
        <v>0</v>
      </c>
      <c r="G1322" s="258">
        <f t="shared" si="400"/>
        <v>0</v>
      </c>
      <c r="H1322" s="249">
        <f t="shared" si="401"/>
        <v>10.945272482254547</v>
      </c>
      <c r="I1322" s="336">
        <v>8.6045867026597098E-2</v>
      </c>
      <c r="J1322" s="258">
        <f t="shared" si="402"/>
        <v>8.6045867026597098E-2</v>
      </c>
      <c r="K1322" s="249">
        <f t="shared" si="403"/>
        <v>97.371535406208181</v>
      </c>
      <c r="L1322" s="336">
        <v>0.76548283300594122</v>
      </c>
      <c r="M1322" s="258">
        <f t="shared" si="404"/>
        <v>0.76548283300594122</v>
      </c>
      <c r="N1322" s="251">
        <f t="shared" si="405"/>
        <v>18.885960361537254</v>
      </c>
      <c r="O1322" s="336">
        <v>0.14847129996746164</v>
      </c>
      <c r="P1322" s="258">
        <f t="shared" si="406"/>
        <v>0.14847129996746164</v>
      </c>
      <c r="Q1322" s="354">
        <v>124.46850000000001</v>
      </c>
      <c r="R1322" s="249">
        <f t="shared" si="407"/>
        <v>127.20276824999999</v>
      </c>
      <c r="S1322" s="355">
        <v>0.1</v>
      </c>
      <c r="T1322" s="355"/>
      <c r="U1322" s="315">
        <f t="shared" si="408"/>
        <v>139.923045075</v>
      </c>
      <c r="V1322" s="315">
        <f t="shared" si="409"/>
        <v>140</v>
      </c>
      <c r="W1322" s="316">
        <f t="shared" si="398"/>
        <v>0</v>
      </c>
    </row>
    <row r="1323" spans="1:23" x14ac:dyDescent="0.25">
      <c r="A1323" s="204" t="s">
        <v>16977</v>
      </c>
      <c r="B1323" s="351" t="s">
        <v>21038</v>
      </c>
      <c r="C1323" s="352"/>
      <c r="D1323" s="353" t="s">
        <v>5</v>
      </c>
      <c r="E1323" s="249">
        <f t="shared" si="399"/>
        <v>0</v>
      </c>
      <c r="F1323" s="336">
        <v>0</v>
      </c>
      <c r="G1323" s="258">
        <f t="shared" si="400"/>
        <v>0</v>
      </c>
      <c r="H1323" s="249">
        <f t="shared" si="401"/>
        <v>6.3630179897365441E-2</v>
      </c>
      <c r="I1323" s="336">
        <v>8.6045867026597098E-2</v>
      </c>
      <c r="J1323" s="258">
        <f t="shared" si="402"/>
        <v>8.6045867026597098E-2</v>
      </c>
      <c r="K1323" s="249">
        <f t="shared" si="403"/>
        <v>0.56600857082653211</v>
      </c>
      <c r="L1323" s="336">
        <v>0.76540249139340466</v>
      </c>
      <c r="M1323" s="258">
        <f t="shared" si="404"/>
        <v>0.76540249139340466</v>
      </c>
      <c r="N1323" s="251">
        <f t="shared" si="405"/>
        <v>0.10979325158761095</v>
      </c>
      <c r="O1323" s="336">
        <v>0.14847129996746164</v>
      </c>
      <c r="P1323" s="258">
        <f t="shared" si="406"/>
        <v>0.14847129996746164</v>
      </c>
      <c r="Q1323" s="354">
        <v>0.72365406976744184</v>
      </c>
      <c r="R1323" s="249">
        <f t="shared" si="407"/>
        <v>0.73949141424418585</v>
      </c>
      <c r="S1323" s="355">
        <v>0.1</v>
      </c>
      <c r="T1323" s="355"/>
      <c r="U1323" s="315">
        <f t="shared" si="408"/>
        <v>0.8134405556686044</v>
      </c>
      <c r="V1323" s="315">
        <f t="shared" si="409"/>
        <v>1</v>
      </c>
      <c r="W1323" s="316">
        <f t="shared" si="398"/>
        <v>0</v>
      </c>
    </row>
    <row r="1324" spans="1:23" x14ac:dyDescent="0.25">
      <c r="A1324" s="204" t="s">
        <v>16978</v>
      </c>
      <c r="B1324" s="351" t="s">
        <v>21039</v>
      </c>
      <c r="C1324" s="352"/>
      <c r="D1324" s="353" t="s">
        <v>14859</v>
      </c>
      <c r="E1324" s="249">
        <f t="shared" si="399"/>
        <v>0</v>
      </c>
      <c r="F1324" s="336">
        <v>0</v>
      </c>
      <c r="G1324" s="258">
        <f t="shared" si="400"/>
        <v>0</v>
      </c>
      <c r="H1324" s="249">
        <f t="shared" si="401"/>
        <v>10.945272482254547</v>
      </c>
      <c r="I1324" s="336">
        <v>8.6045867026597098E-2</v>
      </c>
      <c r="J1324" s="258">
        <f t="shared" si="402"/>
        <v>8.6045867026597098E-2</v>
      </c>
      <c r="K1324" s="249">
        <f t="shared" si="403"/>
        <v>97.371535406208181</v>
      </c>
      <c r="L1324" s="336">
        <v>0.76548283300594122</v>
      </c>
      <c r="M1324" s="258">
        <f t="shared" si="404"/>
        <v>0.76548283300594122</v>
      </c>
      <c r="N1324" s="251">
        <f t="shared" si="405"/>
        <v>18.885960361537254</v>
      </c>
      <c r="O1324" s="336">
        <v>0.14847129996746164</v>
      </c>
      <c r="P1324" s="258">
        <f t="shared" si="406"/>
        <v>0.14847129996746164</v>
      </c>
      <c r="Q1324" s="354">
        <v>124.46850000000001</v>
      </c>
      <c r="R1324" s="249">
        <f t="shared" si="407"/>
        <v>127.20276824999999</v>
      </c>
      <c r="S1324" s="355">
        <v>0.1</v>
      </c>
      <c r="T1324" s="355"/>
      <c r="U1324" s="315">
        <f t="shared" si="408"/>
        <v>139.923045075</v>
      </c>
      <c r="V1324" s="315">
        <f t="shared" si="409"/>
        <v>140</v>
      </c>
      <c r="W1324" s="316">
        <f t="shared" si="398"/>
        <v>0</v>
      </c>
    </row>
    <row r="1325" spans="1:23" x14ac:dyDescent="0.25">
      <c r="A1325" s="204" t="s">
        <v>16979</v>
      </c>
      <c r="B1325" s="351" t="s">
        <v>21040</v>
      </c>
      <c r="C1325" s="352"/>
      <c r="D1325" s="353" t="s">
        <v>5</v>
      </c>
      <c r="E1325" s="249">
        <f t="shared" si="399"/>
        <v>0</v>
      </c>
      <c r="F1325" s="336">
        <v>0</v>
      </c>
      <c r="G1325" s="258">
        <f t="shared" si="400"/>
        <v>0</v>
      </c>
      <c r="H1325" s="249">
        <f t="shared" si="401"/>
        <v>6.3630179897365441E-2</v>
      </c>
      <c r="I1325" s="336">
        <v>8.6045867026597098E-2</v>
      </c>
      <c r="J1325" s="258">
        <f t="shared" si="402"/>
        <v>8.6045867026597098E-2</v>
      </c>
      <c r="K1325" s="249">
        <f t="shared" si="403"/>
        <v>0.56600857082653211</v>
      </c>
      <c r="L1325" s="336">
        <v>0.76540249139340466</v>
      </c>
      <c r="M1325" s="258">
        <f t="shared" si="404"/>
        <v>0.76540249139340466</v>
      </c>
      <c r="N1325" s="251">
        <f t="shared" si="405"/>
        <v>0.10979325158761095</v>
      </c>
      <c r="O1325" s="336">
        <v>0.14847129996746164</v>
      </c>
      <c r="P1325" s="258">
        <f t="shared" si="406"/>
        <v>0.14847129996746164</v>
      </c>
      <c r="Q1325" s="354">
        <v>0.72365406976744184</v>
      </c>
      <c r="R1325" s="249">
        <f t="shared" si="407"/>
        <v>0.73949141424418585</v>
      </c>
      <c r="S1325" s="355">
        <v>0.1</v>
      </c>
      <c r="T1325" s="355"/>
      <c r="U1325" s="315">
        <f t="shared" si="408"/>
        <v>0.8134405556686044</v>
      </c>
      <c r="V1325" s="315">
        <f t="shared" si="409"/>
        <v>1</v>
      </c>
      <c r="W1325" s="316">
        <f t="shared" si="398"/>
        <v>0</v>
      </c>
    </row>
    <row r="1326" spans="1:23" x14ac:dyDescent="0.25">
      <c r="A1326" s="204" t="s">
        <v>16980</v>
      </c>
      <c r="B1326" s="351" t="s">
        <v>21041</v>
      </c>
      <c r="C1326" s="352"/>
      <c r="D1326" s="353" t="s">
        <v>14859</v>
      </c>
      <c r="E1326" s="249">
        <f t="shared" si="399"/>
        <v>0</v>
      </c>
      <c r="F1326" s="336">
        <v>0</v>
      </c>
      <c r="G1326" s="258">
        <f t="shared" si="400"/>
        <v>0</v>
      </c>
      <c r="H1326" s="249">
        <f t="shared" si="401"/>
        <v>10.945272482254547</v>
      </c>
      <c r="I1326" s="336">
        <v>8.6045867026597098E-2</v>
      </c>
      <c r="J1326" s="258">
        <f t="shared" si="402"/>
        <v>8.6045867026597098E-2</v>
      </c>
      <c r="K1326" s="249">
        <f t="shared" si="403"/>
        <v>97.371535406208181</v>
      </c>
      <c r="L1326" s="336">
        <v>0.76548283300594122</v>
      </c>
      <c r="M1326" s="258">
        <f t="shared" si="404"/>
        <v>0.76548283300594122</v>
      </c>
      <c r="N1326" s="251">
        <f t="shared" si="405"/>
        <v>18.885960361537254</v>
      </c>
      <c r="O1326" s="336">
        <v>0.14847129996746164</v>
      </c>
      <c r="P1326" s="258">
        <f t="shared" si="406"/>
        <v>0.14847129996746164</v>
      </c>
      <c r="Q1326" s="354">
        <v>124.46850000000001</v>
      </c>
      <c r="R1326" s="249">
        <f t="shared" si="407"/>
        <v>127.20276824999999</v>
      </c>
      <c r="S1326" s="355">
        <v>0.1</v>
      </c>
      <c r="T1326" s="355"/>
      <c r="U1326" s="315">
        <f t="shared" si="408"/>
        <v>139.923045075</v>
      </c>
      <c r="V1326" s="315">
        <f t="shared" si="409"/>
        <v>140</v>
      </c>
      <c r="W1326" s="316">
        <f t="shared" si="398"/>
        <v>0</v>
      </c>
    </row>
    <row r="1327" spans="1:23" x14ac:dyDescent="0.25">
      <c r="A1327" s="204" t="s">
        <v>16981</v>
      </c>
      <c r="B1327" s="351" t="s">
        <v>21042</v>
      </c>
      <c r="C1327" s="352"/>
      <c r="D1327" s="353" t="s">
        <v>5</v>
      </c>
      <c r="E1327" s="249">
        <f t="shared" si="399"/>
        <v>0</v>
      </c>
      <c r="F1327" s="336">
        <v>0</v>
      </c>
      <c r="G1327" s="258">
        <f t="shared" si="400"/>
        <v>0</v>
      </c>
      <c r="H1327" s="249">
        <f t="shared" si="401"/>
        <v>6.3632816737940939E-2</v>
      </c>
      <c r="I1327" s="336">
        <v>8.4652320825182287E-2</v>
      </c>
      <c r="J1327" s="258">
        <f t="shared" si="402"/>
        <v>8.4652320825182287E-2</v>
      </c>
      <c r="K1327" s="249">
        <f t="shared" si="403"/>
        <v>0.57820603575112672</v>
      </c>
      <c r="L1327" s="336">
        <v>0.76920188906672993</v>
      </c>
      <c r="M1327" s="258">
        <f t="shared" si="404"/>
        <v>0.76920188906672993</v>
      </c>
      <c r="N1327" s="251">
        <f t="shared" si="405"/>
        <v>0.10979780143017258</v>
      </c>
      <c r="O1327" s="336">
        <v>0.14606674965913805</v>
      </c>
      <c r="P1327" s="258">
        <f t="shared" si="406"/>
        <v>0.14606674965913805</v>
      </c>
      <c r="Q1327" s="354">
        <v>0.73556686046511632</v>
      </c>
      <c r="R1327" s="249">
        <f t="shared" si="407"/>
        <v>0.75169606831395352</v>
      </c>
      <c r="S1327" s="355">
        <v>0.1</v>
      </c>
      <c r="T1327" s="355"/>
      <c r="U1327" s="315">
        <f t="shared" si="408"/>
        <v>0.82686567514534892</v>
      </c>
      <c r="V1327" s="315">
        <f t="shared" si="409"/>
        <v>1</v>
      </c>
      <c r="W1327" s="316">
        <f t="shared" si="398"/>
        <v>0</v>
      </c>
    </row>
    <row r="1328" spans="1:23" x14ac:dyDescent="0.25">
      <c r="A1328" s="204" t="s">
        <v>16982</v>
      </c>
      <c r="B1328" s="351" t="s">
        <v>21043</v>
      </c>
      <c r="C1328" s="352"/>
      <c r="D1328" s="353" t="s">
        <v>14859</v>
      </c>
      <c r="E1328" s="249">
        <f t="shared" si="399"/>
        <v>0</v>
      </c>
      <c r="F1328" s="336">
        <v>0</v>
      </c>
      <c r="G1328" s="258">
        <f t="shared" si="400"/>
        <v>0</v>
      </c>
      <c r="H1328" s="249">
        <f t="shared" si="401"/>
        <v>10.945711741952696</v>
      </c>
      <c r="I1328" s="336">
        <v>8.4652320825182287E-2</v>
      </c>
      <c r="J1328" s="258">
        <f t="shared" si="402"/>
        <v>8.4652320825182287E-2</v>
      </c>
      <c r="K1328" s="249">
        <f t="shared" si="403"/>
        <v>99.469538708207367</v>
      </c>
      <c r="L1328" s="336">
        <v>0.76928092951567961</v>
      </c>
      <c r="M1328" s="258">
        <f t="shared" si="404"/>
        <v>0.76928092951567961</v>
      </c>
      <c r="N1328" s="251">
        <f t="shared" si="405"/>
        <v>18.886718299839941</v>
      </c>
      <c r="O1328" s="336">
        <v>0.14606674965913805</v>
      </c>
      <c r="P1328" s="258">
        <f t="shared" si="406"/>
        <v>0.14606674965913805</v>
      </c>
      <c r="Q1328" s="354">
        <v>126.51750000000001</v>
      </c>
      <c r="R1328" s="249">
        <f t="shared" si="407"/>
        <v>129.30196875000001</v>
      </c>
      <c r="S1328" s="355">
        <v>0.1</v>
      </c>
      <c r="T1328" s="355"/>
      <c r="U1328" s="315">
        <f t="shared" si="408"/>
        <v>142.23216562500002</v>
      </c>
      <c r="V1328" s="315">
        <f t="shared" si="409"/>
        <v>145</v>
      </c>
      <c r="W1328" s="316">
        <f t="shared" si="398"/>
        <v>0</v>
      </c>
    </row>
    <row r="1329" spans="1:23" x14ac:dyDescent="0.25">
      <c r="A1329" s="204" t="s">
        <v>16983</v>
      </c>
      <c r="B1329" s="351" t="s">
        <v>21044</v>
      </c>
      <c r="C1329" s="352"/>
      <c r="D1329" s="353" t="s">
        <v>5</v>
      </c>
      <c r="E1329" s="249">
        <f t="shared" si="399"/>
        <v>0</v>
      </c>
      <c r="F1329" s="336">
        <v>0</v>
      </c>
      <c r="G1329" s="258">
        <f t="shared" si="400"/>
        <v>0</v>
      </c>
      <c r="H1329" s="249">
        <f t="shared" si="401"/>
        <v>6.3632816737940939E-2</v>
      </c>
      <c r="I1329" s="336">
        <v>8.4652320825182287E-2</v>
      </c>
      <c r="J1329" s="258">
        <f t="shared" si="402"/>
        <v>8.4652320825182287E-2</v>
      </c>
      <c r="K1329" s="249">
        <f t="shared" si="403"/>
        <v>0.57820603575112672</v>
      </c>
      <c r="L1329" s="336">
        <v>0.76920188906672993</v>
      </c>
      <c r="M1329" s="258">
        <f t="shared" si="404"/>
        <v>0.76920188906672993</v>
      </c>
      <c r="N1329" s="251">
        <f t="shared" si="405"/>
        <v>0.10979780143017258</v>
      </c>
      <c r="O1329" s="336">
        <v>0.14606674965913805</v>
      </c>
      <c r="P1329" s="258">
        <f t="shared" si="406"/>
        <v>0.14606674965913805</v>
      </c>
      <c r="Q1329" s="354">
        <v>0.73556686046511632</v>
      </c>
      <c r="R1329" s="249">
        <f t="shared" si="407"/>
        <v>0.75169606831395352</v>
      </c>
      <c r="S1329" s="355">
        <v>0.1</v>
      </c>
      <c r="T1329" s="355"/>
      <c r="U1329" s="315">
        <f t="shared" si="408"/>
        <v>0.82686567514534892</v>
      </c>
      <c r="V1329" s="315">
        <f t="shared" si="409"/>
        <v>1</v>
      </c>
      <c r="W1329" s="316">
        <f t="shared" si="398"/>
        <v>0</v>
      </c>
    </row>
    <row r="1330" spans="1:23" x14ac:dyDescent="0.25">
      <c r="A1330" s="204" t="s">
        <v>16984</v>
      </c>
      <c r="B1330" s="351" t="s">
        <v>21045</v>
      </c>
      <c r="C1330" s="352"/>
      <c r="D1330" s="353" t="s">
        <v>14859</v>
      </c>
      <c r="E1330" s="249">
        <f t="shared" si="399"/>
        <v>0</v>
      </c>
      <c r="F1330" s="336">
        <v>0</v>
      </c>
      <c r="G1330" s="258">
        <f t="shared" si="400"/>
        <v>0</v>
      </c>
      <c r="H1330" s="249">
        <f t="shared" si="401"/>
        <v>10.945711741952696</v>
      </c>
      <c r="I1330" s="336">
        <v>8.4652320825182287E-2</v>
      </c>
      <c r="J1330" s="258">
        <f t="shared" si="402"/>
        <v>8.4652320825182287E-2</v>
      </c>
      <c r="K1330" s="249">
        <f t="shared" si="403"/>
        <v>99.469538708207367</v>
      </c>
      <c r="L1330" s="336">
        <v>0.76928092951567961</v>
      </c>
      <c r="M1330" s="258">
        <f t="shared" si="404"/>
        <v>0.76928092951567961</v>
      </c>
      <c r="N1330" s="251">
        <f t="shared" si="405"/>
        <v>18.886718299839941</v>
      </c>
      <c r="O1330" s="336">
        <v>0.14606674965913805</v>
      </c>
      <c r="P1330" s="258">
        <f t="shared" si="406"/>
        <v>0.14606674965913805</v>
      </c>
      <c r="Q1330" s="354">
        <v>126.51750000000001</v>
      </c>
      <c r="R1330" s="249">
        <f t="shared" si="407"/>
        <v>129.30196875000001</v>
      </c>
      <c r="S1330" s="355">
        <v>0.1</v>
      </c>
      <c r="T1330" s="355"/>
      <c r="U1330" s="315">
        <f t="shared" si="408"/>
        <v>142.23216562500002</v>
      </c>
      <c r="V1330" s="315">
        <f t="shared" si="409"/>
        <v>145</v>
      </c>
      <c r="W1330" s="316">
        <f t="shared" si="398"/>
        <v>0</v>
      </c>
    </row>
    <row r="1331" spans="1:23" x14ac:dyDescent="0.25">
      <c r="A1331" s="204" t="s">
        <v>16985</v>
      </c>
      <c r="B1331" s="351" t="s">
        <v>21046</v>
      </c>
      <c r="C1331" s="352"/>
      <c r="D1331" s="353" t="s">
        <v>5</v>
      </c>
      <c r="E1331" s="249">
        <f t="shared" si="399"/>
        <v>0</v>
      </c>
      <c r="F1331" s="336">
        <v>0</v>
      </c>
      <c r="G1331" s="258">
        <f t="shared" si="400"/>
        <v>0</v>
      </c>
      <c r="H1331" s="249">
        <f t="shared" si="401"/>
        <v>6.3632816737940939E-2</v>
      </c>
      <c r="I1331" s="336">
        <v>8.4652320825182287E-2</v>
      </c>
      <c r="J1331" s="258">
        <f t="shared" si="402"/>
        <v>8.4652320825182287E-2</v>
      </c>
      <c r="K1331" s="249">
        <f t="shared" si="403"/>
        <v>0.57820603575112672</v>
      </c>
      <c r="L1331" s="336">
        <v>0.76920188906672993</v>
      </c>
      <c r="M1331" s="258">
        <f t="shared" si="404"/>
        <v>0.76920188906672993</v>
      </c>
      <c r="N1331" s="251">
        <f t="shared" si="405"/>
        <v>0.10979780143017258</v>
      </c>
      <c r="O1331" s="336">
        <v>0.14606674965913805</v>
      </c>
      <c r="P1331" s="258">
        <f t="shared" si="406"/>
        <v>0.14606674965913805</v>
      </c>
      <c r="Q1331" s="354">
        <v>0.73556686046511632</v>
      </c>
      <c r="R1331" s="249">
        <f t="shared" si="407"/>
        <v>0.75169606831395352</v>
      </c>
      <c r="S1331" s="355">
        <v>0.1</v>
      </c>
      <c r="T1331" s="355"/>
      <c r="U1331" s="315">
        <f t="shared" si="408"/>
        <v>0.82686567514534892</v>
      </c>
      <c r="V1331" s="315">
        <f t="shared" si="409"/>
        <v>1</v>
      </c>
      <c r="W1331" s="316">
        <f t="shared" si="398"/>
        <v>0</v>
      </c>
    </row>
    <row r="1332" spans="1:23" x14ac:dyDescent="0.25">
      <c r="A1332" s="204" t="s">
        <v>16986</v>
      </c>
      <c r="B1332" s="351" t="s">
        <v>21047</v>
      </c>
      <c r="C1332" s="352"/>
      <c r="D1332" s="353" t="s">
        <v>14859</v>
      </c>
      <c r="E1332" s="249">
        <f t="shared" si="399"/>
        <v>0</v>
      </c>
      <c r="F1332" s="336">
        <v>0</v>
      </c>
      <c r="G1332" s="258">
        <f t="shared" si="400"/>
        <v>0</v>
      </c>
      <c r="H1332" s="249">
        <f t="shared" si="401"/>
        <v>10.945711741952696</v>
      </c>
      <c r="I1332" s="336">
        <v>8.4652320825182287E-2</v>
      </c>
      <c r="J1332" s="258">
        <f t="shared" si="402"/>
        <v>8.4652320825182287E-2</v>
      </c>
      <c r="K1332" s="249">
        <f t="shared" si="403"/>
        <v>99.469538708207367</v>
      </c>
      <c r="L1332" s="336">
        <v>0.76928092951567961</v>
      </c>
      <c r="M1332" s="258">
        <f t="shared" si="404"/>
        <v>0.76928092951567961</v>
      </c>
      <c r="N1332" s="251">
        <f t="shared" si="405"/>
        <v>18.886718299839941</v>
      </c>
      <c r="O1332" s="336">
        <v>0.14606674965913805</v>
      </c>
      <c r="P1332" s="258">
        <f t="shared" si="406"/>
        <v>0.14606674965913805</v>
      </c>
      <c r="Q1332" s="354">
        <v>126.51750000000001</v>
      </c>
      <c r="R1332" s="249">
        <f t="shared" si="407"/>
        <v>129.30196875000001</v>
      </c>
      <c r="S1332" s="355">
        <v>0.1</v>
      </c>
      <c r="T1332" s="355"/>
      <c r="U1332" s="315">
        <f t="shared" si="408"/>
        <v>142.23216562500002</v>
      </c>
      <c r="V1332" s="315">
        <f t="shared" si="409"/>
        <v>145</v>
      </c>
      <c r="W1332" s="316">
        <f t="shared" si="398"/>
        <v>0</v>
      </c>
    </row>
    <row r="1333" spans="1:23" x14ac:dyDescent="0.25">
      <c r="A1333" s="204" t="s">
        <v>16987</v>
      </c>
      <c r="B1333" s="351" t="s">
        <v>21048</v>
      </c>
      <c r="C1333" s="352"/>
      <c r="D1333" s="353" t="s">
        <v>5</v>
      </c>
      <c r="E1333" s="249">
        <f t="shared" si="399"/>
        <v>0</v>
      </c>
      <c r="F1333" s="336">
        <v>0</v>
      </c>
      <c r="G1333" s="258">
        <f t="shared" si="400"/>
        <v>0</v>
      </c>
      <c r="H1333" s="249">
        <f t="shared" si="401"/>
        <v>6.3636615654430143E-2</v>
      </c>
      <c r="I1333" s="336">
        <v>8.2644628099173556E-2</v>
      </c>
      <c r="J1333" s="258">
        <f t="shared" si="402"/>
        <v>8.2644628099173556E-2</v>
      </c>
      <c r="K1333" s="249">
        <f t="shared" si="403"/>
        <v>0.59650265939905645</v>
      </c>
      <c r="L1333" s="336">
        <v>0.77467571050458739</v>
      </c>
      <c r="M1333" s="258">
        <f t="shared" si="404"/>
        <v>0.77467571050458739</v>
      </c>
      <c r="N1333" s="251">
        <f t="shared" si="405"/>
        <v>0.10980435642333042</v>
      </c>
      <c r="O1333" s="336">
        <v>0.14260249554367199</v>
      </c>
      <c r="P1333" s="258">
        <f t="shared" si="406"/>
        <v>0.14260249554367199</v>
      </c>
      <c r="Q1333" s="354">
        <v>0.75343604651162799</v>
      </c>
      <c r="R1333" s="249">
        <f t="shared" si="407"/>
        <v>0.77000304941860465</v>
      </c>
      <c r="S1333" s="355">
        <v>0.1</v>
      </c>
      <c r="T1333" s="355"/>
      <c r="U1333" s="315">
        <f t="shared" si="408"/>
        <v>0.84700335436046514</v>
      </c>
      <c r="V1333" s="315">
        <f t="shared" si="409"/>
        <v>1</v>
      </c>
      <c r="W1333" s="316">
        <f t="shared" si="398"/>
        <v>0</v>
      </c>
    </row>
    <row r="1334" spans="1:23" x14ac:dyDescent="0.25">
      <c r="A1334" s="204" t="s">
        <v>16988</v>
      </c>
      <c r="B1334" s="351" t="s">
        <v>21049</v>
      </c>
      <c r="C1334" s="352"/>
      <c r="D1334" s="353" t="s">
        <v>14859</v>
      </c>
      <c r="E1334" s="249">
        <f t="shared" si="399"/>
        <v>0</v>
      </c>
      <c r="F1334" s="336">
        <v>0</v>
      </c>
      <c r="G1334" s="258">
        <f t="shared" si="400"/>
        <v>0</v>
      </c>
      <c r="H1334" s="249">
        <f t="shared" si="401"/>
        <v>10.946344586776858</v>
      </c>
      <c r="I1334" s="336">
        <v>8.2644628099173556E-2</v>
      </c>
      <c r="J1334" s="258">
        <f t="shared" si="402"/>
        <v>8.2644628099173556E-2</v>
      </c>
      <c r="K1334" s="249">
        <f t="shared" si="403"/>
        <v>102.61661464584344</v>
      </c>
      <c r="L1334" s="336">
        <v>0.7747528763571544</v>
      </c>
      <c r="M1334" s="258">
        <f t="shared" si="404"/>
        <v>0.7747528763571544</v>
      </c>
      <c r="N1334" s="251">
        <f t="shared" si="405"/>
        <v>18.887810267379677</v>
      </c>
      <c r="O1334" s="336">
        <v>0.14260249554367202</v>
      </c>
      <c r="P1334" s="258">
        <f t="shared" si="406"/>
        <v>0.14260249554367202</v>
      </c>
      <c r="Q1334" s="354">
        <v>129.59100000000001</v>
      </c>
      <c r="R1334" s="249">
        <f t="shared" si="407"/>
        <v>132.45076949999998</v>
      </c>
      <c r="S1334" s="355">
        <v>0.1</v>
      </c>
      <c r="T1334" s="355"/>
      <c r="U1334" s="315">
        <f t="shared" si="408"/>
        <v>145.69584644999998</v>
      </c>
      <c r="V1334" s="315">
        <f t="shared" si="409"/>
        <v>150</v>
      </c>
      <c r="W1334" s="316">
        <f t="shared" si="398"/>
        <v>0</v>
      </c>
    </row>
    <row r="1335" spans="1:23" x14ac:dyDescent="0.25">
      <c r="A1335" s="204" t="s">
        <v>16989</v>
      </c>
      <c r="B1335" s="351" t="s">
        <v>21050</v>
      </c>
      <c r="C1335" s="352"/>
      <c r="D1335" s="353" t="s">
        <v>5</v>
      </c>
      <c r="E1335" s="249">
        <f t="shared" si="399"/>
        <v>0</v>
      </c>
      <c r="F1335" s="336">
        <v>0</v>
      </c>
      <c r="G1335" s="258">
        <f t="shared" si="400"/>
        <v>0</v>
      </c>
      <c r="H1335" s="249">
        <f t="shared" si="401"/>
        <v>6.3636615654430143E-2</v>
      </c>
      <c r="I1335" s="336">
        <v>8.2644628099173556E-2</v>
      </c>
      <c r="J1335" s="258">
        <f t="shared" si="402"/>
        <v>8.2644628099173556E-2</v>
      </c>
      <c r="K1335" s="249">
        <f t="shared" si="403"/>
        <v>0.59650265939905645</v>
      </c>
      <c r="L1335" s="336">
        <v>0.77467571050458739</v>
      </c>
      <c r="M1335" s="258">
        <f t="shared" si="404"/>
        <v>0.77467571050458739</v>
      </c>
      <c r="N1335" s="251">
        <f t="shared" si="405"/>
        <v>0.10980435642333042</v>
      </c>
      <c r="O1335" s="336">
        <v>0.14260249554367199</v>
      </c>
      <c r="P1335" s="258">
        <f t="shared" si="406"/>
        <v>0.14260249554367199</v>
      </c>
      <c r="Q1335" s="354">
        <v>0.75343604651162799</v>
      </c>
      <c r="R1335" s="249">
        <f t="shared" si="407"/>
        <v>0.77000304941860465</v>
      </c>
      <c r="S1335" s="355">
        <v>0.1</v>
      </c>
      <c r="T1335" s="355"/>
      <c r="U1335" s="315">
        <f t="shared" si="408"/>
        <v>0.84700335436046514</v>
      </c>
      <c r="V1335" s="315">
        <f t="shared" si="409"/>
        <v>1</v>
      </c>
      <c r="W1335" s="316">
        <f t="shared" si="398"/>
        <v>0</v>
      </c>
    </row>
    <row r="1336" spans="1:23" x14ac:dyDescent="0.25">
      <c r="A1336" s="204" t="s">
        <v>16990</v>
      </c>
      <c r="B1336" s="351" t="s">
        <v>21051</v>
      </c>
      <c r="C1336" s="352"/>
      <c r="D1336" s="353" t="s">
        <v>14859</v>
      </c>
      <c r="E1336" s="249">
        <f t="shared" si="399"/>
        <v>0</v>
      </c>
      <c r="F1336" s="336">
        <v>0</v>
      </c>
      <c r="G1336" s="258">
        <f t="shared" si="400"/>
        <v>0</v>
      </c>
      <c r="H1336" s="249">
        <f t="shared" si="401"/>
        <v>10.946344586776858</v>
      </c>
      <c r="I1336" s="336">
        <v>8.2644628099173556E-2</v>
      </c>
      <c r="J1336" s="258">
        <f t="shared" si="402"/>
        <v>8.2644628099173556E-2</v>
      </c>
      <c r="K1336" s="249">
        <f t="shared" si="403"/>
        <v>102.61661464584344</v>
      </c>
      <c r="L1336" s="336">
        <v>0.7747528763571544</v>
      </c>
      <c r="M1336" s="258">
        <f t="shared" si="404"/>
        <v>0.7747528763571544</v>
      </c>
      <c r="N1336" s="251">
        <f t="shared" si="405"/>
        <v>18.887810267379677</v>
      </c>
      <c r="O1336" s="336">
        <v>0.14260249554367202</v>
      </c>
      <c r="P1336" s="258">
        <f t="shared" si="406"/>
        <v>0.14260249554367202</v>
      </c>
      <c r="Q1336" s="354">
        <v>129.59100000000001</v>
      </c>
      <c r="R1336" s="249">
        <f t="shared" si="407"/>
        <v>132.45076949999998</v>
      </c>
      <c r="S1336" s="355">
        <v>0.1</v>
      </c>
      <c r="T1336" s="355"/>
      <c r="U1336" s="315">
        <f t="shared" si="408"/>
        <v>145.69584644999998</v>
      </c>
      <c r="V1336" s="315">
        <f t="shared" si="409"/>
        <v>150</v>
      </c>
      <c r="W1336" s="316">
        <f t="shared" si="398"/>
        <v>0</v>
      </c>
    </row>
    <row r="1337" spans="1:23" ht="14.4" thickBot="1" x14ac:dyDescent="0.3">
      <c r="A1337" s="356" t="s">
        <v>16991</v>
      </c>
      <c r="B1337" s="357" t="s">
        <v>21052</v>
      </c>
      <c r="C1337" s="358"/>
      <c r="D1337" s="359" t="s">
        <v>5</v>
      </c>
      <c r="E1337" s="266">
        <f t="shared" si="399"/>
        <v>0</v>
      </c>
      <c r="F1337" s="360">
        <v>0</v>
      </c>
      <c r="G1337" s="322">
        <f t="shared" si="400"/>
        <v>0</v>
      </c>
      <c r="H1337" s="266">
        <f t="shared" si="401"/>
        <v>6.3668188949460233E-2</v>
      </c>
      <c r="I1337" s="360">
        <v>6.5958429561200932E-2</v>
      </c>
      <c r="J1337" s="322">
        <f t="shared" si="402"/>
        <v>6.5958429561200932E-2</v>
      </c>
      <c r="K1337" s="266">
        <f t="shared" si="403"/>
        <v>0.79169104232907261</v>
      </c>
      <c r="L1337" s="360">
        <v>0.82016936104695937</v>
      </c>
      <c r="M1337" s="322">
        <f t="shared" si="404"/>
        <v>0.82016936104695937</v>
      </c>
      <c r="N1337" s="270">
        <f t="shared" si="405"/>
        <v>0.10985883583436275</v>
      </c>
      <c r="O1337" s="360">
        <v>0.11381062355658199</v>
      </c>
      <c r="P1337" s="322">
        <f t="shared" si="406"/>
        <v>0.11381062355658199</v>
      </c>
      <c r="Q1337" s="361">
        <v>0.94404069767441856</v>
      </c>
      <c r="R1337" s="266">
        <f t="shared" si="407"/>
        <v>0.96527751453488375</v>
      </c>
      <c r="S1337" s="362">
        <v>0.1</v>
      </c>
      <c r="T1337" s="362"/>
      <c r="U1337" s="324">
        <f t="shared" si="408"/>
        <v>1.0618052659883721</v>
      </c>
      <c r="V1337" s="324">
        <f t="shared" si="409"/>
        <v>2</v>
      </c>
      <c r="W1337" s="325">
        <f t="shared" si="398"/>
        <v>0</v>
      </c>
    </row>
    <row r="1338" spans="1:23" x14ac:dyDescent="0.25">
      <c r="A1338" s="204" t="s">
        <v>16992</v>
      </c>
      <c r="B1338" s="351" t="s">
        <v>21053</v>
      </c>
      <c r="C1338" s="352"/>
      <c r="D1338" s="353" t="s">
        <v>14859</v>
      </c>
      <c r="E1338" s="249">
        <f t="shared" si="399"/>
        <v>0</v>
      </c>
      <c r="F1338" s="336">
        <v>0</v>
      </c>
      <c r="G1338" s="258">
        <f t="shared" si="400"/>
        <v>0</v>
      </c>
      <c r="H1338" s="249">
        <f t="shared" si="401"/>
        <v>10.951604243418016</v>
      </c>
      <c r="I1338" s="336">
        <v>6.5958429561200932E-2</v>
      </c>
      <c r="J1338" s="258">
        <f t="shared" si="402"/>
        <v>6.5958429561200932E-2</v>
      </c>
      <c r="K1338" s="249">
        <f t="shared" si="403"/>
        <v>136.18948750323327</v>
      </c>
      <c r="L1338" s="336">
        <v>0.82023094688221709</v>
      </c>
      <c r="M1338" s="258">
        <f t="shared" si="404"/>
        <v>0.82023094688221709</v>
      </c>
      <c r="N1338" s="251">
        <f t="shared" si="405"/>
        <v>18.89688575334873</v>
      </c>
      <c r="O1338" s="336">
        <v>0.11381062355658199</v>
      </c>
      <c r="P1338" s="258">
        <f t="shared" si="406"/>
        <v>0.11381062355658199</v>
      </c>
      <c r="Q1338" s="354">
        <v>162.375</v>
      </c>
      <c r="R1338" s="249">
        <f t="shared" si="407"/>
        <v>166.03797750000001</v>
      </c>
      <c r="S1338" s="355">
        <v>0.1</v>
      </c>
      <c r="T1338" s="355"/>
      <c r="U1338" s="315">
        <f t="shared" si="408"/>
        <v>182.64177525000002</v>
      </c>
      <c r="V1338" s="315">
        <f t="shared" si="409"/>
        <v>185</v>
      </c>
      <c r="W1338" s="316">
        <f t="shared" si="398"/>
        <v>0</v>
      </c>
    </row>
    <row r="1339" spans="1:23" x14ac:dyDescent="0.25">
      <c r="A1339" s="204" t="s">
        <v>16993</v>
      </c>
      <c r="B1339" s="351" t="s">
        <v>21054</v>
      </c>
      <c r="C1339" s="352"/>
      <c r="D1339" s="353" t="s">
        <v>5</v>
      </c>
      <c r="E1339" s="249">
        <f t="shared" si="399"/>
        <v>0</v>
      </c>
      <c r="F1339" s="336">
        <v>0</v>
      </c>
      <c r="G1339" s="258">
        <f t="shared" si="400"/>
        <v>0</v>
      </c>
      <c r="H1339" s="249">
        <f t="shared" si="401"/>
        <v>6.3668188949460233E-2</v>
      </c>
      <c r="I1339" s="336">
        <v>6.5958429561200932E-2</v>
      </c>
      <c r="J1339" s="258">
        <f t="shared" si="402"/>
        <v>6.5958429561200932E-2</v>
      </c>
      <c r="K1339" s="249">
        <f t="shared" si="403"/>
        <v>0.79169104232907261</v>
      </c>
      <c r="L1339" s="336">
        <v>0.82016936104695937</v>
      </c>
      <c r="M1339" s="258">
        <f t="shared" si="404"/>
        <v>0.82016936104695937</v>
      </c>
      <c r="N1339" s="251">
        <f t="shared" si="405"/>
        <v>0.10985883583436275</v>
      </c>
      <c r="O1339" s="336">
        <v>0.11381062355658199</v>
      </c>
      <c r="P1339" s="258">
        <f t="shared" si="406"/>
        <v>0.11381062355658199</v>
      </c>
      <c r="Q1339" s="354">
        <v>0.94404069767441856</v>
      </c>
      <c r="R1339" s="249">
        <f t="shared" si="407"/>
        <v>0.96527751453488375</v>
      </c>
      <c r="S1339" s="355">
        <v>0.1</v>
      </c>
      <c r="T1339" s="355"/>
      <c r="U1339" s="315">
        <f t="shared" si="408"/>
        <v>1.0618052659883721</v>
      </c>
      <c r="V1339" s="315">
        <f t="shared" si="409"/>
        <v>2</v>
      </c>
      <c r="W1339" s="316">
        <f t="shared" si="398"/>
        <v>0</v>
      </c>
    </row>
    <row r="1340" spans="1:23" x14ac:dyDescent="0.25">
      <c r="A1340" s="204" t="s">
        <v>16994</v>
      </c>
      <c r="B1340" s="351" t="s">
        <v>21055</v>
      </c>
      <c r="C1340" s="352"/>
      <c r="D1340" s="353" t="s">
        <v>14859</v>
      </c>
      <c r="E1340" s="249">
        <f t="shared" si="399"/>
        <v>0</v>
      </c>
      <c r="F1340" s="336">
        <v>0</v>
      </c>
      <c r="G1340" s="258">
        <f t="shared" si="400"/>
        <v>0</v>
      </c>
      <c r="H1340" s="249">
        <f t="shared" si="401"/>
        <v>10.951604243418016</v>
      </c>
      <c r="I1340" s="336">
        <v>6.5958429561200932E-2</v>
      </c>
      <c r="J1340" s="258">
        <f t="shared" si="402"/>
        <v>6.5958429561200932E-2</v>
      </c>
      <c r="K1340" s="249">
        <f t="shared" si="403"/>
        <v>136.18948750323327</v>
      </c>
      <c r="L1340" s="336">
        <v>0.82023094688221709</v>
      </c>
      <c r="M1340" s="258">
        <f t="shared" si="404"/>
        <v>0.82023094688221709</v>
      </c>
      <c r="N1340" s="251">
        <f t="shared" si="405"/>
        <v>18.89688575334873</v>
      </c>
      <c r="O1340" s="336">
        <v>0.11381062355658199</v>
      </c>
      <c r="P1340" s="258">
        <f t="shared" si="406"/>
        <v>0.11381062355658199</v>
      </c>
      <c r="Q1340" s="354">
        <v>162.375</v>
      </c>
      <c r="R1340" s="249">
        <f t="shared" si="407"/>
        <v>166.03797750000001</v>
      </c>
      <c r="S1340" s="355">
        <v>0.1</v>
      </c>
      <c r="T1340" s="355"/>
      <c r="U1340" s="315">
        <f t="shared" si="408"/>
        <v>182.64177525000002</v>
      </c>
      <c r="V1340" s="315">
        <f t="shared" si="409"/>
        <v>185</v>
      </c>
      <c r="W1340" s="316">
        <f t="shared" si="398"/>
        <v>0</v>
      </c>
    </row>
    <row r="1341" spans="1:23" x14ac:dyDescent="0.25">
      <c r="A1341" s="204" t="s">
        <v>16995</v>
      </c>
      <c r="B1341" s="351" t="s">
        <v>21056</v>
      </c>
      <c r="C1341" s="352"/>
      <c r="D1341" s="353" t="s">
        <v>5</v>
      </c>
      <c r="E1341" s="249">
        <f t="shared" si="399"/>
        <v>0</v>
      </c>
      <c r="F1341" s="336">
        <v>0</v>
      </c>
      <c r="G1341" s="258">
        <f t="shared" si="400"/>
        <v>0</v>
      </c>
      <c r="H1341" s="249">
        <f t="shared" si="401"/>
        <v>6.3674895224880887E-2</v>
      </c>
      <c r="I1341" s="336">
        <v>6.2414224149234691E-2</v>
      </c>
      <c r="J1341" s="258">
        <f t="shared" si="402"/>
        <v>6.2414224149234691E-2</v>
      </c>
      <c r="K1341" s="249">
        <f t="shared" si="403"/>
        <v>0.84659370149341973</v>
      </c>
      <c r="L1341" s="336">
        <v>0.82983236739891197</v>
      </c>
      <c r="M1341" s="258">
        <f t="shared" si="404"/>
        <v>0.82983236739891197</v>
      </c>
      <c r="N1341" s="251">
        <f t="shared" si="405"/>
        <v>0.10987040744685329</v>
      </c>
      <c r="O1341" s="336">
        <v>0.10769513186534613</v>
      </c>
      <c r="P1341" s="258">
        <f t="shared" si="406"/>
        <v>0.10769513186534613</v>
      </c>
      <c r="Q1341" s="354">
        <v>0.99764825581395344</v>
      </c>
      <c r="R1341" s="249">
        <f t="shared" si="407"/>
        <v>1.0201984578488372</v>
      </c>
      <c r="S1341" s="355">
        <v>0.1</v>
      </c>
      <c r="T1341" s="355"/>
      <c r="U1341" s="315">
        <f t="shared" si="408"/>
        <v>1.122218303633721</v>
      </c>
      <c r="V1341" s="315">
        <f t="shared" si="409"/>
        <v>2</v>
      </c>
      <c r="W1341" s="316">
        <f t="shared" si="398"/>
        <v>0</v>
      </c>
    </row>
    <row r="1342" spans="1:23" x14ac:dyDescent="0.25">
      <c r="A1342" s="204" t="s">
        <v>16996</v>
      </c>
      <c r="B1342" s="351" t="s">
        <v>21057</v>
      </c>
      <c r="C1342" s="352"/>
      <c r="D1342" s="353" t="s">
        <v>14859</v>
      </c>
      <c r="E1342" s="249">
        <f t="shared" si="399"/>
        <v>0</v>
      </c>
      <c r="F1342" s="336">
        <v>0</v>
      </c>
      <c r="G1342" s="258">
        <f t="shared" si="400"/>
        <v>0</v>
      </c>
      <c r="H1342" s="249">
        <f t="shared" si="401"/>
        <v>10.952721412405921</v>
      </c>
      <c r="I1342" s="336">
        <v>6.2414224149234691E-2</v>
      </c>
      <c r="J1342" s="258">
        <f t="shared" si="402"/>
        <v>6.2414224149234691E-2</v>
      </c>
      <c r="K1342" s="249">
        <f t="shared" si="403"/>
        <v>145.63284492010936</v>
      </c>
      <c r="L1342" s="336">
        <v>0.82989064398541923</v>
      </c>
      <c r="M1342" s="258">
        <f t="shared" si="404"/>
        <v>0.82989064398541923</v>
      </c>
      <c r="N1342" s="251">
        <f t="shared" si="405"/>
        <v>18.898813417484725</v>
      </c>
      <c r="O1342" s="336">
        <v>0.10769513186534613</v>
      </c>
      <c r="P1342" s="258">
        <f t="shared" si="406"/>
        <v>0.10769513186534613</v>
      </c>
      <c r="Q1342" s="354">
        <v>171.59549999999999</v>
      </c>
      <c r="R1342" s="249">
        <f t="shared" si="407"/>
        <v>175.48437974999999</v>
      </c>
      <c r="S1342" s="355">
        <v>0.1</v>
      </c>
      <c r="T1342" s="355"/>
      <c r="U1342" s="315">
        <f t="shared" si="408"/>
        <v>193.03281772499997</v>
      </c>
      <c r="V1342" s="315">
        <f t="shared" si="409"/>
        <v>195</v>
      </c>
      <c r="W1342" s="316">
        <f t="shared" si="398"/>
        <v>0</v>
      </c>
    </row>
    <row r="1343" spans="1:23" x14ac:dyDescent="0.25">
      <c r="A1343" s="204" t="s">
        <v>16997</v>
      </c>
      <c r="B1343" s="351" t="s">
        <v>21058</v>
      </c>
      <c r="C1343" s="352"/>
      <c r="D1343" s="353" t="s">
        <v>5</v>
      </c>
      <c r="E1343" s="249">
        <f t="shared" si="399"/>
        <v>0</v>
      </c>
      <c r="F1343" s="336">
        <v>0</v>
      </c>
      <c r="G1343" s="258">
        <f t="shared" si="400"/>
        <v>0</v>
      </c>
      <c r="H1343" s="249">
        <f t="shared" si="401"/>
        <v>6.367559614242066E-2</v>
      </c>
      <c r="I1343" s="336">
        <v>6.2043795620437957E-2</v>
      </c>
      <c r="J1343" s="258">
        <f t="shared" si="402"/>
        <v>6.2043795620437957E-2</v>
      </c>
      <c r="K1343" s="249">
        <f t="shared" si="403"/>
        <v>0.85269411752996926</v>
      </c>
      <c r="L1343" s="336">
        <v>0.83084231259413743</v>
      </c>
      <c r="M1343" s="258">
        <f t="shared" si="404"/>
        <v>0.83084231259413743</v>
      </c>
      <c r="N1343" s="251">
        <f t="shared" si="405"/>
        <v>0.10987161687319641</v>
      </c>
      <c r="O1343" s="336">
        <v>0.1070559610705596</v>
      </c>
      <c r="P1343" s="258">
        <f t="shared" si="406"/>
        <v>0.1070559610705596</v>
      </c>
      <c r="Q1343" s="354">
        <v>1.0036046511627907</v>
      </c>
      <c r="R1343" s="249">
        <f t="shared" si="407"/>
        <v>1.0263007848837211</v>
      </c>
      <c r="S1343" s="355">
        <v>0.1</v>
      </c>
      <c r="T1343" s="355"/>
      <c r="U1343" s="315">
        <f t="shared" si="408"/>
        <v>1.1289308633720931</v>
      </c>
      <c r="V1343" s="315">
        <f t="shared" si="409"/>
        <v>2</v>
      </c>
      <c r="W1343" s="316">
        <f t="shared" ref="W1343:W1406" si="410">C1343*V1343</f>
        <v>0</v>
      </c>
    </row>
    <row r="1344" spans="1:23" x14ac:dyDescent="0.25">
      <c r="A1344" s="204" t="s">
        <v>16998</v>
      </c>
      <c r="B1344" s="351" t="s">
        <v>21059</v>
      </c>
      <c r="C1344" s="352"/>
      <c r="D1344" s="353" t="s">
        <v>14859</v>
      </c>
      <c r="E1344" s="249">
        <f t="shared" si="399"/>
        <v>0</v>
      </c>
      <c r="F1344" s="336">
        <v>0</v>
      </c>
      <c r="G1344" s="258">
        <f t="shared" si="400"/>
        <v>0</v>
      </c>
      <c r="H1344" s="249">
        <f t="shared" si="401"/>
        <v>10.952838175182483</v>
      </c>
      <c r="I1344" s="336">
        <v>6.2043795620437957E-2</v>
      </c>
      <c r="J1344" s="258">
        <f t="shared" si="402"/>
        <v>6.2043795620437957E-2</v>
      </c>
      <c r="K1344" s="249">
        <f t="shared" si="403"/>
        <v>146.68212693430658</v>
      </c>
      <c r="L1344" s="336">
        <v>0.83090024330900247</v>
      </c>
      <c r="M1344" s="258">
        <f t="shared" si="404"/>
        <v>0.83090024330900247</v>
      </c>
      <c r="N1344" s="251">
        <f t="shared" si="405"/>
        <v>18.899014890510948</v>
      </c>
      <c r="O1344" s="336">
        <v>0.1070559610705596</v>
      </c>
      <c r="P1344" s="258">
        <f t="shared" si="406"/>
        <v>0.1070559610705596</v>
      </c>
      <c r="Q1344" s="354">
        <v>172.62</v>
      </c>
      <c r="R1344" s="249">
        <f t="shared" si="407"/>
        <v>176.53398000000001</v>
      </c>
      <c r="S1344" s="355">
        <v>0.1</v>
      </c>
      <c r="T1344" s="355"/>
      <c r="U1344" s="315">
        <f t="shared" si="408"/>
        <v>194.18737800000002</v>
      </c>
      <c r="V1344" s="315">
        <f t="shared" si="409"/>
        <v>195</v>
      </c>
      <c r="W1344" s="316">
        <f t="shared" si="410"/>
        <v>0</v>
      </c>
    </row>
    <row r="1345" spans="1:23" x14ac:dyDescent="0.25">
      <c r="A1345" s="204" t="s">
        <v>16999</v>
      </c>
      <c r="B1345" s="351" t="s">
        <v>21060</v>
      </c>
      <c r="C1345" s="352"/>
      <c r="D1345" s="353" t="s">
        <v>5</v>
      </c>
      <c r="E1345" s="249">
        <f t="shared" si="399"/>
        <v>0</v>
      </c>
      <c r="F1345" s="336">
        <v>0</v>
      </c>
      <c r="G1345" s="258">
        <f t="shared" si="400"/>
        <v>0</v>
      </c>
      <c r="H1345" s="249">
        <f t="shared" si="401"/>
        <v>6.3678318542984128E-2</v>
      </c>
      <c r="I1345" s="336">
        <v>6.0605031745492831E-2</v>
      </c>
      <c r="J1345" s="258">
        <f t="shared" si="402"/>
        <v>6.0605031745492831E-2</v>
      </c>
      <c r="K1345" s="249">
        <f t="shared" si="403"/>
        <v>0.87709600325153414</v>
      </c>
      <c r="L1345" s="336">
        <v>0.83476499281340888</v>
      </c>
      <c r="M1345" s="258">
        <f t="shared" si="404"/>
        <v>0.83476499281340888</v>
      </c>
      <c r="N1345" s="251">
        <f t="shared" si="405"/>
        <v>0.10987631434867848</v>
      </c>
      <c r="O1345" s="336">
        <v>0.10457338810986996</v>
      </c>
      <c r="P1345" s="258">
        <f t="shared" si="406"/>
        <v>0.10457338810986996</v>
      </c>
      <c r="Q1345" s="354">
        <v>1.0274302325581395</v>
      </c>
      <c r="R1345" s="249">
        <f t="shared" si="407"/>
        <v>1.0507100930232556</v>
      </c>
      <c r="S1345" s="355">
        <v>0.1</v>
      </c>
      <c r="T1345" s="355"/>
      <c r="U1345" s="315">
        <f t="shared" si="408"/>
        <v>1.1557811023255811</v>
      </c>
      <c r="V1345" s="315">
        <f t="shared" si="409"/>
        <v>2</v>
      </c>
      <c r="W1345" s="316">
        <f t="shared" si="410"/>
        <v>0</v>
      </c>
    </row>
    <row r="1346" spans="1:23" x14ac:dyDescent="0.25">
      <c r="A1346" s="204" t="s">
        <v>17000</v>
      </c>
      <c r="B1346" s="351" t="s">
        <v>21061</v>
      </c>
      <c r="C1346" s="352"/>
      <c r="D1346" s="353" t="s">
        <v>14859</v>
      </c>
      <c r="E1346" s="249">
        <f t="shared" ref="E1346:E1409" si="411">R1346*G1346</f>
        <v>0</v>
      </c>
      <c r="F1346" s="336">
        <v>0</v>
      </c>
      <c r="G1346" s="258">
        <f t="shared" ref="G1346:G1409" si="412">F1346</f>
        <v>0</v>
      </c>
      <c r="H1346" s="249">
        <f t="shared" ref="H1346:H1409" si="413">R1346*J1346</f>
        <v>10.953291687943503</v>
      </c>
      <c r="I1346" s="336">
        <v>6.0605031745492831E-2</v>
      </c>
      <c r="J1346" s="258">
        <f t="shared" ref="J1346:J1409" si="414">I1346</f>
        <v>6.0605031745492831E-2</v>
      </c>
      <c r="K1346" s="249">
        <f t="shared" ref="K1346:K1409" si="415">R1346*M1346</f>
        <v>150.87929188972259</v>
      </c>
      <c r="L1346" s="336">
        <v>0.83482158014463725</v>
      </c>
      <c r="M1346" s="258">
        <f t="shared" ref="M1346:M1409" si="416">L1346</f>
        <v>0.83482158014463725</v>
      </c>
      <c r="N1346" s="251">
        <f t="shared" ref="N1346:N1409" si="417">P1346*R1346</f>
        <v>18.899797422333886</v>
      </c>
      <c r="O1346" s="336">
        <v>0.10457338810986998</v>
      </c>
      <c r="P1346" s="258">
        <f t="shared" ref="P1346:P1409" si="418">O1346</f>
        <v>0.10457338810986998</v>
      </c>
      <c r="Q1346" s="354">
        <v>176.71799999999999</v>
      </c>
      <c r="R1346" s="249">
        <f t="shared" ref="R1346:R1409" si="419">SUM(F1346*Q1346*1.0235,I1346*Q1346*1.0175,L1346*Q1346*1.0245,O1346*Q1346*1.0115)</f>
        <v>180.73238099999998</v>
      </c>
      <c r="S1346" s="355">
        <v>0.1</v>
      </c>
      <c r="T1346" s="355"/>
      <c r="U1346" s="315">
        <f t="shared" si="408"/>
        <v>198.80561909999997</v>
      </c>
      <c r="V1346" s="315">
        <f t="shared" si="409"/>
        <v>200</v>
      </c>
      <c r="W1346" s="316">
        <f t="shared" si="410"/>
        <v>0</v>
      </c>
    </row>
    <row r="1347" spans="1:23" x14ac:dyDescent="0.25">
      <c r="A1347" s="204" t="s">
        <v>17001</v>
      </c>
      <c r="B1347" s="351" t="s">
        <v>21062</v>
      </c>
      <c r="C1347" s="352"/>
      <c r="D1347" s="353" t="s">
        <v>5</v>
      </c>
      <c r="E1347" s="249">
        <f t="shared" si="411"/>
        <v>0</v>
      </c>
      <c r="F1347" s="336">
        <v>0</v>
      </c>
      <c r="G1347" s="258">
        <f t="shared" si="412"/>
        <v>0</v>
      </c>
      <c r="H1347" s="249">
        <f t="shared" si="413"/>
        <v>6.3682970567550956E-2</v>
      </c>
      <c r="I1347" s="336">
        <v>5.8146479179108534E-2</v>
      </c>
      <c r="J1347" s="258">
        <f t="shared" si="414"/>
        <v>5.8146479179108534E-2</v>
      </c>
      <c r="K1347" s="249">
        <f t="shared" si="415"/>
        <v>0.92158950590707023</v>
      </c>
      <c r="L1347" s="336">
        <v>0.84146804929692165</v>
      </c>
      <c r="M1347" s="258">
        <f t="shared" si="416"/>
        <v>0.84146804929692165</v>
      </c>
      <c r="N1347" s="251">
        <f t="shared" si="417"/>
        <v>0.10988434137146047</v>
      </c>
      <c r="O1347" s="336">
        <v>0.10033117976003041</v>
      </c>
      <c r="P1347" s="258">
        <f t="shared" si="418"/>
        <v>0.10033117976003041</v>
      </c>
      <c r="Q1347" s="354">
        <v>1.0708720930232558</v>
      </c>
      <c r="R1347" s="249">
        <f t="shared" si="419"/>
        <v>1.0952162790697675</v>
      </c>
      <c r="S1347" s="355">
        <v>0.1</v>
      </c>
      <c r="T1347" s="355"/>
      <c r="U1347" s="315">
        <f t="shared" si="408"/>
        <v>1.2047379069767443</v>
      </c>
      <c r="V1347" s="315">
        <f t="shared" si="409"/>
        <v>2</v>
      </c>
      <c r="W1347" s="316">
        <f t="shared" si="410"/>
        <v>0</v>
      </c>
    </row>
    <row r="1348" spans="1:23" x14ac:dyDescent="0.25">
      <c r="A1348" s="204" t="s">
        <v>17002</v>
      </c>
      <c r="B1348" s="351" t="s">
        <v>21063</v>
      </c>
      <c r="C1348" s="352"/>
      <c r="D1348" s="353" t="s">
        <v>14859</v>
      </c>
      <c r="E1348" s="249">
        <f t="shared" si="411"/>
        <v>0</v>
      </c>
      <c r="F1348" s="336">
        <v>0</v>
      </c>
      <c r="G1348" s="258">
        <f t="shared" si="412"/>
        <v>0</v>
      </c>
      <c r="H1348" s="249">
        <f t="shared" si="413"/>
        <v>10.954066648297953</v>
      </c>
      <c r="I1348" s="336">
        <v>5.8146479179108534E-2</v>
      </c>
      <c r="J1348" s="258">
        <f t="shared" si="414"/>
        <v>5.8146479179108534E-2</v>
      </c>
      <c r="K1348" s="249">
        <f t="shared" si="415"/>
        <v>158.53224374287419</v>
      </c>
      <c r="L1348" s="336">
        <v>0.8415223410608611</v>
      </c>
      <c r="M1348" s="258">
        <f t="shared" si="416"/>
        <v>0.8415223410608611</v>
      </c>
      <c r="N1348" s="251">
        <f t="shared" si="417"/>
        <v>18.901134608827839</v>
      </c>
      <c r="O1348" s="336">
        <v>0.10033117976003041</v>
      </c>
      <c r="P1348" s="258">
        <f t="shared" si="418"/>
        <v>0.10033117976003041</v>
      </c>
      <c r="Q1348" s="354">
        <v>184.19</v>
      </c>
      <c r="R1348" s="249">
        <f t="shared" si="419"/>
        <v>188.38744499999999</v>
      </c>
      <c r="S1348" s="355">
        <v>0.1</v>
      </c>
      <c r="T1348" s="355"/>
      <c r="U1348" s="315">
        <f t="shared" si="408"/>
        <v>207.22618949999998</v>
      </c>
      <c r="V1348" s="315">
        <f t="shared" si="409"/>
        <v>210</v>
      </c>
      <c r="W1348" s="316">
        <f t="shared" si="410"/>
        <v>0</v>
      </c>
    </row>
    <row r="1349" spans="1:23" x14ac:dyDescent="0.25">
      <c r="A1349" s="204" t="s">
        <v>17003</v>
      </c>
      <c r="B1349" s="351" t="s">
        <v>21064</v>
      </c>
      <c r="C1349" s="352"/>
      <c r="D1349" s="353" t="s">
        <v>5</v>
      </c>
      <c r="E1349" s="249">
        <f t="shared" si="411"/>
        <v>0</v>
      </c>
      <c r="F1349" s="336">
        <v>0</v>
      </c>
      <c r="G1349" s="258">
        <f t="shared" si="412"/>
        <v>0</v>
      </c>
      <c r="H1349" s="249">
        <f t="shared" si="413"/>
        <v>6.3685193133898393E-2</v>
      </c>
      <c r="I1349" s="336">
        <v>5.6971873129862363E-2</v>
      </c>
      <c r="J1349" s="258">
        <f t="shared" si="414"/>
        <v>5.6971873129862363E-2</v>
      </c>
      <c r="K1349" s="249">
        <f t="shared" si="415"/>
        <v>0.94420285758626421</v>
      </c>
      <c r="L1349" s="336">
        <v>0.84467052330607095</v>
      </c>
      <c r="M1349" s="258">
        <f t="shared" si="416"/>
        <v>0.84467052330607095</v>
      </c>
      <c r="N1349" s="251">
        <f t="shared" si="417"/>
        <v>0.10988817638790309</v>
      </c>
      <c r="O1349" s="336">
        <v>9.8304408537801716E-2</v>
      </c>
      <c r="P1349" s="258">
        <f t="shared" si="418"/>
        <v>9.8304408537801716E-2</v>
      </c>
      <c r="Q1349" s="354">
        <v>1.0929505813953488</v>
      </c>
      <c r="R1349" s="249">
        <f t="shared" si="419"/>
        <v>1.1178356904069768</v>
      </c>
      <c r="S1349" s="355">
        <v>0.1</v>
      </c>
      <c r="T1349" s="355"/>
      <c r="U1349" s="315">
        <f t="shared" si="408"/>
        <v>1.2296192594476745</v>
      </c>
      <c r="V1349" s="315">
        <f t="shared" si="409"/>
        <v>2</v>
      </c>
      <c r="W1349" s="316">
        <f t="shared" si="410"/>
        <v>0</v>
      </c>
    </row>
    <row r="1350" spans="1:23" x14ac:dyDescent="0.25">
      <c r="A1350" s="204" t="s">
        <v>17004</v>
      </c>
      <c r="B1350" s="351" t="s">
        <v>21065</v>
      </c>
      <c r="C1350" s="352"/>
      <c r="D1350" s="353" t="s">
        <v>14859</v>
      </c>
      <c r="E1350" s="249">
        <f t="shared" si="411"/>
        <v>0</v>
      </c>
      <c r="F1350" s="336">
        <v>0</v>
      </c>
      <c r="G1350" s="258">
        <f t="shared" si="412"/>
        <v>0</v>
      </c>
      <c r="H1350" s="249">
        <f t="shared" si="413"/>
        <v>10.954436895870737</v>
      </c>
      <c r="I1350" s="336">
        <v>5.697187312986237E-2</v>
      </c>
      <c r="J1350" s="258">
        <f t="shared" si="414"/>
        <v>5.697187312986237E-2</v>
      </c>
      <c r="K1350" s="249">
        <f t="shared" si="415"/>
        <v>162.42177338674446</v>
      </c>
      <c r="L1350" s="336">
        <v>0.84472371833233595</v>
      </c>
      <c r="M1350" s="258">
        <f t="shared" si="416"/>
        <v>0.84472371833233595</v>
      </c>
      <c r="N1350" s="251">
        <f t="shared" si="417"/>
        <v>18.9017734673848</v>
      </c>
      <c r="O1350" s="336">
        <v>9.830440853780173E-2</v>
      </c>
      <c r="P1350" s="258">
        <f t="shared" si="418"/>
        <v>9.830440853780173E-2</v>
      </c>
      <c r="Q1350" s="354">
        <v>187.98749999999998</v>
      </c>
      <c r="R1350" s="249">
        <f t="shared" si="419"/>
        <v>192.27798374999998</v>
      </c>
      <c r="S1350" s="355">
        <v>0.1</v>
      </c>
      <c r="T1350" s="355"/>
      <c r="U1350" s="315">
        <f t="shared" si="408"/>
        <v>211.50578212499997</v>
      </c>
      <c r="V1350" s="315">
        <f t="shared" si="409"/>
        <v>215</v>
      </c>
      <c r="W1350" s="316">
        <f t="shared" si="410"/>
        <v>0</v>
      </c>
    </row>
    <row r="1351" spans="1:23" x14ac:dyDescent="0.25">
      <c r="A1351" s="204" t="s">
        <v>17005</v>
      </c>
      <c r="B1351" s="351" t="s">
        <v>21066</v>
      </c>
      <c r="C1351" s="352"/>
      <c r="D1351" s="353" t="s">
        <v>5</v>
      </c>
      <c r="E1351" s="249">
        <f t="shared" si="411"/>
        <v>0</v>
      </c>
      <c r="F1351" s="336">
        <v>0</v>
      </c>
      <c r="G1351" s="258">
        <f t="shared" si="412"/>
        <v>0</v>
      </c>
      <c r="H1351" s="249">
        <f t="shared" si="413"/>
        <v>6.3685193133898393E-2</v>
      </c>
      <c r="I1351" s="336">
        <v>5.6971873129862363E-2</v>
      </c>
      <c r="J1351" s="258">
        <f t="shared" si="414"/>
        <v>5.6971873129862363E-2</v>
      </c>
      <c r="K1351" s="249">
        <f t="shared" si="415"/>
        <v>0.94420285758626421</v>
      </c>
      <c r="L1351" s="336">
        <v>0.84467052330607095</v>
      </c>
      <c r="M1351" s="258">
        <f t="shared" si="416"/>
        <v>0.84467052330607095</v>
      </c>
      <c r="N1351" s="251">
        <f t="shared" si="417"/>
        <v>0.10988817638790309</v>
      </c>
      <c r="O1351" s="336">
        <v>9.8304408537801716E-2</v>
      </c>
      <c r="P1351" s="258">
        <f t="shared" si="418"/>
        <v>9.8304408537801716E-2</v>
      </c>
      <c r="Q1351" s="354">
        <v>1.0929505813953488</v>
      </c>
      <c r="R1351" s="249">
        <f t="shared" si="419"/>
        <v>1.1178356904069768</v>
      </c>
      <c r="S1351" s="355">
        <v>0.1</v>
      </c>
      <c r="T1351" s="355"/>
      <c r="U1351" s="315">
        <f t="shared" si="408"/>
        <v>1.2296192594476745</v>
      </c>
      <c r="V1351" s="315">
        <f t="shared" si="409"/>
        <v>2</v>
      </c>
      <c r="W1351" s="316">
        <f t="shared" si="410"/>
        <v>0</v>
      </c>
    </row>
    <row r="1352" spans="1:23" x14ac:dyDescent="0.25">
      <c r="A1352" s="204" t="s">
        <v>17006</v>
      </c>
      <c r="B1352" s="351" t="s">
        <v>21067</v>
      </c>
      <c r="C1352" s="352"/>
      <c r="D1352" s="353" t="s">
        <v>14859</v>
      </c>
      <c r="E1352" s="249">
        <f t="shared" si="411"/>
        <v>0</v>
      </c>
      <c r="F1352" s="336">
        <v>0</v>
      </c>
      <c r="G1352" s="258">
        <f t="shared" si="412"/>
        <v>0</v>
      </c>
      <c r="H1352" s="249">
        <f t="shared" si="413"/>
        <v>10.954436895870737</v>
      </c>
      <c r="I1352" s="336">
        <v>5.697187312986237E-2</v>
      </c>
      <c r="J1352" s="258">
        <f t="shared" si="414"/>
        <v>5.697187312986237E-2</v>
      </c>
      <c r="K1352" s="249">
        <f t="shared" si="415"/>
        <v>162.42177338674446</v>
      </c>
      <c r="L1352" s="336">
        <v>0.84472371833233595</v>
      </c>
      <c r="M1352" s="258">
        <f t="shared" si="416"/>
        <v>0.84472371833233595</v>
      </c>
      <c r="N1352" s="251">
        <f t="shared" si="417"/>
        <v>18.9017734673848</v>
      </c>
      <c r="O1352" s="336">
        <v>9.830440853780173E-2</v>
      </c>
      <c r="P1352" s="258">
        <f t="shared" si="418"/>
        <v>9.830440853780173E-2</v>
      </c>
      <c r="Q1352" s="354">
        <v>187.98749999999998</v>
      </c>
      <c r="R1352" s="249">
        <f t="shared" si="419"/>
        <v>192.27798374999998</v>
      </c>
      <c r="S1352" s="355">
        <v>0.1</v>
      </c>
      <c r="T1352" s="355"/>
      <c r="U1352" s="315">
        <f t="shared" si="408"/>
        <v>211.50578212499997</v>
      </c>
      <c r="V1352" s="315">
        <f t="shared" si="409"/>
        <v>215</v>
      </c>
      <c r="W1352" s="316">
        <f t="shared" si="410"/>
        <v>0</v>
      </c>
    </row>
    <row r="1353" spans="1:23" x14ac:dyDescent="0.25">
      <c r="A1353" s="204" t="s">
        <v>17007</v>
      </c>
      <c r="B1353" s="351" t="s">
        <v>21068</v>
      </c>
      <c r="C1353" s="352"/>
      <c r="D1353" s="353" t="s">
        <v>5</v>
      </c>
      <c r="E1353" s="249">
        <f t="shared" si="411"/>
        <v>0</v>
      </c>
      <c r="F1353" s="336">
        <v>0</v>
      </c>
      <c r="G1353" s="258">
        <f t="shared" si="412"/>
        <v>0</v>
      </c>
      <c r="H1353" s="249">
        <f t="shared" si="413"/>
        <v>6.3688052700412959E-2</v>
      </c>
      <c r="I1353" s="336">
        <v>5.5460618300450529E-2</v>
      </c>
      <c r="J1353" s="258">
        <f t="shared" si="414"/>
        <v>5.5460618300450529E-2</v>
      </c>
      <c r="K1353" s="249">
        <f t="shared" si="415"/>
        <v>0.97470669637018548</v>
      </c>
      <c r="L1353" s="336">
        <v>0.84879084459634402</v>
      </c>
      <c r="M1353" s="258">
        <f t="shared" si="416"/>
        <v>0.84879084459634402</v>
      </c>
      <c r="N1353" s="251">
        <f t="shared" si="417"/>
        <v>0.10989311054188901</v>
      </c>
      <c r="O1353" s="336">
        <v>9.5696753145875404E-2</v>
      </c>
      <c r="P1353" s="258">
        <f t="shared" si="418"/>
        <v>9.5696753145875404E-2</v>
      </c>
      <c r="Q1353" s="354">
        <v>1.1227325581395349</v>
      </c>
      <c r="R1353" s="249">
        <f t="shared" si="419"/>
        <v>1.1483473255813954</v>
      </c>
      <c r="S1353" s="355">
        <v>0.1</v>
      </c>
      <c r="T1353" s="355"/>
      <c r="U1353" s="315">
        <f t="shared" si="408"/>
        <v>1.263182058139535</v>
      </c>
      <c r="V1353" s="315">
        <f t="shared" si="409"/>
        <v>2</v>
      </c>
      <c r="W1353" s="316">
        <f t="shared" si="410"/>
        <v>0</v>
      </c>
    </row>
    <row r="1354" spans="1:23" x14ac:dyDescent="0.25">
      <c r="A1354" s="204" t="s">
        <v>17008</v>
      </c>
      <c r="B1354" s="351" t="s">
        <v>21069</v>
      </c>
      <c r="C1354" s="352"/>
      <c r="D1354" s="353" t="s">
        <v>14859</v>
      </c>
      <c r="E1354" s="249">
        <f t="shared" si="411"/>
        <v>0</v>
      </c>
      <c r="F1354" s="336">
        <v>0</v>
      </c>
      <c r="G1354" s="258">
        <f t="shared" si="412"/>
        <v>0</v>
      </c>
      <c r="H1354" s="249">
        <f t="shared" si="413"/>
        <v>10.954913258505517</v>
      </c>
      <c r="I1354" s="336">
        <v>5.5460618300450529E-2</v>
      </c>
      <c r="J1354" s="258">
        <f t="shared" si="414"/>
        <v>5.5460618300450529E-2</v>
      </c>
      <c r="K1354" s="249">
        <f t="shared" si="415"/>
        <v>167.6684763150536</v>
      </c>
      <c r="L1354" s="336">
        <v>0.84884262855367409</v>
      </c>
      <c r="M1354" s="258">
        <f t="shared" si="416"/>
        <v>0.84884262855367409</v>
      </c>
      <c r="N1354" s="251">
        <f t="shared" si="417"/>
        <v>18.90259542644089</v>
      </c>
      <c r="O1354" s="336">
        <v>9.5696753145875418E-2</v>
      </c>
      <c r="P1354" s="258">
        <f t="shared" si="418"/>
        <v>9.5696753145875418E-2</v>
      </c>
      <c r="Q1354" s="354">
        <v>193.10999999999999</v>
      </c>
      <c r="R1354" s="249">
        <f t="shared" si="419"/>
        <v>197.52598499999999</v>
      </c>
      <c r="S1354" s="355">
        <v>0.1</v>
      </c>
      <c r="T1354" s="355"/>
      <c r="U1354" s="315">
        <f t="shared" si="408"/>
        <v>217.2785835</v>
      </c>
      <c r="V1354" s="315">
        <f t="shared" si="409"/>
        <v>220</v>
      </c>
      <c r="W1354" s="316">
        <f t="shared" si="410"/>
        <v>0</v>
      </c>
    </row>
    <row r="1355" spans="1:23" x14ac:dyDescent="0.25">
      <c r="A1355" s="204" t="s">
        <v>17009</v>
      </c>
      <c r="B1355" s="351" t="s">
        <v>21070</v>
      </c>
      <c r="C1355" s="352"/>
      <c r="D1355" s="353" t="s">
        <v>5</v>
      </c>
      <c r="E1355" s="249">
        <f t="shared" si="411"/>
        <v>0</v>
      </c>
      <c r="F1355" s="336">
        <v>0</v>
      </c>
      <c r="G1355" s="258">
        <f t="shared" si="412"/>
        <v>0</v>
      </c>
      <c r="H1355" s="249">
        <f t="shared" si="413"/>
        <v>6.3688052700412959E-2</v>
      </c>
      <c r="I1355" s="336">
        <v>5.5460618300450529E-2</v>
      </c>
      <c r="J1355" s="258">
        <f t="shared" si="414"/>
        <v>5.5460618300450529E-2</v>
      </c>
      <c r="K1355" s="249">
        <f t="shared" si="415"/>
        <v>0.97470669637018548</v>
      </c>
      <c r="L1355" s="336">
        <v>0.84879084459634402</v>
      </c>
      <c r="M1355" s="258">
        <f t="shared" si="416"/>
        <v>0.84879084459634402</v>
      </c>
      <c r="N1355" s="251">
        <f t="shared" si="417"/>
        <v>0.10989311054188901</v>
      </c>
      <c r="O1355" s="336">
        <v>9.5696753145875404E-2</v>
      </c>
      <c r="P1355" s="258">
        <f t="shared" si="418"/>
        <v>9.5696753145875404E-2</v>
      </c>
      <c r="Q1355" s="354">
        <v>1.1227325581395349</v>
      </c>
      <c r="R1355" s="249">
        <f t="shared" si="419"/>
        <v>1.1483473255813954</v>
      </c>
      <c r="S1355" s="355">
        <v>0.1</v>
      </c>
      <c r="T1355" s="355"/>
      <c r="U1355" s="315">
        <f t="shared" si="408"/>
        <v>1.263182058139535</v>
      </c>
      <c r="V1355" s="315">
        <f t="shared" si="409"/>
        <v>2</v>
      </c>
      <c r="W1355" s="316">
        <f t="shared" si="410"/>
        <v>0</v>
      </c>
    </row>
    <row r="1356" spans="1:23" x14ac:dyDescent="0.25">
      <c r="A1356" s="204" t="s">
        <v>17010</v>
      </c>
      <c r="B1356" s="351" t="s">
        <v>21071</v>
      </c>
      <c r="C1356" s="352"/>
      <c r="D1356" s="353" t="s">
        <v>14859</v>
      </c>
      <c r="E1356" s="249">
        <f t="shared" si="411"/>
        <v>0</v>
      </c>
      <c r="F1356" s="336">
        <v>0</v>
      </c>
      <c r="G1356" s="258">
        <f t="shared" si="412"/>
        <v>0</v>
      </c>
      <c r="H1356" s="249">
        <f t="shared" si="413"/>
        <v>10.954913258505517</v>
      </c>
      <c r="I1356" s="336">
        <v>5.5460618300450529E-2</v>
      </c>
      <c r="J1356" s="258">
        <f t="shared" si="414"/>
        <v>5.5460618300450529E-2</v>
      </c>
      <c r="K1356" s="249">
        <f t="shared" si="415"/>
        <v>167.6684763150536</v>
      </c>
      <c r="L1356" s="336">
        <v>0.84884262855367409</v>
      </c>
      <c r="M1356" s="258">
        <f t="shared" si="416"/>
        <v>0.84884262855367409</v>
      </c>
      <c r="N1356" s="251">
        <f t="shared" si="417"/>
        <v>18.90259542644089</v>
      </c>
      <c r="O1356" s="336">
        <v>9.5696753145875418E-2</v>
      </c>
      <c r="P1356" s="258">
        <f t="shared" si="418"/>
        <v>9.5696753145875418E-2</v>
      </c>
      <c r="Q1356" s="354">
        <v>193.10999999999999</v>
      </c>
      <c r="R1356" s="249">
        <f t="shared" si="419"/>
        <v>197.52598499999999</v>
      </c>
      <c r="S1356" s="355">
        <v>0.1</v>
      </c>
      <c r="T1356" s="355"/>
      <c r="U1356" s="315">
        <f t="shared" si="408"/>
        <v>217.2785835</v>
      </c>
      <c r="V1356" s="315">
        <f t="shared" si="409"/>
        <v>220</v>
      </c>
      <c r="W1356" s="316">
        <f t="shared" si="410"/>
        <v>0</v>
      </c>
    </row>
    <row r="1357" spans="1:23" x14ac:dyDescent="0.25">
      <c r="A1357" s="204" t="s">
        <v>17011</v>
      </c>
      <c r="B1357" s="351" t="s">
        <v>21072</v>
      </c>
      <c r="C1357" s="352"/>
      <c r="D1357" s="353" t="s">
        <v>5</v>
      </c>
      <c r="E1357" s="249">
        <f t="shared" si="411"/>
        <v>0</v>
      </c>
      <c r="F1357" s="336">
        <v>0</v>
      </c>
      <c r="G1357" s="258">
        <f t="shared" si="412"/>
        <v>0</v>
      </c>
      <c r="H1357" s="249">
        <f t="shared" si="413"/>
        <v>6.369076447956197E-2</v>
      </c>
      <c r="I1357" s="336">
        <v>5.4027467746207113E-2</v>
      </c>
      <c r="J1357" s="258">
        <f t="shared" si="414"/>
        <v>5.4027467746207113E-2</v>
      </c>
      <c r="K1357" s="249">
        <f t="shared" si="415"/>
        <v>1.0052109380851129</v>
      </c>
      <c r="L1357" s="336">
        <v>0.85269822052387978</v>
      </c>
      <c r="M1357" s="258">
        <f t="shared" si="416"/>
        <v>0.85269822052387978</v>
      </c>
      <c r="N1357" s="251">
        <f t="shared" si="417"/>
        <v>0.10989778969022458</v>
      </c>
      <c r="O1357" s="336">
        <v>9.3223865915024032E-2</v>
      </c>
      <c r="P1357" s="258">
        <f t="shared" si="418"/>
        <v>9.3223865915024032E-2</v>
      </c>
      <c r="Q1357" s="354">
        <v>1.1525145348837209</v>
      </c>
      <c r="R1357" s="249">
        <f t="shared" si="419"/>
        <v>1.178858960755814</v>
      </c>
      <c r="S1357" s="355">
        <v>0.1</v>
      </c>
      <c r="T1357" s="355"/>
      <c r="U1357" s="315">
        <f t="shared" si="408"/>
        <v>1.2967448568313953</v>
      </c>
      <c r="V1357" s="315">
        <f t="shared" si="409"/>
        <v>2</v>
      </c>
      <c r="W1357" s="316">
        <f t="shared" si="410"/>
        <v>0</v>
      </c>
    </row>
    <row r="1358" spans="1:23" x14ac:dyDescent="0.25">
      <c r="A1358" s="204" t="s">
        <v>17012</v>
      </c>
      <c r="B1358" s="351" t="s">
        <v>21073</v>
      </c>
      <c r="C1358" s="352"/>
      <c r="D1358" s="353" t="s">
        <v>14859</v>
      </c>
      <c r="E1358" s="249">
        <f t="shared" si="411"/>
        <v>0</v>
      </c>
      <c r="F1358" s="336">
        <v>0</v>
      </c>
      <c r="G1358" s="258">
        <f t="shared" si="412"/>
        <v>0</v>
      </c>
      <c r="H1358" s="249">
        <f t="shared" si="413"/>
        <v>10.955365001891719</v>
      </c>
      <c r="I1358" s="336">
        <v>5.4027467746207113E-2</v>
      </c>
      <c r="J1358" s="258">
        <f t="shared" si="414"/>
        <v>5.4027467746207113E-2</v>
      </c>
      <c r="K1358" s="249">
        <f t="shared" si="415"/>
        <v>172.91524634288334</v>
      </c>
      <c r="L1358" s="336">
        <v>0.85274866633876889</v>
      </c>
      <c r="M1358" s="258">
        <f t="shared" si="416"/>
        <v>0.85274866633876889</v>
      </c>
      <c r="N1358" s="251">
        <f t="shared" si="417"/>
        <v>18.903374905224926</v>
      </c>
      <c r="O1358" s="336">
        <v>9.3223865915024032E-2</v>
      </c>
      <c r="P1358" s="258">
        <f t="shared" si="418"/>
        <v>9.3223865915024032E-2</v>
      </c>
      <c r="Q1358" s="354">
        <v>198.23249999999999</v>
      </c>
      <c r="R1358" s="249">
        <f t="shared" si="419"/>
        <v>202.77398624999998</v>
      </c>
      <c r="S1358" s="355">
        <v>0.1</v>
      </c>
      <c r="T1358" s="355"/>
      <c r="U1358" s="315">
        <f t="shared" si="408"/>
        <v>223.05138487499997</v>
      </c>
      <c r="V1358" s="315">
        <f t="shared" si="409"/>
        <v>225</v>
      </c>
      <c r="W1358" s="316">
        <f t="shared" si="410"/>
        <v>0</v>
      </c>
    </row>
    <row r="1359" spans="1:23" x14ac:dyDescent="0.25">
      <c r="A1359" s="204" t="s">
        <v>17013</v>
      </c>
      <c r="B1359" s="351" t="s">
        <v>21074</v>
      </c>
      <c r="C1359" s="352"/>
      <c r="D1359" s="353" t="s">
        <v>5</v>
      </c>
      <c r="E1359" s="249">
        <f t="shared" si="411"/>
        <v>0</v>
      </c>
      <c r="F1359" s="336">
        <v>0</v>
      </c>
      <c r="G1359" s="258">
        <f t="shared" si="412"/>
        <v>0</v>
      </c>
      <c r="H1359" s="249">
        <f t="shared" si="413"/>
        <v>6.3695788251158111E-2</v>
      </c>
      <c r="I1359" s="336">
        <v>5.137245026441703E-2</v>
      </c>
      <c r="J1359" s="258">
        <f t="shared" si="414"/>
        <v>5.137245026441703E-2</v>
      </c>
      <c r="K1359" s="249">
        <f t="shared" si="415"/>
        <v>1.0662205115029875</v>
      </c>
      <c r="L1359" s="336">
        <v>0.85993692364883501</v>
      </c>
      <c r="M1359" s="258">
        <f t="shared" si="416"/>
        <v>0.85993692364883501</v>
      </c>
      <c r="N1359" s="251">
        <f t="shared" si="417"/>
        <v>0.10990645815886105</v>
      </c>
      <c r="O1359" s="336">
        <v>8.8642659279778394E-2</v>
      </c>
      <c r="P1359" s="258">
        <f t="shared" si="418"/>
        <v>8.8642659279778394E-2</v>
      </c>
      <c r="Q1359" s="354">
        <v>1.212078488372093</v>
      </c>
      <c r="R1359" s="249">
        <f t="shared" si="419"/>
        <v>1.2398822311046511</v>
      </c>
      <c r="S1359" s="355">
        <v>0.1</v>
      </c>
      <c r="T1359" s="355"/>
      <c r="U1359" s="315">
        <f t="shared" si="408"/>
        <v>1.3638704542151163</v>
      </c>
      <c r="V1359" s="315">
        <f t="shared" si="409"/>
        <v>2</v>
      </c>
      <c r="W1359" s="316">
        <f t="shared" si="410"/>
        <v>0</v>
      </c>
    </row>
    <row r="1360" spans="1:23" x14ac:dyDescent="0.25">
      <c r="A1360" s="204" t="s">
        <v>17014</v>
      </c>
      <c r="B1360" s="351" t="s">
        <v>21075</v>
      </c>
      <c r="C1360" s="352"/>
      <c r="D1360" s="353" t="s">
        <v>14859</v>
      </c>
      <c r="E1360" s="249">
        <f t="shared" si="411"/>
        <v>0</v>
      </c>
      <c r="F1360" s="336">
        <v>0</v>
      </c>
      <c r="G1360" s="258">
        <f t="shared" si="412"/>
        <v>0</v>
      </c>
      <c r="H1360" s="249">
        <f t="shared" si="413"/>
        <v>10.956201889952153</v>
      </c>
      <c r="I1360" s="336">
        <v>5.137245026441703E-2</v>
      </c>
      <c r="J1360" s="258">
        <f t="shared" si="414"/>
        <v>5.137245026441703E-2</v>
      </c>
      <c r="K1360" s="249">
        <f t="shared" si="415"/>
        <v>183.40896791267943</v>
      </c>
      <c r="L1360" s="336">
        <v>0.85998489045580462</v>
      </c>
      <c r="M1360" s="258">
        <f t="shared" si="416"/>
        <v>0.85998489045580462</v>
      </c>
      <c r="N1360" s="251">
        <f t="shared" si="417"/>
        <v>18.904818947368419</v>
      </c>
      <c r="O1360" s="336">
        <v>8.8642659279778394E-2</v>
      </c>
      <c r="P1360" s="258">
        <f t="shared" si="418"/>
        <v>8.8642659279778394E-2</v>
      </c>
      <c r="Q1360" s="354">
        <v>208.47749999999999</v>
      </c>
      <c r="R1360" s="249">
        <f t="shared" si="419"/>
        <v>213.26998874999998</v>
      </c>
      <c r="S1360" s="355">
        <v>0.1</v>
      </c>
      <c r="T1360" s="355"/>
      <c r="U1360" s="315">
        <f t="shared" si="408"/>
        <v>234.596987625</v>
      </c>
      <c r="V1360" s="315">
        <f t="shared" si="409"/>
        <v>235</v>
      </c>
      <c r="W1360" s="316">
        <f t="shared" si="410"/>
        <v>0</v>
      </c>
    </row>
    <row r="1361" spans="1:23" x14ac:dyDescent="0.25">
      <c r="A1361" s="204" t="s">
        <v>17015</v>
      </c>
      <c r="B1361" s="351" t="s">
        <v>21076</v>
      </c>
      <c r="C1361" s="352"/>
      <c r="D1361" s="353" t="s">
        <v>5</v>
      </c>
      <c r="E1361" s="249">
        <f t="shared" si="411"/>
        <v>0</v>
      </c>
      <c r="F1361" s="336">
        <v>0</v>
      </c>
      <c r="G1361" s="258">
        <f t="shared" si="412"/>
        <v>0</v>
      </c>
      <c r="H1361" s="249">
        <f t="shared" si="413"/>
        <v>6.3695788251158111E-2</v>
      </c>
      <c r="I1361" s="336">
        <v>5.137245026441703E-2</v>
      </c>
      <c r="J1361" s="258">
        <f t="shared" si="414"/>
        <v>5.137245026441703E-2</v>
      </c>
      <c r="K1361" s="249">
        <f t="shared" si="415"/>
        <v>1.0662205115029875</v>
      </c>
      <c r="L1361" s="336">
        <v>0.85993692364883501</v>
      </c>
      <c r="M1361" s="258">
        <f t="shared" si="416"/>
        <v>0.85993692364883501</v>
      </c>
      <c r="N1361" s="251">
        <f t="shared" si="417"/>
        <v>0.10990645815886105</v>
      </c>
      <c r="O1361" s="336">
        <v>8.8642659279778394E-2</v>
      </c>
      <c r="P1361" s="258">
        <f t="shared" si="418"/>
        <v>8.8642659279778394E-2</v>
      </c>
      <c r="Q1361" s="354">
        <v>1.212078488372093</v>
      </c>
      <c r="R1361" s="249">
        <f t="shared" si="419"/>
        <v>1.2398822311046511</v>
      </c>
      <c r="S1361" s="355">
        <v>0.1</v>
      </c>
      <c r="T1361" s="355"/>
      <c r="U1361" s="315">
        <f t="shared" si="408"/>
        <v>1.3638704542151163</v>
      </c>
      <c r="V1361" s="315">
        <f t="shared" si="409"/>
        <v>2</v>
      </c>
      <c r="W1361" s="316">
        <f t="shared" si="410"/>
        <v>0</v>
      </c>
    </row>
    <row r="1362" spans="1:23" x14ac:dyDescent="0.25">
      <c r="A1362" s="204" t="s">
        <v>17016</v>
      </c>
      <c r="B1362" s="351" t="s">
        <v>21077</v>
      </c>
      <c r="C1362" s="352"/>
      <c r="D1362" s="353" t="s">
        <v>14859</v>
      </c>
      <c r="E1362" s="249">
        <f t="shared" si="411"/>
        <v>0</v>
      </c>
      <c r="F1362" s="336">
        <v>0</v>
      </c>
      <c r="G1362" s="258">
        <f t="shared" si="412"/>
        <v>0</v>
      </c>
      <c r="H1362" s="249">
        <f t="shared" si="413"/>
        <v>10.956201889952153</v>
      </c>
      <c r="I1362" s="336">
        <v>5.137245026441703E-2</v>
      </c>
      <c r="J1362" s="258">
        <f t="shared" si="414"/>
        <v>5.137245026441703E-2</v>
      </c>
      <c r="K1362" s="249">
        <f t="shared" si="415"/>
        <v>183.40896791267943</v>
      </c>
      <c r="L1362" s="336">
        <v>0.85998489045580462</v>
      </c>
      <c r="M1362" s="258">
        <f t="shared" si="416"/>
        <v>0.85998489045580462</v>
      </c>
      <c r="N1362" s="251">
        <f t="shared" si="417"/>
        <v>18.904818947368419</v>
      </c>
      <c r="O1362" s="336">
        <v>8.8642659279778394E-2</v>
      </c>
      <c r="P1362" s="258">
        <f t="shared" si="418"/>
        <v>8.8642659279778394E-2</v>
      </c>
      <c r="Q1362" s="354">
        <v>208.47749999999999</v>
      </c>
      <c r="R1362" s="249">
        <f t="shared" si="419"/>
        <v>213.26998874999998</v>
      </c>
      <c r="S1362" s="355">
        <v>0.1</v>
      </c>
      <c r="T1362" s="355"/>
      <c r="U1362" s="315">
        <f t="shared" si="408"/>
        <v>234.596987625</v>
      </c>
      <c r="V1362" s="315">
        <f t="shared" si="409"/>
        <v>235</v>
      </c>
      <c r="W1362" s="316">
        <f t="shared" si="410"/>
        <v>0</v>
      </c>
    </row>
    <row r="1363" spans="1:23" x14ac:dyDescent="0.25">
      <c r="A1363" s="204" t="s">
        <v>17017</v>
      </c>
      <c r="B1363" s="351" t="s">
        <v>21078</v>
      </c>
      <c r="C1363" s="352"/>
      <c r="D1363" s="353" t="s">
        <v>5</v>
      </c>
      <c r="E1363" s="249">
        <f t="shared" si="411"/>
        <v>0</v>
      </c>
      <c r="F1363" s="336">
        <v>0</v>
      </c>
      <c r="G1363" s="258">
        <f t="shared" si="412"/>
        <v>0</v>
      </c>
      <c r="H1363" s="249">
        <f t="shared" si="413"/>
        <v>6.3695788251158111E-2</v>
      </c>
      <c r="I1363" s="336">
        <v>5.137245026441703E-2</v>
      </c>
      <c r="J1363" s="258">
        <f t="shared" si="414"/>
        <v>5.137245026441703E-2</v>
      </c>
      <c r="K1363" s="249">
        <f t="shared" si="415"/>
        <v>1.0662205115029875</v>
      </c>
      <c r="L1363" s="336">
        <v>0.85993692364883501</v>
      </c>
      <c r="M1363" s="258">
        <f t="shared" si="416"/>
        <v>0.85993692364883501</v>
      </c>
      <c r="N1363" s="251">
        <f t="shared" si="417"/>
        <v>0.10990645815886105</v>
      </c>
      <c r="O1363" s="336">
        <v>8.8642659279778394E-2</v>
      </c>
      <c r="P1363" s="258">
        <f t="shared" si="418"/>
        <v>8.8642659279778394E-2</v>
      </c>
      <c r="Q1363" s="354">
        <v>1.212078488372093</v>
      </c>
      <c r="R1363" s="249">
        <f t="shared" si="419"/>
        <v>1.2398822311046511</v>
      </c>
      <c r="S1363" s="355">
        <v>0.1</v>
      </c>
      <c r="T1363" s="355"/>
      <c r="U1363" s="315">
        <f t="shared" si="408"/>
        <v>1.3638704542151163</v>
      </c>
      <c r="V1363" s="315">
        <f t="shared" si="409"/>
        <v>2</v>
      </c>
      <c r="W1363" s="316">
        <f t="shared" si="410"/>
        <v>0</v>
      </c>
    </row>
    <row r="1364" spans="1:23" x14ac:dyDescent="0.25">
      <c r="A1364" s="204" t="s">
        <v>17018</v>
      </c>
      <c r="B1364" s="351" t="s">
        <v>21079</v>
      </c>
      <c r="C1364" s="352"/>
      <c r="D1364" s="353" t="s">
        <v>14859</v>
      </c>
      <c r="E1364" s="249">
        <f t="shared" si="411"/>
        <v>0</v>
      </c>
      <c r="F1364" s="336">
        <v>0</v>
      </c>
      <c r="G1364" s="258">
        <f t="shared" si="412"/>
        <v>0</v>
      </c>
      <c r="H1364" s="249">
        <f t="shared" si="413"/>
        <v>10.956201889952153</v>
      </c>
      <c r="I1364" s="336">
        <v>5.137245026441703E-2</v>
      </c>
      <c r="J1364" s="258">
        <f t="shared" si="414"/>
        <v>5.137245026441703E-2</v>
      </c>
      <c r="K1364" s="249">
        <f t="shared" si="415"/>
        <v>183.40896791267943</v>
      </c>
      <c r="L1364" s="336">
        <v>0.85998489045580462</v>
      </c>
      <c r="M1364" s="258">
        <f t="shared" si="416"/>
        <v>0.85998489045580462</v>
      </c>
      <c r="N1364" s="251">
        <f t="shared" si="417"/>
        <v>18.904818947368419</v>
      </c>
      <c r="O1364" s="336">
        <v>8.8642659279778394E-2</v>
      </c>
      <c r="P1364" s="258">
        <f t="shared" si="418"/>
        <v>8.8642659279778394E-2</v>
      </c>
      <c r="Q1364" s="354">
        <v>208.47749999999999</v>
      </c>
      <c r="R1364" s="249">
        <f t="shared" si="419"/>
        <v>213.26998874999998</v>
      </c>
      <c r="S1364" s="355">
        <v>0.1</v>
      </c>
      <c r="T1364" s="355"/>
      <c r="U1364" s="315">
        <f t="shared" si="408"/>
        <v>234.596987625</v>
      </c>
      <c r="V1364" s="315">
        <f t="shared" si="409"/>
        <v>235</v>
      </c>
      <c r="W1364" s="316">
        <f t="shared" si="410"/>
        <v>0</v>
      </c>
    </row>
    <row r="1365" spans="1:23" x14ac:dyDescent="0.25">
      <c r="A1365" s="204" t="s">
        <v>17019</v>
      </c>
      <c r="B1365" s="351" t="s">
        <v>21080</v>
      </c>
      <c r="C1365" s="352"/>
      <c r="D1365" s="353" t="s">
        <v>5</v>
      </c>
      <c r="E1365" s="249">
        <f t="shared" si="411"/>
        <v>0</v>
      </c>
      <c r="F1365" s="336">
        <v>0</v>
      </c>
      <c r="G1365" s="258">
        <f t="shared" si="412"/>
        <v>0</v>
      </c>
      <c r="H1365" s="249">
        <f t="shared" si="413"/>
        <v>6.37003413940809E-2</v>
      </c>
      <c r="I1365" s="336">
        <v>4.8966155745293699E-2</v>
      </c>
      <c r="J1365" s="258">
        <f t="shared" si="414"/>
        <v>4.8966155745293699E-2</v>
      </c>
      <c r="K1365" s="249">
        <f t="shared" si="415"/>
        <v>1.1272313680541266</v>
      </c>
      <c r="L1365" s="336">
        <v>0.86649750254317681</v>
      </c>
      <c r="M1365" s="258">
        <f t="shared" si="416"/>
        <v>0.86649750254317681</v>
      </c>
      <c r="N1365" s="251">
        <f t="shared" si="417"/>
        <v>0.10991431456233566</v>
      </c>
      <c r="O1365" s="336">
        <v>8.4490621678153827E-2</v>
      </c>
      <c r="P1365" s="258">
        <f t="shared" si="418"/>
        <v>8.4490621678153827E-2</v>
      </c>
      <c r="Q1365" s="354">
        <v>1.271642441860465</v>
      </c>
      <c r="R1365" s="249">
        <f t="shared" si="419"/>
        <v>1.3009055014534883</v>
      </c>
      <c r="S1365" s="355">
        <v>0.1</v>
      </c>
      <c r="T1365" s="355"/>
      <c r="U1365" s="315">
        <f t="shared" si="408"/>
        <v>1.4309960515988371</v>
      </c>
      <c r="V1365" s="315">
        <f t="shared" si="409"/>
        <v>2</v>
      </c>
      <c r="W1365" s="316">
        <f t="shared" si="410"/>
        <v>0</v>
      </c>
    </row>
    <row r="1366" spans="1:23" x14ac:dyDescent="0.25">
      <c r="A1366" s="204" t="s">
        <v>17020</v>
      </c>
      <c r="B1366" s="351" t="s">
        <v>21081</v>
      </c>
      <c r="C1366" s="352"/>
      <c r="D1366" s="353" t="s">
        <v>14859</v>
      </c>
      <c r="E1366" s="249">
        <f t="shared" si="411"/>
        <v>0</v>
      </c>
      <c r="F1366" s="336">
        <v>0</v>
      </c>
      <c r="G1366" s="258">
        <f t="shared" si="412"/>
        <v>0</v>
      </c>
      <c r="H1366" s="249">
        <f t="shared" si="413"/>
        <v>10.956960378047526</v>
      </c>
      <c r="I1366" s="336">
        <v>4.8966155745293699E-2</v>
      </c>
      <c r="J1366" s="258">
        <f t="shared" si="414"/>
        <v>4.8966155745293699E-2</v>
      </c>
      <c r="K1366" s="249">
        <f t="shared" si="415"/>
        <v>193.90290316081163</v>
      </c>
      <c r="L1366" s="336">
        <v>0.86654322257655247</v>
      </c>
      <c r="M1366" s="258">
        <f t="shared" si="416"/>
        <v>0.86654322257655247</v>
      </c>
      <c r="N1366" s="251">
        <f t="shared" si="417"/>
        <v>18.906127711140829</v>
      </c>
      <c r="O1366" s="336">
        <v>8.4490621678153827E-2</v>
      </c>
      <c r="P1366" s="258">
        <f t="shared" si="418"/>
        <v>8.4490621678153827E-2</v>
      </c>
      <c r="Q1366" s="354">
        <v>218.7225</v>
      </c>
      <c r="R1366" s="249">
        <f t="shared" si="419"/>
        <v>223.76599124999998</v>
      </c>
      <c r="S1366" s="355">
        <v>0.1</v>
      </c>
      <c r="T1366" s="355"/>
      <c r="U1366" s="315">
        <f t="shared" si="408"/>
        <v>246.142590375</v>
      </c>
      <c r="V1366" s="315">
        <f t="shared" si="409"/>
        <v>250</v>
      </c>
      <c r="W1366" s="316">
        <f t="shared" si="410"/>
        <v>0</v>
      </c>
    </row>
    <row r="1367" spans="1:23" x14ac:dyDescent="0.25">
      <c r="A1367" s="204" t="s">
        <v>17021</v>
      </c>
      <c r="B1367" s="351" t="s">
        <v>21082</v>
      </c>
      <c r="C1367" s="352"/>
      <c r="D1367" s="353" t="s">
        <v>5</v>
      </c>
      <c r="E1367" s="249">
        <f t="shared" si="411"/>
        <v>0</v>
      </c>
      <c r="F1367" s="336">
        <v>0</v>
      </c>
      <c r="G1367" s="258">
        <f t="shared" si="412"/>
        <v>0</v>
      </c>
      <c r="H1367" s="249">
        <f t="shared" si="413"/>
        <v>6.37003413940809E-2</v>
      </c>
      <c r="I1367" s="336">
        <v>4.8966155745293699E-2</v>
      </c>
      <c r="J1367" s="258">
        <f t="shared" si="414"/>
        <v>4.8966155745293699E-2</v>
      </c>
      <c r="K1367" s="249">
        <f t="shared" si="415"/>
        <v>1.1272313680541266</v>
      </c>
      <c r="L1367" s="336">
        <v>0.86649750254317681</v>
      </c>
      <c r="M1367" s="258">
        <f t="shared" si="416"/>
        <v>0.86649750254317681</v>
      </c>
      <c r="N1367" s="251">
        <f t="shared" si="417"/>
        <v>0.10991431456233566</v>
      </c>
      <c r="O1367" s="336">
        <v>8.4490621678153827E-2</v>
      </c>
      <c r="P1367" s="258">
        <f t="shared" si="418"/>
        <v>8.4490621678153827E-2</v>
      </c>
      <c r="Q1367" s="354">
        <v>1.271642441860465</v>
      </c>
      <c r="R1367" s="249">
        <f t="shared" si="419"/>
        <v>1.3009055014534883</v>
      </c>
      <c r="S1367" s="355">
        <v>0.1</v>
      </c>
      <c r="T1367" s="355"/>
      <c r="U1367" s="315">
        <f t="shared" si="408"/>
        <v>1.4309960515988371</v>
      </c>
      <c r="V1367" s="315">
        <f t="shared" si="409"/>
        <v>2</v>
      </c>
      <c r="W1367" s="316">
        <f t="shared" si="410"/>
        <v>0</v>
      </c>
    </row>
    <row r="1368" spans="1:23" x14ac:dyDescent="0.25">
      <c r="A1368" s="204" t="s">
        <v>17022</v>
      </c>
      <c r="B1368" s="351" t="s">
        <v>21083</v>
      </c>
      <c r="C1368" s="352"/>
      <c r="D1368" s="353" t="s">
        <v>14859</v>
      </c>
      <c r="E1368" s="249">
        <f t="shared" si="411"/>
        <v>0</v>
      </c>
      <c r="F1368" s="336">
        <v>0</v>
      </c>
      <c r="G1368" s="258">
        <f t="shared" si="412"/>
        <v>0</v>
      </c>
      <c r="H1368" s="249">
        <f t="shared" si="413"/>
        <v>10.956960378047526</v>
      </c>
      <c r="I1368" s="336">
        <v>4.8966155745293699E-2</v>
      </c>
      <c r="J1368" s="258">
        <f t="shared" si="414"/>
        <v>4.8966155745293699E-2</v>
      </c>
      <c r="K1368" s="249">
        <f t="shared" si="415"/>
        <v>193.90290316081163</v>
      </c>
      <c r="L1368" s="336">
        <v>0.86654322257655247</v>
      </c>
      <c r="M1368" s="258">
        <f t="shared" si="416"/>
        <v>0.86654322257655247</v>
      </c>
      <c r="N1368" s="251">
        <f t="shared" si="417"/>
        <v>18.906127711140829</v>
      </c>
      <c r="O1368" s="336">
        <v>8.4490621678153827E-2</v>
      </c>
      <c r="P1368" s="258">
        <f t="shared" si="418"/>
        <v>8.4490621678153827E-2</v>
      </c>
      <c r="Q1368" s="354">
        <v>218.7225</v>
      </c>
      <c r="R1368" s="249">
        <f t="shared" si="419"/>
        <v>223.76599124999998</v>
      </c>
      <c r="S1368" s="355">
        <v>0.1</v>
      </c>
      <c r="T1368" s="355"/>
      <c r="U1368" s="315">
        <f t="shared" si="408"/>
        <v>246.142590375</v>
      </c>
      <c r="V1368" s="315">
        <f t="shared" si="409"/>
        <v>250</v>
      </c>
      <c r="W1368" s="316">
        <f t="shared" si="410"/>
        <v>0</v>
      </c>
    </row>
    <row r="1369" spans="1:23" x14ac:dyDescent="0.25">
      <c r="A1369" s="204" t="s">
        <v>17023</v>
      </c>
      <c r="B1369" s="351" t="s">
        <v>21084</v>
      </c>
      <c r="C1369" s="352"/>
      <c r="D1369" s="353" t="s">
        <v>5</v>
      </c>
      <c r="E1369" s="249">
        <f t="shared" si="411"/>
        <v>0</v>
      </c>
      <c r="F1369" s="336">
        <v>0</v>
      </c>
      <c r="G1369" s="258">
        <f t="shared" si="412"/>
        <v>0</v>
      </c>
      <c r="H1369" s="249">
        <f t="shared" si="413"/>
        <v>6.37003413940809E-2</v>
      </c>
      <c r="I1369" s="336">
        <v>4.8966155745293699E-2</v>
      </c>
      <c r="J1369" s="258">
        <f t="shared" si="414"/>
        <v>4.8966155745293699E-2</v>
      </c>
      <c r="K1369" s="249">
        <f t="shared" si="415"/>
        <v>1.1272313680541266</v>
      </c>
      <c r="L1369" s="336">
        <v>0.86649750254317681</v>
      </c>
      <c r="M1369" s="258">
        <f t="shared" si="416"/>
        <v>0.86649750254317681</v>
      </c>
      <c r="N1369" s="251">
        <f t="shared" si="417"/>
        <v>0.10991431456233566</v>
      </c>
      <c r="O1369" s="336">
        <v>8.4490621678153827E-2</v>
      </c>
      <c r="P1369" s="258">
        <f t="shared" si="418"/>
        <v>8.4490621678153827E-2</v>
      </c>
      <c r="Q1369" s="354">
        <v>1.271642441860465</v>
      </c>
      <c r="R1369" s="249">
        <f t="shared" si="419"/>
        <v>1.3009055014534883</v>
      </c>
      <c r="S1369" s="355">
        <v>0.1</v>
      </c>
      <c r="T1369" s="355"/>
      <c r="U1369" s="315">
        <f t="shared" si="408"/>
        <v>1.4309960515988371</v>
      </c>
      <c r="V1369" s="315">
        <f t="shared" si="409"/>
        <v>2</v>
      </c>
      <c r="W1369" s="316">
        <f t="shared" si="410"/>
        <v>0</v>
      </c>
    </row>
    <row r="1370" spans="1:23" x14ac:dyDescent="0.25">
      <c r="A1370" s="204" t="s">
        <v>17024</v>
      </c>
      <c r="B1370" s="351" t="s">
        <v>21085</v>
      </c>
      <c r="C1370" s="352"/>
      <c r="D1370" s="353" t="s">
        <v>14859</v>
      </c>
      <c r="E1370" s="249">
        <f t="shared" si="411"/>
        <v>0</v>
      </c>
      <c r="F1370" s="336">
        <v>0</v>
      </c>
      <c r="G1370" s="258">
        <f t="shared" si="412"/>
        <v>0</v>
      </c>
      <c r="H1370" s="249">
        <f t="shared" si="413"/>
        <v>10.956960378047526</v>
      </c>
      <c r="I1370" s="336">
        <v>4.8966155745293699E-2</v>
      </c>
      <c r="J1370" s="258">
        <f t="shared" si="414"/>
        <v>4.8966155745293699E-2</v>
      </c>
      <c r="K1370" s="249">
        <f t="shared" si="415"/>
        <v>193.90290316081163</v>
      </c>
      <c r="L1370" s="336">
        <v>0.86654322257655247</v>
      </c>
      <c r="M1370" s="258">
        <f t="shared" si="416"/>
        <v>0.86654322257655247</v>
      </c>
      <c r="N1370" s="251">
        <f t="shared" si="417"/>
        <v>18.906127711140829</v>
      </c>
      <c r="O1370" s="336">
        <v>8.4490621678153827E-2</v>
      </c>
      <c r="P1370" s="258">
        <f t="shared" si="418"/>
        <v>8.4490621678153827E-2</v>
      </c>
      <c r="Q1370" s="354">
        <v>218.7225</v>
      </c>
      <c r="R1370" s="249">
        <f t="shared" si="419"/>
        <v>223.76599124999998</v>
      </c>
      <c r="S1370" s="355">
        <v>0.1</v>
      </c>
      <c r="T1370" s="355"/>
      <c r="U1370" s="315">
        <f t="shared" si="408"/>
        <v>246.142590375</v>
      </c>
      <c r="V1370" s="315">
        <f t="shared" si="409"/>
        <v>250</v>
      </c>
      <c r="W1370" s="316">
        <f t="shared" si="410"/>
        <v>0</v>
      </c>
    </row>
    <row r="1371" spans="1:23" x14ac:dyDescent="0.25">
      <c r="A1371" s="204" t="s">
        <v>17025</v>
      </c>
      <c r="B1371" s="351" t="s">
        <v>21086</v>
      </c>
      <c r="C1371" s="352"/>
      <c r="D1371" s="353" t="s">
        <v>5</v>
      </c>
      <c r="E1371" s="249">
        <f t="shared" si="411"/>
        <v>0</v>
      </c>
      <c r="F1371" s="336">
        <v>0</v>
      </c>
      <c r="G1371" s="258">
        <f t="shared" si="412"/>
        <v>0</v>
      </c>
      <c r="H1371" s="249">
        <f t="shared" si="413"/>
        <v>6.3702874137348514E-2</v>
      </c>
      <c r="I1371" s="336">
        <v>4.7627624021932727E-2</v>
      </c>
      <c r="J1371" s="258">
        <f t="shared" si="414"/>
        <v>4.7627624021932727E-2</v>
      </c>
      <c r="K1371" s="249">
        <f t="shared" si="415"/>
        <v>1.1638384249316445</v>
      </c>
      <c r="L1371" s="336">
        <v>0.87014690742853074</v>
      </c>
      <c r="M1371" s="258">
        <f t="shared" si="416"/>
        <v>0.87014690742853074</v>
      </c>
      <c r="N1371" s="251">
        <f t="shared" si="417"/>
        <v>0.10991868478601309</v>
      </c>
      <c r="O1371" s="336">
        <v>8.2180998312354495E-2</v>
      </c>
      <c r="P1371" s="258">
        <f t="shared" si="418"/>
        <v>8.2180998312354495E-2</v>
      </c>
      <c r="Q1371" s="354">
        <v>1.3073808139534884</v>
      </c>
      <c r="R1371" s="249">
        <f t="shared" si="419"/>
        <v>1.3375194636627907</v>
      </c>
      <c r="S1371" s="355">
        <v>0.1</v>
      </c>
      <c r="T1371" s="355"/>
      <c r="U1371" s="315">
        <f t="shared" si="408"/>
        <v>1.4712714100290698</v>
      </c>
      <c r="V1371" s="315">
        <f t="shared" si="409"/>
        <v>2</v>
      </c>
      <c r="W1371" s="316">
        <f t="shared" si="410"/>
        <v>0</v>
      </c>
    </row>
    <row r="1372" spans="1:23" x14ac:dyDescent="0.25">
      <c r="A1372" s="204" t="s">
        <v>17026</v>
      </c>
      <c r="B1372" s="351" t="s">
        <v>21087</v>
      </c>
      <c r="C1372" s="352"/>
      <c r="D1372" s="353" t="s">
        <v>14859</v>
      </c>
      <c r="E1372" s="249">
        <f t="shared" si="411"/>
        <v>0</v>
      </c>
      <c r="F1372" s="336">
        <v>0</v>
      </c>
      <c r="G1372" s="258">
        <f t="shared" si="412"/>
        <v>0</v>
      </c>
      <c r="H1372" s="249">
        <f t="shared" si="413"/>
        <v>10.957382296632046</v>
      </c>
      <c r="I1372" s="336">
        <v>4.7627624021932727E-2</v>
      </c>
      <c r="J1372" s="258">
        <f t="shared" si="414"/>
        <v>4.7627624021932727E-2</v>
      </c>
      <c r="K1372" s="249">
        <f t="shared" si="415"/>
        <v>200.19935472584595</v>
      </c>
      <c r="L1372" s="336">
        <v>0.87019137766571275</v>
      </c>
      <c r="M1372" s="258">
        <f t="shared" si="416"/>
        <v>0.87019137766571275</v>
      </c>
      <c r="N1372" s="251">
        <f t="shared" si="417"/>
        <v>18.906855727521961</v>
      </c>
      <c r="O1372" s="336">
        <v>8.2180998312354508E-2</v>
      </c>
      <c r="P1372" s="258">
        <f t="shared" si="418"/>
        <v>8.2180998312354508E-2</v>
      </c>
      <c r="Q1372" s="354">
        <v>224.86949999999999</v>
      </c>
      <c r="R1372" s="249">
        <f t="shared" si="419"/>
        <v>230.06359274999997</v>
      </c>
      <c r="S1372" s="355">
        <v>0.1</v>
      </c>
      <c r="T1372" s="355"/>
      <c r="U1372" s="315">
        <f t="shared" si="408"/>
        <v>253.06995202499996</v>
      </c>
      <c r="V1372" s="315">
        <f t="shared" si="409"/>
        <v>255</v>
      </c>
      <c r="W1372" s="316">
        <f t="shared" si="410"/>
        <v>0</v>
      </c>
    </row>
    <row r="1373" spans="1:23" x14ac:dyDescent="0.25">
      <c r="A1373" s="204" t="s">
        <v>17027</v>
      </c>
      <c r="B1373" s="351" t="s">
        <v>21088</v>
      </c>
      <c r="C1373" s="352"/>
      <c r="D1373" s="353" t="s">
        <v>5</v>
      </c>
      <c r="E1373" s="249">
        <f t="shared" si="411"/>
        <v>0</v>
      </c>
      <c r="F1373" s="336">
        <v>0</v>
      </c>
      <c r="G1373" s="258">
        <f t="shared" si="412"/>
        <v>0</v>
      </c>
      <c r="H1373" s="249">
        <f t="shared" si="413"/>
        <v>6.3702874137348514E-2</v>
      </c>
      <c r="I1373" s="336">
        <v>4.7627624021932727E-2</v>
      </c>
      <c r="J1373" s="258">
        <f t="shared" si="414"/>
        <v>4.7627624021932727E-2</v>
      </c>
      <c r="K1373" s="249">
        <f t="shared" si="415"/>
        <v>1.1638384249316445</v>
      </c>
      <c r="L1373" s="336">
        <v>0.87014690742853074</v>
      </c>
      <c r="M1373" s="258">
        <f t="shared" si="416"/>
        <v>0.87014690742853074</v>
      </c>
      <c r="N1373" s="251">
        <f t="shared" si="417"/>
        <v>0.10991868478601309</v>
      </c>
      <c r="O1373" s="336">
        <v>8.2180998312354495E-2</v>
      </c>
      <c r="P1373" s="258">
        <f t="shared" si="418"/>
        <v>8.2180998312354495E-2</v>
      </c>
      <c r="Q1373" s="354">
        <v>1.3073808139534884</v>
      </c>
      <c r="R1373" s="249">
        <f t="shared" si="419"/>
        <v>1.3375194636627907</v>
      </c>
      <c r="S1373" s="355">
        <v>0.1</v>
      </c>
      <c r="T1373" s="355"/>
      <c r="U1373" s="315">
        <f t="shared" si="408"/>
        <v>1.4712714100290698</v>
      </c>
      <c r="V1373" s="315">
        <f t="shared" si="409"/>
        <v>2</v>
      </c>
      <c r="W1373" s="316">
        <f t="shared" si="410"/>
        <v>0</v>
      </c>
    </row>
    <row r="1374" spans="1:23" x14ac:dyDescent="0.25">
      <c r="A1374" s="204" t="s">
        <v>17028</v>
      </c>
      <c r="B1374" s="351" t="s">
        <v>21089</v>
      </c>
      <c r="C1374" s="352"/>
      <c r="D1374" s="353" t="s">
        <v>14859</v>
      </c>
      <c r="E1374" s="249">
        <f t="shared" si="411"/>
        <v>0</v>
      </c>
      <c r="F1374" s="336">
        <v>0</v>
      </c>
      <c r="G1374" s="258">
        <f t="shared" si="412"/>
        <v>0</v>
      </c>
      <c r="H1374" s="249">
        <f t="shared" si="413"/>
        <v>10.957382296632046</v>
      </c>
      <c r="I1374" s="336">
        <v>4.7627624021932727E-2</v>
      </c>
      <c r="J1374" s="258">
        <f t="shared" si="414"/>
        <v>4.7627624021932727E-2</v>
      </c>
      <c r="K1374" s="249">
        <f t="shared" si="415"/>
        <v>200.19935472584595</v>
      </c>
      <c r="L1374" s="336">
        <v>0.87019137766571275</v>
      </c>
      <c r="M1374" s="258">
        <f t="shared" si="416"/>
        <v>0.87019137766571275</v>
      </c>
      <c r="N1374" s="251">
        <f t="shared" si="417"/>
        <v>18.906855727521961</v>
      </c>
      <c r="O1374" s="336">
        <v>8.2180998312354508E-2</v>
      </c>
      <c r="P1374" s="258">
        <f t="shared" si="418"/>
        <v>8.2180998312354508E-2</v>
      </c>
      <c r="Q1374" s="354">
        <v>224.86949999999999</v>
      </c>
      <c r="R1374" s="249">
        <f t="shared" si="419"/>
        <v>230.06359274999997</v>
      </c>
      <c r="S1374" s="355">
        <v>0.1</v>
      </c>
      <c r="T1374" s="355"/>
      <c r="U1374" s="315">
        <f t="shared" si="408"/>
        <v>253.06995202499996</v>
      </c>
      <c r="V1374" s="315">
        <f t="shared" si="409"/>
        <v>255</v>
      </c>
      <c r="W1374" s="316">
        <f t="shared" si="410"/>
        <v>0</v>
      </c>
    </row>
    <row r="1375" spans="1:23" x14ac:dyDescent="0.25">
      <c r="A1375" s="204" t="s">
        <v>17029</v>
      </c>
      <c r="B1375" s="351" t="s">
        <v>21090</v>
      </c>
      <c r="C1375" s="352"/>
      <c r="D1375" s="353" t="s">
        <v>5</v>
      </c>
      <c r="E1375" s="249">
        <f t="shared" si="411"/>
        <v>0</v>
      </c>
      <c r="F1375" s="336">
        <v>0</v>
      </c>
      <c r="G1375" s="258">
        <f t="shared" si="412"/>
        <v>0</v>
      </c>
      <c r="H1375" s="249">
        <f t="shared" si="413"/>
        <v>6.3702874137348514E-2</v>
      </c>
      <c r="I1375" s="336">
        <v>4.7627624021932727E-2</v>
      </c>
      <c r="J1375" s="258">
        <f t="shared" si="414"/>
        <v>4.7627624021932727E-2</v>
      </c>
      <c r="K1375" s="249">
        <f t="shared" si="415"/>
        <v>1.1638384249316445</v>
      </c>
      <c r="L1375" s="336">
        <v>0.87014690742853074</v>
      </c>
      <c r="M1375" s="258">
        <f t="shared" si="416"/>
        <v>0.87014690742853074</v>
      </c>
      <c r="N1375" s="251">
        <f t="shared" si="417"/>
        <v>0.10991868478601309</v>
      </c>
      <c r="O1375" s="336">
        <v>8.2180998312354495E-2</v>
      </c>
      <c r="P1375" s="258">
        <f t="shared" si="418"/>
        <v>8.2180998312354495E-2</v>
      </c>
      <c r="Q1375" s="354">
        <v>1.3073808139534884</v>
      </c>
      <c r="R1375" s="249">
        <f t="shared" si="419"/>
        <v>1.3375194636627907</v>
      </c>
      <c r="S1375" s="355">
        <v>0.1</v>
      </c>
      <c r="T1375" s="355"/>
      <c r="U1375" s="315">
        <f t="shared" si="408"/>
        <v>1.4712714100290698</v>
      </c>
      <c r="V1375" s="315">
        <f t="shared" si="409"/>
        <v>2</v>
      </c>
      <c r="W1375" s="316">
        <f t="shared" si="410"/>
        <v>0</v>
      </c>
    </row>
    <row r="1376" spans="1:23" x14ac:dyDescent="0.25">
      <c r="A1376" s="204" t="s">
        <v>17030</v>
      </c>
      <c r="B1376" s="351" t="s">
        <v>21091</v>
      </c>
      <c r="C1376" s="352"/>
      <c r="D1376" s="353" t="s">
        <v>14859</v>
      </c>
      <c r="E1376" s="249">
        <f t="shared" si="411"/>
        <v>0</v>
      </c>
      <c r="F1376" s="336">
        <v>0</v>
      </c>
      <c r="G1376" s="258">
        <f t="shared" si="412"/>
        <v>0</v>
      </c>
      <c r="H1376" s="249">
        <f t="shared" si="413"/>
        <v>10.957382296632046</v>
      </c>
      <c r="I1376" s="336">
        <v>4.7627624021932727E-2</v>
      </c>
      <c r="J1376" s="258">
        <f t="shared" si="414"/>
        <v>4.7627624021932727E-2</v>
      </c>
      <c r="K1376" s="249">
        <f t="shared" si="415"/>
        <v>200.19935472584595</v>
      </c>
      <c r="L1376" s="336">
        <v>0.87019137766571275</v>
      </c>
      <c r="M1376" s="258">
        <f t="shared" si="416"/>
        <v>0.87019137766571275</v>
      </c>
      <c r="N1376" s="251">
        <f t="shared" si="417"/>
        <v>18.906855727521961</v>
      </c>
      <c r="O1376" s="336">
        <v>8.2180998312354508E-2</v>
      </c>
      <c r="P1376" s="258">
        <f t="shared" si="418"/>
        <v>8.2180998312354508E-2</v>
      </c>
      <c r="Q1376" s="354">
        <v>224.86949999999999</v>
      </c>
      <c r="R1376" s="249">
        <f t="shared" si="419"/>
        <v>230.06359274999997</v>
      </c>
      <c r="S1376" s="355">
        <v>0.1</v>
      </c>
      <c r="T1376" s="355"/>
      <c r="U1376" s="315">
        <f t="shared" si="408"/>
        <v>253.06995202499996</v>
      </c>
      <c r="V1376" s="315">
        <f t="shared" si="409"/>
        <v>255</v>
      </c>
      <c r="W1376" s="316">
        <f t="shared" si="410"/>
        <v>0</v>
      </c>
    </row>
    <row r="1377" spans="1:23" x14ac:dyDescent="0.25">
      <c r="A1377" s="204" t="s">
        <v>17031</v>
      </c>
      <c r="B1377" s="351" t="s">
        <v>21092</v>
      </c>
      <c r="C1377" s="352"/>
      <c r="D1377" s="353" t="s">
        <v>5</v>
      </c>
      <c r="E1377" s="249">
        <f t="shared" si="411"/>
        <v>0</v>
      </c>
      <c r="F1377" s="336">
        <v>0</v>
      </c>
      <c r="G1377" s="258">
        <f t="shared" si="412"/>
        <v>0</v>
      </c>
      <c r="H1377" s="249">
        <f t="shared" si="413"/>
        <v>6.3704487082240524E-2</v>
      </c>
      <c r="I1377" s="336">
        <v>4.6775197353336177E-2</v>
      </c>
      <c r="J1377" s="258">
        <f t="shared" si="414"/>
        <v>4.6775197353336177E-2</v>
      </c>
      <c r="K1377" s="249">
        <f t="shared" si="415"/>
        <v>1.1882433354996715</v>
      </c>
      <c r="L1377" s="336">
        <v>0.87247098387325717</v>
      </c>
      <c r="M1377" s="258">
        <f t="shared" si="416"/>
        <v>0.87247098387325717</v>
      </c>
      <c r="N1377" s="251">
        <f t="shared" si="417"/>
        <v>0.1099214679066111</v>
      </c>
      <c r="O1377" s="336">
        <v>8.0710144452815366E-2</v>
      </c>
      <c r="P1377" s="258">
        <f t="shared" si="418"/>
        <v>8.0710144452815366E-2</v>
      </c>
      <c r="Q1377" s="354">
        <v>1.3312063953488371</v>
      </c>
      <c r="R1377" s="249">
        <f t="shared" si="419"/>
        <v>1.3619287718023254</v>
      </c>
      <c r="S1377" s="355">
        <v>0.1</v>
      </c>
      <c r="T1377" s="355"/>
      <c r="U1377" s="315">
        <f t="shared" si="408"/>
        <v>1.498121648982558</v>
      </c>
      <c r="V1377" s="315">
        <f t="shared" si="409"/>
        <v>2</v>
      </c>
      <c r="W1377" s="316">
        <f t="shared" si="410"/>
        <v>0</v>
      </c>
    </row>
    <row r="1378" spans="1:23" x14ac:dyDescent="0.25">
      <c r="A1378" s="204" t="s">
        <v>17032</v>
      </c>
      <c r="B1378" s="351" t="s">
        <v>21093</v>
      </c>
      <c r="C1378" s="352"/>
      <c r="D1378" s="353" t="s">
        <v>14859</v>
      </c>
      <c r="E1378" s="249">
        <f t="shared" si="411"/>
        <v>0</v>
      </c>
      <c r="F1378" s="336">
        <v>0</v>
      </c>
      <c r="G1378" s="258">
        <f t="shared" si="412"/>
        <v>0</v>
      </c>
      <c r="H1378" s="249">
        <f t="shared" si="413"/>
        <v>10.957650990042255</v>
      </c>
      <c r="I1378" s="336">
        <v>4.6775197353336177E-2</v>
      </c>
      <c r="J1378" s="258">
        <f t="shared" si="414"/>
        <v>4.6775197353336177E-2</v>
      </c>
      <c r="K1378" s="249">
        <f t="shared" si="415"/>
        <v>204.3970234045907</v>
      </c>
      <c r="L1378" s="336">
        <v>0.87251465819384844</v>
      </c>
      <c r="M1378" s="258">
        <f t="shared" si="416"/>
        <v>0.87251465819384844</v>
      </c>
      <c r="N1378" s="251">
        <f t="shared" si="417"/>
        <v>18.907319355367026</v>
      </c>
      <c r="O1378" s="336">
        <v>8.0710144452815352E-2</v>
      </c>
      <c r="P1378" s="258">
        <f t="shared" si="418"/>
        <v>8.0710144452815352E-2</v>
      </c>
      <c r="Q1378" s="354">
        <v>228.9675</v>
      </c>
      <c r="R1378" s="249">
        <f t="shared" si="419"/>
        <v>234.26199374999999</v>
      </c>
      <c r="S1378" s="355">
        <v>0.1</v>
      </c>
      <c r="T1378" s="355"/>
      <c r="U1378" s="315">
        <f t="shared" si="408"/>
        <v>257.688193125</v>
      </c>
      <c r="V1378" s="315">
        <f t="shared" si="409"/>
        <v>260</v>
      </c>
      <c r="W1378" s="316">
        <f t="shared" si="410"/>
        <v>0</v>
      </c>
    </row>
    <row r="1379" spans="1:23" x14ac:dyDescent="0.25">
      <c r="A1379" s="204" t="s">
        <v>17033</v>
      </c>
      <c r="B1379" s="351" t="s">
        <v>21094</v>
      </c>
      <c r="C1379" s="352"/>
      <c r="D1379" s="353" t="s">
        <v>5</v>
      </c>
      <c r="E1379" s="249">
        <f t="shared" si="411"/>
        <v>0</v>
      </c>
      <c r="F1379" s="336">
        <v>0</v>
      </c>
      <c r="G1379" s="258">
        <f t="shared" si="412"/>
        <v>0</v>
      </c>
      <c r="H1379" s="249">
        <f t="shared" si="413"/>
        <v>6.3704487082240524E-2</v>
      </c>
      <c r="I1379" s="336">
        <v>4.6775197353336177E-2</v>
      </c>
      <c r="J1379" s="258">
        <f t="shared" si="414"/>
        <v>4.6775197353336177E-2</v>
      </c>
      <c r="K1379" s="249">
        <f t="shared" si="415"/>
        <v>1.1882433354996715</v>
      </c>
      <c r="L1379" s="336">
        <v>0.87247098387325717</v>
      </c>
      <c r="M1379" s="258">
        <f t="shared" si="416"/>
        <v>0.87247098387325717</v>
      </c>
      <c r="N1379" s="251">
        <f t="shared" si="417"/>
        <v>0.1099214679066111</v>
      </c>
      <c r="O1379" s="336">
        <v>8.0710144452815366E-2</v>
      </c>
      <c r="P1379" s="258">
        <f t="shared" si="418"/>
        <v>8.0710144452815366E-2</v>
      </c>
      <c r="Q1379" s="354">
        <v>1.3312063953488371</v>
      </c>
      <c r="R1379" s="249">
        <f t="shared" si="419"/>
        <v>1.3619287718023254</v>
      </c>
      <c r="S1379" s="355">
        <v>0.1</v>
      </c>
      <c r="T1379" s="355"/>
      <c r="U1379" s="315">
        <f t="shared" si="408"/>
        <v>1.498121648982558</v>
      </c>
      <c r="V1379" s="315">
        <f t="shared" si="409"/>
        <v>2</v>
      </c>
      <c r="W1379" s="316">
        <f t="shared" si="410"/>
        <v>0</v>
      </c>
    </row>
    <row r="1380" spans="1:23" x14ac:dyDescent="0.25">
      <c r="A1380" s="204" t="s">
        <v>17034</v>
      </c>
      <c r="B1380" s="351" t="s">
        <v>21095</v>
      </c>
      <c r="C1380" s="352"/>
      <c r="D1380" s="353" t="s">
        <v>14859</v>
      </c>
      <c r="E1380" s="249">
        <f t="shared" si="411"/>
        <v>0</v>
      </c>
      <c r="F1380" s="336">
        <v>0</v>
      </c>
      <c r="G1380" s="258">
        <f t="shared" si="412"/>
        <v>0</v>
      </c>
      <c r="H1380" s="249">
        <f t="shared" si="413"/>
        <v>10.957650990042255</v>
      </c>
      <c r="I1380" s="336">
        <v>4.6775197353336177E-2</v>
      </c>
      <c r="J1380" s="258">
        <f t="shared" si="414"/>
        <v>4.6775197353336177E-2</v>
      </c>
      <c r="K1380" s="249">
        <f t="shared" si="415"/>
        <v>204.3970234045907</v>
      </c>
      <c r="L1380" s="336">
        <v>0.87251465819384844</v>
      </c>
      <c r="M1380" s="258">
        <f t="shared" si="416"/>
        <v>0.87251465819384844</v>
      </c>
      <c r="N1380" s="251">
        <f t="shared" si="417"/>
        <v>18.907319355367026</v>
      </c>
      <c r="O1380" s="336">
        <v>8.0710144452815352E-2</v>
      </c>
      <c r="P1380" s="258">
        <f t="shared" si="418"/>
        <v>8.0710144452815352E-2</v>
      </c>
      <c r="Q1380" s="354">
        <v>228.9675</v>
      </c>
      <c r="R1380" s="249">
        <f t="shared" si="419"/>
        <v>234.26199374999999</v>
      </c>
      <c r="S1380" s="355">
        <v>0.1</v>
      </c>
      <c r="T1380" s="355"/>
      <c r="U1380" s="315">
        <f t="shared" si="408"/>
        <v>257.688193125</v>
      </c>
      <c r="V1380" s="315">
        <f t="shared" si="409"/>
        <v>260</v>
      </c>
      <c r="W1380" s="316">
        <f t="shared" si="410"/>
        <v>0</v>
      </c>
    </row>
    <row r="1381" spans="1:23" x14ac:dyDescent="0.25">
      <c r="A1381" s="204" t="s">
        <v>17035</v>
      </c>
      <c r="B1381" s="351" t="s">
        <v>21096</v>
      </c>
      <c r="C1381" s="352"/>
      <c r="D1381" s="353" t="s">
        <v>5</v>
      </c>
      <c r="E1381" s="249">
        <f t="shared" si="411"/>
        <v>0</v>
      </c>
      <c r="F1381" s="336">
        <v>0</v>
      </c>
      <c r="G1381" s="258">
        <f t="shared" si="412"/>
        <v>0</v>
      </c>
      <c r="H1381" s="249">
        <f t="shared" si="413"/>
        <v>6.3706801074644631E-2</v>
      </c>
      <c r="I1381" s="336">
        <v>4.5552273466757692E-2</v>
      </c>
      <c r="J1381" s="258">
        <f t="shared" si="414"/>
        <v>4.5552273466757692E-2</v>
      </c>
      <c r="K1381" s="249">
        <f t="shared" si="415"/>
        <v>1.2248509887847723</v>
      </c>
      <c r="L1381" s="336">
        <v>0.87580519278904534</v>
      </c>
      <c r="M1381" s="258">
        <f t="shared" si="416"/>
        <v>0.87580519278904534</v>
      </c>
      <c r="N1381" s="251">
        <f t="shared" si="417"/>
        <v>0.10992546067781819</v>
      </c>
      <c r="O1381" s="336">
        <v>7.8600001275974052E-2</v>
      </c>
      <c r="P1381" s="258">
        <f t="shared" si="418"/>
        <v>7.8600001275974052E-2</v>
      </c>
      <c r="Q1381" s="354">
        <v>1.3669447674418604</v>
      </c>
      <c r="R1381" s="249">
        <f t="shared" si="419"/>
        <v>1.3985427340116279</v>
      </c>
      <c r="S1381" s="355">
        <v>0.1</v>
      </c>
      <c r="T1381" s="355"/>
      <c r="U1381" s="315">
        <f t="shared" si="408"/>
        <v>1.5383970074127906</v>
      </c>
      <c r="V1381" s="315">
        <f t="shared" si="409"/>
        <v>2</v>
      </c>
      <c r="W1381" s="316">
        <f t="shared" si="410"/>
        <v>0</v>
      </c>
    </row>
    <row r="1382" spans="1:23" x14ac:dyDescent="0.25">
      <c r="A1382" s="204" t="s">
        <v>17036</v>
      </c>
      <c r="B1382" s="351" t="s">
        <v>21097</v>
      </c>
      <c r="C1382" s="352"/>
      <c r="D1382" s="353" t="s">
        <v>14859</v>
      </c>
      <c r="E1382" s="249">
        <f t="shared" si="411"/>
        <v>0</v>
      </c>
      <c r="F1382" s="336">
        <v>0</v>
      </c>
      <c r="G1382" s="258">
        <f t="shared" si="412"/>
        <v>0</v>
      </c>
      <c r="H1382" s="249">
        <f t="shared" si="413"/>
        <v>10.958036467880545</v>
      </c>
      <c r="I1382" s="336">
        <v>4.5552273466757692E-2</v>
      </c>
      <c r="J1382" s="258">
        <f t="shared" si="414"/>
        <v>4.5552273466757692E-2</v>
      </c>
      <c r="K1382" s="249">
        <f t="shared" si="415"/>
        <v>210.69357428852166</v>
      </c>
      <c r="L1382" s="336">
        <v>0.87584772525726828</v>
      </c>
      <c r="M1382" s="258">
        <f t="shared" si="416"/>
        <v>0.87584772525726828</v>
      </c>
      <c r="N1382" s="251">
        <f t="shared" si="417"/>
        <v>18.907984493597802</v>
      </c>
      <c r="O1382" s="336">
        <v>7.8600001275974052E-2</v>
      </c>
      <c r="P1382" s="258">
        <f t="shared" si="418"/>
        <v>7.8600001275974052E-2</v>
      </c>
      <c r="Q1382" s="354">
        <v>235.11449999999999</v>
      </c>
      <c r="R1382" s="249">
        <f t="shared" si="419"/>
        <v>240.55959525</v>
      </c>
      <c r="S1382" s="355">
        <v>0.1</v>
      </c>
      <c r="T1382" s="355"/>
      <c r="U1382" s="315">
        <f t="shared" ref="U1382:U1445" si="420">(R1382*S1382)+R1382</f>
        <v>264.61555477500002</v>
      </c>
      <c r="V1382" s="315">
        <f t="shared" ref="V1382:V1445" si="421">IF(U1382=0, 0, IF(U1382&lt;10, _xlfn.CEILING.MATH(U1382,1), IF(U1382&lt;100, _xlfn.CEILING.MATH(U1382,1),IF(U1382&lt;1000, _xlfn.CEILING.MATH(U1382,5), IF(U1382&lt;10000, _xlfn.CEILING.MATH(U1382, 25), IF(U1382&lt;100000, _xlfn.CEILING.MATH(U1382,250), IF(U1382&lt;1000000, _xlfn.CEILING.MATH(U1382,500), 0)))))))</f>
        <v>265</v>
      </c>
      <c r="W1382" s="316">
        <f t="shared" si="410"/>
        <v>0</v>
      </c>
    </row>
    <row r="1383" spans="1:23" x14ac:dyDescent="0.25">
      <c r="A1383" s="204" t="s">
        <v>17037</v>
      </c>
      <c r="B1383" s="351" t="s">
        <v>21098</v>
      </c>
      <c r="C1383" s="352"/>
      <c r="D1383" s="353" t="s">
        <v>5</v>
      </c>
      <c r="E1383" s="249">
        <f t="shared" si="411"/>
        <v>0</v>
      </c>
      <c r="F1383" s="336">
        <v>0</v>
      </c>
      <c r="G1383" s="258">
        <f t="shared" si="412"/>
        <v>0</v>
      </c>
      <c r="H1383" s="249">
        <f t="shared" si="413"/>
        <v>6.3706801074644631E-2</v>
      </c>
      <c r="I1383" s="336">
        <v>4.5552273466757692E-2</v>
      </c>
      <c r="J1383" s="258">
        <f t="shared" si="414"/>
        <v>4.5552273466757692E-2</v>
      </c>
      <c r="K1383" s="249">
        <f t="shared" si="415"/>
        <v>1.2248509887847723</v>
      </c>
      <c r="L1383" s="336">
        <v>0.87580519278904534</v>
      </c>
      <c r="M1383" s="258">
        <f t="shared" si="416"/>
        <v>0.87580519278904534</v>
      </c>
      <c r="N1383" s="251">
        <f t="shared" si="417"/>
        <v>0.10992546067781819</v>
      </c>
      <c r="O1383" s="336">
        <v>7.8600001275974052E-2</v>
      </c>
      <c r="P1383" s="258">
        <f t="shared" si="418"/>
        <v>7.8600001275974052E-2</v>
      </c>
      <c r="Q1383" s="354">
        <v>1.3669447674418604</v>
      </c>
      <c r="R1383" s="249">
        <f t="shared" si="419"/>
        <v>1.3985427340116279</v>
      </c>
      <c r="S1383" s="355">
        <v>0.1</v>
      </c>
      <c r="T1383" s="355"/>
      <c r="U1383" s="315">
        <f t="shared" si="420"/>
        <v>1.5383970074127906</v>
      </c>
      <c r="V1383" s="315">
        <f t="shared" si="421"/>
        <v>2</v>
      </c>
      <c r="W1383" s="316">
        <f t="shared" si="410"/>
        <v>0</v>
      </c>
    </row>
    <row r="1384" spans="1:23" ht="14.4" thickBot="1" x14ac:dyDescent="0.3">
      <c r="A1384" s="356" t="s">
        <v>17038</v>
      </c>
      <c r="B1384" s="357" t="s">
        <v>21099</v>
      </c>
      <c r="C1384" s="358"/>
      <c r="D1384" s="359" t="s">
        <v>14859</v>
      </c>
      <c r="E1384" s="266">
        <f t="shared" si="411"/>
        <v>0</v>
      </c>
      <c r="F1384" s="360">
        <v>0</v>
      </c>
      <c r="G1384" s="322">
        <f t="shared" si="412"/>
        <v>0</v>
      </c>
      <c r="H1384" s="266">
        <f t="shared" si="413"/>
        <v>10.958036467880545</v>
      </c>
      <c r="I1384" s="360">
        <v>4.5552273466757692E-2</v>
      </c>
      <c r="J1384" s="322">
        <f t="shared" si="414"/>
        <v>4.5552273466757692E-2</v>
      </c>
      <c r="K1384" s="266">
        <f t="shared" si="415"/>
        <v>210.69357428852166</v>
      </c>
      <c r="L1384" s="360">
        <v>0.87584772525726828</v>
      </c>
      <c r="M1384" s="322">
        <f t="shared" si="416"/>
        <v>0.87584772525726828</v>
      </c>
      <c r="N1384" s="270">
        <f t="shared" si="417"/>
        <v>18.907984493597802</v>
      </c>
      <c r="O1384" s="360">
        <v>7.8600001275974052E-2</v>
      </c>
      <c r="P1384" s="322">
        <f t="shared" si="418"/>
        <v>7.8600001275974052E-2</v>
      </c>
      <c r="Q1384" s="361">
        <v>235.11449999999999</v>
      </c>
      <c r="R1384" s="266">
        <f t="shared" si="419"/>
        <v>240.55959525</v>
      </c>
      <c r="S1384" s="362">
        <v>0.1</v>
      </c>
      <c r="T1384" s="362"/>
      <c r="U1384" s="324">
        <f t="shared" si="420"/>
        <v>264.61555477500002</v>
      </c>
      <c r="V1384" s="324">
        <f t="shared" si="421"/>
        <v>265</v>
      </c>
      <c r="W1384" s="325">
        <f t="shared" si="410"/>
        <v>0</v>
      </c>
    </row>
    <row r="1385" spans="1:23" x14ac:dyDescent="0.25">
      <c r="A1385" s="204" t="s">
        <v>17039</v>
      </c>
      <c r="B1385" s="351" t="s">
        <v>21100</v>
      </c>
      <c r="C1385" s="352"/>
      <c r="D1385" s="353" t="s">
        <v>5</v>
      </c>
      <c r="E1385" s="249">
        <f t="shared" si="411"/>
        <v>0</v>
      </c>
      <c r="F1385" s="336">
        <v>0</v>
      </c>
      <c r="G1385" s="258">
        <f t="shared" si="412"/>
        <v>0</v>
      </c>
      <c r="H1385" s="249">
        <f t="shared" si="413"/>
        <v>6.3706801074644631E-2</v>
      </c>
      <c r="I1385" s="336">
        <v>4.5552273466757692E-2</v>
      </c>
      <c r="J1385" s="258">
        <f t="shared" si="414"/>
        <v>4.5552273466757692E-2</v>
      </c>
      <c r="K1385" s="249">
        <f t="shared" si="415"/>
        <v>1.2248509887847723</v>
      </c>
      <c r="L1385" s="336">
        <v>0.87580519278904534</v>
      </c>
      <c r="M1385" s="258">
        <f t="shared" si="416"/>
        <v>0.87580519278904534</v>
      </c>
      <c r="N1385" s="251">
        <f t="shared" si="417"/>
        <v>0.10992546067781819</v>
      </c>
      <c r="O1385" s="336">
        <v>7.8600001275974052E-2</v>
      </c>
      <c r="P1385" s="258">
        <f t="shared" si="418"/>
        <v>7.8600001275974052E-2</v>
      </c>
      <c r="Q1385" s="354">
        <v>1.3669447674418604</v>
      </c>
      <c r="R1385" s="249">
        <f t="shared" si="419"/>
        <v>1.3985427340116279</v>
      </c>
      <c r="S1385" s="355">
        <v>0.1</v>
      </c>
      <c r="T1385" s="355"/>
      <c r="U1385" s="315">
        <f t="shared" si="420"/>
        <v>1.5383970074127906</v>
      </c>
      <c r="V1385" s="315">
        <f t="shared" si="421"/>
        <v>2</v>
      </c>
      <c r="W1385" s="316">
        <f t="shared" si="410"/>
        <v>0</v>
      </c>
    </row>
    <row r="1386" spans="1:23" x14ac:dyDescent="0.25">
      <c r="A1386" s="204" t="s">
        <v>17040</v>
      </c>
      <c r="B1386" s="351" t="s">
        <v>21101</v>
      </c>
      <c r="C1386" s="352"/>
      <c r="D1386" s="353" t="s">
        <v>14859</v>
      </c>
      <c r="E1386" s="249">
        <f t="shared" si="411"/>
        <v>0</v>
      </c>
      <c r="F1386" s="336">
        <v>0</v>
      </c>
      <c r="G1386" s="258">
        <f t="shared" si="412"/>
        <v>0</v>
      </c>
      <c r="H1386" s="249">
        <f t="shared" si="413"/>
        <v>10.958036467880545</v>
      </c>
      <c r="I1386" s="336">
        <v>4.5552273466757692E-2</v>
      </c>
      <c r="J1386" s="258">
        <f t="shared" si="414"/>
        <v>4.5552273466757692E-2</v>
      </c>
      <c r="K1386" s="249">
        <f t="shared" si="415"/>
        <v>210.69357428852166</v>
      </c>
      <c r="L1386" s="336">
        <v>0.87584772525726828</v>
      </c>
      <c r="M1386" s="258">
        <f t="shared" si="416"/>
        <v>0.87584772525726828</v>
      </c>
      <c r="N1386" s="251">
        <f t="shared" si="417"/>
        <v>18.907984493597802</v>
      </c>
      <c r="O1386" s="336">
        <v>7.8600001275974052E-2</v>
      </c>
      <c r="P1386" s="258">
        <f t="shared" si="418"/>
        <v>7.8600001275974052E-2</v>
      </c>
      <c r="Q1386" s="354">
        <v>235.11449999999999</v>
      </c>
      <c r="R1386" s="249">
        <f t="shared" si="419"/>
        <v>240.55959525</v>
      </c>
      <c r="S1386" s="355">
        <v>0.1</v>
      </c>
      <c r="T1386" s="355"/>
      <c r="U1386" s="315">
        <f t="shared" si="420"/>
        <v>264.61555477500002</v>
      </c>
      <c r="V1386" s="315">
        <f t="shared" si="421"/>
        <v>265</v>
      </c>
      <c r="W1386" s="316">
        <f t="shared" si="410"/>
        <v>0</v>
      </c>
    </row>
    <row r="1387" spans="1:23" x14ac:dyDescent="0.25">
      <c r="A1387" s="204" t="s">
        <v>17041</v>
      </c>
      <c r="B1387" s="351" t="s">
        <v>21102</v>
      </c>
      <c r="C1387" s="352"/>
      <c r="D1387" s="353" t="s">
        <v>5</v>
      </c>
      <c r="E1387" s="249">
        <f t="shared" si="411"/>
        <v>0</v>
      </c>
      <c r="F1387" s="336">
        <v>0</v>
      </c>
      <c r="G1387" s="258">
        <f t="shared" si="412"/>
        <v>0</v>
      </c>
      <c r="H1387" s="249">
        <f t="shared" si="413"/>
        <v>6.3714961628444283E-2</v>
      </c>
      <c r="I1387" s="336">
        <v>4.123949519161349E-2</v>
      </c>
      <c r="J1387" s="258">
        <f t="shared" si="414"/>
        <v>4.123949519161349E-2</v>
      </c>
      <c r="K1387" s="249">
        <f t="shared" si="415"/>
        <v>1.3712845884930418</v>
      </c>
      <c r="L1387" s="336">
        <v>0.88756365456628272</v>
      </c>
      <c r="M1387" s="258">
        <f t="shared" si="416"/>
        <v>0.88756365456628272</v>
      </c>
      <c r="N1387" s="251">
        <f t="shared" si="417"/>
        <v>0.10993954163339405</v>
      </c>
      <c r="O1387" s="336">
        <v>7.1158344644352681E-2</v>
      </c>
      <c r="P1387" s="258">
        <f t="shared" si="418"/>
        <v>7.1158344644352681E-2</v>
      </c>
      <c r="Q1387" s="354">
        <v>1.5098982558139533</v>
      </c>
      <c r="R1387" s="249">
        <f t="shared" si="419"/>
        <v>1.5449985828488373</v>
      </c>
      <c r="S1387" s="355">
        <v>0.1</v>
      </c>
      <c r="T1387" s="355"/>
      <c r="U1387" s="315">
        <f t="shared" si="420"/>
        <v>1.6994984411337211</v>
      </c>
      <c r="V1387" s="315">
        <f t="shared" si="421"/>
        <v>2</v>
      </c>
      <c r="W1387" s="316">
        <f t="shared" si="410"/>
        <v>0</v>
      </c>
    </row>
    <row r="1388" spans="1:23" x14ac:dyDescent="0.25">
      <c r="A1388" s="204" t="s">
        <v>17042</v>
      </c>
      <c r="B1388" s="351" t="s">
        <v>21103</v>
      </c>
      <c r="C1388" s="352"/>
      <c r="D1388" s="353" t="s">
        <v>14859</v>
      </c>
      <c r="E1388" s="249">
        <f t="shared" si="411"/>
        <v>0</v>
      </c>
      <c r="F1388" s="336">
        <v>0</v>
      </c>
      <c r="G1388" s="258">
        <f t="shared" si="412"/>
        <v>0</v>
      </c>
      <c r="H1388" s="249">
        <f t="shared" si="413"/>
        <v>10.959395898720651</v>
      </c>
      <c r="I1388" s="336">
        <v>4.1239495191613483E-2</v>
      </c>
      <c r="J1388" s="258">
        <f t="shared" si="414"/>
        <v>4.1239495191613483E-2</v>
      </c>
      <c r="K1388" s="249">
        <f t="shared" si="415"/>
        <v>235.88027517309465</v>
      </c>
      <c r="L1388" s="336">
        <v>0.88760216016403382</v>
      </c>
      <c r="M1388" s="258">
        <f t="shared" si="416"/>
        <v>0.88760216016403382</v>
      </c>
      <c r="N1388" s="251">
        <f t="shared" si="417"/>
        <v>18.910330178184655</v>
      </c>
      <c r="O1388" s="336">
        <v>7.1158344644352681E-2</v>
      </c>
      <c r="P1388" s="258">
        <f t="shared" si="418"/>
        <v>7.1158344644352681E-2</v>
      </c>
      <c r="Q1388" s="354">
        <v>259.70249999999999</v>
      </c>
      <c r="R1388" s="249">
        <f t="shared" si="419"/>
        <v>265.75000124999997</v>
      </c>
      <c r="S1388" s="355">
        <v>0.1</v>
      </c>
      <c r="T1388" s="355"/>
      <c r="U1388" s="315">
        <f t="shared" si="420"/>
        <v>292.32500137499994</v>
      </c>
      <c r="V1388" s="315">
        <f t="shared" si="421"/>
        <v>295</v>
      </c>
      <c r="W1388" s="316">
        <f t="shared" si="410"/>
        <v>0</v>
      </c>
    </row>
    <row r="1389" spans="1:23" x14ac:dyDescent="0.25">
      <c r="A1389" s="204" t="s">
        <v>17043</v>
      </c>
      <c r="B1389" s="351" t="s">
        <v>21104</v>
      </c>
      <c r="C1389" s="352"/>
      <c r="D1389" s="353" t="s">
        <v>5</v>
      </c>
      <c r="E1389" s="249">
        <f t="shared" si="411"/>
        <v>0</v>
      </c>
      <c r="F1389" s="336">
        <v>0</v>
      </c>
      <c r="G1389" s="258">
        <f t="shared" si="412"/>
        <v>0</v>
      </c>
      <c r="H1389" s="249">
        <f t="shared" si="413"/>
        <v>6.3714961628444283E-2</v>
      </c>
      <c r="I1389" s="336">
        <v>4.123949519161349E-2</v>
      </c>
      <c r="J1389" s="258">
        <f t="shared" si="414"/>
        <v>4.123949519161349E-2</v>
      </c>
      <c r="K1389" s="249">
        <f t="shared" si="415"/>
        <v>1.3712845884930418</v>
      </c>
      <c r="L1389" s="336">
        <v>0.88756365456628272</v>
      </c>
      <c r="M1389" s="258">
        <f t="shared" si="416"/>
        <v>0.88756365456628272</v>
      </c>
      <c r="N1389" s="251">
        <f t="shared" si="417"/>
        <v>0.10993954163339405</v>
      </c>
      <c r="O1389" s="336">
        <v>7.1158344644352681E-2</v>
      </c>
      <c r="P1389" s="258">
        <f t="shared" si="418"/>
        <v>7.1158344644352681E-2</v>
      </c>
      <c r="Q1389" s="354">
        <v>1.5098982558139533</v>
      </c>
      <c r="R1389" s="249">
        <f t="shared" si="419"/>
        <v>1.5449985828488373</v>
      </c>
      <c r="S1389" s="355">
        <v>0.1</v>
      </c>
      <c r="T1389" s="355"/>
      <c r="U1389" s="315">
        <f t="shared" si="420"/>
        <v>1.6994984411337211</v>
      </c>
      <c r="V1389" s="315">
        <f t="shared" si="421"/>
        <v>2</v>
      </c>
      <c r="W1389" s="316">
        <f t="shared" si="410"/>
        <v>0</v>
      </c>
    </row>
    <row r="1390" spans="1:23" x14ac:dyDescent="0.25">
      <c r="A1390" s="204" t="s">
        <v>17044</v>
      </c>
      <c r="B1390" s="351" t="s">
        <v>21105</v>
      </c>
      <c r="C1390" s="352"/>
      <c r="D1390" s="353" t="s">
        <v>14859</v>
      </c>
      <c r="E1390" s="249">
        <f t="shared" si="411"/>
        <v>0</v>
      </c>
      <c r="F1390" s="336">
        <v>0</v>
      </c>
      <c r="G1390" s="258">
        <f t="shared" si="412"/>
        <v>0</v>
      </c>
      <c r="H1390" s="249">
        <f t="shared" si="413"/>
        <v>10.959395898720651</v>
      </c>
      <c r="I1390" s="336">
        <v>4.1239495191613483E-2</v>
      </c>
      <c r="J1390" s="258">
        <f t="shared" si="414"/>
        <v>4.1239495191613483E-2</v>
      </c>
      <c r="K1390" s="249">
        <f t="shared" si="415"/>
        <v>235.88027517309465</v>
      </c>
      <c r="L1390" s="336">
        <v>0.88760216016403382</v>
      </c>
      <c r="M1390" s="258">
        <f t="shared" si="416"/>
        <v>0.88760216016403382</v>
      </c>
      <c r="N1390" s="251">
        <f t="shared" si="417"/>
        <v>18.910330178184655</v>
      </c>
      <c r="O1390" s="336">
        <v>7.1158344644352681E-2</v>
      </c>
      <c r="P1390" s="258">
        <f t="shared" si="418"/>
        <v>7.1158344644352681E-2</v>
      </c>
      <c r="Q1390" s="354">
        <v>259.70249999999999</v>
      </c>
      <c r="R1390" s="249">
        <f t="shared" si="419"/>
        <v>265.75000124999997</v>
      </c>
      <c r="S1390" s="355">
        <v>0.1</v>
      </c>
      <c r="T1390" s="355"/>
      <c r="U1390" s="315">
        <f t="shared" si="420"/>
        <v>292.32500137499994</v>
      </c>
      <c r="V1390" s="315">
        <f t="shared" si="421"/>
        <v>295</v>
      </c>
      <c r="W1390" s="316">
        <f t="shared" si="410"/>
        <v>0</v>
      </c>
    </row>
    <row r="1391" spans="1:23" x14ac:dyDescent="0.25">
      <c r="A1391" s="204" t="s">
        <v>17045</v>
      </c>
      <c r="B1391" s="351" t="s">
        <v>21106</v>
      </c>
      <c r="C1391" s="352"/>
      <c r="D1391" s="353" t="s">
        <v>5</v>
      </c>
      <c r="E1391" s="249">
        <f t="shared" si="411"/>
        <v>0</v>
      </c>
      <c r="F1391" s="336">
        <v>0</v>
      </c>
      <c r="G1391" s="258">
        <f t="shared" si="412"/>
        <v>0</v>
      </c>
      <c r="H1391" s="249">
        <f t="shared" si="413"/>
        <v>6.3714961628444283E-2</v>
      </c>
      <c r="I1391" s="336">
        <v>4.123949519161349E-2</v>
      </c>
      <c r="J1391" s="258">
        <f t="shared" si="414"/>
        <v>4.123949519161349E-2</v>
      </c>
      <c r="K1391" s="249">
        <f t="shared" si="415"/>
        <v>1.3712845884930418</v>
      </c>
      <c r="L1391" s="336">
        <v>0.88756365456628272</v>
      </c>
      <c r="M1391" s="258">
        <f t="shared" si="416"/>
        <v>0.88756365456628272</v>
      </c>
      <c r="N1391" s="251">
        <f t="shared" si="417"/>
        <v>0.10993954163339405</v>
      </c>
      <c r="O1391" s="336">
        <v>7.1158344644352681E-2</v>
      </c>
      <c r="P1391" s="258">
        <f t="shared" si="418"/>
        <v>7.1158344644352681E-2</v>
      </c>
      <c r="Q1391" s="354">
        <v>1.5098982558139533</v>
      </c>
      <c r="R1391" s="249">
        <f t="shared" si="419"/>
        <v>1.5449985828488373</v>
      </c>
      <c r="S1391" s="355">
        <v>0.1</v>
      </c>
      <c r="T1391" s="355"/>
      <c r="U1391" s="315">
        <f t="shared" si="420"/>
        <v>1.6994984411337211</v>
      </c>
      <c r="V1391" s="315">
        <f t="shared" si="421"/>
        <v>2</v>
      </c>
      <c r="W1391" s="316">
        <f t="shared" si="410"/>
        <v>0</v>
      </c>
    </row>
    <row r="1392" spans="1:23" x14ac:dyDescent="0.25">
      <c r="A1392" s="204" t="s">
        <v>17046</v>
      </c>
      <c r="B1392" s="351" t="s">
        <v>21107</v>
      </c>
      <c r="C1392" s="352"/>
      <c r="D1392" s="353" t="s">
        <v>14859</v>
      </c>
      <c r="E1392" s="249">
        <f t="shared" si="411"/>
        <v>0</v>
      </c>
      <c r="F1392" s="336">
        <v>0</v>
      </c>
      <c r="G1392" s="258">
        <f t="shared" si="412"/>
        <v>0</v>
      </c>
      <c r="H1392" s="249">
        <f t="shared" si="413"/>
        <v>10.959395898720651</v>
      </c>
      <c r="I1392" s="336">
        <v>4.1239495191613483E-2</v>
      </c>
      <c r="J1392" s="258">
        <f t="shared" si="414"/>
        <v>4.1239495191613483E-2</v>
      </c>
      <c r="K1392" s="249">
        <f t="shared" si="415"/>
        <v>235.88027517309465</v>
      </c>
      <c r="L1392" s="336">
        <v>0.88760216016403382</v>
      </c>
      <c r="M1392" s="258">
        <f t="shared" si="416"/>
        <v>0.88760216016403382</v>
      </c>
      <c r="N1392" s="251">
        <f t="shared" si="417"/>
        <v>18.910330178184655</v>
      </c>
      <c r="O1392" s="336">
        <v>7.1158344644352681E-2</v>
      </c>
      <c r="P1392" s="258">
        <f t="shared" si="418"/>
        <v>7.1158344644352681E-2</v>
      </c>
      <c r="Q1392" s="354">
        <v>259.70249999999999</v>
      </c>
      <c r="R1392" s="249">
        <f t="shared" si="419"/>
        <v>265.75000124999997</v>
      </c>
      <c r="S1392" s="355">
        <v>0.1</v>
      </c>
      <c r="T1392" s="355"/>
      <c r="U1392" s="315">
        <f t="shared" si="420"/>
        <v>292.32500137499994</v>
      </c>
      <c r="V1392" s="315">
        <f t="shared" si="421"/>
        <v>295</v>
      </c>
      <c r="W1392" s="316">
        <f t="shared" si="410"/>
        <v>0</v>
      </c>
    </row>
    <row r="1393" spans="1:23" x14ac:dyDescent="0.25">
      <c r="A1393" s="204" t="s">
        <v>17047</v>
      </c>
      <c r="B1393" s="351" t="s">
        <v>21108</v>
      </c>
      <c r="C1393" s="352"/>
      <c r="D1393" s="353" t="s">
        <v>5</v>
      </c>
      <c r="E1393" s="249">
        <f t="shared" si="411"/>
        <v>0</v>
      </c>
      <c r="F1393" s="336">
        <v>0</v>
      </c>
      <c r="G1393" s="258">
        <f t="shared" si="412"/>
        <v>0</v>
      </c>
      <c r="H1393" s="249">
        <f t="shared" si="413"/>
        <v>6.371705853742321E-2</v>
      </c>
      <c r="I1393" s="336">
        <v>4.0131297915870418E-2</v>
      </c>
      <c r="J1393" s="258">
        <f t="shared" si="414"/>
        <v>4.0131297915870418E-2</v>
      </c>
      <c r="K1393" s="249">
        <f t="shared" si="415"/>
        <v>1.4139951606744652</v>
      </c>
      <c r="L1393" s="336">
        <v>0.89058507010799104</v>
      </c>
      <c r="M1393" s="258">
        <f t="shared" si="416"/>
        <v>0.89058507010799104</v>
      </c>
      <c r="N1393" s="251">
        <f t="shared" si="417"/>
        <v>0.10994315982927927</v>
      </c>
      <c r="O1393" s="336">
        <v>6.9246161109737192E-2</v>
      </c>
      <c r="P1393" s="258">
        <f t="shared" si="418"/>
        <v>6.9246161109737192E-2</v>
      </c>
      <c r="Q1393" s="354">
        <v>1.5515930232558137</v>
      </c>
      <c r="R1393" s="249">
        <f t="shared" si="419"/>
        <v>1.5877148720930232</v>
      </c>
      <c r="S1393" s="355">
        <v>0.1</v>
      </c>
      <c r="T1393" s="355"/>
      <c r="U1393" s="315">
        <f t="shared" si="420"/>
        <v>1.7464863593023257</v>
      </c>
      <c r="V1393" s="315">
        <f t="shared" si="421"/>
        <v>2</v>
      </c>
      <c r="W1393" s="316">
        <f t="shared" si="410"/>
        <v>0</v>
      </c>
    </row>
    <row r="1394" spans="1:23" x14ac:dyDescent="0.25">
      <c r="A1394" s="204" t="s">
        <v>17048</v>
      </c>
      <c r="B1394" s="351" t="s">
        <v>21109</v>
      </c>
      <c r="C1394" s="352"/>
      <c r="D1394" s="353" t="s">
        <v>14859</v>
      </c>
      <c r="E1394" s="249">
        <f t="shared" si="411"/>
        <v>0</v>
      </c>
      <c r="F1394" s="336">
        <v>0</v>
      </c>
      <c r="G1394" s="258">
        <f t="shared" si="412"/>
        <v>0</v>
      </c>
      <c r="H1394" s="249">
        <f t="shared" si="413"/>
        <v>10.95974521358394</v>
      </c>
      <c r="I1394" s="336">
        <v>4.0131297915870418E-2</v>
      </c>
      <c r="J1394" s="258">
        <f t="shared" si="414"/>
        <v>4.0131297915870418E-2</v>
      </c>
      <c r="K1394" s="249">
        <f t="shared" si="415"/>
        <v>243.22652486885949</v>
      </c>
      <c r="L1394" s="336">
        <v>0.89062254097439253</v>
      </c>
      <c r="M1394" s="258">
        <f t="shared" si="416"/>
        <v>0.89062254097439253</v>
      </c>
      <c r="N1394" s="251">
        <f t="shared" si="417"/>
        <v>18.9109329175566</v>
      </c>
      <c r="O1394" s="336">
        <v>6.9246161109737192E-2</v>
      </c>
      <c r="P1394" s="258">
        <f t="shared" si="418"/>
        <v>6.9246161109737192E-2</v>
      </c>
      <c r="Q1394" s="354">
        <v>266.87399999999997</v>
      </c>
      <c r="R1394" s="249">
        <f t="shared" si="419"/>
        <v>273.09720299999998</v>
      </c>
      <c r="S1394" s="355">
        <v>0.1</v>
      </c>
      <c r="T1394" s="355"/>
      <c r="U1394" s="315">
        <f t="shared" si="420"/>
        <v>300.40692329999996</v>
      </c>
      <c r="V1394" s="315">
        <f t="shared" si="421"/>
        <v>305</v>
      </c>
      <c r="W1394" s="316">
        <f t="shared" si="410"/>
        <v>0</v>
      </c>
    </row>
    <row r="1395" spans="1:23" x14ac:dyDescent="0.25">
      <c r="A1395" s="204" t="s">
        <v>17049</v>
      </c>
      <c r="B1395" s="351" t="s">
        <v>21110</v>
      </c>
      <c r="C1395" s="352"/>
      <c r="D1395" s="353" t="s">
        <v>5</v>
      </c>
      <c r="E1395" s="249">
        <f t="shared" si="411"/>
        <v>0</v>
      </c>
      <c r="F1395" s="336">
        <v>0</v>
      </c>
      <c r="G1395" s="258">
        <f t="shared" si="412"/>
        <v>0</v>
      </c>
      <c r="H1395" s="249">
        <f t="shared" si="413"/>
        <v>6.371705853742321E-2</v>
      </c>
      <c r="I1395" s="336">
        <v>4.0131297915870418E-2</v>
      </c>
      <c r="J1395" s="258">
        <f t="shared" si="414"/>
        <v>4.0131297915870418E-2</v>
      </c>
      <c r="K1395" s="249">
        <f t="shared" si="415"/>
        <v>1.4139951606744652</v>
      </c>
      <c r="L1395" s="336">
        <v>0.89058507010799104</v>
      </c>
      <c r="M1395" s="258">
        <f t="shared" si="416"/>
        <v>0.89058507010799104</v>
      </c>
      <c r="N1395" s="251">
        <f t="shared" si="417"/>
        <v>0.10994315982927927</v>
      </c>
      <c r="O1395" s="336">
        <v>6.9246161109737192E-2</v>
      </c>
      <c r="P1395" s="258">
        <f t="shared" si="418"/>
        <v>6.9246161109737192E-2</v>
      </c>
      <c r="Q1395" s="354">
        <v>1.5515930232558137</v>
      </c>
      <c r="R1395" s="249">
        <f t="shared" si="419"/>
        <v>1.5877148720930232</v>
      </c>
      <c r="S1395" s="355">
        <v>0.1</v>
      </c>
      <c r="T1395" s="355"/>
      <c r="U1395" s="315">
        <f t="shared" si="420"/>
        <v>1.7464863593023257</v>
      </c>
      <c r="V1395" s="315">
        <f t="shared" si="421"/>
        <v>2</v>
      </c>
      <c r="W1395" s="316">
        <f t="shared" si="410"/>
        <v>0</v>
      </c>
    </row>
    <row r="1396" spans="1:23" x14ac:dyDescent="0.25">
      <c r="A1396" s="204" t="s">
        <v>17050</v>
      </c>
      <c r="B1396" s="351" t="s">
        <v>21111</v>
      </c>
      <c r="C1396" s="352"/>
      <c r="D1396" s="353" t="s">
        <v>14859</v>
      </c>
      <c r="E1396" s="249">
        <f t="shared" si="411"/>
        <v>0</v>
      </c>
      <c r="F1396" s="336">
        <v>0</v>
      </c>
      <c r="G1396" s="258">
        <f t="shared" si="412"/>
        <v>0</v>
      </c>
      <c r="H1396" s="249">
        <f t="shared" si="413"/>
        <v>10.95974521358394</v>
      </c>
      <c r="I1396" s="336">
        <v>4.0131297915870418E-2</v>
      </c>
      <c r="J1396" s="258">
        <f t="shared" si="414"/>
        <v>4.0131297915870418E-2</v>
      </c>
      <c r="K1396" s="249">
        <f t="shared" si="415"/>
        <v>243.22652486885949</v>
      </c>
      <c r="L1396" s="336">
        <v>0.89062254097439253</v>
      </c>
      <c r="M1396" s="258">
        <f t="shared" si="416"/>
        <v>0.89062254097439253</v>
      </c>
      <c r="N1396" s="251">
        <f t="shared" si="417"/>
        <v>18.9109329175566</v>
      </c>
      <c r="O1396" s="336">
        <v>6.9246161109737192E-2</v>
      </c>
      <c r="P1396" s="258">
        <f t="shared" si="418"/>
        <v>6.9246161109737192E-2</v>
      </c>
      <c r="Q1396" s="354">
        <v>266.87399999999997</v>
      </c>
      <c r="R1396" s="249">
        <f t="shared" si="419"/>
        <v>273.09720299999998</v>
      </c>
      <c r="S1396" s="355">
        <v>0.1</v>
      </c>
      <c r="T1396" s="355"/>
      <c r="U1396" s="315">
        <f t="shared" si="420"/>
        <v>300.40692329999996</v>
      </c>
      <c r="V1396" s="315">
        <f t="shared" si="421"/>
        <v>305</v>
      </c>
      <c r="W1396" s="316">
        <f t="shared" si="410"/>
        <v>0</v>
      </c>
    </row>
    <row r="1397" spans="1:23" x14ac:dyDescent="0.25">
      <c r="A1397" s="204" t="s">
        <v>17051</v>
      </c>
      <c r="B1397" s="351" t="s">
        <v>21112</v>
      </c>
      <c r="C1397" s="352"/>
      <c r="D1397" s="353" t="s">
        <v>5</v>
      </c>
      <c r="E1397" s="249">
        <f t="shared" si="411"/>
        <v>0</v>
      </c>
      <c r="F1397" s="336">
        <v>0</v>
      </c>
      <c r="G1397" s="258">
        <f t="shared" si="412"/>
        <v>0</v>
      </c>
      <c r="H1397" s="249">
        <f t="shared" si="413"/>
        <v>6.371705853742321E-2</v>
      </c>
      <c r="I1397" s="336">
        <v>4.0131297915870418E-2</v>
      </c>
      <c r="J1397" s="258">
        <f t="shared" si="414"/>
        <v>4.0131297915870418E-2</v>
      </c>
      <c r="K1397" s="249">
        <f t="shared" si="415"/>
        <v>1.4139951606744652</v>
      </c>
      <c r="L1397" s="336">
        <v>0.89058507010799104</v>
      </c>
      <c r="M1397" s="258">
        <f t="shared" si="416"/>
        <v>0.89058507010799104</v>
      </c>
      <c r="N1397" s="251">
        <f t="shared" si="417"/>
        <v>0.10994315982927927</v>
      </c>
      <c r="O1397" s="336">
        <v>6.9246161109737192E-2</v>
      </c>
      <c r="P1397" s="258">
        <f t="shared" si="418"/>
        <v>6.9246161109737192E-2</v>
      </c>
      <c r="Q1397" s="354">
        <v>1.5515930232558137</v>
      </c>
      <c r="R1397" s="249">
        <f t="shared" si="419"/>
        <v>1.5877148720930232</v>
      </c>
      <c r="S1397" s="355">
        <v>0.1</v>
      </c>
      <c r="T1397" s="355"/>
      <c r="U1397" s="315">
        <f t="shared" si="420"/>
        <v>1.7464863593023257</v>
      </c>
      <c r="V1397" s="315">
        <f t="shared" si="421"/>
        <v>2</v>
      </c>
      <c r="W1397" s="316">
        <f t="shared" si="410"/>
        <v>0</v>
      </c>
    </row>
    <row r="1398" spans="1:23" x14ac:dyDescent="0.25">
      <c r="A1398" s="204" t="s">
        <v>17052</v>
      </c>
      <c r="B1398" s="351" t="s">
        <v>21113</v>
      </c>
      <c r="C1398" s="352"/>
      <c r="D1398" s="353" t="s">
        <v>14859</v>
      </c>
      <c r="E1398" s="249">
        <f t="shared" si="411"/>
        <v>0</v>
      </c>
      <c r="F1398" s="336">
        <v>0</v>
      </c>
      <c r="G1398" s="258">
        <f t="shared" si="412"/>
        <v>0</v>
      </c>
      <c r="H1398" s="249">
        <f t="shared" si="413"/>
        <v>10.95974521358394</v>
      </c>
      <c r="I1398" s="336">
        <v>4.0131297915870418E-2</v>
      </c>
      <c r="J1398" s="258">
        <f t="shared" si="414"/>
        <v>4.0131297915870418E-2</v>
      </c>
      <c r="K1398" s="249">
        <f t="shared" si="415"/>
        <v>243.22652486885949</v>
      </c>
      <c r="L1398" s="336">
        <v>0.89062254097439253</v>
      </c>
      <c r="M1398" s="258">
        <f t="shared" si="416"/>
        <v>0.89062254097439253</v>
      </c>
      <c r="N1398" s="251">
        <f t="shared" si="417"/>
        <v>18.9109329175566</v>
      </c>
      <c r="O1398" s="336">
        <v>6.9246161109737192E-2</v>
      </c>
      <c r="P1398" s="258">
        <f t="shared" si="418"/>
        <v>6.9246161109737192E-2</v>
      </c>
      <c r="Q1398" s="354">
        <v>266.87399999999997</v>
      </c>
      <c r="R1398" s="249">
        <f t="shared" si="419"/>
        <v>273.09720299999998</v>
      </c>
      <c r="S1398" s="355">
        <v>0.1</v>
      </c>
      <c r="T1398" s="355"/>
      <c r="U1398" s="315">
        <f t="shared" si="420"/>
        <v>300.40692329999996</v>
      </c>
      <c r="V1398" s="315">
        <f t="shared" si="421"/>
        <v>305</v>
      </c>
      <c r="W1398" s="316">
        <f t="shared" si="410"/>
        <v>0</v>
      </c>
    </row>
    <row r="1399" spans="1:23" x14ac:dyDescent="0.25">
      <c r="A1399" s="204" t="s">
        <v>17053</v>
      </c>
      <c r="B1399" s="351" t="s">
        <v>21114</v>
      </c>
      <c r="C1399" s="352"/>
      <c r="D1399" s="353" t="s">
        <v>5</v>
      </c>
      <c r="E1399" s="249">
        <f t="shared" si="411"/>
        <v>0</v>
      </c>
      <c r="F1399" s="336">
        <v>0</v>
      </c>
      <c r="G1399" s="258">
        <f t="shared" si="412"/>
        <v>0</v>
      </c>
      <c r="H1399" s="249">
        <f t="shared" si="413"/>
        <v>6.3722723525840921E-2</v>
      </c>
      <c r="I1399" s="336">
        <v>3.713740319048784E-2</v>
      </c>
      <c r="J1399" s="258">
        <f t="shared" si="414"/>
        <v>3.713740319048784E-2</v>
      </c>
      <c r="K1399" s="249">
        <f t="shared" si="415"/>
        <v>1.5421285832471909</v>
      </c>
      <c r="L1399" s="336">
        <v>0.89874769625002371</v>
      </c>
      <c r="M1399" s="258">
        <f t="shared" si="416"/>
        <v>0.89874769625002371</v>
      </c>
      <c r="N1399" s="251">
        <f t="shared" si="417"/>
        <v>0.10995293471125492</v>
      </c>
      <c r="O1399" s="336">
        <v>6.4080225112998615E-2</v>
      </c>
      <c r="P1399" s="258">
        <f t="shared" si="418"/>
        <v>6.4080225112998615E-2</v>
      </c>
      <c r="Q1399" s="354">
        <v>1.6766773255813952</v>
      </c>
      <c r="R1399" s="249">
        <f t="shared" si="419"/>
        <v>1.7158637398255809</v>
      </c>
      <c r="S1399" s="355">
        <v>0.1</v>
      </c>
      <c r="T1399" s="355"/>
      <c r="U1399" s="315">
        <f t="shared" si="420"/>
        <v>1.887450113808139</v>
      </c>
      <c r="V1399" s="315">
        <f t="shared" si="421"/>
        <v>2</v>
      </c>
      <c r="W1399" s="316">
        <f t="shared" si="410"/>
        <v>0</v>
      </c>
    </row>
    <row r="1400" spans="1:23" x14ac:dyDescent="0.25">
      <c r="A1400" s="204" t="s">
        <v>17054</v>
      </c>
      <c r="B1400" s="351" t="s">
        <v>21115</v>
      </c>
      <c r="C1400" s="352"/>
      <c r="D1400" s="353" t="s">
        <v>14859</v>
      </c>
      <c r="E1400" s="249">
        <f t="shared" si="411"/>
        <v>0</v>
      </c>
      <c r="F1400" s="336">
        <v>0</v>
      </c>
      <c r="G1400" s="258">
        <f t="shared" si="412"/>
        <v>0</v>
      </c>
      <c r="H1400" s="249">
        <f t="shared" si="413"/>
        <v>10.960688919140328</v>
      </c>
      <c r="I1400" s="336">
        <v>3.713740319048784E-2</v>
      </c>
      <c r="J1400" s="258">
        <f t="shared" si="414"/>
        <v>3.713740319048784E-2</v>
      </c>
      <c r="K1400" s="249">
        <f t="shared" si="415"/>
        <v>265.2655580586175</v>
      </c>
      <c r="L1400" s="336">
        <v>0.89878237169651354</v>
      </c>
      <c r="M1400" s="258">
        <f t="shared" si="416"/>
        <v>0.89878237169651354</v>
      </c>
      <c r="N1400" s="251">
        <f t="shared" si="417"/>
        <v>18.912561272242129</v>
      </c>
      <c r="O1400" s="336">
        <v>6.4080225112998615E-2</v>
      </c>
      <c r="P1400" s="258">
        <f t="shared" si="418"/>
        <v>6.4080225112998615E-2</v>
      </c>
      <c r="Q1400" s="354">
        <v>288.38849999999996</v>
      </c>
      <c r="R1400" s="249">
        <f t="shared" si="419"/>
        <v>295.13880824999995</v>
      </c>
      <c r="S1400" s="355">
        <v>0.1</v>
      </c>
      <c r="T1400" s="355"/>
      <c r="U1400" s="315">
        <f t="shared" si="420"/>
        <v>324.65268907499996</v>
      </c>
      <c r="V1400" s="315">
        <f t="shared" si="421"/>
        <v>325</v>
      </c>
      <c r="W1400" s="316">
        <f t="shared" si="410"/>
        <v>0</v>
      </c>
    </row>
    <row r="1401" spans="1:23" x14ac:dyDescent="0.25">
      <c r="A1401" s="204" t="s">
        <v>17055</v>
      </c>
      <c r="B1401" s="351" t="s">
        <v>21116</v>
      </c>
      <c r="C1401" s="352"/>
      <c r="D1401" s="353" t="s">
        <v>5</v>
      </c>
      <c r="E1401" s="249">
        <f t="shared" si="411"/>
        <v>0</v>
      </c>
      <c r="F1401" s="336">
        <v>0</v>
      </c>
      <c r="G1401" s="258">
        <f t="shared" si="412"/>
        <v>0</v>
      </c>
      <c r="H1401" s="249">
        <f t="shared" si="413"/>
        <v>6.3728665265718798E-2</v>
      </c>
      <c r="I1401" s="336">
        <v>3.3997247841841383E-2</v>
      </c>
      <c r="J1401" s="258">
        <f t="shared" si="414"/>
        <v>3.3997247841841383E-2</v>
      </c>
      <c r="K1401" s="249">
        <f t="shared" si="415"/>
        <v>1.7007728864525398</v>
      </c>
      <c r="L1401" s="336">
        <v>0.90730909085137534</v>
      </c>
      <c r="M1401" s="258">
        <f t="shared" si="416"/>
        <v>0.90730909085137534</v>
      </c>
      <c r="N1401" s="251">
        <f t="shared" si="417"/>
        <v>0.10996318712516183</v>
      </c>
      <c r="O1401" s="336">
        <v>5.8661917844745906E-2</v>
      </c>
      <c r="P1401" s="258">
        <f t="shared" si="418"/>
        <v>5.8661917844745906E-2</v>
      </c>
      <c r="Q1401" s="354">
        <v>1.8315436046511626</v>
      </c>
      <c r="R1401" s="249">
        <f t="shared" si="419"/>
        <v>1.8745242427325577</v>
      </c>
      <c r="S1401" s="355">
        <v>0.1</v>
      </c>
      <c r="T1401" s="355"/>
      <c r="U1401" s="315">
        <f t="shared" si="420"/>
        <v>2.0619766670058133</v>
      </c>
      <c r="V1401" s="315">
        <f t="shared" si="421"/>
        <v>3</v>
      </c>
      <c r="W1401" s="316">
        <f t="shared" si="410"/>
        <v>0</v>
      </c>
    </row>
    <row r="1402" spans="1:23" x14ac:dyDescent="0.25">
      <c r="A1402" s="204" t="s">
        <v>17056</v>
      </c>
      <c r="B1402" s="351" t="s">
        <v>21117</v>
      </c>
      <c r="C1402" s="352"/>
      <c r="D1402" s="353" t="s">
        <v>14859</v>
      </c>
      <c r="E1402" s="249">
        <f t="shared" si="411"/>
        <v>0</v>
      </c>
      <c r="F1402" s="336">
        <v>0</v>
      </c>
      <c r="G1402" s="258">
        <f t="shared" si="412"/>
        <v>0</v>
      </c>
      <c r="H1402" s="249">
        <f t="shared" si="413"/>
        <v>10.961678727507774</v>
      </c>
      <c r="I1402" s="336">
        <v>3.3997247841841383E-2</v>
      </c>
      <c r="J1402" s="258">
        <f t="shared" si="414"/>
        <v>3.3997247841841383E-2</v>
      </c>
      <c r="K1402" s="249">
        <f t="shared" si="415"/>
        <v>292.55246684561604</v>
      </c>
      <c r="L1402" s="336">
        <v>0.90734083431341273</v>
      </c>
      <c r="M1402" s="258">
        <f t="shared" si="416"/>
        <v>0.90734083431341273</v>
      </c>
      <c r="N1402" s="251">
        <f t="shared" si="417"/>
        <v>18.914269176876157</v>
      </c>
      <c r="O1402" s="336">
        <v>5.8661917844745906E-2</v>
      </c>
      <c r="P1402" s="258">
        <f t="shared" si="418"/>
        <v>5.8661917844745906E-2</v>
      </c>
      <c r="Q1402" s="354">
        <v>315.02549999999997</v>
      </c>
      <c r="R1402" s="249">
        <f t="shared" si="419"/>
        <v>322.42841474999994</v>
      </c>
      <c r="S1402" s="355">
        <v>0.1</v>
      </c>
      <c r="T1402" s="355"/>
      <c r="U1402" s="315">
        <f t="shared" si="420"/>
        <v>354.67125622499992</v>
      </c>
      <c r="V1402" s="315">
        <f t="shared" si="421"/>
        <v>355</v>
      </c>
      <c r="W1402" s="316">
        <f t="shared" si="410"/>
        <v>0</v>
      </c>
    </row>
    <row r="1403" spans="1:23" x14ac:dyDescent="0.25">
      <c r="A1403" s="204" t="s">
        <v>17057</v>
      </c>
      <c r="B1403" s="351" t="s">
        <v>21118</v>
      </c>
      <c r="C1403" s="352"/>
      <c r="D1403" s="353" t="s">
        <v>5</v>
      </c>
      <c r="E1403" s="249">
        <f t="shared" si="411"/>
        <v>0</v>
      </c>
      <c r="F1403" s="336">
        <v>0</v>
      </c>
      <c r="G1403" s="258">
        <f t="shared" si="412"/>
        <v>0</v>
      </c>
      <c r="H1403" s="249">
        <f t="shared" si="413"/>
        <v>6.3728665265718798E-2</v>
      </c>
      <c r="I1403" s="336">
        <v>3.3997247841841383E-2</v>
      </c>
      <c r="J1403" s="258">
        <f t="shared" si="414"/>
        <v>3.3997247841841383E-2</v>
      </c>
      <c r="K1403" s="249">
        <f t="shared" si="415"/>
        <v>1.7007728864525398</v>
      </c>
      <c r="L1403" s="336">
        <v>0.90730909085137534</v>
      </c>
      <c r="M1403" s="258">
        <f t="shared" si="416"/>
        <v>0.90730909085137534</v>
      </c>
      <c r="N1403" s="251">
        <f t="shared" si="417"/>
        <v>0.10996318712516183</v>
      </c>
      <c r="O1403" s="336">
        <v>5.8661917844745906E-2</v>
      </c>
      <c r="P1403" s="258">
        <f t="shared" si="418"/>
        <v>5.8661917844745906E-2</v>
      </c>
      <c r="Q1403" s="354">
        <v>1.8315436046511626</v>
      </c>
      <c r="R1403" s="249">
        <f t="shared" si="419"/>
        <v>1.8745242427325577</v>
      </c>
      <c r="S1403" s="355">
        <v>0.1</v>
      </c>
      <c r="T1403" s="355"/>
      <c r="U1403" s="315">
        <f t="shared" si="420"/>
        <v>2.0619766670058133</v>
      </c>
      <c r="V1403" s="315">
        <f t="shared" si="421"/>
        <v>3</v>
      </c>
      <c r="W1403" s="316">
        <f t="shared" si="410"/>
        <v>0</v>
      </c>
    </row>
    <row r="1404" spans="1:23" x14ac:dyDescent="0.25">
      <c r="A1404" s="204" t="s">
        <v>17058</v>
      </c>
      <c r="B1404" s="351" t="s">
        <v>21119</v>
      </c>
      <c r="C1404" s="352"/>
      <c r="D1404" s="353" t="s">
        <v>14859</v>
      </c>
      <c r="E1404" s="249">
        <f t="shared" si="411"/>
        <v>0</v>
      </c>
      <c r="F1404" s="336">
        <v>0</v>
      </c>
      <c r="G1404" s="258">
        <f t="shared" si="412"/>
        <v>0</v>
      </c>
      <c r="H1404" s="249">
        <f t="shared" si="413"/>
        <v>10.961678727507774</v>
      </c>
      <c r="I1404" s="336">
        <v>3.3997247841841383E-2</v>
      </c>
      <c r="J1404" s="258">
        <f t="shared" si="414"/>
        <v>3.3997247841841383E-2</v>
      </c>
      <c r="K1404" s="249">
        <f t="shared" si="415"/>
        <v>292.55246684561604</v>
      </c>
      <c r="L1404" s="336">
        <v>0.90734083431341273</v>
      </c>
      <c r="M1404" s="258">
        <f t="shared" si="416"/>
        <v>0.90734083431341273</v>
      </c>
      <c r="N1404" s="251">
        <f t="shared" si="417"/>
        <v>18.914269176876157</v>
      </c>
      <c r="O1404" s="336">
        <v>5.8661917844745906E-2</v>
      </c>
      <c r="P1404" s="258">
        <f t="shared" si="418"/>
        <v>5.8661917844745906E-2</v>
      </c>
      <c r="Q1404" s="354">
        <v>315.02549999999997</v>
      </c>
      <c r="R1404" s="249">
        <f t="shared" si="419"/>
        <v>322.42841474999994</v>
      </c>
      <c r="S1404" s="355">
        <v>0.1</v>
      </c>
      <c r="T1404" s="355"/>
      <c r="U1404" s="315">
        <f t="shared" si="420"/>
        <v>354.67125622499992</v>
      </c>
      <c r="V1404" s="315">
        <f t="shared" si="421"/>
        <v>355</v>
      </c>
      <c r="W1404" s="316">
        <f t="shared" si="410"/>
        <v>0</v>
      </c>
    </row>
    <row r="1405" spans="1:23" x14ac:dyDescent="0.25">
      <c r="A1405" s="204" t="s">
        <v>17059</v>
      </c>
      <c r="B1405" s="351" t="s">
        <v>21120</v>
      </c>
      <c r="C1405" s="352"/>
      <c r="D1405" s="353" t="s">
        <v>5</v>
      </c>
      <c r="E1405" s="249">
        <f t="shared" si="411"/>
        <v>0</v>
      </c>
      <c r="F1405" s="336">
        <v>0</v>
      </c>
      <c r="G1405" s="258">
        <f t="shared" si="412"/>
        <v>0</v>
      </c>
      <c r="H1405" s="249">
        <f t="shared" si="413"/>
        <v>6.3728665265718798E-2</v>
      </c>
      <c r="I1405" s="336">
        <v>3.3997247841841383E-2</v>
      </c>
      <c r="J1405" s="258">
        <f t="shared" si="414"/>
        <v>3.3997247841841383E-2</v>
      </c>
      <c r="K1405" s="249">
        <f t="shared" si="415"/>
        <v>1.7007728864525398</v>
      </c>
      <c r="L1405" s="336">
        <v>0.90730909085137534</v>
      </c>
      <c r="M1405" s="258">
        <f t="shared" si="416"/>
        <v>0.90730909085137534</v>
      </c>
      <c r="N1405" s="251">
        <f t="shared" si="417"/>
        <v>0.10996318712516183</v>
      </c>
      <c r="O1405" s="336">
        <v>5.8661917844745906E-2</v>
      </c>
      <c r="P1405" s="258">
        <f t="shared" si="418"/>
        <v>5.8661917844745906E-2</v>
      </c>
      <c r="Q1405" s="354">
        <v>1.8315436046511626</v>
      </c>
      <c r="R1405" s="249">
        <f t="shared" si="419"/>
        <v>1.8745242427325577</v>
      </c>
      <c r="S1405" s="355">
        <v>0.1</v>
      </c>
      <c r="T1405" s="355"/>
      <c r="U1405" s="315">
        <f t="shared" si="420"/>
        <v>2.0619766670058133</v>
      </c>
      <c r="V1405" s="315">
        <f t="shared" si="421"/>
        <v>3</v>
      </c>
      <c r="W1405" s="316">
        <f t="shared" si="410"/>
        <v>0</v>
      </c>
    </row>
    <row r="1406" spans="1:23" x14ac:dyDescent="0.25">
      <c r="A1406" s="204" t="s">
        <v>17060</v>
      </c>
      <c r="B1406" s="351" t="s">
        <v>21121</v>
      </c>
      <c r="C1406" s="352"/>
      <c r="D1406" s="353" t="s">
        <v>14859</v>
      </c>
      <c r="E1406" s="249">
        <f t="shared" si="411"/>
        <v>0</v>
      </c>
      <c r="F1406" s="336">
        <v>0</v>
      </c>
      <c r="G1406" s="258">
        <f t="shared" si="412"/>
        <v>0</v>
      </c>
      <c r="H1406" s="249">
        <f t="shared" si="413"/>
        <v>10.961678727507774</v>
      </c>
      <c r="I1406" s="336">
        <v>3.3997247841841383E-2</v>
      </c>
      <c r="J1406" s="258">
        <f t="shared" si="414"/>
        <v>3.3997247841841383E-2</v>
      </c>
      <c r="K1406" s="249">
        <f t="shared" si="415"/>
        <v>292.55246684561604</v>
      </c>
      <c r="L1406" s="336">
        <v>0.90734083431341273</v>
      </c>
      <c r="M1406" s="258">
        <f t="shared" si="416"/>
        <v>0.90734083431341273</v>
      </c>
      <c r="N1406" s="251">
        <f t="shared" si="417"/>
        <v>18.914269176876157</v>
      </c>
      <c r="O1406" s="336">
        <v>5.8661917844745906E-2</v>
      </c>
      <c r="P1406" s="258">
        <f t="shared" si="418"/>
        <v>5.8661917844745906E-2</v>
      </c>
      <c r="Q1406" s="354">
        <v>315.02549999999997</v>
      </c>
      <c r="R1406" s="249">
        <f t="shared" si="419"/>
        <v>322.42841474999994</v>
      </c>
      <c r="S1406" s="355">
        <v>0.1</v>
      </c>
      <c r="T1406" s="355"/>
      <c r="U1406" s="315">
        <f t="shared" si="420"/>
        <v>354.67125622499992</v>
      </c>
      <c r="V1406" s="315">
        <f t="shared" si="421"/>
        <v>355</v>
      </c>
      <c r="W1406" s="316">
        <f t="shared" si="410"/>
        <v>0</v>
      </c>
    </row>
    <row r="1407" spans="1:23" x14ac:dyDescent="0.25">
      <c r="A1407" s="204" t="s">
        <v>17061</v>
      </c>
      <c r="B1407" s="351" t="s">
        <v>21122</v>
      </c>
      <c r="C1407" s="352"/>
      <c r="D1407" s="353" t="s">
        <v>5</v>
      </c>
      <c r="E1407" s="249">
        <f t="shared" si="411"/>
        <v>0</v>
      </c>
      <c r="F1407" s="336">
        <v>0</v>
      </c>
      <c r="G1407" s="258">
        <f t="shared" si="412"/>
        <v>0</v>
      </c>
      <c r="H1407" s="249">
        <f t="shared" si="413"/>
        <v>6.3745727744943526E-2</v>
      </c>
      <c r="I1407" s="336">
        <v>2.4979883147325334E-2</v>
      </c>
      <c r="J1407" s="258">
        <f t="shared" si="414"/>
        <v>2.4979883147325334E-2</v>
      </c>
      <c r="K1407" s="249">
        <f t="shared" si="415"/>
        <v>2.378084667773432</v>
      </c>
      <c r="L1407" s="336">
        <v>0.93189424949562083</v>
      </c>
      <c r="M1407" s="258">
        <f t="shared" si="416"/>
        <v>0.93189424949562083</v>
      </c>
      <c r="N1407" s="251">
        <f t="shared" si="417"/>
        <v>0.10999262826578492</v>
      </c>
      <c r="O1407" s="336">
        <v>4.3102543469894693E-2</v>
      </c>
      <c r="P1407" s="258">
        <f t="shared" si="418"/>
        <v>4.3102543469894693E-2</v>
      </c>
      <c r="Q1407" s="354">
        <v>2.4927034883720931</v>
      </c>
      <c r="R1407" s="249">
        <f t="shared" si="419"/>
        <v>2.5518825436046511</v>
      </c>
      <c r="S1407" s="355">
        <v>0.1</v>
      </c>
      <c r="T1407" s="355"/>
      <c r="U1407" s="315">
        <f t="shared" si="420"/>
        <v>2.8070707979651162</v>
      </c>
      <c r="V1407" s="315">
        <f t="shared" si="421"/>
        <v>3</v>
      </c>
      <c r="W1407" s="316">
        <f t="shared" ref="W1407:W1460" si="422">C1407*V1407</f>
        <v>0</v>
      </c>
    </row>
    <row r="1408" spans="1:23" x14ac:dyDescent="0.25">
      <c r="A1408" s="204" t="s">
        <v>17062</v>
      </c>
      <c r="B1408" s="351" t="s">
        <v>21123</v>
      </c>
      <c r="C1408" s="352"/>
      <c r="D1408" s="353" t="s">
        <v>14859</v>
      </c>
      <c r="E1408" s="249">
        <f t="shared" si="411"/>
        <v>0</v>
      </c>
      <c r="F1408" s="336">
        <v>0</v>
      </c>
      <c r="G1408" s="258">
        <f t="shared" si="412"/>
        <v>0</v>
      </c>
      <c r="H1408" s="249">
        <f t="shared" si="413"/>
        <v>10.964521091033131</v>
      </c>
      <c r="I1408" s="336">
        <v>2.4979883147325334E-2</v>
      </c>
      <c r="J1408" s="258">
        <f t="shared" si="414"/>
        <v>2.4979883147325334E-2</v>
      </c>
      <c r="K1408" s="249">
        <f t="shared" si="415"/>
        <v>409.05034776169401</v>
      </c>
      <c r="L1408" s="336">
        <v>0.93191757338278003</v>
      </c>
      <c r="M1408" s="258">
        <f t="shared" si="416"/>
        <v>0.93191757338278003</v>
      </c>
      <c r="N1408" s="251">
        <f t="shared" si="417"/>
        <v>18.919173647272853</v>
      </c>
      <c r="O1408" s="336">
        <v>4.3102543469894693E-2</v>
      </c>
      <c r="P1408" s="258">
        <f t="shared" si="418"/>
        <v>4.3102543469894693E-2</v>
      </c>
      <c r="Q1408" s="354">
        <v>428.745</v>
      </c>
      <c r="R1408" s="249">
        <f t="shared" si="419"/>
        <v>438.93404249999998</v>
      </c>
      <c r="S1408" s="355">
        <v>0.1</v>
      </c>
      <c r="T1408" s="355"/>
      <c r="U1408" s="315">
        <f t="shared" si="420"/>
        <v>482.82744674999998</v>
      </c>
      <c r="V1408" s="315">
        <f t="shared" si="421"/>
        <v>485</v>
      </c>
      <c r="W1408" s="316">
        <f t="shared" si="422"/>
        <v>0</v>
      </c>
    </row>
    <row r="1409" spans="1:23" x14ac:dyDescent="0.25">
      <c r="A1409" s="204" t="s">
        <v>17063</v>
      </c>
      <c r="B1409" s="351" t="s">
        <v>21124</v>
      </c>
      <c r="C1409" s="352"/>
      <c r="D1409" s="353" t="s">
        <v>5</v>
      </c>
      <c r="E1409" s="249">
        <f t="shared" si="411"/>
        <v>0</v>
      </c>
      <c r="F1409" s="336">
        <v>0</v>
      </c>
      <c r="G1409" s="258">
        <f t="shared" si="412"/>
        <v>0</v>
      </c>
      <c r="H1409" s="249">
        <f t="shared" si="413"/>
        <v>6.3750131845555377E-2</v>
      </c>
      <c r="I1409" s="336">
        <v>2.2652356130571483E-2</v>
      </c>
      <c r="J1409" s="258">
        <f t="shared" si="414"/>
        <v>2.2652356130571483E-2</v>
      </c>
      <c r="K1409" s="249">
        <f t="shared" si="415"/>
        <v>2.6404727228282532</v>
      </c>
      <c r="L1409" s="336">
        <v>0.93824007478873128</v>
      </c>
      <c r="M1409" s="258">
        <f t="shared" si="416"/>
        <v>0.93824007478873128</v>
      </c>
      <c r="N1409" s="251">
        <f t="shared" si="417"/>
        <v>0.1100002274982132</v>
      </c>
      <c r="O1409" s="336">
        <v>3.9086418421378243E-2</v>
      </c>
      <c r="P1409" s="258">
        <f t="shared" si="418"/>
        <v>3.9086418421378243E-2</v>
      </c>
      <c r="Q1409" s="354">
        <v>2.748828488372093</v>
      </c>
      <c r="R1409" s="249">
        <f t="shared" si="419"/>
        <v>2.8142826061046509</v>
      </c>
      <c r="S1409" s="355">
        <v>0.1</v>
      </c>
      <c r="T1409" s="355"/>
      <c r="U1409" s="315">
        <f t="shared" si="420"/>
        <v>3.0957108667151161</v>
      </c>
      <c r="V1409" s="315">
        <f t="shared" si="421"/>
        <v>4</v>
      </c>
      <c r="W1409" s="316">
        <f t="shared" si="422"/>
        <v>0</v>
      </c>
    </row>
    <row r="1410" spans="1:23" x14ac:dyDescent="0.25">
      <c r="A1410" s="204" t="s">
        <v>17064</v>
      </c>
      <c r="B1410" s="351" t="s">
        <v>21125</v>
      </c>
      <c r="C1410" s="352"/>
      <c r="D1410" s="353" t="s">
        <v>14859</v>
      </c>
      <c r="E1410" s="249">
        <f t="shared" ref="E1410:E1473" si="423">R1410*G1410</f>
        <v>0</v>
      </c>
      <c r="F1410" s="336">
        <v>0</v>
      </c>
      <c r="G1410" s="258">
        <f t="shared" ref="G1410:G1473" si="424">F1410</f>
        <v>0</v>
      </c>
      <c r="H1410" s="249">
        <f t="shared" ref="H1410:H1473" si="425">R1410*J1410</f>
        <v>10.965254750824082</v>
      </c>
      <c r="I1410" s="336">
        <v>2.2652356130571483E-2</v>
      </c>
      <c r="J1410" s="258">
        <f t="shared" ref="J1410:J1473" si="426">I1410</f>
        <v>2.2652356130571483E-2</v>
      </c>
      <c r="K1410" s="249">
        <f t="shared" ref="K1410:K1473" si="427">R1410*M1410</f>
        <v>454.18115892912647</v>
      </c>
      <c r="L1410" s="336">
        <v>0.93826122544805024</v>
      </c>
      <c r="M1410" s="258">
        <f t="shared" ref="M1410:M1473" si="428">L1410</f>
        <v>0.93826122544805024</v>
      </c>
      <c r="N1410" s="251">
        <f t="shared" ref="N1410:N1473" si="429">P1410*R1410</f>
        <v>18.920439570049396</v>
      </c>
      <c r="O1410" s="336">
        <v>3.9086418421378243E-2</v>
      </c>
      <c r="P1410" s="258">
        <f t="shared" ref="P1410:P1473" si="430">O1410</f>
        <v>3.9086418421378243E-2</v>
      </c>
      <c r="Q1410" s="354">
        <v>472.79849999999999</v>
      </c>
      <c r="R1410" s="249">
        <f t="shared" ref="R1410:R1473" si="431">SUM(F1410*Q1410*1.0235,I1410*Q1410*1.0175,L1410*Q1410*1.0245,O1410*Q1410*1.0115)</f>
        <v>484.06685324999995</v>
      </c>
      <c r="S1410" s="355">
        <v>0.1</v>
      </c>
      <c r="T1410" s="355"/>
      <c r="U1410" s="315">
        <f t="shared" si="420"/>
        <v>532.47353857499991</v>
      </c>
      <c r="V1410" s="315">
        <f t="shared" si="421"/>
        <v>535</v>
      </c>
      <c r="W1410" s="316">
        <f t="shared" si="422"/>
        <v>0</v>
      </c>
    </row>
    <row r="1411" spans="1:23" x14ac:dyDescent="0.25">
      <c r="A1411" s="204" t="s">
        <v>17065</v>
      </c>
      <c r="B1411" s="351" t="s">
        <v>21126</v>
      </c>
      <c r="C1411" s="352"/>
      <c r="D1411" s="353" t="s">
        <v>5</v>
      </c>
      <c r="E1411" s="249">
        <f t="shared" si="423"/>
        <v>0</v>
      </c>
      <c r="F1411" s="336">
        <v>0</v>
      </c>
      <c r="G1411" s="258">
        <f t="shared" si="424"/>
        <v>0</v>
      </c>
      <c r="H1411" s="249">
        <f t="shared" si="425"/>
        <v>6.3772778766764349E-2</v>
      </c>
      <c r="I1411" s="336">
        <v>1.0683664766350945E-2</v>
      </c>
      <c r="J1411" s="258">
        <f t="shared" si="426"/>
        <v>1.0683664766350945E-2</v>
      </c>
      <c r="K1411" s="249">
        <f t="shared" si="427"/>
        <v>5.7953140547558268</v>
      </c>
      <c r="L1411" s="336">
        <v>0.97087180101050918</v>
      </c>
      <c r="M1411" s="258">
        <f t="shared" si="428"/>
        <v>0.97087180101050918</v>
      </c>
      <c r="N1411" s="251">
        <f t="shared" si="429"/>
        <v>0.11003930453873063</v>
      </c>
      <c r="O1411" s="336">
        <v>1.8434558812527122E-2</v>
      </c>
      <c r="P1411" s="258">
        <f t="shared" si="430"/>
        <v>1.8434558812527122E-2</v>
      </c>
      <c r="Q1411" s="354">
        <v>5.8282848837209302</v>
      </c>
      <c r="R1411" s="249">
        <f t="shared" si="431"/>
        <v>5.9691856831395347</v>
      </c>
      <c r="S1411" s="355">
        <v>0.1</v>
      </c>
      <c r="T1411" s="355"/>
      <c r="U1411" s="315">
        <f t="shared" si="420"/>
        <v>6.5661042514534884</v>
      </c>
      <c r="V1411" s="315">
        <f t="shared" si="421"/>
        <v>7</v>
      </c>
      <c r="W1411" s="316">
        <f t="shared" si="422"/>
        <v>0</v>
      </c>
    </row>
    <row r="1412" spans="1:23" x14ac:dyDescent="0.25">
      <c r="A1412" s="204" t="s">
        <v>17066</v>
      </c>
      <c r="B1412" s="351" t="s">
        <v>21127</v>
      </c>
      <c r="C1412" s="352"/>
      <c r="D1412" s="353" t="s">
        <v>14859</v>
      </c>
      <c r="E1412" s="249">
        <f t="shared" si="423"/>
        <v>0</v>
      </c>
      <c r="F1412" s="336">
        <v>0</v>
      </c>
      <c r="G1412" s="258">
        <f t="shared" si="424"/>
        <v>0</v>
      </c>
      <c r="H1412" s="249">
        <f t="shared" si="425"/>
        <v>10.969027402028999</v>
      </c>
      <c r="I1412" s="336">
        <v>1.0683664766350945E-2</v>
      </c>
      <c r="J1412" s="258">
        <f t="shared" si="426"/>
        <v>1.0683664766350945E-2</v>
      </c>
      <c r="K1412" s="249">
        <f t="shared" si="427"/>
        <v>996.81420585525416</v>
      </c>
      <c r="L1412" s="336">
        <v>0.97088177642112183</v>
      </c>
      <c r="M1412" s="258">
        <f t="shared" si="428"/>
        <v>0.97088177642112183</v>
      </c>
      <c r="N1412" s="251">
        <f t="shared" si="429"/>
        <v>18.926949242716706</v>
      </c>
      <c r="O1412" s="336">
        <v>1.8434558812527122E-2</v>
      </c>
      <c r="P1412" s="258">
        <f t="shared" si="430"/>
        <v>1.8434558812527122E-2</v>
      </c>
      <c r="Q1412" s="354">
        <v>1002.465</v>
      </c>
      <c r="R1412" s="249">
        <f t="shared" si="431"/>
        <v>1026.7101825</v>
      </c>
      <c r="S1412" s="355">
        <v>0.1</v>
      </c>
      <c r="T1412" s="355"/>
      <c r="U1412" s="315">
        <f t="shared" si="420"/>
        <v>1129.3812007500001</v>
      </c>
      <c r="V1412" s="315">
        <f t="shared" si="421"/>
        <v>1150</v>
      </c>
      <c r="W1412" s="316">
        <f t="shared" si="422"/>
        <v>0</v>
      </c>
    </row>
    <row r="1413" spans="1:23" x14ac:dyDescent="0.25">
      <c r="A1413" s="204" t="s">
        <v>17067</v>
      </c>
      <c r="B1413" s="351" t="s">
        <v>21128</v>
      </c>
      <c r="C1413" s="352"/>
      <c r="D1413" s="353" t="s">
        <v>5</v>
      </c>
      <c r="E1413" s="249">
        <f t="shared" si="423"/>
        <v>0</v>
      </c>
      <c r="F1413" s="336">
        <v>0</v>
      </c>
      <c r="G1413" s="258">
        <f t="shared" si="424"/>
        <v>0</v>
      </c>
      <c r="H1413" s="249">
        <f t="shared" si="425"/>
        <v>6.3778104652828765E-2</v>
      </c>
      <c r="I1413" s="336">
        <v>7.8689825427614192E-3</v>
      </c>
      <c r="J1413" s="258">
        <f t="shared" si="426"/>
        <v>7.8689825427614192E-3</v>
      </c>
      <c r="K1413" s="249">
        <f t="shared" si="427"/>
        <v>7.9311139963420585</v>
      </c>
      <c r="L1413" s="336">
        <v>0.97854581790395578</v>
      </c>
      <c r="M1413" s="258">
        <f t="shared" si="428"/>
        <v>0.97854581790395578</v>
      </c>
      <c r="N1413" s="251">
        <f t="shared" si="429"/>
        <v>0.11004849430292021</v>
      </c>
      <c r="O1413" s="336">
        <v>1.3577852230647154E-2</v>
      </c>
      <c r="P1413" s="258">
        <f t="shared" si="430"/>
        <v>1.3577852230647154E-2</v>
      </c>
      <c r="Q1413" s="354">
        <v>7.913023255813953</v>
      </c>
      <c r="R1413" s="249">
        <f t="shared" si="431"/>
        <v>8.1050001453488374</v>
      </c>
      <c r="S1413" s="355">
        <v>0.1</v>
      </c>
      <c r="T1413" s="355"/>
      <c r="U1413" s="315">
        <f t="shared" si="420"/>
        <v>8.9155001598837202</v>
      </c>
      <c r="V1413" s="315">
        <f t="shared" si="421"/>
        <v>9</v>
      </c>
      <c r="W1413" s="316">
        <f t="shared" si="422"/>
        <v>0</v>
      </c>
    </row>
    <row r="1414" spans="1:23" x14ac:dyDescent="0.25">
      <c r="A1414" s="204" t="s">
        <v>17068</v>
      </c>
      <c r="B1414" s="351" t="s">
        <v>21129</v>
      </c>
      <c r="C1414" s="352"/>
      <c r="D1414" s="353" t="s">
        <v>14859</v>
      </c>
      <c r="E1414" s="249">
        <f t="shared" si="423"/>
        <v>0</v>
      </c>
      <c r="F1414" s="336">
        <v>0</v>
      </c>
      <c r="G1414" s="258">
        <f t="shared" si="424"/>
        <v>0</v>
      </c>
      <c r="H1414" s="249">
        <f t="shared" si="425"/>
        <v>10.969914618012698</v>
      </c>
      <c r="I1414" s="336">
        <v>7.8689825427614192E-3</v>
      </c>
      <c r="J1414" s="258">
        <f t="shared" si="426"/>
        <v>7.8689825427614192E-3</v>
      </c>
      <c r="K1414" s="249">
        <f t="shared" si="427"/>
        <v>1364.1718752567888</v>
      </c>
      <c r="L1414" s="336">
        <v>0.97855316522659141</v>
      </c>
      <c r="M1414" s="258">
        <f t="shared" si="428"/>
        <v>0.97855316522659141</v>
      </c>
      <c r="N1414" s="251">
        <f t="shared" si="429"/>
        <v>18.928480125198377</v>
      </c>
      <c r="O1414" s="336">
        <v>1.3577852230647152E-2</v>
      </c>
      <c r="P1414" s="258">
        <f t="shared" si="430"/>
        <v>1.3577852230647152E-2</v>
      </c>
      <c r="Q1414" s="354">
        <v>1361.04</v>
      </c>
      <c r="R1414" s="249">
        <f t="shared" si="431"/>
        <v>1394.0702699999999</v>
      </c>
      <c r="S1414" s="355">
        <v>0.1</v>
      </c>
      <c r="T1414" s="355"/>
      <c r="U1414" s="315">
        <f t="shared" si="420"/>
        <v>1533.4772969999999</v>
      </c>
      <c r="V1414" s="315">
        <f t="shared" si="421"/>
        <v>1550</v>
      </c>
      <c r="W1414" s="316">
        <f t="shared" si="422"/>
        <v>0</v>
      </c>
    </row>
    <row r="1415" spans="1:23" x14ac:dyDescent="0.25">
      <c r="A1415" s="204" t="s">
        <v>17069</v>
      </c>
      <c r="B1415" s="351" t="s">
        <v>21130</v>
      </c>
      <c r="C1415" s="352"/>
      <c r="D1415" s="353" t="s">
        <v>5</v>
      </c>
      <c r="E1415" s="249">
        <f t="shared" si="423"/>
        <v>0</v>
      </c>
      <c r="F1415" s="336">
        <v>0</v>
      </c>
      <c r="G1415" s="258">
        <f t="shared" si="424"/>
        <v>0</v>
      </c>
      <c r="H1415" s="249">
        <f t="shared" si="425"/>
        <v>6.3778644718849697E-2</v>
      </c>
      <c r="I1415" s="336">
        <v>7.5835625750124806E-3</v>
      </c>
      <c r="J1415" s="258">
        <f t="shared" si="426"/>
        <v>7.5835625750124806E-3</v>
      </c>
      <c r="K1415" s="249">
        <f t="shared" si="427"/>
        <v>8.2362288756373321</v>
      </c>
      <c r="L1415" s="336">
        <v>0.97932399372638967</v>
      </c>
      <c r="M1415" s="258">
        <f t="shared" si="428"/>
        <v>0.97932399372638967</v>
      </c>
      <c r="N1415" s="251">
        <f t="shared" si="429"/>
        <v>0.11004942618154456</v>
      </c>
      <c r="O1415" s="336">
        <v>1.3085362874531338E-2</v>
      </c>
      <c r="P1415" s="258">
        <f t="shared" si="430"/>
        <v>1.3085362874531338E-2</v>
      </c>
      <c r="Q1415" s="354">
        <v>8.2108430232558138</v>
      </c>
      <c r="R1415" s="249">
        <f t="shared" si="431"/>
        <v>8.4101164970930213</v>
      </c>
      <c r="S1415" s="355">
        <v>0.1</v>
      </c>
      <c r="T1415" s="355"/>
      <c r="U1415" s="315">
        <f t="shared" si="420"/>
        <v>9.2511281468023228</v>
      </c>
      <c r="V1415" s="315">
        <f t="shared" si="421"/>
        <v>10</v>
      </c>
      <c r="W1415" s="316">
        <f t="shared" si="422"/>
        <v>0</v>
      </c>
    </row>
    <row r="1416" spans="1:23" x14ac:dyDescent="0.25">
      <c r="A1416" s="204" t="s">
        <v>17070</v>
      </c>
      <c r="B1416" s="351" t="s">
        <v>21131</v>
      </c>
      <c r="C1416" s="352"/>
      <c r="D1416" s="353" t="s">
        <v>14859</v>
      </c>
      <c r="E1416" s="249">
        <f t="shared" si="423"/>
        <v>0</v>
      </c>
      <c r="F1416" s="336">
        <v>0</v>
      </c>
      <c r="G1416" s="258">
        <f t="shared" si="424"/>
        <v>0</v>
      </c>
      <c r="H1416" s="249">
        <f t="shared" si="425"/>
        <v>10.97000458524073</v>
      </c>
      <c r="I1416" s="336">
        <v>7.5835625750124798E-3</v>
      </c>
      <c r="J1416" s="258">
        <f t="shared" si="426"/>
        <v>7.5835625750124798E-3</v>
      </c>
      <c r="K1416" s="249">
        <f t="shared" si="427"/>
        <v>1416.651642551991</v>
      </c>
      <c r="L1416" s="336">
        <v>0.97933107455045609</v>
      </c>
      <c r="M1416" s="258">
        <f t="shared" si="428"/>
        <v>0.97933107455045609</v>
      </c>
      <c r="N1416" s="251">
        <f t="shared" si="429"/>
        <v>18.928635362768318</v>
      </c>
      <c r="O1416" s="336">
        <v>1.3085362874531338E-2</v>
      </c>
      <c r="P1416" s="258">
        <f t="shared" si="430"/>
        <v>1.3085362874531338E-2</v>
      </c>
      <c r="Q1416" s="354">
        <v>1412.2650000000001</v>
      </c>
      <c r="R1416" s="249">
        <f t="shared" si="431"/>
        <v>1446.5502825000001</v>
      </c>
      <c r="S1416" s="355">
        <v>0.1</v>
      </c>
      <c r="T1416" s="355"/>
      <c r="U1416" s="315">
        <f t="shared" si="420"/>
        <v>1591.2053107500001</v>
      </c>
      <c r="V1416" s="315">
        <f t="shared" si="421"/>
        <v>1600</v>
      </c>
      <c r="W1416" s="316">
        <f t="shared" si="422"/>
        <v>0</v>
      </c>
    </row>
    <row r="1417" spans="1:23" x14ac:dyDescent="0.25">
      <c r="A1417" s="204" t="s">
        <v>17071</v>
      </c>
      <c r="B1417" s="351" t="s">
        <v>21132</v>
      </c>
      <c r="C1417" s="352"/>
      <c r="D1417" s="353" t="s">
        <v>5</v>
      </c>
      <c r="E1417" s="249">
        <f t="shared" si="423"/>
        <v>0</v>
      </c>
      <c r="F1417" s="336">
        <v>0</v>
      </c>
      <c r="G1417" s="258">
        <f t="shared" si="424"/>
        <v>0</v>
      </c>
      <c r="H1417" s="249">
        <f t="shared" si="425"/>
        <v>6.3778900321798213E-2</v>
      </c>
      <c r="I1417" s="336">
        <v>7.4484787473202696E-3</v>
      </c>
      <c r="J1417" s="258">
        <f t="shared" si="426"/>
        <v>7.4484787473202696E-3</v>
      </c>
      <c r="K1417" s="249">
        <f t="shared" si="427"/>
        <v>8.3887863546274399</v>
      </c>
      <c r="L1417" s="336">
        <v>0.97969228950310439</v>
      </c>
      <c r="M1417" s="258">
        <f t="shared" si="428"/>
        <v>0.97969228950310439</v>
      </c>
      <c r="N1417" s="251">
        <f t="shared" si="429"/>
        <v>0.11004986722192629</v>
      </c>
      <c r="O1417" s="336">
        <v>1.2852277054199678E-2</v>
      </c>
      <c r="P1417" s="258">
        <f t="shared" si="430"/>
        <v>1.2852277054199678E-2</v>
      </c>
      <c r="Q1417" s="354">
        <v>8.3597529069767447</v>
      </c>
      <c r="R1417" s="249">
        <f t="shared" si="431"/>
        <v>8.562674672965116</v>
      </c>
      <c r="S1417" s="355">
        <v>0.1</v>
      </c>
      <c r="T1417" s="355"/>
      <c r="U1417" s="315">
        <f t="shared" si="420"/>
        <v>9.4189421402616276</v>
      </c>
      <c r="V1417" s="315">
        <f t="shared" si="421"/>
        <v>10</v>
      </c>
      <c r="W1417" s="316">
        <f t="shared" si="422"/>
        <v>0</v>
      </c>
    </row>
    <row r="1418" spans="1:23" x14ac:dyDescent="0.25">
      <c r="A1418" s="204" t="s">
        <v>17072</v>
      </c>
      <c r="B1418" s="351" t="s">
        <v>21133</v>
      </c>
      <c r="C1418" s="352"/>
      <c r="D1418" s="353" t="s">
        <v>14859</v>
      </c>
      <c r="E1418" s="249">
        <f t="shared" si="423"/>
        <v>0</v>
      </c>
      <c r="F1418" s="336">
        <v>0</v>
      </c>
      <c r="G1418" s="258">
        <f t="shared" si="424"/>
        <v>0</v>
      </c>
      <c r="H1418" s="249">
        <f t="shared" si="425"/>
        <v>10.97004716501406</v>
      </c>
      <c r="I1418" s="336">
        <v>7.4484787473202696E-3</v>
      </c>
      <c r="J1418" s="258">
        <f t="shared" si="426"/>
        <v>7.4484787473202696E-3</v>
      </c>
      <c r="K1418" s="249">
        <f t="shared" si="427"/>
        <v>1442.8915327512364</v>
      </c>
      <c r="L1418" s="336">
        <v>0.97969924419847998</v>
      </c>
      <c r="M1418" s="258">
        <f t="shared" si="428"/>
        <v>0.97969924419847998</v>
      </c>
      <c r="N1418" s="251">
        <f t="shared" si="429"/>
        <v>18.928708833749749</v>
      </c>
      <c r="O1418" s="336">
        <v>1.285227705419968E-2</v>
      </c>
      <c r="P1418" s="258">
        <f t="shared" si="430"/>
        <v>1.285227705419968E-2</v>
      </c>
      <c r="Q1418" s="354">
        <v>1437.8775000000001</v>
      </c>
      <c r="R1418" s="249">
        <f t="shared" si="431"/>
        <v>1472.7902887500002</v>
      </c>
      <c r="S1418" s="355">
        <v>0.1</v>
      </c>
      <c r="T1418" s="355"/>
      <c r="U1418" s="315">
        <f t="shared" si="420"/>
        <v>1620.0693176250002</v>
      </c>
      <c r="V1418" s="315">
        <f t="shared" si="421"/>
        <v>1625</v>
      </c>
      <c r="W1418" s="316">
        <f t="shared" si="422"/>
        <v>0</v>
      </c>
    </row>
    <row r="1419" spans="1:23" x14ac:dyDescent="0.25">
      <c r="A1419" s="204" t="s">
        <v>17073</v>
      </c>
      <c r="B1419" s="351" t="s">
        <v>21134</v>
      </c>
      <c r="C1419" s="352"/>
      <c r="D1419" s="353" t="s">
        <v>5</v>
      </c>
      <c r="E1419" s="249">
        <f t="shared" si="423"/>
        <v>0</v>
      </c>
      <c r="F1419" s="336">
        <v>0</v>
      </c>
      <c r="G1419" s="258">
        <f t="shared" si="424"/>
        <v>0</v>
      </c>
      <c r="H1419" s="249">
        <f t="shared" si="425"/>
        <v>6.3778950353551231E-2</v>
      </c>
      <c r="I1419" s="336">
        <v>7.4220374220374226E-3</v>
      </c>
      <c r="J1419" s="258">
        <f t="shared" si="426"/>
        <v>7.4220374220374226E-3</v>
      </c>
      <c r="K1419" s="249">
        <f t="shared" si="427"/>
        <v>8.4192978533940916</v>
      </c>
      <c r="L1419" s="336">
        <v>0.9797643797643798</v>
      </c>
      <c r="M1419" s="258">
        <f t="shared" si="428"/>
        <v>0.9797643797643798</v>
      </c>
      <c r="N1419" s="251">
        <f t="shared" si="429"/>
        <v>0.11004995355122564</v>
      </c>
      <c r="O1419" s="336">
        <v>1.2806652806652807E-2</v>
      </c>
      <c r="P1419" s="258">
        <f t="shared" si="430"/>
        <v>1.2806652806652807E-2</v>
      </c>
      <c r="Q1419" s="354">
        <v>8.3895348837209305</v>
      </c>
      <c r="R1419" s="249">
        <f t="shared" si="431"/>
        <v>8.5931863081395345</v>
      </c>
      <c r="S1419" s="355">
        <v>0.1</v>
      </c>
      <c r="T1419" s="355"/>
      <c r="U1419" s="315">
        <f t="shared" si="420"/>
        <v>9.4525049389534885</v>
      </c>
      <c r="V1419" s="315">
        <f t="shared" si="421"/>
        <v>10</v>
      </c>
      <c r="W1419" s="316">
        <f t="shared" si="422"/>
        <v>0</v>
      </c>
    </row>
    <row r="1420" spans="1:23" x14ac:dyDescent="0.25">
      <c r="A1420" s="204" t="s">
        <v>17074</v>
      </c>
      <c r="B1420" s="351" t="s">
        <v>21135</v>
      </c>
      <c r="C1420" s="352"/>
      <c r="D1420" s="353" t="s">
        <v>14859</v>
      </c>
      <c r="E1420" s="249">
        <f t="shared" si="423"/>
        <v>0</v>
      </c>
      <c r="F1420" s="336">
        <v>0</v>
      </c>
      <c r="G1420" s="258">
        <f t="shared" si="424"/>
        <v>0</v>
      </c>
      <c r="H1420" s="249">
        <f t="shared" si="425"/>
        <v>10.9700554995842</v>
      </c>
      <c r="I1420" s="336">
        <v>7.4220374220374226E-3</v>
      </c>
      <c r="J1420" s="258">
        <f t="shared" si="426"/>
        <v>7.4220374220374226E-3</v>
      </c>
      <c r="K1420" s="249">
        <f t="shared" si="427"/>
        <v>1448.139511285447</v>
      </c>
      <c r="L1420" s="336">
        <v>0.97977130977130977</v>
      </c>
      <c r="M1420" s="258">
        <f t="shared" si="428"/>
        <v>0.97977130977130977</v>
      </c>
      <c r="N1420" s="251">
        <f t="shared" si="429"/>
        <v>18.928723214968816</v>
      </c>
      <c r="O1420" s="336">
        <v>1.2806652806652807E-2</v>
      </c>
      <c r="P1420" s="258">
        <f t="shared" si="430"/>
        <v>1.2806652806652807E-2</v>
      </c>
      <c r="Q1420" s="354">
        <v>1443</v>
      </c>
      <c r="R1420" s="249">
        <f t="shared" si="431"/>
        <v>1478.03829</v>
      </c>
      <c r="S1420" s="355">
        <v>0.1</v>
      </c>
      <c r="T1420" s="355"/>
      <c r="U1420" s="315">
        <f t="shared" si="420"/>
        <v>1625.8421189999999</v>
      </c>
      <c r="V1420" s="315">
        <f t="shared" si="421"/>
        <v>1650</v>
      </c>
      <c r="W1420" s="316">
        <f t="shared" si="422"/>
        <v>0</v>
      </c>
    </row>
    <row r="1421" spans="1:23" x14ac:dyDescent="0.25">
      <c r="A1421" s="204" t="s">
        <v>17075</v>
      </c>
      <c r="B1421" s="351" t="s">
        <v>21136</v>
      </c>
      <c r="C1421" s="352"/>
      <c r="D1421" s="353" t="s">
        <v>5</v>
      </c>
      <c r="E1421" s="249">
        <f t="shared" si="423"/>
        <v>0</v>
      </c>
      <c r="F1421" s="336">
        <v>0</v>
      </c>
      <c r="G1421" s="258">
        <f t="shared" si="424"/>
        <v>0</v>
      </c>
      <c r="H1421" s="249">
        <f t="shared" si="425"/>
        <v>6.3779385149535794E-2</v>
      </c>
      <c r="I1421" s="336">
        <v>7.1922517086634406E-3</v>
      </c>
      <c r="J1421" s="258">
        <f t="shared" si="426"/>
        <v>7.1922517086634406E-3</v>
      </c>
      <c r="K1421" s="249">
        <f t="shared" si="427"/>
        <v>8.6939013845256934</v>
      </c>
      <c r="L1421" s="336">
        <v>0.98039087302586625</v>
      </c>
      <c r="M1421" s="258">
        <f t="shared" si="428"/>
        <v>0.98039087302586625</v>
      </c>
      <c r="N1421" s="251">
        <f t="shared" si="429"/>
        <v>0.11005070378743431</v>
      </c>
      <c r="O1421" s="336">
        <v>1.2410159811027112E-2</v>
      </c>
      <c r="P1421" s="258">
        <f t="shared" si="430"/>
        <v>1.2410159811027112E-2</v>
      </c>
      <c r="Q1421" s="354">
        <v>8.6575726744186046</v>
      </c>
      <c r="R1421" s="249">
        <f t="shared" si="431"/>
        <v>8.8677910247093017</v>
      </c>
      <c r="S1421" s="355">
        <v>0.1</v>
      </c>
      <c r="T1421" s="355"/>
      <c r="U1421" s="315">
        <f t="shared" si="420"/>
        <v>9.7545701271802319</v>
      </c>
      <c r="V1421" s="315">
        <f t="shared" si="421"/>
        <v>10</v>
      </c>
      <c r="W1421" s="316">
        <f t="shared" si="422"/>
        <v>0</v>
      </c>
    </row>
    <row r="1422" spans="1:23" x14ac:dyDescent="0.25">
      <c r="A1422" s="204" t="s">
        <v>17076</v>
      </c>
      <c r="B1422" s="351" t="s">
        <v>21137</v>
      </c>
      <c r="C1422" s="352"/>
      <c r="D1422" s="353" t="s">
        <v>14859</v>
      </c>
      <c r="E1422" s="249">
        <f t="shared" si="423"/>
        <v>0</v>
      </c>
      <c r="F1422" s="336">
        <v>0</v>
      </c>
      <c r="G1422" s="258">
        <f t="shared" si="424"/>
        <v>0</v>
      </c>
      <c r="H1422" s="249">
        <f t="shared" si="425"/>
        <v>10.970127930338913</v>
      </c>
      <c r="I1422" s="336">
        <v>7.1922517086634406E-3</v>
      </c>
      <c r="J1422" s="258">
        <f t="shared" si="426"/>
        <v>7.1922517086634406E-3</v>
      </c>
      <c r="K1422" s="249">
        <f t="shared" si="427"/>
        <v>1495.3713251261352</v>
      </c>
      <c r="L1422" s="336">
        <v>0.98039758848030945</v>
      </c>
      <c r="M1422" s="258">
        <f t="shared" si="428"/>
        <v>0.98039758848030945</v>
      </c>
      <c r="N1422" s="251">
        <f t="shared" si="429"/>
        <v>18.928848193525969</v>
      </c>
      <c r="O1422" s="336">
        <v>1.2410159811027112E-2</v>
      </c>
      <c r="P1422" s="258">
        <f t="shared" si="430"/>
        <v>1.2410159811027112E-2</v>
      </c>
      <c r="Q1422" s="354">
        <v>1489.1025</v>
      </c>
      <c r="R1422" s="249">
        <f t="shared" si="431"/>
        <v>1525.2703012500001</v>
      </c>
      <c r="S1422" s="355">
        <v>0.1</v>
      </c>
      <c r="T1422" s="355"/>
      <c r="U1422" s="315">
        <f t="shared" si="420"/>
        <v>1677.7973313750001</v>
      </c>
      <c r="V1422" s="315">
        <f t="shared" si="421"/>
        <v>1700</v>
      </c>
      <c r="W1422" s="316">
        <f t="shared" si="422"/>
        <v>0</v>
      </c>
    </row>
    <row r="1423" spans="1:23" x14ac:dyDescent="0.25">
      <c r="A1423" s="204" t="s">
        <v>17077</v>
      </c>
      <c r="B1423" s="351" t="s">
        <v>21138</v>
      </c>
      <c r="C1423" s="352"/>
      <c r="D1423" s="353" t="s">
        <v>5</v>
      </c>
      <c r="E1423" s="249">
        <f t="shared" si="423"/>
        <v>0</v>
      </c>
      <c r="F1423" s="336">
        <v>0</v>
      </c>
      <c r="G1423" s="258">
        <f t="shared" si="424"/>
        <v>0</v>
      </c>
      <c r="H1423" s="249">
        <f t="shared" si="425"/>
        <v>6.3779881338467681E-2</v>
      </c>
      <c r="I1423" s="336">
        <v>6.9300203824128898E-3</v>
      </c>
      <c r="J1423" s="258">
        <f t="shared" si="426"/>
        <v>6.9300203824128898E-3</v>
      </c>
      <c r="K1423" s="249">
        <f t="shared" si="427"/>
        <v>9.0295280186229316</v>
      </c>
      <c r="L1423" s="336">
        <v>0.98110582678184333</v>
      </c>
      <c r="M1423" s="258">
        <f t="shared" si="428"/>
        <v>0.98110582678184333</v>
      </c>
      <c r="N1423" s="251">
        <f t="shared" si="429"/>
        <v>0.11005155995657166</v>
      </c>
      <c r="O1423" s="336">
        <v>1.1957682228477141E-2</v>
      </c>
      <c r="P1423" s="258">
        <f t="shared" si="430"/>
        <v>1.1957682228477141E-2</v>
      </c>
      <c r="Q1423" s="354">
        <v>8.985174418604652</v>
      </c>
      <c r="R1423" s="249">
        <f t="shared" si="431"/>
        <v>9.203419011627906</v>
      </c>
      <c r="S1423" s="355">
        <v>0.1</v>
      </c>
      <c r="T1423" s="355"/>
      <c r="U1423" s="315">
        <f t="shared" si="420"/>
        <v>10.123760912790697</v>
      </c>
      <c r="V1423" s="315">
        <f t="shared" si="421"/>
        <v>11</v>
      </c>
      <c r="W1423" s="316">
        <f t="shared" si="422"/>
        <v>0</v>
      </c>
    </row>
    <row r="1424" spans="1:23" x14ac:dyDescent="0.25">
      <c r="A1424" s="204" t="s">
        <v>17078</v>
      </c>
      <c r="B1424" s="351" t="s">
        <v>21139</v>
      </c>
      <c r="C1424" s="352"/>
      <c r="D1424" s="353" t="s">
        <v>14859</v>
      </c>
      <c r="E1424" s="249">
        <f t="shared" si="423"/>
        <v>0</v>
      </c>
      <c r="F1424" s="336">
        <v>0</v>
      </c>
      <c r="G1424" s="258">
        <f t="shared" si="424"/>
        <v>0</v>
      </c>
      <c r="H1424" s="249">
        <f t="shared" si="425"/>
        <v>10.970210588275261</v>
      </c>
      <c r="I1424" s="336">
        <v>6.9300203824128898E-3</v>
      </c>
      <c r="J1424" s="258">
        <f t="shared" si="426"/>
        <v>6.9300203824128898E-3</v>
      </c>
      <c r="K1424" s="249">
        <f t="shared" si="427"/>
        <v>1553.09911359274</v>
      </c>
      <c r="L1424" s="336">
        <v>0.98111229738910999</v>
      </c>
      <c r="M1424" s="258">
        <f t="shared" si="428"/>
        <v>0.98111229738910999</v>
      </c>
      <c r="N1424" s="251">
        <f t="shared" si="429"/>
        <v>18.928990818984762</v>
      </c>
      <c r="O1424" s="336">
        <v>1.1957682228477142E-2</v>
      </c>
      <c r="P1424" s="258">
        <f t="shared" si="430"/>
        <v>1.1957682228477142E-2</v>
      </c>
      <c r="Q1424" s="354">
        <v>1545.45</v>
      </c>
      <c r="R1424" s="249">
        <f t="shared" si="431"/>
        <v>1582.998315</v>
      </c>
      <c r="S1424" s="355">
        <v>0.1</v>
      </c>
      <c r="T1424" s="355"/>
      <c r="U1424" s="315">
        <f t="shared" si="420"/>
        <v>1741.2981465</v>
      </c>
      <c r="V1424" s="315">
        <f t="shared" si="421"/>
        <v>1750</v>
      </c>
      <c r="W1424" s="316">
        <f t="shared" si="422"/>
        <v>0</v>
      </c>
    </row>
    <row r="1425" spans="1:23" x14ac:dyDescent="0.25">
      <c r="A1425" s="204" t="s">
        <v>17079</v>
      </c>
      <c r="B1425" s="351" t="s">
        <v>21140</v>
      </c>
      <c r="C1425" s="352"/>
      <c r="D1425" s="353" t="s">
        <v>5</v>
      </c>
      <c r="E1425" s="249">
        <f t="shared" si="423"/>
        <v>0</v>
      </c>
      <c r="F1425" s="336">
        <v>0</v>
      </c>
      <c r="G1425" s="258">
        <f t="shared" si="424"/>
        <v>0</v>
      </c>
      <c r="H1425" s="249">
        <f t="shared" si="425"/>
        <v>6.378026117831305E-2</v>
      </c>
      <c r="I1425" s="336">
        <v>6.7292784875145496E-3</v>
      </c>
      <c r="J1425" s="258">
        <f t="shared" si="426"/>
        <v>6.7292784875145496E-3</v>
      </c>
      <c r="K1425" s="249">
        <f t="shared" si="427"/>
        <v>9.3041316995882664</v>
      </c>
      <c r="L1425" s="336">
        <v>0.98165313428240653</v>
      </c>
      <c r="M1425" s="258">
        <f t="shared" si="428"/>
        <v>0.98165313428240653</v>
      </c>
      <c r="N1425" s="251">
        <f t="shared" si="429"/>
        <v>0.11005221536650095</v>
      </c>
      <c r="O1425" s="336">
        <v>1.161130405688785E-2</v>
      </c>
      <c r="P1425" s="258">
        <f t="shared" si="430"/>
        <v>1.161130405688785E-2</v>
      </c>
      <c r="Q1425" s="354">
        <v>9.2532122093023261</v>
      </c>
      <c r="R1425" s="249">
        <f t="shared" si="431"/>
        <v>9.4780237281976731</v>
      </c>
      <c r="S1425" s="355">
        <v>0.1</v>
      </c>
      <c r="T1425" s="355"/>
      <c r="U1425" s="315">
        <f t="shared" si="420"/>
        <v>10.42582610101744</v>
      </c>
      <c r="V1425" s="315">
        <f t="shared" si="421"/>
        <v>11</v>
      </c>
      <c r="W1425" s="316">
        <f t="shared" si="422"/>
        <v>0</v>
      </c>
    </row>
    <row r="1426" spans="1:23" x14ac:dyDescent="0.25">
      <c r="A1426" s="204" t="s">
        <v>17080</v>
      </c>
      <c r="B1426" s="351" t="s">
        <v>21141</v>
      </c>
      <c r="C1426" s="352"/>
      <c r="D1426" s="353" t="s">
        <v>14859</v>
      </c>
      <c r="E1426" s="249">
        <f t="shared" si="423"/>
        <v>0</v>
      </c>
      <c r="F1426" s="336">
        <v>0</v>
      </c>
      <c r="G1426" s="258">
        <f t="shared" si="424"/>
        <v>0</v>
      </c>
      <c r="H1426" s="249">
        <f t="shared" si="425"/>
        <v>10.97027386412795</v>
      </c>
      <c r="I1426" s="336">
        <v>6.7292784875145496E-3</v>
      </c>
      <c r="J1426" s="258">
        <f t="shared" si="426"/>
        <v>6.7292784875145496E-3</v>
      </c>
      <c r="K1426" s="249">
        <f t="shared" si="427"/>
        <v>1600.3309523850237</v>
      </c>
      <c r="L1426" s="336">
        <v>0.98165941745559759</v>
      </c>
      <c r="M1426" s="258">
        <f t="shared" si="428"/>
        <v>0.98165941745559759</v>
      </c>
      <c r="N1426" s="251">
        <f t="shared" si="429"/>
        <v>18.929100000848226</v>
      </c>
      <c r="O1426" s="336">
        <v>1.161130405688785E-2</v>
      </c>
      <c r="P1426" s="258">
        <f t="shared" si="430"/>
        <v>1.161130405688785E-2</v>
      </c>
      <c r="Q1426" s="354">
        <v>1591.5525</v>
      </c>
      <c r="R1426" s="249">
        <f t="shared" si="431"/>
        <v>1630.23032625</v>
      </c>
      <c r="S1426" s="355">
        <v>0.1</v>
      </c>
      <c r="T1426" s="355"/>
      <c r="U1426" s="315">
        <f t="shared" si="420"/>
        <v>1793.253358875</v>
      </c>
      <c r="V1426" s="315">
        <f t="shared" si="421"/>
        <v>1800</v>
      </c>
      <c r="W1426" s="316">
        <f t="shared" si="422"/>
        <v>0</v>
      </c>
    </row>
    <row r="1427" spans="1:23" x14ac:dyDescent="0.25">
      <c r="A1427" s="204" t="s">
        <v>17081</v>
      </c>
      <c r="B1427" s="351" t="s">
        <v>21142</v>
      </c>
      <c r="C1427" s="352"/>
      <c r="D1427" s="353" t="s">
        <v>5</v>
      </c>
      <c r="E1427" s="249">
        <f t="shared" si="423"/>
        <v>0</v>
      </c>
      <c r="F1427" s="336">
        <v>0</v>
      </c>
      <c r="G1427" s="258">
        <f t="shared" si="424"/>
        <v>0</v>
      </c>
      <c r="H1427" s="249">
        <f t="shared" si="425"/>
        <v>6.3782116697692404E-2</v>
      </c>
      <c r="I1427" s="336">
        <v>5.7486534141687404E-3</v>
      </c>
      <c r="J1427" s="258">
        <f t="shared" si="426"/>
        <v>5.7486534141687404E-3</v>
      </c>
      <c r="K1427" s="249">
        <f t="shared" si="427"/>
        <v>10.921243304900067</v>
      </c>
      <c r="L1427" s="336">
        <v>0.98432673392215431</v>
      </c>
      <c r="M1427" s="258">
        <f t="shared" si="428"/>
        <v>0.98432673392215431</v>
      </c>
      <c r="N1427" s="251">
        <f t="shared" si="429"/>
        <v>0.11005541704699864</v>
      </c>
      <c r="O1427" s="336">
        <v>9.9192451068009623E-3</v>
      </c>
      <c r="P1427" s="258">
        <f t="shared" si="430"/>
        <v>9.9192451068009623E-3</v>
      </c>
      <c r="Q1427" s="354">
        <v>10.831656976744187</v>
      </c>
      <c r="R1427" s="249">
        <f t="shared" si="431"/>
        <v>11.095140392441861</v>
      </c>
      <c r="S1427" s="355">
        <v>0.1</v>
      </c>
      <c r="T1427" s="355"/>
      <c r="U1427" s="315">
        <f t="shared" si="420"/>
        <v>12.204654431686047</v>
      </c>
      <c r="V1427" s="315">
        <f t="shared" si="421"/>
        <v>13</v>
      </c>
      <c r="W1427" s="316">
        <f t="shared" si="422"/>
        <v>0</v>
      </c>
    </row>
    <row r="1428" spans="1:23" x14ac:dyDescent="0.25">
      <c r="A1428" s="204" t="s">
        <v>17082</v>
      </c>
      <c r="B1428" s="351" t="s">
        <v>21143</v>
      </c>
      <c r="C1428" s="352"/>
      <c r="D1428" s="353" t="s">
        <v>14859</v>
      </c>
      <c r="E1428" s="249">
        <f t="shared" si="423"/>
        <v>0</v>
      </c>
      <c r="F1428" s="336">
        <v>0</v>
      </c>
      <c r="G1428" s="258">
        <f t="shared" si="424"/>
        <v>0</v>
      </c>
      <c r="H1428" s="249">
        <f t="shared" si="425"/>
        <v>10.970582966957322</v>
      </c>
      <c r="I1428" s="336">
        <v>5.7486534141687404E-3</v>
      </c>
      <c r="J1428" s="258">
        <f t="shared" si="426"/>
        <v>5.7486534141687404E-3</v>
      </c>
      <c r="K1428" s="249">
        <f t="shared" si="427"/>
        <v>1878.474176178293</v>
      </c>
      <c r="L1428" s="336">
        <v>0.98433210147903027</v>
      </c>
      <c r="M1428" s="258">
        <f t="shared" si="428"/>
        <v>0.98433210147903027</v>
      </c>
      <c r="N1428" s="251">
        <f t="shared" si="429"/>
        <v>18.929633354749885</v>
      </c>
      <c r="O1428" s="336">
        <v>9.9192451068009623E-3</v>
      </c>
      <c r="P1428" s="258">
        <f t="shared" si="430"/>
        <v>9.9192451068009623E-3</v>
      </c>
      <c r="Q1428" s="354">
        <v>1863.0450000000001</v>
      </c>
      <c r="R1428" s="249">
        <f t="shared" si="431"/>
        <v>1908.3743925000001</v>
      </c>
      <c r="S1428" s="355">
        <v>0.1</v>
      </c>
      <c r="T1428" s="355"/>
      <c r="U1428" s="315">
        <f t="shared" si="420"/>
        <v>2099.2118317500003</v>
      </c>
      <c r="V1428" s="315">
        <f t="shared" si="421"/>
        <v>2100</v>
      </c>
      <c r="W1428" s="316">
        <f t="shared" si="422"/>
        <v>0</v>
      </c>
    </row>
    <row r="1429" spans="1:23" x14ac:dyDescent="0.25">
      <c r="A1429" s="204" t="s">
        <v>17083</v>
      </c>
      <c r="B1429" s="351" t="s">
        <v>21144</v>
      </c>
      <c r="C1429" s="352"/>
      <c r="D1429" s="353" t="s">
        <v>5</v>
      </c>
      <c r="E1429" s="249">
        <f t="shared" si="423"/>
        <v>0</v>
      </c>
      <c r="F1429" s="336">
        <v>0</v>
      </c>
      <c r="G1429" s="258">
        <f t="shared" si="424"/>
        <v>0</v>
      </c>
      <c r="H1429" s="249">
        <f t="shared" si="425"/>
        <v>6.3782683678876226E-2</v>
      </c>
      <c r="I1429" s="336">
        <v>5.4490090282600578E-3</v>
      </c>
      <c r="J1429" s="258">
        <f t="shared" si="426"/>
        <v>5.4490090282600578E-3</v>
      </c>
      <c r="K1429" s="249">
        <f t="shared" si="427"/>
        <v>11.531474462557386</v>
      </c>
      <c r="L1429" s="336">
        <v>0.98514369153826387</v>
      </c>
      <c r="M1429" s="258">
        <f t="shared" si="428"/>
        <v>0.98514369153826387</v>
      </c>
      <c r="N1429" s="251">
        <f t="shared" si="429"/>
        <v>0.11005639536747268</v>
      </c>
      <c r="O1429" s="336">
        <v>9.4022116566055882E-3</v>
      </c>
      <c r="P1429" s="258">
        <f t="shared" si="430"/>
        <v>9.4022116566055882E-3</v>
      </c>
      <c r="Q1429" s="354">
        <v>11.427296511627906</v>
      </c>
      <c r="R1429" s="249">
        <f t="shared" si="431"/>
        <v>11.705373095930232</v>
      </c>
      <c r="S1429" s="355">
        <v>0.1</v>
      </c>
      <c r="T1429" s="355"/>
      <c r="U1429" s="315">
        <f t="shared" si="420"/>
        <v>12.875910405523255</v>
      </c>
      <c r="V1429" s="315">
        <f t="shared" si="421"/>
        <v>13</v>
      </c>
      <c r="W1429" s="316">
        <f t="shared" si="422"/>
        <v>0</v>
      </c>
    </row>
    <row r="1430" spans="1:23" x14ac:dyDescent="0.25">
      <c r="A1430" s="204" t="s">
        <v>17084</v>
      </c>
      <c r="B1430" s="351" t="s">
        <v>21145</v>
      </c>
      <c r="C1430" s="352"/>
      <c r="D1430" s="353" t="s">
        <v>14859</v>
      </c>
      <c r="E1430" s="249">
        <f t="shared" si="423"/>
        <v>0</v>
      </c>
      <c r="F1430" s="336">
        <v>0</v>
      </c>
      <c r="G1430" s="258">
        <f t="shared" si="424"/>
        <v>0</v>
      </c>
      <c r="H1430" s="249">
        <f t="shared" si="425"/>
        <v>10.970677417864202</v>
      </c>
      <c r="I1430" s="336">
        <v>5.4490090282600569E-3</v>
      </c>
      <c r="J1430" s="258">
        <f t="shared" si="426"/>
        <v>5.4490090282600569E-3</v>
      </c>
      <c r="K1430" s="249">
        <f t="shared" si="427"/>
        <v>1983.4339437532719</v>
      </c>
      <c r="L1430" s="336">
        <v>0.98514877931513434</v>
      </c>
      <c r="M1430" s="258">
        <f t="shared" si="428"/>
        <v>0.98514877931513434</v>
      </c>
      <c r="N1430" s="251">
        <f t="shared" si="429"/>
        <v>18.929796328863723</v>
      </c>
      <c r="O1430" s="336">
        <v>9.4022116566055882E-3</v>
      </c>
      <c r="P1430" s="258">
        <f t="shared" si="430"/>
        <v>9.4022116566055882E-3</v>
      </c>
      <c r="Q1430" s="354">
        <v>1965.4949999999999</v>
      </c>
      <c r="R1430" s="249">
        <f t="shared" si="431"/>
        <v>2013.3344175</v>
      </c>
      <c r="S1430" s="355">
        <v>0.1</v>
      </c>
      <c r="T1430" s="355"/>
      <c r="U1430" s="315">
        <f t="shared" si="420"/>
        <v>2214.6678592500002</v>
      </c>
      <c r="V1430" s="315">
        <f t="shared" si="421"/>
        <v>2225</v>
      </c>
      <c r="W1430" s="316">
        <f t="shared" si="422"/>
        <v>0</v>
      </c>
    </row>
    <row r="1431" spans="1:23" ht="14.4" thickBot="1" x14ac:dyDescent="0.3">
      <c r="A1431" s="356" t="s">
        <v>17085</v>
      </c>
      <c r="B1431" s="357" t="s">
        <v>21146</v>
      </c>
      <c r="C1431" s="358"/>
      <c r="D1431" s="359" t="s">
        <v>5</v>
      </c>
      <c r="E1431" s="266">
        <f t="shared" si="423"/>
        <v>0</v>
      </c>
      <c r="F1431" s="360">
        <v>0</v>
      </c>
      <c r="G1431" s="322">
        <f t="shared" si="424"/>
        <v>0</v>
      </c>
      <c r="H1431" s="266">
        <f t="shared" si="425"/>
        <v>6.3785171094104351E-2</v>
      </c>
      <c r="I1431" s="360">
        <v>4.1344327604576833E-3</v>
      </c>
      <c r="J1431" s="322">
        <f t="shared" si="426"/>
        <v>4.1344327604576833E-3</v>
      </c>
      <c r="K1431" s="266">
        <f t="shared" si="427"/>
        <v>15.253887172088122</v>
      </c>
      <c r="L1431" s="360">
        <v>0.98872778369697811</v>
      </c>
      <c r="M1431" s="322">
        <f t="shared" si="428"/>
        <v>0.98872778369697811</v>
      </c>
      <c r="N1431" s="270">
        <f t="shared" si="429"/>
        <v>0.11006068737806238</v>
      </c>
      <c r="O1431" s="360">
        <v>7.1339231945152168E-3</v>
      </c>
      <c r="P1431" s="322">
        <f t="shared" si="430"/>
        <v>7.1339231945152168E-3</v>
      </c>
      <c r="Q1431" s="361">
        <v>15.060697674418606</v>
      </c>
      <c r="R1431" s="266">
        <f t="shared" si="431"/>
        <v>15.427792587209304</v>
      </c>
      <c r="S1431" s="362">
        <v>0.1</v>
      </c>
      <c r="T1431" s="362"/>
      <c r="U1431" s="324">
        <f t="shared" si="420"/>
        <v>16.970571845930234</v>
      </c>
      <c r="V1431" s="324">
        <f t="shared" si="421"/>
        <v>17</v>
      </c>
      <c r="W1431" s="325">
        <f t="shared" si="422"/>
        <v>0</v>
      </c>
    </row>
    <row r="1432" spans="1:23" x14ac:dyDescent="0.25">
      <c r="A1432" s="204" t="s">
        <v>17086</v>
      </c>
      <c r="B1432" s="351" t="s">
        <v>21147</v>
      </c>
      <c r="C1432" s="352"/>
      <c r="D1432" s="353" t="s">
        <v>14859</v>
      </c>
      <c r="E1432" s="249">
        <f t="shared" si="423"/>
        <v>0</v>
      </c>
      <c r="F1432" s="336">
        <v>0</v>
      </c>
      <c r="G1432" s="258">
        <f t="shared" si="424"/>
        <v>0</v>
      </c>
      <c r="H1432" s="249">
        <f t="shared" si="425"/>
        <v>10.971091785449579</v>
      </c>
      <c r="I1432" s="336">
        <v>4.1344327604576833E-3</v>
      </c>
      <c r="J1432" s="258">
        <f t="shared" si="426"/>
        <v>4.1344327604576833E-3</v>
      </c>
      <c r="K1432" s="249">
        <f t="shared" si="427"/>
        <v>2623.6889668984809</v>
      </c>
      <c r="L1432" s="336">
        <v>0.98873164404502711</v>
      </c>
      <c r="M1432" s="258">
        <f t="shared" si="428"/>
        <v>0.98873164404502711</v>
      </c>
      <c r="N1432" s="251">
        <f t="shared" si="429"/>
        <v>18.930511316069861</v>
      </c>
      <c r="O1432" s="336">
        <v>7.1339231945152176E-3</v>
      </c>
      <c r="P1432" s="258">
        <f t="shared" si="430"/>
        <v>7.1339231945152176E-3</v>
      </c>
      <c r="Q1432" s="354">
        <v>2590.44</v>
      </c>
      <c r="R1432" s="249">
        <f t="shared" si="431"/>
        <v>2653.5905700000003</v>
      </c>
      <c r="S1432" s="355">
        <v>0.1</v>
      </c>
      <c r="T1432" s="355"/>
      <c r="U1432" s="315">
        <f t="shared" si="420"/>
        <v>2918.9496270000004</v>
      </c>
      <c r="V1432" s="315">
        <f t="shared" si="421"/>
        <v>2925</v>
      </c>
      <c r="W1432" s="316">
        <f t="shared" si="422"/>
        <v>0</v>
      </c>
    </row>
    <row r="1433" spans="1:23" x14ac:dyDescent="0.25">
      <c r="A1433" s="204" t="s">
        <v>17087</v>
      </c>
      <c r="B1433" s="351" t="s">
        <v>21148</v>
      </c>
      <c r="C1433" s="352"/>
      <c r="D1433" s="353" t="s">
        <v>5</v>
      </c>
      <c r="E1433" s="249">
        <f t="shared" si="423"/>
        <v>0</v>
      </c>
      <c r="F1433" s="336">
        <v>0</v>
      </c>
      <c r="G1433" s="258">
        <f t="shared" si="424"/>
        <v>0</v>
      </c>
      <c r="H1433" s="249">
        <f t="shared" si="425"/>
        <v>6.3785468720732055E-2</v>
      </c>
      <c r="I1433" s="336">
        <v>3.9771398014772242E-3</v>
      </c>
      <c r="J1433" s="258">
        <f t="shared" si="426"/>
        <v>3.9771398014772242E-3</v>
      </c>
      <c r="K1433" s="249">
        <f t="shared" si="427"/>
        <v>15.864119064120143</v>
      </c>
      <c r="L1433" s="336">
        <v>0.98915663098009943</v>
      </c>
      <c r="M1433" s="258">
        <f t="shared" si="428"/>
        <v>0.98915663098009943</v>
      </c>
      <c r="N1433" s="251">
        <f t="shared" si="429"/>
        <v>0.11006120092989058</v>
      </c>
      <c r="O1433" s="336">
        <v>6.8625157358822679E-3</v>
      </c>
      <c r="P1433" s="258">
        <f t="shared" si="430"/>
        <v>6.8625157358822679E-3</v>
      </c>
      <c r="Q1433" s="354">
        <v>15.656337209302325</v>
      </c>
      <c r="R1433" s="249">
        <f t="shared" si="431"/>
        <v>16.038025290697675</v>
      </c>
      <c r="S1433" s="355">
        <v>0.1</v>
      </c>
      <c r="T1433" s="355"/>
      <c r="U1433" s="315">
        <f t="shared" si="420"/>
        <v>17.641827819767443</v>
      </c>
      <c r="V1433" s="315">
        <f t="shared" si="421"/>
        <v>18</v>
      </c>
      <c r="W1433" s="316">
        <f t="shared" si="422"/>
        <v>0</v>
      </c>
    </row>
    <row r="1434" spans="1:23" x14ac:dyDescent="0.25">
      <c r="A1434" s="204" t="s">
        <v>17088</v>
      </c>
      <c r="B1434" s="351" t="s">
        <v>21149</v>
      </c>
      <c r="C1434" s="352"/>
      <c r="D1434" s="353" t="s">
        <v>14859</v>
      </c>
      <c r="E1434" s="249">
        <f t="shared" si="423"/>
        <v>0</v>
      </c>
      <c r="F1434" s="336">
        <v>0</v>
      </c>
      <c r="G1434" s="258">
        <f t="shared" si="424"/>
        <v>0</v>
      </c>
      <c r="H1434" s="249">
        <f t="shared" si="425"/>
        <v>10.971141365763177</v>
      </c>
      <c r="I1434" s="336">
        <v>3.9771398014772242E-3</v>
      </c>
      <c r="J1434" s="258">
        <f t="shared" si="426"/>
        <v>3.9771398014772242E-3</v>
      </c>
      <c r="K1434" s="249">
        <f t="shared" si="427"/>
        <v>2728.6488567678216</v>
      </c>
      <c r="L1434" s="336">
        <v>0.98916034446264045</v>
      </c>
      <c r="M1434" s="258">
        <f t="shared" si="428"/>
        <v>0.98916034446264045</v>
      </c>
      <c r="N1434" s="251">
        <f t="shared" si="429"/>
        <v>18.930596866414891</v>
      </c>
      <c r="O1434" s="336">
        <v>6.8625157358822679E-3</v>
      </c>
      <c r="P1434" s="258">
        <f t="shared" si="430"/>
        <v>6.8625157358822679E-3</v>
      </c>
      <c r="Q1434" s="354">
        <v>2692.89</v>
      </c>
      <c r="R1434" s="249">
        <f t="shared" si="431"/>
        <v>2758.5505949999997</v>
      </c>
      <c r="S1434" s="355">
        <v>0.1</v>
      </c>
      <c r="T1434" s="355"/>
      <c r="U1434" s="315">
        <f t="shared" si="420"/>
        <v>3034.4056544999999</v>
      </c>
      <c r="V1434" s="315">
        <f t="shared" si="421"/>
        <v>3050</v>
      </c>
      <c r="W1434" s="316">
        <f t="shared" si="422"/>
        <v>0</v>
      </c>
    </row>
    <row r="1435" spans="1:23" x14ac:dyDescent="0.25">
      <c r="A1435" s="204" t="s">
        <v>17089</v>
      </c>
      <c r="B1435" s="351" t="s">
        <v>21150</v>
      </c>
      <c r="C1435" s="352"/>
      <c r="D1435" s="353" t="s">
        <v>5</v>
      </c>
      <c r="E1435" s="249">
        <f t="shared" si="423"/>
        <v>0</v>
      </c>
      <c r="F1435" s="336">
        <v>0</v>
      </c>
      <c r="G1435" s="258">
        <f t="shared" si="424"/>
        <v>0</v>
      </c>
      <c r="H1435" s="249">
        <f t="shared" si="425"/>
        <v>6.3785874991406408E-2</v>
      </c>
      <c r="I1435" s="336">
        <v>3.7624294544477293E-3</v>
      </c>
      <c r="J1435" s="258">
        <f t="shared" si="426"/>
        <v>3.7624294544477293E-3</v>
      </c>
      <c r="K1435" s="249">
        <f t="shared" si="427"/>
        <v>16.779467011686624</v>
      </c>
      <c r="L1435" s="336">
        <v>0.98974202240243947</v>
      </c>
      <c r="M1435" s="258">
        <f t="shared" si="428"/>
        <v>0.98974202240243947</v>
      </c>
      <c r="N1435" s="251">
        <f t="shared" si="429"/>
        <v>0.11006190194595615</v>
      </c>
      <c r="O1435" s="336">
        <v>6.4920351370862774E-3</v>
      </c>
      <c r="P1435" s="258">
        <f t="shared" si="430"/>
        <v>6.4920351370862774E-3</v>
      </c>
      <c r="Q1435" s="354">
        <v>16.549796511627907</v>
      </c>
      <c r="R1435" s="249">
        <f t="shared" si="431"/>
        <v>16.953374345930232</v>
      </c>
      <c r="S1435" s="355">
        <v>0.1</v>
      </c>
      <c r="T1435" s="355"/>
      <c r="U1435" s="315">
        <f t="shared" si="420"/>
        <v>18.648711780523257</v>
      </c>
      <c r="V1435" s="315">
        <f t="shared" si="421"/>
        <v>19</v>
      </c>
      <c r="W1435" s="316">
        <f t="shared" si="422"/>
        <v>0</v>
      </c>
    </row>
    <row r="1436" spans="1:23" x14ac:dyDescent="0.25">
      <c r="A1436" s="204" t="s">
        <v>17090</v>
      </c>
      <c r="B1436" s="351" t="s">
        <v>21151</v>
      </c>
      <c r="C1436" s="352"/>
      <c r="D1436" s="353" t="s">
        <v>14859</v>
      </c>
      <c r="E1436" s="249">
        <f t="shared" si="423"/>
        <v>0</v>
      </c>
      <c r="F1436" s="336">
        <v>0</v>
      </c>
      <c r="G1436" s="258">
        <f t="shared" si="424"/>
        <v>0</v>
      </c>
      <c r="H1436" s="249">
        <f t="shared" si="425"/>
        <v>10.971209044611665</v>
      </c>
      <c r="I1436" s="336">
        <v>3.7624294544477293E-3</v>
      </c>
      <c r="J1436" s="258">
        <f t="shared" si="426"/>
        <v>3.7624294544477293E-3</v>
      </c>
      <c r="K1436" s="249">
        <f t="shared" si="427"/>
        <v>2886.0887098097842</v>
      </c>
      <c r="L1436" s="336">
        <v>0.98974553540846599</v>
      </c>
      <c r="M1436" s="258">
        <f t="shared" si="428"/>
        <v>0.98974553540846599</v>
      </c>
      <c r="N1436" s="251">
        <f t="shared" si="429"/>
        <v>18.930713645604438</v>
      </c>
      <c r="O1436" s="336">
        <v>6.4920351370862774E-3</v>
      </c>
      <c r="P1436" s="258">
        <f t="shared" si="430"/>
        <v>6.4920351370862774E-3</v>
      </c>
      <c r="Q1436" s="354">
        <v>2846.5650000000001</v>
      </c>
      <c r="R1436" s="249">
        <f t="shared" si="431"/>
        <v>2915.9906325000002</v>
      </c>
      <c r="S1436" s="355">
        <v>0.1</v>
      </c>
      <c r="T1436" s="355"/>
      <c r="U1436" s="315">
        <f t="shared" si="420"/>
        <v>3207.5896957500004</v>
      </c>
      <c r="V1436" s="315">
        <f t="shared" si="421"/>
        <v>3225</v>
      </c>
      <c r="W1436" s="316">
        <f t="shared" si="422"/>
        <v>0</v>
      </c>
    </row>
    <row r="1437" spans="1:23" x14ac:dyDescent="0.25">
      <c r="A1437" s="204" t="s">
        <v>17091</v>
      </c>
      <c r="B1437" s="351" t="s">
        <v>21152</v>
      </c>
      <c r="C1437" s="352"/>
      <c r="D1437" s="353" t="s">
        <v>5</v>
      </c>
      <c r="E1437" s="249">
        <f t="shared" si="423"/>
        <v>0</v>
      </c>
      <c r="F1437" s="336">
        <v>0</v>
      </c>
      <c r="G1437" s="258">
        <f t="shared" si="424"/>
        <v>0</v>
      </c>
      <c r="H1437" s="249">
        <f t="shared" si="425"/>
        <v>6.3786122315170751E-2</v>
      </c>
      <c r="I1437" s="336">
        <v>3.6317211000961346E-3</v>
      </c>
      <c r="J1437" s="258">
        <f t="shared" si="426"/>
        <v>3.6317211000961346E-3</v>
      </c>
      <c r="K1437" s="249">
        <f t="shared" si="427"/>
        <v>17.389699040865572</v>
      </c>
      <c r="L1437" s="336">
        <v>0.99009838878405165</v>
      </c>
      <c r="M1437" s="258">
        <f t="shared" si="428"/>
        <v>0.99009838878405165</v>
      </c>
      <c r="N1437" s="251">
        <f t="shared" si="429"/>
        <v>0.11006232870068677</v>
      </c>
      <c r="O1437" s="336">
        <v>6.2664991531070548E-3</v>
      </c>
      <c r="P1437" s="258">
        <f t="shared" si="430"/>
        <v>6.2664991531070548E-3</v>
      </c>
      <c r="Q1437" s="354">
        <v>17.145436046511627</v>
      </c>
      <c r="R1437" s="249">
        <f t="shared" si="431"/>
        <v>17.563607049418604</v>
      </c>
      <c r="S1437" s="355">
        <v>0.1</v>
      </c>
      <c r="T1437" s="355"/>
      <c r="U1437" s="315">
        <f t="shared" si="420"/>
        <v>19.319967754360462</v>
      </c>
      <c r="V1437" s="315">
        <f t="shared" si="421"/>
        <v>20</v>
      </c>
      <c r="W1437" s="316">
        <f t="shared" si="422"/>
        <v>0</v>
      </c>
    </row>
    <row r="1438" spans="1:23" x14ac:dyDescent="0.25">
      <c r="A1438" s="204" t="s">
        <v>17092</v>
      </c>
      <c r="B1438" s="351" t="s">
        <v>21153</v>
      </c>
      <c r="C1438" s="352"/>
      <c r="D1438" s="353" t="s">
        <v>14859</v>
      </c>
      <c r="E1438" s="249">
        <f t="shared" si="423"/>
        <v>0</v>
      </c>
      <c r="F1438" s="336">
        <v>0</v>
      </c>
      <c r="G1438" s="258">
        <f t="shared" si="424"/>
        <v>0</v>
      </c>
      <c r="H1438" s="249">
        <f t="shared" si="425"/>
        <v>10.97125024519204</v>
      </c>
      <c r="I1438" s="336">
        <v>3.6317211000961342E-3</v>
      </c>
      <c r="J1438" s="258">
        <f t="shared" si="426"/>
        <v>3.6317211000961342E-3</v>
      </c>
      <c r="K1438" s="249">
        <f t="shared" si="427"/>
        <v>2991.0486225180061</v>
      </c>
      <c r="L1438" s="336">
        <v>0.99010177974679681</v>
      </c>
      <c r="M1438" s="258">
        <f t="shared" si="428"/>
        <v>0.99010177974679681</v>
      </c>
      <c r="N1438" s="251">
        <f t="shared" si="429"/>
        <v>18.93078473680195</v>
      </c>
      <c r="O1438" s="336">
        <v>6.2664991531070548E-3</v>
      </c>
      <c r="P1438" s="258">
        <f t="shared" si="430"/>
        <v>6.2664991531070548E-3</v>
      </c>
      <c r="Q1438" s="354">
        <v>2949.0149999999999</v>
      </c>
      <c r="R1438" s="249">
        <f t="shared" si="431"/>
        <v>3020.9506575</v>
      </c>
      <c r="S1438" s="355">
        <v>0.1</v>
      </c>
      <c r="T1438" s="355"/>
      <c r="U1438" s="315">
        <f t="shared" si="420"/>
        <v>3323.0457232500003</v>
      </c>
      <c r="V1438" s="315">
        <f t="shared" si="421"/>
        <v>3325</v>
      </c>
      <c r="W1438" s="316">
        <f t="shared" si="422"/>
        <v>0</v>
      </c>
    </row>
    <row r="1439" spans="1:23" x14ac:dyDescent="0.25">
      <c r="A1439" s="204" t="s">
        <v>17093</v>
      </c>
      <c r="B1439" s="351" t="s">
        <v>21154</v>
      </c>
      <c r="C1439" s="352"/>
      <c r="D1439" s="353" t="s">
        <v>5</v>
      </c>
      <c r="E1439" s="249">
        <f t="shared" si="423"/>
        <v>0</v>
      </c>
      <c r="F1439" s="336">
        <v>0</v>
      </c>
      <c r="G1439" s="258">
        <f t="shared" si="424"/>
        <v>0</v>
      </c>
      <c r="H1439" s="249">
        <f t="shared" si="425"/>
        <v>6.3787827497634716E-2</v>
      </c>
      <c r="I1439" s="336">
        <v>2.7305477157476884E-3</v>
      </c>
      <c r="J1439" s="258">
        <f t="shared" si="426"/>
        <v>2.7305477157476884E-3</v>
      </c>
      <c r="K1439" s="249">
        <f t="shared" si="427"/>
        <v>23.186905074954879</v>
      </c>
      <c r="L1439" s="336">
        <v>0.99255536943979161</v>
      </c>
      <c r="M1439" s="258">
        <f t="shared" si="428"/>
        <v>0.99255536943979161</v>
      </c>
      <c r="N1439" s="251">
        <f t="shared" si="429"/>
        <v>0.11006527097631087</v>
      </c>
      <c r="O1439" s="336">
        <v>4.711533313446991E-3</v>
      </c>
      <c r="P1439" s="258">
        <f t="shared" si="430"/>
        <v>4.711533313446991E-3</v>
      </c>
      <c r="Q1439" s="354">
        <v>22.804011627906977</v>
      </c>
      <c r="R1439" s="249">
        <f t="shared" si="431"/>
        <v>23.360817732558139</v>
      </c>
      <c r="S1439" s="355">
        <v>0.1</v>
      </c>
      <c r="T1439" s="355"/>
      <c r="U1439" s="315">
        <f t="shared" si="420"/>
        <v>25.696899505813953</v>
      </c>
      <c r="V1439" s="315">
        <f t="shared" si="421"/>
        <v>26</v>
      </c>
      <c r="W1439" s="316">
        <f t="shared" si="422"/>
        <v>0</v>
      </c>
    </row>
    <row r="1440" spans="1:23" x14ac:dyDescent="0.25">
      <c r="A1440" s="204" t="s">
        <v>17094</v>
      </c>
      <c r="B1440" s="351" t="s">
        <v>21155</v>
      </c>
      <c r="C1440" s="352"/>
      <c r="D1440" s="353" t="s">
        <v>14859</v>
      </c>
      <c r="E1440" s="249">
        <f t="shared" si="423"/>
        <v>0</v>
      </c>
      <c r="F1440" s="336">
        <v>0</v>
      </c>
      <c r="G1440" s="258">
        <f t="shared" si="424"/>
        <v>0</v>
      </c>
      <c r="H1440" s="249">
        <f t="shared" si="425"/>
        <v>10.971534304054519</v>
      </c>
      <c r="I1440" s="336">
        <v>2.7305477157476884E-3</v>
      </c>
      <c r="J1440" s="258">
        <f t="shared" si="426"/>
        <v>2.7305477157476884E-3</v>
      </c>
      <c r="K1440" s="249">
        <f t="shared" si="427"/>
        <v>3988.1680858183609</v>
      </c>
      <c r="L1440" s="336">
        <v>0.99255791897080525</v>
      </c>
      <c r="M1440" s="258">
        <f t="shared" si="428"/>
        <v>0.99255791897080525</v>
      </c>
      <c r="N1440" s="251">
        <f t="shared" si="429"/>
        <v>18.931274877584269</v>
      </c>
      <c r="O1440" s="336">
        <v>4.7115333134469918E-3</v>
      </c>
      <c r="P1440" s="258">
        <f t="shared" si="430"/>
        <v>4.7115333134469918E-3</v>
      </c>
      <c r="Q1440" s="354">
        <v>3922.29</v>
      </c>
      <c r="R1440" s="249">
        <f t="shared" si="431"/>
        <v>4018.0708949999998</v>
      </c>
      <c r="S1440" s="355">
        <v>0.1</v>
      </c>
      <c r="T1440" s="355"/>
      <c r="U1440" s="315">
        <f t="shared" si="420"/>
        <v>4419.8779844999999</v>
      </c>
      <c r="V1440" s="315">
        <f t="shared" si="421"/>
        <v>4425</v>
      </c>
      <c r="W1440" s="316">
        <f t="shared" si="422"/>
        <v>0</v>
      </c>
    </row>
    <row r="1441" spans="1:23" x14ac:dyDescent="0.25">
      <c r="A1441" s="204" t="s">
        <v>17095</v>
      </c>
      <c r="B1441" s="351" t="s">
        <v>21156</v>
      </c>
      <c r="C1441" s="352"/>
      <c r="D1441" s="353" t="s">
        <v>5</v>
      </c>
      <c r="E1441" s="249">
        <f t="shared" si="423"/>
        <v>0</v>
      </c>
      <c r="F1441" s="336">
        <v>0</v>
      </c>
      <c r="G1441" s="258">
        <f t="shared" si="424"/>
        <v>0</v>
      </c>
      <c r="H1441" s="249">
        <f t="shared" si="425"/>
        <v>6.378808400495703E-2</v>
      </c>
      <c r="I1441" s="336">
        <v>2.5949859347401019E-3</v>
      </c>
      <c r="J1441" s="258">
        <f t="shared" si="426"/>
        <v>2.5949859347401019E-3</v>
      </c>
      <c r="K1441" s="249">
        <f t="shared" si="427"/>
        <v>24.407369782583924</v>
      </c>
      <c r="L1441" s="336">
        <v>0.99292496831984955</v>
      </c>
      <c r="M1441" s="258">
        <f t="shared" si="428"/>
        <v>0.99292496831984955</v>
      </c>
      <c r="N1441" s="251">
        <f t="shared" si="429"/>
        <v>0.11006571357718076</v>
      </c>
      <c r="O1441" s="336">
        <v>4.4776227893554696E-3</v>
      </c>
      <c r="P1441" s="258">
        <f t="shared" si="430"/>
        <v>4.4776227893554696E-3</v>
      </c>
      <c r="Q1441" s="354">
        <v>23.995290697674417</v>
      </c>
      <c r="R1441" s="249">
        <f t="shared" si="431"/>
        <v>24.581283139534882</v>
      </c>
      <c r="S1441" s="355">
        <v>0.1</v>
      </c>
      <c r="T1441" s="355"/>
      <c r="U1441" s="315">
        <f t="shared" si="420"/>
        <v>27.03941145348837</v>
      </c>
      <c r="V1441" s="315">
        <f t="shared" si="421"/>
        <v>28</v>
      </c>
      <c r="W1441" s="316">
        <f t="shared" si="422"/>
        <v>0</v>
      </c>
    </row>
    <row r="1442" spans="1:23" x14ac:dyDescent="0.25">
      <c r="A1442" s="204" t="s">
        <v>17096</v>
      </c>
      <c r="B1442" s="351" t="s">
        <v>21157</v>
      </c>
      <c r="C1442" s="352"/>
      <c r="D1442" s="353" t="s">
        <v>14859</v>
      </c>
      <c r="E1442" s="249">
        <f t="shared" si="423"/>
        <v>0</v>
      </c>
      <c r="F1442" s="336">
        <v>0</v>
      </c>
      <c r="G1442" s="258">
        <f t="shared" si="424"/>
        <v>0</v>
      </c>
      <c r="H1442" s="249">
        <f t="shared" si="425"/>
        <v>10.971577034483511</v>
      </c>
      <c r="I1442" s="336">
        <v>2.5949859347401019E-3</v>
      </c>
      <c r="J1442" s="258">
        <f t="shared" si="426"/>
        <v>2.5949859347401019E-3</v>
      </c>
      <c r="K1442" s="249">
        <f t="shared" si="427"/>
        <v>4198.0880193569965</v>
      </c>
      <c r="L1442" s="336">
        <v>0.99292739127590457</v>
      </c>
      <c r="M1442" s="258">
        <f t="shared" si="428"/>
        <v>0.99292739127590457</v>
      </c>
      <c r="N1442" s="251">
        <f t="shared" si="429"/>
        <v>18.931348608520569</v>
      </c>
      <c r="O1442" s="336">
        <v>4.4776227893554704E-3</v>
      </c>
      <c r="P1442" s="258">
        <f t="shared" si="430"/>
        <v>4.4776227893554704E-3</v>
      </c>
      <c r="Q1442" s="354">
        <v>4127.1899999999996</v>
      </c>
      <c r="R1442" s="249">
        <f t="shared" si="431"/>
        <v>4227.9909449999996</v>
      </c>
      <c r="S1442" s="355">
        <v>0.1</v>
      </c>
      <c r="T1442" s="355"/>
      <c r="U1442" s="315">
        <f t="shared" si="420"/>
        <v>4650.7900394999997</v>
      </c>
      <c r="V1442" s="315">
        <f t="shared" si="421"/>
        <v>4675</v>
      </c>
      <c r="W1442" s="316">
        <f t="shared" si="422"/>
        <v>0</v>
      </c>
    </row>
    <row r="1443" spans="1:23" x14ac:dyDescent="0.25">
      <c r="A1443" s="204" t="s">
        <v>17097</v>
      </c>
      <c r="B1443" s="351" t="s">
        <v>21158</v>
      </c>
      <c r="C1443" s="352"/>
      <c r="D1443" s="353" t="s">
        <v>5</v>
      </c>
      <c r="E1443" s="249">
        <f t="shared" si="423"/>
        <v>0</v>
      </c>
      <c r="F1443" s="336">
        <v>0</v>
      </c>
      <c r="G1443" s="258">
        <f t="shared" si="424"/>
        <v>0</v>
      </c>
      <c r="H1443" s="249">
        <f t="shared" si="425"/>
        <v>6.3788260271220726E-2</v>
      </c>
      <c r="I1443" s="336">
        <v>2.5018308215746122E-3</v>
      </c>
      <c r="J1443" s="258">
        <f t="shared" si="426"/>
        <v>2.5018308215746122E-3</v>
      </c>
      <c r="K1443" s="249">
        <f t="shared" si="427"/>
        <v>25.322718357239928</v>
      </c>
      <c r="L1443" s="336">
        <v>0.9931789486470608</v>
      </c>
      <c r="M1443" s="258">
        <f t="shared" si="428"/>
        <v>0.9931789486470608</v>
      </c>
      <c r="N1443" s="251">
        <f t="shared" si="429"/>
        <v>0.11006601772289067</v>
      </c>
      <c r="O1443" s="336">
        <v>4.3168845548738405E-3</v>
      </c>
      <c r="P1443" s="258">
        <f t="shared" si="430"/>
        <v>4.3168845548738405E-3</v>
      </c>
      <c r="Q1443" s="354">
        <v>24.888749999999998</v>
      </c>
      <c r="R1443" s="249">
        <f t="shared" si="431"/>
        <v>25.496632194767439</v>
      </c>
      <c r="S1443" s="355">
        <v>0.1</v>
      </c>
      <c r="T1443" s="355"/>
      <c r="U1443" s="315">
        <f t="shared" si="420"/>
        <v>28.046295414244184</v>
      </c>
      <c r="V1443" s="315">
        <f t="shared" si="421"/>
        <v>29</v>
      </c>
      <c r="W1443" s="316">
        <f t="shared" si="422"/>
        <v>0</v>
      </c>
    </row>
    <row r="1444" spans="1:23" x14ac:dyDescent="0.25">
      <c r="A1444" s="204" t="s">
        <v>17098</v>
      </c>
      <c r="B1444" s="351" t="s">
        <v>21159</v>
      </c>
      <c r="C1444" s="352"/>
      <c r="D1444" s="353" t="s">
        <v>14859</v>
      </c>
      <c r="E1444" s="249">
        <f t="shared" si="423"/>
        <v>0</v>
      </c>
      <c r="F1444" s="336">
        <v>0</v>
      </c>
      <c r="G1444" s="258">
        <f t="shared" si="424"/>
        <v>0</v>
      </c>
      <c r="H1444" s="249">
        <f t="shared" si="425"/>
        <v>10.971606397906735</v>
      </c>
      <c r="I1444" s="336">
        <v>2.5018308215746122E-3</v>
      </c>
      <c r="J1444" s="258">
        <f t="shared" si="426"/>
        <v>2.5018308215746122E-3</v>
      </c>
      <c r="K1444" s="249">
        <f t="shared" si="427"/>
        <v>4355.527976827274</v>
      </c>
      <c r="L1444" s="336">
        <v>0.9931812846235516</v>
      </c>
      <c r="M1444" s="258">
        <f t="shared" si="428"/>
        <v>0.9931812846235516</v>
      </c>
      <c r="N1444" s="251">
        <f t="shared" si="429"/>
        <v>18.931399274819462</v>
      </c>
      <c r="O1444" s="336">
        <v>4.3168845548738405E-3</v>
      </c>
      <c r="P1444" s="258">
        <f t="shared" si="430"/>
        <v>4.3168845548738405E-3</v>
      </c>
      <c r="Q1444" s="354">
        <v>4280.8649999999998</v>
      </c>
      <c r="R1444" s="249">
        <f t="shared" si="431"/>
        <v>4385.4309825</v>
      </c>
      <c r="S1444" s="355">
        <v>0.1</v>
      </c>
      <c r="T1444" s="355"/>
      <c r="U1444" s="315">
        <f t="shared" si="420"/>
        <v>4823.9740807500002</v>
      </c>
      <c r="V1444" s="315">
        <f t="shared" si="421"/>
        <v>4825</v>
      </c>
      <c r="W1444" s="316">
        <f t="shared" si="422"/>
        <v>0</v>
      </c>
    </row>
    <row r="1445" spans="1:23" x14ac:dyDescent="0.25">
      <c r="A1445" s="204" t="s">
        <v>17099</v>
      </c>
      <c r="B1445" s="351" t="s">
        <v>21160</v>
      </c>
      <c r="C1445" s="352"/>
      <c r="D1445" s="353" t="s">
        <v>5</v>
      </c>
      <c r="E1445" s="249">
        <f t="shared" si="423"/>
        <v>0</v>
      </c>
      <c r="F1445" s="336">
        <v>0</v>
      </c>
      <c r="G1445" s="258">
        <f t="shared" si="424"/>
        <v>0</v>
      </c>
      <c r="H1445" s="249">
        <f t="shared" si="425"/>
        <v>6.3788980661181244E-2</v>
      </c>
      <c r="I1445" s="336">
        <v>2.1211112959574115E-3</v>
      </c>
      <c r="J1445" s="258">
        <f t="shared" si="426"/>
        <v>2.1211112959574115E-3</v>
      </c>
      <c r="K1445" s="249">
        <f t="shared" si="427"/>
        <v>29.899461669314309</v>
      </c>
      <c r="L1445" s="336">
        <v>0.99421695146200217</v>
      </c>
      <c r="M1445" s="258">
        <f t="shared" si="428"/>
        <v>0.99421695146200217</v>
      </c>
      <c r="N1445" s="251">
        <f t="shared" si="429"/>
        <v>0.11006726074870488</v>
      </c>
      <c r="O1445" s="336">
        <v>3.6599567459657295E-3</v>
      </c>
      <c r="P1445" s="258">
        <f t="shared" si="430"/>
        <v>3.6599567459657295E-3</v>
      </c>
      <c r="Q1445" s="354">
        <v>29.356046511627905</v>
      </c>
      <c r="R1445" s="249">
        <f t="shared" si="431"/>
        <v>30.073377470930229</v>
      </c>
      <c r="S1445" s="355">
        <v>0.1</v>
      </c>
      <c r="T1445" s="355"/>
      <c r="U1445" s="315">
        <f t="shared" si="420"/>
        <v>33.080715218023251</v>
      </c>
      <c r="V1445" s="315">
        <f t="shared" si="421"/>
        <v>34</v>
      </c>
      <c r="W1445" s="316">
        <f t="shared" si="422"/>
        <v>0</v>
      </c>
    </row>
    <row r="1446" spans="1:23" x14ac:dyDescent="0.25">
      <c r="A1446" s="204" t="s">
        <v>17100</v>
      </c>
      <c r="B1446" s="351" t="s">
        <v>21161</v>
      </c>
      <c r="C1446" s="352"/>
      <c r="D1446" s="353" t="s">
        <v>14859</v>
      </c>
      <c r="E1446" s="249">
        <f t="shared" si="423"/>
        <v>0</v>
      </c>
      <c r="F1446" s="336">
        <v>0</v>
      </c>
      <c r="G1446" s="258">
        <f t="shared" si="424"/>
        <v>0</v>
      </c>
      <c r="H1446" s="249">
        <f t="shared" si="425"/>
        <v>10.9717264045084</v>
      </c>
      <c r="I1446" s="336">
        <v>2.1211112959574115E-3</v>
      </c>
      <c r="J1446" s="258">
        <f t="shared" si="426"/>
        <v>2.1211112959574115E-3</v>
      </c>
      <c r="K1446" s="249">
        <f t="shared" si="427"/>
        <v>5142.7278372504579</v>
      </c>
      <c r="L1446" s="336">
        <v>0.99421893195807698</v>
      </c>
      <c r="M1446" s="258">
        <f t="shared" si="428"/>
        <v>0.99421893195807698</v>
      </c>
      <c r="N1446" s="251">
        <f t="shared" si="429"/>
        <v>18.931606345034105</v>
      </c>
      <c r="O1446" s="336">
        <v>3.6599567459657295E-3</v>
      </c>
      <c r="P1446" s="258">
        <f t="shared" si="430"/>
        <v>3.6599567459657295E-3</v>
      </c>
      <c r="Q1446" s="354">
        <v>5049.24</v>
      </c>
      <c r="R1446" s="249">
        <f t="shared" si="431"/>
        <v>5172.6311699999997</v>
      </c>
      <c r="S1446" s="355">
        <v>0.1</v>
      </c>
      <c r="T1446" s="355"/>
      <c r="U1446" s="315">
        <f t="shared" ref="U1446:U1507" si="432">(R1446*S1446)+R1446</f>
        <v>5689.8942869999992</v>
      </c>
      <c r="V1446" s="315">
        <f t="shared" ref="V1446:V1507" si="433">IF(U1446=0, 0, IF(U1446&lt;10, _xlfn.CEILING.MATH(U1446,1), IF(U1446&lt;100, _xlfn.CEILING.MATH(U1446,1),IF(U1446&lt;1000, _xlfn.CEILING.MATH(U1446,5), IF(U1446&lt;10000, _xlfn.CEILING.MATH(U1446, 25), IF(U1446&lt;100000, _xlfn.CEILING.MATH(U1446,250), IF(U1446&lt;1000000, _xlfn.CEILING.MATH(U1446,500), 0)))))))</f>
        <v>5700</v>
      </c>
      <c r="W1446" s="316">
        <f t="shared" si="422"/>
        <v>0</v>
      </c>
    </row>
    <row r="1447" spans="1:23" x14ac:dyDescent="0.25">
      <c r="A1447" s="204" t="s">
        <v>17101</v>
      </c>
      <c r="B1447" s="351" t="s">
        <v>21162</v>
      </c>
      <c r="C1447" s="352"/>
      <c r="D1447" s="353" t="s">
        <v>5</v>
      </c>
      <c r="E1447" s="249">
        <f t="shared" si="423"/>
        <v>0</v>
      </c>
      <c r="F1447" s="336">
        <v>0</v>
      </c>
      <c r="G1447" s="258">
        <f t="shared" si="424"/>
        <v>0</v>
      </c>
      <c r="H1447" s="249">
        <f t="shared" si="425"/>
        <v>6.3789159610906962E-2</v>
      </c>
      <c r="I1447" s="336">
        <v>2.0265379975874555E-3</v>
      </c>
      <c r="J1447" s="258">
        <f t="shared" si="426"/>
        <v>2.0265379975874555E-3</v>
      </c>
      <c r="K1447" s="249">
        <f t="shared" si="427"/>
        <v>31.302996399444755</v>
      </c>
      <c r="L1447" s="336">
        <v>0.99447479836325359</v>
      </c>
      <c r="M1447" s="258">
        <f t="shared" si="428"/>
        <v>0.99447479836325359</v>
      </c>
      <c r="N1447" s="251">
        <f t="shared" si="429"/>
        <v>0.11006756952470219</v>
      </c>
      <c r="O1447" s="336">
        <v>3.4967714468175696E-3</v>
      </c>
      <c r="P1447" s="258">
        <f t="shared" si="430"/>
        <v>3.4967714468175696E-3</v>
      </c>
      <c r="Q1447" s="354">
        <v>30.72601744186046</v>
      </c>
      <c r="R1447" s="249">
        <f t="shared" si="431"/>
        <v>31.476912688953483</v>
      </c>
      <c r="S1447" s="355">
        <v>0.1</v>
      </c>
      <c r="T1447" s="355"/>
      <c r="U1447" s="315">
        <f t="shared" si="432"/>
        <v>34.624603957848834</v>
      </c>
      <c r="V1447" s="315">
        <f t="shared" si="433"/>
        <v>35</v>
      </c>
      <c r="W1447" s="316">
        <f t="shared" si="422"/>
        <v>0</v>
      </c>
    </row>
    <row r="1448" spans="1:23" x14ac:dyDescent="0.25">
      <c r="A1448" s="204" t="s">
        <v>17102</v>
      </c>
      <c r="B1448" s="351" t="s">
        <v>21163</v>
      </c>
      <c r="C1448" s="352"/>
      <c r="D1448" s="353" t="s">
        <v>14859</v>
      </c>
      <c r="E1448" s="249">
        <f t="shared" si="423"/>
        <v>0</v>
      </c>
      <c r="F1448" s="336">
        <v>0</v>
      </c>
      <c r="G1448" s="258">
        <f t="shared" si="424"/>
        <v>0</v>
      </c>
      <c r="H1448" s="249">
        <f t="shared" si="425"/>
        <v>10.971756214957784</v>
      </c>
      <c r="I1448" s="336">
        <v>2.0265379975874555E-3</v>
      </c>
      <c r="J1448" s="258">
        <f t="shared" si="426"/>
        <v>2.0265379975874555E-3</v>
      </c>
      <c r="K1448" s="249">
        <f t="shared" si="427"/>
        <v>5384.1358135023702</v>
      </c>
      <c r="L1448" s="336">
        <v>0.99447669055559507</v>
      </c>
      <c r="M1448" s="258">
        <f t="shared" si="428"/>
        <v>0.99447669055559507</v>
      </c>
      <c r="N1448" s="251">
        <f t="shared" si="429"/>
        <v>18.93165778267225</v>
      </c>
      <c r="O1448" s="336">
        <v>3.4967714468175696E-3</v>
      </c>
      <c r="P1448" s="258">
        <f t="shared" si="430"/>
        <v>3.4967714468175696E-3</v>
      </c>
      <c r="Q1448" s="354">
        <v>5284.8749999999991</v>
      </c>
      <c r="R1448" s="249">
        <f t="shared" si="431"/>
        <v>5414.0392274999995</v>
      </c>
      <c r="S1448" s="355">
        <v>0.1</v>
      </c>
      <c r="T1448" s="355"/>
      <c r="U1448" s="315">
        <f t="shared" si="432"/>
        <v>5955.4431502499992</v>
      </c>
      <c r="V1448" s="315">
        <f t="shared" si="433"/>
        <v>5975</v>
      </c>
      <c r="W1448" s="316">
        <f t="shared" si="422"/>
        <v>0</v>
      </c>
    </row>
    <row r="1449" spans="1:23" x14ac:dyDescent="0.25">
      <c r="A1449" s="204" t="s">
        <v>17103</v>
      </c>
      <c r="B1449" s="351" t="s">
        <v>21164</v>
      </c>
      <c r="C1449" s="352"/>
      <c r="D1449" s="353" t="s">
        <v>5</v>
      </c>
      <c r="E1449" s="249">
        <f t="shared" si="423"/>
        <v>0</v>
      </c>
      <c r="F1449" s="336">
        <v>0</v>
      </c>
      <c r="G1449" s="258">
        <f t="shared" si="424"/>
        <v>0</v>
      </c>
      <c r="H1449" s="249">
        <f t="shared" si="425"/>
        <v>6.3789726547276868E-2</v>
      </c>
      <c r="I1449" s="336">
        <v>1.7269172954153251E-3</v>
      </c>
      <c r="J1449" s="258">
        <f t="shared" si="426"/>
        <v>1.7269172954153251E-3</v>
      </c>
      <c r="K1449" s="249">
        <f t="shared" si="427"/>
        <v>36.764577549956812</v>
      </c>
      <c r="L1449" s="336">
        <v>0.99529169140745777</v>
      </c>
      <c r="M1449" s="258">
        <f t="shared" si="428"/>
        <v>0.99529169140745777</v>
      </c>
      <c r="N1449" s="251">
        <f t="shared" si="429"/>
        <v>0.11006854776785027</v>
      </c>
      <c r="O1449" s="336">
        <v>2.9797788626774236E-3</v>
      </c>
      <c r="P1449" s="258">
        <f t="shared" si="430"/>
        <v>2.9797788626774236E-3</v>
      </c>
      <c r="Q1449" s="354">
        <v>36.056991279069763</v>
      </c>
      <c r="R1449" s="249">
        <f t="shared" si="431"/>
        <v>36.938495385174413</v>
      </c>
      <c r="S1449" s="355">
        <v>0.1</v>
      </c>
      <c r="T1449" s="355"/>
      <c r="U1449" s="315">
        <f t="shared" si="432"/>
        <v>40.632344923691853</v>
      </c>
      <c r="V1449" s="315">
        <f t="shared" si="433"/>
        <v>41</v>
      </c>
      <c r="W1449" s="316">
        <f t="shared" si="422"/>
        <v>0</v>
      </c>
    </row>
    <row r="1450" spans="1:23" x14ac:dyDescent="0.25">
      <c r="A1450" s="204" t="s">
        <v>17104</v>
      </c>
      <c r="B1450" s="351" t="s">
        <v>21165</v>
      </c>
      <c r="C1450" s="352"/>
      <c r="D1450" s="353" t="s">
        <v>14859</v>
      </c>
      <c r="E1450" s="249">
        <f t="shared" si="423"/>
        <v>0</v>
      </c>
      <c r="F1450" s="336">
        <v>0</v>
      </c>
      <c r="G1450" s="258">
        <f t="shared" si="424"/>
        <v>0</v>
      </c>
      <c r="H1450" s="249">
        <f t="shared" si="425"/>
        <v>10.971850658399312</v>
      </c>
      <c r="I1450" s="336">
        <v>1.7269172954153249E-3</v>
      </c>
      <c r="J1450" s="258">
        <f t="shared" si="426"/>
        <v>1.7269172954153249E-3</v>
      </c>
      <c r="K1450" s="249">
        <f t="shared" si="427"/>
        <v>6323.5277798476955</v>
      </c>
      <c r="L1450" s="336">
        <v>0.99529330384190728</v>
      </c>
      <c r="M1450" s="258">
        <f t="shared" si="428"/>
        <v>0.99529330384190728</v>
      </c>
      <c r="N1450" s="251">
        <f t="shared" si="429"/>
        <v>18.931820743904694</v>
      </c>
      <c r="O1450" s="336">
        <v>2.9797788626774232E-3</v>
      </c>
      <c r="P1450" s="258">
        <f t="shared" si="430"/>
        <v>2.9797788626774232E-3</v>
      </c>
      <c r="Q1450" s="354">
        <v>6201.8024999999998</v>
      </c>
      <c r="R1450" s="249">
        <f t="shared" si="431"/>
        <v>6353.4314512499996</v>
      </c>
      <c r="S1450" s="355">
        <v>0.1</v>
      </c>
      <c r="T1450" s="355"/>
      <c r="U1450" s="315">
        <f t="shared" si="432"/>
        <v>6988.7745963749994</v>
      </c>
      <c r="V1450" s="315">
        <f t="shared" si="433"/>
        <v>7000</v>
      </c>
      <c r="W1450" s="316">
        <f t="shared" si="422"/>
        <v>0</v>
      </c>
    </row>
    <row r="1451" spans="1:23" x14ac:dyDescent="0.25">
      <c r="A1451" s="204" t="s">
        <v>17105</v>
      </c>
      <c r="B1451" s="351" t="s">
        <v>21166</v>
      </c>
      <c r="C1451" s="352"/>
      <c r="D1451" s="353" t="s">
        <v>5</v>
      </c>
      <c r="E1451" s="249">
        <f t="shared" si="423"/>
        <v>0</v>
      </c>
      <c r="F1451" s="336">
        <v>0</v>
      </c>
      <c r="G1451" s="258">
        <f t="shared" si="424"/>
        <v>0</v>
      </c>
      <c r="H1451" s="249">
        <f t="shared" si="425"/>
        <v>6.3789800410201311E-2</v>
      </c>
      <c r="I1451" s="336">
        <v>1.6878814133288263E-3</v>
      </c>
      <c r="J1451" s="258">
        <f t="shared" si="426"/>
        <v>1.6878814133288263E-3</v>
      </c>
      <c r="K1451" s="249">
        <f t="shared" si="427"/>
        <v>37.618903133458893</v>
      </c>
      <c r="L1451" s="336">
        <v>0.99539811976944892</v>
      </c>
      <c r="M1451" s="258">
        <f t="shared" si="428"/>
        <v>0.99539811976944892</v>
      </c>
      <c r="N1451" s="251">
        <f t="shared" si="429"/>
        <v>0.11006867521760225</v>
      </c>
      <c r="O1451" s="336">
        <v>2.9124228308418962E-3</v>
      </c>
      <c r="P1451" s="258">
        <f t="shared" si="430"/>
        <v>2.9124228308418962E-3</v>
      </c>
      <c r="Q1451" s="354">
        <v>36.890886627906973</v>
      </c>
      <c r="R1451" s="249">
        <f t="shared" si="431"/>
        <v>37.792821170058133</v>
      </c>
      <c r="S1451" s="355">
        <v>0.1</v>
      </c>
      <c r="T1451" s="355"/>
      <c r="U1451" s="315">
        <f t="shared" si="432"/>
        <v>41.572103287063946</v>
      </c>
      <c r="V1451" s="315">
        <f t="shared" si="433"/>
        <v>42</v>
      </c>
      <c r="W1451" s="316">
        <f t="shared" si="422"/>
        <v>0</v>
      </c>
    </row>
    <row r="1452" spans="1:23" x14ac:dyDescent="0.25">
      <c r="A1452" s="204" t="s">
        <v>17106</v>
      </c>
      <c r="B1452" s="351" t="s">
        <v>21167</v>
      </c>
      <c r="C1452" s="352"/>
      <c r="D1452" s="353" t="s">
        <v>14859</v>
      </c>
      <c r="E1452" s="249">
        <f t="shared" si="423"/>
        <v>0</v>
      </c>
      <c r="F1452" s="336">
        <v>0</v>
      </c>
      <c r="G1452" s="258">
        <f t="shared" si="424"/>
        <v>0</v>
      </c>
      <c r="H1452" s="249">
        <f t="shared" si="425"/>
        <v>10.971862962899706</v>
      </c>
      <c r="I1452" s="336">
        <v>1.6878814133288265E-3</v>
      </c>
      <c r="J1452" s="258">
        <f t="shared" si="426"/>
        <v>1.6878814133288265E-3</v>
      </c>
      <c r="K1452" s="249">
        <f t="shared" si="427"/>
        <v>6470.4717813119005</v>
      </c>
      <c r="L1452" s="336">
        <v>0.99539969575582932</v>
      </c>
      <c r="M1452" s="258">
        <f t="shared" si="428"/>
        <v>0.99539969575582932</v>
      </c>
      <c r="N1452" s="251">
        <f t="shared" si="429"/>
        <v>18.93184197519949</v>
      </c>
      <c r="O1452" s="336">
        <v>2.9124228308418962E-3</v>
      </c>
      <c r="P1452" s="258">
        <f t="shared" si="430"/>
        <v>2.9124228308418962E-3</v>
      </c>
      <c r="Q1452" s="354">
        <v>6345.2324999999992</v>
      </c>
      <c r="R1452" s="249">
        <f t="shared" si="431"/>
        <v>6500.3754862499991</v>
      </c>
      <c r="S1452" s="355">
        <v>0.1</v>
      </c>
      <c r="T1452" s="355"/>
      <c r="U1452" s="315">
        <f t="shared" si="432"/>
        <v>7150.4130348749986</v>
      </c>
      <c r="V1452" s="315">
        <f t="shared" si="433"/>
        <v>7175</v>
      </c>
      <c r="W1452" s="316">
        <f t="shared" si="422"/>
        <v>0</v>
      </c>
    </row>
    <row r="1453" spans="1:23" x14ac:dyDescent="0.25">
      <c r="A1453" s="204" t="s">
        <v>17107</v>
      </c>
      <c r="B1453" s="351" t="s">
        <v>21168</v>
      </c>
      <c r="C1453" s="352"/>
      <c r="D1453" s="353" t="s">
        <v>5</v>
      </c>
      <c r="E1453" s="249">
        <f t="shared" si="423"/>
        <v>0</v>
      </c>
      <c r="F1453" s="336">
        <v>0</v>
      </c>
      <c r="G1453" s="258">
        <f t="shared" si="424"/>
        <v>0</v>
      </c>
      <c r="H1453" s="249">
        <f t="shared" si="425"/>
        <v>6.3790091030787546E-2</v>
      </c>
      <c r="I1453" s="336">
        <v>1.5342910833835634E-3</v>
      </c>
      <c r="J1453" s="258">
        <f t="shared" si="426"/>
        <v>1.5342910833835634E-3</v>
      </c>
      <c r="K1453" s="249">
        <f t="shared" si="427"/>
        <v>41.402345102731886</v>
      </c>
      <c r="L1453" s="336">
        <v>0.99581687211626513</v>
      </c>
      <c r="M1453" s="258">
        <f t="shared" si="428"/>
        <v>0.99581687211626513</v>
      </c>
      <c r="N1453" s="251">
        <f t="shared" si="429"/>
        <v>0.11006917668057459</v>
      </c>
      <c r="O1453" s="336">
        <v>2.6474042223088934E-3</v>
      </c>
      <c r="P1453" s="258">
        <f t="shared" si="430"/>
        <v>2.6474042223088934E-3</v>
      </c>
      <c r="Q1453" s="354">
        <v>40.583851744186042</v>
      </c>
      <c r="R1453" s="249">
        <f t="shared" si="431"/>
        <v>41.576263931686043</v>
      </c>
      <c r="S1453" s="355">
        <v>0.1</v>
      </c>
      <c r="T1453" s="355"/>
      <c r="U1453" s="315">
        <f t="shared" si="432"/>
        <v>45.733890324854649</v>
      </c>
      <c r="V1453" s="315">
        <f t="shared" si="433"/>
        <v>46</v>
      </c>
      <c r="W1453" s="316">
        <f t="shared" si="422"/>
        <v>0</v>
      </c>
    </row>
    <row r="1454" spans="1:23" x14ac:dyDescent="0.25">
      <c r="A1454" s="204" t="s">
        <v>17108</v>
      </c>
      <c r="B1454" s="351" t="s">
        <v>21169</v>
      </c>
      <c r="C1454" s="352"/>
      <c r="D1454" s="353" t="s">
        <v>14859</v>
      </c>
      <c r="E1454" s="249">
        <f t="shared" si="423"/>
        <v>0</v>
      </c>
      <c r="F1454" s="336">
        <v>0</v>
      </c>
      <c r="G1454" s="258">
        <f t="shared" si="424"/>
        <v>0</v>
      </c>
      <c r="H1454" s="249">
        <f t="shared" si="425"/>
        <v>10.971911376107606</v>
      </c>
      <c r="I1454" s="336">
        <v>1.5342910833835632E-3</v>
      </c>
      <c r="J1454" s="258">
        <f t="shared" si="426"/>
        <v>1.5342910833835632E-3</v>
      </c>
      <c r="K1454" s="249">
        <f t="shared" si="427"/>
        <v>7121.2238043621774</v>
      </c>
      <c r="L1454" s="336">
        <v>0.99581830469430765</v>
      </c>
      <c r="M1454" s="258">
        <f t="shared" si="428"/>
        <v>0.99581830469430765</v>
      </c>
      <c r="N1454" s="251">
        <f t="shared" si="429"/>
        <v>18.931925511715086</v>
      </c>
      <c r="O1454" s="336">
        <v>2.6474042223088934E-3</v>
      </c>
      <c r="P1454" s="258">
        <f t="shared" si="430"/>
        <v>2.6474042223088934E-3</v>
      </c>
      <c r="Q1454" s="354">
        <v>6980.4224999999997</v>
      </c>
      <c r="R1454" s="249">
        <f t="shared" si="431"/>
        <v>7151.1276412499992</v>
      </c>
      <c r="S1454" s="355">
        <v>0.1</v>
      </c>
      <c r="T1454" s="355"/>
      <c r="U1454" s="315">
        <f t="shared" si="432"/>
        <v>7866.2404053749997</v>
      </c>
      <c r="V1454" s="315">
        <f t="shared" si="433"/>
        <v>7875</v>
      </c>
      <c r="W1454" s="316">
        <f t="shared" si="422"/>
        <v>0</v>
      </c>
    </row>
    <row r="1455" spans="1:23" x14ac:dyDescent="0.25">
      <c r="A1455" s="204" t="s">
        <v>17109</v>
      </c>
      <c r="B1455" s="351" t="s">
        <v>21170</v>
      </c>
      <c r="C1455" s="352"/>
      <c r="D1455" s="353" t="s">
        <v>5</v>
      </c>
      <c r="E1455" s="249">
        <f t="shared" si="423"/>
        <v>0</v>
      </c>
      <c r="F1455" s="336">
        <v>0</v>
      </c>
      <c r="G1455" s="258">
        <f t="shared" si="424"/>
        <v>0</v>
      </c>
      <c r="H1455" s="249">
        <f t="shared" si="425"/>
        <v>6.3790179837658972E-2</v>
      </c>
      <c r="I1455" s="336">
        <v>1.4873574615765991E-3</v>
      </c>
      <c r="J1455" s="258">
        <f t="shared" si="426"/>
        <v>1.4873574615765991E-3</v>
      </c>
      <c r="K1455" s="249">
        <f t="shared" si="427"/>
        <v>42.714345173106707</v>
      </c>
      <c r="L1455" s="336">
        <v>0.99594483306460913</v>
      </c>
      <c r="M1455" s="258">
        <f t="shared" si="428"/>
        <v>0.99594483306460913</v>
      </c>
      <c r="N1455" s="251">
        <f t="shared" si="429"/>
        <v>0.11006932991596056</v>
      </c>
      <c r="O1455" s="336">
        <v>2.566420718014524E-3</v>
      </c>
      <c r="P1455" s="258">
        <f t="shared" si="430"/>
        <v>2.566420718014524E-3</v>
      </c>
      <c r="Q1455" s="354">
        <v>41.864476744186042</v>
      </c>
      <c r="R1455" s="249">
        <f t="shared" si="431"/>
        <v>42.88826424418604</v>
      </c>
      <c r="S1455" s="355">
        <v>0.1</v>
      </c>
      <c r="T1455" s="355"/>
      <c r="U1455" s="315">
        <f t="shared" si="432"/>
        <v>47.177090668604642</v>
      </c>
      <c r="V1455" s="315">
        <f t="shared" si="433"/>
        <v>48</v>
      </c>
      <c r="W1455" s="316">
        <f t="shared" si="422"/>
        <v>0</v>
      </c>
    </row>
    <row r="1456" spans="1:23" x14ac:dyDescent="0.25">
      <c r="A1456" s="204" t="s">
        <v>17110</v>
      </c>
      <c r="B1456" s="351" t="s">
        <v>21171</v>
      </c>
      <c r="C1456" s="352"/>
      <c r="D1456" s="353" t="s">
        <v>14859</v>
      </c>
      <c r="E1456" s="249">
        <f t="shared" si="423"/>
        <v>0</v>
      </c>
      <c r="F1456" s="336">
        <v>0</v>
      </c>
      <c r="G1456" s="258">
        <f t="shared" si="424"/>
        <v>0</v>
      </c>
      <c r="H1456" s="249">
        <f t="shared" si="425"/>
        <v>10.971926170054537</v>
      </c>
      <c r="I1456" s="336">
        <v>1.4873574615765991E-3</v>
      </c>
      <c r="J1456" s="258">
        <f t="shared" si="426"/>
        <v>1.4873574615765991E-3</v>
      </c>
      <c r="K1456" s="249">
        <f t="shared" si="427"/>
        <v>7346.8878177914203</v>
      </c>
      <c r="L1456" s="336">
        <v>0.99594622182040893</v>
      </c>
      <c r="M1456" s="258">
        <f t="shared" si="428"/>
        <v>0.99594622182040893</v>
      </c>
      <c r="N1456" s="251">
        <f t="shared" si="429"/>
        <v>18.931951038525476</v>
      </c>
      <c r="O1456" s="336">
        <v>2.566420718014524E-3</v>
      </c>
      <c r="P1456" s="258">
        <f t="shared" si="430"/>
        <v>2.566420718014524E-3</v>
      </c>
      <c r="Q1456" s="354">
        <v>7200.69</v>
      </c>
      <c r="R1456" s="249">
        <f t="shared" si="431"/>
        <v>7376.7916949999999</v>
      </c>
      <c r="S1456" s="355">
        <v>0.1</v>
      </c>
      <c r="T1456" s="355"/>
      <c r="U1456" s="315">
        <f t="shared" si="432"/>
        <v>8114.4708645000001</v>
      </c>
      <c r="V1456" s="315">
        <f t="shared" si="433"/>
        <v>8125</v>
      </c>
      <c r="W1456" s="316">
        <f t="shared" si="422"/>
        <v>0</v>
      </c>
    </row>
    <row r="1457" spans="1:23" x14ac:dyDescent="0.25">
      <c r="A1457" s="204" t="s">
        <v>17111</v>
      </c>
      <c r="B1457" s="351" t="s">
        <v>21172</v>
      </c>
      <c r="C1457" s="352"/>
      <c r="D1457" s="353" t="s">
        <v>5</v>
      </c>
      <c r="E1457" s="249">
        <f t="shared" si="423"/>
        <v>0</v>
      </c>
      <c r="F1457" s="336">
        <v>0</v>
      </c>
      <c r="G1457" s="258">
        <f t="shared" si="424"/>
        <v>0</v>
      </c>
      <c r="H1457" s="249">
        <f t="shared" si="425"/>
        <v>6.3790276504262708E-2</v>
      </c>
      <c r="I1457" s="336">
        <v>1.4362700429070591E-3</v>
      </c>
      <c r="J1457" s="258">
        <f t="shared" si="426"/>
        <v>1.4362700429070591E-3</v>
      </c>
      <c r="K1457" s="249">
        <f t="shared" si="427"/>
        <v>44.239926668273505</v>
      </c>
      <c r="L1457" s="336">
        <v>0.99608411902400695</v>
      </c>
      <c r="M1457" s="258">
        <f t="shared" si="428"/>
        <v>0.99608411902400695</v>
      </c>
      <c r="N1457" s="251">
        <f t="shared" si="429"/>
        <v>0.1100694967132376</v>
      </c>
      <c r="O1457" s="336">
        <v>2.478269877957278E-3</v>
      </c>
      <c r="P1457" s="258">
        <f t="shared" si="430"/>
        <v>2.478269877957278E-3</v>
      </c>
      <c r="Q1457" s="354">
        <v>43.353575581395347</v>
      </c>
      <c r="R1457" s="249">
        <f t="shared" si="431"/>
        <v>44.413846002906972</v>
      </c>
      <c r="S1457" s="355">
        <v>0.1</v>
      </c>
      <c r="T1457" s="355"/>
      <c r="U1457" s="315">
        <f t="shared" si="432"/>
        <v>48.855230603197668</v>
      </c>
      <c r="V1457" s="315">
        <f t="shared" si="433"/>
        <v>49</v>
      </c>
      <c r="W1457" s="316">
        <f t="shared" si="422"/>
        <v>0</v>
      </c>
    </row>
    <row r="1458" spans="1:23" x14ac:dyDescent="0.25">
      <c r="A1458" s="204" t="s">
        <v>17112</v>
      </c>
      <c r="B1458" s="351" t="s">
        <v>21173</v>
      </c>
      <c r="C1458" s="352"/>
      <c r="D1458" s="353" t="s">
        <v>14859</v>
      </c>
      <c r="E1458" s="249">
        <f t="shared" si="423"/>
        <v>0</v>
      </c>
      <c r="F1458" s="336">
        <v>0</v>
      </c>
      <c r="G1458" s="258">
        <f t="shared" si="424"/>
        <v>0</v>
      </c>
      <c r="H1458" s="249">
        <f t="shared" si="425"/>
        <v>10.971942273319778</v>
      </c>
      <c r="I1458" s="336">
        <v>1.4362700429070591E-3</v>
      </c>
      <c r="J1458" s="258">
        <f t="shared" si="426"/>
        <v>1.4362700429070591E-3</v>
      </c>
      <c r="K1458" s="249">
        <f t="shared" si="427"/>
        <v>7609.2878364021281</v>
      </c>
      <c r="L1458" s="336">
        <v>0.99608546007913568</v>
      </c>
      <c r="M1458" s="258">
        <f t="shared" si="428"/>
        <v>0.99608546007913568</v>
      </c>
      <c r="N1458" s="251">
        <f t="shared" si="429"/>
        <v>18.93197882455177</v>
      </c>
      <c r="O1458" s="336">
        <v>2.478269877957278E-3</v>
      </c>
      <c r="P1458" s="258">
        <f t="shared" si="430"/>
        <v>2.478269877957278E-3</v>
      </c>
      <c r="Q1458" s="354">
        <v>7456.8149999999996</v>
      </c>
      <c r="R1458" s="249">
        <f t="shared" si="431"/>
        <v>7639.1917574999998</v>
      </c>
      <c r="S1458" s="355">
        <v>0.1</v>
      </c>
      <c r="T1458" s="355"/>
      <c r="U1458" s="315">
        <f t="shared" si="432"/>
        <v>8403.11093325</v>
      </c>
      <c r="V1458" s="315">
        <f t="shared" si="433"/>
        <v>8425</v>
      </c>
      <c r="W1458" s="316">
        <f t="shared" si="422"/>
        <v>0</v>
      </c>
    </row>
    <row r="1459" spans="1:23" x14ac:dyDescent="0.25">
      <c r="A1459" s="204" t="s">
        <v>17113</v>
      </c>
      <c r="B1459" s="351" t="s">
        <v>21174</v>
      </c>
      <c r="C1459" s="352"/>
      <c r="D1459" s="353" t="s">
        <v>5</v>
      </c>
      <c r="E1459" s="249">
        <f t="shared" si="423"/>
        <v>0</v>
      </c>
      <c r="F1459" s="336">
        <v>0</v>
      </c>
      <c r="G1459" s="258">
        <f t="shared" si="424"/>
        <v>0</v>
      </c>
      <c r="H1459" s="249">
        <f t="shared" si="425"/>
        <v>6.379064731010449E-2</v>
      </c>
      <c r="I1459" s="336">
        <v>1.2403025365402859E-3</v>
      </c>
      <c r="J1459" s="258">
        <f t="shared" si="426"/>
        <v>1.2403025365402859E-3</v>
      </c>
      <c r="K1459" s="249">
        <f t="shared" si="427"/>
        <v>51.257601747415876</v>
      </c>
      <c r="L1459" s="336">
        <v>0.99661840951755609</v>
      </c>
      <c r="M1459" s="258">
        <f t="shared" si="428"/>
        <v>0.99661840951755609</v>
      </c>
      <c r="N1459" s="251">
        <f t="shared" si="429"/>
        <v>0.11007013653508224</v>
      </c>
      <c r="O1459" s="336">
        <v>2.1401298669714735E-3</v>
      </c>
      <c r="P1459" s="258">
        <f t="shared" si="430"/>
        <v>2.1401298669714735E-3</v>
      </c>
      <c r="Q1459" s="354">
        <v>50.203430232558127</v>
      </c>
      <c r="R1459" s="249">
        <f t="shared" si="431"/>
        <v>51.431522093023247</v>
      </c>
      <c r="S1459" s="355">
        <v>0.1</v>
      </c>
      <c r="T1459" s="355"/>
      <c r="U1459" s="315">
        <f t="shared" si="432"/>
        <v>56.574674302325576</v>
      </c>
      <c r="V1459" s="315">
        <f t="shared" si="433"/>
        <v>57</v>
      </c>
      <c r="W1459" s="316">
        <f t="shared" si="422"/>
        <v>0</v>
      </c>
    </row>
    <row r="1460" spans="1:23" x14ac:dyDescent="0.25">
      <c r="A1460" s="204" t="s">
        <v>17114</v>
      </c>
      <c r="B1460" s="351" t="s">
        <v>21175</v>
      </c>
      <c r="C1460" s="352"/>
      <c r="D1460" s="353" t="s">
        <v>14859</v>
      </c>
      <c r="E1460" s="249">
        <f t="shared" si="423"/>
        <v>0</v>
      </c>
      <c r="F1460" s="336">
        <v>0</v>
      </c>
      <c r="G1460" s="258">
        <f t="shared" si="424"/>
        <v>0</v>
      </c>
      <c r="H1460" s="249">
        <f t="shared" si="425"/>
        <v>10.97200404423746</v>
      </c>
      <c r="I1460" s="336">
        <v>1.2403025365402859E-3</v>
      </c>
      <c r="J1460" s="258">
        <f t="shared" si="426"/>
        <v>1.2403025365402859E-3</v>
      </c>
      <c r="K1460" s="249">
        <f t="shared" si="427"/>
        <v>8816.3279555460977</v>
      </c>
      <c r="L1460" s="336">
        <v>0.9966195675964884</v>
      </c>
      <c r="M1460" s="258">
        <f t="shared" si="428"/>
        <v>0.9966195675964884</v>
      </c>
      <c r="N1460" s="251">
        <f t="shared" si="429"/>
        <v>18.932085409664634</v>
      </c>
      <c r="O1460" s="336">
        <v>2.1401298669714735E-3</v>
      </c>
      <c r="P1460" s="258">
        <f t="shared" si="430"/>
        <v>2.1401298669714735E-3</v>
      </c>
      <c r="Q1460" s="354">
        <v>8634.989999999998</v>
      </c>
      <c r="R1460" s="249">
        <f t="shared" si="431"/>
        <v>8846.2320449999988</v>
      </c>
      <c r="S1460" s="355">
        <v>0.1</v>
      </c>
      <c r="T1460" s="355"/>
      <c r="U1460" s="315">
        <f t="shared" si="432"/>
        <v>9730.8552494999985</v>
      </c>
      <c r="V1460" s="315">
        <f t="shared" si="433"/>
        <v>9750</v>
      </c>
      <c r="W1460" s="316">
        <f t="shared" si="422"/>
        <v>0</v>
      </c>
    </row>
    <row r="1461" spans="1:23" x14ac:dyDescent="0.25">
      <c r="A1461" s="203" t="s">
        <v>17115</v>
      </c>
      <c r="B1461" s="345" t="s">
        <v>17116</v>
      </c>
      <c r="C1461" s="346"/>
      <c r="D1461" s="347"/>
      <c r="E1461" s="347"/>
      <c r="F1461" s="347"/>
      <c r="G1461" s="347"/>
      <c r="H1461" s="347"/>
      <c r="I1461" s="347"/>
      <c r="J1461" s="347"/>
      <c r="K1461" s="347"/>
      <c r="L1461" s="347"/>
      <c r="M1461" s="347"/>
      <c r="N1461" s="347"/>
      <c r="O1461" s="347"/>
      <c r="P1461" s="347"/>
      <c r="Q1461" s="347"/>
      <c r="R1461" s="347"/>
      <c r="S1461" s="347"/>
      <c r="T1461" s="348"/>
      <c r="U1461" s="349"/>
      <c r="V1461" s="349"/>
      <c r="W1461" s="350"/>
    </row>
    <row r="1462" spans="1:23" x14ac:dyDescent="0.25">
      <c r="A1462" s="204" t="s">
        <v>17117</v>
      </c>
      <c r="B1462" s="351" t="s">
        <v>21176</v>
      </c>
      <c r="C1462" s="352"/>
      <c r="D1462" s="353" t="s">
        <v>14859</v>
      </c>
      <c r="E1462" s="249">
        <f t="shared" si="423"/>
        <v>0</v>
      </c>
      <c r="F1462" s="336">
        <v>0</v>
      </c>
      <c r="G1462" s="258">
        <f t="shared" si="424"/>
        <v>0</v>
      </c>
      <c r="H1462" s="249">
        <f t="shared" si="425"/>
        <v>10.945272482254547</v>
      </c>
      <c r="I1462" s="336">
        <v>8.6045867026597098E-2</v>
      </c>
      <c r="J1462" s="258">
        <f t="shared" si="426"/>
        <v>8.6045867026597098E-2</v>
      </c>
      <c r="K1462" s="249">
        <f t="shared" si="427"/>
        <v>97.371535406208181</v>
      </c>
      <c r="L1462" s="336">
        <v>0.76548283300594122</v>
      </c>
      <c r="M1462" s="258">
        <f t="shared" si="428"/>
        <v>0.76548283300594122</v>
      </c>
      <c r="N1462" s="251">
        <f t="shared" si="429"/>
        <v>18.885960361537254</v>
      </c>
      <c r="O1462" s="336">
        <v>0.14847129996746164</v>
      </c>
      <c r="P1462" s="258">
        <f t="shared" si="430"/>
        <v>0.14847129996746164</v>
      </c>
      <c r="Q1462" s="354">
        <v>124.46850000000001</v>
      </c>
      <c r="R1462" s="249">
        <f t="shared" si="431"/>
        <v>127.20276824999999</v>
      </c>
      <c r="S1462" s="355">
        <v>0.1</v>
      </c>
      <c r="T1462" s="355"/>
      <c r="U1462" s="315">
        <f t="shared" si="432"/>
        <v>139.923045075</v>
      </c>
      <c r="V1462" s="315">
        <f t="shared" si="433"/>
        <v>140</v>
      </c>
      <c r="W1462" s="316">
        <f t="shared" ref="W1462:W1507" si="434">C1462*V1462</f>
        <v>0</v>
      </c>
    </row>
    <row r="1463" spans="1:23" x14ac:dyDescent="0.25">
      <c r="A1463" s="204" t="s">
        <v>17118</v>
      </c>
      <c r="B1463" s="351" t="s">
        <v>21177</v>
      </c>
      <c r="C1463" s="352"/>
      <c r="D1463" s="353" t="s">
        <v>5</v>
      </c>
      <c r="E1463" s="249">
        <f t="shared" si="423"/>
        <v>0</v>
      </c>
      <c r="F1463" s="336">
        <v>0</v>
      </c>
      <c r="G1463" s="258">
        <f t="shared" si="424"/>
        <v>0</v>
      </c>
      <c r="H1463" s="249">
        <f t="shared" si="425"/>
        <v>6.3630179897365441E-2</v>
      </c>
      <c r="I1463" s="336">
        <v>8.6045867026597098E-2</v>
      </c>
      <c r="J1463" s="258">
        <f t="shared" si="426"/>
        <v>8.6045867026597098E-2</v>
      </c>
      <c r="K1463" s="249">
        <f t="shared" si="427"/>
        <v>0.56600857082653211</v>
      </c>
      <c r="L1463" s="336">
        <v>0.76540249139340466</v>
      </c>
      <c r="M1463" s="258">
        <f t="shared" si="428"/>
        <v>0.76540249139340466</v>
      </c>
      <c r="N1463" s="251">
        <f t="shared" si="429"/>
        <v>0.10979325158761095</v>
      </c>
      <c r="O1463" s="336">
        <v>0.14847129996746164</v>
      </c>
      <c r="P1463" s="258">
        <f t="shared" si="430"/>
        <v>0.14847129996746164</v>
      </c>
      <c r="Q1463" s="354">
        <v>0.72365406976744184</v>
      </c>
      <c r="R1463" s="249">
        <f t="shared" si="431"/>
        <v>0.73949141424418585</v>
      </c>
      <c r="S1463" s="355">
        <v>0.1</v>
      </c>
      <c r="T1463" s="355"/>
      <c r="U1463" s="315">
        <f t="shared" si="432"/>
        <v>0.8134405556686044</v>
      </c>
      <c r="V1463" s="315">
        <f t="shared" si="433"/>
        <v>1</v>
      </c>
      <c r="W1463" s="316">
        <f t="shared" si="434"/>
        <v>0</v>
      </c>
    </row>
    <row r="1464" spans="1:23" x14ac:dyDescent="0.25">
      <c r="A1464" s="204" t="s">
        <v>17119</v>
      </c>
      <c r="B1464" s="351" t="s">
        <v>21178</v>
      </c>
      <c r="C1464" s="352"/>
      <c r="D1464" s="353" t="s">
        <v>14859</v>
      </c>
      <c r="E1464" s="249">
        <f t="shared" si="423"/>
        <v>0</v>
      </c>
      <c r="F1464" s="336">
        <v>0</v>
      </c>
      <c r="G1464" s="258">
        <f t="shared" si="424"/>
        <v>0</v>
      </c>
      <c r="H1464" s="249">
        <f t="shared" si="425"/>
        <v>10.945272482254547</v>
      </c>
      <c r="I1464" s="336">
        <v>8.6045867026597098E-2</v>
      </c>
      <c r="J1464" s="258">
        <f t="shared" si="426"/>
        <v>8.6045867026597098E-2</v>
      </c>
      <c r="K1464" s="249">
        <f t="shared" si="427"/>
        <v>97.371535406208181</v>
      </c>
      <c r="L1464" s="336">
        <v>0.76548283300594122</v>
      </c>
      <c r="M1464" s="258">
        <f t="shared" si="428"/>
        <v>0.76548283300594122</v>
      </c>
      <c r="N1464" s="251">
        <f t="shared" si="429"/>
        <v>18.885960361537254</v>
      </c>
      <c r="O1464" s="336">
        <v>0.14847129996746164</v>
      </c>
      <c r="P1464" s="258">
        <f t="shared" si="430"/>
        <v>0.14847129996746164</v>
      </c>
      <c r="Q1464" s="354">
        <v>124.46850000000001</v>
      </c>
      <c r="R1464" s="249">
        <f t="shared" si="431"/>
        <v>127.20276824999999</v>
      </c>
      <c r="S1464" s="355">
        <v>0.1</v>
      </c>
      <c r="T1464" s="355"/>
      <c r="U1464" s="315">
        <f t="shared" si="432"/>
        <v>139.923045075</v>
      </c>
      <c r="V1464" s="315">
        <f t="shared" si="433"/>
        <v>140</v>
      </c>
      <c r="W1464" s="316">
        <f t="shared" si="434"/>
        <v>0</v>
      </c>
    </row>
    <row r="1465" spans="1:23" x14ac:dyDescent="0.25">
      <c r="A1465" s="204" t="s">
        <v>17120</v>
      </c>
      <c r="B1465" s="351" t="s">
        <v>21179</v>
      </c>
      <c r="C1465" s="352"/>
      <c r="D1465" s="353" t="s">
        <v>5</v>
      </c>
      <c r="E1465" s="249">
        <f t="shared" si="423"/>
        <v>0</v>
      </c>
      <c r="F1465" s="336">
        <v>0</v>
      </c>
      <c r="G1465" s="258">
        <f t="shared" si="424"/>
        <v>0</v>
      </c>
      <c r="H1465" s="249">
        <f t="shared" si="425"/>
        <v>6.3630179897365441E-2</v>
      </c>
      <c r="I1465" s="336">
        <v>8.6045867026597098E-2</v>
      </c>
      <c r="J1465" s="258">
        <f t="shared" si="426"/>
        <v>8.6045867026597098E-2</v>
      </c>
      <c r="K1465" s="249">
        <f t="shared" si="427"/>
        <v>0.56600857082653211</v>
      </c>
      <c r="L1465" s="336">
        <v>0.76540249139340466</v>
      </c>
      <c r="M1465" s="258">
        <f t="shared" si="428"/>
        <v>0.76540249139340466</v>
      </c>
      <c r="N1465" s="251">
        <f t="shared" si="429"/>
        <v>0.10979325158761095</v>
      </c>
      <c r="O1465" s="336">
        <v>0.14847129996746164</v>
      </c>
      <c r="P1465" s="258">
        <f t="shared" si="430"/>
        <v>0.14847129996746164</v>
      </c>
      <c r="Q1465" s="354">
        <v>0.72365406976744184</v>
      </c>
      <c r="R1465" s="249">
        <f t="shared" si="431"/>
        <v>0.73949141424418585</v>
      </c>
      <c r="S1465" s="355">
        <v>0.1</v>
      </c>
      <c r="T1465" s="355"/>
      <c r="U1465" s="315">
        <f t="shared" si="432"/>
        <v>0.8134405556686044</v>
      </c>
      <c r="V1465" s="315">
        <f t="shared" si="433"/>
        <v>1</v>
      </c>
      <c r="W1465" s="316">
        <f t="shared" si="434"/>
        <v>0</v>
      </c>
    </row>
    <row r="1466" spans="1:23" x14ac:dyDescent="0.25">
      <c r="A1466" s="204" t="s">
        <v>17121</v>
      </c>
      <c r="B1466" s="351" t="s">
        <v>21180</v>
      </c>
      <c r="C1466" s="352"/>
      <c r="D1466" s="353" t="s">
        <v>14859</v>
      </c>
      <c r="E1466" s="249">
        <f t="shared" si="423"/>
        <v>0</v>
      </c>
      <c r="F1466" s="336">
        <v>0</v>
      </c>
      <c r="G1466" s="258">
        <f t="shared" si="424"/>
        <v>0</v>
      </c>
      <c r="H1466" s="249">
        <f t="shared" si="425"/>
        <v>10.945272482254547</v>
      </c>
      <c r="I1466" s="336">
        <v>8.6045867026597098E-2</v>
      </c>
      <c r="J1466" s="258">
        <f t="shared" si="426"/>
        <v>8.6045867026597098E-2</v>
      </c>
      <c r="K1466" s="249">
        <f t="shared" si="427"/>
        <v>97.371535406208181</v>
      </c>
      <c r="L1466" s="336">
        <v>0.76548283300594122</v>
      </c>
      <c r="M1466" s="258">
        <f t="shared" si="428"/>
        <v>0.76548283300594122</v>
      </c>
      <c r="N1466" s="251">
        <f t="shared" si="429"/>
        <v>18.885960361537254</v>
      </c>
      <c r="O1466" s="336">
        <v>0.14847129996746164</v>
      </c>
      <c r="P1466" s="258">
        <f t="shared" si="430"/>
        <v>0.14847129996746164</v>
      </c>
      <c r="Q1466" s="354">
        <v>124.46850000000001</v>
      </c>
      <c r="R1466" s="249">
        <f t="shared" si="431"/>
        <v>127.20276824999999</v>
      </c>
      <c r="S1466" s="355">
        <v>0.1</v>
      </c>
      <c r="T1466" s="355"/>
      <c r="U1466" s="315">
        <f t="shared" si="432"/>
        <v>139.923045075</v>
      </c>
      <c r="V1466" s="315">
        <f t="shared" si="433"/>
        <v>140</v>
      </c>
      <c r="W1466" s="316">
        <f t="shared" si="434"/>
        <v>0</v>
      </c>
    </row>
    <row r="1467" spans="1:23" x14ac:dyDescent="0.25">
      <c r="A1467" s="204" t="s">
        <v>17122</v>
      </c>
      <c r="B1467" s="351" t="s">
        <v>21181</v>
      </c>
      <c r="C1467" s="352"/>
      <c r="D1467" s="353" t="s">
        <v>5</v>
      </c>
      <c r="E1467" s="249">
        <f t="shared" si="423"/>
        <v>0</v>
      </c>
      <c r="F1467" s="336">
        <v>0</v>
      </c>
      <c r="G1467" s="258">
        <f t="shared" si="424"/>
        <v>0</v>
      </c>
      <c r="H1467" s="249">
        <f t="shared" si="425"/>
        <v>6.3630179897365441E-2</v>
      </c>
      <c r="I1467" s="336">
        <v>8.6045867026597098E-2</v>
      </c>
      <c r="J1467" s="258">
        <f t="shared" si="426"/>
        <v>8.6045867026597098E-2</v>
      </c>
      <c r="K1467" s="249">
        <f t="shared" si="427"/>
        <v>0.56600857082653211</v>
      </c>
      <c r="L1467" s="336">
        <v>0.76540249139340466</v>
      </c>
      <c r="M1467" s="258">
        <f t="shared" si="428"/>
        <v>0.76540249139340466</v>
      </c>
      <c r="N1467" s="251">
        <f t="shared" si="429"/>
        <v>0.10979325158761095</v>
      </c>
      <c r="O1467" s="336">
        <v>0.14847129996746164</v>
      </c>
      <c r="P1467" s="258">
        <f t="shared" si="430"/>
        <v>0.14847129996746164</v>
      </c>
      <c r="Q1467" s="354">
        <v>0.72365406976744184</v>
      </c>
      <c r="R1467" s="249">
        <f t="shared" si="431"/>
        <v>0.73949141424418585</v>
      </c>
      <c r="S1467" s="355">
        <v>0.1</v>
      </c>
      <c r="T1467" s="355"/>
      <c r="U1467" s="315">
        <f t="shared" si="432"/>
        <v>0.8134405556686044</v>
      </c>
      <c r="V1467" s="315">
        <f t="shared" si="433"/>
        <v>1</v>
      </c>
      <c r="W1467" s="316">
        <f t="shared" si="434"/>
        <v>0</v>
      </c>
    </row>
    <row r="1468" spans="1:23" x14ac:dyDescent="0.25">
      <c r="A1468" s="204" t="s">
        <v>17123</v>
      </c>
      <c r="B1468" s="351" t="s">
        <v>21182</v>
      </c>
      <c r="C1468" s="352"/>
      <c r="D1468" s="353" t="s">
        <v>14859</v>
      </c>
      <c r="E1468" s="249">
        <f t="shared" si="423"/>
        <v>0</v>
      </c>
      <c r="F1468" s="336">
        <v>0</v>
      </c>
      <c r="G1468" s="258">
        <f t="shared" si="424"/>
        <v>0</v>
      </c>
      <c r="H1468" s="249">
        <f t="shared" si="425"/>
        <v>10.95005366166354</v>
      </c>
      <c r="I1468" s="336">
        <v>7.0877631853241613E-2</v>
      </c>
      <c r="J1468" s="258">
        <f t="shared" si="426"/>
        <v>7.0877631853241613E-2</v>
      </c>
      <c r="K1468" s="249">
        <f t="shared" si="427"/>
        <v>124.6481108486033</v>
      </c>
      <c r="L1468" s="336">
        <v>0.80682370926273361</v>
      </c>
      <c r="M1468" s="258">
        <f t="shared" si="428"/>
        <v>0.80682370926273361</v>
      </c>
      <c r="N1468" s="251">
        <f t="shared" si="429"/>
        <v>18.894210239733166</v>
      </c>
      <c r="O1468" s="336">
        <v>0.12229865888402473</v>
      </c>
      <c r="P1468" s="258">
        <f t="shared" si="430"/>
        <v>0.12229865888402473</v>
      </c>
      <c r="Q1468" s="354">
        <v>151.10550000000001</v>
      </c>
      <c r="R1468" s="249">
        <f t="shared" si="431"/>
        <v>154.49237475000001</v>
      </c>
      <c r="S1468" s="355">
        <v>0.1</v>
      </c>
      <c r="T1468" s="355"/>
      <c r="U1468" s="315">
        <f t="shared" si="432"/>
        <v>169.941612225</v>
      </c>
      <c r="V1468" s="315">
        <f t="shared" si="433"/>
        <v>170</v>
      </c>
      <c r="W1468" s="316">
        <f t="shared" si="434"/>
        <v>0</v>
      </c>
    </row>
    <row r="1469" spans="1:23" x14ac:dyDescent="0.25">
      <c r="A1469" s="204" t="s">
        <v>17124</v>
      </c>
      <c r="B1469" s="351" t="s">
        <v>21183</v>
      </c>
      <c r="C1469" s="352"/>
      <c r="D1469" s="353" t="s">
        <v>5</v>
      </c>
      <c r="E1469" s="249">
        <f t="shared" si="423"/>
        <v>0</v>
      </c>
      <c r="F1469" s="336">
        <v>0</v>
      </c>
      <c r="G1469" s="258">
        <f t="shared" si="424"/>
        <v>0</v>
      </c>
      <c r="H1469" s="249">
        <f t="shared" si="425"/>
        <v>6.3658880932123282E-2</v>
      </c>
      <c r="I1469" s="336">
        <v>7.0877631853241613E-2</v>
      </c>
      <c r="J1469" s="258">
        <f t="shared" si="426"/>
        <v>7.0877631853241613E-2</v>
      </c>
      <c r="K1469" s="249">
        <f t="shared" si="427"/>
        <v>0.7245908225463078</v>
      </c>
      <c r="L1469" s="336">
        <v>0.80675753033476627</v>
      </c>
      <c r="M1469" s="258">
        <f t="shared" si="428"/>
        <v>0.80675753033476627</v>
      </c>
      <c r="N1469" s="251">
        <f t="shared" si="429"/>
        <v>0.10984277494170291</v>
      </c>
      <c r="O1469" s="336">
        <v>0.12229865888402473</v>
      </c>
      <c r="P1469" s="258">
        <f t="shared" si="430"/>
        <v>0.12229865888402473</v>
      </c>
      <c r="Q1469" s="354">
        <v>0.87852034883720931</v>
      </c>
      <c r="R1469" s="249">
        <f t="shared" si="431"/>
        <v>0.89815191715116294</v>
      </c>
      <c r="S1469" s="355">
        <v>0.1</v>
      </c>
      <c r="T1469" s="355"/>
      <c r="U1469" s="315">
        <f t="shared" si="432"/>
        <v>0.98796710886627925</v>
      </c>
      <c r="V1469" s="315">
        <f t="shared" si="433"/>
        <v>1</v>
      </c>
      <c r="W1469" s="316">
        <f t="shared" si="434"/>
        <v>0</v>
      </c>
    </row>
    <row r="1470" spans="1:23" x14ac:dyDescent="0.25">
      <c r="A1470" s="204" t="s">
        <v>17125</v>
      </c>
      <c r="B1470" s="351" t="s">
        <v>21184</v>
      </c>
      <c r="C1470" s="352"/>
      <c r="D1470" s="353" t="s">
        <v>14859</v>
      </c>
      <c r="E1470" s="249">
        <f t="shared" si="423"/>
        <v>0</v>
      </c>
      <c r="F1470" s="336">
        <v>0</v>
      </c>
      <c r="G1470" s="258">
        <f t="shared" si="424"/>
        <v>0</v>
      </c>
      <c r="H1470" s="249">
        <f t="shared" si="425"/>
        <v>10.950926984547145</v>
      </c>
      <c r="I1470" s="336">
        <v>6.8107025325511522E-2</v>
      </c>
      <c r="J1470" s="258">
        <f t="shared" si="426"/>
        <v>6.8107025325511522E-2</v>
      </c>
      <c r="K1470" s="249">
        <f t="shared" si="427"/>
        <v>130.943332115646</v>
      </c>
      <c r="L1470" s="336">
        <v>0.81437497019125293</v>
      </c>
      <c r="M1470" s="258">
        <f t="shared" si="428"/>
        <v>0.81437497019125293</v>
      </c>
      <c r="N1470" s="251">
        <f t="shared" si="429"/>
        <v>18.895717149806842</v>
      </c>
      <c r="O1470" s="336">
        <v>0.11751800448323557</v>
      </c>
      <c r="P1470" s="258">
        <f t="shared" si="430"/>
        <v>0.11751800448323557</v>
      </c>
      <c r="Q1470" s="354">
        <v>157.2525</v>
      </c>
      <c r="R1470" s="249">
        <f t="shared" si="431"/>
        <v>160.78997625</v>
      </c>
      <c r="S1470" s="355">
        <v>0.1</v>
      </c>
      <c r="T1470" s="355"/>
      <c r="U1470" s="315">
        <f t="shared" si="432"/>
        <v>176.86897387499999</v>
      </c>
      <c r="V1470" s="315">
        <f t="shared" si="433"/>
        <v>180</v>
      </c>
      <c r="W1470" s="316">
        <f t="shared" si="434"/>
        <v>0</v>
      </c>
    </row>
    <row r="1471" spans="1:23" x14ac:dyDescent="0.25">
      <c r="A1471" s="204" t="s">
        <v>17126</v>
      </c>
      <c r="B1471" s="351" t="s">
        <v>21185</v>
      </c>
      <c r="C1471" s="352"/>
      <c r="D1471" s="353" t="s">
        <v>5</v>
      </c>
      <c r="E1471" s="249">
        <f t="shared" si="423"/>
        <v>0</v>
      </c>
      <c r="F1471" s="336">
        <v>0</v>
      </c>
      <c r="G1471" s="258">
        <f t="shared" si="424"/>
        <v>0</v>
      </c>
      <c r="H1471" s="249">
        <f t="shared" si="425"/>
        <v>6.3664123419027246E-2</v>
      </c>
      <c r="I1471" s="336">
        <v>6.8107025325511522E-2</v>
      </c>
      <c r="J1471" s="258">
        <f t="shared" si="426"/>
        <v>6.8107025325511522E-2</v>
      </c>
      <c r="K1471" s="249">
        <f t="shared" si="427"/>
        <v>0.76119049151400453</v>
      </c>
      <c r="L1471" s="336">
        <v>0.81431137819748511</v>
      </c>
      <c r="M1471" s="258">
        <f t="shared" si="428"/>
        <v>0.81431137819748511</v>
      </c>
      <c r="N1471" s="251">
        <f t="shared" si="429"/>
        <v>0.10985182080145878</v>
      </c>
      <c r="O1471" s="336">
        <v>0.11751800448323556</v>
      </c>
      <c r="P1471" s="258">
        <f t="shared" si="430"/>
        <v>0.11751800448323556</v>
      </c>
      <c r="Q1471" s="354">
        <v>0.91425872093023253</v>
      </c>
      <c r="R1471" s="249">
        <f t="shared" si="431"/>
        <v>0.93476587936046518</v>
      </c>
      <c r="S1471" s="355">
        <v>0.1</v>
      </c>
      <c r="T1471" s="355"/>
      <c r="U1471" s="315">
        <f t="shared" si="432"/>
        <v>1.0282424672965118</v>
      </c>
      <c r="V1471" s="315">
        <f t="shared" si="433"/>
        <v>2</v>
      </c>
      <c r="W1471" s="316">
        <f t="shared" si="434"/>
        <v>0</v>
      </c>
    </row>
    <row r="1472" spans="1:23" x14ac:dyDescent="0.25">
      <c r="A1472" s="204" t="s">
        <v>17127</v>
      </c>
      <c r="B1472" s="351" t="s">
        <v>21186</v>
      </c>
      <c r="C1472" s="352"/>
      <c r="D1472" s="353" t="s">
        <v>14859</v>
      </c>
      <c r="E1472" s="249">
        <f t="shared" si="423"/>
        <v>0</v>
      </c>
      <c r="F1472" s="336">
        <v>0</v>
      </c>
      <c r="G1472" s="258">
        <f t="shared" si="424"/>
        <v>0</v>
      </c>
      <c r="H1472" s="249">
        <f t="shared" si="425"/>
        <v>10.957716667275385</v>
      </c>
      <c r="I1472" s="336">
        <v>4.6566837107377655E-2</v>
      </c>
      <c r="J1472" s="258">
        <f t="shared" si="426"/>
        <v>4.6566837107377655E-2</v>
      </c>
      <c r="K1472" s="249">
        <f t="shared" si="427"/>
        <v>205.44644465193571</v>
      </c>
      <c r="L1472" s="336">
        <v>0.87308254200146096</v>
      </c>
      <c r="M1472" s="258">
        <f t="shared" si="428"/>
        <v>0.87308254200146096</v>
      </c>
      <c r="N1472" s="251">
        <f t="shared" si="429"/>
        <v>18.907432680788897</v>
      </c>
      <c r="O1472" s="336">
        <v>8.0350620891161434E-2</v>
      </c>
      <c r="P1472" s="258">
        <f t="shared" si="430"/>
        <v>8.0350620891161434E-2</v>
      </c>
      <c r="Q1472" s="354">
        <v>229.99199999999999</v>
      </c>
      <c r="R1472" s="249">
        <f t="shared" si="431"/>
        <v>235.31159399999999</v>
      </c>
      <c r="S1472" s="355">
        <v>0.1</v>
      </c>
      <c r="T1472" s="355"/>
      <c r="U1472" s="315">
        <f t="shared" si="432"/>
        <v>258.84275339999999</v>
      </c>
      <c r="V1472" s="315">
        <f t="shared" si="433"/>
        <v>260</v>
      </c>
      <c r="W1472" s="316">
        <f t="shared" si="434"/>
        <v>0</v>
      </c>
    </row>
    <row r="1473" spans="1:23" x14ac:dyDescent="0.25">
      <c r="A1473" s="204" t="s">
        <v>17128</v>
      </c>
      <c r="B1473" s="351" t="s">
        <v>21187</v>
      </c>
      <c r="C1473" s="352"/>
      <c r="D1473" s="353" t="s">
        <v>5</v>
      </c>
      <c r="E1473" s="249">
        <f t="shared" si="423"/>
        <v>0</v>
      </c>
      <c r="F1473" s="336">
        <v>0</v>
      </c>
      <c r="G1473" s="258">
        <f t="shared" si="424"/>
        <v>0</v>
      </c>
      <c r="H1473" s="249">
        <f t="shared" si="425"/>
        <v>6.3704881337379185E-2</v>
      </c>
      <c r="I1473" s="336">
        <v>4.6566837107377655E-2</v>
      </c>
      <c r="J1473" s="258">
        <f t="shared" si="426"/>
        <v>4.6566837107377655E-2</v>
      </c>
      <c r="K1473" s="249">
        <f t="shared" si="427"/>
        <v>1.1943445876279215</v>
      </c>
      <c r="L1473" s="336">
        <v>0.87303906222825145</v>
      </c>
      <c r="M1473" s="258">
        <f t="shared" si="428"/>
        <v>0.87303906222825145</v>
      </c>
      <c r="N1473" s="251">
        <f t="shared" si="429"/>
        <v>0.10992214818998761</v>
      </c>
      <c r="O1473" s="336">
        <v>8.0350620891161434E-2</v>
      </c>
      <c r="P1473" s="258">
        <f t="shared" si="430"/>
        <v>8.0350620891161434E-2</v>
      </c>
      <c r="Q1473" s="354">
        <v>1.3371627906976744</v>
      </c>
      <c r="R1473" s="249">
        <f t="shared" si="431"/>
        <v>1.3680310988372093</v>
      </c>
      <c r="S1473" s="355">
        <v>0.1</v>
      </c>
      <c r="T1473" s="355"/>
      <c r="U1473" s="315">
        <f t="shared" si="432"/>
        <v>1.5048342087209303</v>
      </c>
      <c r="V1473" s="315">
        <f t="shared" si="433"/>
        <v>2</v>
      </c>
      <c r="W1473" s="316">
        <f t="shared" si="434"/>
        <v>0</v>
      </c>
    </row>
    <row r="1474" spans="1:23" x14ac:dyDescent="0.25">
      <c r="A1474" s="204" t="s">
        <v>17129</v>
      </c>
      <c r="B1474" s="351" t="s">
        <v>21188</v>
      </c>
      <c r="C1474" s="352"/>
      <c r="D1474" s="353" t="s">
        <v>14859</v>
      </c>
      <c r="E1474" s="249">
        <f t="shared" ref="E1474:E1537" si="435">R1474*G1474</f>
        <v>0</v>
      </c>
      <c r="F1474" s="336">
        <v>0</v>
      </c>
      <c r="G1474" s="258">
        <f t="shared" ref="G1474:G1537" si="436">F1474</f>
        <v>0</v>
      </c>
      <c r="H1474" s="249">
        <f t="shared" ref="H1474:H1537" si="437">R1474*J1474</f>
        <v>10.957716667275385</v>
      </c>
      <c r="I1474" s="336">
        <v>4.6566837107377655E-2</v>
      </c>
      <c r="J1474" s="258">
        <f t="shared" ref="J1474:J1537" si="438">I1474</f>
        <v>4.6566837107377655E-2</v>
      </c>
      <c r="K1474" s="249">
        <f t="shared" ref="K1474:K1537" si="439">R1474*M1474</f>
        <v>205.44644465193571</v>
      </c>
      <c r="L1474" s="336">
        <v>0.87308254200146096</v>
      </c>
      <c r="M1474" s="258">
        <f t="shared" ref="M1474:M1537" si="440">L1474</f>
        <v>0.87308254200146096</v>
      </c>
      <c r="N1474" s="251">
        <f t="shared" ref="N1474:N1537" si="441">P1474*R1474</f>
        <v>18.907432680788897</v>
      </c>
      <c r="O1474" s="336">
        <v>8.0350620891161434E-2</v>
      </c>
      <c r="P1474" s="258">
        <f t="shared" ref="P1474:P1537" si="442">O1474</f>
        <v>8.0350620891161434E-2</v>
      </c>
      <c r="Q1474" s="354">
        <v>229.99199999999999</v>
      </c>
      <c r="R1474" s="249">
        <f t="shared" ref="R1474:R1537" si="443">SUM(F1474*Q1474*1.0235,I1474*Q1474*1.0175,L1474*Q1474*1.0245,O1474*Q1474*1.0115)</f>
        <v>235.31159399999999</v>
      </c>
      <c r="S1474" s="355">
        <v>0.1</v>
      </c>
      <c r="T1474" s="355"/>
      <c r="U1474" s="315">
        <f t="shared" si="432"/>
        <v>258.84275339999999</v>
      </c>
      <c r="V1474" s="315">
        <f t="shared" si="433"/>
        <v>260</v>
      </c>
      <c r="W1474" s="316">
        <f t="shared" si="434"/>
        <v>0</v>
      </c>
    </row>
    <row r="1475" spans="1:23" x14ac:dyDescent="0.25">
      <c r="A1475" s="204" t="s">
        <v>17130</v>
      </c>
      <c r="B1475" s="351" t="s">
        <v>21189</v>
      </c>
      <c r="C1475" s="352"/>
      <c r="D1475" s="353" t="s">
        <v>5</v>
      </c>
      <c r="E1475" s="249">
        <f t="shared" si="435"/>
        <v>0</v>
      </c>
      <c r="F1475" s="336">
        <v>0</v>
      </c>
      <c r="G1475" s="258">
        <f t="shared" si="436"/>
        <v>0</v>
      </c>
      <c r="H1475" s="249">
        <f t="shared" si="437"/>
        <v>6.3704881337379185E-2</v>
      </c>
      <c r="I1475" s="336">
        <v>4.6566837107377655E-2</v>
      </c>
      <c r="J1475" s="258">
        <f t="shared" si="438"/>
        <v>4.6566837107377655E-2</v>
      </c>
      <c r="K1475" s="249">
        <f t="shared" si="439"/>
        <v>1.1943445876279215</v>
      </c>
      <c r="L1475" s="336">
        <v>0.87303906222825145</v>
      </c>
      <c r="M1475" s="258">
        <f t="shared" si="440"/>
        <v>0.87303906222825145</v>
      </c>
      <c r="N1475" s="251">
        <f t="shared" si="441"/>
        <v>0.10992214818998761</v>
      </c>
      <c r="O1475" s="336">
        <v>8.0350620891161434E-2</v>
      </c>
      <c r="P1475" s="258">
        <f t="shared" si="442"/>
        <v>8.0350620891161434E-2</v>
      </c>
      <c r="Q1475" s="354">
        <v>1.3371627906976744</v>
      </c>
      <c r="R1475" s="249">
        <f t="shared" si="443"/>
        <v>1.3680310988372093</v>
      </c>
      <c r="S1475" s="355">
        <v>0.1</v>
      </c>
      <c r="T1475" s="355"/>
      <c r="U1475" s="315">
        <f t="shared" si="432"/>
        <v>1.5048342087209303</v>
      </c>
      <c r="V1475" s="315">
        <f t="shared" si="433"/>
        <v>2</v>
      </c>
      <c r="W1475" s="316">
        <f t="shared" si="434"/>
        <v>0</v>
      </c>
    </row>
    <row r="1476" spans="1:23" x14ac:dyDescent="0.25">
      <c r="A1476" s="204" t="s">
        <v>17131</v>
      </c>
      <c r="B1476" s="351" t="s">
        <v>21190</v>
      </c>
      <c r="C1476" s="352"/>
      <c r="D1476" s="353" t="s">
        <v>14859</v>
      </c>
      <c r="E1476" s="249">
        <f t="shared" si="435"/>
        <v>0</v>
      </c>
      <c r="F1476" s="336">
        <v>0</v>
      </c>
      <c r="G1476" s="258">
        <f t="shared" si="436"/>
        <v>0</v>
      </c>
      <c r="H1476" s="249">
        <f t="shared" si="437"/>
        <v>10.958862037070443</v>
      </c>
      <c r="I1476" s="336">
        <v>4.2933164967980525E-2</v>
      </c>
      <c r="J1476" s="258">
        <f t="shared" si="438"/>
        <v>4.2933164967980525E-2</v>
      </c>
      <c r="K1476" s="249">
        <f t="shared" si="439"/>
        <v>225.38572770778836</v>
      </c>
      <c r="L1476" s="336">
        <v>0.88298607979315114</v>
      </c>
      <c r="M1476" s="258">
        <f t="shared" si="440"/>
        <v>0.88298607979315114</v>
      </c>
      <c r="N1476" s="251">
        <f t="shared" si="441"/>
        <v>18.909409005141157</v>
      </c>
      <c r="O1476" s="336">
        <v>7.4080755238868354E-2</v>
      </c>
      <c r="P1476" s="258">
        <f t="shared" si="442"/>
        <v>7.4080755238868354E-2</v>
      </c>
      <c r="Q1476" s="354">
        <v>249.45749999999998</v>
      </c>
      <c r="R1476" s="249">
        <f t="shared" si="443"/>
        <v>255.25399874999997</v>
      </c>
      <c r="S1476" s="355">
        <v>0.1</v>
      </c>
      <c r="T1476" s="355"/>
      <c r="U1476" s="315">
        <f t="shared" si="432"/>
        <v>280.77939862499994</v>
      </c>
      <c r="V1476" s="315">
        <f t="shared" si="433"/>
        <v>285</v>
      </c>
      <c r="W1476" s="316">
        <f t="shared" si="434"/>
        <v>0</v>
      </c>
    </row>
    <row r="1477" spans="1:23" x14ac:dyDescent="0.25">
      <c r="A1477" s="204" t="s">
        <v>17132</v>
      </c>
      <c r="B1477" s="351" t="s">
        <v>21191</v>
      </c>
      <c r="C1477" s="352"/>
      <c r="D1477" s="353" t="s">
        <v>5</v>
      </c>
      <c r="E1477" s="249">
        <f t="shared" si="435"/>
        <v>0</v>
      </c>
      <c r="F1477" s="336">
        <v>0</v>
      </c>
      <c r="G1477" s="258">
        <f t="shared" si="436"/>
        <v>0</v>
      </c>
      <c r="H1477" s="249">
        <f t="shared" si="437"/>
        <v>6.3711756899972952E-2</v>
      </c>
      <c r="I1477" s="336">
        <v>4.2933164967980525E-2</v>
      </c>
      <c r="J1477" s="258">
        <f t="shared" si="438"/>
        <v>4.2933164967980525E-2</v>
      </c>
      <c r="K1477" s="249">
        <f t="shared" si="439"/>
        <v>1.3102700555925109</v>
      </c>
      <c r="L1477" s="336">
        <v>0.88294599280438546</v>
      </c>
      <c r="M1477" s="258">
        <f t="shared" si="440"/>
        <v>0.88294599280438546</v>
      </c>
      <c r="N1477" s="251">
        <f t="shared" si="441"/>
        <v>0.10993401190583568</v>
      </c>
      <c r="O1477" s="336">
        <v>7.4080755238868354E-2</v>
      </c>
      <c r="P1477" s="258">
        <f t="shared" si="442"/>
        <v>7.4080755238868354E-2</v>
      </c>
      <c r="Q1477" s="354">
        <v>1.4503343023255812</v>
      </c>
      <c r="R1477" s="249">
        <f t="shared" si="443"/>
        <v>1.4839753125000001</v>
      </c>
      <c r="S1477" s="355">
        <v>0.1</v>
      </c>
      <c r="T1477" s="355"/>
      <c r="U1477" s="315">
        <f t="shared" si="432"/>
        <v>1.6323728437500002</v>
      </c>
      <c r="V1477" s="315">
        <f t="shared" si="433"/>
        <v>2</v>
      </c>
      <c r="W1477" s="316">
        <f t="shared" si="434"/>
        <v>0</v>
      </c>
    </row>
    <row r="1478" spans="1:23" ht="14.4" thickBot="1" x14ac:dyDescent="0.3">
      <c r="A1478" s="356" t="s">
        <v>17133</v>
      </c>
      <c r="B1478" s="357" t="s">
        <v>21192</v>
      </c>
      <c r="C1478" s="358"/>
      <c r="D1478" s="359" t="s">
        <v>14859</v>
      </c>
      <c r="E1478" s="266">
        <f t="shared" si="435"/>
        <v>0</v>
      </c>
      <c r="F1478" s="360">
        <v>0</v>
      </c>
      <c r="G1478" s="322">
        <f t="shared" si="436"/>
        <v>0</v>
      </c>
      <c r="H1478" s="266">
        <f t="shared" si="437"/>
        <v>10.959497656145238</v>
      </c>
      <c r="I1478" s="360">
        <v>4.0916670964636317E-2</v>
      </c>
      <c r="J1478" s="322">
        <f t="shared" si="438"/>
        <v>4.0916670964636317E-2</v>
      </c>
      <c r="K1478" s="266">
        <f t="shared" si="439"/>
        <v>237.97919833423157</v>
      </c>
      <c r="L1478" s="360">
        <v>0.88848201442971675</v>
      </c>
      <c r="M1478" s="322">
        <f t="shared" si="440"/>
        <v>0.88848201442971675</v>
      </c>
      <c r="N1478" s="270">
        <f t="shared" si="441"/>
        <v>18.910505759623156</v>
      </c>
      <c r="O1478" s="360">
        <v>7.0601314605646975E-2</v>
      </c>
      <c r="P1478" s="322">
        <f t="shared" si="442"/>
        <v>7.0601314605646975E-2</v>
      </c>
      <c r="Q1478" s="361">
        <v>261.75149999999996</v>
      </c>
      <c r="R1478" s="266">
        <f t="shared" si="443"/>
        <v>267.84920174999996</v>
      </c>
      <c r="S1478" s="362">
        <v>0.1</v>
      </c>
      <c r="T1478" s="362"/>
      <c r="U1478" s="324">
        <f t="shared" si="432"/>
        <v>294.63412192499993</v>
      </c>
      <c r="V1478" s="324">
        <f t="shared" si="433"/>
        <v>295</v>
      </c>
      <c r="W1478" s="325">
        <f t="shared" si="434"/>
        <v>0</v>
      </c>
    </row>
    <row r="1479" spans="1:23" x14ac:dyDescent="0.25">
      <c r="A1479" s="204" t="s">
        <v>17134</v>
      </c>
      <c r="B1479" s="351" t="s">
        <v>21193</v>
      </c>
      <c r="C1479" s="352"/>
      <c r="D1479" s="353" t="s">
        <v>5</v>
      </c>
      <c r="E1479" s="249">
        <f t="shared" si="435"/>
        <v>0</v>
      </c>
      <c r="F1479" s="336">
        <v>0</v>
      </c>
      <c r="G1479" s="258">
        <f t="shared" si="436"/>
        <v>0</v>
      </c>
      <c r="H1479" s="249">
        <f t="shared" si="437"/>
        <v>6.3715572470065152E-2</v>
      </c>
      <c r="I1479" s="336">
        <v>4.0916670964636317E-2</v>
      </c>
      <c r="J1479" s="258">
        <f t="shared" si="438"/>
        <v>4.0916670964636317E-2</v>
      </c>
      <c r="K1479" s="249">
        <f t="shared" si="439"/>
        <v>1.3834875771496127</v>
      </c>
      <c r="L1479" s="336">
        <v>0.88844381025514652</v>
      </c>
      <c r="M1479" s="258">
        <f t="shared" si="440"/>
        <v>0.88844381025514652</v>
      </c>
      <c r="N1479" s="251">
        <f t="shared" si="441"/>
        <v>0.10994059563462223</v>
      </c>
      <c r="O1479" s="336">
        <v>7.0601314605646975E-2</v>
      </c>
      <c r="P1479" s="258">
        <f t="shared" si="442"/>
        <v>7.0601314605646975E-2</v>
      </c>
      <c r="Q1479" s="354">
        <v>1.5218110465116277</v>
      </c>
      <c r="R1479" s="249">
        <f t="shared" si="443"/>
        <v>1.5572032369186046</v>
      </c>
      <c r="S1479" s="355">
        <v>0.1</v>
      </c>
      <c r="T1479" s="355"/>
      <c r="U1479" s="315">
        <f t="shared" si="432"/>
        <v>1.7129235606104651</v>
      </c>
      <c r="V1479" s="315">
        <f t="shared" si="433"/>
        <v>2</v>
      </c>
      <c r="W1479" s="316">
        <f t="shared" si="434"/>
        <v>0</v>
      </c>
    </row>
    <row r="1480" spans="1:23" x14ac:dyDescent="0.25">
      <c r="A1480" s="204" t="s">
        <v>17135</v>
      </c>
      <c r="B1480" s="351" t="s">
        <v>21194</v>
      </c>
      <c r="C1480" s="352"/>
      <c r="D1480" s="353" t="s">
        <v>14859</v>
      </c>
      <c r="E1480" s="249">
        <f t="shared" si="435"/>
        <v>0</v>
      </c>
      <c r="F1480" s="336">
        <v>0</v>
      </c>
      <c r="G1480" s="258">
        <f t="shared" si="436"/>
        <v>0</v>
      </c>
      <c r="H1480" s="249">
        <f t="shared" si="437"/>
        <v>10.960257743152368</v>
      </c>
      <c r="I1480" s="336">
        <v>3.8505303916863069E-2</v>
      </c>
      <c r="J1480" s="258">
        <f t="shared" si="438"/>
        <v>3.8505303916863069E-2</v>
      </c>
      <c r="K1480" s="249">
        <f t="shared" si="439"/>
        <v>254.77073072454553</v>
      </c>
      <c r="L1480" s="336">
        <v>0.8950541716775694</v>
      </c>
      <c r="M1480" s="258">
        <f t="shared" si="440"/>
        <v>0.8950541716775694</v>
      </c>
      <c r="N1480" s="251">
        <f t="shared" si="441"/>
        <v>18.91181728230212</v>
      </c>
      <c r="O1480" s="336">
        <v>6.6440524405567636E-2</v>
      </c>
      <c r="P1480" s="258">
        <f t="shared" si="442"/>
        <v>6.6440524405567636E-2</v>
      </c>
      <c r="Q1480" s="354">
        <v>278.14349999999996</v>
      </c>
      <c r="R1480" s="249">
        <f t="shared" si="443"/>
        <v>284.64280574999998</v>
      </c>
      <c r="S1480" s="355">
        <v>0.1</v>
      </c>
      <c r="T1480" s="355"/>
      <c r="U1480" s="315">
        <f t="shared" si="432"/>
        <v>313.10708632499995</v>
      </c>
      <c r="V1480" s="315">
        <f t="shared" si="433"/>
        <v>315</v>
      </c>
      <c r="W1480" s="316">
        <f t="shared" si="434"/>
        <v>0</v>
      </c>
    </row>
    <row r="1481" spans="1:23" x14ac:dyDescent="0.25">
      <c r="A1481" s="204" t="s">
        <v>17136</v>
      </c>
      <c r="B1481" s="351" t="s">
        <v>21195</v>
      </c>
      <c r="C1481" s="352"/>
      <c r="D1481" s="353" t="s">
        <v>5</v>
      </c>
      <c r="E1481" s="249">
        <f t="shared" si="435"/>
        <v>0</v>
      </c>
      <c r="F1481" s="336">
        <v>0</v>
      </c>
      <c r="G1481" s="258">
        <f t="shared" si="436"/>
        <v>0</v>
      </c>
      <c r="H1481" s="249">
        <f t="shared" si="437"/>
        <v>6.3720135211126377E-2</v>
      </c>
      <c r="I1481" s="336">
        <v>3.8505303916863069E-2</v>
      </c>
      <c r="J1481" s="258">
        <f t="shared" si="438"/>
        <v>3.8505303916863069E-2</v>
      </c>
      <c r="K1481" s="249">
        <f t="shared" si="439"/>
        <v>1.4811123697414597</v>
      </c>
      <c r="L1481" s="336">
        <v>0.8950182190128475</v>
      </c>
      <c r="M1481" s="258">
        <f t="shared" si="440"/>
        <v>0.8950182190128475</v>
      </c>
      <c r="N1481" s="251">
        <f t="shared" si="441"/>
        <v>0.10994846859959061</v>
      </c>
      <c r="O1481" s="336">
        <v>6.6440524405567636E-2</v>
      </c>
      <c r="P1481" s="258">
        <f t="shared" si="442"/>
        <v>6.6440524405567636E-2</v>
      </c>
      <c r="Q1481" s="354">
        <v>1.6171133720930231</v>
      </c>
      <c r="R1481" s="249">
        <f t="shared" si="443"/>
        <v>1.6548404694767438</v>
      </c>
      <c r="S1481" s="355">
        <v>0.1</v>
      </c>
      <c r="T1481" s="355"/>
      <c r="U1481" s="315">
        <f t="shared" si="432"/>
        <v>1.8203245164244182</v>
      </c>
      <c r="V1481" s="315">
        <f t="shared" si="433"/>
        <v>2</v>
      </c>
      <c r="W1481" s="316">
        <f t="shared" si="434"/>
        <v>0</v>
      </c>
    </row>
    <row r="1482" spans="1:23" x14ac:dyDescent="0.25">
      <c r="A1482" s="204" t="s">
        <v>17137</v>
      </c>
      <c r="B1482" s="351" t="s">
        <v>21196</v>
      </c>
      <c r="C1482" s="352"/>
      <c r="D1482" s="353" t="s">
        <v>14859</v>
      </c>
      <c r="E1482" s="249">
        <f t="shared" si="435"/>
        <v>0</v>
      </c>
      <c r="F1482" s="336">
        <v>0</v>
      </c>
      <c r="G1482" s="258">
        <f t="shared" si="436"/>
        <v>0</v>
      </c>
      <c r="H1482" s="249">
        <f t="shared" si="437"/>
        <v>10.960771504067141</v>
      </c>
      <c r="I1482" s="336">
        <v>3.6875403486120083E-2</v>
      </c>
      <c r="J1482" s="258">
        <f t="shared" si="438"/>
        <v>3.6875403486120083E-2</v>
      </c>
      <c r="K1482" s="249">
        <f t="shared" si="439"/>
        <v>267.36453347420917</v>
      </c>
      <c r="L1482" s="336">
        <v>0.89949644932214334</v>
      </c>
      <c r="M1482" s="258">
        <f t="shared" si="440"/>
        <v>0.89949644932214334</v>
      </c>
      <c r="N1482" s="251">
        <f t="shared" si="441"/>
        <v>18.912703771723695</v>
      </c>
      <c r="O1482" s="336">
        <v>6.3628147191736609E-2</v>
      </c>
      <c r="P1482" s="258">
        <f t="shared" si="442"/>
        <v>6.3628147191736609E-2</v>
      </c>
      <c r="Q1482" s="354">
        <v>290.4375</v>
      </c>
      <c r="R1482" s="249">
        <f t="shared" si="443"/>
        <v>297.23800875000001</v>
      </c>
      <c r="S1482" s="355">
        <v>0.1</v>
      </c>
      <c r="T1482" s="355"/>
      <c r="U1482" s="315">
        <f t="shared" si="432"/>
        <v>326.961809625</v>
      </c>
      <c r="V1482" s="315">
        <f t="shared" si="433"/>
        <v>330</v>
      </c>
      <c r="W1482" s="316">
        <f t="shared" si="434"/>
        <v>0</v>
      </c>
    </row>
    <row r="1483" spans="1:23" x14ac:dyDescent="0.25">
      <c r="A1483" s="204" t="s">
        <v>17138</v>
      </c>
      <c r="B1483" s="351" t="s">
        <v>21197</v>
      </c>
      <c r="C1483" s="352"/>
      <c r="D1483" s="353" t="s">
        <v>5</v>
      </c>
      <c r="E1483" s="249">
        <f t="shared" si="435"/>
        <v>0</v>
      </c>
      <c r="F1483" s="336">
        <v>0</v>
      </c>
      <c r="G1483" s="258">
        <f t="shared" si="436"/>
        <v>0</v>
      </c>
      <c r="H1483" s="249">
        <f t="shared" si="437"/>
        <v>6.3723219276502471E-2</v>
      </c>
      <c r="I1483" s="336">
        <v>3.6875403486120083E-2</v>
      </c>
      <c r="J1483" s="258">
        <f t="shared" si="438"/>
        <v>3.6875403486120083E-2</v>
      </c>
      <c r="K1483" s="249">
        <f t="shared" si="439"/>
        <v>1.5543318856905053</v>
      </c>
      <c r="L1483" s="336">
        <v>0.89946201850656327</v>
      </c>
      <c r="M1483" s="258">
        <f t="shared" si="440"/>
        <v>0.89946201850656327</v>
      </c>
      <c r="N1483" s="251">
        <f t="shared" si="441"/>
        <v>0.10995379012416112</v>
      </c>
      <c r="O1483" s="336">
        <v>6.3628147191736609E-2</v>
      </c>
      <c r="P1483" s="258">
        <f t="shared" si="442"/>
        <v>6.3628147191736609E-2</v>
      </c>
      <c r="Q1483" s="354">
        <v>1.6885901162790697</v>
      </c>
      <c r="R1483" s="249">
        <f t="shared" si="443"/>
        <v>1.7280683938953487</v>
      </c>
      <c r="S1483" s="355">
        <v>0.1</v>
      </c>
      <c r="T1483" s="355"/>
      <c r="U1483" s="315">
        <f t="shared" si="432"/>
        <v>1.9008752332848835</v>
      </c>
      <c r="V1483" s="315">
        <f t="shared" si="433"/>
        <v>2</v>
      </c>
      <c r="W1483" s="316">
        <f t="shared" si="434"/>
        <v>0</v>
      </c>
    </row>
    <row r="1484" spans="1:23" x14ac:dyDescent="0.25">
      <c r="A1484" s="204" t="s">
        <v>17139</v>
      </c>
      <c r="B1484" s="351" t="s">
        <v>21198</v>
      </c>
      <c r="C1484" s="352"/>
      <c r="D1484" s="353" t="s">
        <v>14859</v>
      </c>
      <c r="E1484" s="249">
        <f t="shared" si="435"/>
        <v>0</v>
      </c>
      <c r="F1484" s="336">
        <v>0</v>
      </c>
      <c r="G1484" s="258">
        <f t="shared" si="436"/>
        <v>0</v>
      </c>
      <c r="H1484" s="249">
        <f t="shared" si="437"/>
        <v>10.960893219487515</v>
      </c>
      <c r="I1484" s="336">
        <v>3.6489262753355074E-2</v>
      </c>
      <c r="J1484" s="258">
        <f t="shared" si="438"/>
        <v>3.6489262753355074E-2</v>
      </c>
      <c r="K1484" s="249">
        <f t="shared" si="439"/>
        <v>270.51300249002418</v>
      </c>
      <c r="L1484" s="336">
        <v>0.90054887210360091</v>
      </c>
      <c r="M1484" s="258">
        <f t="shared" si="440"/>
        <v>0.90054887210360091</v>
      </c>
      <c r="N1484" s="251">
        <f t="shared" si="441"/>
        <v>18.912913790488261</v>
      </c>
      <c r="O1484" s="336">
        <v>6.2961865143044055E-2</v>
      </c>
      <c r="P1484" s="258">
        <f t="shared" si="442"/>
        <v>6.2961865143044055E-2</v>
      </c>
      <c r="Q1484" s="354">
        <v>293.51099999999997</v>
      </c>
      <c r="R1484" s="249">
        <f t="shared" si="443"/>
        <v>300.38680949999997</v>
      </c>
      <c r="S1484" s="355">
        <v>0.1</v>
      </c>
      <c r="T1484" s="355"/>
      <c r="U1484" s="315">
        <f t="shared" si="432"/>
        <v>330.42549044999998</v>
      </c>
      <c r="V1484" s="315">
        <f t="shared" si="433"/>
        <v>335</v>
      </c>
      <c r="W1484" s="316">
        <f t="shared" si="434"/>
        <v>0</v>
      </c>
    </row>
    <row r="1485" spans="1:23" x14ac:dyDescent="0.25">
      <c r="A1485" s="204" t="s">
        <v>17140</v>
      </c>
      <c r="B1485" s="351" t="s">
        <v>21199</v>
      </c>
      <c r="C1485" s="352"/>
      <c r="D1485" s="353" t="s">
        <v>5</v>
      </c>
      <c r="E1485" s="249">
        <f t="shared" si="435"/>
        <v>0</v>
      </c>
      <c r="F1485" s="336">
        <v>0</v>
      </c>
      <c r="G1485" s="258">
        <f t="shared" si="436"/>
        <v>0</v>
      </c>
      <c r="H1485" s="249">
        <f t="shared" si="437"/>
        <v>6.3723949924364004E-2</v>
      </c>
      <c r="I1485" s="336">
        <v>3.6489262753355081E-2</v>
      </c>
      <c r="J1485" s="258">
        <f t="shared" si="438"/>
        <v>3.6489262753355081E-2</v>
      </c>
      <c r="K1485" s="249">
        <f t="shared" si="439"/>
        <v>1.5726368747393618</v>
      </c>
      <c r="L1485" s="336">
        <v>0.9005148018302549</v>
      </c>
      <c r="M1485" s="258">
        <f t="shared" si="440"/>
        <v>0.9005148018302549</v>
      </c>
      <c r="N1485" s="251">
        <f t="shared" si="441"/>
        <v>0.10995505084988297</v>
      </c>
      <c r="O1485" s="336">
        <v>6.2961865143044055E-2</v>
      </c>
      <c r="P1485" s="258">
        <f t="shared" si="442"/>
        <v>6.2961865143044055E-2</v>
      </c>
      <c r="Q1485" s="354">
        <v>1.7064593023255812</v>
      </c>
      <c r="R1485" s="249">
        <f t="shared" si="443"/>
        <v>1.7463753749999997</v>
      </c>
      <c r="S1485" s="355">
        <v>0.1</v>
      </c>
      <c r="T1485" s="355"/>
      <c r="U1485" s="315">
        <f t="shared" si="432"/>
        <v>1.9210129124999997</v>
      </c>
      <c r="V1485" s="315">
        <f t="shared" si="433"/>
        <v>2</v>
      </c>
      <c r="W1485" s="316">
        <f t="shared" si="434"/>
        <v>0</v>
      </c>
    </row>
    <row r="1486" spans="1:23" x14ac:dyDescent="0.25">
      <c r="A1486" s="204" t="s">
        <v>17141</v>
      </c>
      <c r="B1486" s="351" t="s">
        <v>21200</v>
      </c>
      <c r="C1486" s="352"/>
      <c r="D1486" s="353" t="s">
        <v>14859</v>
      </c>
      <c r="E1486" s="249">
        <f t="shared" si="435"/>
        <v>0</v>
      </c>
      <c r="F1486" s="336">
        <v>0</v>
      </c>
      <c r="G1486" s="258">
        <f t="shared" si="436"/>
        <v>0</v>
      </c>
      <c r="H1486" s="249">
        <f t="shared" si="437"/>
        <v>10.96204884360778</v>
      </c>
      <c r="I1486" s="336">
        <v>3.2823058888429187E-2</v>
      </c>
      <c r="J1486" s="258">
        <f t="shared" si="438"/>
        <v>3.2823058888429187E-2</v>
      </c>
      <c r="K1486" s="249">
        <f t="shared" si="439"/>
        <v>304.09706084781408</v>
      </c>
      <c r="L1486" s="336">
        <v>0.91054107479428126</v>
      </c>
      <c r="M1486" s="258">
        <f t="shared" si="440"/>
        <v>0.91054107479428126</v>
      </c>
      <c r="N1486" s="251">
        <f t="shared" si="441"/>
        <v>18.914907808578128</v>
      </c>
      <c r="O1486" s="336">
        <v>5.663586631728957E-2</v>
      </c>
      <c r="P1486" s="258">
        <f t="shared" si="442"/>
        <v>5.663586631728957E-2</v>
      </c>
      <c r="Q1486" s="354">
        <v>326.29500000000002</v>
      </c>
      <c r="R1486" s="249">
        <f t="shared" si="443"/>
        <v>333.9740175</v>
      </c>
      <c r="S1486" s="355">
        <v>0.1</v>
      </c>
      <c r="T1486" s="355"/>
      <c r="U1486" s="315">
        <f t="shared" si="432"/>
        <v>367.37141925000003</v>
      </c>
      <c r="V1486" s="315">
        <f t="shared" si="433"/>
        <v>370</v>
      </c>
      <c r="W1486" s="316">
        <f t="shared" si="434"/>
        <v>0</v>
      </c>
    </row>
    <row r="1487" spans="1:23" x14ac:dyDescent="0.25">
      <c r="A1487" s="204" t="s">
        <v>17142</v>
      </c>
      <c r="B1487" s="351" t="s">
        <v>21201</v>
      </c>
      <c r="C1487" s="352"/>
      <c r="D1487" s="353" t="s">
        <v>5</v>
      </c>
      <c r="E1487" s="249">
        <f t="shared" si="435"/>
        <v>0</v>
      </c>
      <c r="F1487" s="336">
        <v>0</v>
      </c>
      <c r="G1487" s="258">
        <f t="shared" si="436"/>
        <v>0</v>
      </c>
      <c r="H1487" s="249">
        <f t="shared" si="437"/>
        <v>6.3730887042845741E-2</v>
      </c>
      <c r="I1487" s="336">
        <v>3.2823058888429187E-2</v>
      </c>
      <c r="J1487" s="258">
        <f t="shared" si="438"/>
        <v>3.2823058888429187E-2</v>
      </c>
      <c r="K1487" s="249">
        <f t="shared" si="439"/>
        <v>1.7678924263299955</v>
      </c>
      <c r="L1487" s="336">
        <v>0.91051042768047308</v>
      </c>
      <c r="M1487" s="258">
        <f t="shared" si="440"/>
        <v>0.91051042768047308</v>
      </c>
      <c r="N1487" s="251">
        <f t="shared" si="441"/>
        <v>0.10996702077981224</v>
      </c>
      <c r="O1487" s="336">
        <v>5.6635866317289563E-2</v>
      </c>
      <c r="P1487" s="258">
        <f t="shared" si="442"/>
        <v>5.6635866317289563E-2</v>
      </c>
      <c r="Q1487" s="354">
        <v>1.8970639534883722</v>
      </c>
      <c r="R1487" s="249">
        <f t="shared" si="443"/>
        <v>1.9416498401162792</v>
      </c>
      <c r="S1487" s="355">
        <v>0.1</v>
      </c>
      <c r="T1487" s="355"/>
      <c r="U1487" s="315">
        <f t="shared" si="432"/>
        <v>2.1358148241279071</v>
      </c>
      <c r="V1487" s="315">
        <f t="shared" si="433"/>
        <v>3</v>
      </c>
      <c r="W1487" s="316">
        <f t="shared" si="434"/>
        <v>0</v>
      </c>
    </row>
    <row r="1488" spans="1:23" x14ac:dyDescent="0.25">
      <c r="A1488" s="204" t="s">
        <v>17143</v>
      </c>
      <c r="B1488" s="351" t="s">
        <v>21202</v>
      </c>
      <c r="C1488" s="352"/>
      <c r="D1488" s="353" t="s">
        <v>14859</v>
      </c>
      <c r="E1488" s="249">
        <f t="shared" si="435"/>
        <v>0</v>
      </c>
      <c r="F1488" s="336">
        <v>0</v>
      </c>
      <c r="G1488" s="258">
        <f t="shared" si="436"/>
        <v>0</v>
      </c>
      <c r="H1488" s="249">
        <f t="shared" si="437"/>
        <v>10.96204884360778</v>
      </c>
      <c r="I1488" s="336">
        <v>3.2823058888429187E-2</v>
      </c>
      <c r="J1488" s="258">
        <f t="shared" si="438"/>
        <v>3.2823058888429187E-2</v>
      </c>
      <c r="K1488" s="249">
        <f t="shared" si="439"/>
        <v>304.09706084781408</v>
      </c>
      <c r="L1488" s="336">
        <v>0.91054107479428126</v>
      </c>
      <c r="M1488" s="258">
        <f t="shared" si="440"/>
        <v>0.91054107479428126</v>
      </c>
      <c r="N1488" s="251">
        <f t="shared" si="441"/>
        <v>18.914907808578128</v>
      </c>
      <c r="O1488" s="336">
        <v>5.663586631728957E-2</v>
      </c>
      <c r="P1488" s="258">
        <f t="shared" si="442"/>
        <v>5.663586631728957E-2</v>
      </c>
      <c r="Q1488" s="354">
        <v>326.29500000000002</v>
      </c>
      <c r="R1488" s="249">
        <f t="shared" si="443"/>
        <v>333.9740175</v>
      </c>
      <c r="S1488" s="355">
        <v>0.1</v>
      </c>
      <c r="T1488" s="355"/>
      <c r="U1488" s="315">
        <f t="shared" si="432"/>
        <v>367.37141925000003</v>
      </c>
      <c r="V1488" s="315">
        <f t="shared" si="433"/>
        <v>370</v>
      </c>
      <c r="W1488" s="316">
        <f t="shared" si="434"/>
        <v>0</v>
      </c>
    </row>
    <row r="1489" spans="1:23" x14ac:dyDescent="0.25">
      <c r="A1489" s="204" t="s">
        <v>17144</v>
      </c>
      <c r="B1489" s="351" t="s">
        <v>21203</v>
      </c>
      <c r="C1489" s="352"/>
      <c r="D1489" s="353" t="s">
        <v>5</v>
      </c>
      <c r="E1489" s="249">
        <f t="shared" si="435"/>
        <v>0</v>
      </c>
      <c r="F1489" s="336">
        <v>0</v>
      </c>
      <c r="G1489" s="258">
        <f t="shared" si="436"/>
        <v>0</v>
      </c>
      <c r="H1489" s="249">
        <f t="shared" si="437"/>
        <v>6.3730887042845741E-2</v>
      </c>
      <c r="I1489" s="336">
        <v>3.2823058888429187E-2</v>
      </c>
      <c r="J1489" s="258">
        <f t="shared" si="438"/>
        <v>3.2823058888429187E-2</v>
      </c>
      <c r="K1489" s="249">
        <f t="shared" si="439"/>
        <v>1.7678924263299955</v>
      </c>
      <c r="L1489" s="336">
        <v>0.91051042768047308</v>
      </c>
      <c r="M1489" s="258">
        <f t="shared" si="440"/>
        <v>0.91051042768047308</v>
      </c>
      <c r="N1489" s="251">
        <f t="shared" si="441"/>
        <v>0.10996702077981224</v>
      </c>
      <c r="O1489" s="336">
        <v>5.6635866317289563E-2</v>
      </c>
      <c r="P1489" s="258">
        <f t="shared" si="442"/>
        <v>5.6635866317289563E-2</v>
      </c>
      <c r="Q1489" s="354">
        <v>1.8970639534883722</v>
      </c>
      <c r="R1489" s="249">
        <f t="shared" si="443"/>
        <v>1.9416498401162792</v>
      </c>
      <c r="S1489" s="355">
        <v>0.1</v>
      </c>
      <c r="T1489" s="355"/>
      <c r="U1489" s="315">
        <f t="shared" si="432"/>
        <v>2.1358148241279071</v>
      </c>
      <c r="V1489" s="315">
        <f t="shared" si="433"/>
        <v>3</v>
      </c>
      <c r="W1489" s="316">
        <f t="shared" si="434"/>
        <v>0</v>
      </c>
    </row>
    <row r="1490" spans="1:23" x14ac:dyDescent="0.25">
      <c r="A1490" s="204" t="s">
        <v>17145</v>
      </c>
      <c r="B1490" s="351" t="s">
        <v>21204</v>
      </c>
      <c r="C1490" s="352"/>
      <c r="D1490" s="353" t="s">
        <v>14859</v>
      </c>
      <c r="E1490" s="249">
        <f t="shared" si="435"/>
        <v>0</v>
      </c>
      <c r="F1490" s="336">
        <v>0</v>
      </c>
      <c r="G1490" s="258">
        <f t="shared" si="436"/>
        <v>0</v>
      </c>
      <c r="H1490" s="249">
        <f t="shared" si="437"/>
        <v>10.962363802816903</v>
      </c>
      <c r="I1490" s="336">
        <v>3.1823854519522202E-2</v>
      </c>
      <c r="J1490" s="258">
        <f t="shared" si="438"/>
        <v>3.1823854519522202E-2</v>
      </c>
      <c r="K1490" s="249">
        <f t="shared" si="439"/>
        <v>314.59220492957746</v>
      </c>
      <c r="L1490" s="336">
        <v>0.91326439650561597</v>
      </c>
      <c r="M1490" s="258">
        <f t="shared" si="440"/>
        <v>0.91326439650561597</v>
      </c>
      <c r="N1490" s="251">
        <f t="shared" si="441"/>
        <v>18.915451267605633</v>
      </c>
      <c r="O1490" s="336">
        <v>5.4911748974861833E-2</v>
      </c>
      <c r="P1490" s="258">
        <f t="shared" si="442"/>
        <v>5.4911748974861833E-2</v>
      </c>
      <c r="Q1490" s="354">
        <v>336.53999999999996</v>
      </c>
      <c r="R1490" s="249">
        <f t="shared" si="443"/>
        <v>344.47001999999998</v>
      </c>
      <c r="S1490" s="355">
        <v>0.1</v>
      </c>
      <c r="T1490" s="355"/>
      <c r="U1490" s="315">
        <f t="shared" si="432"/>
        <v>378.91702199999997</v>
      </c>
      <c r="V1490" s="315">
        <f t="shared" si="433"/>
        <v>380</v>
      </c>
      <c r="W1490" s="316">
        <f t="shared" si="434"/>
        <v>0</v>
      </c>
    </row>
    <row r="1491" spans="1:23" x14ac:dyDescent="0.25">
      <c r="A1491" s="204" t="s">
        <v>17146</v>
      </c>
      <c r="B1491" s="351" t="s">
        <v>21205</v>
      </c>
      <c r="C1491" s="352"/>
      <c r="D1491" s="353" t="s">
        <v>5</v>
      </c>
      <c r="E1491" s="249">
        <f t="shared" si="435"/>
        <v>0</v>
      </c>
      <c r="F1491" s="336">
        <v>0</v>
      </c>
      <c r="G1491" s="258">
        <f t="shared" si="436"/>
        <v>0</v>
      </c>
      <c r="H1491" s="249">
        <f t="shared" si="437"/>
        <v>6.3732777717600858E-2</v>
      </c>
      <c r="I1491" s="336">
        <v>3.1823854519522202E-2</v>
      </c>
      <c r="J1491" s="258">
        <f t="shared" si="438"/>
        <v>3.1823854519522202E-2</v>
      </c>
      <c r="K1491" s="249">
        <f t="shared" si="439"/>
        <v>1.828910541897987</v>
      </c>
      <c r="L1491" s="336">
        <v>0.91323468235573757</v>
      </c>
      <c r="M1491" s="258">
        <f t="shared" si="440"/>
        <v>0.91323468235573757</v>
      </c>
      <c r="N1491" s="251">
        <f t="shared" si="441"/>
        <v>0.10997028312056618</v>
      </c>
      <c r="O1491" s="336">
        <v>5.4911748974861833E-2</v>
      </c>
      <c r="P1491" s="258">
        <f t="shared" si="442"/>
        <v>5.4911748974861833E-2</v>
      </c>
      <c r="Q1491" s="354">
        <v>1.956627906976744</v>
      </c>
      <c r="R1491" s="249">
        <f t="shared" si="443"/>
        <v>2.0026731104651159</v>
      </c>
      <c r="S1491" s="355">
        <v>0.1</v>
      </c>
      <c r="T1491" s="355"/>
      <c r="U1491" s="315">
        <f t="shared" si="432"/>
        <v>2.2029404215116273</v>
      </c>
      <c r="V1491" s="315">
        <f t="shared" si="433"/>
        <v>3</v>
      </c>
      <c r="W1491" s="316">
        <f t="shared" si="434"/>
        <v>0</v>
      </c>
    </row>
    <row r="1492" spans="1:23" x14ac:dyDescent="0.25">
      <c r="A1492" s="204" t="s">
        <v>17147</v>
      </c>
      <c r="B1492" s="351" t="s">
        <v>21206</v>
      </c>
      <c r="C1492" s="352"/>
      <c r="D1492" s="353" t="s">
        <v>14859</v>
      </c>
      <c r="E1492" s="249">
        <f t="shared" si="435"/>
        <v>0</v>
      </c>
      <c r="F1492" s="336">
        <v>0</v>
      </c>
      <c r="G1492" s="258">
        <f t="shared" si="436"/>
        <v>0</v>
      </c>
      <c r="H1492" s="249">
        <f t="shared" si="437"/>
        <v>10.96280185663136</v>
      </c>
      <c r="I1492" s="336">
        <v>3.0434133969864247E-2</v>
      </c>
      <c r="J1492" s="258">
        <f t="shared" si="438"/>
        <v>3.0434133969864247E-2</v>
      </c>
      <c r="K1492" s="249">
        <f t="shared" si="439"/>
        <v>330.33501476820078</v>
      </c>
      <c r="L1492" s="336">
        <v>0.91705206623899749</v>
      </c>
      <c r="M1492" s="258">
        <f t="shared" si="440"/>
        <v>0.91705206623899749</v>
      </c>
      <c r="N1492" s="251">
        <f t="shared" si="441"/>
        <v>18.916207125167833</v>
      </c>
      <c r="O1492" s="336">
        <v>5.2513799791138301E-2</v>
      </c>
      <c r="P1492" s="258">
        <f t="shared" si="442"/>
        <v>5.2513799791138301E-2</v>
      </c>
      <c r="Q1492" s="354">
        <v>351.90749999999997</v>
      </c>
      <c r="R1492" s="249">
        <f t="shared" si="443"/>
        <v>360.21402374999997</v>
      </c>
      <c r="S1492" s="355">
        <v>0.1</v>
      </c>
      <c r="T1492" s="355"/>
      <c r="U1492" s="315">
        <f t="shared" si="432"/>
        <v>396.23542612499995</v>
      </c>
      <c r="V1492" s="315">
        <f t="shared" si="433"/>
        <v>400</v>
      </c>
      <c r="W1492" s="316">
        <f t="shared" si="434"/>
        <v>0</v>
      </c>
    </row>
    <row r="1493" spans="1:23" x14ac:dyDescent="0.25">
      <c r="A1493" s="204" t="s">
        <v>17148</v>
      </c>
      <c r="B1493" s="351" t="s">
        <v>21207</v>
      </c>
      <c r="C1493" s="352"/>
      <c r="D1493" s="353" t="s">
        <v>5</v>
      </c>
      <c r="E1493" s="249">
        <f t="shared" si="435"/>
        <v>0</v>
      </c>
      <c r="F1493" s="336">
        <v>0</v>
      </c>
      <c r="G1493" s="258">
        <f t="shared" si="436"/>
        <v>0</v>
      </c>
      <c r="H1493" s="249">
        <f t="shared" si="437"/>
        <v>6.3735407319353718E-2</v>
      </c>
      <c r="I1493" s="336">
        <v>3.0434133969864243E-2</v>
      </c>
      <c r="J1493" s="258">
        <f t="shared" si="438"/>
        <v>3.0434133969864243E-2</v>
      </c>
      <c r="K1493" s="249">
        <f t="shared" si="439"/>
        <v>1.9204382780121694</v>
      </c>
      <c r="L1493" s="336">
        <v>0.91702364968066885</v>
      </c>
      <c r="M1493" s="258">
        <f t="shared" si="440"/>
        <v>0.91702364968066885</v>
      </c>
      <c r="N1493" s="251">
        <f t="shared" si="441"/>
        <v>0.10997482047261031</v>
      </c>
      <c r="O1493" s="336">
        <v>5.2513799791138294E-2</v>
      </c>
      <c r="P1493" s="258">
        <f t="shared" si="442"/>
        <v>5.2513799791138294E-2</v>
      </c>
      <c r="Q1493" s="354">
        <v>2.0459738372093024</v>
      </c>
      <c r="R1493" s="249">
        <f t="shared" si="443"/>
        <v>2.094208015988372</v>
      </c>
      <c r="S1493" s="355">
        <v>0.1</v>
      </c>
      <c r="T1493" s="355"/>
      <c r="U1493" s="315">
        <f t="shared" si="432"/>
        <v>2.3036288175872093</v>
      </c>
      <c r="V1493" s="315">
        <f t="shared" si="433"/>
        <v>3</v>
      </c>
      <c r="W1493" s="316">
        <f t="shared" si="434"/>
        <v>0</v>
      </c>
    </row>
    <row r="1494" spans="1:23" x14ac:dyDescent="0.25">
      <c r="A1494" s="204" t="s">
        <v>17149</v>
      </c>
      <c r="B1494" s="351" t="s">
        <v>21208</v>
      </c>
      <c r="C1494" s="352"/>
      <c r="D1494" s="353" t="s">
        <v>14859</v>
      </c>
      <c r="E1494" s="249">
        <f t="shared" si="435"/>
        <v>0</v>
      </c>
      <c r="F1494" s="336">
        <v>0</v>
      </c>
      <c r="G1494" s="258">
        <f t="shared" si="436"/>
        <v>0</v>
      </c>
      <c r="H1494" s="249">
        <f t="shared" si="437"/>
        <v>10.963203252399428</v>
      </c>
      <c r="I1494" s="336">
        <v>2.916071063916684E-2</v>
      </c>
      <c r="J1494" s="258">
        <f t="shared" si="438"/>
        <v>2.916071063916684E-2</v>
      </c>
      <c r="K1494" s="249">
        <f t="shared" si="439"/>
        <v>346.07792451797019</v>
      </c>
      <c r="L1494" s="336">
        <v>0.92052276904227082</v>
      </c>
      <c r="M1494" s="258">
        <f t="shared" si="440"/>
        <v>0.92052276904227082</v>
      </c>
      <c r="N1494" s="251">
        <f t="shared" si="441"/>
        <v>18.916899729630384</v>
      </c>
      <c r="O1494" s="336">
        <v>5.0316520318562388E-2</v>
      </c>
      <c r="P1494" s="258">
        <f t="shared" si="442"/>
        <v>5.0316520318562388E-2</v>
      </c>
      <c r="Q1494" s="354">
        <v>367.27499999999998</v>
      </c>
      <c r="R1494" s="249">
        <f t="shared" si="443"/>
        <v>375.95802749999996</v>
      </c>
      <c r="S1494" s="355">
        <v>0.1</v>
      </c>
      <c r="T1494" s="355"/>
      <c r="U1494" s="315">
        <f t="shared" si="432"/>
        <v>413.55383024999998</v>
      </c>
      <c r="V1494" s="315">
        <f t="shared" si="433"/>
        <v>415</v>
      </c>
      <c r="W1494" s="316">
        <f t="shared" si="434"/>
        <v>0</v>
      </c>
    </row>
    <row r="1495" spans="1:23" x14ac:dyDescent="0.25">
      <c r="A1495" s="204" t="s">
        <v>17150</v>
      </c>
      <c r="B1495" s="351" t="s">
        <v>21209</v>
      </c>
      <c r="C1495" s="352"/>
      <c r="D1495" s="353" t="s">
        <v>5</v>
      </c>
      <c r="E1495" s="249">
        <f t="shared" si="435"/>
        <v>0</v>
      </c>
      <c r="F1495" s="336">
        <v>0</v>
      </c>
      <c r="G1495" s="258">
        <f t="shared" si="436"/>
        <v>0</v>
      </c>
      <c r="H1495" s="249">
        <f t="shared" si="437"/>
        <v>6.3737816865807734E-2</v>
      </c>
      <c r="I1495" s="336">
        <v>2.9160710639166844E-2</v>
      </c>
      <c r="J1495" s="258">
        <f t="shared" si="438"/>
        <v>2.9160710639166844E-2</v>
      </c>
      <c r="K1495" s="249">
        <f t="shared" si="439"/>
        <v>2.0119666140903774</v>
      </c>
      <c r="L1495" s="336">
        <v>0.92049554148798574</v>
      </c>
      <c r="M1495" s="258">
        <f t="shared" si="440"/>
        <v>0.92049554148798574</v>
      </c>
      <c r="N1495" s="251">
        <f t="shared" si="441"/>
        <v>0.10997897812139371</v>
      </c>
      <c r="O1495" s="336">
        <v>5.0316520318562388E-2</v>
      </c>
      <c r="P1495" s="258">
        <f t="shared" si="442"/>
        <v>5.0316520318562388E-2</v>
      </c>
      <c r="Q1495" s="354">
        <v>2.1353197674418603</v>
      </c>
      <c r="R1495" s="249">
        <f t="shared" si="443"/>
        <v>2.1857429215116273</v>
      </c>
      <c r="S1495" s="355">
        <v>0.1</v>
      </c>
      <c r="T1495" s="355"/>
      <c r="U1495" s="315">
        <f t="shared" si="432"/>
        <v>2.4043172136627899</v>
      </c>
      <c r="V1495" s="315">
        <f t="shared" si="433"/>
        <v>3</v>
      </c>
      <c r="W1495" s="316">
        <f t="shared" si="434"/>
        <v>0</v>
      </c>
    </row>
    <row r="1496" spans="1:23" x14ac:dyDescent="0.25">
      <c r="A1496" s="204" t="s">
        <v>17151</v>
      </c>
      <c r="B1496" s="351" t="s">
        <v>21210</v>
      </c>
      <c r="C1496" s="352"/>
      <c r="D1496" s="353" t="s">
        <v>14859</v>
      </c>
      <c r="E1496" s="249">
        <f t="shared" si="435"/>
        <v>0</v>
      </c>
      <c r="F1496" s="336">
        <v>0</v>
      </c>
      <c r="G1496" s="258">
        <f t="shared" si="436"/>
        <v>0</v>
      </c>
      <c r="H1496" s="249">
        <f t="shared" si="437"/>
        <v>10.964558541971337</v>
      </c>
      <c r="I1496" s="336">
        <v>2.4861070488446917E-2</v>
      </c>
      <c r="J1496" s="258">
        <f t="shared" si="438"/>
        <v>2.4861070488446917E-2</v>
      </c>
      <c r="K1496" s="249">
        <f t="shared" si="439"/>
        <v>411.1494461895291</v>
      </c>
      <c r="L1496" s="336">
        <v>0.93224139611972312</v>
      </c>
      <c r="M1496" s="258">
        <f t="shared" si="440"/>
        <v>0.93224139611972312</v>
      </c>
      <c r="N1496" s="251">
        <f t="shared" si="441"/>
        <v>18.919238268499562</v>
      </c>
      <c r="O1496" s="336">
        <v>4.2897533391829973E-2</v>
      </c>
      <c r="P1496" s="258">
        <f t="shared" si="442"/>
        <v>4.2897533391829973E-2</v>
      </c>
      <c r="Q1496" s="354">
        <v>430.79399999999998</v>
      </c>
      <c r="R1496" s="249">
        <f t="shared" si="443"/>
        <v>441.03324299999997</v>
      </c>
      <c r="S1496" s="355">
        <v>0.1</v>
      </c>
      <c r="T1496" s="355"/>
      <c r="U1496" s="315">
        <f t="shared" si="432"/>
        <v>485.13656729999997</v>
      </c>
      <c r="V1496" s="315">
        <f t="shared" si="433"/>
        <v>490</v>
      </c>
      <c r="W1496" s="316">
        <f t="shared" si="434"/>
        <v>0</v>
      </c>
    </row>
    <row r="1497" spans="1:23" x14ac:dyDescent="0.25">
      <c r="A1497" s="204" t="s">
        <v>17152</v>
      </c>
      <c r="B1497" s="351" t="s">
        <v>21211</v>
      </c>
      <c r="C1497" s="352"/>
      <c r="D1497" s="353" t="s">
        <v>5</v>
      </c>
      <c r="E1497" s="249">
        <f t="shared" si="435"/>
        <v>0</v>
      </c>
      <c r="F1497" s="336">
        <v>0</v>
      </c>
      <c r="G1497" s="258">
        <f t="shared" si="436"/>
        <v>0</v>
      </c>
      <c r="H1497" s="249">
        <f t="shared" si="437"/>
        <v>6.3745952559908031E-2</v>
      </c>
      <c r="I1497" s="336">
        <v>2.4861070488446917E-2</v>
      </c>
      <c r="J1497" s="258">
        <f t="shared" si="438"/>
        <v>2.4861070488446917E-2</v>
      </c>
      <c r="K1497" s="249">
        <f t="shared" si="439"/>
        <v>2.3902887089023062</v>
      </c>
      <c r="L1497" s="336">
        <v>0.93221818316875338</v>
      </c>
      <c r="M1497" s="258">
        <f t="shared" si="440"/>
        <v>0.93221818316875338</v>
      </c>
      <c r="N1497" s="251">
        <f t="shared" si="441"/>
        <v>0.10999301618180209</v>
      </c>
      <c r="O1497" s="336">
        <v>4.2897533391829973E-2</v>
      </c>
      <c r="P1497" s="258">
        <f t="shared" si="442"/>
        <v>4.2897533391829973E-2</v>
      </c>
      <c r="Q1497" s="354">
        <v>2.5046162790697672</v>
      </c>
      <c r="R1497" s="249">
        <f t="shared" si="443"/>
        <v>2.564087197674418</v>
      </c>
      <c r="S1497" s="355">
        <v>0.1</v>
      </c>
      <c r="T1497" s="355"/>
      <c r="U1497" s="315">
        <f t="shared" si="432"/>
        <v>2.8204959174418596</v>
      </c>
      <c r="V1497" s="315">
        <f t="shared" si="433"/>
        <v>3</v>
      </c>
      <c r="W1497" s="316">
        <f t="shared" si="434"/>
        <v>0</v>
      </c>
    </row>
    <row r="1498" spans="1:23" x14ac:dyDescent="0.25">
      <c r="A1498" s="204" t="s">
        <v>17153</v>
      </c>
      <c r="B1498" s="351" t="s">
        <v>21212</v>
      </c>
      <c r="C1498" s="352"/>
      <c r="D1498" s="353" t="s">
        <v>14859</v>
      </c>
      <c r="E1498" s="249">
        <f t="shared" si="435"/>
        <v>0</v>
      </c>
      <c r="F1498" s="336">
        <v>0</v>
      </c>
      <c r="G1498" s="258">
        <f t="shared" si="436"/>
        <v>0</v>
      </c>
      <c r="H1498" s="249">
        <f t="shared" si="437"/>
        <v>10.964704849654892</v>
      </c>
      <c r="I1498" s="336">
        <v>2.4396911091368826E-2</v>
      </c>
      <c r="J1498" s="258">
        <f t="shared" si="438"/>
        <v>2.4396911091368826E-2</v>
      </c>
      <c r="K1498" s="249">
        <f t="shared" si="439"/>
        <v>419.54584942937197</v>
      </c>
      <c r="L1498" s="336">
        <v>0.93350645800587717</v>
      </c>
      <c r="M1498" s="258">
        <f t="shared" si="440"/>
        <v>0.93350645800587717</v>
      </c>
      <c r="N1498" s="251">
        <f t="shared" si="441"/>
        <v>18.919490720973144</v>
      </c>
      <c r="O1498" s="336">
        <v>4.2096630902754048E-2</v>
      </c>
      <c r="P1498" s="258">
        <f t="shared" si="442"/>
        <v>4.2096630902754048E-2</v>
      </c>
      <c r="Q1498" s="354">
        <v>438.99</v>
      </c>
      <c r="R1498" s="249">
        <f t="shared" si="443"/>
        <v>449.43004500000001</v>
      </c>
      <c r="S1498" s="355">
        <v>0.1</v>
      </c>
      <c r="T1498" s="355"/>
      <c r="U1498" s="315">
        <f t="shared" si="432"/>
        <v>494.37304949999998</v>
      </c>
      <c r="V1498" s="315">
        <f t="shared" si="433"/>
        <v>495</v>
      </c>
      <c r="W1498" s="316">
        <f t="shared" si="434"/>
        <v>0</v>
      </c>
    </row>
    <row r="1499" spans="1:23" x14ac:dyDescent="0.25">
      <c r="A1499" s="204" t="s">
        <v>17154</v>
      </c>
      <c r="B1499" s="351" t="s">
        <v>21213</v>
      </c>
      <c r="C1499" s="352"/>
      <c r="D1499" s="353" t="s">
        <v>5</v>
      </c>
      <c r="E1499" s="249">
        <f t="shared" si="435"/>
        <v>0</v>
      </c>
      <c r="F1499" s="336">
        <v>0</v>
      </c>
      <c r="G1499" s="258">
        <f t="shared" si="436"/>
        <v>0</v>
      </c>
      <c r="H1499" s="249">
        <f t="shared" si="437"/>
        <v>6.3746830833143947E-2</v>
      </c>
      <c r="I1499" s="336">
        <v>2.4396911091368826E-2</v>
      </c>
      <c r="J1499" s="258">
        <f t="shared" si="438"/>
        <v>2.4396911091368826E-2</v>
      </c>
      <c r="K1499" s="249">
        <f t="shared" si="439"/>
        <v>2.4391049306362329</v>
      </c>
      <c r="L1499" s="336">
        <v>0.93348367844370028</v>
      </c>
      <c r="M1499" s="258">
        <f t="shared" si="440"/>
        <v>0.93348367844370028</v>
      </c>
      <c r="N1499" s="251">
        <f t="shared" si="441"/>
        <v>0.10999453163366013</v>
      </c>
      <c r="O1499" s="336">
        <v>4.2096630902754048E-2</v>
      </c>
      <c r="P1499" s="258">
        <f t="shared" si="442"/>
        <v>4.2096630902754048E-2</v>
      </c>
      <c r="Q1499" s="354">
        <v>2.5522674418604652</v>
      </c>
      <c r="R1499" s="249">
        <f t="shared" si="443"/>
        <v>2.6129058139534882</v>
      </c>
      <c r="S1499" s="355">
        <v>0.1</v>
      </c>
      <c r="T1499" s="355"/>
      <c r="U1499" s="315">
        <f t="shared" si="432"/>
        <v>2.8741963953488372</v>
      </c>
      <c r="V1499" s="315">
        <f t="shared" si="433"/>
        <v>3</v>
      </c>
      <c r="W1499" s="316">
        <f t="shared" si="434"/>
        <v>0</v>
      </c>
    </row>
    <row r="1500" spans="1:23" x14ac:dyDescent="0.25">
      <c r="A1500" s="204" t="s">
        <v>17155</v>
      </c>
      <c r="B1500" s="351" t="s">
        <v>21214</v>
      </c>
      <c r="C1500" s="352"/>
      <c r="D1500" s="353" t="s">
        <v>14859</v>
      </c>
      <c r="E1500" s="249">
        <f t="shared" si="435"/>
        <v>0</v>
      </c>
      <c r="F1500" s="336">
        <v>0</v>
      </c>
      <c r="G1500" s="258">
        <f t="shared" si="436"/>
        <v>0</v>
      </c>
      <c r="H1500" s="249">
        <f t="shared" si="437"/>
        <v>10.965014872505362</v>
      </c>
      <c r="I1500" s="336">
        <v>2.3413367261947707E-2</v>
      </c>
      <c r="J1500" s="258">
        <f t="shared" si="438"/>
        <v>2.3413367261947707E-2</v>
      </c>
      <c r="K1500" s="249">
        <f t="shared" si="439"/>
        <v>438.43780896513243</v>
      </c>
      <c r="L1500" s="336">
        <v>0.93618709707037784</v>
      </c>
      <c r="M1500" s="258">
        <f t="shared" si="440"/>
        <v>0.93618709707037784</v>
      </c>
      <c r="N1500" s="251">
        <f t="shared" si="441"/>
        <v>18.920025662362193</v>
      </c>
      <c r="O1500" s="336">
        <v>4.0399535667674472E-2</v>
      </c>
      <c r="P1500" s="258">
        <f t="shared" si="442"/>
        <v>4.0399535667674472E-2</v>
      </c>
      <c r="Q1500" s="354">
        <v>457.43099999999998</v>
      </c>
      <c r="R1500" s="249">
        <f t="shared" si="443"/>
        <v>468.32284949999996</v>
      </c>
      <c r="S1500" s="355">
        <v>0.1</v>
      </c>
      <c r="T1500" s="355"/>
      <c r="U1500" s="315">
        <f t="shared" si="432"/>
        <v>515.15513444999999</v>
      </c>
      <c r="V1500" s="315">
        <f t="shared" si="433"/>
        <v>520</v>
      </c>
      <c r="W1500" s="316">
        <f t="shared" si="434"/>
        <v>0</v>
      </c>
    </row>
    <row r="1501" spans="1:23" x14ac:dyDescent="0.25">
      <c r="A1501" s="204" t="s">
        <v>17156</v>
      </c>
      <c r="B1501" s="351" t="s">
        <v>21215</v>
      </c>
      <c r="C1501" s="352"/>
      <c r="D1501" s="353" t="s">
        <v>5</v>
      </c>
      <c r="E1501" s="249">
        <f t="shared" si="435"/>
        <v>0</v>
      </c>
      <c r="F1501" s="336">
        <v>0</v>
      </c>
      <c r="G1501" s="258">
        <f t="shared" si="436"/>
        <v>0</v>
      </c>
      <c r="H1501" s="249">
        <f t="shared" si="437"/>
        <v>6.3748691875335828E-2</v>
      </c>
      <c r="I1501" s="336">
        <v>2.3413367261947707E-2</v>
      </c>
      <c r="J1501" s="258">
        <f t="shared" si="438"/>
        <v>2.3413367261947707E-2</v>
      </c>
      <c r="K1501" s="249">
        <f t="shared" si="439"/>
        <v>2.5489417432742232</v>
      </c>
      <c r="L1501" s="336">
        <v>0.9361652358497784</v>
      </c>
      <c r="M1501" s="258">
        <f t="shared" si="440"/>
        <v>0.9361652358497784</v>
      </c>
      <c r="N1501" s="251">
        <f t="shared" si="441"/>
        <v>0.1099977428437167</v>
      </c>
      <c r="O1501" s="336">
        <v>4.0399535667674472E-2</v>
      </c>
      <c r="P1501" s="258">
        <f t="shared" si="442"/>
        <v>4.0399535667674472E-2</v>
      </c>
      <c r="Q1501" s="354">
        <v>2.6594825581395347</v>
      </c>
      <c r="R1501" s="249">
        <f t="shared" si="443"/>
        <v>2.7227477005813947</v>
      </c>
      <c r="S1501" s="355">
        <v>0.1</v>
      </c>
      <c r="T1501" s="355"/>
      <c r="U1501" s="315">
        <f t="shared" si="432"/>
        <v>2.9950224706395341</v>
      </c>
      <c r="V1501" s="315">
        <f t="shared" si="433"/>
        <v>3</v>
      </c>
      <c r="W1501" s="316">
        <f t="shared" si="434"/>
        <v>0</v>
      </c>
    </row>
    <row r="1502" spans="1:23" x14ac:dyDescent="0.25">
      <c r="A1502" s="204" t="s">
        <v>17157</v>
      </c>
      <c r="B1502" s="351" t="s">
        <v>21216</v>
      </c>
      <c r="C1502" s="352"/>
      <c r="D1502" s="353" t="s">
        <v>14859</v>
      </c>
      <c r="E1502" s="249">
        <f t="shared" si="435"/>
        <v>0</v>
      </c>
      <c r="F1502" s="336">
        <v>0</v>
      </c>
      <c r="G1502" s="258">
        <f t="shared" si="436"/>
        <v>0</v>
      </c>
      <c r="H1502" s="249">
        <f t="shared" si="437"/>
        <v>10.965508431657538</v>
      </c>
      <c r="I1502" s="336">
        <v>2.184755668431199E-2</v>
      </c>
      <c r="J1502" s="258">
        <f t="shared" si="438"/>
        <v>2.184755668431199E-2</v>
      </c>
      <c r="K1502" s="249">
        <f t="shared" si="439"/>
        <v>472.02367177450196</v>
      </c>
      <c r="L1502" s="336">
        <v>0.94045469844863994</v>
      </c>
      <c r="M1502" s="258">
        <f t="shared" si="440"/>
        <v>0.94045469844863994</v>
      </c>
      <c r="N1502" s="251">
        <f t="shared" si="441"/>
        <v>18.920877293840455</v>
      </c>
      <c r="O1502" s="336">
        <v>3.7697744867048133E-2</v>
      </c>
      <c r="P1502" s="258">
        <f t="shared" si="442"/>
        <v>3.7697744867048133E-2</v>
      </c>
      <c r="Q1502" s="354">
        <v>490.21499999999997</v>
      </c>
      <c r="R1502" s="249">
        <f t="shared" si="443"/>
        <v>501.91005749999994</v>
      </c>
      <c r="S1502" s="355">
        <v>0.1</v>
      </c>
      <c r="T1502" s="355"/>
      <c r="U1502" s="315">
        <f t="shared" si="432"/>
        <v>552.10106324999992</v>
      </c>
      <c r="V1502" s="315">
        <f t="shared" si="433"/>
        <v>555</v>
      </c>
      <c r="W1502" s="316">
        <f t="shared" si="434"/>
        <v>0</v>
      </c>
    </row>
    <row r="1503" spans="1:23" x14ac:dyDescent="0.25">
      <c r="A1503" s="204" t="s">
        <v>17158</v>
      </c>
      <c r="B1503" s="351" t="s">
        <v>21217</v>
      </c>
      <c r="C1503" s="352"/>
      <c r="D1503" s="353" t="s">
        <v>5</v>
      </c>
      <c r="E1503" s="249">
        <f t="shared" si="435"/>
        <v>0</v>
      </c>
      <c r="F1503" s="336">
        <v>0</v>
      </c>
      <c r="G1503" s="258">
        <f t="shared" si="436"/>
        <v>0</v>
      </c>
      <c r="H1503" s="249">
        <f t="shared" si="437"/>
        <v>6.3751654671158758E-2</v>
      </c>
      <c r="I1503" s="336">
        <v>2.184755668431199E-2</v>
      </c>
      <c r="J1503" s="258">
        <f t="shared" si="438"/>
        <v>2.184755668431199E-2</v>
      </c>
      <c r="K1503" s="249">
        <f t="shared" si="439"/>
        <v>2.7442081305531509</v>
      </c>
      <c r="L1503" s="336">
        <v>0.94043429923604938</v>
      </c>
      <c r="M1503" s="258">
        <f t="shared" si="440"/>
        <v>0.94043429923604938</v>
      </c>
      <c r="N1503" s="251">
        <f t="shared" si="441"/>
        <v>0.11000285511886217</v>
      </c>
      <c r="O1503" s="336">
        <v>3.7697744867048133E-2</v>
      </c>
      <c r="P1503" s="258">
        <f t="shared" si="442"/>
        <v>3.7697744867048133E-2</v>
      </c>
      <c r="Q1503" s="354">
        <v>2.8500872093023255</v>
      </c>
      <c r="R1503" s="249">
        <f t="shared" si="443"/>
        <v>2.9180221656976739</v>
      </c>
      <c r="S1503" s="355">
        <v>0.1</v>
      </c>
      <c r="T1503" s="355"/>
      <c r="U1503" s="315">
        <f t="shared" si="432"/>
        <v>3.2098243822674415</v>
      </c>
      <c r="V1503" s="315">
        <f t="shared" si="433"/>
        <v>4</v>
      </c>
      <c r="W1503" s="316">
        <f t="shared" si="434"/>
        <v>0</v>
      </c>
    </row>
    <row r="1504" spans="1:23" x14ac:dyDescent="0.25">
      <c r="A1504" s="204" t="s">
        <v>17159</v>
      </c>
      <c r="B1504" s="351" t="s">
        <v>21218</v>
      </c>
      <c r="C1504" s="352"/>
      <c r="D1504" s="353" t="s">
        <v>14859</v>
      </c>
      <c r="E1504" s="249">
        <f t="shared" si="435"/>
        <v>0</v>
      </c>
      <c r="F1504" s="336">
        <v>0</v>
      </c>
      <c r="G1504" s="258">
        <f t="shared" si="436"/>
        <v>0</v>
      </c>
      <c r="H1504" s="249">
        <f t="shared" si="437"/>
        <v>10.967684198811938</v>
      </c>
      <c r="I1504" s="336">
        <v>1.4944961099145376E-2</v>
      </c>
      <c r="J1504" s="258">
        <f t="shared" si="438"/>
        <v>1.4944961099145376E-2</v>
      </c>
      <c r="K1504" s="249">
        <f t="shared" si="439"/>
        <v>703.97939699245353</v>
      </c>
      <c r="L1504" s="336">
        <v>0.95926765504350564</v>
      </c>
      <c r="M1504" s="258">
        <f t="shared" si="440"/>
        <v>0.95926765504350564</v>
      </c>
      <c r="N1504" s="251">
        <f t="shared" si="441"/>
        <v>18.924631558734323</v>
      </c>
      <c r="O1504" s="336">
        <v>2.578738385734888E-2</v>
      </c>
      <c r="P1504" s="258">
        <f t="shared" si="442"/>
        <v>2.578738385734888E-2</v>
      </c>
      <c r="Q1504" s="354">
        <v>716.62950000000001</v>
      </c>
      <c r="R1504" s="249">
        <f t="shared" si="443"/>
        <v>733.87171274999992</v>
      </c>
      <c r="S1504" s="355">
        <v>0.1</v>
      </c>
      <c r="T1504" s="355"/>
      <c r="U1504" s="315">
        <f t="shared" si="432"/>
        <v>807.25888402499993</v>
      </c>
      <c r="V1504" s="315">
        <f t="shared" si="433"/>
        <v>810</v>
      </c>
      <c r="W1504" s="316">
        <f t="shared" si="434"/>
        <v>0</v>
      </c>
    </row>
    <row r="1505" spans="1:23" x14ac:dyDescent="0.25">
      <c r="A1505" s="204" t="s">
        <v>17160</v>
      </c>
      <c r="B1505" s="351" t="s">
        <v>21219</v>
      </c>
      <c r="C1505" s="352"/>
      <c r="D1505" s="353" t="s">
        <v>5</v>
      </c>
      <c r="E1505" s="249">
        <f t="shared" si="435"/>
        <v>0</v>
      </c>
      <c r="F1505" s="336">
        <v>0</v>
      </c>
      <c r="G1505" s="258">
        <f t="shared" si="436"/>
        <v>0</v>
      </c>
      <c r="H1505" s="249">
        <f t="shared" si="437"/>
        <v>6.3764715626078369E-2</v>
      </c>
      <c r="I1505" s="336">
        <v>1.4944961099145376E-2</v>
      </c>
      <c r="J1505" s="258">
        <f t="shared" si="438"/>
        <v>1.4944961099145376E-2</v>
      </c>
      <c r="K1505" s="249">
        <f t="shared" si="439"/>
        <v>4.092786795562767</v>
      </c>
      <c r="L1505" s="336">
        <v>0.95925370083146166</v>
      </c>
      <c r="M1505" s="258">
        <f t="shared" si="440"/>
        <v>0.95925370083146166</v>
      </c>
      <c r="N1505" s="251">
        <f t="shared" si="441"/>
        <v>0.11002539166852736</v>
      </c>
      <c r="O1505" s="336">
        <v>2.578738385734888E-2</v>
      </c>
      <c r="P1505" s="258">
        <f t="shared" si="442"/>
        <v>2.578738385734888E-2</v>
      </c>
      <c r="Q1505" s="354">
        <v>4.166450581395349</v>
      </c>
      <c r="R1505" s="249">
        <f t="shared" si="443"/>
        <v>4.2666364404069768</v>
      </c>
      <c r="S1505" s="355">
        <v>0.1</v>
      </c>
      <c r="T1505" s="355"/>
      <c r="U1505" s="315">
        <f t="shared" si="432"/>
        <v>4.6933000844476744</v>
      </c>
      <c r="V1505" s="315">
        <f t="shared" si="433"/>
        <v>5</v>
      </c>
      <c r="W1505" s="316">
        <f t="shared" si="434"/>
        <v>0</v>
      </c>
    </row>
    <row r="1506" spans="1:23" x14ac:dyDescent="0.25">
      <c r="A1506" s="204" t="s">
        <v>17161</v>
      </c>
      <c r="B1506" s="351" t="s">
        <v>21220</v>
      </c>
      <c r="C1506" s="352"/>
      <c r="D1506" s="353" t="s">
        <v>14859</v>
      </c>
      <c r="E1506" s="249">
        <f t="shared" si="435"/>
        <v>0</v>
      </c>
      <c r="F1506" s="336">
        <v>0</v>
      </c>
      <c r="G1506" s="258">
        <f t="shared" si="436"/>
        <v>0</v>
      </c>
      <c r="H1506" s="249">
        <f t="shared" si="437"/>
        <v>10.968511442228049</v>
      </c>
      <c r="I1506" s="336">
        <v>1.2320541137493099E-2</v>
      </c>
      <c r="J1506" s="258">
        <f t="shared" si="438"/>
        <v>1.2320541137493099E-2</v>
      </c>
      <c r="K1506" s="249">
        <f t="shared" si="439"/>
        <v>860.36757959863303</v>
      </c>
      <c r="L1506" s="336">
        <v>0.96642048591938146</v>
      </c>
      <c r="M1506" s="258">
        <f t="shared" si="440"/>
        <v>0.96642048591938146</v>
      </c>
      <c r="N1506" s="251">
        <f t="shared" si="441"/>
        <v>18.926058959138594</v>
      </c>
      <c r="O1506" s="336">
        <v>2.1258972943125346E-2</v>
      </c>
      <c r="P1506" s="258">
        <f t="shared" si="442"/>
        <v>2.1258972943125346E-2</v>
      </c>
      <c r="Q1506" s="354">
        <v>869.28</v>
      </c>
      <c r="R1506" s="249">
        <f t="shared" si="443"/>
        <v>890.26214999999979</v>
      </c>
      <c r="S1506" s="355">
        <v>0.1</v>
      </c>
      <c r="T1506" s="355"/>
      <c r="U1506" s="315">
        <f t="shared" si="432"/>
        <v>979.28836499999977</v>
      </c>
      <c r="V1506" s="315">
        <f t="shared" si="433"/>
        <v>980</v>
      </c>
      <c r="W1506" s="316">
        <f t="shared" si="434"/>
        <v>0</v>
      </c>
    </row>
    <row r="1507" spans="1:23" x14ac:dyDescent="0.25">
      <c r="A1507" s="204" t="s">
        <v>17162</v>
      </c>
      <c r="B1507" s="351" t="s">
        <v>21221</v>
      </c>
      <c r="C1507" s="352"/>
      <c r="D1507" s="353" t="s">
        <v>5</v>
      </c>
      <c r="E1507" s="249">
        <f t="shared" si="435"/>
        <v>0</v>
      </c>
      <c r="F1507" s="336">
        <v>0</v>
      </c>
      <c r="G1507" s="258">
        <f t="shared" si="436"/>
        <v>0</v>
      </c>
      <c r="H1507" s="249">
        <f t="shared" si="437"/>
        <v>6.3769681501651729E-2</v>
      </c>
      <c r="I1507" s="336">
        <v>1.2320541137493099E-2</v>
      </c>
      <c r="J1507" s="258">
        <f t="shared" si="438"/>
        <v>1.2320541137493099E-2</v>
      </c>
      <c r="K1507" s="249">
        <f t="shared" si="439"/>
        <v>5.0020199846785776</v>
      </c>
      <c r="L1507" s="336">
        <v>0.96640898214614379</v>
      </c>
      <c r="M1507" s="258">
        <f t="shared" si="440"/>
        <v>0.96640898214614379</v>
      </c>
      <c r="N1507" s="251">
        <f t="shared" si="441"/>
        <v>0.11003396023814414</v>
      </c>
      <c r="O1507" s="336">
        <v>2.1258972943125346E-2</v>
      </c>
      <c r="P1507" s="258">
        <f t="shared" si="442"/>
        <v>2.1258972943125346E-2</v>
      </c>
      <c r="Q1507" s="354">
        <v>5.0539534883720929</v>
      </c>
      <c r="R1507" s="249">
        <f t="shared" si="443"/>
        <v>5.17588316860465</v>
      </c>
      <c r="S1507" s="355">
        <v>0.1</v>
      </c>
      <c r="T1507" s="355"/>
      <c r="U1507" s="315">
        <f t="shared" si="432"/>
        <v>5.6934714854651149</v>
      </c>
      <c r="V1507" s="315">
        <f t="shared" si="433"/>
        <v>6</v>
      </c>
      <c r="W1507" s="316">
        <f t="shared" si="434"/>
        <v>0</v>
      </c>
    </row>
    <row r="1508" spans="1:23" x14ac:dyDescent="0.25">
      <c r="A1508" s="203" t="s">
        <v>17163</v>
      </c>
      <c r="B1508" s="345" t="s">
        <v>17164</v>
      </c>
      <c r="C1508" s="346"/>
      <c r="D1508" s="347"/>
      <c r="E1508" s="347"/>
      <c r="F1508" s="347"/>
      <c r="G1508" s="347"/>
      <c r="H1508" s="347"/>
      <c r="I1508" s="347"/>
      <c r="J1508" s="347"/>
      <c r="K1508" s="347"/>
      <c r="L1508" s="347"/>
      <c r="M1508" s="347"/>
      <c r="N1508" s="347"/>
      <c r="O1508" s="347"/>
      <c r="P1508" s="347"/>
      <c r="Q1508" s="347"/>
      <c r="R1508" s="347"/>
      <c r="S1508" s="347"/>
      <c r="T1508" s="348"/>
      <c r="U1508" s="349"/>
      <c r="V1508" s="349"/>
      <c r="W1508" s="350"/>
    </row>
    <row r="1509" spans="1:23" x14ac:dyDescent="0.25">
      <c r="A1509" s="204" t="s">
        <v>17165</v>
      </c>
      <c r="B1509" s="351" t="s">
        <v>21222</v>
      </c>
      <c r="C1509" s="352"/>
      <c r="D1509" s="353" t="s">
        <v>5</v>
      </c>
      <c r="E1509" s="249">
        <f t="shared" si="435"/>
        <v>0</v>
      </c>
      <c r="F1509" s="336">
        <v>0</v>
      </c>
      <c r="G1509" s="258">
        <f t="shared" si="436"/>
        <v>0</v>
      </c>
      <c r="H1509" s="249">
        <f t="shared" si="437"/>
        <v>6.3655142373787291E-2</v>
      </c>
      <c r="I1509" s="336">
        <v>7.2853425845620129E-2</v>
      </c>
      <c r="J1509" s="258">
        <f t="shared" si="438"/>
        <v>7.2853425845620129E-2</v>
      </c>
      <c r="K1509" s="249">
        <f t="shared" si="439"/>
        <v>0.70019170730158231</v>
      </c>
      <c r="L1509" s="336">
        <v>0.80137067836675002</v>
      </c>
      <c r="M1509" s="258">
        <f t="shared" si="440"/>
        <v>0.80137067836675002</v>
      </c>
      <c r="N1509" s="251">
        <f t="shared" si="441"/>
        <v>0.10983632409594669</v>
      </c>
      <c r="O1509" s="336">
        <v>0.12570787204734452</v>
      </c>
      <c r="P1509" s="258">
        <f t="shared" si="442"/>
        <v>0.12570787204734452</v>
      </c>
      <c r="Q1509" s="354">
        <v>0.85469476744186046</v>
      </c>
      <c r="R1509" s="249">
        <f t="shared" si="443"/>
        <v>0.87374260901162792</v>
      </c>
      <c r="S1509" s="355">
        <v>0.1</v>
      </c>
      <c r="T1509" s="355"/>
      <c r="U1509" s="315">
        <f t="shared" ref="U1509:U1572" si="444">(R1509*S1509)+R1509</f>
        <v>0.96111686991279077</v>
      </c>
      <c r="V1509" s="315">
        <f t="shared" ref="V1509:V1572" si="445">IF(U1509=0, 0, IF(U1509&lt;10, _xlfn.CEILING.MATH(U1509,1), IF(U1509&lt;100, _xlfn.CEILING.MATH(U1509,1),IF(U1509&lt;1000, _xlfn.CEILING.MATH(U1509,5), IF(U1509&lt;10000, _xlfn.CEILING.MATH(U1509, 25), IF(U1509&lt;100000, _xlfn.CEILING.MATH(U1509,250), IF(U1509&lt;1000000, _xlfn.CEILING.MATH(U1509,500), 0)))))))</f>
        <v>1</v>
      </c>
      <c r="W1509" s="316">
        <f t="shared" ref="W1509:W1572" si="446">C1509*V1509</f>
        <v>0</v>
      </c>
    </row>
    <row r="1510" spans="1:23" x14ac:dyDescent="0.25">
      <c r="A1510" s="204" t="s">
        <v>17166</v>
      </c>
      <c r="B1510" s="351" t="s">
        <v>21223</v>
      </c>
      <c r="C1510" s="352"/>
      <c r="D1510" s="353" t="s">
        <v>14859</v>
      </c>
      <c r="E1510" s="249">
        <f t="shared" si="435"/>
        <v>0</v>
      </c>
      <c r="F1510" s="336">
        <v>0</v>
      </c>
      <c r="G1510" s="258">
        <f t="shared" si="436"/>
        <v>0</v>
      </c>
      <c r="H1510" s="249">
        <f t="shared" si="437"/>
        <v>10.949430871639203</v>
      </c>
      <c r="I1510" s="336">
        <v>7.2853425845620129E-2</v>
      </c>
      <c r="J1510" s="258">
        <f t="shared" si="438"/>
        <v>7.2853425845620129E-2</v>
      </c>
      <c r="K1510" s="249">
        <f t="shared" si="439"/>
        <v>120.45140725670882</v>
      </c>
      <c r="L1510" s="336">
        <v>0.80143870210703527</v>
      </c>
      <c r="M1510" s="258">
        <f t="shared" si="440"/>
        <v>0.80143870210703527</v>
      </c>
      <c r="N1510" s="251">
        <f t="shared" si="441"/>
        <v>18.893135621651957</v>
      </c>
      <c r="O1510" s="336">
        <v>0.12570787204734454</v>
      </c>
      <c r="P1510" s="258">
        <f t="shared" si="442"/>
        <v>0.12570787204734454</v>
      </c>
      <c r="Q1510" s="354">
        <v>147.00749999999999</v>
      </c>
      <c r="R1510" s="249">
        <f t="shared" si="443"/>
        <v>150.29397374999999</v>
      </c>
      <c r="S1510" s="355">
        <v>0.1</v>
      </c>
      <c r="T1510" s="355"/>
      <c r="U1510" s="315">
        <f t="shared" si="444"/>
        <v>165.32337112499999</v>
      </c>
      <c r="V1510" s="315">
        <f t="shared" si="445"/>
        <v>170</v>
      </c>
      <c r="W1510" s="316">
        <f t="shared" si="446"/>
        <v>0</v>
      </c>
    </row>
    <row r="1511" spans="1:23" x14ac:dyDescent="0.25">
      <c r="A1511" s="204" t="s">
        <v>17167</v>
      </c>
      <c r="B1511" s="351" t="s">
        <v>21224</v>
      </c>
      <c r="C1511" s="352"/>
      <c r="D1511" s="353" t="s">
        <v>5</v>
      </c>
      <c r="E1511" s="249">
        <f t="shared" si="435"/>
        <v>0</v>
      </c>
      <c r="F1511" s="336">
        <v>0</v>
      </c>
      <c r="G1511" s="258">
        <f t="shared" si="436"/>
        <v>0</v>
      </c>
      <c r="H1511" s="249">
        <f t="shared" si="437"/>
        <v>6.3655142373787291E-2</v>
      </c>
      <c r="I1511" s="336">
        <v>7.2853425845620129E-2</v>
      </c>
      <c r="J1511" s="258">
        <f t="shared" si="438"/>
        <v>7.2853425845620129E-2</v>
      </c>
      <c r="K1511" s="249">
        <f t="shared" si="439"/>
        <v>0.70019170730158231</v>
      </c>
      <c r="L1511" s="336">
        <v>0.80137067836675002</v>
      </c>
      <c r="M1511" s="258">
        <f t="shared" si="440"/>
        <v>0.80137067836675002</v>
      </c>
      <c r="N1511" s="251">
        <f t="shared" si="441"/>
        <v>0.10983632409594669</v>
      </c>
      <c r="O1511" s="336">
        <v>0.12570787204734452</v>
      </c>
      <c r="P1511" s="258">
        <f t="shared" si="442"/>
        <v>0.12570787204734452</v>
      </c>
      <c r="Q1511" s="354">
        <v>0.85469476744186046</v>
      </c>
      <c r="R1511" s="249">
        <f t="shared" si="443"/>
        <v>0.87374260901162792</v>
      </c>
      <c r="S1511" s="355">
        <v>0.1</v>
      </c>
      <c r="T1511" s="355"/>
      <c r="U1511" s="315">
        <f t="shared" si="444"/>
        <v>0.96111686991279077</v>
      </c>
      <c r="V1511" s="315">
        <f t="shared" si="445"/>
        <v>1</v>
      </c>
      <c r="W1511" s="316">
        <f t="shared" si="446"/>
        <v>0</v>
      </c>
    </row>
    <row r="1512" spans="1:23" x14ac:dyDescent="0.25">
      <c r="A1512" s="204" t="s">
        <v>17168</v>
      </c>
      <c r="B1512" s="351" t="s">
        <v>21225</v>
      </c>
      <c r="C1512" s="352"/>
      <c r="D1512" s="353" t="s">
        <v>14859</v>
      </c>
      <c r="E1512" s="249">
        <f t="shared" si="435"/>
        <v>0</v>
      </c>
      <c r="F1512" s="336">
        <v>0</v>
      </c>
      <c r="G1512" s="258">
        <f t="shared" si="436"/>
        <v>0</v>
      </c>
      <c r="H1512" s="249">
        <f t="shared" si="437"/>
        <v>10.949430871639203</v>
      </c>
      <c r="I1512" s="336">
        <v>7.2853425845620129E-2</v>
      </c>
      <c r="J1512" s="258">
        <f t="shared" si="438"/>
        <v>7.2853425845620129E-2</v>
      </c>
      <c r="K1512" s="249">
        <f t="shared" si="439"/>
        <v>120.45140725670882</v>
      </c>
      <c r="L1512" s="336">
        <v>0.80143870210703527</v>
      </c>
      <c r="M1512" s="258">
        <f t="shared" si="440"/>
        <v>0.80143870210703527</v>
      </c>
      <c r="N1512" s="251">
        <f t="shared" si="441"/>
        <v>18.893135621651957</v>
      </c>
      <c r="O1512" s="336">
        <v>0.12570787204734454</v>
      </c>
      <c r="P1512" s="258">
        <f t="shared" si="442"/>
        <v>0.12570787204734454</v>
      </c>
      <c r="Q1512" s="354">
        <v>147.00749999999999</v>
      </c>
      <c r="R1512" s="249">
        <f t="shared" si="443"/>
        <v>150.29397374999999</v>
      </c>
      <c r="S1512" s="355">
        <v>0.1</v>
      </c>
      <c r="T1512" s="355"/>
      <c r="U1512" s="315">
        <f t="shared" si="444"/>
        <v>165.32337112499999</v>
      </c>
      <c r="V1512" s="315">
        <f t="shared" si="445"/>
        <v>170</v>
      </c>
      <c r="W1512" s="316">
        <f t="shared" si="446"/>
        <v>0</v>
      </c>
    </row>
    <row r="1513" spans="1:23" x14ac:dyDescent="0.25">
      <c r="A1513" s="204" t="s">
        <v>17169</v>
      </c>
      <c r="B1513" s="351" t="s">
        <v>21226</v>
      </c>
      <c r="C1513" s="352"/>
      <c r="D1513" s="353" t="s">
        <v>5</v>
      </c>
      <c r="E1513" s="249">
        <f t="shared" si="435"/>
        <v>0</v>
      </c>
      <c r="F1513" s="336">
        <v>0</v>
      </c>
      <c r="G1513" s="258">
        <f t="shared" si="436"/>
        <v>0</v>
      </c>
      <c r="H1513" s="249">
        <f t="shared" si="437"/>
        <v>6.3658880932123282E-2</v>
      </c>
      <c r="I1513" s="336">
        <v>7.0877631853241613E-2</v>
      </c>
      <c r="J1513" s="258">
        <f t="shared" si="438"/>
        <v>7.0877631853241613E-2</v>
      </c>
      <c r="K1513" s="249">
        <f t="shared" si="439"/>
        <v>0.7245908225463078</v>
      </c>
      <c r="L1513" s="336">
        <v>0.80675753033476627</v>
      </c>
      <c r="M1513" s="258">
        <f t="shared" si="440"/>
        <v>0.80675753033476627</v>
      </c>
      <c r="N1513" s="251">
        <f t="shared" si="441"/>
        <v>0.10984277494170291</v>
      </c>
      <c r="O1513" s="336">
        <v>0.12229865888402473</v>
      </c>
      <c r="P1513" s="258">
        <f t="shared" si="442"/>
        <v>0.12229865888402473</v>
      </c>
      <c r="Q1513" s="354">
        <v>0.87852034883720931</v>
      </c>
      <c r="R1513" s="249">
        <f t="shared" si="443"/>
        <v>0.89815191715116294</v>
      </c>
      <c r="S1513" s="355">
        <v>0.1</v>
      </c>
      <c r="T1513" s="355"/>
      <c r="U1513" s="315">
        <f t="shared" si="444"/>
        <v>0.98796710886627925</v>
      </c>
      <c r="V1513" s="315">
        <f t="shared" si="445"/>
        <v>1</v>
      </c>
      <c r="W1513" s="316">
        <f t="shared" si="446"/>
        <v>0</v>
      </c>
    </row>
    <row r="1514" spans="1:23" x14ac:dyDescent="0.25">
      <c r="A1514" s="204" t="s">
        <v>17170</v>
      </c>
      <c r="B1514" s="351" t="s">
        <v>21227</v>
      </c>
      <c r="C1514" s="352"/>
      <c r="D1514" s="353" t="s">
        <v>14859</v>
      </c>
      <c r="E1514" s="249">
        <f t="shared" si="435"/>
        <v>0</v>
      </c>
      <c r="F1514" s="336">
        <v>0</v>
      </c>
      <c r="G1514" s="258">
        <f t="shared" si="436"/>
        <v>0</v>
      </c>
      <c r="H1514" s="249">
        <f t="shared" si="437"/>
        <v>10.95005366166354</v>
      </c>
      <c r="I1514" s="336">
        <v>7.0877631853241613E-2</v>
      </c>
      <c r="J1514" s="258">
        <f t="shared" si="438"/>
        <v>7.0877631853241613E-2</v>
      </c>
      <c r="K1514" s="249">
        <f t="shared" si="439"/>
        <v>124.6481108486033</v>
      </c>
      <c r="L1514" s="336">
        <v>0.80682370926273361</v>
      </c>
      <c r="M1514" s="258">
        <f t="shared" si="440"/>
        <v>0.80682370926273361</v>
      </c>
      <c r="N1514" s="251">
        <f t="shared" si="441"/>
        <v>18.894210239733166</v>
      </c>
      <c r="O1514" s="336">
        <v>0.12229865888402473</v>
      </c>
      <c r="P1514" s="258">
        <f t="shared" si="442"/>
        <v>0.12229865888402473</v>
      </c>
      <c r="Q1514" s="354">
        <v>151.10550000000001</v>
      </c>
      <c r="R1514" s="249">
        <f t="shared" si="443"/>
        <v>154.49237475000001</v>
      </c>
      <c r="S1514" s="355">
        <v>0.1</v>
      </c>
      <c r="T1514" s="355"/>
      <c r="U1514" s="315">
        <f t="shared" si="444"/>
        <v>169.941612225</v>
      </c>
      <c r="V1514" s="315">
        <f t="shared" si="445"/>
        <v>170</v>
      </c>
      <c r="W1514" s="316">
        <f t="shared" si="446"/>
        <v>0</v>
      </c>
    </row>
    <row r="1515" spans="1:23" x14ac:dyDescent="0.25">
      <c r="A1515" s="204" t="s">
        <v>17171</v>
      </c>
      <c r="B1515" s="351" t="s">
        <v>21228</v>
      </c>
      <c r="C1515" s="352"/>
      <c r="D1515" s="353" t="s">
        <v>5</v>
      </c>
      <c r="E1515" s="249">
        <f t="shared" si="435"/>
        <v>0</v>
      </c>
      <c r="F1515" s="336">
        <v>0</v>
      </c>
      <c r="G1515" s="258">
        <f t="shared" si="436"/>
        <v>0</v>
      </c>
      <c r="H1515" s="249">
        <f t="shared" si="437"/>
        <v>6.3658880932123282E-2</v>
      </c>
      <c r="I1515" s="336">
        <v>7.0877631853241613E-2</v>
      </c>
      <c r="J1515" s="258">
        <f t="shared" si="438"/>
        <v>7.0877631853241613E-2</v>
      </c>
      <c r="K1515" s="249">
        <f t="shared" si="439"/>
        <v>0.7245908225463078</v>
      </c>
      <c r="L1515" s="336">
        <v>0.80675753033476627</v>
      </c>
      <c r="M1515" s="258">
        <f t="shared" si="440"/>
        <v>0.80675753033476627</v>
      </c>
      <c r="N1515" s="251">
        <f t="shared" si="441"/>
        <v>0.10984277494170291</v>
      </c>
      <c r="O1515" s="336">
        <v>0.12229865888402473</v>
      </c>
      <c r="P1515" s="258">
        <f t="shared" si="442"/>
        <v>0.12229865888402473</v>
      </c>
      <c r="Q1515" s="354">
        <v>0.87852034883720931</v>
      </c>
      <c r="R1515" s="249">
        <f t="shared" si="443"/>
        <v>0.89815191715116294</v>
      </c>
      <c r="S1515" s="355">
        <v>0.1</v>
      </c>
      <c r="T1515" s="355"/>
      <c r="U1515" s="315">
        <f t="shared" si="444"/>
        <v>0.98796710886627925</v>
      </c>
      <c r="V1515" s="315">
        <f t="shared" si="445"/>
        <v>1</v>
      </c>
      <c r="W1515" s="316">
        <f t="shared" si="446"/>
        <v>0</v>
      </c>
    </row>
    <row r="1516" spans="1:23" x14ac:dyDescent="0.25">
      <c r="A1516" s="204" t="s">
        <v>17172</v>
      </c>
      <c r="B1516" s="351" t="s">
        <v>21229</v>
      </c>
      <c r="C1516" s="352"/>
      <c r="D1516" s="353" t="s">
        <v>14859</v>
      </c>
      <c r="E1516" s="249">
        <f t="shared" si="435"/>
        <v>0</v>
      </c>
      <c r="F1516" s="336">
        <v>0</v>
      </c>
      <c r="G1516" s="258">
        <f t="shared" si="436"/>
        <v>0</v>
      </c>
      <c r="H1516" s="249">
        <f t="shared" si="437"/>
        <v>10.95005366166354</v>
      </c>
      <c r="I1516" s="336">
        <v>7.0877631853241613E-2</v>
      </c>
      <c r="J1516" s="258">
        <f t="shared" si="438"/>
        <v>7.0877631853241613E-2</v>
      </c>
      <c r="K1516" s="249">
        <f t="shared" si="439"/>
        <v>124.6481108486033</v>
      </c>
      <c r="L1516" s="336">
        <v>0.80682370926273361</v>
      </c>
      <c r="M1516" s="258">
        <f t="shared" si="440"/>
        <v>0.80682370926273361</v>
      </c>
      <c r="N1516" s="251">
        <f t="shared" si="441"/>
        <v>18.894210239733166</v>
      </c>
      <c r="O1516" s="336">
        <v>0.12229865888402473</v>
      </c>
      <c r="P1516" s="258">
        <f t="shared" si="442"/>
        <v>0.12229865888402473</v>
      </c>
      <c r="Q1516" s="354">
        <v>151.10550000000001</v>
      </c>
      <c r="R1516" s="249">
        <f t="shared" si="443"/>
        <v>154.49237475000001</v>
      </c>
      <c r="S1516" s="355">
        <v>0.1</v>
      </c>
      <c r="T1516" s="355"/>
      <c r="U1516" s="315">
        <f t="shared" si="444"/>
        <v>169.941612225</v>
      </c>
      <c r="V1516" s="315">
        <f t="shared" si="445"/>
        <v>170</v>
      </c>
      <c r="W1516" s="316">
        <f t="shared" si="446"/>
        <v>0</v>
      </c>
    </row>
    <row r="1517" spans="1:23" x14ac:dyDescent="0.25">
      <c r="A1517" s="204" t="s">
        <v>17173</v>
      </c>
      <c r="B1517" s="351" t="s">
        <v>21230</v>
      </c>
      <c r="C1517" s="352"/>
      <c r="D1517" s="353" t="s">
        <v>5</v>
      </c>
      <c r="E1517" s="249">
        <f t="shared" si="435"/>
        <v>0</v>
      </c>
      <c r="F1517" s="336">
        <v>0</v>
      </c>
      <c r="G1517" s="258">
        <f t="shared" si="436"/>
        <v>0</v>
      </c>
      <c r="H1517" s="249">
        <f t="shared" si="437"/>
        <v>6.3682173360351618E-2</v>
      </c>
      <c r="I1517" s="336">
        <v>5.8567795915019295E-2</v>
      </c>
      <c r="J1517" s="258">
        <f t="shared" si="438"/>
        <v>5.8567795915019295E-2</v>
      </c>
      <c r="K1517" s="249">
        <f t="shared" si="439"/>
        <v>0.9136994555946244</v>
      </c>
      <c r="L1517" s="336">
        <v>0.84031936127744511</v>
      </c>
      <c r="M1517" s="258">
        <f t="shared" si="440"/>
        <v>0.84031936127744511</v>
      </c>
      <c r="N1517" s="251">
        <f t="shared" si="441"/>
        <v>0.10988296579825374</v>
      </c>
      <c r="O1517" s="336">
        <v>0.10105815765728818</v>
      </c>
      <c r="P1517" s="258">
        <f t="shared" si="442"/>
        <v>0.10105815765728818</v>
      </c>
      <c r="Q1517" s="354">
        <v>1.0631686046511626</v>
      </c>
      <c r="R1517" s="249">
        <f t="shared" si="443"/>
        <v>1.0873240552325578</v>
      </c>
      <c r="S1517" s="355">
        <v>0.1</v>
      </c>
      <c r="T1517" s="355"/>
      <c r="U1517" s="315">
        <f t="shared" si="444"/>
        <v>1.1960564607558135</v>
      </c>
      <c r="V1517" s="315">
        <f t="shared" si="445"/>
        <v>2</v>
      </c>
      <c r="W1517" s="316">
        <f t="shared" si="446"/>
        <v>0</v>
      </c>
    </row>
    <row r="1518" spans="1:23" x14ac:dyDescent="0.25">
      <c r="A1518" s="204" t="s">
        <v>17174</v>
      </c>
      <c r="B1518" s="351" t="s">
        <v>21231</v>
      </c>
      <c r="C1518" s="352"/>
      <c r="D1518" s="353" t="s">
        <v>14859</v>
      </c>
      <c r="E1518" s="249">
        <f t="shared" si="435"/>
        <v>0</v>
      </c>
      <c r="F1518" s="336">
        <v>0</v>
      </c>
      <c r="G1518" s="258">
        <f t="shared" si="436"/>
        <v>0</v>
      </c>
      <c r="H1518" s="249">
        <f t="shared" si="437"/>
        <v>10.953933845049628</v>
      </c>
      <c r="I1518" s="336">
        <v>5.8567795915019288E-2</v>
      </c>
      <c r="J1518" s="258">
        <f t="shared" si="438"/>
        <v>5.8567795915019288E-2</v>
      </c>
      <c r="K1518" s="249">
        <f t="shared" si="439"/>
        <v>157.1751431968255</v>
      </c>
      <c r="L1518" s="336">
        <v>0.84037404642769253</v>
      </c>
      <c r="M1518" s="258">
        <f t="shared" si="440"/>
        <v>0.84037404642769253</v>
      </c>
      <c r="N1518" s="251">
        <f t="shared" si="441"/>
        <v>18.900905458124846</v>
      </c>
      <c r="O1518" s="336">
        <v>0.10105815765728818</v>
      </c>
      <c r="P1518" s="258">
        <f t="shared" si="442"/>
        <v>0.10105815765728818</v>
      </c>
      <c r="Q1518" s="354">
        <v>182.86499999999998</v>
      </c>
      <c r="R1518" s="249">
        <f t="shared" si="443"/>
        <v>187.02998249999999</v>
      </c>
      <c r="S1518" s="355">
        <v>0.1</v>
      </c>
      <c r="T1518" s="355"/>
      <c r="U1518" s="315">
        <f t="shared" si="444"/>
        <v>205.73298075</v>
      </c>
      <c r="V1518" s="315">
        <f t="shared" si="445"/>
        <v>210</v>
      </c>
      <c r="W1518" s="316">
        <f t="shared" si="446"/>
        <v>0</v>
      </c>
    </row>
    <row r="1519" spans="1:23" x14ac:dyDescent="0.25">
      <c r="A1519" s="204" t="s">
        <v>17175</v>
      </c>
      <c r="B1519" s="351" t="s">
        <v>21232</v>
      </c>
      <c r="C1519" s="352"/>
      <c r="D1519" s="353" t="s">
        <v>5</v>
      </c>
      <c r="E1519" s="249">
        <f t="shared" si="435"/>
        <v>0</v>
      </c>
      <c r="F1519" s="336">
        <v>0</v>
      </c>
      <c r="G1519" s="258">
        <f t="shared" si="436"/>
        <v>0</v>
      </c>
      <c r="H1519" s="249">
        <f t="shared" si="437"/>
        <v>6.3682173360351618E-2</v>
      </c>
      <c r="I1519" s="336">
        <v>5.8567795915019295E-2</v>
      </c>
      <c r="J1519" s="258">
        <f t="shared" si="438"/>
        <v>5.8567795915019295E-2</v>
      </c>
      <c r="K1519" s="249">
        <f t="shared" si="439"/>
        <v>0.9136994555946244</v>
      </c>
      <c r="L1519" s="336">
        <v>0.84031936127744511</v>
      </c>
      <c r="M1519" s="258">
        <f t="shared" si="440"/>
        <v>0.84031936127744511</v>
      </c>
      <c r="N1519" s="251">
        <f t="shared" si="441"/>
        <v>0.10988296579825374</v>
      </c>
      <c r="O1519" s="336">
        <v>0.10105815765728818</v>
      </c>
      <c r="P1519" s="258">
        <f t="shared" si="442"/>
        <v>0.10105815765728818</v>
      </c>
      <c r="Q1519" s="354">
        <v>1.0631686046511626</v>
      </c>
      <c r="R1519" s="249">
        <f t="shared" si="443"/>
        <v>1.0873240552325578</v>
      </c>
      <c r="S1519" s="355">
        <v>0.1</v>
      </c>
      <c r="T1519" s="355"/>
      <c r="U1519" s="315">
        <f t="shared" si="444"/>
        <v>1.1960564607558135</v>
      </c>
      <c r="V1519" s="315">
        <f t="shared" si="445"/>
        <v>2</v>
      </c>
      <c r="W1519" s="316">
        <f t="shared" si="446"/>
        <v>0</v>
      </c>
    </row>
    <row r="1520" spans="1:23" x14ac:dyDescent="0.25">
      <c r="A1520" s="204" t="s">
        <v>17176</v>
      </c>
      <c r="B1520" s="351" t="s">
        <v>21233</v>
      </c>
      <c r="C1520" s="352"/>
      <c r="D1520" s="353" t="s">
        <v>14859</v>
      </c>
      <c r="E1520" s="249">
        <f t="shared" si="435"/>
        <v>0</v>
      </c>
      <c r="F1520" s="336">
        <v>0</v>
      </c>
      <c r="G1520" s="258">
        <f t="shared" si="436"/>
        <v>0</v>
      </c>
      <c r="H1520" s="249">
        <f t="shared" si="437"/>
        <v>10.953933845049628</v>
      </c>
      <c r="I1520" s="336">
        <v>5.8567795915019288E-2</v>
      </c>
      <c r="J1520" s="258">
        <f t="shared" si="438"/>
        <v>5.8567795915019288E-2</v>
      </c>
      <c r="K1520" s="249">
        <f t="shared" si="439"/>
        <v>157.1751431968255</v>
      </c>
      <c r="L1520" s="336">
        <v>0.84037404642769253</v>
      </c>
      <c r="M1520" s="258">
        <f t="shared" si="440"/>
        <v>0.84037404642769253</v>
      </c>
      <c r="N1520" s="251">
        <f t="shared" si="441"/>
        <v>18.900905458124846</v>
      </c>
      <c r="O1520" s="336">
        <v>0.10105815765728818</v>
      </c>
      <c r="P1520" s="258">
        <f t="shared" si="442"/>
        <v>0.10105815765728818</v>
      </c>
      <c r="Q1520" s="354">
        <v>182.86499999999998</v>
      </c>
      <c r="R1520" s="249">
        <f t="shared" si="443"/>
        <v>187.02998249999999</v>
      </c>
      <c r="S1520" s="355">
        <v>0.1</v>
      </c>
      <c r="T1520" s="355"/>
      <c r="U1520" s="315">
        <f t="shared" si="444"/>
        <v>205.73298075</v>
      </c>
      <c r="V1520" s="315">
        <f t="shared" si="445"/>
        <v>210</v>
      </c>
      <c r="W1520" s="316">
        <f t="shared" si="446"/>
        <v>0</v>
      </c>
    </row>
    <row r="1521" spans="1:23" x14ac:dyDescent="0.25">
      <c r="A1521" s="204" t="s">
        <v>17177</v>
      </c>
      <c r="B1521" s="351" t="s">
        <v>21234</v>
      </c>
      <c r="C1521" s="352"/>
      <c r="D1521" s="353" t="s">
        <v>5</v>
      </c>
      <c r="E1521" s="249">
        <f t="shared" si="435"/>
        <v>0</v>
      </c>
      <c r="F1521" s="336">
        <v>0</v>
      </c>
      <c r="G1521" s="258">
        <f t="shared" si="436"/>
        <v>0</v>
      </c>
      <c r="H1521" s="249">
        <f t="shared" si="437"/>
        <v>6.3682173360351618E-2</v>
      </c>
      <c r="I1521" s="336">
        <v>5.8567795915019295E-2</v>
      </c>
      <c r="J1521" s="258">
        <f t="shared" si="438"/>
        <v>5.8567795915019295E-2</v>
      </c>
      <c r="K1521" s="249">
        <f t="shared" si="439"/>
        <v>0.9136994555946244</v>
      </c>
      <c r="L1521" s="336">
        <v>0.84031936127744511</v>
      </c>
      <c r="M1521" s="258">
        <f t="shared" si="440"/>
        <v>0.84031936127744511</v>
      </c>
      <c r="N1521" s="251">
        <f t="shared" si="441"/>
        <v>0.10988296579825374</v>
      </c>
      <c r="O1521" s="336">
        <v>0.10105815765728818</v>
      </c>
      <c r="P1521" s="258">
        <f t="shared" si="442"/>
        <v>0.10105815765728818</v>
      </c>
      <c r="Q1521" s="354">
        <v>1.0631686046511626</v>
      </c>
      <c r="R1521" s="249">
        <f t="shared" si="443"/>
        <v>1.0873240552325578</v>
      </c>
      <c r="S1521" s="355">
        <v>0.1</v>
      </c>
      <c r="T1521" s="355"/>
      <c r="U1521" s="315">
        <f t="shared" si="444"/>
        <v>1.1960564607558135</v>
      </c>
      <c r="V1521" s="315">
        <f t="shared" si="445"/>
        <v>2</v>
      </c>
      <c r="W1521" s="316">
        <f t="shared" si="446"/>
        <v>0</v>
      </c>
    </row>
    <row r="1522" spans="1:23" x14ac:dyDescent="0.25">
      <c r="A1522" s="204" t="s">
        <v>17178</v>
      </c>
      <c r="B1522" s="351" t="s">
        <v>21235</v>
      </c>
      <c r="C1522" s="352"/>
      <c r="D1522" s="353" t="s">
        <v>14859</v>
      </c>
      <c r="E1522" s="249">
        <f t="shared" si="435"/>
        <v>0</v>
      </c>
      <c r="F1522" s="336">
        <v>0</v>
      </c>
      <c r="G1522" s="258">
        <f t="shared" si="436"/>
        <v>0</v>
      </c>
      <c r="H1522" s="249">
        <f t="shared" si="437"/>
        <v>10.953933845049628</v>
      </c>
      <c r="I1522" s="336">
        <v>5.8567795915019288E-2</v>
      </c>
      <c r="J1522" s="258">
        <f t="shared" si="438"/>
        <v>5.8567795915019288E-2</v>
      </c>
      <c r="K1522" s="249">
        <f t="shared" si="439"/>
        <v>157.1751431968255</v>
      </c>
      <c r="L1522" s="336">
        <v>0.84037404642769253</v>
      </c>
      <c r="M1522" s="258">
        <f t="shared" si="440"/>
        <v>0.84037404642769253</v>
      </c>
      <c r="N1522" s="251">
        <f t="shared" si="441"/>
        <v>18.900905458124846</v>
      </c>
      <c r="O1522" s="336">
        <v>0.10105815765728818</v>
      </c>
      <c r="P1522" s="258">
        <f t="shared" si="442"/>
        <v>0.10105815765728818</v>
      </c>
      <c r="Q1522" s="354">
        <v>182.86499999999998</v>
      </c>
      <c r="R1522" s="249">
        <f t="shared" si="443"/>
        <v>187.02998249999999</v>
      </c>
      <c r="S1522" s="355">
        <v>0.1</v>
      </c>
      <c r="T1522" s="355"/>
      <c r="U1522" s="315">
        <f t="shared" si="444"/>
        <v>205.73298075</v>
      </c>
      <c r="V1522" s="315">
        <f t="shared" si="445"/>
        <v>210</v>
      </c>
      <c r="W1522" s="316">
        <f t="shared" si="446"/>
        <v>0</v>
      </c>
    </row>
    <row r="1523" spans="1:23" x14ac:dyDescent="0.25">
      <c r="A1523" s="204" t="s">
        <v>17179</v>
      </c>
      <c r="B1523" s="351" t="s">
        <v>21236</v>
      </c>
      <c r="C1523" s="352"/>
      <c r="D1523" s="353" t="s">
        <v>5</v>
      </c>
      <c r="E1523" s="249">
        <f t="shared" si="435"/>
        <v>0</v>
      </c>
      <c r="F1523" s="336">
        <v>0</v>
      </c>
      <c r="G1523" s="258">
        <f t="shared" si="436"/>
        <v>0</v>
      </c>
      <c r="H1523" s="249">
        <f t="shared" si="437"/>
        <v>6.3682173360351618E-2</v>
      </c>
      <c r="I1523" s="336">
        <v>5.8567795915019295E-2</v>
      </c>
      <c r="J1523" s="258">
        <f t="shared" si="438"/>
        <v>5.8567795915019295E-2</v>
      </c>
      <c r="K1523" s="249">
        <f t="shared" si="439"/>
        <v>0.9136994555946244</v>
      </c>
      <c r="L1523" s="336">
        <v>0.84031936127744511</v>
      </c>
      <c r="M1523" s="258">
        <f t="shared" si="440"/>
        <v>0.84031936127744511</v>
      </c>
      <c r="N1523" s="251">
        <f t="shared" si="441"/>
        <v>0.10988296579825374</v>
      </c>
      <c r="O1523" s="336">
        <v>0.10105815765728818</v>
      </c>
      <c r="P1523" s="258">
        <f t="shared" si="442"/>
        <v>0.10105815765728818</v>
      </c>
      <c r="Q1523" s="354">
        <v>1.0631686046511626</v>
      </c>
      <c r="R1523" s="249">
        <f t="shared" si="443"/>
        <v>1.0873240552325578</v>
      </c>
      <c r="S1523" s="355">
        <v>0.1</v>
      </c>
      <c r="T1523" s="355"/>
      <c r="U1523" s="315">
        <f t="shared" si="444"/>
        <v>1.1960564607558135</v>
      </c>
      <c r="V1523" s="315">
        <f t="shared" si="445"/>
        <v>2</v>
      </c>
      <c r="W1523" s="316">
        <f t="shared" si="446"/>
        <v>0</v>
      </c>
    </row>
    <row r="1524" spans="1:23" x14ac:dyDescent="0.25">
      <c r="A1524" s="204" t="s">
        <v>17180</v>
      </c>
      <c r="B1524" s="351" t="s">
        <v>21237</v>
      </c>
      <c r="C1524" s="352"/>
      <c r="D1524" s="353" t="s">
        <v>14859</v>
      </c>
      <c r="E1524" s="249">
        <f t="shared" si="435"/>
        <v>0</v>
      </c>
      <c r="F1524" s="336">
        <v>0</v>
      </c>
      <c r="G1524" s="258">
        <f t="shared" si="436"/>
        <v>0</v>
      </c>
      <c r="H1524" s="249">
        <f t="shared" si="437"/>
        <v>10.953933845049628</v>
      </c>
      <c r="I1524" s="336">
        <v>5.8567795915019288E-2</v>
      </c>
      <c r="J1524" s="258">
        <f t="shared" si="438"/>
        <v>5.8567795915019288E-2</v>
      </c>
      <c r="K1524" s="249">
        <f t="shared" si="439"/>
        <v>157.1751431968255</v>
      </c>
      <c r="L1524" s="336">
        <v>0.84037404642769253</v>
      </c>
      <c r="M1524" s="258">
        <f t="shared" si="440"/>
        <v>0.84037404642769253</v>
      </c>
      <c r="N1524" s="251">
        <f t="shared" si="441"/>
        <v>18.900905458124846</v>
      </c>
      <c r="O1524" s="336">
        <v>0.10105815765728818</v>
      </c>
      <c r="P1524" s="258">
        <f t="shared" si="442"/>
        <v>0.10105815765728818</v>
      </c>
      <c r="Q1524" s="354">
        <v>182.86499999999998</v>
      </c>
      <c r="R1524" s="249">
        <f t="shared" si="443"/>
        <v>187.02998249999999</v>
      </c>
      <c r="S1524" s="355">
        <v>0.1</v>
      </c>
      <c r="T1524" s="355"/>
      <c r="U1524" s="315">
        <f t="shared" si="444"/>
        <v>205.73298075</v>
      </c>
      <c r="V1524" s="315">
        <f t="shared" si="445"/>
        <v>210</v>
      </c>
      <c r="W1524" s="316">
        <f t="shared" si="446"/>
        <v>0</v>
      </c>
    </row>
    <row r="1525" spans="1:23" ht="14.4" thickBot="1" x14ac:dyDescent="0.3">
      <c r="A1525" s="356" t="s">
        <v>17181</v>
      </c>
      <c r="B1525" s="357" t="s">
        <v>21238</v>
      </c>
      <c r="C1525" s="358"/>
      <c r="D1525" s="359" t="s">
        <v>5</v>
      </c>
      <c r="E1525" s="266">
        <f t="shared" si="435"/>
        <v>0</v>
      </c>
      <c r="F1525" s="360">
        <v>0</v>
      </c>
      <c r="G1525" s="322">
        <f t="shared" si="436"/>
        <v>0</v>
      </c>
      <c r="H1525" s="266">
        <f t="shared" si="437"/>
        <v>6.3682173360351618E-2</v>
      </c>
      <c r="I1525" s="360">
        <v>5.8567795915019295E-2</v>
      </c>
      <c r="J1525" s="322">
        <f t="shared" si="438"/>
        <v>5.8567795915019295E-2</v>
      </c>
      <c r="K1525" s="266">
        <f t="shared" si="439"/>
        <v>0.9136994555946244</v>
      </c>
      <c r="L1525" s="360">
        <v>0.84031936127744511</v>
      </c>
      <c r="M1525" s="322">
        <f t="shared" si="440"/>
        <v>0.84031936127744511</v>
      </c>
      <c r="N1525" s="270">
        <f t="shared" si="441"/>
        <v>0.10988296579825374</v>
      </c>
      <c r="O1525" s="360">
        <v>0.10105815765728818</v>
      </c>
      <c r="P1525" s="322">
        <f t="shared" si="442"/>
        <v>0.10105815765728818</v>
      </c>
      <c r="Q1525" s="361">
        <v>1.0631686046511626</v>
      </c>
      <c r="R1525" s="266">
        <f t="shared" si="443"/>
        <v>1.0873240552325578</v>
      </c>
      <c r="S1525" s="362">
        <v>0.1</v>
      </c>
      <c r="T1525" s="362"/>
      <c r="U1525" s="324">
        <f t="shared" si="444"/>
        <v>1.1960564607558135</v>
      </c>
      <c r="V1525" s="324">
        <f t="shared" si="445"/>
        <v>2</v>
      </c>
      <c r="W1525" s="325">
        <f t="shared" si="446"/>
        <v>0</v>
      </c>
    </row>
    <row r="1526" spans="1:23" x14ac:dyDescent="0.25">
      <c r="A1526" s="204" t="s">
        <v>17182</v>
      </c>
      <c r="B1526" s="351" t="s">
        <v>21239</v>
      </c>
      <c r="C1526" s="352"/>
      <c r="D1526" s="353" t="s">
        <v>14859</v>
      </c>
      <c r="E1526" s="249">
        <f t="shared" si="435"/>
        <v>0</v>
      </c>
      <c r="F1526" s="336">
        <v>0</v>
      </c>
      <c r="G1526" s="258">
        <f t="shared" si="436"/>
        <v>0</v>
      </c>
      <c r="H1526" s="249">
        <f t="shared" si="437"/>
        <v>10.953933845049628</v>
      </c>
      <c r="I1526" s="336">
        <v>5.8567795915019288E-2</v>
      </c>
      <c r="J1526" s="258">
        <f t="shared" si="438"/>
        <v>5.8567795915019288E-2</v>
      </c>
      <c r="K1526" s="249">
        <f t="shared" si="439"/>
        <v>157.1751431968255</v>
      </c>
      <c r="L1526" s="336">
        <v>0.84037404642769253</v>
      </c>
      <c r="M1526" s="258">
        <f t="shared" si="440"/>
        <v>0.84037404642769253</v>
      </c>
      <c r="N1526" s="251">
        <f t="shared" si="441"/>
        <v>18.900905458124846</v>
      </c>
      <c r="O1526" s="336">
        <v>0.10105815765728818</v>
      </c>
      <c r="P1526" s="258">
        <f t="shared" si="442"/>
        <v>0.10105815765728818</v>
      </c>
      <c r="Q1526" s="354">
        <v>182.86499999999998</v>
      </c>
      <c r="R1526" s="249">
        <f t="shared" si="443"/>
        <v>187.02998249999999</v>
      </c>
      <c r="S1526" s="355">
        <v>0.1</v>
      </c>
      <c r="T1526" s="355"/>
      <c r="U1526" s="315">
        <f t="shared" si="444"/>
        <v>205.73298075</v>
      </c>
      <c r="V1526" s="315">
        <f t="shared" si="445"/>
        <v>210</v>
      </c>
      <c r="W1526" s="316">
        <f t="shared" si="446"/>
        <v>0</v>
      </c>
    </row>
    <row r="1527" spans="1:23" x14ac:dyDescent="0.25">
      <c r="A1527" s="204" t="s">
        <v>17183</v>
      </c>
      <c r="B1527" s="351" t="s">
        <v>21240</v>
      </c>
      <c r="C1527" s="352"/>
      <c r="D1527" s="353" t="s">
        <v>5</v>
      </c>
      <c r="E1527" s="249">
        <f t="shared" si="435"/>
        <v>0</v>
      </c>
      <c r="F1527" s="336">
        <v>0</v>
      </c>
      <c r="G1527" s="258">
        <f t="shared" si="436"/>
        <v>0</v>
      </c>
      <c r="H1527" s="249">
        <f t="shared" si="437"/>
        <v>6.3706423848609237E-2</v>
      </c>
      <c r="I1527" s="336">
        <v>4.5751633986928109E-2</v>
      </c>
      <c r="J1527" s="258">
        <f t="shared" si="438"/>
        <v>4.5751633986928109E-2</v>
      </c>
      <c r="K1527" s="249">
        <f t="shared" si="439"/>
        <v>1.2187496902279691</v>
      </c>
      <c r="L1527" s="336">
        <v>0.87526165150155943</v>
      </c>
      <c r="M1527" s="258">
        <f t="shared" si="440"/>
        <v>0.87526165150155943</v>
      </c>
      <c r="N1527" s="251">
        <f t="shared" si="441"/>
        <v>0.1099248097779924</v>
      </c>
      <c r="O1527" s="336">
        <v>7.89439958990132E-2</v>
      </c>
      <c r="P1527" s="258">
        <f t="shared" si="442"/>
        <v>7.89439958990132E-2</v>
      </c>
      <c r="Q1527" s="354">
        <v>1.3609883720930234</v>
      </c>
      <c r="R1527" s="249">
        <f t="shared" si="443"/>
        <v>1.3924404069767446</v>
      </c>
      <c r="S1527" s="355">
        <v>0.1</v>
      </c>
      <c r="T1527" s="355"/>
      <c r="U1527" s="315">
        <f t="shared" si="444"/>
        <v>1.5316844476744191</v>
      </c>
      <c r="V1527" s="315">
        <f t="shared" si="445"/>
        <v>2</v>
      </c>
      <c r="W1527" s="316">
        <f t="shared" si="446"/>
        <v>0</v>
      </c>
    </row>
    <row r="1528" spans="1:23" x14ac:dyDescent="0.25">
      <c r="A1528" s="204" t="s">
        <v>17184</v>
      </c>
      <c r="B1528" s="351" t="s">
        <v>21241</v>
      </c>
      <c r="C1528" s="352"/>
      <c r="D1528" s="353" t="s">
        <v>14859</v>
      </c>
      <c r="E1528" s="249">
        <f t="shared" si="435"/>
        <v>0</v>
      </c>
      <c r="F1528" s="336">
        <v>0</v>
      </c>
      <c r="G1528" s="258">
        <f t="shared" si="436"/>
        <v>0</v>
      </c>
      <c r="H1528" s="249">
        <f t="shared" si="437"/>
        <v>10.957973627450981</v>
      </c>
      <c r="I1528" s="336">
        <v>4.5751633986928109E-2</v>
      </c>
      <c r="J1528" s="258">
        <f t="shared" si="438"/>
        <v>4.5751633986928109E-2</v>
      </c>
      <c r="K1528" s="249">
        <f t="shared" si="439"/>
        <v>209.64414530949637</v>
      </c>
      <c r="L1528" s="336">
        <v>0.87530437011405871</v>
      </c>
      <c r="M1528" s="258">
        <f t="shared" si="440"/>
        <v>0.87530437011405871</v>
      </c>
      <c r="N1528" s="251">
        <f t="shared" si="441"/>
        <v>18.907876063052672</v>
      </c>
      <c r="O1528" s="336">
        <v>7.89439958990132E-2</v>
      </c>
      <c r="P1528" s="258">
        <f t="shared" si="442"/>
        <v>7.89439958990132E-2</v>
      </c>
      <c r="Q1528" s="354">
        <v>234.09</v>
      </c>
      <c r="R1528" s="249">
        <f t="shared" si="443"/>
        <v>239.509995</v>
      </c>
      <c r="S1528" s="355">
        <v>0.1</v>
      </c>
      <c r="T1528" s="355"/>
      <c r="U1528" s="315">
        <f t="shared" si="444"/>
        <v>263.46099450000003</v>
      </c>
      <c r="V1528" s="315">
        <f t="shared" si="445"/>
        <v>265</v>
      </c>
      <c r="W1528" s="316">
        <f t="shared" si="446"/>
        <v>0</v>
      </c>
    </row>
    <row r="1529" spans="1:23" x14ac:dyDescent="0.25">
      <c r="A1529" s="204" t="s">
        <v>17185</v>
      </c>
      <c r="B1529" s="351" t="s">
        <v>21242</v>
      </c>
      <c r="C1529" s="352"/>
      <c r="D1529" s="353" t="s">
        <v>5</v>
      </c>
      <c r="E1529" s="249">
        <f t="shared" si="435"/>
        <v>0</v>
      </c>
      <c r="F1529" s="336">
        <v>0</v>
      </c>
      <c r="G1529" s="258">
        <f t="shared" si="436"/>
        <v>0</v>
      </c>
      <c r="H1529" s="249">
        <f t="shared" si="437"/>
        <v>6.3714961628444283E-2</v>
      </c>
      <c r="I1529" s="336">
        <v>4.123949519161349E-2</v>
      </c>
      <c r="J1529" s="258">
        <f t="shared" si="438"/>
        <v>4.123949519161349E-2</v>
      </c>
      <c r="K1529" s="249">
        <f t="shared" si="439"/>
        <v>1.3712845884930418</v>
      </c>
      <c r="L1529" s="336">
        <v>0.88756365456628272</v>
      </c>
      <c r="M1529" s="258">
        <f t="shared" si="440"/>
        <v>0.88756365456628272</v>
      </c>
      <c r="N1529" s="251">
        <f t="shared" si="441"/>
        <v>0.10993954163339405</v>
      </c>
      <c r="O1529" s="336">
        <v>7.1158344644352681E-2</v>
      </c>
      <c r="P1529" s="258">
        <f t="shared" si="442"/>
        <v>7.1158344644352681E-2</v>
      </c>
      <c r="Q1529" s="354">
        <v>1.5098982558139533</v>
      </c>
      <c r="R1529" s="249">
        <f t="shared" si="443"/>
        <v>1.5449985828488373</v>
      </c>
      <c r="S1529" s="355">
        <v>0.1</v>
      </c>
      <c r="T1529" s="355"/>
      <c r="U1529" s="315">
        <f t="shared" si="444"/>
        <v>1.6994984411337211</v>
      </c>
      <c r="V1529" s="315">
        <f t="shared" si="445"/>
        <v>2</v>
      </c>
      <c r="W1529" s="316">
        <f t="shared" si="446"/>
        <v>0</v>
      </c>
    </row>
    <row r="1530" spans="1:23" x14ac:dyDescent="0.25">
      <c r="A1530" s="204" t="s">
        <v>17186</v>
      </c>
      <c r="B1530" s="351" t="s">
        <v>21243</v>
      </c>
      <c r="C1530" s="352"/>
      <c r="D1530" s="353" t="s">
        <v>14859</v>
      </c>
      <c r="E1530" s="249">
        <f t="shared" si="435"/>
        <v>0</v>
      </c>
      <c r="F1530" s="336">
        <v>0</v>
      </c>
      <c r="G1530" s="258">
        <f t="shared" si="436"/>
        <v>0</v>
      </c>
      <c r="H1530" s="249">
        <f t="shared" si="437"/>
        <v>10.959395898720651</v>
      </c>
      <c r="I1530" s="336">
        <v>4.1239495191613483E-2</v>
      </c>
      <c r="J1530" s="258">
        <f t="shared" si="438"/>
        <v>4.1239495191613483E-2</v>
      </c>
      <c r="K1530" s="249">
        <f t="shared" si="439"/>
        <v>235.88027517309465</v>
      </c>
      <c r="L1530" s="336">
        <v>0.88760216016403382</v>
      </c>
      <c r="M1530" s="258">
        <f t="shared" si="440"/>
        <v>0.88760216016403382</v>
      </c>
      <c r="N1530" s="251">
        <f t="shared" si="441"/>
        <v>18.910330178184655</v>
      </c>
      <c r="O1530" s="336">
        <v>7.1158344644352681E-2</v>
      </c>
      <c r="P1530" s="258">
        <f t="shared" si="442"/>
        <v>7.1158344644352681E-2</v>
      </c>
      <c r="Q1530" s="354">
        <v>259.70249999999999</v>
      </c>
      <c r="R1530" s="249">
        <f t="shared" si="443"/>
        <v>265.75000124999997</v>
      </c>
      <c r="S1530" s="355">
        <v>0.1</v>
      </c>
      <c r="T1530" s="355"/>
      <c r="U1530" s="315">
        <f t="shared" si="444"/>
        <v>292.32500137499994</v>
      </c>
      <c r="V1530" s="315">
        <f t="shared" si="445"/>
        <v>295</v>
      </c>
      <c r="W1530" s="316">
        <f t="shared" si="446"/>
        <v>0</v>
      </c>
    </row>
    <row r="1531" spans="1:23" x14ac:dyDescent="0.25">
      <c r="A1531" s="204" t="s">
        <v>17187</v>
      </c>
      <c r="B1531" s="351" t="s">
        <v>21244</v>
      </c>
      <c r="C1531" s="352"/>
      <c r="D1531" s="353" t="s">
        <v>5</v>
      </c>
      <c r="E1531" s="249">
        <f t="shared" si="435"/>
        <v>0</v>
      </c>
      <c r="F1531" s="336">
        <v>0</v>
      </c>
      <c r="G1531" s="258">
        <f t="shared" si="436"/>
        <v>0</v>
      </c>
      <c r="H1531" s="249">
        <f t="shared" si="437"/>
        <v>6.3721966548906175E-2</v>
      </c>
      <c r="I1531" s="336">
        <v>3.7537458598391256E-2</v>
      </c>
      <c r="J1531" s="258">
        <f t="shared" si="438"/>
        <v>3.7537458598391256E-2</v>
      </c>
      <c r="K1531" s="249">
        <f t="shared" si="439"/>
        <v>1.523823665982549</v>
      </c>
      <c r="L1531" s="336">
        <v>0.89765697562343361</v>
      </c>
      <c r="M1531" s="258">
        <f t="shared" si="440"/>
        <v>0.89765697562343361</v>
      </c>
      <c r="N1531" s="251">
        <f t="shared" si="441"/>
        <v>0.10995162855497534</v>
      </c>
      <c r="O1531" s="336">
        <v>6.477051679722412E-2</v>
      </c>
      <c r="P1531" s="258">
        <f t="shared" si="442"/>
        <v>6.477051679722412E-2</v>
      </c>
      <c r="Q1531" s="354">
        <v>1.6588081395348837</v>
      </c>
      <c r="R1531" s="249">
        <f t="shared" si="443"/>
        <v>1.6975567587209301</v>
      </c>
      <c r="S1531" s="355">
        <v>0.1</v>
      </c>
      <c r="T1531" s="355"/>
      <c r="U1531" s="315">
        <f t="shared" si="444"/>
        <v>1.8673124345930232</v>
      </c>
      <c r="V1531" s="315">
        <f t="shared" si="445"/>
        <v>2</v>
      </c>
      <c r="W1531" s="316">
        <f t="shared" si="446"/>
        <v>0</v>
      </c>
    </row>
    <row r="1532" spans="1:23" x14ac:dyDescent="0.25">
      <c r="A1532" s="204" t="s">
        <v>17188</v>
      </c>
      <c r="B1532" s="351" t="s">
        <v>21245</v>
      </c>
      <c r="C1532" s="352"/>
      <c r="D1532" s="353" t="s">
        <v>14859</v>
      </c>
      <c r="E1532" s="249">
        <f t="shared" si="435"/>
        <v>0</v>
      </c>
      <c r="F1532" s="336">
        <v>0</v>
      </c>
      <c r="G1532" s="258">
        <f t="shared" si="436"/>
        <v>0</v>
      </c>
      <c r="H1532" s="249">
        <f t="shared" si="437"/>
        <v>10.960562817675202</v>
      </c>
      <c r="I1532" s="336">
        <v>3.7537458598391256E-2</v>
      </c>
      <c r="J1532" s="258">
        <f t="shared" si="438"/>
        <v>3.7537458598391256E-2</v>
      </c>
      <c r="K1532" s="249">
        <f t="shared" si="439"/>
        <v>262.11710099692448</v>
      </c>
      <c r="L1532" s="336">
        <v>0.89769202460438469</v>
      </c>
      <c r="M1532" s="258">
        <f t="shared" si="440"/>
        <v>0.89769202460438469</v>
      </c>
      <c r="N1532" s="251">
        <f t="shared" si="441"/>
        <v>18.912343685400348</v>
      </c>
      <c r="O1532" s="336">
        <v>6.477051679722412E-2</v>
      </c>
      <c r="P1532" s="258">
        <f t="shared" si="442"/>
        <v>6.477051679722412E-2</v>
      </c>
      <c r="Q1532" s="354">
        <v>285.315</v>
      </c>
      <c r="R1532" s="249">
        <f t="shared" si="443"/>
        <v>291.99000749999999</v>
      </c>
      <c r="S1532" s="355">
        <v>0.1</v>
      </c>
      <c r="T1532" s="355"/>
      <c r="U1532" s="315">
        <f t="shared" si="444"/>
        <v>321.18900824999997</v>
      </c>
      <c r="V1532" s="315">
        <f t="shared" si="445"/>
        <v>325</v>
      </c>
      <c r="W1532" s="316">
        <f t="shared" si="446"/>
        <v>0</v>
      </c>
    </row>
    <row r="1533" spans="1:23" x14ac:dyDescent="0.25">
      <c r="A1533" s="204" t="s">
        <v>17189</v>
      </c>
      <c r="B1533" s="351" t="s">
        <v>21246</v>
      </c>
      <c r="C1533" s="352"/>
      <c r="D1533" s="353" t="s">
        <v>5</v>
      </c>
      <c r="E1533" s="249">
        <f t="shared" si="435"/>
        <v>0</v>
      </c>
      <c r="F1533" s="336">
        <v>0</v>
      </c>
      <c r="G1533" s="258">
        <f t="shared" si="436"/>
        <v>0</v>
      </c>
      <c r="H1533" s="249">
        <f t="shared" si="437"/>
        <v>6.372969455496745E-2</v>
      </c>
      <c r="I1533" s="336">
        <v>3.3453277858990223E-2</v>
      </c>
      <c r="J1533" s="258">
        <f t="shared" si="438"/>
        <v>3.3453277858990223E-2</v>
      </c>
      <c r="K1533" s="249">
        <f t="shared" si="439"/>
        <v>1.7312817153481479</v>
      </c>
      <c r="L1533" s="336">
        <v>0.90879218361507785</v>
      </c>
      <c r="M1533" s="258">
        <f t="shared" si="440"/>
        <v>0.90879218361507785</v>
      </c>
      <c r="N1533" s="251">
        <f t="shared" si="441"/>
        <v>0.10996496315366931</v>
      </c>
      <c r="O1533" s="336">
        <v>5.7723302972375282E-2</v>
      </c>
      <c r="P1533" s="258">
        <f t="shared" si="442"/>
        <v>5.7723302972375282E-2</v>
      </c>
      <c r="Q1533" s="354">
        <v>1.8613255813953486</v>
      </c>
      <c r="R1533" s="249">
        <f t="shared" si="443"/>
        <v>1.9050358779069763</v>
      </c>
      <c r="S1533" s="355">
        <v>0.1</v>
      </c>
      <c r="T1533" s="355"/>
      <c r="U1533" s="315">
        <f t="shared" si="444"/>
        <v>2.0955394656976738</v>
      </c>
      <c r="V1533" s="315">
        <f t="shared" si="445"/>
        <v>3</v>
      </c>
      <c r="W1533" s="316">
        <f t="shared" si="446"/>
        <v>0</v>
      </c>
    </row>
    <row r="1534" spans="1:23" x14ac:dyDescent="0.25">
      <c r="A1534" s="204" t="s">
        <v>17190</v>
      </c>
      <c r="B1534" s="351" t="s">
        <v>21247</v>
      </c>
      <c r="C1534" s="352"/>
      <c r="D1534" s="353" t="s">
        <v>14859</v>
      </c>
      <c r="E1534" s="249">
        <f t="shared" si="435"/>
        <v>0</v>
      </c>
      <c r="F1534" s="336">
        <v>0</v>
      </c>
      <c r="G1534" s="258">
        <f t="shared" si="436"/>
        <v>0</v>
      </c>
      <c r="H1534" s="249">
        <f t="shared" si="437"/>
        <v>10.961850192286068</v>
      </c>
      <c r="I1534" s="336">
        <v>3.3453277858990223E-2</v>
      </c>
      <c r="J1534" s="258">
        <f t="shared" si="438"/>
        <v>3.3453277858990223E-2</v>
      </c>
      <c r="K1534" s="249">
        <f t="shared" si="439"/>
        <v>297.80000077004382</v>
      </c>
      <c r="L1534" s="336">
        <v>0.90882341916863452</v>
      </c>
      <c r="M1534" s="258">
        <f t="shared" si="440"/>
        <v>0.90882341916863452</v>
      </c>
      <c r="N1534" s="251">
        <f t="shared" si="441"/>
        <v>18.914565037670076</v>
      </c>
      <c r="O1534" s="336">
        <v>5.7723302972375282E-2</v>
      </c>
      <c r="P1534" s="258">
        <f t="shared" si="442"/>
        <v>5.7723302972375282E-2</v>
      </c>
      <c r="Q1534" s="354">
        <v>320.14799999999997</v>
      </c>
      <c r="R1534" s="249">
        <f t="shared" si="443"/>
        <v>327.67641599999996</v>
      </c>
      <c r="S1534" s="355">
        <v>0.1</v>
      </c>
      <c r="T1534" s="355"/>
      <c r="U1534" s="315">
        <f t="shared" si="444"/>
        <v>360.44405759999995</v>
      </c>
      <c r="V1534" s="315">
        <f t="shared" si="445"/>
        <v>365</v>
      </c>
      <c r="W1534" s="316">
        <f t="shared" si="446"/>
        <v>0</v>
      </c>
    </row>
    <row r="1535" spans="1:23" x14ac:dyDescent="0.25">
      <c r="A1535" s="204" t="s">
        <v>17191</v>
      </c>
      <c r="B1535" s="351" t="s">
        <v>21248</v>
      </c>
      <c r="C1535" s="352"/>
      <c r="D1535" s="353" t="s">
        <v>5</v>
      </c>
      <c r="E1535" s="249">
        <f t="shared" si="435"/>
        <v>0</v>
      </c>
      <c r="F1535" s="336">
        <v>0</v>
      </c>
      <c r="G1535" s="258">
        <f t="shared" si="436"/>
        <v>0</v>
      </c>
      <c r="H1535" s="249">
        <f t="shared" si="437"/>
        <v>6.3734556680702575E-2</v>
      </c>
      <c r="I1535" s="336">
        <v>3.0883688740862499E-2</v>
      </c>
      <c r="J1535" s="258">
        <f t="shared" si="438"/>
        <v>3.0883688740862499E-2</v>
      </c>
      <c r="K1535" s="249">
        <f t="shared" si="439"/>
        <v>1.8899289620393014</v>
      </c>
      <c r="L1535" s="336">
        <v>0.91579797280735886</v>
      </c>
      <c r="M1535" s="258">
        <f t="shared" si="440"/>
        <v>0.91579797280735886</v>
      </c>
      <c r="N1535" s="251">
        <f t="shared" si="441"/>
        <v>0.10997335270395737</v>
      </c>
      <c r="O1535" s="336">
        <v>5.3289502141096075E-2</v>
      </c>
      <c r="P1535" s="258">
        <f t="shared" si="442"/>
        <v>5.3289502141096075E-2</v>
      </c>
      <c r="Q1535" s="354">
        <v>2.0161918604651161</v>
      </c>
      <c r="R1535" s="249">
        <f t="shared" si="443"/>
        <v>2.063696380813953</v>
      </c>
      <c r="S1535" s="355">
        <v>0.1</v>
      </c>
      <c r="T1535" s="355"/>
      <c r="U1535" s="315">
        <f t="shared" si="444"/>
        <v>2.2700660188953483</v>
      </c>
      <c r="V1535" s="315">
        <f t="shared" si="445"/>
        <v>3</v>
      </c>
      <c r="W1535" s="316">
        <f t="shared" si="446"/>
        <v>0</v>
      </c>
    </row>
    <row r="1536" spans="1:23" x14ac:dyDescent="0.25">
      <c r="A1536" s="204" t="s">
        <v>17192</v>
      </c>
      <c r="B1536" s="351" t="s">
        <v>21249</v>
      </c>
      <c r="C1536" s="352"/>
      <c r="D1536" s="353" t="s">
        <v>14859</v>
      </c>
      <c r="E1536" s="249">
        <f t="shared" si="435"/>
        <v>0</v>
      </c>
      <c r="F1536" s="336">
        <v>0</v>
      </c>
      <c r="G1536" s="258">
        <f t="shared" si="436"/>
        <v>0</v>
      </c>
      <c r="H1536" s="249">
        <f t="shared" si="437"/>
        <v>10.962660152471994</v>
      </c>
      <c r="I1536" s="336">
        <v>3.0883688740862499E-2</v>
      </c>
      <c r="J1536" s="258">
        <f t="shared" si="438"/>
        <v>3.0883688740862499E-2</v>
      </c>
      <c r="K1536" s="249">
        <f t="shared" si="439"/>
        <v>325.0873997314979</v>
      </c>
      <c r="L1536" s="336">
        <v>0.91582680911804148</v>
      </c>
      <c r="M1536" s="258">
        <f t="shared" si="440"/>
        <v>0.91582680911804148</v>
      </c>
      <c r="N1536" s="251">
        <f t="shared" si="441"/>
        <v>18.915962616030104</v>
      </c>
      <c r="O1536" s="336">
        <v>5.3289502141096075E-2</v>
      </c>
      <c r="P1536" s="258">
        <f t="shared" si="442"/>
        <v>5.3289502141096075E-2</v>
      </c>
      <c r="Q1536" s="354">
        <v>346.78499999999997</v>
      </c>
      <c r="R1536" s="249">
        <f t="shared" si="443"/>
        <v>354.96602249999995</v>
      </c>
      <c r="S1536" s="355">
        <v>0.1</v>
      </c>
      <c r="T1536" s="355"/>
      <c r="U1536" s="315">
        <f t="shared" si="444"/>
        <v>390.46262474999992</v>
      </c>
      <c r="V1536" s="315">
        <f t="shared" si="445"/>
        <v>395</v>
      </c>
      <c r="W1536" s="316">
        <f t="shared" si="446"/>
        <v>0</v>
      </c>
    </row>
    <row r="1537" spans="1:23" x14ac:dyDescent="0.25">
      <c r="A1537" s="204" t="s">
        <v>17193</v>
      </c>
      <c r="B1537" s="351" t="s">
        <v>21250</v>
      </c>
      <c r="C1537" s="352"/>
      <c r="D1537" s="353" t="s">
        <v>5</v>
      </c>
      <c r="E1537" s="249">
        <f t="shared" si="435"/>
        <v>0</v>
      </c>
      <c r="F1537" s="336">
        <v>0</v>
      </c>
      <c r="G1537" s="258">
        <f t="shared" si="436"/>
        <v>0</v>
      </c>
      <c r="H1537" s="249">
        <f t="shared" si="437"/>
        <v>6.3737036405026926E-2</v>
      </c>
      <c r="I1537" s="336">
        <v>2.9573177045581628E-2</v>
      </c>
      <c r="J1537" s="258">
        <f t="shared" si="438"/>
        <v>2.9573177045581628E-2</v>
      </c>
      <c r="K1537" s="249">
        <f t="shared" si="439"/>
        <v>1.9814571067828874</v>
      </c>
      <c r="L1537" s="336">
        <v>0.91937098321839561</v>
      </c>
      <c r="M1537" s="258">
        <f t="shared" si="440"/>
        <v>0.91937098321839561</v>
      </c>
      <c r="N1537" s="251">
        <f t="shared" si="441"/>
        <v>0.10997763144396802</v>
      </c>
      <c r="O1537" s="336">
        <v>5.1028227059042808E-2</v>
      </c>
      <c r="P1537" s="258">
        <f t="shared" si="442"/>
        <v>5.1028227059042808E-2</v>
      </c>
      <c r="Q1537" s="354">
        <v>2.1055377906976744</v>
      </c>
      <c r="R1537" s="249">
        <f t="shared" si="443"/>
        <v>2.1552312863372092</v>
      </c>
      <c r="S1537" s="355">
        <v>0.1</v>
      </c>
      <c r="T1537" s="355"/>
      <c r="U1537" s="315">
        <f t="shared" si="444"/>
        <v>2.3707544149709303</v>
      </c>
      <c r="V1537" s="315">
        <f t="shared" si="445"/>
        <v>3</v>
      </c>
      <c r="W1537" s="316">
        <f t="shared" si="446"/>
        <v>0</v>
      </c>
    </row>
    <row r="1538" spans="1:23" x14ac:dyDescent="0.25">
      <c r="A1538" s="204" t="s">
        <v>17194</v>
      </c>
      <c r="B1538" s="351" t="s">
        <v>21251</v>
      </c>
      <c r="C1538" s="352"/>
      <c r="D1538" s="353" t="s">
        <v>14859</v>
      </c>
      <c r="E1538" s="249">
        <f t="shared" ref="E1538:E1601" si="447">R1538*G1538</f>
        <v>0</v>
      </c>
      <c r="F1538" s="336">
        <v>0</v>
      </c>
      <c r="G1538" s="258">
        <f t="shared" ref="G1538:G1601" si="448">F1538</f>
        <v>0</v>
      </c>
      <c r="H1538" s="249">
        <f t="shared" ref="H1538:H1601" si="449">R1538*J1538</f>
        <v>10.963073238863462</v>
      </c>
      <c r="I1538" s="336">
        <v>2.9573177045581631E-2</v>
      </c>
      <c r="J1538" s="258">
        <f t="shared" ref="J1538:J1601" si="450">I1538</f>
        <v>2.9573177045581631E-2</v>
      </c>
      <c r="K1538" s="249">
        <f t="shared" ref="K1538:K1601" si="451">R1538*M1538</f>
        <v>340.83027761858773</v>
      </c>
      <c r="L1538" s="336">
        <v>0.91939859589537554</v>
      </c>
      <c r="M1538" s="258">
        <f t="shared" ref="M1538:M1601" si="452">L1538</f>
        <v>0.91939859589537554</v>
      </c>
      <c r="N1538" s="251">
        <f t="shared" ref="N1538:N1601" si="453">P1538*R1538</f>
        <v>18.916675392548719</v>
      </c>
      <c r="O1538" s="336">
        <v>5.1028227059042815E-2</v>
      </c>
      <c r="P1538" s="258">
        <f t="shared" ref="P1538:P1601" si="454">O1538</f>
        <v>5.1028227059042815E-2</v>
      </c>
      <c r="Q1538" s="354">
        <v>362.15249999999997</v>
      </c>
      <c r="R1538" s="249">
        <f t="shared" ref="R1538:R1601" si="455">SUM(F1538*Q1538*1.0235,I1538*Q1538*1.0175,L1538*Q1538*1.0245,O1538*Q1538*1.0115)</f>
        <v>370.71002624999994</v>
      </c>
      <c r="S1538" s="355">
        <v>0.1</v>
      </c>
      <c r="T1538" s="355"/>
      <c r="U1538" s="315">
        <f t="shared" si="444"/>
        <v>407.78102887499995</v>
      </c>
      <c r="V1538" s="315">
        <f t="shared" si="445"/>
        <v>410</v>
      </c>
      <c r="W1538" s="316">
        <f t="shared" si="446"/>
        <v>0</v>
      </c>
    </row>
    <row r="1539" spans="1:23" x14ac:dyDescent="0.25">
      <c r="A1539" s="204" t="s">
        <v>17195</v>
      </c>
      <c r="B1539" s="351" t="s">
        <v>21252</v>
      </c>
      <c r="C1539" s="352"/>
      <c r="D1539" s="353" t="s">
        <v>5</v>
      </c>
      <c r="E1539" s="249">
        <f t="shared" si="447"/>
        <v>0</v>
      </c>
      <c r="F1539" s="336">
        <v>0</v>
      </c>
      <c r="G1539" s="258">
        <f t="shared" si="448"/>
        <v>0</v>
      </c>
      <c r="H1539" s="249">
        <f t="shared" si="449"/>
        <v>6.3742077751055684E-2</v>
      </c>
      <c r="I1539" s="336">
        <v>2.6908871636391045E-2</v>
      </c>
      <c r="J1539" s="258">
        <f t="shared" si="450"/>
        <v>2.6908871636391045E-2</v>
      </c>
      <c r="K1539" s="249">
        <f t="shared" si="451"/>
        <v>2.1950248081575023</v>
      </c>
      <c r="L1539" s="336">
        <v>0.9266350091706238</v>
      </c>
      <c r="M1539" s="258">
        <f t="shared" si="452"/>
        <v>0.9266350091706238</v>
      </c>
      <c r="N1539" s="251">
        <f t="shared" si="453"/>
        <v>0.1099863302371157</v>
      </c>
      <c r="O1539" s="336">
        <v>4.6430994196125723E-2</v>
      </c>
      <c r="P1539" s="258">
        <f t="shared" si="454"/>
        <v>4.6430994196125723E-2</v>
      </c>
      <c r="Q1539" s="354">
        <v>2.3140116279069769</v>
      </c>
      <c r="R1539" s="249">
        <f t="shared" si="455"/>
        <v>2.3688127325581396</v>
      </c>
      <c r="S1539" s="355">
        <v>0.1</v>
      </c>
      <c r="T1539" s="355"/>
      <c r="U1539" s="315">
        <f t="shared" si="444"/>
        <v>2.6056940058139535</v>
      </c>
      <c r="V1539" s="315">
        <f t="shared" si="445"/>
        <v>3</v>
      </c>
      <c r="W1539" s="316">
        <f t="shared" si="446"/>
        <v>0</v>
      </c>
    </row>
    <row r="1540" spans="1:23" x14ac:dyDescent="0.25">
      <c r="A1540" s="204" t="s">
        <v>17196</v>
      </c>
      <c r="B1540" s="351" t="s">
        <v>21253</v>
      </c>
      <c r="C1540" s="352"/>
      <c r="D1540" s="353" t="s">
        <v>14859</v>
      </c>
      <c r="E1540" s="249">
        <f t="shared" si="447"/>
        <v>0</v>
      </c>
      <c r="F1540" s="336">
        <v>0</v>
      </c>
      <c r="G1540" s="258">
        <f t="shared" si="448"/>
        <v>0</v>
      </c>
      <c r="H1540" s="249">
        <f t="shared" si="449"/>
        <v>10.963913054571494</v>
      </c>
      <c r="I1540" s="336">
        <v>2.6908871636391048E-2</v>
      </c>
      <c r="J1540" s="258">
        <f t="shared" si="450"/>
        <v>2.6908871636391048E-2</v>
      </c>
      <c r="K1540" s="249">
        <f t="shared" si="451"/>
        <v>377.56399745910909</v>
      </c>
      <c r="L1540" s="336">
        <v>0.92666013416748327</v>
      </c>
      <c r="M1540" s="258">
        <f t="shared" si="452"/>
        <v>0.92666013416748327</v>
      </c>
      <c r="N1540" s="251">
        <f t="shared" si="453"/>
        <v>18.918124486319442</v>
      </c>
      <c r="O1540" s="336">
        <v>4.643099419612573E-2</v>
      </c>
      <c r="P1540" s="258">
        <f t="shared" si="454"/>
        <v>4.643099419612573E-2</v>
      </c>
      <c r="Q1540" s="354">
        <v>398.01</v>
      </c>
      <c r="R1540" s="249">
        <f t="shared" si="455"/>
        <v>407.44603499999999</v>
      </c>
      <c r="S1540" s="355">
        <v>0.1</v>
      </c>
      <c r="T1540" s="355"/>
      <c r="U1540" s="315">
        <f t="shared" si="444"/>
        <v>448.19063849999998</v>
      </c>
      <c r="V1540" s="315">
        <f t="shared" si="445"/>
        <v>450</v>
      </c>
      <c r="W1540" s="316">
        <f t="shared" si="446"/>
        <v>0</v>
      </c>
    </row>
    <row r="1541" spans="1:23" x14ac:dyDescent="0.25">
      <c r="A1541" s="204" t="s">
        <v>17197</v>
      </c>
      <c r="B1541" s="351" t="s">
        <v>21254</v>
      </c>
      <c r="C1541" s="352"/>
      <c r="D1541" s="353" t="s">
        <v>5</v>
      </c>
      <c r="E1541" s="249">
        <f t="shared" si="447"/>
        <v>0</v>
      </c>
      <c r="F1541" s="336">
        <v>0</v>
      </c>
      <c r="G1541" s="258">
        <f t="shared" si="448"/>
        <v>0</v>
      </c>
      <c r="H1541" s="249">
        <f t="shared" si="449"/>
        <v>6.3745271606372819E-2</v>
      </c>
      <c r="I1541" s="336">
        <v>2.5220948222876891E-2</v>
      </c>
      <c r="J1541" s="258">
        <f t="shared" si="450"/>
        <v>2.5220948222876891E-2</v>
      </c>
      <c r="K1541" s="249">
        <f t="shared" si="451"/>
        <v>2.3536766032609995</v>
      </c>
      <c r="L1541" s="336">
        <v>0.93123700391148401</v>
      </c>
      <c r="M1541" s="258">
        <f t="shared" si="452"/>
        <v>0.93123700391148401</v>
      </c>
      <c r="N1541" s="251">
        <f t="shared" si="453"/>
        <v>0.10999184120315308</v>
      </c>
      <c r="O1541" s="336">
        <v>4.3518498894375805E-2</v>
      </c>
      <c r="P1541" s="258">
        <f t="shared" si="454"/>
        <v>4.3518498894375805E-2</v>
      </c>
      <c r="Q1541" s="354">
        <v>2.4688779069767439</v>
      </c>
      <c r="R1541" s="249">
        <f t="shared" si="455"/>
        <v>2.5274732354651159</v>
      </c>
      <c r="S1541" s="355">
        <v>0.1</v>
      </c>
      <c r="T1541" s="355"/>
      <c r="U1541" s="315">
        <f t="shared" si="444"/>
        <v>2.7802205590116276</v>
      </c>
      <c r="V1541" s="315">
        <f t="shared" si="445"/>
        <v>3</v>
      </c>
      <c r="W1541" s="316">
        <f t="shared" si="446"/>
        <v>0</v>
      </c>
    </row>
    <row r="1542" spans="1:23" x14ac:dyDescent="0.25">
      <c r="A1542" s="204" t="s">
        <v>17198</v>
      </c>
      <c r="B1542" s="351" t="s">
        <v>21255</v>
      </c>
      <c r="C1542" s="352"/>
      <c r="D1542" s="353" t="s">
        <v>14859</v>
      </c>
      <c r="E1542" s="249">
        <f t="shared" si="447"/>
        <v>0</v>
      </c>
      <c r="F1542" s="336">
        <v>0</v>
      </c>
      <c r="G1542" s="258">
        <f t="shared" si="448"/>
        <v>0</v>
      </c>
      <c r="H1542" s="249">
        <f t="shared" si="449"/>
        <v>10.964445104910668</v>
      </c>
      <c r="I1542" s="336">
        <v>2.5220948222876887E-2</v>
      </c>
      <c r="J1542" s="258">
        <f t="shared" si="450"/>
        <v>2.5220948222876887E-2</v>
      </c>
      <c r="K1542" s="249">
        <f t="shared" si="451"/>
        <v>404.85215386112583</v>
      </c>
      <c r="L1542" s="336">
        <v>0.93126055288274734</v>
      </c>
      <c r="M1542" s="258">
        <f t="shared" si="452"/>
        <v>0.93126055288274734</v>
      </c>
      <c r="N1542" s="251">
        <f t="shared" si="453"/>
        <v>18.919042533963502</v>
      </c>
      <c r="O1542" s="336">
        <v>4.3518498894375798E-2</v>
      </c>
      <c r="P1542" s="258">
        <f t="shared" si="454"/>
        <v>4.3518498894375798E-2</v>
      </c>
      <c r="Q1542" s="354">
        <v>424.64699999999999</v>
      </c>
      <c r="R1542" s="249">
        <f t="shared" si="455"/>
        <v>434.73564149999999</v>
      </c>
      <c r="S1542" s="355">
        <v>0.1</v>
      </c>
      <c r="T1542" s="355"/>
      <c r="U1542" s="315">
        <f t="shared" si="444"/>
        <v>478.20920565</v>
      </c>
      <c r="V1542" s="315">
        <f t="shared" si="445"/>
        <v>480</v>
      </c>
      <c r="W1542" s="316">
        <f t="shared" si="446"/>
        <v>0</v>
      </c>
    </row>
    <row r="1543" spans="1:23" x14ac:dyDescent="0.25">
      <c r="A1543" s="204" t="s">
        <v>17199</v>
      </c>
      <c r="B1543" s="351" t="s">
        <v>21256</v>
      </c>
      <c r="C1543" s="352"/>
      <c r="D1543" s="353" t="s">
        <v>5</v>
      </c>
      <c r="E1543" s="249">
        <f t="shared" si="447"/>
        <v>0</v>
      </c>
      <c r="F1543" s="336">
        <v>0</v>
      </c>
      <c r="G1543" s="258">
        <f t="shared" si="448"/>
        <v>0</v>
      </c>
      <c r="H1543" s="249">
        <f t="shared" si="449"/>
        <v>6.3745386464386267E-2</v>
      </c>
      <c r="I1543" s="336">
        <v>2.516024681004014E-2</v>
      </c>
      <c r="J1543" s="258">
        <f t="shared" si="450"/>
        <v>2.516024681004014E-2</v>
      </c>
      <c r="K1543" s="249">
        <f t="shared" si="451"/>
        <v>2.3597786171442499</v>
      </c>
      <c r="L1543" s="336">
        <v>0.93140250169438166</v>
      </c>
      <c r="M1543" s="258">
        <f t="shared" si="452"/>
        <v>0.93140250169438166</v>
      </c>
      <c r="N1543" s="251">
        <f t="shared" si="453"/>
        <v>0.10999203938952924</v>
      </c>
      <c r="O1543" s="336">
        <v>4.3413759201637883E-2</v>
      </c>
      <c r="P1543" s="258">
        <f t="shared" si="454"/>
        <v>4.3413759201637883E-2</v>
      </c>
      <c r="Q1543" s="354">
        <v>2.4748343023255814</v>
      </c>
      <c r="R1543" s="249">
        <f t="shared" si="455"/>
        <v>2.5335755624999998</v>
      </c>
      <c r="S1543" s="355">
        <v>0.1</v>
      </c>
      <c r="T1543" s="355"/>
      <c r="U1543" s="315">
        <f t="shared" si="444"/>
        <v>2.7869331187499999</v>
      </c>
      <c r="V1543" s="315">
        <f t="shared" si="445"/>
        <v>3</v>
      </c>
      <c r="W1543" s="316">
        <f t="shared" si="446"/>
        <v>0</v>
      </c>
    </row>
    <row r="1544" spans="1:23" x14ac:dyDescent="0.25">
      <c r="A1544" s="204" t="s">
        <v>17200</v>
      </c>
      <c r="B1544" s="351" t="s">
        <v>21257</v>
      </c>
      <c r="C1544" s="352"/>
      <c r="D1544" s="353" t="s">
        <v>14859</v>
      </c>
      <c r="E1544" s="249">
        <f t="shared" si="447"/>
        <v>0</v>
      </c>
      <c r="F1544" s="336">
        <v>0</v>
      </c>
      <c r="G1544" s="258">
        <f t="shared" si="448"/>
        <v>0</v>
      </c>
      <c r="H1544" s="249">
        <f t="shared" si="449"/>
        <v>10.964464238603007</v>
      </c>
      <c r="I1544" s="336">
        <v>2.516024681004014E-2</v>
      </c>
      <c r="J1544" s="258">
        <f t="shared" si="450"/>
        <v>2.516024681004014E-2</v>
      </c>
      <c r="K1544" s="249">
        <f t="shared" si="451"/>
        <v>405.90170196243486</v>
      </c>
      <c r="L1544" s="336">
        <v>0.93142599398832193</v>
      </c>
      <c r="M1544" s="258">
        <f t="shared" si="452"/>
        <v>0.93142599398832193</v>
      </c>
      <c r="N1544" s="251">
        <f t="shared" si="453"/>
        <v>18.919075548962049</v>
      </c>
      <c r="O1544" s="336">
        <v>4.3413759201637883E-2</v>
      </c>
      <c r="P1544" s="258">
        <f t="shared" si="454"/>
        <v>4.3413759201637883E-2</v>
      </c>
      <c r="Q1544" s="354">
        <v>425.67149999999998</v>
      </c>
      <c r="R1544" s="249">
        <f t="shared" si="455"/>
        <v>435.78524174999995</v>
      </c>
      <c r="S1544" s="355">
        <v>0.1</v>
      </c>
      <c r="T1544" s="355"/>
      <c r="U1544" s="315">
        <f t="shared" si="444"/>
        <v>479.36376592499994</v>
      </c>
      <c r="V1544" s="315">
        <f t="shared" si="445"/>
        <v>480</v>
      </c>
      <c r="W1544" s="316">
        <f t="shared" si="446"/>
        <v>0</v>
      </c>
    </row>
    <row r="1545" spans="1:23" x14ac:dyDescent="0.25">
      <c r="A1545" s="204" t="s">
        <v>17201</v>
      </c>
      <c r="B1545" s="351" t="s">
        <v>21258</v>
      </c>
      <c r="C1545" s="352"/>
      <c r="D1545" s="353" t="s">
        <v>5</v>
      </c>
      <c r="E1545" s="249">
        <f t="shared" si="447"/>
        <v>0</v>
      </c>
      <c r="F1545" s="336">
        <v>0</v>
      </c>
      <c r="G1545" s="258">
        <f t="shared" si="448"/>
        <v>0</v>
      </c>
      <c r="H1545" s="249">
        <f t="shared" si="449"/>
        <v>6.3745952559908031E-2</v>
      </c>
      <c r="I1545" s="336">
        <v>2.4861070488446917E-2</v>
      </c>
      <c r="J1545" s="258">
        <f t="shared" si="450"/>
        <v>2.4861070488446917E-2</v>
      </c>
      <c r="K1545" s="249">
        <f t="shared" si="451"/>
        <v>2.3902887089023062</v>
      </c>
      <c r="L1545" s="336">
        <v>0.93221818316875338</v>
      </c>
      <c r="M1545" s="258">
        <f t="shared" si="452"/>
        <v>0.93221818316875338</v>
      </c>
      <c r="N1545" s="251">
        <f t="shared" si="453"/>
        <v>0.10999301618180209</v>
      </c>
      <c r="O1545" s="336">
        <v>4.2897533391829973E-2</v>
      </c>
      <c r="P1545" s="258">
        <f t="shared" si="454"/>
        <v>4.2897533391829973E-2</v>
      </c>
      <c r="Q1545" s="354">
        <v>2.5046162790697672</v>
      </c>
      <c r="R1545" s="249">
        <f t="shared" si="455"/>
        <v>2.564087197674418</v>
      </c>
      <c r="S1545" s="355">
        <v>0.1</v>
      </c>
      <c r="T1545" s="355"/>
      <c r="U1545" s="315">
        <f t="shared" si="444"/>
        <v>2.8204959174418596</v>
      </c>
      <c r="V1545" s="315">
        <f t="shared" si="445"/>
        <v>3</v>
      </c>
      <c r="W1545" s="316">
        <f t="shared" si="446"/>
        <v>0</v>
      </c>
    </row>
    <row r="1546" spans="1:23" x14ac:dyDescent="0.25">
      <c r="A1546" s="204" t="s">
        <v>17202</v>
      </c>
      <c r="B1546" s="351" t="s">
        <v>21259</v>
      </c>
      <c r="C1546" s="352"/>
      <c r="D1546" s="353" t="s">
        <v>14859</v>
      </c>
      <c r="E1546" s="249">
        <f t="shared" si="447"/>
        <v>0</v>
      </c>
      <c r="F1546" s="336">
        <v>0</v>
      </c>
      <c r="G1546" s="258">
        <f t="shared" si="448"/>
        <v>0</v>
      </c>
      <c r="H1546" s="249">
        <f t="shared" si="449"/>
        <v>10.964558541971337</v>
      </c>
      <c r="I1546" s="336">
        <v>2.4861070488446917E-2</v>
      </c>
      <c r="J1546" s="258">
        <f t="shared" si="450"/>
        <v>2.4861070488446917E-2</v>
      </c>
      <c r="K1546" s="249">
        <f t="shared" si="451"/>
        <v>411.1494461895291</v>
      </c>
      <c r="L1546" s="336">
        <v>0.93224139611972312</v>
      </c>
      <c r="M1546" s="258">
        <f t="shared" si="452"/>
        <v>0.93224139611972312</v>
      </c>
      <c r="N1546" s="251">
        <f t="shared" si="453"/>
        <v>18.919238268499562</v>
      </c>
      <c r="O1546" s="336">
        <v>4.2897533391829973E-2</v>
      </c>
      <c r="P1546" s="258">
        <f t="shared" si="454"/>
        <v>4.2897533391829973E-2</v>
      </c>
      <c r="Q1546" s="354">
        <v>430.79399999999998</v>
      </c>
      <c r="R1546" s="249">
        <f t="shared" si="455"/>
        <v>441.03324299999997</v>
      </c>
      <c r="S1546" s="355">
        <v>0.1</v>
      </c>
      <c r="T1546" s="355"/>
      <c r="U1546" s="315">
        <f t="shared" si="444"/>
        <v>485.13656729999997</v>
      </c>
      <c r="V1546" s="315">
        <f t="shared" si="445"/>
        <v>490</v>
      </c>
      <c r="W1546" s="316">
        <f t="shared" si="446"/>
        <v>0</v>
      </c>
    </row>
    <row r="1547" spans="1:23" x14ac:dyDescent="0.25">
      <c r="A1547" s="204" t="s">
        <v>17203</v>
      </c>
      <c r="B1547" s="351" t="s">
        <v>21260</v>
      </c>
      <c r="C1547" s="352"/>
      <c r="D1547" s="353" t="s">
        <v>5</v>
      </c>
      <c r="E1547" s="249">
        <f t="shared" si="447"/>
        <v>0</v>
      </c>
      <c r="F1547" s="336">
        <v>0</v>
      </c>
      <c r="G1547" s="258">
        <f t="shared" si="448"/>
        <v>0</v>
      </c>
      <c r="H1547" s="249">
        <f t="shared" si="449"/>
        <v>6.3746830833143947E-2</v>
      </c>
      <c r="I1547" s="336">
        <v>2.4396911091368826E-2</v>
      </c>
      <c r="J1547" s="258">
        <f t="shared" si="450"/>
        <v>2.4396911091368826E-2</v>
      </c>
      <c r="K1547" s="249">
        <f t="shared" si="451"/>
        <v>2.4391049306362329</v>
      </c>
      <c r="L1547" s="336">
        <v>0.93348367844370028</v>
      </c>
      <c r="M1547" s="258">
        <f t="shared" si="452"/>
        <v>0.93348367844370028</v>
      </c>
      <c r="N1547" s="251">
        <f t="shared" si="453"/>
        <v>0.10999453163366013</v>
      </c>
      <c r="O1547" s="336">
        <v>4.2096630902754048E-2</v>
      </c>
      <c r="P1547" s="258">
        <f t="shared" si="454"/>
        <v>4.2096630902754048E-2</v>
      </c>
      <c r="Q1547" s="354">
        <v>2.5522674418604652</v>
      </c>
      <c r="R1547" s="249">
        <f t="shared" si="455"/>
        <v>2.6129058139534882</v>
      </c>
      <c r="S1547" s="355">
        <v>0.1</v>
      </c>
      <c r="T1547" s="355"/>
      <c r="U1547" s="315">
        <f t="shared" si="444"/>
        <v>2.8741963953488372</v>
      </c>
      <c r="V1547" s="315">
        <f t="shared" si="445"/>
        <v>3</v>
      </c>
      <c r="W1547" s="316">
        <f t="shared" si="446"/>
        <v>0</v>
      </c>
    </row>
    <row r="1548" spans="1:23" x14ac:dyDescent="0.25">
      <c r="A1548" s="204" t="s">
        <v>17204</v>
      </c>
      <c r="B1548" s="351" t="s">
        <v>21261</v>
      </c>
      <c r="C1548" s="352"/>
      <c r="D1548" s="353" t="s">
        <v>14859</v>
      </c>
      <c r="E1548" s="249">
        <f t="shared" si="447"/>
        <v>0</v>
      </c>
      <c r="F1548" s="336">
        <v>0</v>
      </c>
      <c r="G1548" s="258">
        <f t="shared" si="448"/>
        <v>0</v>
      </c>
      <c r="H1548" s="249">
        <f t="shared" si="449"/>
        <v>10.964704849654892</v>
      </c>
      <c r="I1548" s="336">
        <v>2.4396911091368826E-2</v>
      </c>
      <c r="J1548" s="258">
        <f t="shared" si="450"/>
        <v>2.4396911091368826E-2</v>
      </c>
      <c r="K1548" s="249">
        <f t="shared" si="451"/>
        <v>419.54584942937197</v>
      </c>
      <c r="L1548" s="336">
        <v>0.93350645800587717</v>
      </c>
      <c r="M1548" s="258">
        <f t="shared" si="452"/>
        <v>0.93350645800587717</v>
      </c>
      <c r="N1548" s="251">
        <f t="shared" si="453"/>
        <v>18.919490720973144</v>
      </c>
      <c r="O1548" s="336">
        <v>4.2096630902754048E-2</v>
      </c>
      <c r="P1548" s="258">
        <f t="shared" si="454"/>
        <v>4.2096630902754048E-2</v>
      </c>
      <c r="Q1548" s="354">
        <v>438.99</v>
      </c>
      <c r="R1548" s="249">
        <f t="shared" si="455"/>
        <v>449.43004500000001</v>
      </c>
      <c r="S1548" s="355">
        <v>0.1</v>
      </c>
      <c r="T1548" s="355"/>
      <c r="U1548" s="315">
        <f t="shared" si="444"/>
        <v>494.37304949999998</v>
      </c>
      <c r="V1548" s="315">
        <f t="shared" si="445"/>
        <v>495</v>
      </c>
      <c r="W1548" s="316">
        <f t="shared" si="446"/>
        <v>0</v>
      </c>
    </row>
    <row r="1549" spans="1:23" x14ac:dyDescent="0.25">
      <c r="A1549" s="204" t="s">
        <v>17205</v>
      </c>
      <c r="B1549" s="351" t="s">
        <v>21262</v>
      </c>
      <c r="C1549" s="352"/>
      <c r="D1549" s="353" t="s">
        <v>5</v>
      </c>
      <c r="E1549" s="249">
        <f t="shared" si="447"/>
        <v>0</v>
      </c>
      <c r="F1549" s="336">
        <v>0</v>
      </c>
      <c r="G1549" s="258">
        <f t="shared" si="448"/>
        <v>0</v>
      </c>
      <c r="H1549" s="249">
        <f t="shared" si="449"/>
        <v>6.3749375715868903E-2</v>
      </c>
      <c r="I1549" s="336">
        <v>2.30519637754855E-2</v>
      </c>
      <c r="J1549" s="258">
        <f t="shared" si="450"/>
        <v>2.30519637754855E-2</v>
      </c>
      <c r="K1549" s="249">
        <f t="shared" si="451"/>
        <v>2.5916561680792345</v>
      </c>
      <c r="L1549" s="336">
        <v>0.93715057495385834</v>
      </c>
      <c r="M1549" s="258">
        <f t="shared" si="452"/>
        <v>0.93715057495385834</v>
      </c>
      <c r="N1549" s="251">
        <f t="shared" si="453"/>
        <v>0.10999892280385219</v>
      </c>
      <c r="O1549" s="336">
        <v>3.9775937494955366E-2</v>
      </c>
      <c r="P1549" s="258">
        <f t="shared" si="454"/>
        <v>3.9775937494955366E-2</v>
      </c>
      <c r="Q1549" s="354">
        <v>2.7011773255813951</v>
      </c>
      <c r="R1549" s="249">
        <f t="shared" si="455"/>
        <v>2.7654639898255811</v>
      </c>
      <c r="S1549" s="355">
        <v>0.1</v>
      </c>
      <c r="T1549" s="355"/>
      <c r="U1549" s="315">
        <f t="shared" si="444"/>
        <v>3.0420103888081393</v>
      </c>
      <c r="V1549" s="315">
        <f t="shared" si="445"/>
        <v>4</v>
      </c>
      <c r="W1549" s="316">
        <f t="shared" si="446"/>
        <v>0</v>
      </c>
    </row>
    <row r="1550" spans="1:23" x14ac:dyDescent="0.25">
      <c r="A1550" s="204" t="s">
        <v>17206</v>
      </c>
      <c r="B1550" s="351" t="s">
        <v>21263</v>
      </c>
      <c r="C1550" s="352"/>
      <c r="D1550" s="353" t="s">
        <v>14859</v>
      </c>
      <c r="E1550" s="249">
        <f t="shared" si="447"/>
        <v>0</v>
      </c>
      <c r="F1550" s="336">
        <v>0</v>
      </c>
      <c r="G1550" s="258">
        <f t="shared" si="448"/>
        <v>0</v>
      </c>
      <c r="H1550" s="249">
        <f t="shared" si="449"/>
        <v>10.965128790498332</v>
      </c>
      <c r="I1550" s="336">
        <v>2.30519637754855E-2</v>
      </c>
      <c r="J1550" s="258">
        <f t="shared" si="450"/>
        <v>2.30519637754855E-2</v>
      </c>
      <c r="K1550" s="249">
        <f t="shared" si="451"/>
        <v>445.78470023275941</v>
      </c>
      <c r="L1550" s="336">
        <v>0.93717209872955909</v>
      </c>
      <c r="M1550" s="258">
        <f t="shared" si="452"/>
        <v>0.93717209872955909</v>
      </c>
      <c r="N1550" s="251">
        <f t="shared" si="453"/>
        <v>18.920222226742215</v>
      </c>
      <c r="O1550" s="336">
        <v>3.9775937494955366E-2</v>
      </c>
      <c r="P1550" s="258">
        <f t="shared" si="454"/>
        <v>3.9775937494955366E-2</v>
      </c>
      <c r="Q1550" s="354">
        <v>464.60249999999996</v>
      </c>
      <c r="R1550" s="249">
        <f t="shared" si="455"/>
        <v>475.67005124999997</v>
      </c>
      <c r="S1550" s="355">
        <v>0.1</v>
      </c>
      <c r="T1550" s="355"/>
      <c r="U1550" s="315">
        <f t="shared" si="444"/>
        <v>523.23705637499995</v>
      </c>
      <c r="V1550" s="315">
        <f t="shared" si="445"/>
        <v>525</v>
      </c>
      <c r="W1550" s="316">
        <f t="shared" si="446"/>
        <v>0</v>
      </c>
    </row>
    <row r="1551" spans="1:23" x14ac:dyDescent="0.25">
      <c r="A1551" s="204" t="s">
        <v>17207</v>
      </c>
      <c r="B1551" s="351" t="s">
        <v>21264</v>
      </c>
      <c r="C1551" s="352"/>
      <c r="D1551" s="353" t="s">
        <v>5</v>
      </c>
      <c r="E1551" s="249">
        <f t="shared" si="447"/>
        <v>0</v>
      </c>
      <c r="F1551" s="336">
        <v>0</v>
      </c>
      <c r="G1551" s="258">
        <f t="shared" si="448"/>
        <v>0</v>
      </c>
      <c r="H1551" s="249">
        <f t="shared" si="449"/>
        <v>6.3753707311479543E-2</v>
      </c>
      <c r="I1551" s="336">
        <v>2.0762754990767265E-2</v>
      </c>
      <c r="J1551" s="258">
        <f t="shared" si="450"/>
        <v>2.0762754990767265E-2</v>
      </c>
      <c r="K1551" s="249">
        <f t="shared" si="451"/>
        <v>2.89676071005761</v>
      </c>
      <c r="L1551" s="336">
        <v>0.94339192850323017</v>
      </c>
      <c r="M1551" s="258">
        <f t="shared" si="452"/>
        <v>0.94339192850323017</v>
      </c>
      <c r="N1551" s="251">
        <f t="shared" si="453"/>
        <v>0.11000639692961173</v>
      </c>
      <c r="O1551" s="336">
        <v>3.5825930180147431E-2</v>
      </c>
      <c r="P1551" s="258">
        <f t="shared" si="454"/>
        <v>3.5825930180147431E-2</v>
      </c>
      <c r="Q1551" s="354">
        <v>2.9989970930232559</v>
      </c>
      <c r="R1551" s="249">
        <f t="shared" si="455"/>
        <v>3.0705803415697672</v>
      </c>
      <c r="S1551" s="355">
        <v>0.1</v>
      </c>
      <c r="T1551" s="355"/>
      <c r="U1551" s="315">
        <f t="shared" si="444"/>
        <v>3.3776383757267441</v>
      </c>
      <c r="V1551" s="315">
        <f t="shared" si="445"/>
        <v>4</v>
      </c>
      <c r="W1551" s="316">
        <f t="shared" si="446"/>
        <v>0</v>
      </c>
    </row>
    <row r="1552" spans="1:23" x14ac:dyDescent="0.25">
      <c r="A1552" s="204" t="s">
        <v>17208</v>
      </c>
      <c r="B1552" s="351" t="s">
        <v>21265</v>
      </c>
      <c r="C1552" s="352"/>
      <c r="D1552" s="353" t="s">
        <v>14859</v>
      </c>
      <c r="E1552" s="249">
        <f t="shared" si="447"/>
        <v>0</v>
      </c>
      <c r="F1552" s="336">
        <v>0</v>
      </c>
      <c r="G1552" s="258">
        <f t="shared" si="448"/>
        <v>0</v>
      </c>
      <c r="H1552" s="249">
        <f t="shared" si="449"/>
        <v>10.965850371999361</v>
      </c>
      <c r="I1552" s="336">
        <v>2.0762754990767265E-2</v>
      </c>
      <c r="J1552" s="258">
        <f t="shared" si="450"/>
        <v>2.0762754990767265E-2</v>
      </c>
      <c r="K1552" s="249">
        <f t="shared" si="451"/>
        <v>498.2627460694527</v>
      </c>
      <c r="L1552" s="336">
        <v>0.94341131482908536</v>
      </c>
      <c r="M1552" s="258">
        <f t="shared" si="452"/>
        <v>0.94341131482908536</v>
      </c>
      <c r="N1552" s="251">
        <f t="shared" si="453"/>
        <v>18.921467308547918</v>
      </c>
      <c r="O1552" s="336">
        <v>3.5825930180147438E-2</v>
      </c>
      <c r="P1552" s="258">
        <f t="shared" si="454"/>
        <v>3.5825930180147438E-2</v>
      </c>
      <c r="Q1552" s="354">
        <v>515.82749999999999</v>
      </c>
      <c r="R1552" s="249">
        <f t="shared" si="455"/>
        <v>528.15006374999996</v>
      </c>
      <c r="S1552" s="355">
        <v>0.1</v>
      </c>
      <c r="T1552" s="355"/>
      <c r="U1552" s="315">
        <f t="shared" si="444"/>
        <v>580.96507012500001</v>
      </c>
      <c r="V1552" s="315">
        <f t="shared" si="445"/>
        <v>585</v>
      </c>
      <c r="W1552" s="316">
        <f t="shared" si="446"/>
        <v>0</v>
      </c>
    </row>
    <row r="1553" spans="1:23" x14ac:dyDescent="0.25">
      <c r="A1553" s="204" t="s">
        <v>17209</v>
      </c>
      <c r="B1553" s="351" t="s">
        <v>21266</v>
      </c>
      <c r="C1553" s="352"/>
      <c r="D1553" s="353" t="s">
        <v>5</v>
      </c>
      <c r="E1553" s="249">
        <f t="shared" si="447"/>
        <v>0</v>
      </c>
      <c r="F1553" s="336">
        <v>0</v>
      </c>
      <c r="G1553" s="258">
        <f t="shared" si="448"/>
        <v>0</v>
      </c>
      <c r="H1553" s="249">
        <f t="shared" si="449"/>
        <v>6.3754547277240919E-2</v>
      </c>
      <c r="I1553" s="336">
        <v>2.0318840744682671E-2</v>
      </c>
      <c r="J1553" s="258">
        <f t="shared" si="450"/>
        <v>2.0318840744682671E-2</v>
      </c>
      <c r="K1553" s="249">
        <f t="shared" si="451"/>
        <v>2.963884017338601</v>
      </c>
      <c r="L1553" s="336">
        <v>0.94460222691459061</v>
      </c>
      <c r="M1553" s="258">
        <f t="shared" si="452"/>
        <v>0.94460222691459061</v>
      </c>
      <c r="N1553" s="251">
        <f t="shared" si="453"/>
        <v>0.11000784628229804</v>
      </c>
      <c r="O1553" s="336">
        <v>3.5059960500628914E-2</v>
      </c>
      <c r="P1553" s="258">
        <f t="shared" si="454"/>
        <v>3.5059960500628914E-2</v>
      </c>
      <c r="Q1553" s="354">
        <v>3.064517441860465</v>
      </c>
      <c r="R1553" s="249">
        <f t="shared" si="455"/>
        <v>3.1377059389534878</v>
      </c>
      <c r="S1553" s="355">
        <v>0.1</v>
      </c>
      <c r="T1553" s="355"/>
      <c r="U1553" s="315">
        <f t="shared" si="444"/>
        <v>3.4514765328488366</v>
      </c>
      <c r="V1553" s="315">
        <f t="shared" si="445"/>
        <v>4</v>
      </c>
      <c r="W1553" s="316">
        <f t="shared" si="446"/>
        <v>0</v>
      </c>
    </row>
    <row r="1554" spans="1:23" x14ac:dyDescent="0.25">
      <c r="A1554" s="204" t="s">
        <v>17210</v>
      </c>
      <c r="B1554" s="351" t="s">
        <v>21267</v>
      </c>
      <c r="C1554" s="352"/>
      <c r="D1554" s="353" t="s">
        <v>14859</v>
      </c>
      <c r="E1554" s="249">
        <f t="shared" si="447"/>
        <v>0</v>
      </c>
      <c r="F1554" s="336">
        <v>0</v>
      </c>
      <c r="G1554" s="258">
        <f t="shared" si="448"/>
        <v>0</v>
      </c>
      <c r="H1554" s="249">
        <f t="shared" si="449"/>
        <v>10.965990298208871</v>
      </c>
      <c r="I1554" s="336">
        <v>2.0318840744682671E-2</v>
      </c>
      <c r="J1554" s="258">
        <f t="shared" si="450"/>
        <v>2.0318840744682671E-2</v>
      </c>
      <c r="K1554" s="249">
        <f t="shared" si="451"/>
        <v>509.8079674519405</v>
      </c>
      <c r="L1554" s="336">
        <v>0.94462119875468831</v>
      </c>
      <c r="M1554" s="258">
        <f t="shared" si="452"/>
        <v>0.94462119875468831</v>
      </c>
      <c r="N1554" s="251">
        <f t="shared" si="453"/>
        <v>18.921708749850598</v>
      </c>
      <c r="O1554" s="336">
        <v>3.5059960500628921E-2</v>
      </c>
      <c r="P1554" s="258">
        <f t="shared" si="454"/>
        <v>3.5059960500628921E-2</v>
      </c>
      <c r="Q1554" s="354">
        <v>527.09699999999998</v>
      </c>
      <c r="R1554" s="249">
        <f t="shared" si="455"/>
        <v>539.69566650000002</v>
      </c>
      <c r="S1554" s="355">
        <v>0.1</v>
      </c>
      <c r="T1554" s="355"/>
      <c r="U1554" s="315">
        <f t="shared" si="444"/>
        <v>593.66523315000006</v>
      </c>
      <c r="V1554" s="315">
        <f t="shared" si="445"/>
        <v>595</v>
      </c>
      <c r="W1554" s="316">
        <f t="shared" si="446"/>
        <v>0</v>
      </c>
    </row>
    <row r="1555" spans="1:23" x14ac:dyDescent="0.25">
      <c r="A1555" s="204" t="s">
        <v>17211</v>
      </c>
      <c r="B1555" s="351" t="s">
        <v>21268</v>
      </c>
      <c r="C1555" s="352"/>
      <c r="D1555" s="353" t="s">
        <v>5</v>
      </c>
      <c r="E1555" s="249">
        <f t="shared" si="447"/>
        <v>0</v>
      </c>
      <c r="F1555" s="336">
        <v>0</v>
      </c>
      <c r="G1555" s="258">
        <f t="shared" si="448"/>
        <v>0</v>
      </c>
      <c r="H1555" s="249">
        <f t="shared" si="449"/>
        <v>6.3754843882879692E-2</v>
      </c>
      <c r="I1555" s="336">
        <v>2.0162087369045265E-2</v>
      </c>
      <c r="J1555" s="258">
        <f t="shared" si="450"/>
        <v>2.0162087369045265E-2</v>
      </c>
      <c r="K1555" s="249">
        <f t="shared" si="451"/>
        <v>2.9882925168054331</v>
      </c>
      <c r="L1555" s="336">
        <v>0.94502960306478778</v>
      </c>
      <c r="M1555" s="258">
        <f t="shared" si="452"/>
        <v>0.94502960306478778</v>
      </c>
      <c r="N1555" s="251">
        <f t="shared" si="453"/>
        <v>0.11000835807241985</v>
      </c>
      <c r="O1555" s="336">
        <v>3.4789484087764375E-2</v>
      </c>
      <c r="P1555" s="258">
        <f t="shared" si="454"/>
        <v>3.4789484087764375E-2</v>
      </c>
      <c r="Q1555" s="354">
        <v>3.0883430232558142</v>
      </c>
      <c r="R1555" s="249">
        <f t="shared" si="455"/>
        <v>3.1621152470930234</v>
      </c>
      <c r="S1555" s="355">
        <v>0.1</v>
      </c>
      <c r="T1555" s="355"/>
      <c r="U1555" s="315">
        <f t="shared" si="444"/>
        <v>3.4783267718023256</v>
      </c>
      <c r="V1555" s="315">
        <f t="shared" si="445"/>
        <v>4</v>
      </c>
      <c r="W1555" s="316">
        <f t="shared" si="446"/>
        <v>0</v>
      </c>
    </row>
    <row r="1556" spans="1:23" x14ac:dyDescent="0.25">
      <c r="A1556" s="204" t="s">
        <v>17212</v>
      </c>
      <c r="B1556" s="351" t="s">
        <v>21269</v>
      </c>
      <c r="C1556" s="352"/>
      <c r="D1556" s="353" t="s">
        <v>14859</v>
      </c>
      <c r="E1556" s="249">
        <f t="shared" si="447"/>
        <v>0</v>
      </c>
      <c r="F1556" s="336">
        <v>0</v>
      </c>
      <c r="G1556" s="258">
        <f t="shared" si="448"/>
        <v>0</v>
      </c>
      <c r="H1556" s="249">
        <f t="shared" si="449"/>
        <v>10.9660397084404</v>
      </c>
      <c r="I1556" s="336">
        <v>2.0162087369045265E-2</v>
      </c>
      <c r="J1556" s="258">
        <f t="shared" si="450"/>
        <v>2.0162087369045265E-2</v>
      </c>
      <c r="K1556" s="249">
        <f t="shared" si="451"/>
        <v>514.00623378483874</v>
      </c>
      <c r="L1556" s="336">
        <v>0.94504842854319027</v>
      </c>
      <c r="M1556" s="258">
        <f t="shared" si="452"/>
        <v>0.94504842854319027</v>
      </c>
      <c r="N1556" s="251">
        <f t="shared" si="453"/>
        <v>18.921794006720688</v>
      </c>
      <c r="O1556" s="336">
        <v>3.4789484087764375E-2</v>
      </c>
      <c r="P1556" s="258">
        <f t="shared" si="454"/>
        <v>3.4789484087764375E-2</v>
      </c>
      <c r="Q1556" s="354">
        <v>531.19500000000005</v>
      </c>
      <c r="R1556" s="249">
        <f t="shared" si="455"/>
        <v>543.89406749999989</v>
      </c>
      <c r="S1556" s="355">
        <v>0.1</v>
      </c>
      <c r="T1556" s="355"/>
      <c r="U1556" s="315">
        <f t="shared" si="444"/>
        <v>598.28347424999993</v>
      </c>
      <c r="V1556" s="315">
        <f t="shared" si="445"/>
        <v>600</v>
      </c>
      <c r="W1556" s="316">
        <f t="shared" si="446"/>
        <v>0</v>
      </c>
    </row>
    <row r="1557" spans="1:23" x14ac:dyDescent="0.25">
      <c r="A1557" s="204" t="s">
        <v>17213</v>
      </c>
      <c r="B1557" s="351" t="s">
        <v>21270</v>
      </c>
      <c r="C1557" s="352"/>
      <c r="D1557" s="353" t="s">
        <v>5</v>
      </c>
      <c r="E1557" s="249">
        <f t="shared" si="447"/>
        <v>0</v>
      </c>
      <c r="F1557" s="336">
        <v>0</v>
      </c>
      <c r="G1557" s="258">
        <f t="shared" si="448"/>
        <v>0</v>
      </c>
      <c r="H1557" s="249">
        <f t="shared" si="449"/>
        <v>6.3754843882879692E-2</v>
      </c>
      <c r="I1557" s="336">
        <v>2.0162087369045265E-2</v>
      </c>
      <c r="J1557" s="258">
        <f t="shared" si="450"/>
        <v>2.0162087369045265E-2</v>
      </c>
      <c r="K1557" s="249">
        <f t="shared" si="451"/>
        <v>2.9882925168054331</v>
      </c>
      <c r="L1557" s="336">
        <v>0.94502960306478778</v>
      </c>
      <c r="M1557" s="258">
        <f t="shared" si="452"/>
        <v>0.94502960306478778</v>
      </c>
      <c r="N1557" s="251">
        <f t="shared" si="453"/>
        <v>0.11000835807241985</v>
      </c>
      <c r="O1557" s="336">
        <v>3.4789484087764375E-2</v>
      </c>
      <c r="P1557" s="258">
        <f t="shared" si="454"/>
        <v>3.4789484087764375E-2</v>
      </c>
      <c r="Q1557" s="354">
        <v>3.0883430232558142</v>
      </c>
      <c r="R1557" s="249">
        <f t="shared" si="455"/>
        <v>3.1621152470930234</v>
      </c>
      <c r="S1557" s="355">
        <v>0.1</v>
      </c>
      <c r="T1557" s="355"/>
      <c r="U1557" s="315">
        <f t="shared" si="444"/>
        <v>3.4783267718023256</v>
      </c>
      <c r="V1557" s="315">
        <f t="shared" si="445"/>
        <v>4</v>
      </c>
      <c r="W1557" s="316">
        <f t="shared" si="446"/>
        <v>0</v>
      </c>
    </row>
    <row r="1558" spans="1:23" x14ac:dyDescent="0.25">
      <c r="A1558" s="204" t="s">
        <v>17214</v>
      </c>
      <c r="B1558" s="351" t="s">
        <v>21271</v>
      </c>
      <c r="C1558" s="352"/>
      <c r="D1558" s="353" t="s">
        <v>14859</v>
      </c>
      <c r="E1558" s="249">
        <f t="shared" si="447"/>
        <v>0</v>
      </c>
      <c r="F1558" s="336">
        <v>0</v>
      </c>
      <c r="G1558" s="258">
        <f t="shared" si="448"/>
        <v>0</v>
      </c>
      <c r="H1558" s="249">
        <f t="shared" si="449"/>
        <v>10.9660397084404</v>
      </c>
      <c r="I1558" s="336">
        <v>2.0162087369045265E-2</v>
      </c>
      <c r="J1558" s="258">
        <f t="shared" si="450"/>
        <v>2.0162087369045265E-2</v>
      </c>
      <c r="K1558" s="249">
        <f t="shared" si="451"/>
        <v>514.00623378483874</v>
      </c>
      <c r="L1558" s="336">
        <v>0.94504842854319027</v>
      </c>
      <c r="M1558" s="258">
        <f t="shared" si="452"/>
        <v>0.94504842854319027</v>
      </c>
      <c r="N1558" s="251">
        <f t="shared" si="453"/>
        <v>18.921794006720688</v>
      </c>
      <c r="O1558" s="336">
        <v>3.4789484087764375E-2</v>
      </c>
      <c r="P1558" s="258">
        <f t="shared" si="454"/>
        <v>3.4789484087764375E-2</v>
      </c>
      <c r="Q1558" s="354">
        <v>531.19500000000005</v>
      </c>
      <c r="R1558" s="249">
        <f t="shared" si="455"/>
        <v>543.89406749999989</v>
      </c>
      <c r="S1558" s="355">
        <v>0.1</v>
      </c>
      <c r="T1558" s="355"/>
      <c r="U1558" s="315">
        <f t="shared" si="444"/>
        <v>598.28347424999993</v>
      </c>
      <c r="V1558" s="315">
        <f t="shared" si="445"/>
        <v>600</v>
      </c>
      <c r="W1558" s="316">
        <f t="shared" si="446"/>
        <v>0</v>
      </c>
    </row>
    <row r="1559" spans="1:23" x14ac:dyDescent="0.25">
      <c r="A1559" s="204" t="s">
        <v>17215</v>
      </c>
      <c r="B1559" s="351" t="s">
        <v>21272</v>
      </c>
      <c r="C1559" s="352"/>
      <c r="D1559" s="353" t="s">
        <v>5</v>
      </c>
      <c r="E1559" s="249">
        <f t="shared" si="447"/>
        <v>0</v>
      </c>
      <c r="F1559" s="336">
        <v>0</v>
      </c>
      <c r="G1559" s="258">
        <f t="shared" si="448"/>
        <v>0</v>
      </c>
      <c r="H1559" s="249">
        <f t="shared" si="449"/>
        <v>6.3754843882879692E-2</v>
      </c>
      <c r="I1559" s="336">
        <v>2.0162087369045265E-2</v>
      </c>
      <c r="J1559" s="258">
        <f t="shared" si="450"/>
        <v>2.0162087369045265E-2</v>
      </c>
      <c r="K1559" s="249">
        <f t="shared" si="451"/>
        <v>2.9882925168054331</v>
      </c>
      <c r="L1559" s="336">
        <v>0.94502960306478778</v>
      </c>
      <c r="M1559" s="258">
        <f t="shared" si="452"/>
        <v>0.94502960306478778</v>
      </c>
      <c r="N1559" s="251">
        <f t="shared" si="453"/>
        <v>0.11000835807241985</v>
      </c>
      <c r="O1559" s="336">
        <v>3.4789484087764375E-2</v>
      </c>
      <c r="P1559" s="258">
        <f t="shared" si="454"/>
        <v>3.4789484087764375E-2</v>
      </c>
      <c r="Q1559" s="354">
        <v>3.0883430232558142</v>
      </c>
      <c r="R1559" s="249">
        <f t="shared" si="455"/>
        <v>3.1621152470930234</v>
      </c>
      <c r="S1559" s="355">
        <v>0.1</v>
      </c>
      <c r="T1559" s="355"/>
      <c r="U1559" s="315">
        <f t="shared" si="444"/>
        <v>3.4783267718023256</v>
      </c>
      <c r="V1559" s="315">
        <f t="shared" si="445"/>
        <v>4</v>
      </c>
      <c r="W1559" s="316">
        <f t="shared" si="446"/>
        <v>0</v>
      </c>
    </row>
    <row r="1560" spans="1:23" x14ac:dyDescent="0.25">
      <c r="A1560" s="204" t="s">
        <v>17216</v>
      </c>
      <c r="B1560" s="351" t="s">
        <v>21273</v>
      </c>
      <c r="C1560" s="352"/>
      <c r="D1560" s="353" t="s">
        <v>14859</v>
      </c>
      <c r="E1560" s="249">
        <f t="shared" si="447"/>
        <v>0</v>
      </c>
      <c r="F1560" s="336">
        <v>0</v>
      </c>
      <c r="G1560" s="258">
        <f t="shared" si="448"/>
        <v>0</v>
      </c>
      <c r="H1560" s="249">
        <f t="shared" si="449"/>
        <v>10.9660397084404</v>
      </c>
      <c r="I1560" s="336">
        <v>2.0162087369045265E-2</v>
      </c>
      <c r="J1560" s="258">
        <f t="shared" si="450"/>
        <v>2.0162087369045265E-2</v>
      </c>
      <c r="K1560" s="249">
        <f t="shared" si="451"/>
        <v>514.00623378483874</v>
      </c>
      <c r="L1560" s="336">
        <v>0.94504842854319027</v>
      </c>
      <c r="M1560" s="258">
        <f t="shared" si="452"/>
        <v>0.94504842854319027</v>
      </c>
      <c r="N1560" s="251">
        <f t="shared" si="453"/>
        <v>18.921794006720688</v>
      </c>
      <c r="O1560" s="336">
        <v>3.4789484087764375E-2</v>
      </c>
      <c r="P1560" s="258">
        <f t="shared" si="454"/>
        <v>3.4789484087764375E-2</v>
      </c>
      <c r="Q1560" s="354">
        <v>531.19500000000005</v>
      </c>
      <c r="R1560" s="249">
        <f t="shared" si="455"/>
        <v>543.89406749999989</v>
      </c>
      <c r="S1560" s="355">
        <v>0.1</v>
      </c>
      <c r="T1560" s="355"/>
      <c r="U1560" s="315">
        <f t="shared" si="444"/>
        <v>598.28347424999993</v>
      </c>
      <c r="V1560" s="315">
        <f t="shared" si="445"/>
        <v>600</v>
      </c>
      <c r="W1560" s="316">
        <f t="shared" si="446"/>
        <v>0</v>
      </c>
    </row>
    <row r="1561" spans="1:23" x14ac:dyDescent="0.25">
      <c r="A1561" s="204" t="s">
        <v>17217</v>
      </c>
      <c r="B1561" s="351" t="s">
        <v>21274</v>
      </c>
      <c r="C1561" s="352"/>
      <c r="D1561" s="353" t="s">
        <v>5</v>
      </c>
      <c r="E1561" s="249">
        <f t="shared" si="447"/>
        <v>0</v>
      </c>
      <c r="F1561" s="336">
        <v>0</v>
      </c>
      <c r="G1561" s="258">
        <f t="shared" si="448"/>
        <v>0</v>
      </c>
      <c r="H1561" s="249">
        <f t="shared" si="449"/>
        <v>6.3754843882879692E-2</v>
      </c>
      <c r="I1561" s="336">
        <v>2.0162087369045265E-2</v>
      </c>
      <c r="J1561" s="258">
        <f t="shared" si="450"/>
        <v>2.0162087369045265E-2</v>
      </c>
      <c r="K1561" s="249">
        <f t="shared" si="451"/>
        <v>2.9882925168054331</v>
      </c>
      <c r="L1561" s="336">
        <v>0.94502960306478778</v>
      </c>
      <c r="M1561" s="258">
        <f t="shared" si="452"/>
        <v>0.94502960306478778</v>
      </c>
      <c r="N1561" s="251">
        <f t="shared" si="453"/>
        <v>0.11000835807241985</v>
      </c>
      <c r="O1561" s="336">
        <v>3.4789484087764375E-2</v>
      </c>
      <c r="P1561" s="258">
        <f t="shared" si="454"/>
        <v>3.4789484087764375E-2</v>
      </c>
      <c r="Q1561" s="354">
        <v>3.0883430232558142</v>
      </c>
      <c r="R1561" s="249">
        <f t="shared" si="455"/>
        <v>3.1621152470930234</v>
      </c>
      <c r="S1561" s="355">
        <v>0.1</v>
      </c>
      <c r="T1561" s="355"/>
      <c r="U1561" s="315">
        <f t="shared" si="444"/>
        <v>3.4783267718023256</v>
      </c>
      <c r="V1561" s="315">
        <f t="shared" si="445"/>
        <v>4</v>
      </c>
      <c r="W1561" s="316">
        <f t="shared" si="446"/>
        <v>0</v>
      </c>
    </row>
    <row r="1562" spans="1:23" x14ac:dyDescent="0.25">
      <c r="A1562" s="204" t="s">
        <v>17218</v>
      </c>
      <c r="B1562" s="351" t="s">
        <v>21275</v>
      </c>
      <c r="C1562" s="352"/>
      <c r="D1562" s="353" t="s">
        <v>14859</v>
      </c>
      <c r="E1562" s="249">
        <f t="shared" si="447"/>
        <v>0</v>
      </c>
      <c r="F1562" s="336">
        <v>0</v>
      </c>
      <c r="G1562" s="258">
        <f t="shared" si="448"/>
        <v>0</v>
      </c>
      <c r="H1562" s="249">
        <f t="shared" si="449"/>
        <v>10.9660397084404</v>
      </c>
      <c r="I1562" s="336">
        <v>2.0162087369045265E-2</v>
      </c>
      <c r="J1562" s="258">
        <f t="shared" si="450"/>
        <v>2.0162087369045265E-2</v>
      </c>
      <c r="K1562" s="249">
        <f t="shared" si="451"/>
        <v>514.00623378483874</v>
      </c>
      <c r="L1562" s="336">
        <v>0.94504842854319027</v>
      </c>
      <c r="M1562" s="258">
        <f t="shared" si="452"/>
        <v>0.94504842854319027</v>
      </c>
      <c r="N1562" s="251">
        <f t="shared" si="453"/>
        <v>18.921794006720688</v>
      </c>
      <c r="O1562" s="336">
        <v>3.4789484087764375E-2</v>
      </c>
      <c r="P1562" s="258">
        <f t="shared" si="454"/>
        <v>3.4789484087764375E-2</v>
      </c>
      <c r="Q1562" s="354">
        <v>531.19500000000005</v>
      </c>
      <c r="R1562" s="249">
        <f t="shared" si="455"/>
        <v>543.89406749999989</v>
      </c>
      <c r="S1562" s="355">
        <v>0.1</v>
      </c>
      <c r="T1562" s="355"/>
      <c r="U1562" s="315">
        <f t="shared" si="444"/>
        <v>598.28347424999993</v>
      </c>
      <c r="V1562" s="315">
        <f t="shared" si="445"/>
        <v>600</v>
      </c>
      <c r="W1562" s="316">
        <f t="shared" si="446"/>
        <v>0</v>
      </c>
    </row>
    <row r="1563" spans="1:23" x14ac:dyDescent="0.25">
      <c r="A1563" s="204" t="s">
        <v>17219</v>
      </c>
      <c r="B1563" s="351" t="s">
        <v>21276</v>
      </c>
      <c r="C1563" s="352"/>
      <c r="D1563" s="353" t="s">
        <v>5</v>
      </c>
      <c r="E1563" s="249">
        <f t="shared" si="447"/>
        <v>0</v>
      </c>
      <c r="F1563" s="336">
        <v>0</v>
      </c>
      <c r="G1563" s="258">
        <f t="shared" si="448"/>
        <v>0</v>
      </c>
      <c r="H1563" s="249">
        <f t="shared" si="449"/>
        <v>6.3754843882879692E-2</v>
      </c>
      <c r="I1563" s="336">
        <v>2.0162087369045265E-2</v>
      </c>
      <c r="J1563" s="258">
        <f t="shared" si="450"/>
        <v>2.0162087369045265E-2</v>
      </c>
      <c r="K1563" s="249">
        <f t="shared" si="451"/>
        <v>2.9882925168054331</v>
      </c>
      <c r="L1563" s="336">
        <v>0.94502960306478778</v>
      </c>
      <c r="M1563" s="258">
        <f t="shared" si="452"/>
        <v>0.94502960306478778</v>
      </c>
      <c r="N1563" s="251">
        <f t="shared" si="453"/>
        <v>0.11000835807241985</v>
      </c>
      <c r="O1563" s="336">
        <v>3.4789484087764375E-2</v>
      </c>
      <c r="P1563" s="258">
        <f t="shared" si="454"/>
        <v>3.4789484087764375E-2</v>
      </c>
      <c r="Q1563" s="354">
        <v>3.0883430232558142</v>
      </c>
      <c r="R1563" s="249">
        <f t="shared" si="455"/>
        <v>3.1621152470930234</v>
      </c>
      <c r="S1563" s="355">
        <v>0.1</v>
      </c>
      <c r="T1563" s="355"/>
      <c r="U1563" s="315">
        <f t="shared" si="444"/>
        <v>3.4783267718023256</v>
      </c>
      <c r="V1563" s="315">
        <f t="shared" si="445"/>
        <v>4</v>
      </c>
      <c r="W1563" s="316">
        <f t="shared" si="446"/>
        <v>0</v>
      </c>
    </row>
    <row r="1564" spans="1:23" x14ac:dyDescent="0.25">
      <c r="A1564" s="204" t="s">
        <v>17220</v>
      </c>
      <c r="B1564" s="351" t="s">
        <v>21277</v>
      </c>
      <c r="C1564" s="352"/>
      <c r="D1564" s="353" t="s">
        <v>14859</v>
      </c>
      <c r="E1564" s="249">
        <f t="shared" si="447"/>
        <v>0</v>
      </c>
      <c r="F1564" s="336">
        <v>0</v>
      </c>
      <c r="G1564" s="258">
        <f t="shared" si="448"/>
        <v>0</v>
      </c>
      <c r="H1564" s="249">
        <f t="shared" si="449"/>
        <v>10.9660397084404</v>
      </c>
      <c r="I1564" s="336">
        <v>2.0162087369045265E-2</v>
      </c>
      <c r="J1564" s="258">
        <f t="shared" si="450"/>
        <v>2.0162087369045265E-2</v>
      </c>
      <c r="K1564" s="249">
        <f t="shared" si="451"/>
        <v>514.00623378483874</v>
      </c>
      <c r="L1564" s="336">
        <v>0.94504842854319027</v>
      </c>
      <c r="M1564" s="258">
        <f t="shared" si="452"/>
        <v>0.94504842854319027</v>
      </c>
      <c r="N1564" s="251">
        <f t="shared" si="453"/>
        <v>18.921794006720688</v>
      </c>
      <c r="O1564" s="336">
        <v>3.4789484087764375E-2</v>
      </c>
      <c r="P1564" s="258">
        <f t="shared" si="454"/>
        <v>3.4789484087764375E-2</v>
      </c>
      <c r="Q1564" s="354">
        <v>531.19500000000005</v>
      </c>
      <c r="R1564" s="249">
        <f t="shared" si="455"/>
        <v>543.89406749999989</v>
      </c>
      <c r="S1564" s="355">
        <v>0.1</v>
      </c>
      <c r="T1564" s="355"/>
      <c r="U1564" s="315">
        <f t="shared" si="444"/>
        <v>598.28347424999993</v>
      </c>
      <c r="V1564" s="315">
        <f t="shared" si="445"/>
        <v>600</v>
      </c>
      <c r="W1564" s="316">
        <f t="shared" si="446"/>
        <v>0</v>
      </c>
    </row>
    <row r="1565" spans="1:23" x14ac:dyDescent="0.25">
      <c r="A1565" s="204" t="s">
        <v>17221</v>
      </c>
      <c r="B1565" s="351" t="s">
        <v>21278</v>
      </c>
      <c r="C1565" s="352"/>
      <c r="D1565" s="353" t="s">
        <v>5</v>
      </c>
      <c r="E1565" s="249">
        <f t="shared" si="447"/>
        <v>0</v>
      </c>
      <c r="F1565" s="336">
        <v>0</v>
      </c>
      <c r="G1565" s="258">
        <f t="shared" si="448"/>
        <v>0</v>
      </c>
      <c r="H1565" s="249">
        <f t="shared" si="449"/>
        <v>6.3754843882879692E-2</v>
      </c>
      <c r="I1565" s="336">
        <v>2.0162087369045265E-2</v>
      </c>
      <c r="J1565" s="258">
        <f t="shared" si="450"/>
        <v>2.0162087369045265E-2</v>
      </c>
      <c r="K1565" s="249">
        <f t="shared" si="451"/>
        <v>2.9882925168054331</v>
      </c>
      <c r="L1565" s="336">
        <v>0.94502960306478778</v>
      </c>
      <c r="M1565" s="258">
        <f t="shared" si="452"/>
        <v>0.94502960306478778</v>
      </c>
      <c r="N1565" s="251">
        <f t="shared" si="453"/>
        <v>0.11000835807241985</v>
      </c>
      <c r="O1565" s="336">
        <v>3.4789484087764375E-2</v>
      </c>
      <c r="P1565" s="258">
        <f t="shared" si="454"/>
        <v>3.4789484087764375E-2</v>
      </c>
      <c r="Q1565" s="354">
        <v>3.0883430232558142</v>
      </c>
      <c r="R1565" s="249">
        <f t="shared" si="455"/>
        <v>3.1621152470930234</v>
      </c>
      <c r="S1565" s="355">
        <v>0.1</v>
      </c>
      <c r="T1565" s="355"/>
      <c r="U1565" s="315">
        <f t="shared" si="444"/>
        <v>3.4783267718023256</v>
      </c>
      <c r="V1565" s="315">
        <f t="shared" si="445"/>
        <v>4</v>
      </c>
      <c r="W1565" s="316">
        <f t="shared" si="446"/>
        <v>0</v>
      </c>
    </row>
    <row r="1566" spans="1:23" x14ac:dyDescent="0.25">
      <c r="A1566" s="204" t="s">
        <v>17222</v>
      </c>
      <c r="B1566" s="351" t="s">
        <v>21279</v>
      </c>
      <c r="C1566" s="352"/>
      <c r="D1566" s="353" t="s">
        <v>14859</v>
      </c>
      <c r="E1566" s="249">
        <f t="shared" si="447"/>
        <v>0</v>
      </c>
      <c r="F1566" s="336">
        <v>0</v>
      </c>
      <c r="G1566" s="258">
        <f t="shared" si="448"/>
        <v>0</v>
      </c>
      <c r="H1566" s="249">
        <f t="shared" si="449"/>
        <v>10.9660397084404</v>
      </c>
      <c r="I1566" s="336">
        <v>2.0162087369045265E-2</v>
      </c>
      <c r="J1566" s="258">
        <f t="shared" si="450"/>
        <v>2.0162087369045265E-2</v>
      </c>
      <c r="K1566" s="249">
        <f t="shared" si="451"/>
        <v>514.00623378483874</v>
      </c>
      <c r="L1566" s="336">
        <v>0.94504842854319027</v>
      </c>
      <c r="M1566" s="258">
        <f t="shared" si="452"/>
        <v>0.94504842854319027</v>
      </c>
      <c r="N1566" s="251">
        <f t="shared" si="453"/>
        <v>18.921794006720688</v>
      </c>
      <c r="O1566" s="336">
        <v>3.4789484087764375E-2</v>
      </c>
      <c r="P1566" s="258">
        <f t="shared" si="454"/>
        <v>3.4789484087764375E-2</v>
      </c>
      <c r="Q1566" s="354">
        <v>531.19500000000005</v>
      </c>
      <c r="R1566" s="249">
        <f t="shared" si="455"/>
        <v>543.89406749999989</v>
      </c>
      <c r="S1566" s="355">
        <v>0.1</v>
      </c>
      <c r="T1566" s="355"/>
      <c r="U1566" s="315">
        <f t="shared" si="444"/>
        <v>598.28347424999993</v>
      </c>
      <c r="V1566" s="315">
        <f t="shared" si="445"/>
        <v>600</v>
      </c>
      <c r="W1566" s="316">
        <f t="shared" si="446"/>
        <v>0</v>
      </c>
    </row>
    <row r="1567" spans="1:23" x14ac:dyDescent="0.25">
      <c r="A1567" s="204" t="s">
        <v>17223</v>
      </c>
      <c r="B1567" s="351" t="s">
        <v>21280</v>
      </c>
      <c r="C1567" s="352"/>
      <c r="D1567" s="353" t="s">
        <v>5</v>
      </c>
      <c r="E1567" s="249">
        <f t="shared" si="447"/>
        <v>0</v>
      </c>
      <c r="F1567" s="336">
        <v>0</v>
      </c>
      <c r="G1567" s="258">
        <f t="shared" si="448"/>
        <v>0</v>
      </c>
      <c r="H1567" s="249">
        <f t="shared" si="449"/>
        <v>6.3754843882879692E-2</v>
      </c>
      <c r="I1567" s="336">
        <v>2.0162087369045265E-2</v>
      </c>
      <c r="J1567" s="258">
        <f t="shared" si="450"/>
        <v>2.0162087369045265E-2</v>
      </c>
      <c r="K1567" s="249">
        <f t="shared" si="451"/>
        <v>2.9882925168054331</v>
      </c>
      <c r="L1567" s="336">
        <v>0.94502960306478778</v>
      </c>
      <c r="M1567" s="258">
        <f t="shared" si="452"/>
        <v>0.94502960306478778</v>
      </c>
      <c r="N1567" s="251">
        <f t="shared" si="453"/>
        <v>0.11000835807241985</v>
      </c>
      <c r="O1567" s="336">
        <v>3.4789484087764375E-2</v>
      </c>
      <c r="P1567" s="258">
        <f t="shared" si="454"/>
        <v>3.4789484087764375E-2</v>
      </c>
      <c r="Q1567" s="354">
        <v>3.0883430232558142</v>
      </c>
      <c r="R1567" s="249">
        <f t="shared" si="455"/>
        <v>3.1621152470930234</v>
      </c>
      <c r="S1567" s="355">
        <v>0.1</v>
      </c>
      <c r="T1567" s="355"/>
      <c r="U1567" s="315">
        <f t="shared" si="444"/>
        <v>3.4783267718023256</v>
      </c>
      <c r="V1567" s="315">
        <f t="shared" si="445"/>
        <v>4</v>
      </c>
      <c r="W1567" s="316">
        <f t="shared" si="446"/>
        <v>0</v>
      </c>
    </row>
    <row r="1568" spans="1:23" x14ac:dyDescent="0.25">
      <c r="A1568" s="204" t="s">
        <v>17224</v>
      </c>
      <c r="B1568" s="351" t="s">
        <v>21281</v>
      </c>
      <c r="C1568" s="352"/>
      <c r="D1568" s="353" t="s">
        <v>14859</v>
      </c>
      <c r="E1568" s="249">
        <f t="shared" si="447"/>
        <v>0</v>
      </c>
      <c r="F1568" s="336">
        <v>0</v>
      </c>
      <c r="G1568" s="258">
        <f t="shared" si="448"/>
        <v>0</v>
      </c>
      <c r="H1568" s="249">
        <f t="shared" si="449"/>
        <v>10.9660397084404</v>
      </c>
      <c r="I1568" s="336">
        <v>2.0162087369045265E-2</v>
      </c>
      <c r="J1568" s="258">
        <f t="shared" si="450"/>
        <v>2.0162087369045265E-2</v>
      </c>
      <c r="K1568" s="249">
        <f t="shared" si="451"/>
        <v>514.00623378483874</v>
      </c>
      <c r="L1568" s="336">
        <v>0.94504842854319027</v>
      </c>
      <c r="M1568" s="258">
        <f t="shared" si="452"/>
        <v>0.94504842854319027</v>
      </c>
      <c r="N1568" s="251">
        <f t="shared" si="453"/>
        <v>18.921794006720688</v>
      </c>
      <c r="O1568" s="336">
        <v>3.4789484087764375E-2</v>
      </c>
      <c r="P1568" s="258">
        <f t="shared" si="454"/>
        <v>3.4789484087764375E-2</v>
      </c>
      <c r="Q1568" s="354">
        <v>531.19500000000005</v>
      </c>
      <c r="R1568" s="249">
        <f t="shared" si="455"/>
        <v>543.89406749999989</v>
      </c>
      <c r="S1568" s="355">
        <v>0.1</v>
      </c>
      <c r="T1568" s="355"/>
      <c r="U1568" s="315">
        <f t="shared" si="444"/>
        <v>598.28347424999993</v>
      </c>
      <c r="V1568" s="315">
        <f t="shared" si="445"/>
        <v>600</v>
      </c>
      <c r="W1568" s="316">
        <f t="shared" si="446"/>
        <v>0</v>
      </c>
    </row>
    <row r="1569" spans="1:23" x14ac:dyDescent="0.25">
      <c r="A1569" s="204" t="s">
        <v>17225</v>
      </c>
      <c r="B1569" s="351" t="s">
        <v>21282</v>
      </c>
      <c r="C1569" s="352"/>
      <c r="D1569" s="353" t="s">
        <v>5</v>
      </c>
      <c r="E1569" s="249">
        <f t="shared" si="447"/>
        <v>0</v>
      </c>
      <c r="F1569" s="336">
        <v>0</v>
      </c>
      <c r="G1569" s="258">
        <f t="shared" si="448"/>
        <v>0</v>
      </c>
      <c r="H1569" s="249">
        <f t="shared" si="449"/>
        <v>6.3758918562653255E-2</v>
      </c>
      <c r="I1569" s="336">
        <v>1.8008656261665271E-2</v>
      </c>
      <c r="J1569" s="258">
        <f t="shared" si="450"/>
        <v>1.8008656261665271E-2</v>
      </c>
      <c r="K1569" s="249">
        <f t="shared" si="451"/>
        <v>3.3666256836638926</v>
      </c>
      <c r="L1569" s="336">
        <v>0.9509007691091852</v>
      </c>
      <c r="M1569" s="258">
        <f t="shared" si="452"/>
        <v>0.9509007691091852</v>
      </c>
      <c r="N1569" s="251">
        <f t="shared" si="453"/>
        <v>0.1100153888924213</v>
      </c>
      <c r="O1569" s="336">
        <v>3.1073759824049876E-2</v>
      </c>
      <c r="P1569" s="258">
        <f t="shared" si="454"/>
        <v>3.1073759824049876E-2</v>
      </c>
      <c r="Q1569" s="354">
        <v>3.4576395348837212</v>
      </c>
      <c r="R1569" s="249">
        <f t="shared" si="455"/>
        <v>3.540459523255814</v>
      </c>
      <c r="S1569" s="355">
        <v>0.1</v>
      </c>
      <c r="T1569" s="355"/>
      <c r="U1569" s="315">
        <f t="shared" si="444"/>
        <v>3.8945054755813953</v>
      </c>
      <c r="V1569" s="315">
        <f t="shared" si="445"/>
        <v>4</v>
      </c>
      <c r="W1569" s="316">
        <f t="shared" si="446"/>
        <v>0</v>
      </c>
    </row>
    <row r="1570" spans="1:23" x14ac:dyDescent="0.25">
      <c r="A1570" s="204" t="s">
        <v>17226</v>
      </c>
      <c r="B1570" s="351" t="s">
        <v>21283</v>
      </c>
      <c r="C1570" s="352"/>
      <c r="D1570" s="353" t="s">
        <v>14859</v>
      </c>
      <c r="E1570" s="249">
        <f t="shared" si="447"/>
        <v>0</v>
      </c>
      <c r="F1570" s="336">
        <v>0</v>
      </c>
      <c r="G1570" s="258">
        <f t="shared" si="448"/>
        <v>0</v>
      </c>
      <c r="H1570" s="249">
        <f t="shared" si="449"/>
        <v>10.966718491459758</v>
      </c>
      <c r="I1570" s="336">
        <v>1.8008656261665271E-2</v>
      </c>
      <c r="J1570" s="258">
        <f t="shared" si="450"/>
        <v>1.8008656261665271E-2</v>
      </c>
      <c r="K1570" s="249">
        <f t="shared" si="451"/>
        <v>579.07959926837418</v>
      </c>
      <c r="L1570" s="336">
        <v>0.95091758391428471</v>
      </c>
      <c r="M1570" s="258">
        <f t="shared" si="452"/>
        <v>0.95091758391428471</v>
      </c>
      <c r="N1570" s="251">
        <f t="shared" si="453"/>
        <v>18.922965240165855</v>
      </c>
      <c r="O1570" s="336">
        <v>3.1073759824049876E-2</v>
      </c>
      <c r="P1570" s="258">
        <f t="shared" si="454"/>
        <v>3.1073759824049876E-2</v>
      </c>
      <c r="Q1570" s="354">
        <v>594.71400000000006</v>
      </c>
      <c r="R1570" s="249">
        <f t="shared" si="455"/>
        <v>608.9692829999999</v>
      </c>
      <c r="S1570" s="355">
        <v>0.1</v>
      </c>
      <c r="T1570" s="355"/>
      <c r="U1570" s="315">
        <f t="shared" si="444"/>
        <v>669.86621129999992</v>
      </c>
      <c r="V1570" s="315">
        <f t="shared" si="445"/>
        <v>670</v>
      </c>
      <c r="W1570" s="316">
        <f t="shared" si="446"/>
        <v>0</v>
      </c>
    </row>
    <row r="1571" spans="1:23" x14ac:dyDescent="0.25">
      <c r="A1571" s="204" t="s">
        <v>17227</v>
      </c>
      <c r="B1571" s="351" t="s">
        <v>21284</v>
      </c>
      <c r="C1571" s="352"/>
      <c r="D1571" s="353" t="s">
        <v>5</v>
      </c>
      <c r="E1571" s="249">
        <f t="shared" si="447"/>
        <v>0</v>
      </c>
      <c r="F1571" s="336">
        <v>0</v>
      </c>
      <c r="G1571" s="258">
        <f t="shared" si="448"/>
        <v>0</v>
      </c>
      <c r="H1571" s="249">
        <f t="shared" si="449"/>
        <v>6.3769118727699109E-2</v>
      </c>
      <c r="I1571" s="336">
        <v>1.2617962040080585E-2</v>
      </c>
      <c r="J1571" s="258">
        <f t="shared" si="450"/>
        <v>1.2617962040080585E-2</v>
      </c>
      <c r="K1571" s="249">
        <f t="shared" si="451"/>
        <v>4.879974978341262</v>
      </c>
      <c r="L1571" s="336">
        <v>0.96559808668810898</v>
      </c>
      <c r="M1571" s="258">
        <f t="shared" si="452"/>
        <v>0.96559808668810898</v>
      </c>
      <c r="N1571" s="251">
        <f t="shared" si="453"/>
        <v>0.1100329891772063</v>
      </c>
      <c r="O1571" s="336">
        <v>2.1772169794648851E-2</v>
      </c>
      <c r="P1571" s="258">
        <f t="shared" si="454"/>
        <v>2.1772169794648851E-2</v>
      </c>
      <c r="Q1571" s="354">
        <v>4.9348255813953497</v>
      </c>
      <c r="R1571" s="249">
        <f t="shared" si="455"/>
        <v>5.0538366279069775</v>
      </c>
      <c r="S1571" s="355">
        <v>0.1</v>
      </c>
      <c r="T1571" s="355"/>
      <c r="U1571" s="315">
        <f t="shared" si="444"/>
        <v>5.5592202906976755</v>
      </c>
      <c r="V1571" s="315">
        <f t="shared" si="445"/>
        <v>6</v>
      </c>
      <c r="W1571" s="316">
        <f t="shared" si="446"/>
        <v>0</v>
      </c>
    </row>
    <row r="1572" spans="1:23" ht="14.4" thickBot="1" x14ac:dyDescent="0.3">
      <c r="A1572" s="356" t="s">
        <v>17228</v>
      </c>
      <c r="B1572" s="357" t="s">
        <v>21285</v>
      </c>
      <c r="C1572" s="358"/>
      <c r="D1572" s="359" t="s">
        <v>14859</v>
      </c>
      <c r="E1572" s="266">
        <f t="shared" si="447"/>
        <v>0</v>
      </c>
      <c r="F1572" s="360">
        <v>0</v>
      </c>
      <c r="G1572" s="322">
        <f t="shared" si="448"/>
        <v>0</v>
      </c>
      <c r="H1572" s="266">
        <f t="shared" si="449"/>
        <v>10.968417692185344</v>
      </c>
      <c r="I1572" s="360">
        <v>1.2617962040080585E-2</v>
      </c>
      <c r="J1572" s="322">
        <f t="shared" si="450"/>
        <v>1.2617962040080585E-2</v>
      </c>
      <c r="K1572" s="266">
        <f t="shared" si="451"/>
        <v>839.37583011345555</v>
      </c>
      <c r="L1572" s="360">
        <v>0.9656098681652705</v>
      </c>
      <c r="M1572" s="322">
        <f t="shared" si="452"/>
        <v>0.9656098681652705</v>
      </c>
      <c r="N1572" s="270">
        <f t="shared" si="453"/>
        <v>18.925897194359028</v>
      </c>
      <c r="O1572" s="360">
        <v>2.1772169794648851E-2</v>
      </c>
      <c r="P1572" s="322">
        <f t="shared" si="454"/>
        <v>2.1772169794648851E-2</v>
      </c>
      <c r="Q1572" s="361">
        <v>848.79000000000008</v>
      </c>
      <c r="R1572" s="266">
        <f t="shared" si="455"/>
        <v>869.27014499999996</v>
      </c>
      <c r="S1572" s="362">
        <v>0.1</v>
      </c>
      <c r="T1572" s="362"/>
      <c r="U1572" s="324">
        <f t="shared" si="444"/>
        <v>956.1971595</v>
      </c>
      <c r="V1572" s="324">
        <f t="shared" si="445"/>
        <v>960</v>
      </c>
      <c r="W1572" s="325">
        <f t="shared" si="446"/>
        <v>0</v>
      </c>
    </row>
    <row r="1573" spans="1:23" x14ac:dyDescent="0.25">
      <c r="A1573" s="204" t="s">
        <v>17229</v>
      </c>
      <c r="B1573" s="351" t="s">
        <v>21286</v>
      </c>
      <c r="C1573" s="352"/>
      <c r="D1573" s="353" t="s">
        <v>5</v>
      </c>
      <c r="E1573" s="249">
        <f t="shared" si="447"/>
        <v>0</v>
      </c>
      <c r="F1573" s="336">
        <v>0</v>
      </c>
      <c r="G1573" s="258">
        <f t="shared" si="448"/>
        <v>0</v>
      </c>
      <c r="H1573" s="249">
        <f t="shared" si="449"/>
        <v>6.3769118727699109E-2</v>
      </c>
      <c r="I1573" s="336">
        <v>1.2617962040080585E-2</v>
      </c>
      <c r="J1573" s="258">
        <f t="shared" si="450"/>
        <v>1.2617962040080585E-2</v>
      </c>
      <c r="K1573" s="249">
        <f t="shared" si="451"/>
        <v>4.879974978341262</v>
      </c>
      <c r="L1573" s="336">
        <v>0.96559808668810898</v>
      </c>
      <c r="M1573" s="258">
        <f t="shared" si="452"/>
        <v>0.96559808668810898</v>
      </c>
      <c r="N1573" s="251">
        <f t="shared" si="453"/>
        <v>0.1100329891772063</v>
      </c>
      <c r="O1573" s="336">
        <v>2.1772169794648851E-2</v>
      </c>
      <c r="P1573" s="258">
        <f t="shared" si="454"/>
        <v>2.1772169794648851E-2</v>
      </c>
      <c r="Q1573" s="354">
        <v>4.9348255813953497</v>
      </c>
      <c r="R1573" s="249">
        <f t="shared" si="455"/>
        <v>5.0538366279069775</v>
      </c>
      <c r="S1573" s="355">
        <v>0.1</v>
      </c>
      <c r="T1573" s="355"/>
      <c r="U1573" s="315">
        <f t="shared" ref="U1573:U1636" si="456">(R1573*S1573)+R1573</f>
        <v>5.5592202906976755</v>
      </c>
      <c r="V1573" s="315">
        <f t="shared" ref="V1573:V1636" si="457">IF(U1573=0, 0, IF(U1573&lt;10, _xlfn.CEILING.MATH(U1573,1), IF(U1573&lt;100, _xlfn.CEILING.MATH(U1573,1),IF(U1573&lt;1000, _xlfn.CEILING.MATH(U1573,5), IF(U1573&lt;10000, _xlfn.CEILING.MATH(U1573, 25), IF(U1573&lt;100000, _xlfn.CEILING.MATH(U1573,250), IF(U1573&lt;1000000, _xlfn.CEILING.MATH(U1573,500), 0)))))))</f>
        <v>6</v>
      </c>
      <c r="W1573" s="316">
        <f t="shared" ref="W1573:W1636" si="458">C1573*V1573</f>
        <v>0</v>
      </c>
    </row>
    <row r="1574" spans="1:23" x14ac:dyDescent="0.25">
      <c r="A1574" s="204" t="s">
        <v>17230</v>
      </c>
      <c r="B1574" s="351" t="s">
        <v>21287</v>
      </c>
      <c r="C1574" s="352"/>
      <c r="D1574" s="353" t="s">
        <v>14859</v>
      </c>
      <c r="E1574" s="249">
        <f t="shared" si="447"/>
        <v>0</v>
      </c>
      <c r="F1574" s="336">
        <v>0</v>
      </c>
      <c r="G1574" s="258">
        <f t="shared" si="448"/>
        <v>0</v>
      </c>
      <c r="H1574" s="249">
        <f t="shared" si="449"/>
        <v>10.968417692185344</v>
      </c>
      <c r="I1574" s="336">
        <v>1.2617962040080585E-2</v>
      </c>
      <c r="J1574" s="258">
        <f t="shared" si="450"/>
        <v>1.2617962040080585E-2</v>
      </c>
      <c r="K1574" s="249">
        <f t="shared" si="451"/>
        <v>839.37583011345555</v>
      </c>
      <c r="L1574" s="336">
        <v>0.9656098681652705</v>
      </c>
      <c r="M1574" s="258">
        <f t="shared" si="452"/>
        <v>0.9656098681652705</v>
      </c>
      <c r="N1574" s="251">
        <f t="shared" si="453"/>
        <v>18.925897194359028</v>
      </c>
      <c r="O1574" s="336">
        <v>2.1772169794648851E-2</v>
      </c>
      <c r="P1574" s="258">
        <f t="shared" si="454"/>
        <v>2.1772169794648851E-2</v>
      </c>
      <c r="Q1574" s="354">
        <v>848.79000000000008</v>
      </c>
      <c r="R1574" s="249">
        <f t="shared" si="455"/>
        <v>869.27014499999996</v>
      </c>
      <c r="S1574" s="355">
        <v>0.1</v>
      </c>
      <c r="T1574" s="355"/>
      <c r="U1574" s="315">
        <f t="shared" si="456"/>
        <v>956.1971595</v>
      </c>
      <c r="V1574" s="315">
        <f t="shared" si="457"/>
        <v>960</v>
      </c>
      <c r="W1574" s="316">
        <f t="shared" si="458"/>
        <v>0</v>
      </c>
    </row>
    <row r="1575" spans="1:23" x14ac:dyDescent="0.25">
      <c r="A1575" s="204" t="s">
        <v>17231</v>
      </c>
      <c r="B1575" s="351" t="s">
        <v>21288</v>
      </c>
      <c r="C1575" s="352"/>
      <c r="D1575" s="353" t="s">
        <v>5</v>
      </c>
      <c r="E1575" s="249">
        <f t="shared" si="447"/>
        <v>0</v>
      </c>
      <c r="F1575" s="336">
        <v>0</v>
      </c>
      <c r="G1575" s="258">
        <f t="shared" si="448"/>
        <v>0</v>
      </c>
      <c r="H1575" s="249">
        <f t="shared" si="449"/>
        <v>6.3769118727699109E-2</v>
      </c>
      <c r="I1575" s="336">
        <v>1.2617962040080585E-2</v>
      </c>
      <c r="J1575" s="258">
        <f t="shared" si="450"/>
        <v>1.2617962040080585E-2</v>
      </c>
      <c r="K1575" s="249">
        <f t="shared" si="451"/>
        <v>4.879974978341262</v>
      </c>
      <c r="L1575" s="336">
        <v>0.96559808668810898</v>
      </c>
      <c r="M1575" s="258">
        <f t="shared" si="452"/>
        <v>0.96559808668810898</v>
      </c>
      <c r="N1575" s="251">
        <f t="shared" si="453"/>
        <v>0.1100329891772063</v>
      </c>
      <c r="O1575" s="336">
        <v>2.1772169794648851E-2</v>
      </c>
      <c r="P1575" s="258">
        <f t="shared" si="454"/>
        <v>2.1772169794648851E-2</v>
      </c>
      <c r="Q1575" s="354">
        <v>4.9348255813953497</v>
      </c>
      <c r="R1575" s="249">
        <f t="shared" si="455"/>
        <v>5.0538366279069775</v>
      </c>
      <c r="S1575" s="355">
        <v>0.1</v>
      </c>
      <c r="T1575" s="355"/>
      <c r="U1575" s="315">
        <f t="shared" si="456"/>
        <v>5.5592202906976755</v>
      </c>
      <c r="V1575" s="315">
        <f t="shared" si="457"/>
        <v>6</v>
      </c>
      <c r="W1575" s="316">
        <f t="shared" si="458"/>
        <v>0</v>
      </c>
    </row>
    <row r="1576" spans="1:23" x14ac:dyDescent="0.25">
      <c r="A1576" s="204" t="s">
        <v>17232</v>
      </c>
      <c r="B1576" s="351" t="s">
        <v>21289</v>
      </c>
      <c r="C1576" s="352"/>
      <c r="D1576" s="353" t="s">
        <v>14859</v>
      </c>
      <c r="E1576" s="249">
        <f t="shared" si="447"/>
        <v>0</v>
      </c>
      <c r="F1576" s="336">
        <v>0</v>
      </c>
      <c r="G1576" s="258">
        <f t="shared" si="448"/>
        <v>0</v>
      </c>
      <c r="H1576" s="249">
        <f t="shared" si="449"/>
        <v>10.968417692185344</v>
      </c>
      <c r="I1576" s="336">
        <v>1.2617962040080585E-2</v>
      </c>
      <c r="J1576" s="258">
        <f t="shared" si="450"/>
        <v>1.2617962040080585E-2</v>
      </c>
      <c r="K1576" s="249">
        <f t="shared" si="451"/>
        <v>839.37583011345555</v>
      </c>
      <c r="L1576" s="336">
        <v>0.9656098681652705</v>
      </c>
      <c r="M1576" s="258">
        <f t="shared" si="452"/>
        <v>0.9656098681652705</v>
      </c>
      <c r="N1576" s="251">
        <f t="shared" si="453"/>
        <v>18.925897194359028</v>
      </c>
      <c r="O1576" s="336">
        <v>2.1772169794648851E-2</v>
      </c>
      <c r="P1576" s="258">
        <f t="shared" si="454"/>
        <v>2.1772169794648851E-2</v>
      </c>
      <c r="Q1576" s="354">
        <v>848.79000000000008</v>
      </c>
      <c r="R1576" s="249">
        <f t="shared" si="455"/>
        <v>869.27014499999996</v>
      </c>
      <c r="S1576" s="355">
        <v>0.1</v>
      </c>
      <c r="T1576" s="355"/>
      <c r="U1576" s="315">
        <f t="shared" si="456"/>
        <v>956.1971595</v>
      </c>
      <c r="V1576" s="315">
        <f t="shared" si="457"/>
        <v>960</v>
      </c>
      <c r="W1576" s="316">
        <f t="shared" si="458"/>
        <v>0</v>
      </c>
    </row>
    <row r="1577" spans="1:23" x14ac:dyDescent="0.25">
      <c r="A1577" s="204" t="s">
        <v>17233</v>
      </c>
      <c r="B1577" s="351" t="s">
        <v>21290</v>
      </c>
      <c r="C1577" s="352"/>
      <c r="D1577" s="353" t="s">
        <v>5</v>
      </c>
      <c r="E1577" s="249">
        <f t="shared" si="447"/>
        <v>0</v>
      </c>
      <c r="F1577" s="336">
        <v>0</v>
      </c>
      <c r="G1577" s="258">
        <f t="shared" si="448"/>
        <v>0</v>
      </c>
      <c r="H1577" s="249">
        <f t="shared" si="449"/>
        <v>6.3769118727699109E-2</v>
      </c>
      <c r="I1577" s="336">
        <v>1.2617962040080585E-2</v>
      </c>
      <c r="J1577" s="258">
        <f t="shared" si="450"/>
        <v>1.2617962040080585E-2</v>
      </c>
      <c r="K1577" s="249">
        <f t="shared" si="451"/>
        <v>4.879974978341262</v>
      </c>
      <c r="L1577" s="336">
        <v>0.96559808668810898</v>
      </c>
      <c r="M1577" s="258">
        <f t="shared" si="452"/>
        <v>0.96559808668810898</v>
      </c>
      <c r="N1577" s="251">
        <f t="shared" si="453"/>
        <v>0.1100329891772063</v>
      </c>
      <c r="O1577" s="336">
        <v>2.1772169794648851E-2</v>
      </c>
      <c r="P1577" s="258">
        <f t="shared" si="454"/>
        <v>2.1772169794648851E-2</v>
      </c>
      <c r="Q1577" s="354">
        <v>4.9348255813953497</v>
      </c>
      <c r="R1577" s="249">
        <f t="shared" si="455"/>
        <v>5.0538366279069775</v>
      </c>
      <c r="S1577" s="355">
        <v>0.1</v>
      </c>
      <c r="T1577" s="355"/>
      <c r="U1577" s="315">
        <f t="shared" si="456"/>
        <v>5.5592202906976755</v>
      </c>
      <c r="V1577" s="315">
        <f t="shared" si="457"/>
        <v>6</v>
      </c>
      <c r="W1577" s="316">
        <f t="shared" si="458"/>
        <v>0</v>
      </c>
    </row>
    <row r="1578" spans="1:23" x14ac:dyDescent="0.25">
      <c r="A1578" s="204" t="s">
        <v>17234</v>
      </c>
      <c r="B1578" s="351" t="s">
        <v>21291</v>
      </c>
      <c r="C1578" s="352"/>
      <c r="D1578" s="353" t="s">
        <v>14859</v>
      </c>
      <c r="E1578" s="249">
        <f t="shared" si="447"/>
        <v>0</v>
      </c>
      <c r="F1578" s="336">
        <v>0</v>
      </c>
      <c r="G1578" s="258">
        <f t="shared" si="448"/>
        <v>0</v>
      </c>
      <c r="H1578" s="249">
        <f t="shared" si="449"/>
        <v>10.968417692185344</v>
      </c>
      <c r="I1578" s="336">
        <v>1.2617962040080585E-2</v>
      </c>
      <c r="J1578" s="258">
        <f t="shared" si="450"/>
        <v>1.2617962040080585E-2</v>
      </c>
      <c r="K1578" s="249">
        <f t="shared" si="451"/>
        <v>839.37583011345555</v>
      </c>
      <c r="L1578" s="336">
        <v>0.9656098681652705</v>
      </c>
      <c r="M1578" s="258">
        <f t="shared" si="452"/>
        <v>0.9656098681652705</v>
      </c>
      <c r="N1578" s="251">
        <f t="shared" si="453"/>
        <v>18.925897194359028</v>
      </c>
      <c r="O1578" s="336">
        <v>2.1772169794648851E-2</v>
      </c>
      <c r="P1578" s="258">
        <f t="shared" si="454"/>
        <v>2.1772169794648851E-2</v>
      </c>
      <c r="Q1578" s="354">
        <v>848.79000000000008</v>
      </c>
      <c r="R1578" s="249">
        <f t="shared" si="455"/>
        <v>869.27014499999996</v>
      </c>
      <c r="S1578" s="355">
        <v>0.1</v>
      </c>
      <c r="T1578" s="355"/>
      <c r="U1578" s="315">
        <f t="shared" si="456"/>
        <v>956.1971595</v>
      </c>
      <c r="V1578" s="315">
        <f t="shared" si="457"/>
        <v>960</v>
      </c>
      <c r="W1578" s="316">
        <f t="shared" si="458"/>
        <v>0</v>
      </c>
    </row>
    <row r="1579" spans="1:23" x14ac:dyDescent="0.25">
      <c r="A1579" s="204" t="s">
        <v>17235</v>
      </c>
      <c r="B1579" s="351" t="s">
        <v>21292</v>
      </c>
      <c r="C1579" s="352"/>
      <c r="D1579" s="353" t="s">
        <v>5</v>
      </c>
      <c r="E1579" s="249">
        <f t="shared" si="447"/>
        <v>0</v>
      </c>
      <c r="F1579" s="336">
        <v>0</v>
      </c>
      <c r="G1579" s="258">
        <f t="shared" si="448"/>
        <v>0</v>
      </c>
      <c r="H1579" s="249">
        <f t="shared" si="449"/>
        <v>6.3773761536699267E-2</v>
      </c>
      <c r="I1579" s="336">
        <v>1.0164279816644365E-2</v>
      </c>
      <c r="J1579" s="258">
        <f t="shared" si="450"/>
        <v>1.0164279816644365E-2</v>
      </c>
      <c r="K1579" s="249">
        <f t="shared" si="451"/>
        <v>6.1004277270525691</v>
      </c>
      <c r="L1579" s="336">
        <v>0.97228786455219263</v>
      </c>
      <c r="M1579" s="258">
        <f t="shared" si="452"/>
        <v>0.97228786455219263</v>
      </c>
      <c r="N1579" s="251">
        <f t="shared" si="453"/>
        <v>0.11004100029861832</v>
      </c>
      <c r="O1579" s="336">
        <v>1.7538365173817724E-2</v>
      </c>
      <c r="P1579" s="258">
        <f t="shared" si="454"/>
        <v>1.7538365173817724E-2</v>
      </c>
      <c r="Q1579" s="354">
        <v>6.126104651162791</v>
      </c>
      <c r="R1579" s="249">
        <f t="shared" si="455"/>
        <v>6.2743020348837204</v>
      </c>
      <c r="S1579" s="355">
        <v>0.1</v>
      </c>
      <c r="T1579" s="355"/>
      <c r="U1579" s="315">
        <f t="shared" si="456"/>
        <v>6.9017322383720927</v>
      </c>
      <c r="V1579" s="315">
        <f t="shared" si="457"/>
        <v>7</v>
      </c>
      <c r="W1579" s="316">
        <f t="shared" si="458"/>
        <v>0</v>
      </c>
    </row>
    <row r="1580" spans="1:23" x14ac:dyDescent="0.25">
      <c r="A1580" s="204" t="s">
        <v>17236</v>
      </c>
      <c r="B1580" s="351" t="s">
        <v>18956</v>
      </c>
      <c r="C1580" s="352"/>
      <c r="D1580" s="353" t="s">
        <v>14859</v>
      </c>
      <c r="E1580" s="249">
        <f t="shared" si="447"/>
        <v>0</v>
      </c>
      <c r="F1580" s="336">
        <v>0</v>
      </c>
      <c r="G1580" s="258">
        <f t="shared" si="448"/>
        <v>0</v>
      </c>
      <c r="H1580" s="249">
        <f t="shared" si="449"/>
        <v>10.969191117358998</v>
      </c>
      <c r="I1580" s="336">
        <v>1.0164279816644365E-2</v>
      </c>
      <c r="J1580" s="258">
        <f t="shared" si="450"/>
        <v>1.0164279816644365E-2</v>
      </c>
      <c r="K1580" s="249">
        <f t="shared" si="451"/>
        <v>1049.2937721507276</v>
      </c>
      <c r="L1580" s="336">
        <v>0.97229735500953784</v>
      </c>
      <c r="M1580" s="258">
        <f t="shared" si="452"/>
        <v>0.97229735500953784</v>
      </c>
      <c r="N1580" s="251">
        <f t="shared" si="453"/>
        <v>18.927231731913562</v>
      </c>
      <c r="O1580" s="336">
        <v>1.7538365173817724E-2</v>
      </c>
      <c r="P1580" s="258">
        <f t="shared" si="454"/>
        <v>1.7538365173817724E-2</v>
      </c>
      <c r="Q1580" s="354">
        <v>1053.69</v>
      </c>
      <c r="R1580" s="249">
        <f t="shared" si="455"/>
        <v>1079.1901950000001</v>
      </c>
      <c r="S1580" s="355">
        <v>0.1</v>
      </c>
      <c r="T1580" s="355"/>
      <c r="U1580" s="315">
        <f t="shared" si="456"/>
        <v>1187.1092145000002</v>
      </c>
      <c r="V1580" s="315">
        <f t="shared" si="457"/>
        <v>1200</v>
      </c>
      <c r="W1580" s="316">
        <f t="shared" si="458"/>
        <v>0</v>
      </c>
    </row>
    <row r="1581" spans="1:23" x14ac:dyDescent="0.25">
      <c r="A1581" s="204" t="s">
        <v>17237</v>
      </c>
      <c r="B1581" s="351" t="s">
        <v>21293</v>
      </c>
      <c r="C1581" s="352"/>
      <c r="D1581" s="353" t="s">
        <v>5</v>
      </c>
      <c r="E1581" s="249">
        <f t="shared" si="447"/>
        <v>0</v>
      </c>
      <c r="F1581" s="336">
        <v>0</v>
      </c>
      <c r="G1581" s="258">
        <f t="shared" si="448"/>
        <v>0</v>
      </c>
      <c r="H1581" s="249">
        <f t="shared" si="449"/>
        <v>6.3775919725559349E-2</v>
      </c>
      <c r="I1581" s="336">
        <v>9.0236966824644559E-3</v>
      </c>
      <c r="J1581" s="258">
        <f t="shared" si="450"/>
        <v>9.0236966824644559E-3</v>
      </c>
      <c r="K1581" s="249">
        <f t="shared" si="451"/>
        <v>6.8937243574497575</v>
      </c>
      <c r="L1581" s="336">
        <v>0.97539757767245905</v>
      </c>
      <c r="M1581" s="258">
        <f t="shared" si="452"/>
        <v>0.97539757767245905</v>
      </c>
      <c r="N1581" s="251">
        <f t="shared" si="453"/>
        <v>0.11004472423233769</v>
      </c>
      <c r="O1581" s="336">
        <v>1.5570300157977881E-2</v>
      </c>
      <c r="P1581" s="258">
        <f t="shared" si="454"/>
        <v>1.5570300157977881E-2</v>
      </c>
      <c r="Q1581" s="354">
        <v>6.9004360465116283</v>
      </c>
      <c r="R1581" s="249">
        <f t="shared" si="455"/>
        <v>7.0676045494186042</v>
      </c>
      <c r="S1581" s="355">
        <v>0.1</v>
      </c>
      <c r="T1581" s="355"/>
      <c r="U1581" s="315">
        <f t="shared" si="456"/>
        <v>7.7743650043604644</v>
      </c>
      <c r="V1581" s="315">
        <f t="shared" si="457"/>
        <v>8</v>
      </c>
      <c r="W1581" s="316">
        <f t="shared" si="458"/>
        <v>0</v>
      </c>
    </row>
    <row r="1582" spans="1:23" x14ac:dyDescent="0.25">
      <c r="A1582" s="204" t="s">
        <v>17238</v>
      </c>
      <c r="B1582" s="351" t="s">
        <v>21294</v>
      </c>
      <c r="C1582" s="352"/>
      <c r="D1582" s="353" t="s">
        <v>14859</v>
      </c>
      <c r="E1582" s="249">
        <f t="shared" si="447"/>
        <v>0</v>
      </c>
      <c r="F1582" s="336">
        <v>0</v>
      </c>
      <c r="G1582" s="258">
        <f t="shared" si="448"/>
        <v>0</v>
      </c>
      <c r="H1582" s="249">
        <f t="shared" si="449"/>
        <v>10.969550640568722</v>
      </c>
      <c r="I1582" s="336">
        <v>9.0236966824644559E-3</v>
      </c>
      <c r="J1582" s="258">
        <f t="shared" si="450"/>
        <v>9.0236966824644559E-3</v>
      </c>
      <c r="K1582" s="249">
        <f t="shared" si="451"/>
        <v>1185.7408247737442</v>
      </c>
      <c r="L1582" s="336">
        <v>0.97540600315955761</v>
      </c>
      <c r="M1582" s="258">
        <f t="shared" si="452"/>
        <v>0.97540600315955761</v>
      </c>
      <c r="N1582" s="251">
        <f t="shared" si="453"/>
        <v>18.927852085687206</v>
      </c>
      <c r="O1582" s="336">
        <v>1.5570300157977883E-2</v>
      </c>
      <c r="P1582" s="258">
        <f t="shared" si="454"/>
        <v>1.5570300157977883E-2</v>
      </c>
      <c r="Q1582" s="354">
        <v>1186.875</v>
      </c>
      <c r="R1582" s="249">
        <f t="shared" si="455"/>
        <v>1215.6382275000001</v>
      </c>
      <c r="S1582" s="355">
        <v>0.1</v>
      </c>
      <c r="T1582" s="355"/>
      <c r="U1582" s="315">
        <f t="shared" si="456"/>
        <v>1337.2020502500002</v>
      </c>
      <c r="V1582" s="315">
        <f t="shared" si="457"/>
        <v>1350</v>
      </c>
      <c r="W1582" s="316">
        <f t="shared" si="458"/>
        <v>0</v>
      </c>
    </row>
    <row r="1583" spans="1:23" x14ac:dyDescent="0.25">
      <c r="A1583" s="204" t="s">
        <v>17239</v>
      </c>
      <c r="B1583" s="351" t="s">
        <v>21295</v>
      </c>
      <c r="C1583" s="352"/>
      <c r="D1583" s="353" t="s">
        <v>5</v>
      </c>
      <c r="E1583" s="249">
        <f t="shared" si="447"/>
        <v>0</v>
      </c>
      <c r="F1583" s="336">
        <v>0</v>
      </c>
      <c r="G1583" s="258">
        <f t="shared" si="448"/>
        <v>0</v>
      </c>
      <c r="H1583" s="249">
        <f t="shared" si="449"/>
        <v>6.3784117948013558E-2</v>
      </c>
      <c r="I1583" s="336">
        <v>4.6910108668515044E-3</v>
      </c>
      <c r="J1583" s="258">
        <f t="shared" si="450"/>
        <v>4.6910108668515044E-3</v>
      </c>
      <c r="K1583" s="249">
        <f t="shared" si="451"/>
        <v>13.423191932945683</v>
      </c>
      <c r="L1583" s="336">
        <v>0.98721031584387831</v>
      </c>
      <c r="M1583" s="258">
        <f t="shared" si="452"/>
        <v>0.98721031584387831</v>
      </c>
      <c r="N1583" s="251">
        <f t="shared" si="453"/>
        <v>0.11005887018480769</v>
      </c>
      <c r="O1583" s="336">
        <v>8.0942932604496538E-3</v>
      </c>
      <c r="P1583" s="258">
        <f t="shared" si="454"/>
        <v>8.0942932604496538E-3</v>
      </c>
      <c r="Q1583" s="354">
        <v>13.273779069767443</v>
      </c>
      <c r="R1583" s="249">
        <f t="shared" si="455"/>
        <v>13.597094476744187</v>
      </c>
      <c r="S1583" s="355">
        <v>0.1</v>
      </c>
      <c r="T1583" s="355"/>
      <c r="U1583" s="315">
        <f t="shared" si="456"/>
        <v>14.956803924418606</v>
      </c>
      <c r="V1583" s="315">
        <f t="shared" si="457"/>
        <v>15</v>
      </c>
      <c r="W1583" s="316">
        <f t="shared" si="458"/>
        <v>0</v>
      </c>
    </row>
    <row r="1584" spans="1:23" x14ac:dyDescent="0.25">
      <c r="A1584" s="204" t="s">
        <v>17240</v>
      </c>
      <c r="B1584" s="351" t="s">
        <v>21296</v>
      </c>
      <c r="C1584" s="352"/>
      <c r="D1584" s="353" t="s">
        <v>14859</v>
      </c>
      <c r="E1584" s="249">
        <f t="shared" si="447"/>
        <v>0</v>
      </c>
      <c r="F1584" s="336">
        <v>0</v>
      </c>
      <c r="G1584" s="258">
        <f t="shared" si="448"/>
        <v>0</v>
      </c>
      <c r="H1584" s="249">
        <f t="shared" si="449"/>
        <v>10.97091634646466</v>
      </c>
      <c r="I1584" s="336">
        <v>4.6910108668515036E-3</v>
      </c>
      <c r="J1584" s="258">
        <f t="shared" si="450"/>
        <v>4.6910108668515036E-3</v>
      </c>
      <c r="K1584" s="249">
        <f t="shared" si="451"/>
        <v>2308.8093700557142</v>
      </c>
      <c r="L1584" s="336">
        <v>0.98721469587269883</v>
      </c>
      <c r="M1584" s="258">
        <f t="shared" si="452"/>
        <v>0.98721469587269883</v>
      </c>
      <c r="N1584" s="251">
        <f t="shared" si="453"/>
        <v>18.930208597821377</v>
      </c>
      <c r="O1584" s="336">
        <v>8.0942932604496538E-3</v>
      </c>
      <c r="P1584" s="258">
        <f t="shared" si="454"/>
        <v>8.0942932604496538E-3</v>
      </c>
      <c r="Q1584" s="354">
        <v>2283.09</v>
      </c>
      <c r="R1584" s="249">
        <f t="shared" si="455"/>
        <v>2338.7104950000003</v>
      </c>
      <c r="S1584" s="355">
        <v>0.1</v>
      </c>
      <c r="T1584" s="355"/>
      <c r="U1584" s="315">
        <f t="shared" si="456"/>
        <v>2572.5815445000003</v>
      </c>
      <c r="V1584" s="315">
        <f t="shared" si="457"/>
        <v>2575</v>
      </c>
      <c r="W1584" s="316">
        <f t="shared" si="458"/>
        <v>0</v>
      </c>
    </row>
    <row r="1585" spans="1:23" x14ac:dyDescent="0.25">
      <c r="A1585" s="204" t="s">
        <v>17241</v>
      </c>
      <c r="B1585" s="351" t="s">
        <v>21297</v>
      </c>
      <c r="C1585" s="352"/>
      <c r="D1585" s="353" t="s">
        <v>5</v>
      </c>
      <c r="E1585" s="249">
        <f t="shared" si="447"/>
        <v>0</v>
      </c>
      <c r="F1585" s="336">
        <v>0</v>
      </c>
      <c r="G1585" s="258">
        <f t="shared" si="448"/>
        <v>0</v>
      </c>
      <c r="H1585" s="249">
        <f t="shared" si="449"/>
        <v>6.3784117948013558E-2</v>
      </c>
      <c r="I1585" s="336">
        <v>4.6910108668515044E-3</v>
      </c>
      <c r="J1585" s="258">
        <f t="shared" si="450"/>
        <v>4.6910108668515044E-3</v>
      </c>
      <c r="K1585" s="249">
        <f t="shared" si="451"/>
        <v>13.423191932945683</v>
      </c>
      <c r="L1585" s="336">
        <v>0.98721031584387831</v>
      </c>
      <c r="M1585" s="258">
        <f t="shared" si="452"/>
        <v>0.98721031584387831</v>
      </c>
      <c r="N1585" s="251">
        <f t="shared" si="453"/>
        <v>0.11005887018480769</v>
      </c>
      <c r="O1585" s="336">
        <v>8.0942932604496538E-3</v>
      </c>
      <c r="P1585" s="258">
        <f t="shared" si="454"/>
        <v>8.0942932604496538E-3</v>
      </c>
      <c r="Q1585" s="354">
        <v>13.273779069767443</v>
      </c>
      <c r="R1585" s="249">
        <f t="shared" si="455"/>
        <v>13.597094476744187</v>
      </c>
      <c r="S1585" s="355">
        <v>0.1</v>
      </c>
      <c r="T1585" s="355"/>
      <c r="U1585" s="315">
        <f t="shared" si="456"/>
        <v>14.956803924418606</v>
      </c>
      <c r="V1585" s="315">
        <f t="shared" si="457"/>
        <v>15</v>
      </c>
      <c r="W1585" s="316">
        <f t="shared" si="458"/>
        <v>0</v>
      </c>
    </row>
    <row r="1586" spans="1:23" x14ac:dyDescent="0.25">
      <c r="A1586" s="204" t="s">
        <v>17242</v>
      </c>
      <c r="B1586" s="351" t="s">
        <v>21298</v>
      </c>
      <c r="C1586" s="352"/>
      <c r="D1586" s="353" t="s">
        <v>14859</v>
      </c>
      <c r="E1586" s="249">
        <f t="shared" si="447"/>
        <v>0</v>
      </c>
      <c r="F1586" s="336">
        <v>0</v>
      </c>
      <c r="G1586" s="258">
        <f t="shared" si="448"/>
        <v>0</v>
      </c>
      <c r="H1586" s="249">
        <f t="shared" si="449"/>
        <v>10.97091634646466</v>
      </c>
      <c r="I1586" s="336">
        <v>4.6910108668515036E-3</v>
      </c>
      <c r="J1586" s="258">
        <f t="shared" si="450"/>
        <v>4.6910108668515036E-3</v>
      </c>
      <c r="K1586" s="249">
        <f t="shared" si="451"/>
        <v>2308.8093700557142</v>
      </c>
      <c r="L1586" s="336">
        <v>0.98721469587269883</v>
      </c>
      <c r="M1586" s="258">
        <f t="shared" si="452"/>
        <v>0.98721469587269883</v>
      </c>
      <c r="N1586" s="251">
        <f t="shared" si="453"/>
        <v>18.930208597821377</v>
      </c>
      <c r="O1586" s="336">
        <v>8.0942932604496538E-3</v>
      </c>
      <c r="P1586" s="258">
        <f t="shared" si="454"/>
        <v>8.0942932604496538E-3</v>
      </c>
      <c r="Q1586" s="354">
        <v>2283.09</v>
      </c>
      <c r="R1586" s="249">
        <f t="shared" si="455"/>
        <v>2338.7104950000003</v>
      </c>
      <c r="S1586" s="355">
        <v>0.1</v>
      </c>
      <c r="T1586" s="355"/>
      <c r="U1586" s="315">
        <f t="shared" si="456"/>
        <v>2572.5815445000003</v>
      </c>
      <c r="V1586" s="315">
        <f t="shared" si="457"/>
        <v>2575</v>
      </c>
      <c r="W1586" s="316">
        <f t="shared" si="458"/>
        <v>0</v>
      </c>
    </row>
    <row r="1587" spans="1:23" x14ac:dyDescent="0.25">
      <c r="A1587" s="204" t="s">
        <v>17243</v>
      </c>
      <c r="B1587" s="351" t="s">
        <v>21299</v>
      </c>
      <c r="C1587" s="352"/>
      <c r="D1587" s="353" t="s">
        <v>5</v>
      </c>
      <c r="E1587" s="249">
        <f t="shared" si="447"/>
        <v>0</v>
      </c>
      <c r="F1587" s="336">
        <v>0</v>
      </c>
      <c r="G1587" s="258">
        <f t="shared" si="448"/>
        <v>0</v>
      </c>
      <c r="H1587" s="249">
        <f t="shared" si="449"/>
        <v>6.3098741007194273E-2</v>
      </c>
      <c r="I1587" s="336">
        <v>0.36690647482014394</v>
      </c>
      <c r="J1587" s="258">
        <f t="shared" si="450"/>
        <v>0.36690647482014394</v>
      </c>
      <c r="K1587" s="249">
        <f t="shared" si="451"/>
        <v>-5.8915724563205334E-5</v>
      </c>
      <c r="L1587" s="336">
        <v>-3.4258307639601873E-4</v>
      </c>
      <c r="M1587" s="258">
        <f t="shared" si="452"/>
        <v>-3.4258307639601873E-4</v>
      </c>
      <c r="N1587" s="251">
        <f t="shared" si="453"/>
        <v>0.10887625899280577</v>
      </c>
      <c r="O1587" s="336">
        <v>0.63309352517985606</v>
      </c>
      <c r="P1587" s="258">
        <f t="shared" si="454"/>
        <v>0.63309352517985606</v>
      </c>
      <c r="Q1587" s="354">
        <v>0.1697093023255814</v>
      </c>
      <c r="R1587" s="249">
        <f t="shared" si="455"/>
        <v>0.17197500000000004</v>
      </c>
      <c r="S1587" s="355">
        <v>0.1</v>
      </c>
      <c r="T1587" s="355"/>
      <c r="U1587" s="315">
        <f t="shared" si="456"/>
        <v>0.18917250000000005</v>
      </c>
      <c r="V1587" s="315">
        <f t="shared" si="457"/>
        <v>1</v>
      </c>
      <c r="W1587" s="316">
        <f t="shared" si="458"/>
        <v>0</v>
      </c>
    </row>
    <row r="1588" spans="1:23" x14ac:dyDescent="0.25">
      <c r="A1588" s="204" t="s">
        <v>17244</v>
      </c>
      <c r="B1588" s="351" t="s">
        <v>21300</v>
      </c>
      <c r="C1588" s="352"/>
      <c r="D1588" s="353" t="s">
        <v>14859</v>
      </c>
      <c r="E1588" s="249">
        <f t="shared" si="447"/>
        <v>0</v>
      </c>
      <c r="F1588" s="336">
        <v>0</v>
      </c>
      <c r="G1588" s="258">
        <f t="shared" si="448"/>
        <v>0</v>
      </c>
      <c r="H1588" s="249">
        <f t="shared" si="449"/>
        <v>10.856742410071943</v>
      </c>
      <c r="I1588" s="336">
        <v>0.36690647482014388</v>
      </c>
      <c r="J1588" s="258">
        <f t="shared" si="450"/>
        <v>0.36690647482014388</v>
      </c>
      <c r="K1588" s="249">
        <f t="shared" si="451"/>
        <v>0</v>
      </c>
      <c r="L1588" s="336">
        <v>0</v>
      </c>
      <c r="M1588" s="258">
        <f t="shared" si="452"/>
        <v>0</v>
      </c>
      <c r="N1588" s="251">
        <f t="shared" si="453"/>
        <v>18.733202589928059</v>
      </c>
      <c r="O1588" s="336">
        <v>0.63309352517985606</v>
      </c>
      <c r="P1588" s="258">
        <f t="shared" si="454"/>
        <v>0.63309352517985606</v>
      </c>
      <c r="Q1588" s="354">
        <v>29.19</v>
      </c>
      <c r="R1588" s="249">
        <f t="shared" si="455"/>
        <v>29.589945000000004</v>
      </c>
      <c r="S1588" s="355">
        <v>0.1</v>
      </c>
      <c r="T1588" s="355"/>
      <c r="U1588" s="315">
        <f t="shared" si="456"/>
        <v>32.548939500000003</v>
      </c>
      <c r="V1588" s="315">
        <f t="shared" si="457"/>
        <v>33</v>
      </c>
      <c r="W1588" s="316">
        <f t="shared" si="458"/>
        <v>0</v>
      </c>
    </row>
    <row r="1589" spans="1:23" x14ac:dyDescent="0.25">
      <c r="A1589" s="204" t="s">
        <v>17245</v>
      </c>
      <c r="B1589" s="351" t="s">
        <v>21301</v>
      </c>
      <c r="C1589" s="352"/>
      <c r="D1589" s="353" t="s">
        <v>5</v>
      </c>
      <c r="E1589" s="249">
        <f t="shared" si="447"/>
        <v>0</v>
      </c>
      <c r="F1589" s="336">
        <v>0</v>
      </c>
      <c r="G1589" s="258">
        <f t="shared" si="448"/>
        <v>0</v>
      </c>
      <c r="H1589" s="249">
        <f t="shared" si="449"/>
        <v>6.378307158515234E-2</v>
      </c>
      <c r="I1589" s="336">
        <v>5.2440040982553041E-3</v>
      </c>
      <c r="J1589" s="258">
        <f t="shared" si="450"/>
        <v>5.2440040982553041E-3</v>
      </c>
      <c r="K1589" s="249">
        <f t="shared" si="451"/>
        <v>11.989147932576721</v>
      </c>
      <c r="L1589" s="336">
        <v>0.98570262187964008</v>
      </c>
      <c r="M1589" s="258">
        <f t="shared" si="452"/>
        <v>0.98570262187964008</v>
      </c>
      <c r="N1589" s="251">
        <f t="shared" si="453"/>
        <v>0.11005706469594914</v>
      </c>
      <c r="O1589" s="336">
        <v>9.0484776597346429E-3</v>
      </c>
      <c r="P1589" s="258">
        <f t="shared" si="454"/>
        <v>9.0484776597346429E-3</v>
      </c>
      <c r="Q1589" s="354">
        <v>11.874026162790697</v>
      </c>
      <c r="R1589" s="249">
        <f t="shared" si="455"/>
        <v>12.163047623546511</v>
      </c>
      <c r="S1589" s="355">
        <v>0.1</v>
      </c>
      <c r="T1589" s="355"/>
      <c r="U1589" s="315">
        <f t="shared" si="456"/>
        <v>13.379352385901162</v>
      </c>
      <c r="V1589" s="315">
        <f t="shared" si="457"/>
        <v>14</v>
      </c>
      <c r="W1589" s="316">
        <f t="shared" si="458"/>
        <v>0</v>
      </c>
    </row>
    <row r="1590" spans="1:23" x14ac:dyDescent="0.25">
      <c r="A1590" s="204" t="s">
        <v>17246</v>
      </c>
      <c r="B1590" s="351" t="s">
        <v>21302</v>
      </c>
      <c r="C1590" s="352"/>
      <c r="D1590" s="353" t="s">
        <v>14859</v>
      </c>
      <c r="E1590" s="249">
        <f t="shared" si="447"/>
        <v>0</v>
      </c>
      <c r="F1590" s="336">
        <v>0</v>
      </c>
      <c r="G1590" s="258">
        <f t="shared" si="448"/>
        <v>0</v>
      </c>
      <c r="H1590" s="249">
        <f t="shared" si="449"/>
        <v>10.97074203746819</v>
      </c>
      <c r="I1590" s="336">
        <v>5.2440040982553041E-3</v>
      </c>
      <c r="J1590" s="258">
        <f t="shared" si="450"/>
        <v>5.2440040982553041E-3</v>
      </c>
      <c r="K1590" s="249">
        <f t="shared" si="451"/>
        <v>2062.1537863831745</v>
      </c>
      <c r="L1590" s="336">
        <v>0.98570751824200997</v>
      </c>
      <c r="M1590" s="258">
        <f t="shared" si="452"/>
        <v>0.98570751824200997</v>
      </c>
      <c r="N1590" s="251">
        <f t="shared" si="453"/>
        <v>18.929907829356875</v>
      </c>
      <c r="O1590" s="336">
        <v>9.0484776597346411E-3</v>
      </c>
      <c r="P1590" s="258">
        <f t="shared" si="454"/>
        <v>9.0484776597346411E-3</v>
      </c>
      <c r="Q1590" s="354">
        <v>2042.3325</v>
      </c>
      <c r="R1590" s="249">
        <f t="shared" si="455"/>
        <v>2092.05443625</v>
      </c>
      <c r="S1590" s="355">
        <v>0.1</v>
      </c>
      <c r="T1590" s="355"/>
      <c r="U1590" s="315">
        <f t="shared" si="456"/>
        <v>2301.259879875</v>
      </c>
      <c r="V1590" s="315">
        <f t="shared" si="457"/>
        <v>2325</v>
      </c>
      <c r="W1590" s="316">
        <f t="shared" si="458"/>
        <v>0</v>
      </c>
    </row>
    <row r="1591" spans="1:23" x14ac:dyDescent="0.25">
      <c r="A1591" s="204" t="s">
        <v>17247</v>
      </c>
      <c r="B1591" s="351" t="s">
        <v>21303</v>
      </c>
      <c r="C1591" s="352"/>
      <c r="D1591" s="353" t="s">
        <v>5</v>
      </c>
      <c r="E1591" s="249">
        <f t="shared" si="447"/>
        <v>0</v>
      </c>
      <c r="F1591" s="336">
        <v>0</v>
      </c>
      <c r="G1591" s="258">
        <f t="shared" si="448"/>
        <v>0</v>
      </c>
      <c r="H1591" s="249">
        <f t="shared" si="449"/>
        <v>6.3788258418228147E-2</v>
      </c>
      <c r="I1591" s="336">
        <v>2.5028101112593744E-3</v>
      </c>
      <c r="J1591" s="258">
        <f t="shared" si="450"/>
        <v>2.5028101112593744E-3</v>
      </c>
      <c r="K1591" s="249">
        <f t="shared" si="451"/>
        <v>25.312741400082675</v>
      </c>
      <c r="L1591" s="336">
        <v>0.99317627868825653</v>
      </c>
      <c r="M1591" s="258">
        <f t="shared" si="452"/>
        <v>0.99317627868825653</v>
      </c>
      <c r="N1591" s="251">
        <f t="shared" si="453"/>
        <v>0.11006601452557015</v>
      </c>
      <c r="O1591" s="336">
        <v>4.3185743096240186E-3</v>
      </c>
      <c r="P1591" s="258">
        <f t="shared" si="454"/>
        <v>4.3185743096240186E-3</v>
      </c>
      <c r="Q1591" s="354">
        <v>24.879011627906973</v>
      </c>
      <c r="R1591" s="249">
        <f t="shared" si="455"/>
        <v>25.486655232558139</v>
      </c>
      <c r="S1591" s="355">
        <v>0.1</v>
      </c>
      <c r="T1591" s="355"/>
      <c r="U1591" s="315">
        <f t="shared" si="456"/>
        <v>28.035320755813952</v>
      </c>
      <c r="V1591" s="315">
        <f t="shared" si="457"/>
        <v>29</v>
      </c>
      <c r="W1591" s="316">
        <f t="shared" si="458"/>
        <v>0</v>
      </c>
    </row>
    <row r="1592" spans="1:23" x14ac:dyDescent="0.25">
      <c r="A1592" s="204" t="s">
        <v>17248</v>
      </c>
      <c r="B1592" s="351" t="s">
        <v>21304</v>
      </c>
      <c r="C1592" s="352"/>
      <c r="D1592" s="353" t="s">
        <v>14859</v>
      </c>
      <c r="E1592" s="249">
        <f t="shared" si="447"/>
        <v>0</v>
      </c>
      <c r="F1592" s="336">
        <v>0</v>
      </c>
      <c r="G1592" s="258">
        <f t="shared" si="448"/>
        <v>0</v>
      </c>
      <c r="H1592" s="249">
        <f t="shared" si="449"/>
        <v>10.971606089224831</v>
      </c>
      <c r="I1592" s="336">
        <v>2.5028101112593744E-3</v>
      </c>
      <c r="J1592" s="258">
        <f t="shared" si="450"/>
        <v>2.5028101112593744E-3</v>
      </c>
      <c r="K1592" s="249">
        <f t="shared" si="451"/>
        <v>4353.8119401685835</v>
      </c>
      <c r="L1592" s="336">
        <v>0.99317861557911669</v>
      </c>
      <c r="M1592" s="258">
        <f t="shared" si="452"/>
        <v>0.99317861557911669</v>
      </c>
      <c r="N1592" s="251">
        <f t="shared" si="453"/>
        <v>18.931398742191863</v>
      </c>
      <c r="O1592" s="336">
        <v>4.3185743096240178E-3</v>
      </c>
      <c r="P1592" s="258">
        <f t="shared" si="454"/>
        <v>4.3185743096240178E-3</v>
      </c>
      <c r="Q1592" s="354">
        <v>4279.1899999999996</v>
      </c>
      <c r="R1592" s="249">
        <f t="shared" si="455"/>
        <v>4383.7149449999997</v>
      </c>
      <c r="S1592" s="355">
        <v>0.1</v>
      </c>
      <c r="T1592" s="355"/>
      <c r="U1592" s="315">
        <f t="shared" si="456"/>
        <v>4822.0864394999999</v>
      </c>
      <c r="V1592" s="315">
        <f t="shared" si="457"/>
        <v>4825</v>
      </c>
      <c r="W1592" s="316">
        <f t="shared" si="458"/>
        <v>0</v>
      </c>
    </row>
    <row r="1593" spans="1:23" x14ac:dyDescent="0.25">
      <c r="A1593" s="204" t="s">
        <v>17249</v>
      </c>
      <c r="B1593" s="351" t="s">
        <v>21305</v>
      </c>
      <c r="C1593" s="352"/>
      <c r="D1593" s="353" t="s">
        <v>5</v>
      </c>
      <c r="E1593" s="249">
        <f t="shared" si="447"/>
        <v>0</v>
      </c>
      <c r="F1593" s="336">
        <v>0</v>
      </c>
      <c r="G1593" s="258">
        <f t="shared" si="448"/>
        <v>0</v>
      </c>
      <c r="H1593" s="249">
        <f t="shared" si="449"/>
        <v>6.3788258418228147E-2</v>
      </c>
      <c r="I1593" s="336">
        <v>2.5028101112593744E-3</v>
      </c>
      <c r="J1593" s="258">
        <f t="shared" si="450"/>
        <v>2.5028101112593744E-3</v>
      </c>
      <c r="K1593" s="249">
        <f t="shared" si="451"/>
        <v>25.312741400082675</v>
      </c>
      <c r="L1593" s="336">
        <v>0.99317627868825653</v>
      </c>
      <c r="M1593" s="258">
        <f t="shared" si="452"/>
        <v>0.99317627868825653</v>
      </c>
      <c r="N1593" s="251">
        <f t="shared" si="453"/>
        <v>0.11006601452557015</v>
      </c>
      <c r="O1593" s="336">
        <v>4.3185743096240186E-3</v>
      </c>
      <c r="P1593" s="258">
        <f t="shared" si="454"/>
        <v>4.3185743096240186E-3</v>
      </c>
      <c r="Q1593" s="354">
        <v>24.879011627906973</v>
      </c>
      <c r="R1593" s="249">
        <f t="shared" si="455"/>
        <v>25.486655232558139</v>
      </c>
      <c r="S1593" s="355">
        <v>0.1</v>
      </c>
      <c r="T1593" s="355"/>
      <c r="U1593" s="315">
        <f t="shared" si="456"/>
        <v>28.035320755813952</v>
      </c>
      <c r="V1593" s="315">
        <f t="shared" si="457"/>
        <v>29</v>
      </c>
      <c r="W1593" s="316">
        <f t="shared" si="458"/>
        <v>0</v>
      </c>
    </row>
    <row r="1594" spans="1:23" x14ac:dyDescent="0.25">
      <c r="A1594" s="204" t="s">
        <v>17250</v>
      </c>
      <c r="B1594" s="351" t="s">
        <v>21306</v>
      </c>
      <c r="C1594" s="352"/>
      <c r="D1594" s="353" t="s">
        <v>14859</v>
      </c>
      <c r="E1594" s="249">
        <f t="shared" si="447"/>
        <v>0</v>
      </c>
      <c r="F1594" s="336">
        <v>0</v>
      </c>
      <c r="G1594" s="258">
        <f t="shared" si="448"/>
        <v>0</v>
      </c>
      <c r="H1594" s="249">
        <f t="shared" si="449"/>
        <v>10.971606089224831</v>
      </c>
      <c r="I1594" s="336">
        <v>2.5028101112593744E-3</v>
      </c>
      <c r="J1594" s="258">
        <f t="shared" si="450"/>
        <v>2.5028101112593744E-3</v>
      </c>
      <c r="K1594" s="249">
        <f t="shared" si="451"/>
        <v>4353.8119401685835</v>
      </c>
      <c r="L1594" s="336">
        <v>0.99317861557911669</v>
      </c>
      <c r="M1594" s="258">
        <f t="shared" si="452"/>
        <v>0.99317861557911669</v>
      </c>
      <c r="N1594" s="251">
        <f t="shared" si="453"/>
        <v>18.931398742191863</v>
      </c>
      <c r="O1594" s="336">
        <v>4.3185743096240178E-3</v>
      </c>
      <c r="P1594" s="258">
        <f t="shared" si="454"/>
        <v>4.3185743096240178E-3</v>
      </c>
      <c r="Q1594" s="354">
        <v>4279.1899999999996</v>
      </c>
      <c r="R1594" s="249">
        <f t="shared" si="455"/>
        <v>4383.7149449999997</v>
      </c>
      <c r="S1594" s="355">
        <v>0.1</v>
      </c>
      <c r="T1594" s="355"/>
      <c r="U1594" s="315">
        <f t="shared" si="456"/>
        <v>4822.0864394999999</v>
      </c>
      <c r="V1594" s="315">
        <f t="shared" si="457"/>
        <v>4825</v>
      </c>
      <c r="W1594" s="316">
        <f t="shared" si="458"/>
        <v>0</v>
      </c>
    </row>
    <row r="1595" spans="1:23" x14ac:dyDescent="0.25">
      <c r="A1595" s="204" t="s">
        <v>17251</v>
      </c>
      <c r="B1595" s="351" t="s">
        <v>21307</v>
      </c>
      <c r="C1595" s="352"/>
      <c r="D1595" s="353" t="s">
        <v>5</v>
      </c>
      <c r="E1595" s="249">
        <f t="shared" si="447"/>
        <v>0</v>
      </c>
      <c r="F1595" s="336">
        <v>0</v>
      </c>
      <c r="G1595" s="258">
        <f t="shared" si="448"/>
        <v>0</v>
      </c>
      <c r="H1595" s="249">
        <f t="shared" si="449"/>
        <v>6.3788469874666409E-2</v>
      </c>
      <c r="I1595" s="336">
        <v>2.3910573117014466E-3</v>
      </c>
      <c r="J1595" s="258">
        <f t="shared" si="450"/>
        <v>2.3910573117014466E-3</v>
      </c>
      <c r="K1595" s="249">
        <f t="shared" si="451"/>
        <v>26.504019893330224</v>
      </c>
      <c r="L1595" s="336">
        <v>0.99348096419218657</v>
      </c>
      <c r="M1595" s="258">
        <f t="shared" si="452"/>
        <v>0.99348096419218657</v>
      </c>
      <c r="N1595" s="251">
        <f t="shared" si="453"/>
        <v>0.11006637939158123</v>
      </c>
      <c r="O1595" s="336">
        <v>4.1257459496024957E-3</v>
      </c>
      <c r="P1595" s="258">
        <f t="shared" si="454"/>
        <v>4.1257459496024957E-3</v>
      </c>
      <c r="Q1595" s="354">
        <v>26.041802325581394</v>
      </c>
      <c r="R1595" s="249">
        <f t="shared" si="455"/>
        <v>26.677934302325578</v>
      </c>
      <c r="S1595" s="355">
        <v>0.1</v>
      </c>
      <c r="T1595" s="355"/>
      <c r="U1595" s="315">
        <f t="shared" si="456"/>
        <v>29.345727732558135</v>
      </c>
      <c r="V1595" s="315">
        <f t="shared" si="457"/>
        <v>30</v>
      </c>
      <c r="W1595" s="316">
        <f t="shared" si="458"/>
        <v>0</v>
      </c>
    </row>
    <row r="1596" spans="1:23" x14ac:dyDescent="0.25">
      <c r="A1596" s="204" t="s">
        <v>17252</v>
      </c>
      <c r="B1596" s="351" t="s">
        <v>21308</v>
      </c>
      <c r="C1596" s="352"/>
      <c r="D1596" s="353" t="s">
        <v>14859</v>
      </c>
      <c r="E1596" s="249">
        <f t="shared" si="447"/>
        <v>0</v>
      </c>
      <c r="F1596" s="336">
        <v>0</v>
      </c>
      <c r="G1596" s="258">
        <f t="shared" si="448"/>
        <v>0</v>
      </c>
      <c r="H1596" s="249">
        <f t="shared" si="449"/>
        <v>10.97164131482478</v>
      </c>
      <c r="I1596" s="336">
        <v>2.3910573117014466E-3</v>
      </c>
      <c r="J1596" s="258">
        <f t="shared" si="450"/>
        <v>2.3910573117014466E-3</v>
      </c>
      <c r="K1596" s="249">
        <f t="shared" si="451"/>
        <v>4558.7118441615557</v>
      </c>
      <c r="L1596" s="336">
        <v>0.99348319673869612</v>
      </c>
      <c r="M1596" s="258">
        <f t="shared" si="452"/>
        <v>0.99348319673869612</v>
      </c>
      <c r="N1596" s="251">
        <f t="shared" si="453"/>
        <v>18.931459523619225</v>
      </c>
      <c r="O1596" s="336">
        <v>4.1257459496024957E-3</v>
      </c>
      <c r="P1596" s="258">
        <f t="shared" si="454"/>
        <v>4.1257459496024957E-3</v>
      </c>
      <c r="Q1596" s="354">
        <v>4479.1899999999996</v>
      </c>
      <c r="R1596" s="249">
        <f t="shared" si="455"/>
        <v>4588.6149449999994</v>
      </c>
      <c r="S1596" s="355">
        <v>0.1</v>
      </c>
      <c r="T1596" s="355"/>
      <c r="U1596" s="315">
        <f t="shared" si="456"/>
        <v>5047.4764394999993</v>
      </c>
      <c r="V1596" s="315">
        <f t="shared" si="457"/>
        <v>5050</v>
      </c>
      <c r="W1596" s="316">
        <f t="shared" si="458"/>
        <v>0</v>
      </c>
    </row>
    <row r="1597" spans="1:23" x14ac:dyDescent="0.25">
      <c r="A1597" s="204" t="s">
        <v>17253</v>
      </c>
      <c r="B1597" s="351" t="s">
        <v>21309</v>
      </c>
      <c r="C1597" s="352"/>
      <c r="D1597" s="353" t="s">
        <v>5</v>
      </c>
      <c r="E1597" s="249">
        <f t="shared" si="447"/>
        <v>0</v>
      </c>
      <c r="F1597" s="336">
        <v>0</v>
      </c>
      <c r="G1597" s="258">
        <f t="shared" si="448"/>
        <v>0</v>
      </c>
      <c r="H1597" s="249">
        <f t="shared" si="449"/>
        <v>6.3789416243785355E-2</v>
      </c>
      <c r="I1597" s="336">
        <v>1.8909098613332774E-3</v>
      </c>
      <c r="J1597" s="258">
        <f t="shared" si="450"/>
        <v>1.8909098613332774E-3</v>
      </c>
      <c r="K1597" s="249">
        <f t="shared" si="451"/>
        <v>33.560856702661717</v>
      </c>
      <c r="L1597" s="336">
        <v>0.99484457815584204</v>
      </c>
      <c r="M1597" s="258">
        <f t="shared" si="452"/>
        <v>0.99484457815584204</v>
      </c>
      <c r="N1597" s="251">
        <f t="shared" si="453"/>
        <v>0.11006801234221786</v>
      </c>
      <c r="O1597" s="336">
        <v>3.2627464273985956E-3</v>
      </c>
      <c r="P1597" s="258">
        <f t="shared" si="454"/>
        <v>3.2627464273985956E-3</v>
      </c>
      <c r="Q1597" s="354">
        <v>32.929883720930228</v>
      </c>
      <c r="R1597" s="249">
        <f t="shared" si="455"/>
        <v>33.734773691860461</v>
      </c>
      <c r="S1597" s="355">
        <v>0.1</v>
      </c>
      <c r="T1597" s="355"/>
      <c r="U1597" s="315">
        <f t="shared" si="456"/>
        <v>37.108251061046509</v>
      </c>
      <c r="V1597" s="315">
        <f t="shared" si="457"/>
        <v>38</v>
      </c>
      <c r="W1597" s="316">
        <f t="shared" si="458"/>
        <v>0</v>
      </c>
    </row>
    <row r="1598" spans="1:23" x14ac:dyDescent="0.25">
      <c r="A1598" s="204" t="s">
        <v>17254</v>
      </c>
      <c r="B1598" s="351" t="s">
        <v>21310</v>
      </c>
      <c r="C1598" s="352"/>
      <c r="D1598" s="353" t="s">
        <v>14859</v>
      </c>
      <c r="E1598" s="249">
        <f t="shared" si="447"/>
        <v>0</v>
      </c>
      <c r="F1598" s="336">
        <v>0</v>
      </c>
      <c r="G1598" s="258">
        <f t="shared" si="448"/>
        <v>0</v>
      </c>
      <c r="H1598" s="249">
        <f t="shared" si="449"/>
        <v>10.971798966302611</v>
      </c>
      <c r="I1598" s="336">
        <v>1.8909098613332771E-3</v>
      </c>
      <c r="J1598" s="258">
        <f t="shared" si="450"/>
        <v>1.8909098613332771E-3</v>
      </c>
      <c r="K1598" s="249">
        <f t="shared" si="451"/>
        <v>5772.4877894839992</v>
      </c>
      <c r="L1598" s="336">
        <v>0.99484634371126823</v>
      </c>
      <c r="M1598" s="258">
        <f t="shared" si="452"/>
        <v>0.99484634371126823</v>
      </c>
      <c r="N1598" s="251">
        <f t="shared" si="453"/>
        <v>18.931731549698622</v>
      </c>
      <c r="O1598" s="336">
        <v>3.2627464273985956E-3</v>
      </c>
      <c r="P1598" s="258">
        <f t="shared" si="454"/>
        <v>3.2627464273985956E-3</v>
      </c>
      <c r="Q1598" s="354">
        <v>5663.94</v>
      </c>
      <c r="R1598" s="249">
        <f t="shared" si="455"/>
        <v>5802.3913199999997</v>
      </c>
      <c r="S1598" s="355">
        <v>0.1</v>
      </c>
      <c r="T1598" s="355"/>
      <c r="U1598" s="315">
        <f t="shared" si="456"/>
        <v>6382.6304519999994</v>
      </c>
      <c r="V1598" s="315">
        <f t="shared" si="457"/>
        <v>6400</v>
      </c>
      <c r="W1598" s="316">
        <f t="shared" si="458"/>
        <v>0</v>
      </c>
    </row>
    <row r="1599" spans="1:23" x14ac:dyDescent="0.25">
      <c r="A1599" s="204" t="s">
        <v>17255</v>
      </c>
      <c r="B1599" s="351" t="s">
        <v>21311</v>
      </c>
      <c r="C1599" s="352"/>
      <c r="D1599" s="353" t="s">
        <v>5</v>
      </c>
      <c r="E1599" s="249">
        <f t="shared" si="447"/>
        <v>0</v>
      </c>
      <c r="F1599" s="336">
        <v>0</v>
      </c>
      <c r="G1599" s="258">
        <f t="shared" si="448"/>
        <v>0</v>
      </c>
      <c r="H1599" s="249">
        <f t="shared" si="449"/>
        <v>6.3789843648442132E-2</v>
      </c>
      <c r="I1599" s="336">
        <v>1.66503039729864E-3</v>
      </c>
      <c r="J1599" s="258">
        <f t="shared" si="450"/>
        <v>1.66503039729864E-3</v>
      </c>
      <c r="K1599" s="249">
        <f t="shared" si="451"/>
        <v>38.137600813538235</v>
      </c>
      <c r="L1599" s="336">
        <v>0.99546042132575907</v>
      </c>
      <c r="M1599" s="258">
        <f t="shared" si="452"/>
        <v>0.99546042132575907</v>
      </c>
      <c r="N1599" s="251">
        <f t="shared" si="453"/>
        <v>0.1100687498247629</v>
      </c>
      <c r="O1599" s="336">
        <v>2.8729936267113789E-3</v>
      </c>
      <c r="P1599" s="258">
        <f t="shared" si="454"/>
        <v>2.8729936267113789E-3</v>
      </c>
      <c r="Q1599" s="354">
        <v>37.397180232558135</v>
      </c>
      <c r="R1599" s="249">
        <f t="shared" si="455"/>
        <v>38.31151896802325</v>
      </c>
      <c r="S1599" s="355">
        <v>0.1</v>
      </c>
      <c r="T1599" s="355"/>
      <c r="U1599" s="315">
        <f t="shared" si="456"/>
        <v>42.142670864825575</v>
      </c>
      <c r="V1599" s="315">
        <f t="shared" si="457"/>
        <v>43</v>
      </c>
      <c r="W1599" s="316">
        <f t="shared" si="458"/>
        <v>0</v>
      </c>
    </row>
    <row r="1600" spans="1:23" x14ac:dyDescent="0.25">
      <c r="A1600" s="204" t="s">
        <v>17256</v>
      </c>
      <c r="B1600" s="351" t="s">
        <v>21312</v>
      </c>
      <c r="C1600" s="352"/>
      <c r="D1600" s="353" t="s">
        <v>14859</v>
      </c>
      <c r="E1600" s="249">
        <f t="shared" si="447"/>
        <v>0</v>
      </c>
      <c r="F1600" s="336">
        <v>0</v>
      </c>
      <c r="G1600" s="258">
        <f t="shared" si="448"/>
        <v>0</v>
      </c>
      <c r="H1600" s="249">
        <f t="shared" si="449"/>
        <v>10.971870165768468</v>
      </c>
      <c r="I1600" s="336">
        <v>1.66503039729864E-3</v>
      </c>
      <c r="J1600" s="258">
        <f t="shared" si="450"/>
        <v>1.66503039729864E-3</v>
      </c>
      <c r="K1600" s="249">
        <f t="shared" si="451"/>
        <v>6559.6877829305522</v>
      </c>
      <c r="L1600" s="336">
        <v>0.99546197597599007</v>
      </c>
      <c r="M1600" s="258">
        <f t="shared" si="452"/>
        <v>0.99546197597599007</v>
      </c>
      <c r="N1600" s="251">
        <f t="shared" si="453"/>
        <v>18.931854403678923</v>
      </c>
      <c r="O1600" s="336">
        <v>2.8729936267113784E-3</v>
      </c>
      <c r="P1600" s="258">
        <f t="shared" si="454"/>
        <v>2.8729936267113784E-3</v>
      </c>
      <c r="Q1600" s="354">
        <v>6432.3149999999996</v>
      </c>
      <c r="R1600" s="249">
        <f t="shared" si="455"/>
        <v>6589.5915074999994</v>
      </c>
      <c r="S1600" s="355">
        <v>0.1</v>
      </c>
      <c r="T1600" s="355"/>
      <c r="U1600" s="315">
        <f t="shared" si="456"/>
        <v>7248.5506582499993</v>
      </c>
      <c r="V1600" s="315">
        <f t="shared" si="457"/>
        <v>7250</v>
      </c>
      <c r="W1600" s="316">
        <f t="shared" si="458"/>
        <v>0</v>
      </c>
    </row>
    <row r="1601" spans="1:23" x14ac:dyDescent="0.25">
      <c r="A1601" s="204" t="s">
        <v>17257</v>
      </c>
      <c r="B1601" s="351" t="s">
        <v>21313</v>
      </c>
      <c r="C1601" s="352"/>
      <c r="D1601" s="353" t="s">
        <v>5</v>
      </c>
      <c r="E1601" s="249">
        <f t="shared" si="447"/>
        <v>0</v>
      </c>
      <c r="F1601" s="336">
        <v>0</v>
      </c>
      <c r="G1601" s="258">
        <f t="shared" si="448"/>
        <v>0</v>
      </c>
      <c r="H1601" s="249">
        <f t="shared" si="449"/>
        <v>6.3789940909892179E-2</v>
      </c>
      <c r="I1601" s="336">
        <v>1.6136286077820295E-3</v>
      </c>
      <c r="J1601" s="258">
        <f t="shared" si="450"/>
        <v>1.6136286077820295E-3</v>
      </c>
      <c r="K1601" s="249">
        <f t="shared" si="451"/>
        <v>39.358065955339036</v>
      </c>
      <c r="L1601" s="336">
        <v>0.99560056439334876</v>
      </c>
      <c r="M1601" s="258">
        <f t="shared" si="452"/>
        <v>0.99560056439334876</v>
      </c>
      <c r="N1601" s="251">
        <f t="shared" si="453"/>
        <v>0.1100689176484414</v>
      </c>
      <c r="O1601" s="336">
        <v>2.78430034283958E-3</v>
      </c>
      <c r="P1601" s="258">
        <f t="shared" si="454"/>
        <v>2.78430034283958E-3</v>
      </c>
      <c r="Q1601" s="354">
        <v>38.588459302325575</v>
      </c>
      <c r="R1601" s="249">
        <f t="shared" si="455"/>
        <v>39.531984374999993</v>
      </c>
      <c r="S1601" s="355">
        <v>0.1</v>
      </c>
      <c r="T1601" s="355"/>
      <c r="U1601" s="315">
        <f t="shared" si="456"/>
        <v>43.485182812499993</v>
      </c>
      <c r="V1601" s="315">
        <f t="shared" si="457"/>
        <v>44</v>
      </c>
      <c r="W1601" s="316">
        <f t="shared" si="458"/>
        <v>0</v>
      </c>
    </row>
    <row r="1602" spans="1:23" x14ac:dyDescent="0.25">
      <c r="A1602" s="204" t="s">
        <v>17258</v>
      </c>
      <c r="B1602" s="351" t="s">
        <v>21314</v>
      </c>
      <c r="C1602" s="352"/>
      <c r="D1602" s="353" t="s">
        <v>14859</v>
      </c>
      <c r="E1602" s="249">
        <f t="shared" ref="E1602:E1665" si="459">R1602*G1602</f>
        <v>0</v>
      </c>
      <c r="F1602" s="336">
        <v>0</v>
      </c>
      <c r="G1602" s="258">
        <f t="shared" ref="G1602:G1665" si="460">F1602</f>
        <v>0</v>
      </c>
      <c r="H1602" s="249">
        <f t="shared" ref="H1602:H1665" si="461">R1602*J1602</f>
        <v>10.971886368126542</v>
      </c>
      <c r="I1602" s="336">
        <v>1.6136286077820293E-3</v>
      </c>
      <c r="J1602" s="258">
        <f t="shared" ref="J1602:J1665" si="462">I1602</f>
        <v>1.6136286077820293E-3</v>
      </c>
      <c r="K1602" s="249">
        <f t="shared" ref="K1602:K1665" si="463">R1602*M1602</f>
        <v>6769.6077887711845</v>
      </c>
      <c r="L1602" s="336">
        <v>0.99560207104937848</v>
      </c>
      <c r="M1602" s="258">
        <f t="shared" ref="M1602:M1665" si="464">L1602</f>
        <v>0.99560207104937848</v>
      </c>
      <c r="N1602" s="251">
        <f t="shared" ref="N1602:N1665" si="465">P1602*R1602</f>
        <v>18.931882360688935</v>
      </c>
      <c r="O1602" s="336">
        <v>2.78430034283958E-3</v>
      </c>
      <c r="P1602" s="258">
        <f t="shared" ref="P1602:P1665" si="466">O1602</f>
        <v>2.78430034283958E-3</v>
      </c>
      <c r="Q1602" s="354">
        <v>6637.2149999999992</v>
      </c>
      <c r="R1602" s="249">
        <f t="shared" ref="R1602:R1665" si="467">SUM(F1602*Q1602*1.0235,I1602*Q1602*1.0175,L1602*Q1602*1.0245,O1602*Q1602*1.0115)</f>
        <v>6799.5115574999991</v>
      </c>
      <c r="S1602" s="355">
        <v>0.1</v>
      </c>
      <c r="T1602" s="355"/>
      <c r="U1602" s="315">
        <f t="shared" si="456"/>
        <v>7479.4627132499991</v>
      </c>
      <c r="V1602" s="315">
        <f t="shared" si="457"/>
        <v>7500</v>
      </c>
      <c r="W1602" s="316">
        <f t="shared" si="458"/>
        <v>0</v>
      </c>
    </row>
    <row r="1603" spans="1:23" x14ac:dyDescent="0.25">
      <c r="A1603" s="204" t="s">
        <v>17259</v>
      </c>
      <c r="B1603" s="351" t="s">
        <v>21315</v>
      </c>
      <c r="C1603" s="352"/>
      <c r="D1603" s="353" t="s">
        <v>5</v>
      </c>
      <c r="E1603" s="249">
        <f t="shared" si="459"/>
        <v>0</v>
      </c>
      <c r="F1603" s="336">
        <v>0</v>
      </c>
      <c r="G1603" s="258">
        <f t="shared" si="460"/>
        <v>0</v>
      </c>
      <c r="H1603" s="249">
        <f t="shared" si="461"/>
        <v>6.3790606517001205E-2</v>
      </c>
      <c r="I1603" s="336">
        <v>1.2618613196736556E-3</v>
      </c>
      <c r="J1603" s="258">
        <f t="shared" si="462"/>
        <v>1.2618613196736556E-3</v>
      </c>
      <c r="K1603" s="249">
        <f t="shared" si="463"/>
        <v>50.37886676561191</v>
      </c>
      <c r="L1603" s="336">
        <v>0.99655963113590396</v>
      </c>
      <c r="M1603" s="258">
        <f t="shared" si="464"/>
        <v>0.99655963113590396</v>
      </c>
      <c r="N1603" s="251">
        <f t="shared" si="465"/>
        <v>0.11007006614698248</v>
      </c>
      <c r="O1603" s="336">
        <v>2.1773293359074841E-3</v>
      </c>
      <c r="P1603" s="258">
        <f t="shared" si="466"/>
        <v>2.1773293359074841E-3</v>
      </c>
      <c r="Q1603" s="354">
        <v>49.345709302325567</v>
      </c>
      <c r="R1603" s="249">
        <f t="shared" si="467"/>
        <v>50.552786999999988</v>
      </c>
      <c r="S1603" s="355">
        <v>0.1</v>
      </c>
      <c r="T1603" s="355"/>
      <c r="U1603" s="315">
        <f t="shared" si="456"/>
        <v>55.608065699999983</v>
      </c>
      <c r="V1603" s="315">
        <f t="shared" si="457"/>
        <v>56</v>
      </c>
      <c r="W1603" s="316">
        <f t="shared" si="458"/>
        <v>0</v>
      </c>
    </row>
    <row r="1604" spans="1:23" x14ac:dyDescent="0.25">
      <c r="A1604" s="204" t="s">
        <v>17260</v>
      </c>
      <c r="B1604" s="351" t="s">
        <v>21316</v>
      </c>
      <c r="C1604" s="352"/>
      <c r="D1604" s="353" t="s">
        <v>14859</v>
      </c>
      <c r="E1604" s="249">
        <f t="shared" si="459"/>
        <v>0</v>
      </c>
      <c r="F1604" s="336">
        <v>0</v>
      </c>
      <c r="G1604" s="258">
        <f t="shared" si="460"/>
        <v>0</v>
      </c>
      <c r="H1604" s="249">
        <f t="shared" si="461"/>
        <v>10.971997248693429</v>
      </c>
      <c r="I1604" s="336">
        <v>1.2618613196736556E-3</v>
      </c>
      <c r="J1604" s="258">
        <f t="shared" si="462"/>
        <v>1.2618613196736556E-3</v>
      </c>
      <c r="K1604" s="249">
        <f t="shared" si="463"/>
        <v>8665.185538067286</v>
      </c>
      <c r="L1604" s="336">
        <v>0.99656080934441904</v>
      </c>
      <c r="M1604" s="258">
        <f t="shared" si="464"/>
        <v>0.99656080934441904</v>
      </c>
      <c r="N1604" s="251">
        <f t="shared" si="465"/>
        <v>18.932073684020033</v>
      </c>
      <c r="O1604" s="336">
        <v>2.1773293359074841E-3</v>
      </c>
      <c r="P1604" s="258">
        <f t="shared" si="466"/>
        <v>2.1773293359074841E-3</v>
      </c>
      <c r="Q1604" s="354">
        <v>8487.4619999999977</v>
      </c>
      <c r="R1604" s="249">
        <f t="shared" si="467"/>
        <v>8695.0896089999987</v>
      </c>
      <c r="S1604" s="355">
        <v>0.1</v>
      </c>
      <c r="T1604" s="355"/>
      <c r="U1604" s="315">
        <f t="shared" si="456"/>
        <v>9564.5985698999993</v>
      </c>
      <c r="V1604" s="315">
        <f t="shared" si="457"/>
        <v>9575</v>
      </c>
      <c r="W1604" s="316">
        <f t="shared" si="458"/>
        <v>0</v>
      </c>
    </row>
    <row r="1605" spans="1:23" x14ac:dyDescent="0.25">
      <c r="A1605" s="204" t="s">
        <v>17261</v>
      </c>
      <c r="B1605" s="351" t="s">
        <v>21317</v>
      </c>
      <c r="C1605" s="352"/>
      <c r="D1605" s="353" t="s">
        <v>5</v>
      </c>
      <c r="E1605" s="249">
        <f t="shared" si="459"/>
        <v>0</v>
      </c>
      <c r="F1605" s="336">
        <v>0</v>
      </c>
      <c r="G1605" s="258">
        <f t="shared" si="460"/>
        <v>0</v>
      </c>
      <c r="H1605" s="249">
        <f t="shared" si="461"/>
        <v>6.3098741007194273E-2</v>
      </c>
      <c r="I1605" s="336">
        <v>0.36690647482014394</v>
      </c>
      <c r="J1605" s="258">
        <f t="shared" si="462"/>
        <v>0.36690647482014394</v>
      </c>
      <c r="K1605" s="249">
        <f t="shared" si="463"/>
        <v>-5.8915724563205334E-5</v>
      </c>
      <c r="L1605" s="336">
        <v>-3.4258307639601873E-4</v>
      </c>
      <c r="M1605" s="258">
        <f t="shared" si="464"/>
        <v>-3.4258307639601873E-4</v>
      </c>
      <c r="N1605" s="251">
        <f t="shared" si="465"/>
        <v>0.10887625899280577</v>
      </c>
      <c r="O1605" s="336">
        <v>0.63309352517985606</v>
      </c>
      <c r="P1605" s="258">
        <f t="shared" si="466"/>
        <v>0.63309352517985606</v>
      </c>
      <c r="Q1605" s="354">
        <v>0.1697093023255814</v>
      </c>
      <c r="R1605" s="249">
        <f t="shared" si="467"/>
        <v>0.17197500000000004</v>
      </c>
      <c r="S1605" s="355">
        <v>0.1</v>
      </c>
      <c r="T1605" s="355"/>
      <c r="U1605" s="315">
        <f t="shared" si="456"/>
        <v>0.18917250000000005</v>
      </c>
      <c r="V1605" s="315">
        <f t="shared" si="457"/>
        <v>1</v>
      </c>
      <c r="W1605" s="316">
        <f t="shared" si="458"/>
        <v>0</v>
      </c>
    </row>
    <row r="1606" spans="1:23" x14ac:dyDescent="0.25">
      <c r="A1606" s="204" t="s">
        <v>17262</v>
      </c>
      <c r="B1606" s="351" t="s">
        <v>21318</v>
      </c>
      <c r="C1606" s="352"/>
      <c r="D1606" s="353" t="s">
        <v>14859</v>
      </c>
      <c r="E1606" s="249">
        <f t="shared" si="459"/>
        <v>0</v>
      </c>
      <c r="F1606" s="336">
        <v>0</v>
      </c>
      <c r="G1606" s="258">
        <f t="shared" si="460"/>
        <v>0</v>
      </c>
      <c r="H1606" s="249">
        <f t="shared" si="461"/>
        <v>10.856742410071943</v>
      </c>
      <c r="I1606" s="336">
        <v>0.36690647482014388</v>
      </c>
      <c r="J1606" s="258">
        <f t="shared" si="462"/>
        <v>0.36690647482014388</v>
      </c>
      <c r="K1606" s="249">
        <f t="shared" si="463"/>
        <v>0</v>
      </c>
      <c r="L1606" s="336">
        <v>0</v>
      </c>
      <c r="M1606" s="258">
        <f t="shared" si="464"/>
        <v>0</v>
      </c>
      <c r="N1606" s="251">
        <f t="shared" si="465"/>
        <v>18.733202589928059</v>
      </c>
      <c r="O1606" s="336">
        <v>0.63309352517985606</v>
      </c>
      <c r="P1606" s="258">
        <f t="shared" si="466"/>
        <v>0.63309352517985606</v>
      </c>
      <c r="Q1606" s="354">
        <v>29.19</v>
      </c>
      <c r="R1606" s="249">
        <f t="shared" si="467"/>
        <v>29.589945000000004</v>
      </c>
      <c r="S1606" s="355">
        <v>0.1</v>
      </c>
      <c r="T1606" s="355"/>
      <c r="U1606" s="315">
        <f t="shared" si="456"/>
        <v>32.548939500000003</v>
      </c>
      <c r="V1606" s="315">
        <f t="shared" si="457"/>
        <v>33</v>
      </c>
      <c r="W1606" s="316">
        <f t="shared" si="458"/>
        <v>0</v>
      </c>
    </row>
    <row r="1607" spans="1:23" x14ac:dyDescent="0.25">
      <c r="A1607" s="204" t="s">
        <v>17263</v>
      </c>
      <c r="B1607" s="351" t="s">
        <v>21319</v>
      </c>
      <c r="C1607" s="352"/>
      <c r="D1607" s="353" t="s">
        <v>5</v>
      </c>
      <c r="E1607" s="249">
        <f t="shared" si="459"/>
        <v>0</v>
      </c>
      <c r="F1607" s="336">
        <v>0</v>
      </c>
      <c r="G1607" s="258">
        <f t="shared" si="460"/>
        <v>0</v>
      </c>
      <c r="H1607" s="249">
        <f t="shared" si="461"/>
        <v>6.377169015100731E-2</v>
      </c>
      <c r="I1607" s="336">
        <v>1.1258988267945001E-2</v>
      </c>
      <c r="J1607" s="258">
        <f t="shared" si="462"/>
        <v>1.1258988267945001E-2</v>
      </c>
      <c r="K1607" s="249">
        <f t="shared" si="463"/>
        <v>5.49020067103966</v>
      </c>
      <c r="L1607" s="336">
        <v>0.96930322526386603</v>
      </c>
      <c r="M1607" s="258">
        <f t="shared" si="464"/>
        <v>0.96930322526386603</v>
      </c>
      <c r="N1607" s="251">
        <f t="shared" si="465"/>
        <v>0.11003742614291456</v>
      </c>
      <c r="O1607" s="336">
        <v>1.9427273874101175E-2</v>
      </c>
      <c r="P1607" s="258">
        <f t="shared" si="466"/>
        <v>1.9427273874101175E-2</v>
      </c>
      <c r="Q1607" s="354">
        <v>5.5304651162790694</v>
      </c>
      <c r="R1607" s="249">
        <f t="shared" si="467"/>
        <v>5.6640693313953481</v>
      </c>
      <c r="S1607" s="355">
        <v>0.1</v>
      </c>
      <c r="T1607" s="355"/>
      <c r="U1607" s="315">
        <f t="shared" si="456"/>
        <v>6.2304762645348832</v>
      </c>
      <c r="V1607" s="315">
        <f t="shared" si="457"/>
        <v>7</v>
      </c>
      <c r="W1607" s="316">
        <f t="shared" si="458"/>
        <v>0</v>
      </c>
    </row>
    <row r="1608" spans="1:23" x14ac:dyDescent="0.25">
      <c r="A1608" s="204" t="s">
        <v>17264</v>
      </c>
      <c r="B1608" s="351" t="s">
        <v>21320</v>
      </c>
      <c r="C1608" s="352"/>
      <c r="D1608" s="353" t="s">
        <v>14859</v>
      </c>
      <c r="E1608" s="249">
        <f t="shared" si="459"/>
        <v>0</v>
      </c>
      <c r="F1608" s="336">
        <v>0</v>
      </c>
      <c r="G1608" s="258">
        <f t="shared" si="460"/>
        <v>0</v>
      </c>
      <c r="H1608" s="249">
        <f t="shared" si="461"/>
        <v>10.968846054308059</v>
      </c>
      <c r="I1608" s="336">
        <v>1.1258988267944999E-2</v>
      </c>
      <c r="J1608" s="258">
        <f t="shared" si="462"/>
        <v>1.1258988267944999E-2</v>
      </c>
      <c r="K1608" s="249">
        <f t="shared" si="463"/>
        <v>944.33468761668951</v>
      </c>
      <c r="L1608" s="336">
        <v>0.96931373785795372</v>
      </c>
      <c r="M1608" s="258">
        <f t="shared" si="464"/>
        <v>0.96931373785795372</v>
      </c>
      <c r="N1608" s="251">
        <f t="shared" si="465"/>
        <v>18.92663632900214</v>
      </c>
      <c r="O1608" s="336">
        <v>1.9427273874101172E-2</v>
      </c>
      <c r="P1608" s="258">
        <f t="shared" si="466"/>
        <v>1.9427273874101172E-2</v>
      </c>
      <c r="Q1608" s="354">
        <v>951.24</v>
      </c>
      <c r="R1608" s="249">
        <f t="shared" si="467"/>
        <v>974.23016999999982</v>
      </c>
      <c r="S1608" s="355">
        <v>0.1</v>
      </c>
      <c r="T1608" s="355"/>
      <c r="U1608" s="315">
        <f t="shared" si="456"/>
        <v>1071.6531869999999</v>
      </c>
      <c r="V1608" s="315">
        <f t="shared" si="457"/>
        <v>1075</v>
      </c>
      <c r="W1608" s="316">
        <f t="shared" si="458"/>
        <v>0</v>
      </c>
    </row>
    <row r="1609" spans="1:23" x14ac:dyDescent="0.25">
      <c r="A1609" s="204" t="s">
        <v>17265</v>
      </c>
      <c r="B1609" s="351" t="s">
        <v>21321</v>
      </c>
      <c r="C1609" s="352"/>
      <c r="D1609" s="353" t="s">
        <v>5</v>
      </c>
      <c r="E1609" s="249">
        <f t="shared" si="459"/>
        <v>0</v>
      </c>
      <c r="F1609" s="336">
        <v>0</v>
      </c>
      <c r="G1609" s="258">
        <f t="shared" si="460"/>
        <v>0</v>
      </c>
      <c r="H1609" s="249">
        <f t="shared" si="461"/>
        <v>6.3772248730319378E-2</v>
      </c>
      <c r="I1609" s="336">
        <v>1.0963784194645559E-2</v>
      </c>
      <c r="J1609" s="258">
        <f t="shared" si="462"/>
        <v>1.0963784194645559E-2</v>
      </c>
      <c r="K1609" s="249">
        <f t="shared" si="463"/>
        <v>5.6427573239877669</v>
      </c>
      <c r="L1609" s="336">
        <v>0.97010807670554156</v>
      </c>
      <c r="M1609" s="258">
        <f t="shared" si="464"/>
        <v>0.97010807670554156</v>
      </c>
      <c r="N1609" s="251">
        <f t="shared" si="465"/>
        <v>0.11003838996604126</v>
      </c>
      <c r="O1609" s="336">
        <v>1.8917902139780569E-2</v>
      </c>
      <c r="P1609" s="258">
        <f t="shared" si="466"/>
        <v>1.8917902139780569E-2</v>
      </c>
      <c r="Q1609" s="354">
        <v>5.6793750000000003</v>
      </c>
      <c r="R1609" s="249">
        <f t="shared" si="467"/>
        <v>5.8166275072674418</v>
      </c>
      <c r="S1609" s="355">
        <v>0.1</v>
      </c>
      <c r="T1609" s="355"/>
      <c r="U1609" s="315">
        <f t="shared" si="456"/>
        <v>6.3982902579941863</v>
      </c>
      <c r="V1609" s="315">
        <f t="shared" si="457"/>
        <v>7</v>
      </c>
      <c r="W1609" s="316">
        <f t="shared" si="458"/>
        <v>0</v>
      </c>
    </row>
    <row r="1610" spans="1:23" x14ac:dyDescent="0.25">
      <c r="A1610" s="204" t="s">
        <v>17266</v>
      </c>
      <c r="B1610" s="351" t="s">
        <v>21322</v>
      </c>
      <c r="C1610" s="352"/>
      <c r="D1610" s="353" t="s">
        <v>14859</v>
      </c>
      <c r="E1610" s="249">
        <f t="shared" si="459"/>
        <v>0</v>
      </c>
      <c r="F1610" s="336">
        <v>0</v>
      </c>
      <c r="G1610" s="258">
        <f t="shared" si="460"/>
        <v>0</v>
      </c>
      <c r="H1610" s="249">
        <f t="shared" si="461"/>
        <v>10.968939105584004</v>
      </c>
      <c r="I1610" s="336">
        <v>1.0963784194645557E-2</v>
      </c>
      <c r="J1610" s="258">
        <f t="shared" si="462"/>
        <v>1.0963784194645557E-2</v>
      </c>
      <c r="K1610" s="249">
        <f t="shared" si="463"/>
        <v>970.57444025634925</v>
      </c>
      <c r="L1610" s="336">
        <v>0.97011831366557377</v>
      </c>
      <c r="M1610" s="258">
        <f t="shared" si="464"/>
        <v>0.97011831366557377</v>
      </c>
      <c r="N1610" s="251">
        <f t="shared" si="465"/>
        <v>18.926796888066516</v>
      </c>
      <c r="O1610" s="336">
        <v>1.8917902139780569E-2</v>
      </c>
      <c r="P1610" s="258">
        <f t="shared" si="466"/>
        <v>1.8917902139780569E-2</v>
      </c>
      <c r="Q1610" s="354">
        <v>976.85250000000008</v>
      </c>
      <c r="R1610" s="249">
        <f t="shared" si="467"/>
        <v>1000.4701762499999</v>
      </c>
      <c r="S1610" s="355">
        <v>0.1</v>
      </c>
      <c r="T1610" s="355"/>
      <c r="U1610" s="315">
        <f t="shared" si="456"/>
        <v>1100.517193875</v>
      </c>
      <c r="V1610" s="315">
        <f t="shared" si="457"/>
        <v>1125</v>
      </c>
      <c r="W1610" s="316">
        <f t="shared" si="458"/>
        <v>0</v>
      </c>
    </row>
    <row r="1611" spans="1:23" x14ac:dyDescent="0.25">
      <c r="A1611" s="204" t="s">
        <v>17267</v>
      </c>
      <c r="B1611" s="351" t="s">
        <v>21323</v>
      </c>
      <c r="C1611" s="352"/>
      <c r="D1611" s="353" t="s">
        <v>5</v>
      </c>
      <c r="E1611" s="249">
        <f t="shared" si="459"/>
        <v>0</v>
      </c>
      <c r="F1611" s="336">
        <v>0</v>
      </c>
      <c r="G1611" s="258">
        <f t="shared" si="460"/>
        <v>0</v>
      </c>
      <c r="H1611" s="249">
        <f t="shared" si="461"/>
        <v>6.3772248730319378E-2</v>
      </c>
      <c r="I1611" s="336">
        <v>1.0963784194645559E-2</v>
      </c>
      <c r="J1611" s="258">
        <f t="shared" si="462"/>
        <v>1.0963784194645559E-2</v>
      </c>
      <c r="K1611" s="249">
        <f t="shared" si="463"/>
        <v>5.6427573239877669</v>
      </c>
      <c r="L1611" s="336">
        <v>0.97010807670554156</v>
      </c>
      <c r="M1611" s="258">
        <f t="shared" si="464"/>
        <v>0.97010807670554156</v>
      </c>
      <c r="N1611" s="251">
        <f t="shared" si="465"/>
        <v>0.11003838996604126</v>
      </c>
      <c r="O1611" s="336">
        <v>1.8917902139780569E-2</v>
      </c>
      <c r="P1611" s="258">
        <f t="shared" si="466"/>
        <v>1.8917902139780569E-2</v>
      </c>
      <c r="Q1611" s="354">
        <v>5.6793750000000003</v>
      </c>
      <c r="R1611" s="249">
        <f t="shared" si="467"/>
        <v>5.8166275072674418</v>
      </c>
      <c r="S1611" s="355">
        <v>0.1</v>
      </c>
      <c r="T1611" s="355"/>
      <c r="U1611" s="315">
        <f t="shared" si="456"/>
        <v>6.3982902579941863</v>
      </c>
      <c r="V1611" s="315">
        <f t="shared" si="457"/>
        <v>7</v>
      </c>
      <c r="W1611" s="316">
        <f t="shared" si="458"/>
        <v>0</v>
      </c>
    </row>
    <row r="1612" spans="1:23" x14ac:dyDescent="0.25">
      <c r="A1612" s="204" t="s">
        <v>17268</v>
      </c>
      <c r="B1612" s="351" t="s">
        <v>21324</v>
      </c>
      <c r="C1612" s="352"/>
      <c r="D1612" s="353" t="s">
        <v>14859</v>
      </c>
      <c r="E1612" s="249">
        <f t="shared" si="459"/>
        <v>0</v>
      </c>
      <c r="F1612" s="336">
        <v>0</v>
      </c>
      <c r="G1612" s="258">
        <f t="shared" si="460"/>
        <v>0</v>
      </c>
      <c r="H1612" s="249">
        <f t="shared" si="461"/>
        <v>10.968939105584004</v>
      </c>
      <c r="I1612" s="336">
        <v>1.0963784194645557E-2</v>
      </c>
      <c r="J1612" s="258">
        <f t="shared" si="462"/>
        <v>1.0963784194645557E-2</v>
      </c>
      <c r="K1612" s="249">
        <f t="shared" si="463"/>
        <v>970.57444025634925</v>
      </c>
      <c r="L1612" s="336">
        <v>0.97011831366557377</v>
      </c>
      <c r="M1612" s="258">
        <f t="shared" si="464"/>
        <v>0.97011831366557377</v>
      </c>
      <c r="N1612" s="251">
        <f t="shared" si="465"/>
        <v>18.926796888066516</v>
      </c>
      <c r="O1612" s="336">
        <v>1.8917902139780569E-2</v>
      </c>
      <c r="P1612" s="258">
        <f t="shared" si="466"/>
        <v>1.8917902139780569E-2</v>
      </c>
      <c r="Q1612" s="354">
        <v>976.85250000000008</v>
      </c>
      <c r="R1612" s="249">
        <f t="shared" si="467"/>
        <v>1000.4701762499999</v>
      </c>
      <c r="S1612" s="355">
        <v>0.1</v>
      </c>
      <c r="T1612" s="355"/>
      <c r="U1612" s="315">
        <f t="shared" si="456"/>
        <v>1100.517193875</v>
      </c>
      <c r="V1612" s="315">
        <f t="shared" si="457"/>
        <v>1125</v>
      </c>
      <c r="W1612" s="316">
        <f t="shared" si="458"/>
        <v>0</v>
      </c>
    </row>
    <row r="1613" spans="1:23" x14ac:dyDescent="0.25">
      <c r="A1613" s="204" t="s">
        <v>17269</v>
      </c>
      <c r="B1613" s="351" t="s">
        <v>21325</v>
      </c>
      <c r="C1613" s="352"/>
      <c r="D1613" s="353" t="s">
        <v>5</v>
      </c>
      <c r="E1613" s="249">
        <f t="shared" si="459"/>
        <v>0</v>
      </c>
      <c r="F1613" s="336">
        <v>0</v>
      </c>
      <c r="G1613" s="258">
        <f t="shared" si="460"/>
        <v>0</v>
      </c>
      <c r="H1613" s="249">
        <f t="shared" si="461"/>
        <v>6.3771844674685815E-2</v>
      </c>
      <c r="I1613" s="336">
        <v>1.1177323912793915E-2</v>
      </c>
      <c r="J1613" s="258">
        <f t="shared" si="462"/>
        <v>1.1177323912793915E-2</v>
      </c>
      <c r="K1613" s="249">
        <f t="shared" si="463"/>
        <v>5.5315971974170282</v>
      </c>
      <c r="L1613" s="336">
        <v>0.96952587691376435</v>
      </c>
      <c r="M1613" s="258">
        <f t="shared" si="464"/>
        <v>0.96952587691376435</v>
      </c>
      <c r="N1613" s="251">
        <f t="shared" si="465"/>
        <v>0.1100376927720069</v>
      </c>
      <c r="O1613" s="336">
        <v>1.9286362829918909E-2</v>
      </c>
      <c r="P1613" s="258">
        <f t="shared" si="466"/>
        <v>1.9286362829918909E-2</v>
      </c>
      <c r="Q1613" s="354">
        <v>5.5708720930232563</v>
      </c>
      <c r="R1613" s="249">
        <f t="shared" si="467"/>
        <v>5.7054662790697668</v>
      </c>
      <c r="S1613" s="355">
        <v>0.1</v>
      </c>
      <c r="T1613" s="355"/>
      <c r="U1613" s="315">
        <f t="shared" si="456"/>
        <v>6.2760129069767432</v>
      </c>
      <c r="V1613" s="315">
        <f t="shared" si="457"/>
        <v>7</v>
      </c>
      <c r="W1613" s="316">
        <f t="shared" si="458"/>
        <v>0</v>
      </c>
    </row>
    <row r="1614" spans="1:23" x14ac:dyDescent="0.25">
      <c r="A1614" s="204" t="s">
        <v>17270</v>
      </c>
      <c r="B1614" s="351" t="s">
        <v>21326</v>
      </c>
      <c r="C1614" s="352"/>
      <c r="D1614" s="353" t="s">
        <v>14859</v>
      </c>
      <c r="E1614" s="249">
        <f t="shared" si="459"/>
        <v>0</v>
      </c>
      <c r="F1614" s="336">
        <v>0</v>
      </c>
      <c r="G1614" s="258">
        <f t="shared" si="460"/>
        <v>0</v>
      </c>
      <c r="H1614" s="249">
        <f t="shared" si="461"/>
        <v>10.96887179572945</v>
      </c>
      <c r="I1614" s="336">
        <v>1.1177323912793915E-2</v>
      </c>
      <c r="J1614" s="258">
        <f t="shared" si="462"/>
        <v>1.1177323912793915E-2</v>
      </c>
      <c r="K1614" s="249">
        <f t="shared" si="463"/>
        <v>951.45489245869817</v>
      </c>
      <c r="L1614" s="336">
        <v>0.96953631325728717</v>
      </c>
      <c r="M1614" s="258">
        <f t="shared" si="464"/>
        <v>0.96953631325728717</v>
      </c>
      <c r="N1614" s="251">
        <f t="shared" si="465"/>
        <v>18.92668074557238</v>
      </c>
      <c r="O1614" s="336">
        <v>1.9286362829918909E-2</v>
      </c>
      <c r="P1614" s="258">
        <f t="shared" si="466"/>
        <v>1.9286362829918909E-2</v>
      </c>
      <c r="Q1614" s="354">
        <v>958.19</v>
      </c>
      <c r="R1614" s="249">
        <f t="shared" si="467"/>
        <v>981.35044500000004</v>
      </c>
      <c r="S1614" s="355">
        <v>0.1</v>
      </c>
      <c r="T1614" s="355"/>
      <c r="U1614" s="315">
        <f t="shared" si="456"/>
        <v>1079.4854895000001</v>
      </c>
      <c r="V1614" s="315">
        <f t="shared" si="457"/>
        <v>1100</v>
      </c>
      <c r="W1614" s="316">
        <f t="shared" si="458"/>
        <v>0</v>
      </c>
    </row>
    <row r="1615" spans="1:23" x14ac:dyDescent="0.25">
      <c r="A1615" s="204" t="s">
        <v>17271</v>
      </c>
      <c r="B1615" s="351" t="s">
        <v>21327</v>
      </c>
      <c r="C1615" s="352"/>
      <c r="D1615" s="353" t="s">
        <v>5</v>
      </c>
      <c r="E1615" s="249">
        <f t="shared" si="459"/>
        <v>0</v>
      </c>
      <c r="F1615" s="336">
        <v>0</v>
      </c>
      <c r="G1615" s="258">
        <f t="shared" si="460"/>
        <v>0</v>
      </c>
      <c r="H1615" s="249">
        <f t="shared" si="461"/>
        <v>6.3773667580662788E-2</v>
      </c>
      <c r="I1615" s="336">
        <v>1.0213934725232283E-2</v>
      </c>
      <c r="J1615" s="258">
        <f t="shared" si="462"/>
        <v>1.0213934725232283E-2</v>
      </c>
      <c r="K1615" s="249">
        <f t="shared" si="463"/>
        <v>6.0699163480421339</v>
      </c>
      <c r="L1615" s="336">
        <v>0.97215248422252254</v>
      </c>
      <c r="M1615" s="258">
        <f t="shared" si="464"/>
        <v>0.97215248422252254</v>
      </c>
      <c r="N1615" s="251">
        <f t="shared" si="465"/>
        <v>0.11004083817839852</v>
      </c>
      <c r="O1615" s="336">
        <v>1.7624044231773349E-2</v>
      </c>
      <c r="P1615" s="258">
        <f t="shared" si="466"/>
        <v>1.7624044231773349E-2</v>
      </c>
      <c r="Q1615" s="354">
        <v>6.0963226744186043</v>
      </c>
      <c r="R1615" s="249">
        <f t="shared" si="467"/>
        <v>6.2437903997093009</v>
      </c>
      <c r="S1615" s="355">
        <v>0.1</v>
      </c>
      <c r="T1615" s="355"/>
      <c r="U1615" s="315">
        <f t="shared" si="456"/>
        <v>6.8681694396802309</v>
      </c>
      <c r="V1615" s="315">
        <f t="shared" si="457"/>
        <v>7</v>
      </c>
      <c r="W1615" s="316">
        <f t="shared" si="458"/>
        <v>0</v>
      </c>
    </row>
    <row r="1616" spans="1:23" x14ac:dyDescent="0.25">
      <c r="A1616" s="204" t="s">
        <v>17272</v>
      </c>
      <c r="B1616" s="351" t="s">
        <v>21328</v>
      </c>
      <c r="C1616" s="352"/>
      <c r="D1616" s="353" t="s">
        <v>14859</v>
      </c>
      <c r="E1616" s="249">
        <f t="shared" si="459"/>
        <v>0</v>
      </c>
      <c r="F1616" s="336">
        <v>0</v>
      </c>
      <c r="G1616" s="258">
        <f t="shared" si="460"/>
        <v>0</v>
      </c>
      <c r="H1616" s="249">
        <f t="shared" si="461"/>
        <v>10.96917546563526</v>
      </c>
      <c r="I1616" s="336">
        <v>1.0213934725232283E-2</v>
      </c>
      <c r="J1616" s="258">
        <f t="shared" si="462"/>
        <v>1.0213934725232283E-2</v>
      </c>
      <c r="K1616" s="249">
        <f t="shared" si="463"/>
        <v>1044.0458135593469</v>
      </c>
      <c r="L1616" s="336">
        <v>0.97216202104299432</v>
      </c>
      <c r="M1616" s="258">
        <f t="shared" si="464"/>
        <v>0.97216202104299432</v>
      </c>
      <c r="N1616" s="251">
        <f t="shared" si="465"/>
        <v>18.927204725017702</v>
      </c>
      <c r="O1616" s="336">
        <v>1.7624044231773349E-2</v>
      </c>
      <c r="P1616" s="258">
        <f t="shared" si="466"/>
        <v>1.7624044231773349E-2</v>
      </c>
      <c r="Q1616" s="354">
        <v>1048.5674999999999</v>
      </c>
      <c r="R1616" s="249">
        <f t="shared" si="467"/>
        <v>1073.9421937499999</v>
      </c>
      <c r="S1616" s="355">
        <v>0.1</v>
      </c>
      <c r="T1616" s="355"/>
      <c r="U1616" s="315">
        <f t="shared" si="456"/>
        <v>1181.3364131249998</v>
      </c>
      <c r="V1616" s="315">
        <f t="shared" si="457"/>
        <v>1200</v>
      </c>
      <c r="W1616" s="316">
        <f t="shared" si="458"/>
        <v>0</v>
      </c>
    </row>
    <row r="1617" spans="1:23" x14ac:dyDescent="0.25">
      <c r="A1617" s="204" t="s">
        <v>17273</v>
      </c>
      <c r="B1617" s="351" t="s">
        <v>21329</v>
      </c>
      <c r="C1617" s="352"/>
      <c r="D1617" s="353" t="s">
        <v>5</v>
      </c>
      <c r="E1617" s="249">
        <f t="shared" si="459"/>
        <v>0</v>
      </c>
      <c r="F1617" s="336">
        <v>0</v>
      </c>
      <c r="G1617" s="258">
        <f t="shared" si="460"/>
        <v>0</v>
      </c>
      <c r="H1617" s="249">
        <f t="shared" si="461"/>
        <v>6.3773761536699267E-2</v>
      </c>
      <c r="I1617" s="336">
        <v>1.0164279816644365E-2</v>
      </c>
      <c r="J1617" s="258">
        <f t="shared" si="462"/>
        <v>1.0164279816644365E-2</v>
      </c>
      <c r="K1617" s="249">
        <f t="shared" si="463"/>
        <v>6.1004277270525691</v>
      </c>
      <c r="L1617" s="336">
        <v>0.97228786455219263</v>
      </c>
      <c r="M1617" s="258">
        <f t="shared" si="464"/>
        <v>0.97228786455219263</v>
      </c>
      <c r="N1617" s="251">
        <f t="shared" si="465"/>
        <v>0.11004100029861832</v>
      </c>
      <c r="O1617" s="336">
        <v>1.7538365173817724E-2</v>
      </c>
      <c r="P1617" s="258">
        <f t="shared" si="466"/>
        <v>1.7538365173817724E-2</v>
      </c>
      <c r="Q1617" s="354">
        <v>6.126104651162791</v>
      </c>
      <c r="R1617" s="249">
        <f t="shared" si="467"/>
        <v>6.2743020348837204</v>
      </c>
      <c r="S1617" s="355">
        <v>0.1</v>
      </c>
      <c r="T1617" s="355"/>
      <c r="U1617" s="315">
        <f t="shared" si="456"/>
        <v>6.9017322383720927</v>
      </c>
      <c r="V1617" s="315">
        <f t="shared" si="457"/>
        <v>7</v>
      </c>
      <c r="W1617" s="316">
        <f t="shared" si="458"/>
        <v>0</v>
      </c>
    </row>
    <row r="1618" spans="1:23" x14ac:dyDescent="0.25">
      <c r="A1618" s="204" t="s">
        <v>17274</v>
      </c>
      <c r="B1618" s="351" t="s">
        <v>21330</v>
      </c>
      <c r="C1618" s="352"/>
      <c r="D1618" s="353" t="s">
        <v>14859</v>
      </c>
      <c r="E1618" s="249">
        <f t="shared" si="459"/>
        <v>0</v>
      </c>
      <c r="F1618" s="336">
        <v>0</v>
      </c>
      <c r="G1618" s="258">
        <f t="shared" si="460"/>
        <v>0</v>
      </c>
      <c r="H1618" s="249">
        <f t="shared" si="461"/>
        <v>10.969191117358998</v>
      </c>
      <c r="I1618" s="336">
        <v>1.0164279816644365E-2</v>
      </c>
      <c r="J1618" s="258">
        <f t="shared" si="462"/>
        <v>1.0164279816644365E-2</v>
      </c>
      <c r="K1618" s="249">
        <f t="shared" si="463"/>
        <v>1049.2937721507276</v>
      </c>
      <c r="L1618" s="336">
        <v>0.97229735500953784</v>
      </c>
      <c r="M1618" s="258">
        <f t="shared" si="464"/>
        <v>0.97229735500953784</v>
      </c>
      <c r="N1618" s="251">
        <f t="shared" si="465"/>
        <v>18.927231731913562</v>
      </c>
      <c r="O1618" s="336">
        <v>1.7538365173817724E-2</v>
      </c>
      <c r="P1618" s="258">
        <f t="shared" si="466"/>
        <v>1.7538365173817724E-2</v>
      </c>
      <c r="Q1618" s="354">
        <v>1053.69</v>
      </c>
      <c r="R1618" s="249">
        <f t="shared" si="467"/>
        <v>1079.1901950000001</v>
      </c>
      <c r="S1618" s="355">
        <v>0.1</v>
      </c>
      <c r="T1618" s="355"/>
      <c r="U1618" s="315">
        <f t="shared" si="456"/>
        <v>1187.1092145000002</v>
      </c>
      <c r="V1618" s="315">
        <f t="shared" si="457"/>
        <v>1200</v>
      </c>
      <c r="W1618" s="316">
        <f t="shared" si="458"/>
        <v>0</v>
      </c>
    </row>
    <row r="1619" spans="1:23" ht="14.4" thickBot="1" x14ac:dyDescent="0.3">
      <c r="A1619" s="356" t="s">
        <v>17275</v>
      </c>
      <c r="B1619" s="357" t="s">
        <v>21331</v>
      </c>
      <c r="C1619" s="358"/>
      <c r="D1619" s="359" t="s">
        <v>5</v>
      </c>
      <c r="E1619" s="266">
        <f t="shared" si="459"/>
        <v>0</v>
      </c>
      <c r="F1619" s="360">
        <v>0</v>
      </c>
      <c r="G1619" s="322">
        <f t="shared" si="460"/>
        <v>0</v>
      </c>
      <c r="H1619" s="266">
        <f t="shared" si="461"/>
        <v>6.3774217939080807E-2</v>
      </c>
      <c r="I1619" s="360">
        <v>9.9230753194771634E-3</v>
      </c>
      <c r="J1619" s="322">
        <f t="shared" si="462"/>
        <v>9.9230753194771634E-3</v>
      </c>
      <c r="K1619" s="266">
        <f t="shared" si="463"/>
        <v>6.2529846585783</v>
      </c>
      <c r="L1619" s="360">
        <v>0.97294549025875499</v>
      </c>
      <c r="M1619" s="322">
        <f t="shared" si="464"/>
        <v>0.97294549025875499</v>
      </c>
      <c r="N1619" s="270">
        <f t="shared" si="465"/>
        <v>0.11004178781645316</v>
      </c>
      <c r="O1619" s="360">
        <v>1.7122169178705692E-2</v>
      </c>
      <c r="P1619" s="322">
        <f t="shared" si="466"/>
        <v>1.7122169178705692E-2</v>
      </c>
      <c r="Q1619" s="361">
        <v>6.275014534883721</v>
      </c>
      <c r="R1619" s="266">
        <f t="shared" si="467"/>
        <v>6.4268602107558133</v>
      </c>
      <c r="S1619" s="362">
        <v>0.1</v>
      </c>
      <c r="T1619" s="362"/>
      <c r="U1619" s="324">
        <f t="shared" si="456"/>
        <v>7.0695462318313949</v>
      </c>
      <c r="V1619" s="324">
        <f t="shared" si="457"/>
        <v>8</v>
      </c>
      <c r="W1619" s="325">
        <f t="shared" si="458"/>
        <v>0</v>
      </c>
    </row>
    <row r="1620" spans="1:23" x14ac:dyDescent="0.25">
      <c r="A1620" s="204" t="s">
        <v>17276</v>
      </c>
      <c r="B1620" s="351" t="s">
        <v>21332</v>
      </c>
      <c r="C1620" s="352"/>
      <c r="D1620" s="353" t="s">
        <v>14859</v>
      </c>
      <c r="E1620" s="249">
        <f t="shared" si="459"/>
        <v>0</v>
      </c>
      <c r="F1620" s="336">
        <v>0</v>
      </c>
      <c r="G1620" s="258">
        <f t="shared" si="460"/>
        <v>0</v>
      </c>
      <c r="H1620" s="249">
        <f t="shared" si="461"/>
        <v>10.969267147428548</v>
      </c>
      <c r="I1620" s="336">
        <v>9.9230753194771634E-3</v>
      </c>
      <c r="J1620" s="258">
        <f t="shared" si="462"/>
        <v>9.9230753194771634E-3</v>
      </c>
      <c r="K1620" s="249">
        <f t="shared" si="463"/>
        <v>1075.5335711815183</v>
      </c>
      <c r="L1620" s="336">
        <v>0.97295475550181709</v>
      </c>
      <c r="M1620" s="258">
        <f t="shared" si="464"/>
        <v>0.97295475550181709</v>
      </c>
      <c r="N1620" s="251">
        <f t="shared" si="465"/>
        <v>18.927362921053181</v>
      </c>
      <c r="O1620" s="336">
        <v>1.7122169178705692E-2</v>
      </c>
      <c r="P1620" s="258">
        <f t="shared" si="466"/>
        <v>1.7122169178705692E-2</v>
      </c>
      <c r="Q1620" s="354">
        <v>1079.3025</v>
      </c>
      <c r="R1620" s="249">
        <f t="shared" si="467"/>
        <v>1105.43020125</v>
      </c>
      <c r="S1620" s="355">
        <v>0.1</v>
      </c>
      <c r="T1620" s="355"/>
      <c r="U1620" s="315">
        <f t="shared" si="456"/>
        <v>1215.9732213749999</v>
      </c>
      <c r="V1620" s="315">
        <f t="shared" si="457"/>
        <v>1225</v>
      </c>
      <c r="W1620" s="316">
        <f t="shared" si="458"/>
        <v>0</v>
      </c>
    </row>
    <row r="1621" spans="1:23" x14ac:dyDescent="0.25">
      <c r="A1621" s="204" t="s">
        <v>17277</v>
      </c>
      <c r="B1621" s="351" t="s">
        <v>21333</v>
      </c>
      <c r="C1621" s="352"/>
      <c r="D1621" s="353" t="s">
        <v>5</v>
      </c>
      <c r="E1621" s="249">
        <f t="shared" si="459"/>
        <v>0</v>
      </c>
      <c r="F1621" s="336">
        <v>0</v>
      </c>
      <c r="G1621" s="258">
        <f t="shared" si="460"/>
        <v>0</v>
      </c>
      <c r="H1621" s="249">
        <f t="shared" si="461"/>
        <v>6.3774217939080807E-2</v>
      </c>
      <c r="I1621" s="336">
        <v>9.9230753194771634E-3</v>
      </c>
      <c r="J1621" s="258">
        <f t="shared" si="462"/>
        <v>9.9230753194771634E-3</v>
      </c>
      <c r="K1621" s="249">
        <f t="shared" si="463"/>
        <v>6.2529846585783</v>
      </c>
      <c r="L1621" s="336">
        <v>0.97294549025875499</v>
      </c>
      <c r="M1621" s="258">
        <f t="shared" si="464"/>
        <v>0.97294549025875499</v>
      </c>
      <c r="N1621" s="251">
        <f t="shared" si="465"/>
        <v>0.11004178781645316</v>
      </c>
      <c r="O1621" s="336">
        <v>1.7122169178705692E-2</v>
      </c>
      <c r="P1621" s="258">
        <f t="shared" si="466"/>
        <v>1.7122169178705692E-2</v>
      </c>
      <c r="Q1621" s="354">
        <v>6.275014534883721</v>
      </c>
      <c r="R1621" s="249">
        <f t="shared" si="467"/>
        <v>6.4268602107558133</v>
      </c>
      <c r="S1621" s="355">
        <v>0.1</v>
      </c>
      <c r="T1621" s="355"/>
      <c r="U1621" s="315">
        <f t="shared" si="456"/>
        <v>7.0695462318313949</v>
      </c>
      <c r="V1621" s="315">
        <f t="shared" si="457"/>
        <v>8</v>
      </c>
      <c r="W1621" s="316">
        <f t="shared" si="458"/>
        <v>0</v>
      </c>
    </row>
    <row r="1622" spans="1:23" x14ac:dyDescent="0.25">
      <c r="A1622" s="204" t="s">
        <v>17278</v>
      </c>
      <c r="B1622" s="351" t="s">
        <v>21334</v>
      </c>
      <c r="C1622" s="352"/>
      <c r="D1622" s="353" t="s">
        <v>14859</v>
      </c>
      <c r="E1622" s="249">
        <f t="shared" si="459"/>
        <v>0</v>
      </c>
      <c r="F1622" s="336">
        <v>0</v>
      </c>
      <c r="G1622" s="258">
        <f t="shared" si="460"/>
        <v>0</v>
      </c>
      <c r="H1622" s="249">
        <f t="shared" si="461"/>
        <v>10.969267147428548</v>
      </c>
      <c r="I1622" s="336">
        <v>9.9230753194771634E-3</v>
      </c>
      <c r="J1622" s="258">
        <f t="shared" si="462"/>
        <v>9.9230753194771634E-3</v>
      </c>
      <c r="K1622" s="249">
        <f t="shared" si="463"/>
        <v>1075.5335711815183</v>
      </c>
      <c r="L1622" s="336">
        <v>0.97295475550181709</v>
      </c>
      <c r="M1622" s="258">
        <f t="shared" si="464"/>
        <v>0.97295475550181709</v>
      </c>
      <c r="N1622" s="251">
        <f t="shared" si="465"/>
        <v>18.927362921053181</v>
      </c>
      <c r="O1622" s="336">
        <v>1.7122169178705692E-2</v>
      </c>
      <c r="P1622" s="258">
        <f t="shared" si="466"/>
        <v>1.7122169178705692E-2</v>
      </c>
      <c r="Q1622" s="354">
        <v>1079.3025</v>
      </c>
      <c r="R1622" s="249">
        <f t="shared" si="467"/>
        <v>1105.43020125</v>
      </c>
      <c r="S1622" s="355">
        <v>0.1</v>
      </c>
      <c r="T1622" s="355"/>
      <c r="U1622" s="315">
        <f t="shared" si="456"/>
        <v>1215.9732213749999</v>
      </c>
      <c r="V1622" s="315">
        <f t="shared" si="457"/>
        <v>1225</v>
      </c>
      <c r="W1622" s="316">
        <f t="shared" si="458"/>
        <v>0</v>
      </c>
    </row>
    <row r="1623" spans="1:23" x14ac:dyDescent="0.25">
      <c r="A1623" s="204" t="s">
        <v>17279</v>
      </c>
      <c r="B1623" s="351" t="s">
        <v>21335</v>
      </c>
      <c r="C1623" s="352"/>
      <c r="D1623" s="353" t="s">
        <v>5</v>
      </c>
      <c r="E1623" s="249">
        <f t="shared" si="459"/>
        <v>0</v>
      </c>
      <c r="F1623" s="336">
        <v>0</v>
      </c>
      <c r="G1623" s="258">
        <f t="shared" si="460"/>
        <v>0</v>
      </c>
      <c r="H1623" s="249">
        <f t="shared" si="461"/>
        <v>6.3775149559365141E-2</v>
      </c>
      <c r="I1623" s="336">
        <v>9.4307224937260608E-3</v>
      </c>
      <c r="J1623" s="258">
        <f t="shared" si="462"/>
        <v>9.4307224937260608E-3</v>
      </c>
      <c r="K1623" s="249">
        <f t="shared" si="463"/>
        <v>6.5886101055050945</v>
      </c>
      <c r="L1623" s="336">
        <v>0.97428785277154051</v>
      </c>
      <c r="M1623" s="258">
        <f t="shared" si="464"/>
        <v>0.97428785277154051</v>
      </c>
      <c r="N1623" s="251">
        <f t="shared" si="465"/>
        <v>0.11004339531812024</v>
      </c>
      <c r="O1623" s="336">
        <v>1.6272619204860651E-2</v>
      </c>
      <c r="P1623" s="258">
        <f t="shared" si="466"/>
        <v>1.6272619204860651E-2</v>
      </c>
      <c r="Q1623" s="354">
        <v>6.6026162790697676</v>
      </c>
      <c r="R1623" s="249">
        <f t="shared" si="467"/>
        <v>6.7624881976744184</v>
      </c>
      <c r="S1623" s="355">
        <v>0.1</v>
      </c>
      <c r="T1623" s="355"/>
      <c r="U1623" s="315">
        <f t="shared" si="456"/>
        <v>7.4387370174418601</v>
      </c>
      <c r="V1623" s="315">
        <f t="shared" si="457"/>
        <v>8</v>
      </c>
      <c r="W1623" s="316">
        <f t="shared" si="458"/>
        <v>0</v>
      </c>
    </row>
    <row r="1624" spans="1:23" x14ac:dyDescent="0.25">
      <c r="A1624" s="204" t="s">
        <v>17280</v>
      </c>
      <c r="B1624" s="351" t="s">
        <v>21336</v>
      </c>
      <c r="C1624" s="352"/>
      <c r="D1624" s="353" t="s">
        <v>14859</v>
      </c>
      <c r="E1624" s="249">
        <f t="shared" si="459"/>
        <v>0</v>
      </c>
      <c r="F1624" s="336">
        <v>0</v>
      </c>
      <c r="G1624" s="258">
        <f t="shared" si="460"/>
        <v>0</v>
      </c>
      <c r="H1624" s="249">
        <f t="shared" si="461"/>
        <v>10.969422341962755</v>
      </c>
      <c r="I1624" s="336">
        <v>9.4307224937260608E-3</v>
      </c>
      <c r="J1624" s="258">
        <f t="shared" si="462"/>
        <v>9.4307224937260608E-3</v>
      </c>
      <c r="K1624" s="249">
        <f t="shared" si="463"/>
        <v>1133.2611619503368</v>
      </c>
      <c r="L1624" s="336">
        <v>0.97429665830141321</v>
      </c>
      <c r="M1624" s="258">
        <f t="shared" si="464"/>
        <v>0.97429665830141321</v>
      </c>
      <c r="N1624" s="251">
        <f t="shared" si="465"/>
        <v>18.927630707700438</v>
      </c>
      <c r="O1624" s="336">
        <v>1.6272619204860651E-2</v>
      </c>
      <c r="P1624" s="258">
        <f t="shared" si="466"/>
        <v>1.6272619204860651E-2</v>
      </c>
      <c r="Q1624" s="354">
        <v>1135.6500000000001</v>
      </c>
      <c r="R1624" s="249">
        <f t="shared" si="467"/>
        <v>1163.1582150000002</v>
      </c>
      <c r="S1624" s="355">
        <v>0.1</v>
      </c>
      <c r="T1624" s="355"/>
      <c r="U1624" s="315">
        <f t="shared" si="456"/>
        <v>1279.4740365000002</v>
      </c>
      <c r="V1624" s="315">
        <f t="shared" si="457"/>
        <v>1300</v>
      </c>
      <c r="W1624" s="316">
        <f t="shared" si="458"/>
        <v>0</v>
      </c>
    </row>
    <row r="1625" spans="1:23" x14ac:dyDescent="0.25">
      <c r="A1625" s="204" t="s">
        <v>17281</v>
      </c>
      <c r="B1625" s="351" t="s">
        <v>21337</v>
      </c>
      <c r="C1625" s="352"/>
      <c r="D1625" s="353" t="s">
        <v>5</v>
      </c>
      <c r="E1625" s="249">
        <f t="shared" si="459"/>
        <v>0</v>
      </c>
      <c r="F1625" s="336">
        <v>0</v>
      </c>
      <c r="G1625" s="258">
        <f t="shared" si="460"/>
        <v>0</v>
      </c>
      <c r="H1625" s="249">
        <f t="shared" si="461"/>
        <v>6.3775293275514969E-2</v>
      </c>
      <c r="I1625" s="336">
        <v>9.3547698189445881E-3</v>
      </c>
      <c r="J1625" s="258">
        <f t="shared" si="462"/>
        <v>9.3547698189445881E-3</v>
      </c>
      <c r="K1625" s="249">
        <f t="shared" si="463"/>
        <v>6.6435306569879007</v>
      </c>
      <c r="L1625" s="336">
        <v>0.97449493195955339</v>
      </c>
      <c r="M1625" s="258">
        <f t="shared" si="464"/>
        <v>0.97449493195955339</v>
      </c>
      <c r="N1625" s="251">
        <f t="shared" si="465"/>
        <v>0.1100436432989278</v>
      </c>
      <c r="O1625" s="336">
        <v>1.614156360915929E-2</v>
      </c>
      <c r="P1625" s="258">
        <f t="shared" si="466"/>
        <v>1.614156360915929E-2</v>
      </c>
      <c r="Q1625" s="354">
        <v>6.6562238372093026</v>
      </c>
      <c r="R1625" s="249">
        <f t="shared" si="467"/>
        <v>6.8174091409883717</v>
      </c>
      <c r="S1625" s="355">
        <v>0.1</v>
      </c>
      <c r="T1625" s="355"/>
      <c r="U1625" s="315">
        <f t="shared" si="456"/>
        <v>7.4991500550872088</v>
      </c>
      <c r="V1625" s="315">
        <f t="shared" si="457"/>
        <v>8</v>
      </c>
      <c r="W1625" s="316">
        <f t="shared" si="458"/>
        <v>0</v>
      </c>
    </row>
    <row r="1626" spans="1:23" x14ac:dyDescent="0.25">
      <c r="A1626" s="204" t="s">
        <v>17282</v>
      </c>
      <c r="B1626" s="351" t="s">
        <v>21338</v>
      </c>
      <c r="C1626" s="352"/>
      <c r="D1626" s="353" t="s">
        <v>14859</v>
      </c>
      <c r="E1626" s="249">
        <f t="shared" si="459"/>
        <v>0</v>
      </c>
      <c r="F1626" s="336">
        <v>0</v>
      </c>
      <c r="G1626" s="258">
        <f t="shared" si="460"/>
        <v>0</v>
      </c>
      <c r="H1626" s="249">
        <f t="shared" si="461"/>
        <v>10.969446283005372</v>
      </c>
      <c r="I1626" s="336">
        <v>9.3547698189445881E-3</v>
      </c>
      <c r="J1626" s="258">
        <f t="shared" si="462"/>
        <v>9.3547698189445881E-3</v>
      </c>
      <c r="K1626" s="249">
        <f t="shared" si="463"/>
        <v>1142.7074989492598</v>
      </c>
      <c r="L1626" s="336">
        <v>0.97450366657189602</v>
      </c>
      <c r="M1626" s="258">
        <f t="shared" si="464"/>
        <v>0.97450366657189602</v>
      </c>
      <c r="N1626" s="251">
        <f t="shared" si="465"/>
        <v>18.927672017734757</v>
      </c>
      <c r="O1626" s="336">
        <v>1.614156360915929E-2</v>
      </c>
      <c r="P1626" s="258">
        <f t="shared" si="466"/>
        <v>1.614156360915929E-2</v>
      </c>
      <c r="Q1626" s="354">
        <v>1144.8705</v>
      </c>
      <c r="R1626" s="249">
        <f t="shared" si="467"/>
        <v>1172.60461725</v>
      </c>
      <c r="S1626" s="355">
        <v>0.1</v>
      </c>
      <c r="T1626" s="355"/>
      <c r="U1626" s="315">
        <f t="shared" si="456"/>
        <v>1289.865078975</v>
      </c>
      <c r="V1626" s="315">
        <f t="shared" si="457"/>
        <v>1300</v>
      </c>
      <c r="W1626" s="316">
        <f t="shared" si="458"/>
        <v>0</v>
      </c>
    </row>
    <row r="1627" spans="1:23" x14ac:dyDescent="0.25">
      <c r="A1627" s="204" t="s">
        <v>17283</v>
      </c>
      <c r="B1627" s="351" t="s">
        <v>21339</v>
      </c>
      <c r="C1627" s="352"/>
      <c r="D1627" s="353" t="s">
        <v>5</v>
      </c>
      <c r="E1627" s="249">
        <f t="shared" si="459"/>
        <v>0</v>
      </c>
      <c r="F1627" s="336">
        <v>0</v>
      </c>
      <c r="G1627" s="258">
        <f t="shared" si="460"/>
        <v>0</v>
      </c>
      <c r="H1627" s="249">
        <f t="shared" si="461"/>
        <v>6.3775387807089912E-2</v>
      </c>
      <c r="I1627" s="336">
        <v>9.3048107435377853E-3</v>
      </c>
      <c r="J1627" s="258">
        <f t="shared" si="462"/>
        <v>9.3048107435377853E-3</v>
      </c>
      <c r="K1627" s="249">
        <f t="shared" si="463"/>
        <v>6.6801443614640581</v>
      </c>
      <c r="L1627" s="336">
        <v>0.97463114157690911</v>
      </c>
      <c r="M1627" s="258">
        <f t="shared" si="464"/>
        <v>0.97463114157690911</v>
      </c>
      <c r="N1627" s="251">
        <f t="shared" si="465"/>
        <v>0.11004380641223353</v>
      </c>
      <c r="O1627" s="336">
        <v>1.6055359714339704E-2</v>
      </c>
      <c r="P1627" s="258">
        <f t="shared" si="466"/>
        <v>1.6055359714339704E-2</v>
      </c>
      <c r="Q1627" s="354">
        <v>6.691962209302325</v>
      </c>
      <c r="R1627" s="249">
        <f t="shared" si="467"/>
        <v>6.8540231031976742</v>
      </c>
      <c r="S1627" s="355">
        <v>0.1</v>
      </c>
      <c r="T1627" s="355"/>
      <c r="U1627" s="315">
        <f t="shared" si="456"/>
        <v>7.5394254135174421</v>
      </c>
      <c r="V1627" s="315">
        <f t="shared" si="457"/>
        <v>8</v>
      </c>
      <c r="W1627" s="316">
        <f t="shared" si="458"/>
        <v>0</v>
      </c>
    </row>
    <row r="1628" spans="1:23" x14ac:dyDescent="0.25">
      <c r="A1628" s="204" t="s">
        <v>17284</v>
      </c>
      <c r="B1628" s="351" t="s">
        <v>21340</v>
      </c>
      <c r="C1628" s="352"/>
      <c r="D1628" s="353" t="s">
        <v>14859</v>
      </c>
      <c r="E1628" s="249">
        <f t="shared" si="459"/>
        <v>0</v>
      </c>
      <c r="F1628" s="336">
        <v>0</v>
      </c>
      <c r="G1628" s="258">
        <f t="shared" si="460"/>
        <v>0</v>
      </c>
      <c r="H1628" s="249">
        <f t="shared" si="461"/>
        <v>10.969462030605531</v>
      </c>
      <c r="I1628" s="336">
        <v>9.3048107435377836E-3</v>
      </c>
      <c r="J1628" s="258">
        <f t="shared" si="462"/>
        <v>9.3048107435377836E-3</v>
      </c>
      <c r="K1628" s="249">
        <f t="shared" si="463"/>
        <v>1149.0050575293299</v>
      </c>
      <c r="L1628" s="336">
        <v>0.97463982954212247</v>
      </c>
      <c r="M1628" s="258">
        <f t="shared" si="464"/>
        <v>0.97463982954212247</v>
      </c>
      <c r="N1628" s="251">
        <f t="shared" si="465"/>
        <v>18.927699190064441</v>
      </c>
      <c r="O1628" s="336">
        <v>1.6055359714339704E-2</v>
      </c>
      <c r="P1628" s="258">
        <f t="shared" si="466"/>
        <v>1.6055359714339704E-2</v>
      </c>
      <c r="Q1628" s="354">
        <v>1151.0174999999999</v>
      </c>
      <c r="R1628" s="249">
        <f t="shared" si="467"/>
        <v>1178.90221875</v>
      </c>
      <c r="S1628" s="355">
        <v>0.1</v>
      </c>
      <c r="T1628" s="355"/>
      <c r="U1628" s="315">
        <f t="shared" si="456"/>
        <v>1296.7924406249999</v>
      </c>
      <c r="V1628" s="315">
        <f t="shared" si="457"/>
        <v>1300</v>
      </c>
      <c r="W1628" s="316">
        <f t="shared" si="458"/>
        <v>0</v>
      </c>
    </row>
    <row r="1629" spans="1:23" x14ac:dyDescent="0.25">
      <c r="A1629" s="204" t="s">
        <v>17285</v>
      </c>
      <c r="B1629" s="351" t="s">
        <v>21341</v>
      </c>
      <c r="C1629" s="352"/>
      <c r="D1629" s="353" t="s">
        <v>5</v>
      </c>
      <c r="E1629" s="249">
        <f t="shared" si="459"/>
        <v>0</v>
      </c>
      <c r="F1629" s="336">
        <v>0</v>
      </c>
      <c r="G1629" s="258">
        <f t="shared" si="460"/>
        <v>0</v>
      </c>
      <c r="H1629" s="249">
        <f t="shared" si="461"/>
        <v>6.3776892635668159E-2</v>
      </c>
      <c r="I1629" s="336">
        <v>8.5095225609610765E-3</v>
      </c>
      <c r="J1629" s="258">
        <f t="shared" si="462"/>
        <v>8.5095225609610765E-3</v>
      </c>
      <c r="K1629" s="249">
        <f t="shared" si="463"/>
        <v>7.3208845973262422</v>
      </c>
      <c r="L1629" s="336">
        <v>0.97679943428757565</v>
      </c>
      <c r="M1629" s="258">
        <f t="shared" si="464"/>
        <v>0.97679943428757565</v>
      </c>
      <c r="N1629" s="251">
        <f t="shared" si="465"/>
        <v>0.1100464029791921</v>
      </c>
      <c r="O1629" s="336">
        <v>1.4683097752246563E-2</v>
      </c>
      <c r="P1629" s="258">
        <f t="shared" si="466"/>
        <v>1.4683097752246563E-2</v>
      </c>
      <c r="Q1629" s="354">
        <v>7.3173837209302324</v>
      </c>
      <c r="R1629" s="249">
        <f t="shared" si="467"/>
        <v>7.4947674418604642</v>
      </c>
      <c r="S1629" s="355">
        <v>0.1</v>
      </c>
      <c r="T1629" s="355"/>
      <c r="U1629" s="315">
        <f t="shared" si="456"/>
        <v>8.2442441860465099</v>
      </c>
      <c r="V1629" s="315">
        <f t="shared" si="457"/>
        <v>9</v>
      </c>
      <c r="W1629" s="316">
        <f t="shared" si="458"/>
        <v>0</v>
      </c>
    </row>
    <row r="1630" spans="1:23" x14ac:dyDescent="0.25">
      <c r="A1630" s="204" t="s">
        <v>17286</v>
      </c>
      <c r="B1630" s="351" t="s">
        <v>21342</v>
      </c>
      <c r="C1630" s="352"/>
      <c r="D1630" s="353" t="s">
        <v>14859</v>
      </c>
      <c r="E1630" s="249">
        <f t="shared" si="459"/>
        <v>0</v>
      </c>
      <c r="F1630" s="336">
        <v>0</v>
      </c>
      <c r="G1630" s="258">
        <f t="shared" si="460"/>
        <v>0</v>
      </c>
      <c r="H1630" s="249">
        <f t="shared" si="461"/>
        <v>10.969712713393561</v>
      </c>
      <c r="I1630" s="336">
        <v>8.5095225609610765E-3</v>
      </c>
      <c r="J1630" s="258">
        <f t="shared" si="462"/>
        <v>8.5095225609610765E-3</v>
      </c>
      <c r="K1630" s="249">
        <f t="shared" si="463"/>
        <v>1259.2124005458491</v>
      </c>
      <c r="L1630" s="336">
        <v>0.97680737968679232</v>
      </c>
      <c r="M1630" s="258">
        <f t="shared" si="464"/>
        <v>0.97680737968679232</v>
      </c>
      <c r="N1630" s="251">
        <f t="shared" si="465"/>
        <v>18.928131740757518</v>
      </c>
      <c r="O1630" s="336">
        <v>1.4683097752246563E-2</v>
      </c>
      <c r="P1630" s="258">
        <f t="shared" si="466"/>
        <v>1.4683097752246563E-2</v>
      </c>
      <c r="Q1630" s="354">
        <v>1258.5899999999999</v>
      </c>
      <c r="R1630" s="249">
        <f t="shared" si="467"/>
        <v>1289.1102450000001</v>
      </c>
      <c r="S1630" s="355">
        <v>0.1</v>
      </c>
      <c r="T1630" s="355"/>
      <c r="U1630" s="315">
        <f t="shared" si="456"/>
        <v>1418.0212695</v>
      </c>
      <c r="V1630" s="315">
        <f t="shared" si="457"/>
        <v>1425</v>
      </c>
      <c r="W1630" s="316">
        <f t="shared" si="458"/>
        <v>0</v>
      </c>
    </row>
    <row r="1631" spans="1:23" x14ac:dyDescent="0.25">
      <c r="A1631" s="204" t="s">
        <v>17287</v>
      </c>
      <c r="B1631" s="351" t="s">
        <v>21343</v>
      </c>
      <c r="C1631" s="352"/>
      <c r="D1631" s="353" t="s">
        <v>5</v>
      </c>
      <c r="E1631" s="249">
        <f t="shared" si="459"/>
        <v>0</v>
      </c>
      <c r="F1631" s="336">
        <v>0</v>
      </c>
      <c r="G1631" s="258">
        <f t="shared" si="460"/>
        <v>0</v>
      </c>
      <c r="H1631" s="249">
        <f t="shared" si="461"/>
        <v>6.3776892635668159E-2</v>
      </c>
      <c r="I1631" s="336">
        <v>8.5095225609610765E-3</v>
      </c>
      <c r="J1631" s="258">
        <f t="shared" si="462"/>
        <v>8.5095225609610765E-3</v>
      </c>
      <c r="K1631" s="249">
        <f t="shared" si="463"/>
        <v>7.3208845973262422</v>
      </c>
      <c r="L1631" s="336">
        <v>0.97679943428757565</v>
      </c>
      <c r="M1631" s="258">
        <f t="shared" si="464"/>
        <v>0.97679943428757565</v>
      </c>
      <c r="N1631" s="251">
        <f t="shared" si="465"/>
        <v>0.1100464029791921</v>
      </c>
      <c r="O1631" s="336">
        <v>1.4683097752246563E-2</v>
      </c>
      <c r="P1631" s="258">
        <f t="shared" si="466"/>
        <v>1.4683097752246563E-2</v>
      </c>
      <c r="Q1631" s="354">
        <v>7.3173837209302324</v>
      </c>
      <c r="R1631" s="249">
        <f t="shared" si="467"/>
        <v>7.4947674418604642</v>
      </c>
      <c r="S1631" s="355">
        <v>0.1</v>
      </c>
      <c r="T1631" s="355"/>
      <c r="U1631" s="315">
        <f t="shared" si="456"/>
        <v>8.2442441860465099</v>
      </c>
      <c r="V1631" s="315">
        <f t="shared" si="457"/>
        <v>9</v>
      </c>
      <c r="W1631" s="316">
        <f t="shared" si="458"/>
        <v>0</v>
      </c>
    </row>
    <row r="1632" spans="1:23" x14ac:dyDescent="0.25">
      <c r="A1632" s="204" t="s">
        <v>17288</v>
      </c>
      <c r="B1632" s="351" t="s">
        <v>21344</v>
      </c>
      <c r="C1632" s="352"/>
      <c r="D1632" s="353" t="s">
        <v>14859</v>
      </c>
      <c r="E1632" s="249">
        <f t="shared" si="459"/>
        <v>0</v>
      </c>
      <c r="F1632" s="336">
        <v>0</v>
      </c>
      <c r="G1632" s="258">
        <f t="shared" si="460"/>
        <v>0</v>
      </c>
      <c r="H1632" s="249">
        <f t="shared" si="461"/>
        <v>10.969712713393561</v>
      </c>
      <c r="I1632" s="336">
        <v>8.5095225609610765E-3</v>
      </c>
      <c r="J1632" s="258">
        <f t="shared" si="462"/>
        <v>8.5095225609610765E-3</v>
      </c>
      <c r="K1632" s="249">
        <f t="shared" si="463"/>
        <v>1259.2124005458491</v>
      </c>
      <c r="L1632" s="336">
        <v>0.97680737968679232</v>
      </c>
      <c r="M1632" s="258">
        <f t="shared" si="464"/>
        <v>0.97680737968679232</v>
      </c>
      <c r="N1632" s="251">
        <f t="shared" si="465"/>
        <v>18.928131740757518</v>
      </c>
      <c r="O1632" s="336">
        <v>1.4683097752246563E-2</v>
      </c>
      <c r="P1632" s="258">
        <f t="shared" si="466"/>
        <v>1.4683097752246563E-2</v>
      </c>
      <c r="Q1632" s="354">
        <v>1258.5899999999999</v>
      </c>
      <c r="R1632" s="249">
        <f t="shared" si="467"/>
        <v>1289.1102450000001</v>
      </c>
      <c r="S1632" s="355">
        <v>0.1</v>
      </c>
      <c r="T1632" s="355"/>
      <c r="U1632" s="315">
        <f t="shared" si="456"/>
        <v>1418.0212695</v>
      </c>
      <c r="V1632" s="315">
        <f t="shared" si="457"/>
        <v>1425</v>
      </c>
      <c r="W1632" s="316">
        <f t="shared" si="458"/>
        <v>0</v>
      </c>
    </row>
    <row r="1633" spans="1:23" x14ac:dyDescent="0.25">
      <c r="A1633" s="204" t="s">
        <v>17289</v>
      </c>
      <c r="B1633" s="351" t="s">
        <v>21345</v>
      </c>
      <c r="C1633" s="352"/>
      <c r="D1633" s="353" t="s">
        <v>5</v>
      </c>
      <c r="E1633" s="249">
        <f t="shared" si="459"/>
        <v>0</v>
      </c>
      <c r="F1633" s="336">
        <v>0</v>
      </c>
      <c r="G1633" s="258">
        <f t="shared" si="460"/>
        <v>0</v>
      </c>
      <c r="H1633" s="249">
        <f t="shared" si="461"/>
        <v>6.3776892635668159E-2</v>
      </c>
      <c r="I1633" s="336">
        <v>8.5095225609610765E-3</v>
      </c>
      <c r="J1633" s="258">
        <f t="shared" si="462"/>
        <v>8.5095225609610765E-3</v>
      </c>
      <c r="K1633" s="249">
        <f t="shared" si="463"/>
        <v>7.3208845973262422</v>
      </c>
      <c r="L1633" s="336">
        <v>0.97679943428757565</v>
      </c>
      <c r="M1633" s="258">
        <f t="shared" si="464"/>
        <v>0.97679943428757565</v>
      </c>
      <c r="N1633" s="251">
        <f t="shared" si="465"/>
        <v>0.1100464029791921</v>
      </c>
      <c r="O1633" s="336">
        <v>1.4683097752246563E-2</v>
      </c>
      <c r="P1633" s="258">
        <f t="shared" si="466"/>
        <v>1.4683097752246563E-2</v>
      </c>
      <c r="Q1633" s="354">
        <v>7.3173837209302324</v>
      </c>
      <c r="R1633" s="249">
        <f t="shared" si="467"/>
        <v>7.4947674418604642</v>
      </c>
      <c r="S1633" s="355">
        <v>0.1</v>
      </c>
      <c r="T1633" s="355"/>
      <c r="U1633" s="315">
        <f t="shared" si="456"/>
        <v>8.2442441860465099</v>
      </c>
      <c r="V1633" s="315">
        <f t="shared" si="457"/>
        <v>9</v>
      </c>
      <c r="W1633" s="316">
        <f t="shared" si="458"/>
        <v>0</v>
      </c>
    </row>
    <row r="1634" spans="1:23" x14ac:dyDescent="0.25">
      <c r="A1634" s="204" t="s">
        <v>17290</v>
      </c>
      <c r="B1634" s="351" t="s">
        <v>21346</v>
      </c>
      <c r="C1634" s="352"/>
      <c r="D1634" s="353" t="s">
        <v>14859</v>
      </c>
      <c r="E1634" s="249">
        <f t="shared" si="459"/>
        <v>0</v>
      </c>
      <c r="F1634" s="336">
        <v>0</v>
      </c>
      <c r="G1634" s="258">
        <f t="shared" si="460"/>
        <v>0</v>
      </c>
      <c r="H1634" s="249">
        <f t="shared" si="461"/>
        <v>10.969712713393561</v>
      </c>
      <c r="I1634" s="336">
        <v>8.5095225609610765E-3</v>
      </c>
      <c r="J1634" s="258">
        <f t="shared" si="462"/>
        <v>8.5095225609610765E-3</v>
      </c>
      <c r="K1634" s="249">
        <f t="shared" si="463"/>
        <v>1259.2124005458491</v>
      </c>
      <c r="L1634" s="336">
        <v>0.97680737968679232</v>
      </c>
      <c r="M1634" s="258">
        <f t="shared" si="464"/>
        <v>0.97680737968679232</v>
      </c>
      <c r="N1634" s="251">
        <f t="shared" si="465"/>
        <v>18.928131740757518</v>
      </c>
      <c r="O1634" s="336">
        <v>1.4683097752246563E-2</v>
      </c>
      <c r="P1634" s="258">
        <f t="shared" si="466"/>
        <v>1.4683097752246563E-2</v>
      </c>
      <c r="Q1634" s="354">
        <v>1258.5899999999999</v>
      </c>
      <c r="R1634" s="249">
        <f t="shared" si="467"/>
        <v>1289.1102450000001</v>
      </c>
      <c r="S1634" s="355">
        <v>0.1</v>
      </c>
      <c r="T1634" s="355"/>
      <c r="U1634" s="315">
        <f t="shared" si="456"/>
        <v>1418.0212695</v>
      </c>
      <c r="V1634" s="315">
        <f t="shared" si="457"/>
        <v>1425</v>
      </c>
      <c r="W1634" s="316">
        <f t="shared" si="458"/>
        <v>0</v>
      </c>
    </row>
    <row r="1635" spans="1:23" x14ac:dyDescent="0.25">
      <c r="A1635" s="204" t="s">
        <v>17291</v>
      </c>
      <c r="B1635" s="351" t="s">
        <v>21347</v>
      </c>
      <c r="C1635" s="352"/>
      <c r="D1635" s="353" t="s">
        <v>5</v>
      </c>
      <c r="E1635" s="249">
        <f t="shared" si="459"/>
        <v>0</v>
      </c>
      <c r="F1635" s="336">
        <v>0</v>
      </c>
      <c r="G1635" s="258">
        <f t="shared" si="460"/>
        <v>0</v>
      </c>
      <c r="H1635" s="249">
        <f t="shared" si="461"/>
        <v>6.3776892635668159E-2</v>
      </c>
      <c r="I1635" s="336">
        <v>8.5095225609610765E-3</v>
      </c>
      <c r="J1635" s="258">
        <f t="shared" si="462"/>
        <v>8.5095225609610765E-3</v>
      </c>
      <c r="K1635" s="249">
        <f t="shared" si="463"/>
        <v>7.3208845973262422</v>
      </c>
      <c r="L1635" s="336">
        <v>0.97679943428757565</v>
      </c>
      <c r="M1635" s="258">
        <f t="shared" si="464"/>
        <v>0.97679943428757565</v>
      </c>
      <c r="N1635" s="251">
        <f t="shared" si="465"/>
        <v>0.1100464029791921</v>
      </c>
      <c r="O1635" s="336">
        <v>1.4683097752246563E-2</v>
      </c>
      <c r="P1635" s="258">
        <f t="shared" si="466"/>
        <v>1.4683097752246563E-2</v>
      </c>
      <c r="Q1635" s="354">
        <v>7.3173837209302324</v>
      </c>
      <c r="R1635" s="249">
        <f t="shared" si="467"/>
        <v>7.4947674418604642</v>
      </c>
      <c r="S1635" s="355">
        <v>0.1</v>
      </c>
      <c r="T1635" s="355"/>
      <c r="U1635" s="315">
        <f t="shared" si="456"/>
        <v>8.2442441860465099</v>
      </c>
      <c r="V1635" s="315">
        <f t="shared" si="457"/>
        <v>9</v>
      </c>
      <c r="W1635" s="316">
        <f t="shared" si="458"/>
        <v>0</v>
      </c>
    </row>
    <row r="1636" spans="1:23" x14ac:dyDescent="0.25">
      <c r="A1636" s="204" t="s">
        <v>17292</v>
      </c>
      <c r="B1636" s="351" t="s">
        <v>21348</v>
      </c>
      <c r="C1636" s="352"/>
      <c r="D1636" s="353" t="s">
        <v>14859</v>
      </c>
      <c r="E1636" s="249">
        <f t="shared" si="459"/>
        <v>0</v>
      </c>
      <c r="F1636" s="336">
        <v>0</v>
      </c>
      <c r="G1636" s="258">
        <f t="shared" si="460"/>
        <v>0</v>
      </c>
      <c r="H1636" s="249">
        <f t="shared" si="461"/>
        <v>10.969712713393561</v>
      </c>
      <c r="I1636" s="336">
        <v>8.5095225609610765E-3</v>
      </c>
      <c r="J1636" s="258">
        <f t="shared" si="462"/>
        <v>8.5095225609610765E-3</v>
      </c>
      <c r="K1636" s="249">
        <f t="shared" si="463"/>
        <v>1259.2124005458491</v>
      </c>
      <c r="L1636" s="336">
        <v>0.97680737968679232</v>
      </c>
      <c r="M1636" s="258">
        <f t="shared" si="464"/>
        <v>0.97680737968679232</v>
      </c>
      <c r="N1636" s="251">
        <f t="shared" si="465"/>
        <v>18.928131740757518</v>
      </c>
      <c r="O1636" s="336">
        <v>1.4683097752246563E-2</v>
      </c>
      <c r="P1636" s="258">
        <f t="shared" si="466"/>
        <v>1.4683097752246563E-2</v>
      </c>
      <c r="Q1636" s="354">
        <v>1258.5899999999999</v>
      </c>
      <c r="R1636" s="249">
        <f t="shared" si="467"/>
        <v>1289.1102450000001</v>
      </c>
      <c r="S1636" s="355">
        <v>0.1</v>
      </c>
      <c r="T1636" s="355"/>
      <c r="U1636" s="315">
        <f t="shared" si="456"/>
        <v>1418.0212695</v>
      </c>
      <c r="V1636" s="315">
        <f t="shared" si="457"/>
        <v>1425</v>
      </c>
      <c r="W1636" s="316">
        <f t="shared" si="458"/>
        <v>0</v>
      </c>
    </row>
    <row r="1637" spans="1:23" x14ac:dyDescent="0.25">
      <c r="A1637" s="204" t="s">
        <v>17293</v>
      </c>
      <c r="B1637" s="351" t="s">
        <v>21349</v>
      </c>
      <c r="C1637" s="352"/>
      <c r="D1637" s="353" t="s">
        <v>5</v>
      </c>
      <c r="E1637" s="249">
        <f t="shared" si="459"/>
        <v>0</v>
      </c>
      <c r="F1637" s="336">
        <v>0</v>
      </c>
      <c r="G1637" s="258">
        <f t="shared" si="460"/>
        <v>0</v>
      </c>
      <c r="H1637" s="249">
        <f t="shared" si="461"/>
        <v>6.3779098339978427E-2</v>
      </c>
      <c r="I1637" s="336">
        <v>7.3438279446024421E-3</v>
      </c>
      <c r="J1637" s="258">
        <f t="shared" si="462"/>
        <v>7.3438279446024421E-3</v>
      </c>
      <c r="K1637" s="249">
        <f t="shared" si="463"/>
        <v>8.5108323554436112</v>
      </c>
      <c r="L1637" s="336">
        <v>0.97997761195309119</v>
      </c>
      <c r="M1637" s="258">
        <f t="shared" si="464"/>
        <v>0.97997761195309119</v>
      </c>
      <c r="N1637" s="251">
        <f t="shared" si="465"/>
        <v>0.11005020890035491</v>
      </c>
      <c r="O1637" s="336">
        <v>1.267170312009833E-2</v>
      </c>
      <c r="P1637" s="258">
        <f t="shared" si="466"/>
        <v>1.267170312009833E-2</v>
      </c>
      <c r="Q1637" s="354">
        <v>8.4788808139534879</v>
      </c>
      <c r="R1637" s="249">
        <f t="shared" si="467"/>
        <v>8.6847212136627885</v>
      </c>
      <c r="S1637" s="355">
        <v>0.1</v>
      </c>
      <c r="T1637" s="355"/>
      <c r="U1637" s="315">
        <f t="shared" ref="U1637:U1700" si="468">(R1637*S1637)+R1637</f>
        <v>9.5531933350290679</v>
      </c>
      <c r="V1637" s="315">
        <f t="shared" ref="V1637:V1700" si="469">IF(U1637=0, 0, IF(U1637&lt;10, _xlfn.CEILING.MATH(U1637,1), IF(U1637&lt;100, _xlfn.CEILING.MATH(U1637,1),IF(U1637&lt;1000, _xlfn.CEILING.MATH(U1637,5), IF(U1637&lt;10000, _xlfn.CEILING.MATH(U1637, 25), IF(U1637&lt;100000, _xlfn.CEILING.MATH(U1637,250), IF(U1637&lt;1000000, _xlfn.CEILING.MATH(U1637,500), 0)))))))</f>
        <v>10</v>
      </c>
      <c r="W1637" s="316">
        <f t="shared" ref="W1637:W1654" si="470">C1637*V1637</f>
        <v>0</v>
      </c>
    </row>
    <row r="1638" spans="1:23" x14ac:dyDescent="0.25">
      <c r="A1638" s="204" t="s">
        <v>17294</v>
      </c>
      <c r="B1638" s="351" t="s">
        <v>21350</v>
      </c>
      <c r="C1638" s="352"/>
      <c r="D1638" s="353" t="s">
        <v>14859</v>
      </c>
      <c r="E1638" s="249">
        <f t="shared" si="459"/>
        <v>0</v>
      </c>
      <c r="F1638" s="336">
        <v>0</v>
      </c>
      <c r="G1638" s="258">
        <f t="shared" si="460"/>
        <v>0</v>
      </c>
      <c r="H1638" s="249">
        <f t="shared" si="461"/>
        <v>10.970080151993585</v>
      </c>
      <c r="I1638" s="336">
        <v>7.3438279446024412E-3</v>
      </c>
      <c r="J1638" s="258">
        <f t="shared" si="462"/>
        <v>7.3438279446024412E-3</v>
      </c>
      <c r="K1638" s="249">
        <f t="shared" si="463"/>
        <v>1463.8834478455472</v>
      </c>
      <c r="L1638" s="336">
        <v>0.97998446893529922</v>
      </c>
      <c r="M1638" s="258">
        <f t="shared" si="464"/>
        <v>0.97998446893529922</v>
      </c>
      <c r="N1638" s="251">
        <f t="shared" si="465"/>
        <v>18.928765752459515</v>
      </c>
      <c r="O1638" s="336">
        <v>1.2671703120098328E-2</v>
      </c>
      <c r="P1638" s="258">
        <f t="shared" si="466"/>
        <v>1.2671703120098328E-2</v>
      </c>
      <c r="Q1638" s="354">
        <v>1458.3675000000001</v>
      </c>
      <c r="R1638" s="249">
        <f t="shared" si="467"/>
        <v>1493.7822937500002</v>
      </c>
      <c r="S1638" s="355">
        <v>0.1</v>
      </c>
      <c r="T1638" s="355"/>
      <c r="U1638" s="315">
        <f t="shared" si="468"/>
        <v>1643.1605231250003</v>
      </c>
      <c r="V1638" s="315">
        <f t="shared" si="469"/>
        <v>1650</v>
      </c>
      <c r="W1638" s="316">
        <f t="shared" si="470"/>
        <v>0</v>
      </c>
    </row>
    <row r="1639" spans="1:23" x14ac:dyDescent="0.25">
      <c r="A1639" s="204" t="s">
        <v>17295</v>
      </c>
      <c r="B1639" s="351" t="s">
        <v>21351</v>
      </c>
      <c r="C1639" s="352"/>
      <c r="D1639" s="353" t="s">
        <v>5</v>
      </c>
      <c r="E1639" s="249">
        <f t="shared" si="459"/>
        <v>0</v>
      </c>
      <c r="F1639" s="336">
        <v>0</v>
      </c>
      <c r="G1639" s="258">
        <f t="shared" si="460"/>
        <v>0</v>
      </c>
      <c r="H1639" s="249">
        <f t="shared" si="461"/>
        <v>6.3779098339978427E-2</v>
      </c>
      <c r="I1639" s="336">
        <v>7.3438279446024421E-3</v>
      </c>
      <c r="J1639" s="258">
        <f t="shared" si="462"/>
        <v>7.3438279446024421E-3</v>
      </c>
      <c r="K1639" s="249">
        <f t="shared" si="463"/>
        <v>8.5108323554436112</v>
      </c>
      <c r="L1639" s="336">
        <v>0.97997761195309119</v>
      </c>
      <c r="M1639" s="258">
        <f t="shared" si="464"/>
        <v>0.97997761195309119</v>
      </c>
      <c r="N1639" s="251">
        <f t="shared" si="465"/>
        <v>0.11005020890035491</v>
      </c>
      <c r="O1639" s="336">
        <v>1.267170312009833E-2</v>
      </c>
      <c r="P1639" s="258">
        <f t="shared" si="466"/>
        <v>1.267170312009833E-2</v>
      </c>
      <c r="Q1639" s="354">
        <v>8.4788808139534879</v>
      </c>
      <c r="R1639" s="249">
        <f t="shared" si="467"/>
        <v>8.6847212136627885</v>
      </c>
      <c r="S1639" s="355">
        <v>0.1</v>
      </c>
      <c r="T1639" s="355"/>
      <c r="U1639" s="315">
        <f t="shared" si="468"/>
        <v>9.5531933350290679</v>
      </c>
      <c r="V1639" s="315">
        <f t="shared" si="469"/>
        <v>10</v>
      </c>
      <c r="W1639" s="316">
        <f t="shared" si="470"/>
        <v>0</v>
      </c>
    </row>
    <row r="1640" spans="1:23" x14ac:dyDescent="0.25">
      <c r="A1640" s="204" t="s">
        <v>17296</v>
      </c>
      <c r="B1640" s="351" t="s">
        <v>21352</v>
      </c>
      <c r="C1640" s="352"/>
      <c r="D1640" s="353" t="s">
        <v>14859</v>
      </c>
      <c r="E1640" s="249">
        <f t="shared" si="459"/>
        <v>0</v>
      </c>
      <c r="F1640" s="336">
        <v>0</v>
      </c>
      <c r="G1640" s="258">
        <f t="shared" si="460"/>
        <v>0</v>
      </c>
      <c r="H1640" s="249">
        <f t="shared" si="461"/>
        <v>10.970080151993585</v>
      </c>
      <c r="I1640" s="336">
        <v>7.3438279446024412E-3</v>
      </c>
      <c r="J1640" s="258">
        <f t="shared" si="462"/>
        <v>7.3438279446024412E-3</v>
      </c>
      <c r="K1640" s="249">
        <f t="shared" si="463"/>
        <v>1463.8834478455472</v>
      </c>
      <c r="L1640" s="336">
        <v>0.97998446893529922</v>
      </c>
      <c r="M1640" s="258">
        <f t="shared" si="464"/>
        <v>0.97998446893529922</v>
      </c>
      <c r="N1640" s="251">
        <f t="shared" si="465"/>
        <v>18.928765752459515</v>
      </c>
      <c r="O1640" s="336">
        <v>1.2671703120098328E-2</v>
      </c>
      <c r="P1640" s="258">
        <f t="shared" si="466"/>
        <v>1.2671703120098328E-2</v>
      </c>
      <c r="Q1640" s="354">
        <v>1458.3675000000001</v>
      </c>
      <c r="R1640" s="249">
        <f t="shared" si="467"/>
        <v>1493.7822937500002</v>
      </c>
      <c r="S1640" s="355">
        <v>0.1</v>
      </c>
      <c r="T1640" s="355"/>
      <c r="U1640" s="315">
        <f t="shared" si="468"/>
        <v>1643.1605231250003</v>
      </c>
      <c r="V1640" s="315">
        <f t="shared" si="469"/>
        <v>1650</v>
      </c>
      <c r="W1640" s="316">
        <f t="shared" si="470"/>
        <v>0</v>
      </c>
    </row>
    <row r="1641" spans="1:23" x14ac:dyDescent="0.25">
      <c r="A1641" s="204" t="s">
        <v>17297</v>
      </c>
      <c r="B1641" s="351" t="s">
        <v>21353</v>
      </c>
      <c r="C1641" s="352"/>
      <c r="D1641" s="353" t="s">
        <v>5</v>
      </c>
      <c r="E1641" s="249">
        <f t="shared" si="459"/>
        <v>0</v>
      </c>
      <c r="F1641" s="336">
        <v>0</v>
      </c>
      <c r="G1641" s="258">
        <f t="shared" si="460"/>
        <v>0</v>
      </c>
      <c r="H1641" s="249">
        <f t="shared" si="461"/>
        <v>6.3779098339978427E-2</v>
      </c>
      <c r="I1641" s="336">
        <v>7.3438279446024421E-3</v>
      </c>
      <c r="J1641" s="258">
        <f t="shared" si="462"/>
        <v>7.3438279446024421E-3</v>
      </c>
      <c r="K1641" s="249">
        <f t="shared" si="463"/>
        <v>8.5108323554436112</v>
      </c>
      <c r="L1641" s="336">
        <v>0.97997761195309119</v>
      </c>
      <c r="M1641" s="258">
        <f t="shared" si="464"/>
        <v>0.97997761195309119</v>
      </c>
      <c r="N1641" s="251">
        <f t="shared" si="465"/>
        <v>0.11005020890035491</v>
      </c>
      <c r="O1641" s="336">
        <v>1.267170312009833E-2</v>
      </c>
      <c r="P1641" s="258">
        <f t="shared" si="466"/>
        <v>1.267170312009833E-2</v>
      </c>
      <c r="Q1641" s="354">
        <v>8.4788808139534879</v>
      </c>
      <c r="R1641" s="249">
        <f t="shared" si="467"/>
        <v>8.6847212136627885</v>
      </c>
      <c r="S1641" s="355">
        <v>0.1</v>
      </c>
      <c r="T1641" s="355"/>
      <c r="U1641" s="315">
        <f t="shared" si="468"/>
        <v>9.5531933350290679</v>
      </c>
      <c r="V1641" s="315">
        <f t="shared" si="469"/>
        <v>10</v>
      </c>
      <c r="W1641" s="316">
        <f t="shared" si="470"/>
        <v>0</v>
      </c>
    </row>
    <row r="1642" spans="1:23" x14ac:dyDescent="0.25">
      <c r="A1642" s="204" t="s">
        <v>17298</v>
      </c>
      <c r="B1642" s="351" t="s">
        <v>21354</v>
      </c>
      <c r="C1642" s="352"/>
      <c r="D1642" s="353" t="s">
        <v>14859</v>
      </c>
      <c r="E1642" s="249">
        <f t="shared" si="459"/>
        <v>0</v>
      </c>
      <c r="F1642" s="336">
        <v>0</v>
      </c>
      <c r="G1642" s="258">
        <f t="shared" si="460"/>
        <v>0</v>
      </c>
      <c r="H1642" s="249">
        <f t="shared" si="461"/>
        <v>10.970080151993585</v>
      </c>
      <c r="I1642" s="336">
        <v>7.3438279446024412E-3</v>
      </c>
      <c r="J1642" s="258">
        <f t="shared" si="462"/>
        <v>7.3438279446024412E-3</v>
      </c>
      <c r="K1642" s="249">
        <f t="shared" si="463"/>
        <v>1463.8834478455472</v>
      </c>
      <c r="L1642" s="336">
        <v>0.97998446893529922</v>
      </c>
      <c r="M1642" s="258">
        <f t="shared" si="464"/>
        <v>0.97998446893529922</v>
      </c>
      <c r="N1642" s="251">
        <f t="shared" si="465"/>
        <v>18.928765752459515</v>
      </c>
      <c r="O1642" s="336">
        <v>1.2671703120098328E-2</v>
      </c>
      <c r="P1642" s="258">
        <f t="shared" si="466"/>
        <v>1.2671703120098328E-2</v>
      </c>
      <c r="Q1642" s="354">
        <v>1458.3675000000001</v>
      </c>
      <c r="R1642" s="249">
        <f t="shared" si="467"/>
        <v>1493.7822937500002</v>
      </c>
      <c r="S1642" s="355">
        <v>0.1</v>
      </c>
      <c r="T1642" s="355"/>
      <c r="U1642" s="315">
        <f t="shared" si="468"/>
        <v>1643.1605231250003</v>
      </c>
      <c r="V1642" s="315">
        <f t="shared" si="469"/>
        <v>1650</v>
      </c>
      <c r="W1642" s="316">
        <f t="shared" si="470"/>
        <v>0</v>
      </c>
    </row>
    <row r="1643" spans="1:23" x14ac:dyDescent="0.25">
      <c r="A1643" s="204" t="s">
        <v>17299</v>
      </c>
      <c r="B1643" s="351" t="s">
        <v>21355</v>
      </c>
      <c r="C1643" s="352"/>
      <c r="D1643" s="353" t="s">
        <v>5</v>
      </c>
      <c r="E1643" s="249">
        <f t="shared" si="459"/>
        <v>0</v>
      </c>
      <c r="F1643" s="336">
        <v>0</v>
      </c>
      <c r="G1643" s="258">
        <f t="shared" si="460"/>
        <v>0</v>
      </c>
      <c r="H1643" s="249">
        <f t="shared" si="461"/>
        <v>6.3779098339978427E-2</v>
      </c>
      <c r="I1643" s="336">
        <v>7.3438279446024421E-3</v>
      </c>
      <c r="J1643" s="258">
        <f t="shared" si="462"/>
        <v>7.3438279446024421E-3</v>
      </c>
      <c r="K1643" s="249">
        <f t="shared" si="463"/>
        <v>8.5108323554436112</v>
      </c>
      <c r="L1643" s="336">
        <v>0.97997761195309119</v>
      </c>
      <c r="M1643" s="258">
        <f t="shared" si="464"/>
        <v>0.97997761195309119</v>
      </c>
      <c r="N1643" s="251">
        <f t="shared" si="465"/>
        <v>0.11005020890035491</v>
      </c>
      <c r="O1643" s="336">
        <v>1.267170312009833E-2</v>
      </c>
      <c r="P1643" s="258">
        <f t="shared" si="466"/>
        <v>1.267170312009833E-2</v>
      </c>
      <c r="Q1643" s="354">
        <v>8.4788808139534879</v>
      </c>
      <c r="R1643" s="249">
        <f t="shared" si="467"/>
        <v>8.6847212136627885</v>
      </c>
      <c r="S1643" s="355">
        <v>0.1</v>
      </c>
      <c r="T1643" s="355"/>
      <c r="U1643" s="315">
        <f t="shared" si="468"/>
        <v>9.5531933350290679</v>
      </c>
      <c r="V1643" s="315">
        <f t="shared" si="469"/>
        <v>10</v>
      </c>
      <c r="W1643" s="316">
        <f t="shared" si="470"/>
        <v>0</v>
      </c>
    </row>
    <row r="1644" spans="1:23" x14ac:dyDescent="0.25">
      <c r="A1644" s="204" t="s">
        <v>17300</v>
      </c>
      <c r="B1644" s="351" t="s">
        <v>21356</v>
      </c>
      <c r="C1644" s="352"/>
      <c r="D1644" s="353" t="s">
        <v>14859</v>
      </c>
      <c r="E1644" s="249">
        <f t="shared" si="459"/>
        <v>0</v>
      </c>
      <c r="F1644" s="336">
        <v>0</v>
      </c>
      <c r="G1644" s="258">
        <f t="shared" si="460"/>
        <v>0</v>
      </c>
      <c r="H1644" s="249">
        <f t="shared" si="461"/>
        <v>10.970080151993585</v>
      </c>
      <c r="I1644" s="336">
        <v>7.3438279446024412E-3</v>
      </c>
      <c r="J1644" s="258">
        <f t="shared" si="462"/>
        <v>7.3438279446024412E-3</v>
      </c>
      <c r="K1644" s="249">
        <f t="shared" si="463"/>
        <v>1463.8834478455472</v>
      </c>
      <c r="L1644" s="336">
        <v>0.97998446893529922</v>
      </c>
      <c r="M1644" s="258">
        <f t="shared" si="464"/>
        <v>0.97998446893529922</v>
      </c>
      <c r="N1644" s="251">
        <f t="shared" si="465"/>
        <v>18.928765752459515</v>
      </c>
      <c r="O1644" s="336">
        <v>1.2671703120098328E-2</v>
      </c>
      <c r="P1644" s="258">
        <f t="shared" si="466"/>
        <v>1.2671703120098328E-2</v>
      </c>
      <c r="Q1644" s="354">
        <v>1458.3675000000001</v>
      </c>
      <c r="R1644" s="249">
        <f t="shared" si="467"/>
        <v>1493.7822937500002</v>
      </c>
      <c r="S1644" s="355">
        <v>0.1</v>
      </c>
      <c r="T1644" s="355"/>
      <c r="U1644" s="315">
        <f t="shared" si="468"/>
        <v>1643.1605231250003</v>
      </c>
      <c r="V1644" s="315">
        <f t="shared" si="469"/>
        <v>1650</v>
      </c>
      <c r="W1644" s="316">
        <f t="shared" si="470"/>
        <v>0</v>
      </c>
    </row>
    <row r="1645" spans="1:23" x14ac:dyDescent="0.25">
      <c r="A1645" s="204" t="s">
        <v>17301</v>
      </c>
      <c r="B1645" s="351" t="s">
        <v>21357</v>
      </c>
      <c r="C1645" s="352"/>
      <c r="D1645" s="353" t="s">
        <v>5</v>
      </c>
      <c r="E1645" s="249">
        <f t="shared" si="459"/>
        <v>0</v>
      </c>
      <c r="F1645" s="336">
        <v>0</v>
      </c>
      <c r="G1645" s="258">
        <f t="shared" si="460"/>
        <v>0</v>
      </c>
      <c r="H1645" s="249">
        <f t="shared" si="461"/>
        <v>6.3780010444968088E-2</v>
      </c>
      <c r="I1645" s="336">
        <v>6.8617887741520079E-3</v>
      </c>
      <c r="J1645" s="258">
        <f t="shared" si="462"/>
        <v>6.8617887741520079E-3</v>
      </c>
      <c r="K1645" s="249">
        <f t="shared" si="463"/>
        <v>9.1210625721471423</v>
      </c>
      <c r="L1645" s="336">
        <v>0.98129185506953887</v>
      </c>
      <c r="M1645" s="258">
        <f t="shared" si="464"/>
        <v>0.98129185506953887</v>
      </c>
      <c r="N1645" s="251">
        <f t="shared" si="465"/>
        <v>0.11005178272857236</v>
      </c>
      <c r="O1645" s="336">
        <v>1.1839949257360325E-2</v>
      </c>
      <c r="P1645" s="258">
        <f t="shared" si="466"/>
        <v>1.1839949257360325E-2</v>
      </c>
      <c r="Q1645" s="354">
        <v>9.0745203488372095</v>
      </c>
      <c r="R1645" s="249">
        <f t="shared" si="467"/>
        <v>9.2949539171511635</v>
      </c>
      <c r="S1645" s="355">
        <v>0.1</v>
      </c>
      <c r="T1645" s="355"/>
      <c r="U1645" s="315">
        <f t="shared" si="468"/>
        <v>10.22444930886628</v>
      </c>
      <c r="V1645" s="315">
        <f t="shared" si="469"/>
        <v>11</v>
      </c>
      <c r="W1645" s="316">
        <f t="shared" si="470"/>
        <v>0</v>
      </c>
    </row>
    <row r="1646" spans="1:23" x14ac:dyDescent="0.25">
      <c r="A1646" s="204" t="s">
        <v>17302</v>
      </c>
      <c r="B1646" s="351" t="s">
        <v>21358</v>
      </c>
      <c r="C1646" s="352"/>
      <c r="D1646" s="353" t="s">
        <v>14859</v>
      </c>
      <c r="E1646" s="249">
        <f t="shared" si="459"/>
        <v>0</v>
      </c>
      <c r="F1646" s="336">
        <v>0</v>
      </c>
      <c r="G1646" s="258">
        <f t="shared" si="460"/>
        <v>0</v>
      </c>
      <c r="H1646" s="249">
        <f t="shared" si="461"/>
        <v>10.970232095560501</v>
      </c>
      <c r="I1646" s="336">
        <v>6.861788774152007E-3</v>
      </c>
      <c r="J1646" s="258">
        <f t="shared" si="462"/>
        <v>6.861788774152007E-3</v>
      </c>
      <c r="K1646" s="249">
        <f t="shared" si="463"/>
        <v>1568.8430587248449</v>
      </c>
      <c r="L1646" s="336">
        <v>0.98129826196848768</v>
      </c>
      <c r="M1646" s="258">
        <f t="shared" si="464"/>
        <v>0.98129826196848768</v>
      </c>
      <c r="N1646" s="251">
        <f t="shared" si="465"/>
        <v>18.929027929594586</v>
      </c>
      <c r="O1646" s="336">
        <v>1.1839949257360325E-2</v>
      </c>
      <c r="P1646" s="258">
        <f t="shared" si="466"/>
        <v>1.1839949257360325E-2</v>
      </c>
      <c r="Q1646" s="354">
        <v>1560.8175000000001</v>
      </c>
      <c r="R1646" s="249">
        <f t="shared" si="467"/>
        <v>1598.7423187500001</v>
      </c>
      <c r="S1646" s="355">
        <v>0.1</v>
      </c>
      <c r="T1646" s="355"/>
      <c r="U1646" s="315">
        <f t="shared" si="468"/>
        <v>1758.6165506250002</v>
      </c>
      <c r="V1646" s="315">
        <f t="shared" si="469"/>
        <v>1775</v>
      </c>
      <c r="W1646" s="316">
        <f t="shared" si="470"/>
        <v>0</v>
      </c>
    </row>
    <row r="1647" spans="1:23" x14ac:dyDescent="0.25">
      <c r="A1647" s="204" t="s">
        <v>17303</v>
      </c>
      <c r="B1647" s="351" t="s">
        <v>21359</v>
      </c>
      <c r="C1647" s="352"/>
      <c r="D1647" s="353" t="s">
        <v>5</v>
      </c>
      <c r="E1647" s="249">
        <f t="shared" si="459"/>
        <v>0</v>
      </c>
      <c r="F1647" s="336">
        <v>0</v>
      </c>
      <c r="G1647" s="258">
        <f t="shared" si="460"/>
        <v>0</v>
      </c>
      <c r="H1647" s="249">
        <f t="shared" si="461"/>
        <v>6.3781209425916655E-2</v>
      </c>
      <c r="I1647" s="336">
        <v>6.2281382751371676E-3</v>
      </c>
      <c r="J1647" s="258">
        <f t="shared" si="462"/>
        <v>6.2281382751371676E-3</v>
      </c>
      <c r="K1647" s="249">
        <f t="shared" si="463"/>
        <v>10.066919993623801</v>
      </c>
      <c r="L1647" s="336">
        <v>0.98301945493613396</v>
      </c>
      <c r="M1647" s="258">
        <f t="shared" si="464"/>
        <v>0.98301945493613396</v>
      </c>
      <c r="N1647" s="251">
        <f t="shared" si="465"/>
        <v>0.11005385155844442</v>
      </c>
      <c r="O1647" s="336">
        <v>1.0746591533570014E-2</v>
      </c>
      <c r="P1647" s="258">
        <f t="shared" si="466"/>
        <v>1.0746591533570014E-2</v>
      </c>
      <c r="Q1647" s="354">
        <v>9.9977616279069768</v>
      </c>
      <c r="R1647" s="249">
        <f t="shared" si="467"/>
        <v>10.240814607558139</v>
      </c>
      <c r="S1647" s="355">
        <v>0.1</v>
      </c>
      <c r="T1647" s="355"/>
      <c r="U1647" s="315">
        <f t="shared" si="468"/>
        <v>11.264896068313954</v>
      </c>
      <c r="V1647" s="315">
        <f t="shared" si="469"/>
        <v>12</v>
      </c>
      <c r="W1647" s="316">
        <f t="shared" si="470"/>
        <v>0</v>
      </c>
    </row>
    <row r="1648" spans="1:23" x14ac:dyDescent="0.25">
      <c r="A1648" s="204" t="s">
        <v>17304</v>
      </c>
      <c r="B1648" s="351" t="s">
        <v>21360</v>
      </c>
      <c r="C1648" s="352"/>
      <c r="D1648" s="353" t="s">
        <v>14859</v>
      </c>
      <c r="E1648" s="249">
        <f t="shared" si="459"/>
        <v>0</v>
      </c>
      <c r="F1648" s="336">
        <v>0</v>
      </c>
      <c r="G1648" s="258">
        <f t="shared" si="460"/>
        <v>0</v>
      </c>
      <c r="H1648" s="249">
        <f t="shared" si="461"/>
        <v>10.970431828534295</v>
      </c>
      <c r="I1648" s="336">
        <v>6.2281382751371676E-3</v>
      </c>
      <c r="J1648" s="258">
        <f t="shared" si="462"/>
        <v>6.2281382751371676E-3</v>
      </c>
      <c r="K1648" s="249">
        <f t="shared" si="463"/>
        <v>1731.5305531045831</v>
      </c>
      <c r="L1648" s="336">
        <v>0.98302527019129282</v>
      </c>
      <c r="M1648" s="258">
        <f t="shared" si="464"/>
        <v>0.98302527019129282</v>
      </c>
      <c r="N1648" s="251">
        <f t="shared" si="465"/>
        <v>18.929372566882705</v>
      </c>
      <c r="O1648" s="336">
        <v>1.0746591533570014E-2</v>
      </c>
      <c r="P1648" s="258">
        <f t="shared" si="466"/>
        <v>1.0746591533570014E-2</v>
      </c>
      <c r="Q1648" s="354">
        <v>1719.615</v>
      </c>
      <c r="R1648" s="249">
        <f t="shared" si="467"/>
        <v>1761.4303575000001</v>
      </c>
      <c r="S1648" s="355">
        <v>0.1</v>
      </c>
      <c r="T1648" s="355"/>
      <c r="U1648" s="315">
        <f t="shared" si="468"/>
        <v>1937.5733932500002</v>
      </c>
      <c r="V1648" s="315">
        <f t="shared" si="469"/>
        <v>1950</v>
      </c>
      <c r="W1648" s="316">
        <f t="shared" si="470"/>
        <v>0</v>
      </c>
    </row>
    <row r="1649" spans="1:23" x14ac:dyDescent="0.25">
      <c r="A1649" s="204" t="s">
        <v>17305</v>
      </c>
      <c r="B1649" s="351" t="s">
        <v>21361</v>
      </c>
      <c r="C1649" s="352"/>
      <c r="D1649" s="353" t="s">
        <v>5</v>
      </c>
      <c r="E1649" s="249">
        <f t="shared" si="459"/>
        <v>0</v>
      </c>
      <c r="F1649" s="336">
        <v>0</v>
      </c>
      <c r="G1649" s="258">
        <f t="shared" si="460"/>
        <v>0</v>
      </c>
      <c r="H1649" s="249">
        <f t="shared" si="461"/>
        <v>6.3781872052483396E-2</v>
      </c>
      <c r="I1649" s="336">
        <v>5.8779461764536392E-3</v>
      </c>
      <c r="J1649" s="258">
        <f t="shared" si="462"/>
        <v>5.8779461764536392E-3</v>
      </c>
      <c r="K1649" s="249">
        <f t="shared" si="463"/>
        <v>10.677150890511264</v>
      </c>
      <c r="L1649" s="336">
        <v>0.98397422704458959</v>
      </c>
      <c r="M1649" s="258">
        <f t="shared" si="464"/>
        <v>0.98397422704458959</v>
      </c>
      <c r="N1649" s="251">
        <f t="shared" si="465"/>
        <v>0.11005499491408897</v>
      </c>
      <c r="O1649" s="336">
        <v>1.0142338500547455E-2</v>
      </c>
      <c r="P1649" s="258">
        <f t="shared" si="466"/>
        <v>1.0142338500547455E-2</v>
      </c>
      <c r="Q1649" s="354">
        <v>10.593401162790698</v>
      </c>
      <c r="R1649" s="249">
        <f t="shared" si="467"/>
        <v>10.851047311046512</v>
      </c>
      <c r="S1649" s="355">
        <v>0.1</v>
      </c>
      <c r="T1649" s="355"/>
      <c r="U1649" s="315">
        <f t="shared" si="468"/>
        <v>11.936152042151164</v>
      </c>
      <c r="V1649" s="315">
        <f t="shared" si="469"/>
        <v>12</v>
      </c>
      <c r="W1649" s="316">
        <f t="shared" si="470"/>
        <v>0</v>
      </c>
    </row>
    <row r="1650" spans="1:23" x14ac:dyDescent="0.25">
      <c r="A1650" s="204" t="s">
        <v>17306</v>
      </c>
      <c r="B1650" s="351" t="s">
        <v>21362</v>
      </c>
      <c r="C1650" s="352"/>
      <c r="D1650" s="353" t="s">
        <v>14859</v>
      </c>
      <c r="E1650" s="249">
        <f t="shared" si="459"/>
        <v>0</v>
      </c>
      <c r="F1650" s="336">
        <v>0</v>
      </c>
      <c r="G1650" s="258">
        <f t="shared" si="460"/>
        <v>0</v>
      </c>
      <c r="H1650" s="249">
        <f t="shared" si="461"/>
        <v>10.970542212585721</v>
      </c>
      <c r="I1650" s="336">
        <v>5.8779461764536392E-3</v>
      </c>
      <c r="J1650" s="258">
        <f t="shared" si="462"/>
        <v>5.8779461764536392E-3</v>
      </c>
      <c r="K1650" s="249">
        <f t="shared" si="463"/>
        <v>1836.4902772539333</v>
      </c>
      <c r="L1650" s="336">
        <v>0.98397971532299888</v>
      </c>
      <c r="M1650" s="258">
        <f t="shared" si="464"/>
        <v>0.98397971532299888</v>
      </c>
      <c r="N1650" s="251">
        <f t="shared" si="465"/>
        <v>18.929563033481244</v>
      </c>
      <c r="O1650" s="336">
        <v>1.0142338500547455E-2</v>
      </c>
      <c r="P1650" s="258">
        <f t="shared" si="466"/>
        <v>1.0142338500547455E-2</v>
      </c>
      <c r="Q1650" s="354">
        <v>1822.0650000000001</v>
      </c>
      <c r="R1650" s="249">
        <f t="shared" si="467"/>
        <v>1866.3903825000002</v>
      </c>
      <c r="S1650" s="355">
        <v>0.1</v>
      </c>
      <c r="T1650" s="355"/>
      <c r="U1650" s="315">
        <f t="shared" si="468"/>
        <v>2053.0294207500001</v>
      </c>
      <c r="V1650" s="315">
        <f t="shared" si="469"/>
        <v>2075</v>
      </c>
      <c r="W1650" s="316">
        <f t="shared" si="470"/>
        <v>0</v>
      </c>
    </row>
    <row r="1651" spans="1:23" x14ac:dyDescent="0.25">
      <c r="A1651" s="204" t="s">
        <v>17307</v>
      </c>
      <c r="B1651" s="351" t="s">
        <v>21363</v>
      </c>
      <c r="C1651" s="352"/>
      <c r="D1651" s="353" t="s">
        <v>5</v>
      </c>
      <c r="E1651" s="249">
        <f t="shared" si="459"/>
        <v>0</v>
      </c>
      <c r="F1651" s="336">
        <v>0</v>
      </c>
      <c r="G1651" s="258">
        <f t="shared" si="460"/>
        <v>0</v>
      </c>
      <c r="H1651" s="249">
        <f t="shared" si="461"/>
        <v>6.3782026227465705E-2</v>
      </c>
      <c r="I1651" s="336">
        <v>5.7964661040684866E-3</v>
      </c>
      <c r="J1651" s="258">
        <f t="shared" si="462"/>
        <v>5.7964661040684866E-3</v>
      </c>
      <c r="K1651" s="249">
        <f t="shared" si="463"/>
        <v>10.829708646036998</v>
      </c>
      <c r="L1651" s="336">
        <v>0.98419637626154999</v>
      </c>
      <c r="M1651" s="258">
        <f t="shared" si="464"/>
        <v>0.98419637626154999</v>
      </c>
      <c r="N1651" s="251">
        <f t="shared" si="465"/>
        <v>0.11005526094150943</v>
      </c>
      <c r="O1651" s="336">
        <v>1.0001745434471113E-2</v>
      </c>
      <c r="P1651" s="258">
        <f t="shared" si="466"/>
        <v>1.0001745434471113E-2</v>
      </c>
      <c r="Q1651" s="354">
        <v>10.742311046511627</v>
      </c>
      <c r="R1651" s="249">
        <f t="shared" si="467"/>
        <v>11.003605486918604</v>
      </c>
      <c r="S1651" s="355">
        <v>0.1</v>
      </c>
      <c r="T1651" s="355"/>
      <c r="U1651" s="315">
        <f t="shared" si="468"/>
        <v>12.103966035610464</v>
      </c>
      <c r="V1651" s="315">
        <f t="shared" si="469"/>
        <v>13</v>
      </c>
      <c r="W1651" s="316">
        <f t="shared" si="470"/>
        <v>0</v>
      </c>
    </row>
    <row r="1652" spans="1:23" x14ac:dyDescent="0.25">
      <c r="A1652" s="204" t="s">
        <v>17308</v>
      </c>
      <c r="B1652" s="351" t="s">
        <v>21364</v>
      </c>
      <c r="C1652" s="352"/>
      <c r="D1652" s="353" t="s">
        <v>14859</v>
      </c>
      <c r="E1652" s="249">
        <f t="shared" si="459"/>
        <v>0</v>
      </c>
      <c r="F1652" s="336">
        <v>0</v>
      </c>
      <c r="G1652" s="258">
        <f t="shared" si="460"/>
        <v>0</v>
      </c>
      <c r="H1652" s="249">
        <f t="shared" si="461"/>
        <v>10.970567895919338</v>
      </c>
      <c r="I1652" s="336">
        <v>5.7964661040684866E-3</v>
      </c>
      <c r="J1652" s="258">
        <f t="shared" si="462"/>
        <v>5.7964661040684866E-3</v>
      </c>
      <c r="K1652" s="249">
        <f t="shared" si="463"/>
        <v>1862.7302135042589</v>
      </c>
      <c r="L1652" s="336">
        <v>0.98420178846146034</v>
      </c>
      <c r="M1652" s="258">
        <f t="shared" si="464"/>
        <v>0.98420178846146034</v>
      </c>
      <c r="N1652" s="251">
        <f t="shared" si="465"/>
        <v>18.929607349821602</v>
      </c>
      <c r="O1652" s="336">
        <v>1.0001745434471113E-2</v>
      </c>
      <c r="P1652" s="258">
        <f t="shared" si="466"/>
        <v>1.0001745434471113E-2</v>
      </c>
      <c r="Q1652" s="354">
        <v>1847.6775</v>
      </c>
      <c r="R1652" s="249">
        <f t="shared" si="467"/>
        <v>1892.6303887500001</v>
      </c>
      <c r="S1652" s="355">
        <v>0.1</v>
      </c>
      <c r="T1652" s="355"/>
      <c r="U1652" s="315">
        <f t="shared" si="468"/>
        <v>2081.8934276250002</v>
      </c>
      <c r="V1652" s="315">
        <f t="shared" si="469"/>
        <v>2100</v>
      </c>
      <c r="W1652" s="316">
        <f t="shared" si="470"/>
        <v>0</v>
      </c>
    </row>
    <row r="1653" spans="1:23" x14ac:dyDescent="0.25">
      <c r="A1653" s="204" t="s">
        <v>17309</v>
      </c>
      <c r="B1653" s="351" t="s">
        <v>21365</v>
      </c>
      <c r="C1653" s="352"/>
      <c r="D1653" s="353" t="s">
        <v>5</v>
      </c>
      <c r="E1653" s="249">
        <f t="shared" si="459"/>
        <v>0</v>
      </c>
      <c r="F1653" s="336">
        <v>0</v>
      </c>
      <c r="G1653" s="258">
        <f t="shared" si="460"/>
        <v>0</v>
      </c>
      <c r="H1653" s="249">
        <f t="shared" si="461"/>
        <v>6.3782602429461016E-2</v>
      </c>
      <c r="I1653" s="336">
        <v>5.4919486033605499E-3</v>
      </c>
      <c r="J1653" s="258">
        <f t="shared" si="462"/>
        <v>5.4919486033605499E-3</v>
      </c>
      <c r="K1653" s="249">
        <f t="shared" si="463"/>
        <v>11.439939778554479</v>
      </c>
      <c r="L1653" s="336">
        <v>0.98502662005432984</v>
      </c>
      <c r="M1653" s="258">
        <f t="shared" si="464"/>
        <v>0.98502662005432984</v>
      </c>
      <c r="N1653" s="251">
        <f t="shared" si="465"/>
        <v>0.11005625517240331</v>
      </c>
      <c r="O1653" s="336">
        <v>9.4763034724652615E-3</v>
      </c>
      <c r="P1653" s="258">
        <f t="shared" si="466"/>
        <v>9.4763034724652615E-3</v>
      </c>
      <c r="Q1653" s="354">
        <v>11.337950581395349</v>
      </c>
      <c r="R1653" s="249">
        <f t="shared" si="467"/>
        <v>11.613838190406977</v>
      </c>
      <c r="S1653" s="355">
        <v>0.1</v>
      </c>
      <c r="T1653" s="355"/>
      <c r="U1653" s="315">
        <f t="shared" si="468"/>
        <v>12.775222009447674</v>
      </c>
      <c r="V1653" s="315">
        <f t="shared" si="469"/>
        <v>13</v>
      </c>
      <c r="W1653" s="316">
        <f t="shared" si="470"/>
        <v>0</v>
      </c>
    </row>
    <row r="1654" spans="1:23" x14ac:dyDescent="0.25">
      <c r="A1654" s="204" t="s">
        <v>17310</v>
      </c>
      <c r="B1654" s="351" t="s">
        <v>21366</v>
      </c>
      <c r="C1654" s="352"/>
      <c r="D1654" s="353" t="s">
        <v>14859</v>
      </c>
      <c r="E1654" s="249">
        <f t="shared" si="459"/>
        <v>0</v>
      </c>
      <c r="F1654" s="336">
        <v>0</v>
      </c>
      <c r="G1654" s="258">
        <f t="shared" si="460"/>
        <v>0</v>
      </c>
      <c r="H1654" s="249">
        <f t="shared" si="461"/>
        <v>10.970663882880736</v>
      </c>
      <c r="I1654" s="336">
        <v>5.4919486033605499E-3</v>
      </c>
      <c r="J1654" s="258">
        <f t="shared" si="462"/>
        <v>5.4919486033605499E-3</v>
      </c>
      <c r="K1654" s="249">
        <f t="shared" si="463"/>
        <v>1967.6899768927369</v>
      </c>
      <c r="L1654" s="336">
        <v>0.98503174792417414</v>
      </c>
      <c r="M1654" s="258">
        <f t="shared" si="464"/>
        <v>0.98503174792417414</v>
      </c>
      <c r="N1654" s="251">
        <f t="shared" si="465"/>
        <v>18.929772974382445</v>
      </c>
      <c r="O1654" s="336">
        <v>9.4763034724652615E-3</v>
      </c>
      <c r="P1654" s="258">
        <f t="shared" si="466"/>
        <v>9.4763034724652615E-3</v>
      </c>
      <c r="Q1654" s="354">
        <v>1950.1275000000001</v>
      </c>
      <c r="R1654" s="249">
        <f t="shared" si="467"/>
        <v>1997.5904137500002</v>
      </c>
      <c r="S1654" s="355">
        <v>0.1</v>
      </c>
      <c r="T1654" s="355"/>
      <c r="U1654" s="315">
        <f t="shared" si="468"/>
        <v>2197.3494551250001</v>
      </c>
      <c r="V1654" s="315">
        <f t="shared" si="469"/>
        <v>2200</v>
      </c>
      <c r="W1654" s="316">
        <f t="shared" si="470"/>
        <v>0</v>
      </c>
    </row>
    <row r="1655" spans="1:23" x14ac:dyDescent="0.25">
      <c r="A1655" s="203" t="s">
        <v>17311</v>
      </c>
      <c r="B1655" s="345" t="s">
        <v>17312</v>
      </c>
      <c r="C1655" s="346"/>
      <c r="D1655" s="347"/>
      <c r="E1655" s="347"/>
      <c r="F1655" s="347"/>
      <c r="G1655" s="347"/>
      <c r="H1655" s="347"/>
      <c r="I1655" s="347"/>
      <c r="J1655" s="347"/>
      <c r="K1655" s="347"/>
      <c r="L1655" s="347"/>
      <c r="M1655" s="347"/>
      <c r="N1655" s="347"/>
      <c r="O1655" s="347"/>
      <c r="P1655" s="347"/>
      <c r="Q1655" s="347"/>
      <c r="R1655" s="347"/>
      <c r="S1655" s="347"/>
      <c r="T1655" s="348"/>
      <c r="U1655" s="349"/>
      <c r="V1655" s="349"/>
      <c r="W1655" s="350"/>
    </row>
    <row r="1656" spans="1:23" x14ac:dyDescent="0.25">
      <c r="A1656" s="204" t="s">
        <v>17313</v>
      </c>
      <c r="B1656" s="351" t="s">
        <v>21367</v>
      </c>
      <c r="C1656" s="352"/>
      <c r="D1656" s="353" t="s">
        <v>14859</v>
      </c>
      <c r="E1656" s="249">
        <f t="shared" si="459"/>
        <v>0</v>
      </c>
      <c r="F1656" s="336">
        <v>0</v>
      </c>
      <c r="G1656" s="258">
        <f t="shared" si="460"/>
        <v>0</v>
      </c>
      <c r="H1656" s="249">
        <f t="shared" si="461"/>
        <v>10.945272482254547</v>
      </c>
      <c r="I1656" s="336">
        <v>8.6045867026597098E-2</v>
      </c>
      <c r="J1656" s="258">
        <f t="shared" si="462"/>
        <v>8.6045867026597098E-2</v>
      </c>
      <c r="K1656" s="249">
        <f t="shared" si="463"/>
        <v>97.371535406208181</v>
      </c>
      <c r="L1656" s="336">
        <v>0.76548283300594122</v>
      </c>
      <c r="M1656" s="258">
        <f t="shared" si="464"/>
        <v>0.76548283300594122</v>
      </c>
      <c r="N1656" s="251">
        <f t="shared" si="465"/>
        <v>18.885960361537254</v>
      </c>
      <c r="O1656" s="336">
        <v>0.14847129996746164</v>
      </c>
      <c r="P1656" s="258">
        <f t="shared" si="466"/>
        <v>0.14847129996746164</v>
      </c>
      <c r="Q1656" s="354">
        <v>124.46850000000001</v>
      </c>
      <c r="R1656" s="249">
        <f t="shared" si="467"/>
        <v>127.20276824999999</v>
      </c>
      <c r="S1656" s="355">
        <v>0.1</v>
      </c>
      <c r="T1656" s="355"/>
      <c r="U1656" s="315">
        <f t="shared" si="468"/>
        <v>139.923045075</v>
      </c>
      <c r="V1656" s="315">
        <f t="shared" si="469"/>
        <v>140</v>
      </c>
      <c r="W1656" s="316">
        <f t="shared" ref="W1656:W1714" si="471">C1656*V1656</f>
        <v>0</v>
      </c>
    </row>
    <row r="1657" spans="1:23" x14ac:dyDescent="0.25">
      <c r="A1657" s="204" t="s">
        <v>17314</v>
      </c>
      <c r="B1657" s="351" t="s">
        <v>21368</v>
      </c>
      <c r="C1657" s="352"/>
      <c r="D1657" s="353" t="s">
        <v>5</v>
      </c>
      <c r="E1657" s="249">
        <f t="shared" si="459"/>
        <v>0</v>
      </c>
      <c r="F1657" s="336">
        <v>0</v>
      </c>
      <c r="G1657" s="258">
        <f t="shared" si="460"/>
        <v>0</v>
      </c>
      <c r="H1657" s="249">
        <f t="shared" si="461"/>
        <v>6.3630179897365441E-2</v>
      </c>
      <c r="I1657" s="336">
        <v>8.6045867026597098E-2</v>
      </c>
      <c r="J1657" s="258">
        <f t="shared" si="462"/>
        <v>8.6045867026597098E-2</v>
      </c>
      <c r="K1657" s="249">
        <f t="shared" si="463"/>
        <v>0.56600857082653211</v>
      </c>
      <c r="L1657" s="336">
        <v>0.76540249139340466</v>
      </c>
      <c r="M1657" s="258">
        <f t="shared" si="464"/>
        <v>0.76540249139340466</v>
      </c>
      <c r="N1657" s="251">
        <f t="shared" si="465"/>
        <v>0.10979325158761095</v>
      </c>
      <c r="O1657" s="336">
        <v>0.14847129996746164</v>
      </c>
      <c r="P1657" s="258">
        <f t="shared" si="466"/>
        <v>0.14847129996746164</v>
      </c>
      <c r="Q1657" s="354">
        <v>0.72365406976744184</v>
      </c>
      <c r="R1657" s="249">
        <f t="shared" si="467"/>
        <v>0.73949141424418585</v>
      </c>
      <c r="S1657" s="355">
        <v>0.1</v>
      </c>
      <c r="T1657" s="355"/>
      <c r="U1657" s="315">
        <f t="shared" si="468"/>
        <v>0.8134405556686044</v>
      </c>
      <c r="V1657" s="315">
        <f t="shared" si="469"/>
        <v>1</v>
      </c>
      <c r="W1657" s="316">
        <f t="shared" si="471"/>
        <v>0</v>
      </c>
    </row>
    <row r="1658" spans="1:23" x14ac:dyDescent="0.25">
      <c r="A1658" s="204" t="s">
        <v>17315</v>
      </c>
      <c r="B1658" s="351" t="s">
        <v>21369</v>
      </c>
      <c r="C1658" s="352"/>
      <c r="D1658" s="353" t="s">
        <v>14859</v>
      </c>
      <c r="E1658" s="249">
        <f t="shared" si="459"/>
        <v>0</v>
      </c>
      <c r="F1658" s="336">
        <v>0</v>
      </c>
      <c r="G1658" s="258">
        <f t="shared" si="460"/>
        <v>0</v>
      </c>
      <c r="H1658" s="249">
        <f t="shared" si="461"/>
        <v>10.955365001891719</v>
      </c>
      <c r="I1658" s="336">
        <v>5.4027467746207113E-2</v>
      </c>
      <c r="J1658" s="258">
        <f t="shared" si="462"/>
        <v>5.4027467746207113E-2</v>
      </c>
      <c r="K1658" s="249">
        <f t="shared" si="463"/>
        <v>172.91524634288334</v>
      </c>
      <c r="L1658" s="336">
        <v>0.85274866633876889</v>
      </c>
      <c r="M1658" s="258">
        <f t="shared" si="464"/>
        <v>0.85274866633876889</v>
      </c>
      <c r="N1658" s="251">
        <f t="shared" si="465"/>
        <v>18.903374905224926</v>
      </c>
      <c r="O1658" s="336">
        <v>9.3223865915024032E-2</v>
      </c>
      <c r="P1658" s="258">
        <f t="shared" si="466"/>
        <v>9.3223865915024032E-2</v>
      </c>
      <c r="Q1658" s="354">
        <v>198.23249999999999</v>
      </c>
      <c r="R1658" s="249">
        <f t="shared" si="467"/>
        <v>202.77398624999998</v>
      </c>
      <c r="S1658" s="355">
        <v>0.1</v>
      </c>
      <c r="T1658" s="355"/>
      <c r="U1658" s="315">
        <f t="shared" si="468"/>
        <v>223.05138487499997</v>
      </c>
      <c r="V1658" s="315">
        <f t="shared" si="469"/>
        <v>225</v>
      </c>
      <c r="W1658" s="316">
        <f t="shared" si="471"/>
        <v>0</v>
      </c>
    </row>
    <row r="1659" spans="1:23" x14ac:dyDescent="0.25">
      <c r="A1659" s="204" t="s">
        <v>17316</v>
      </c>
      <c r="B1659" s="351" t="s">
        <v>21370</v>
      </c>
      <c r="C1659" s="352"/>
      <c r="D1659" s="353" t="s">
        <v>5</v>
      </c>
      <c r="E1659" s="249">
        <f t="shared" si="459"/>
        <v>0</v>
      </c>
      <c r="F1659" s="336">
        <v>0</v>
      </c>
      <c r="G1659" s="258">
        <f t="shared" si="460"/>
        <v>0</v>
      </c>
      <c r="H1659" s="249">
        <f t="shared" si="461"/>
        <v>6.369076447956197E-2</v>
      </c>
      <c r="I1659" s="336">
        <v>5.4027467746207113E-2</v>
      </c>
      <c r="J1659" s="258">
        <f t="shared" si="462"/>
        <v>5.4027467746207113E-2</v>
      </c>
      <c r="K1659" s="249">
        <f t="shared" si="463"/>
        <v>1.0052109380851129</v>
      </c>
      <c r="L1659" s="336">
        <v>0.85269822052387978</v>
      </c>
      <c r="M1659" s="258">
        <f t="shared" si="464"/>
        <v>0.85269822052387978</v>
      </c>
      <c r="N1659" s="251">
        <f t="shared" si="465"/>
        <v>0.10989778969022458</v>
      </c>
      <c r="O1659" s="336">
        <v>9.3223865915024032E-2</v>
      </c>
      <c r="P1659" s="258">
        <f t="shared" si="466"/>
        <v>9.3223865915024032E-2</v>
      </c>
      <c r="Q1659" s="354">
        <v>1.1525145348837209</v>
      </c>
      <c r="R1659" s="249">
        <f t="shared" si="467"/>
        <v>1.178858960755814</v>
      </c>
      <c r="S1659" s="355">
        <v>0.1</v>
      </c>
      <c r="T1659" s="355"/>
      <c r="U1659" s="315">
        <f t="shared" si="468"/>
        <v>1.2967448568313953</v>
      </c>
      <c r="V1659" s="315">
        <f t="shared" si="469"/>
        <v>2</v>
      </c>
      <c r="W1659" s="316">
        <f t="shared" si="471"/>
        <v>0</v>
      </c>
    </row>
    <row r="1660" spans="1:23" x14ac:dyDescent="0.25">
      <c r="A1660" s="204" t="s">
        <v>17317</v>
      </c>
      <c r="B1660" s="351" t="s">
        <v>21371</v>
      </c>
      <c r="C1660" s="352"/>
      <c r="D1660" s="353" t="s">
        <v>14859</v>
      </c>
      <c r="E1660" s="249">
        <f t="shared" si="459"/>
        <v>0</v>
      </c>
      <c r="F1660" s="336">
        <v>0</v>
      </c>
      <c r="G1660" s="258">
        <f t="shared" si="460"/>
        <v>0</v>
      </c>
      <c r="H1660" s="249">
        <f t="shared" si="461"/>
        <v>10.963428361354916</v>
      </c>
      <c r="I1660" s="336">
        <v>2.8446555138109224E-2</v>
      </c>
      <c r="J1660" s="258">
        <f t="shared" si="462"/>
        <v>2.8446555138109224E-2</v>
      </c>
      <c r="K1660" s="249">
        <f t="shared" si="463"/>
        <v>355.52371323571896</v>
      </c>
      <c r="L1660" s="336">
        <v>0.92246919285887885</v>
      </c>
      <c r="M1660" s="258">
        <f t="shared" si="464"/>
        <v>0.92246919285887885</v>
      </c>
      <c r="N1660" s="251">
        <f t="shared" si="465"/>
        <v>18.91728815292613</v>
      </c>
      <c r="O1660" s="336">
        <v>4.9084252003011988E-2</v>
      </c>
      <c r="P1660" s="258">
        <f t="shared" si="466"/>
        <v>4.9084252003011988E-2</v>
      </c>
      <c r="Q1660" s="354">
        <v>376.49549999999999</v>
      </c>
      <c r="R1660" s="249">
        <f t="shared" si="467"/>
        <v>385.40442974999996</v>
      </c>
      <c r="S1660" s="355">
        <v>0.1</v>
      </c>
      <c r="T1660" s="355"/>
      <c r="U1660" s="315">
        <f t="shared" si="468"/>
        <v>423.94487272499998</v>
      </c>
      <c r="V1660" s="315">
        <f t="shared" si="469"/>
        <v>425</v>
      </c>
      <c r="W1660" s="316">
        <f t="shared" si="471"/>
        <v>0</v>
      </c>
    </row>
    <row r="1661" spans="1:23" x14ac:dyDescent="0.25">
      <c r="A1661" s="204" t="s">
        <v>17318</v>
      </c>
      <c r="B1661" s="351" t="s">
        <v>21372</v>
      </c>
      <c r="C1661" s="352"/>
      <c r="D1661" s="353" t="s">
        <v>5</v>
      </c>
      <c r="E1661" s="249">
        <f t="shared" si="459"/>
        <v>0</v>
      </c>
      <c r="F1661" s="336">
        <v>0</v>
      </c>
      <c r="G1661" s="258">
        <f t="shared" si="460"/>
        <v>0</v>
      </c>
      <c r="H1661" s="249">
        <f t="shared" si="461"/>
        <v>6.3739168176729796E-2</v>
      </c>
      <c r="I1661" s="336">
        <v>2.8446555138109224E-2</v>
      </c>
      <c r="J1661" s="258">
        <f t="shared" si="462"/>
        <v>2.8446555138109224E-2</v>
      </c>
      <c r="K1661" s="249">
        <f t="shared" si="463"/>
        <v>2.0668838731579329</v>
      </c>
      <c r="L1661" s="336">
        <v>0.92244263211645283</v>
      </c>
      <c r="M1661" s="258">
        <f t="shared" si="464"/>
        <v>0.92244263211645283</v>
      </c>
      <c r="N1661" s="251">
        <f t="shared" si="465"/>
        <v>0.1099813097951416</v>
      </c>
      <c r="O1661" s="336">
        <v>4.9084252003011988E-2</v>
      </c>
      <c r="P1661" s="258">
        <f t="shared" si="466"/>
        <v>4.9084252003011988E-2</v>
      </c>
      <c r="Q1661" s="354">
        <v>2.1889273255813952</v>
      </c>
      <c r="R1661" s="249">
        <f t="shared" si="467"/>
        <v>2.240663864825581</v>
      </c>
      <c r="S1661" s="355">
        <v>0.1</v>
      </c>
      <c r="T1661" s="355"/>
      <c r="U1661" s="315">
        <f t="shared" si="468"/>
        <v>2.4647302513081391</v>
      </c>
      <c r="V1661" s="315">
        <f t="shared" si="469"/>
        <v>3</v>
      </c>
      <c r="W1661" s="316">
        <f t="shared" si="471"/>
        <v>0</v>
      </c>
    </row>
    <row r="1662" spans="1:23" x14ac:dyDescent="0.25">
      <c r="A1662" s="203" t="s">
        <v>17319</v>
      </c>
      <c r="B1662" s="345" t="s">
        <v>17320</v>
      </c>
      <c r="C1662" s="346"/>
      <c r="D1662" s="347"/>
      <c r="E1662" s="347"/>
      <c r="F1662" s="347"/>
      <c r="G1662" s="347"/>
      <c r="H1662" s="347"/>
      <c r="I1662" s="347"/>
      <c r="J1662" s="347"/>
      <c r="K1662" s="347"/>
      <c r="L1662" s="347"/>
      <c r="M1662" s="347"/>
      <c r="N1662" s="347"/>
      <c r="O1662" s="347"/>
      <c r="P1662" s="347"/>
      <c r="Q1662" s="347"/>
      <c r="R1662" s="347"/>
      <c r="S1662" s="347"/>
      <c r="T1662" s="348"/>
      <c r="U1662" s="349"/>
      <c r="V1662" s="349"/>
      <c r="W1662" s="350"/>
    </row>
    <row r="1663" spans="1:23" x14ac:dyDescent="0.25">
      <c r="A1663" s="204" t="s">
        <v>17321</v>
      </c>
      <c r="B1663" s="351" t="s">
        <v>21373</v>
      </c>
      <c r="C1663" s="352"/>
      <c r="D1663" s="353" t="s">
        <v>5</v>
      </c>
      <c r="E1663" s="249">
        <f t="shared" si="459"/>
        <v>0</v>
      </c>
      <c r="F1663" s="336">
        <v>0</v>
      </c>
      <c r="G1663" s="258">
        <f t="shared" si="460"/>
        <v>0</v>
      </c>
      <c r="H1663" s="249">
        <f t="shared" si="461"/>
        <v>6.3746395834523156E-2</v>
      </c>
      <c r="I1663" s="336">
        <v>2.4626803896139731E-2</v>
      </c>
      <c r="J1663" s="258">
        <f t="shared" si="462"/>
        <v>2.4626803896139731E-2</v>
      </c>
      <c r="K1663" s="249">
        <f t="shared" si="463"/>
        <v>2.4146968084873355</v>
      </c>
      <c r="L1663" s="336">
        <v>0.93285689320566934</v>
      </c>
      <c r="M1663" s="258">
        <f t="shared" si="464"/>
        <v>0.93285689320566934</v>
      </c>
      <c r="N1663" s="251">
        <f t="shared" si="465"/>
        <v>0.10999378104780465</v>
      </c>
      <c r="O1663" s="336">
        <v>4.2493308683535222E-2</v>
      </c>
      <c r="P1663" s="258">
        <f t="shared" si="466"/>
        <v>4.2493308683535222E-2</v>
      </c>
      <c r="Q1663" s="354">
        <v>2.5284418604651164</v>
      </c>
      <c r="R1663" s="249">
        <f t="shared" si="467"/>
        <v>2.5884965058139535</v>
      </c>
      <c r="S1663" s="355">
        <v>0.1</v>
      </c>
      <c r="T1663" s="355"/>
      <c r="U1663" s="315">
        <f t="shared" si="468"/>
        <v>2.847346156395349</v>
      </c>
      <c r="V1663" s="315">
        <f t="shared" si="469"/>
        <v>3</v>
      </c>
      <c r="W1663" s="316">
        <f t="shared" si="471"/>
        <v>0</v>
      </c>
    </row>
    <row r="1664" spans="1:23" x14ac:dyDescent="0.25">
      <c r="A1664" s="204" t="s">
        <v>17322</v>
      </c>
      <c r="B1664" s="351" t="s">
        <v>21374</v>
      </c>
      <c r="C1664" s="352"/>
      <c r="D1664" s="353" t="s">
        <v>14859</v>
      </c>
      <c r="E1664" s="249">
        <f t="shared" si="459"/>
        <v>0</v>
      </c>
      <c r="F1664" s="336">
        <v>0</v>
      </c>
      <c r="G1664" s="258">
        <f t="shared" si="460"/>
        <v>0</v>
      </c>
      <c r="H1664" s="249">
        <f t="shared" si="461"/>
        <v>10.964632385143899</v>
      </c>
      <c r="I1664" s="336">
        <v>2.4626803896139735E-2</v>
      </c>
      <c r="J1664" s="258">
        <f t="shared" si="462"/>
        <v>2.4626803896139735E-2</v>
      </c>
      <c r="K1664" s="249">
        <f t="shared" si="463"/>
        <v>415.34764593068621</v>
      </c>
      <c r="L1664" s="336">
        <v>0.93287988742032502</v>
      </c>
      <c r="M1664" s="258">
        <f t="shared" si="464"/>
        <v>0.93287988742032502</v>
      </c>
      <c r="N1664" s="251">
        <f t="shared" si="465"/>
        <v>18.919365684169861</v>
      </c>
      <c r="O1664" s="336">
        <v>4.2493308683535222E-2</v>
      </c>
      <c r="P1664" s="258">
        <f t="shared" si="466"/>
        <v>4.2493308683535222E-2</v>
      </c>
      <c r="Q1664" s="354">
        <v>434.892</v>
      </c>
      <c r="R1664" s="249">
        <f t="shared" si="467"/>
        <v>445.23164399999996</v>
      </c>
      <c r="S1664" s="355">
        <v>0.1</v>
      </c>
      <c r="T1664" s="355"/>
      <c r="U1664" s="315">
        <f t="shared" si="468"/>
        <v>489.75480839999994</v>
      </c>
      <c r="V1664" s="315">
        <f t="shared" si="469"/>
        <v>490</v>
      </c>
      <c r="W1664" s="316">
        <f t="shared" si="471"/>
        <v>0</v>
      </c>
    </row>
    <row r="1665" spans="1:23" x14ac:dyDescent="0.25">
      <c r="A1665" s="204" t="s">
        <v>17323</v>
      </c>
      <c r="B1665" s="351" t="s">
        <v>21375</v>
      </c>
      <c r="C1665" s="352"/>
      <c r="D1665" s="353" t="s">
        <v>5</v>
      </c>
      <c r="E1665" s="249">
        <f t="shared" si="459"/>
        <v>0</v>
      </c>
      <c r="F1665" s="336">
        <v>0</v>
      </c>
      <c r="G1665" s="258">
        <f t="shared" si="460"/>
        <v>0</v>
      </c>
      <c r="H1665" s="249">
        <f t="shared" si="461"/>
        <v>6.3778788987217741E-2</v>
      </c>
      <c r="I1665" s="336">
        <v>7.5073180579388332E-3</v>
      </c>
      <c r="J1665" s="258">
        <f t="shared" si="462"/>
        <v>7.5073180579388332E-3</v>
      </c>
      <c r="K1665" s="249">
        <f t="shared" si="463"/>
        <v>8.3216610607889763</v>
      </c>
      <c r="L1665" s="336">
        <v>0.97953186860020391</v>
      </c>
      <c r="M1665" s="258">
        <f t="shared" si="464"/>
        <v>0.97953186860020391</v>
      </c>
      <c r="N1665" s="251">
        <f t="shared" si="465"/>
        <v>0.11004967511519924</v>
      </c>
      <c r="O1665" s="336">
        <v>1.2953803707816024E-2</v>
      </c>
      <c r="P1665" s="258">
        <f t="shared" si="466"/>
        <v>1.2953803707816024E-2</v>
      </c>
      <c r="Q1665" s="354">
        <v>8.2942325581395338</v>
      </c>
      <c r="R1665" s="249">
        <f t="shared" si="467"/>
        <v>8.4955490755813923</v>
      </c>
      <c r="S1665" s="355">
        <v>0.1</v>
      </c>
      <c r="T1665" s="355"/>
      <c r="U1665" s="315">
        <f t="shared" si="468"/>
        <v>9.3451039831395306</v>
      </c>
      <c r="V1665" s="315">
        <f t="shared" si="469"/>
        <v>10</v>
      </c>
      <c r="W1665" s="316">
        <f t="shared" si="471"/>
        <v>0</v>
      </c>
    </row>
    <row r="1666" spans="1:23" ht="14.4" thickBot="1" x14ac:dyDescent="0.3">
      <c r="A1666" s="356" t="s">
        <v>17324</v>
      </c>
      <c r="B1666" s="357" t="s">
        <v>21376</v>
      </c>
      <c r="C1666" s="358"/>
      <c r="D1666" s="359" t="s">
        <v>14859</v>
      </c>
      <c r="E1666" s="266">
        <f t="shared" ref="E1666:E1729" si="472">R1666*G1666</f>
        <v>0</v>
      </c>
      <c r="F1666" s="360">
        <v>0</v>
      </c>
      <c r="G1666" s="322">
        <f t="shared" ref="G1666:G1729" si="473">F1666</f>
        <v>0</v>
      </c>
      <c r="H1666" s="266">
        <f t="shared" ref="H1666:H1729" si="474">R1666*J1666</f>
        <v>10.970028618274959</v>
      </c>
      <c r="I1666" s="360">
        <v>7.5073180579388324E-3</v>
      </c>
      <c r="J1666" s="322">
        <f t="shared" ref="J1666:J1729" si="475">I1666</f>
        <v>7.5073180579388324E-3</v>
      </c>
      <c r="K1666" s="266">
        <f t="shared" ref="K1666:K1729" si="476">R1666*M1666</f>
        <v>1431.3459805501918</v>
      </c>
      <c r="L1666" s="360">
        <v>0.97953887823424513</v>
      </c>
      <c r="M1666" s="322">
        <f t="shared" ref="M1666:M1729" si="477">L1666</f>
        <v>0.97953887823424513</v>
      </c>
      <c r="N1666" s="270">
        <f t="shared" ref="N1666:N1729" si="478">P1666*R1666</f>
        <v>18.928676831533259</v>
      </c>
      <c r="O1666" s="360">
        <v>1.2953803707816023E-2</v>
      </c>
      <c r="P1666" s="322">
        <f t="shared" ref="P1666:P1729" si="479">O1666</f>
        <v>1.2953803707816023E-2</v>
      </c>
      <c r="Q1666" s="361">
        <v>1426.6079999999999</v>
      </c>
      <c r="R1666" s="266">
        <f t="shared" ref="R1666:R1729" si="480">SUM(F1666*Q1666*1.0235,I1666*Q1666*1.0175,L1666*Q1666*1.0245,O1666*Q1666*1.0115)</f>
        <v>1461.244686</v>
      </c>
      <c r="S1666" s="362">
        <v>0.1</v>
      </c>
      <c r="T1666" s="362"/>
      <c r="U1666" s="324">
        <f t="shared" si="468"/>
        <v>1607.3691546</v>
      </c>
      <c r="V1666" s="324">
        <f t="shared" si="469"/>
        <v>1625</v>
      </c>
      <c r="W1666" s="325">
        <f t="shared" si="471"/>
        <v>0</v>
      </c>
    </row>
    <row r="1667" spans="1:23" x14ac:dyDescent="0.25">
      <c r="A1667" s="204" t="s">
        <v>17325</v>
      </c>
      <c r="B1667" s="351" t="s">
        <v>21377</v>
      </c>
      <c r="C1667" s="352"/>
      <c r="D1667" s="353" t="s">
        <v>5</v>
      </c>
      <c r="E1667" s="249">
        <f t="shared" si="472"/>
        <v>0</v>
      </c>
      <c r="F1667" s="336">
        <v>0</v>
      </c>
      <c r="G1667" s="258">
        <f t="shared" si="473"/>
        <v>0</v>
      </c>
      <c r="H1667" s="249">
        <f t="shared" si="474"/>
        <v>6.3781934239699717E-2</v>
      </c>
      <c r="I1667" s="336">
        <v>5.8450807996463482E-3</v>
      </c>
      <c r="J1667" s="258">
        <f t="shared" si="475"/>
        <v>5.8450807996463482E-3</v>
      </c>
      <c r="K1667" s="249">
        <f t="shared" si="476"/>
        <v>10.738173991311385</v>
      </c>
      <c r="L1667" s="336">
        <v>0.98406383199349445</v>
      </c>
      <c r="M1667" s="258">
        <f t="shared" si="477"/>
        <v>0.98406383199349445</v>
      </c>
      <c r="N1667" s="251">
        <f t="shared" si="478"/>
        <v>0.11005510221752106</v>
      </c>
      <c r="O1667" s="336">
        <v>1.0085629615076051E-2</v>
      </c>
      <c r="P1667" s="258">
        <f t="shared" si="479"/>
        <v>1.0085629615076051E-2</v>
      </c>
      <c r="Q1667" s="354">
        <v>10.65296511627907</v>
      </c>
      <c r="R1667" s="249">
        <f t="shared" si="480"/>
        <v>10.912070581395348</v>
      </c>
      <c r="S1667" s="355">
        <v>0.1</v>
      </c>
      <c r="T1667" s="355"/>
      <c r="U1667" s="315">
        <f t="shared" si="468"/>
        <v>12.003277639534883</v>
      </c>
      <c r="V1667" s="315">
        <f t="shared" si="469"/>
        <v>13</v>
      </c>
      <c r="W1667" s="316">
        <f t="shared" si="471"/>
        <v>0</v>
      </c>
    </row>
    <row r="1668" spans="1:23" x14ac:dyDescent="0.25">
      <c r="A1668" s="204" t="s">
        <v>17326</v>
      </c>
      <c r="B1668" s="351" t="s">
        <v>21378</v>
      </c>
      <c r="C1668" s="352"/>
      <c r="D1668" s="353" t="s">
        <v>14859</v>
      </c>
      <c r="E1668" s="249">
        <f t="shared" si="472"/>
        <v>0</v>
      </c>
      <c r="F1668" s="336">
        <v>0</v>
      </c>
      <c r="G1668" s="258">
        <f t="shared" si="473"/>
        <v>0</v>
      </c>
      <c r="H1668" s="249">
        <f t="shared" si="474"/>
        <v>10.970552572081145</v>
      </c>
      <c r="I1668" s="336">
        <v>5.845080799646349E-3</v>
      </c>
      <c r="J1668" s="258">
        <f t="shared" si="475"/>
        <v>5.845080799646349E-3</v>
      </c>
      <c r="K1668" s="249">
        <f t="shared" si="476"/>
        <v>1846.9862515192299</v>
      </c>
      <c r="L1668" s="336">
        <v>0.98406928958527762</v>
      </c>
      <c r="M1668" s="258">
        <f t="shared" si="477"/>
        <v>0.98406928958527762</v>
      </c>
      <c r="N1668" s="251">
        <f t="shared" si="478"/>
        <v>18.929580908689033</v>
      </c>
      <c r="O1668" s="336">
        <v>1.0085629615076051E-2</v>
      </c>
      <c r="P1668" s="258">
        <f t="shared" si="479"/>
        <v>1.0085629615076051E-2</v>
      </c>
      <c r="Q1668" s="354">
        <v>1832.31</v>
      </c>
      <c r="R1668" s="249">
        <f t="shared" si="480"/>
        <v>1876.886385</v>
      </c>
      <c r="S1668" s="355">
        <v>0.1</v>
      </c>
      <c r="T1668" s="355"/>
      <c r="U1668" s="315">
        <f t="shared" si="468"/>
        <v>2064.5750235</v>
      </c>
      <c r="V1668" s="315">
        <f t="shared" si="469"/>
        <v>2075</v>
      </c>
      <c r="W1668" s="316">
        <f t="shared" si="471"/>
        <v>0</v>
      </c>
    </row>
    <row r="1669" spans="1:23" x14ac:dyDescent="0.25">
      <c r="A1669" s="204" t="s">
        <v>17327</v>
      </c>
      <c r="B1669" s="351" t="s">
        <v>21379</v>
      </c>
      <c r="C1669" s="352"/>
      <c r="D1669" s="353" t="s">
        <v>5</v>
      </c>
      <c r="E1669" s="249">
        <f t="shared" si="472"/>
        <v>0</v>
      </c>
      <c r="F1669" s="336">
        <v>0</v>
      </c>
      <c r="G1669" s="258">
        <f t="shared" si="473"/>
        <v>0</v>
      </c>
      <c r="H1669" s="249">
        <f t="shared" si="474"/>
        <v>6.3783051635132634E-2</v>
      </c>
      <c r="I1669" s="336">
        <v>5.2545475017717544E-3</v>
      </c>
      <c r="J1669" s="258">
        <f t="shared" si="475"/>
        <v>5.2545475017717544E-3</v>
      </c>
      <c r="K1669" s="249">
        <f t="shared" si="476"/>
        <v>11.964738678829399</v>
      </c>
      <c r="L1669" s="336">
        <v>0.98567387609227497</v>
      </c>
      <c r="M1669" s="258">
        <f t="shared" si="477"/>
        <v>0.98567387609227497</v>
      </c>
      <c r="N1669" s="251">
        <f t="shared" si="478"/>
        <v>0.1100570302723857</v>
      </c>
      <c r="O1669" s="336">
        <v>9.066670199135575E-3</v>
      </c>
      <c r="P1669" s="258">
        <f t="shared" si="479"/>
        <v>9.066670199135575E-3</v>
      </c>
      <c r="Q1669" s="354">
        <v>11.850200581395349</v>
      </c>
      <c r="R1669" s="249">
        <f t="shared" si="480"/>
        <v>12.138638315406977</v>
      </c>
      <c r="S1669" s="355">
        <v>0.1</v>
      </c>
      <c r="T1669" s="355"/>
      <c r="U1669" s="315">
        <f t="shared" si="468"/>
        <v>13.352502146947675</v>
      </c>
      <c r="V1669" s="315">
        <f t="shared" si="469"/>
        <v>14</v>
      </c>
      <c r="W1669" s="316">
        <f t="shared" si="471"/>
        <v>0</v>
      </c>
    </row>
    <row r="1670" spans="1:23" x14ac:dyDescent="0.25">
      <c r="A1670" s="204" t="s">
        <v>17328</v>
      </c>
      <c r="B1670" s="351" t="s">
        <v>21380</v>
      </c>
      <c r="C1670" s="352"/>
      <c r="D1670" s="353" t="s">
        <v>14859</v>
      </c>
      <c r="E1670" s="249">
        <f t="shared" si="472"/>
        <v>0</v>
      </c>
      <c r="F1670" s="336">
        <v>0</v>
      </c>
      <c r="G1670" s="258">
        <f t="shared" si="473"/>
        <v>0</v>
      </c>
      <c r="H1670" s="249">
        <f t="shared" si="474"/>
        <v>10.970738714081968</v>
      </c>
      <c r="I1670" s="336">
        <v>5.2545475017717544E-3</v>
      </c>
      <c r="J1670" s="258">
        <f t="shared" si="475"/>
        <v>5.2545475017717544E-3</v>
      </c>
      <c r="K1670" s="249">
        <f t="shared" si="476"/>
        <v>2057.9553944410313</v>
      </c>
      <c r="L1670" s="336">
        <v>0.98567878229909267</v>
      </c>
      <c r="M1670" s="258">
        <f t="shared" si="477"/>
        <v>0.98567878229909267</v>
      </c>
      <c r="N1670" s="251">
        <f t="shared" si="478"/>
        <v>18.929902094886529</v>
      </c>
      <c r="O1670" s="336">
        <v>9.066670199135575E-3</v>
      </c>
      <c r="P1670" s="258">
        <f t="shared" si="479"/>
        <v>9.066670199135575E-3</v>
      </c>
      <c r="Q1670" s="354">
        <v>2038.2345</v>
      </c>
      <c r="R1670" s="249">
        <f t="shared" si="480"/>
        <v>2087.8560352499999</v>
      </c>
      <c r="S1670" s="355">
        <v>0.1</v>
      </c>
      <c r="T1670" s="355"/>
      <c r="U1670" s="315">
        <f t="shared" si="468"/>
        <v>2296.641638775</v>
      </c>
      <c r="V1670" s="315">
        <f t="shared" si="469"/>
        <v>2300</v>
      </c>
      <c r="W1670" s="316">
        <f t="shared" si="471"/>
        <v>0</v>
      </c>
    </row>
    <row r="1671" spans="1:23" x14ac:dyDescent="0.25">
      <c r="A1671" s="204" t="s">
        <v>17329</v>
      </c>
      <c r="B1671" s="351" t="s">
        <v>21381</v>
      </c>
      <c r="C1671" s="352"/>
      <c r="D1671" s="353" t="s">
        <v>5</v>
      </c>
      <c r="E1671" s="249">
        <f t="shared" si="472"/>
        <v>0</v>
      </c>
      <c r="F1671" s="336">
        <v>0</v>
      </c>
      <c r="G1671" s="258">
        <f t="shared" si="473"/>
        <v>0</v>
      </c>
      <c r="H1671" s="249">
        <f t="shared" si="474"/>
        <v>6.3784455142773838E-2</v>
      </c>
      <c r="I1671" s="336">
        <v>4.5128065105766533E-3</v>
      </c>
      <c r="J1671" s="258">
        <f t="shared" si="475"/>
        <v>4.5128065105766533E-3</v>
      </c>
      <c r="K1671" s="249">
        <f t="shared" si="476"/>
        <v>13.960195792679594</v>
      </c>
      <c r="L1671" s="336">
        <v>0.98769617646042596</v>
      </c>
      <c r="M1671" s="258">
        <f t="shared" si="477"/>
        <v>0.98769617646042596</v>
      </c>
      <c r="N1671" s="251">
        <f t="shared" si="478"/>
        <v>0.11005945201106074</v>
      </c>
      <c r="O1671" s="336">
        <v>7.7868033907989307E-3</v>
      </c>
      <c r="P1671" s="258">
        <f t="shared" si="479"/>
        <v>7.7868033907989307E-3</v>
      </c>
      <c r="Q1671" s="354">
        <v>13.797941860465118</v>
      </c>
      <c r="R1671" s="249">
        <f t="shared" si="480"/>
        <v>14.134099255813954</v>
      </c>
      <c r="S1671" s="355">
        <v>0.1</v>
      </c>
      <c r="T1671" s="355"/>
      <c r="U1671" s="315">
        <f t="shared" si="468"/>
        <v>15.54750918139535</v>
      </c>
      <c r="V1671" s="315">
        <f t="shared" si="469"/>
        <v>16</v>
      </c>
      <c r="W1671" s="316">
        <f t="shared" si="471"/>
        <v>0</v>
      </c>
    </row>
    <row r="1672" spans="1:23" x14ac:dyDescent="0.25">
      <c r="A1672" s="204" t="s">
        <v>17330</v>
      </c>
      <c r="B1672" s="351" t="s">
        <v>21382</v>
      </c>
      <c r="C1672" s="352"/>
      <c r="D1672" s="353" t="s">
        <v>14859</v>
      </c>
      <c r="E1672" s="249">
        <f t="shared" si="472"/>
        <v>0</v>
      </c>
      <c r="F1672" s="336">
        <v>0</v>
      </c>
      <c r="G1672" s="258">
        <f t="shared" si="473"/>
        <v>0</v>
      </c>
      <c r="H1672" s="249">
        <f t="shared" si="474"/>
        <v>10.970972518259803</v>
      </c>
      <c r="I1672" s="336">
        <v>4.5128065105766533E-3</v>
      </c>
      <c r="J1672" s="258">
        <f t="shared" si="475"/>
        <v>4.5128065105766533E-3</v>
      </c>
      <c r="K1672" s="249">
        <f t="shared" si="476"/>
        <v>2401.1740389600373</v>
      </c>
      <c r="L1672" s="336">
        <v>0.98770039009862443</v>
      </c>
      <c r="M1672" s="258">
        <f t="shared" si="477"/>
        <v>0.98770039009862443</v>
      </c>
      <c r="N1672" s="251">
        <f t="shared" si="478"/>
        <v>18.930305521703186</v>
      </c>
      <c r="O1672" s="336">
        <v>7.7868033907989307E-3</v>
      </c>
      <c r="P1672" s="258">
        <f t="shared" si="479"/>
        <v>7.7868033907989307E-3</v>
      </c>
      <c r="Q1672" s="354">
        <v>2373.2460000000001</v>
      </c>
      <c r="R1672" s="249">
        <f t="shared" si="480"/>
        <v>2431.0753170000003</v>
      </c>
      <c r="S1672" s="355">
        <v>0.1</v>
      </c>
      <c r="T1672" s="355"/>
      <c r="U1672" s="315">
        <f t="shared" si="468"/>
        <v>2674.1828487000002</v>
      </c>
      <c r="V1672" s="315">
        <f t="shared" si="469"/>
        <v>2675</v>
      </c>
      <c r="W1672" s="316">
        <f t="shared" si="471"/>
        <v>0</v>
      </c>
    </row>
    <row r="1673" spans="1:23" x14ac:dyDescent="0.25">
      <c r="A1673" s="204" t="s">
        <v>17331</v>
      </c>
      <c r="B1673" s="351" t="s">
        <v>21383</v>
      </c>
      <c r="C1673" s="352"/>
      <c r="D1673" s="353" t="s">
        <v>5</v>
      </c>
      <c r="E1673" s="249">
        <f t="shared" si="472"/>
        <v>0</v>
      </c>
      <c r="F1673" s="336">
        <v>0</v>
      </c>
      <c r="G1673" s="258">
        <f t="shared" si="473"/>
        <v>0</v>
      </c>
      <c r="H1673" s="249">
        <f t="shared" si="474"/>
        <v>6.3784455142773838E-2</v>
      </c>
      <c r="I1673" s="336">
        <v>4.5128065105766533E-3</v>
      </c>
      <c r="J1673" s="258">
        <f t="shared" si="475"/>
        <v>4.5128065105766533E-3</v>
      </c>
      <c r="K1673" s="249">
        <f t="shared" si="476"/>
        <v>13.960195792679594</v>
      </c>
      <c r="L1673" s="336">
        <v>0.98769617646042596</v>
      </c>
      <c r="M1673" s="258">
        <f t="shared" si="477"/>
        <v>0.98769617646042596</v>
      </c>
      <c r="N1673" s="251">
        <f t="shared" si="478"/>
        <v>0.11005945201106074</v>
      </c>
      <c r="O1673" s="336">
        <v>7.7868033907989307E-3</v>
      </c>
      <c r="P1673" s="258">
        <f t="shared" si="479"/>
        <v>7.7868033907989307E-3</v>
      </c>
      <c r="Q1673" s="354">
        <v>13.797941860465118</v>
      </c>
      <c r="R1673" s="249">
        <f t="shared" si="480"/>
        <v>14.134099255813954</v>
      </c>
      <c r="S1673" s="355">
        <v>0.1</v>
      </c>
      <c r="T1673" s="355"/>
      <c r="U1673" s="315">
        <f t="shared" si="468"/>
        <v>15.54750918139535</v>
      </c>
      <c r="V1673" s="315">
        <f t="shared" si="469"/>
        <v>16</v>
      </c>
      <c r="W1673" s="316">
        <f t="shared" si="471"/>
        <v>0</v>
      </c>
    </row>
    <row r="1674" spans="1:23" x14ac:dyDescent="0.25">
      <c r="A1674" s="204" t="s">
        <v>17332</v>
      </c>
      <c r="B1674" s="351" t="s">
        <v>21384</v>
      </c>
      <c r="C1674" s="352"/>
      <c r="D1674" s="353" t="s">
        <v>14859</v>
      </c>
      <c r="E1674" s="249">
        <f t="shared" si="472"/>
        <v>0</v>
      </c>
      <c r="F1674" s="336">
        <v>0</v>
      </c>
      <c r="G1674" s="258">
        <f t="shared" si="473"/>
        <v>0</v>
      </c>
      <c r="H1674" s="249">
        <f t="shared" si="474"/>
        <v>10.970972518259803</v>
      </c>
      <c r="I1674" s="336">
        <v>4.5128065105766533E-3</v>
      </c>
      <c r="J1674" s="258">
        <f t="shared" si="475"/>
        <v>4.5128065105766533E-3</v>
      </c>
      <c r="K1674" s="249">
        <f t="shared" si="476"/>
        <v>2401.1740389600373</v>
      </c>
      <c r="L1674" s="336">
        <v>0.98770039009862443</v>
      </c>
      <c r="M1674" s="258">
        <f t="shared" si="477"/>
        <v>0.98770039009862443</v>
      </c>
      <c r="N1674" s="251">
        <f t="shared" si="478"/>
        <v>18.930305521703186</v>
      </c>
      <c r="O1674" s="336">
        <v>7.7868033907989307E-3</v>
      </c>
      <c r="P1674" s="258">
        <f t="shared" si="479"/>
        <v>7.7868033907989307E-3</v>
      </c>
      <c r="Q1674" s="354">
        <v>2373.2460000000001</v>
      </c>
      <c r="R1674" s="249">
        <f t="shared" si="480"/>
        <v>2431.0753170000003</v>
      </c>
      <c r="S1674" s="355">
        <v>0.1</v>
      </c>
      <c r="T1674" s="355"/>
      <c r="U1674" s="315">
        <f t="shared" si="468"/>
        <v>2674.1828487000002</v>
      </c>
      <c r="V1674" s="315">
        <f t="shared" si="469"/>
        <v>2675</v>
      </c>
      <c r="W1674" s="316">
        <f t="shared" si="471"/>
        <v>0</v>
      </c>
    </row>
    <row r="1675" spans="1:23" x14ac:dyDescent="0.25">
      <c r="A1675" s="204" t="s">
        <v>17333</v>
      </c>
      <c r="B1675" s="351" t="s">
        <v>21385</v>
      </c>
      <c r="C1675" s="352"/>
      <c r="D1675" s="353" t="s">
        <v>5</v>
      </c>
      <c r="E1675" s="249">
        <f t="shared" si="472"/>
        <v>0</v>
      </c>
      <c r="F1675" s="336">
        <v>0</v>
      </c>
      <c r="G1675" s="258">
        <f t="shared" si="473"/>
        <v>0</v>
      </c>
      <c r="H1675" s="249">
        <f t="shared" si="474"/>
        <v>6.3786040176210923E-2</v>
      </c>
      <c r="I1675" s="336">
        <v>3.6751307914193424E-3</v>
      </c>
      <c r="J1675" s="258">
        <f t="shared" si="475"/>
        <v>3.6751307914193424E-3</v>
      </c>
      <c r="K1675" s="249">
        <f t="shared" si="476"/>
        <v>17.182220145625148</v>
      </c>
      <c r="L1675" s="336">
        <v>0.98998003556401082</v>
      </c>
      <c r="M1675" s="258">
        <f t="shared" si="477"/>
        <v>0.98998003556401082</v>
      </c>
      <c r="N1675" s="251">
        <f t="shared" si="478"/>
        <v>0.11006218697071687</v>
      </c>
      <c r="O1675" s="336">
        <v>6.3414021499000406E-3</v>
      </c>
      <c r="P1675" s="258">
        <f t="shared" si="479"/>
        <v>6.3414021499000406E-3</v>
      </c>
      <c r="Q1675" s="354">
        <v>16.942918604651162</v>
      </c>
      <c r="R1675" s="249">
        <f t="shared" si="480"/>
        <v>17.356127930232557</v>
      </c>
      <c r="S1675" s="355">
        <v>0.1</v>
      </c>
      <c r="T1675" s="355"/>
      <c r="U1675" s="315">
        <f t="shared" si="468"/>
        <v>19.091740723255811</v>
      </c>
      <c r="V1675" s="315">
        <f t="shared" si="469"/>
        <v>20</v>
      </c>
      <c r="W1675" s="316">
        <f t="shared" si="471"/>
        <v>0</v>
      </c>
    </row>
    <row r="1676" spans="1:23" x14ac:dyDescent="0.25">
      <c r="A1676" s="204" t="s">
        <v>17334</v>
      </c>
      <c r="B1676" s="351" t="s">
        <v>21386</v>
      </c>
      <c r="C1676" s="352"/>
      <c r="D1676" s="353" t="s">
        <v>14859</v>
      </c>
      <c r="E1676" s="249">
        <f t="shared" si="472"/>
        <v>0</v>
      </c>
      <c r="F1676" s="336">
        <v>0</v>
      </c>
      <c r="G1676" s="258">
        <f t="shared" si="473"/>
        <v>0</v>
      </c>
      <c r="H1676" s="249">
        <f t="shared" si="474"/>
        <v>10.971236562023238</v>
      </c>
      <c r="I1676" s="336">
        <v>3.6751307914193424E-3</v>
      </c>
      <c r="J1676" s="258">
        <f t="shared" si="475"/>
        <v>3.6751307914193424E-3</v>
      </c>
      <c r="K1676" s="249">
        <f t="shared" si="476"/>
        <v>2955.3622513113482</v>
      </c>
      <c r="L1676" s="336">
        <v>0.98998346705868057</v>
      </c>
      <c r="M1676" s="258">
        <f t="shared" si="477"/>
        <v>0.98998346705868057</v>
      </c>
      <c r="N1676" s="251">
        <f t="shared" si="478"/>
        <v>18.930761126628333</v>
      </c>
      <c r="O1676" s="336">
        <v>6.3414021499000415E-3</v>
      </c>
      <c r="P1676" s="258">
        <f t="shared" si="479"/>
        <v>6.3414021499000415E-3</v>
      </c>
      <c r="Q1676" s="354">
        <v>2914.1819999999998</v>
      </c>
      <c r="R1676" s="249">
        <f t="shared" si="480"/>
        <v>2985.2642489999998</v>
      </c>
      <c r="S1676" s="355">
        <v>0.1</v>
      </c>
      <c r="T1676" s="355"/>
      <c r="U1676" s="315">
        <f t="shared" si="468"/>
        <v>3283.7906739</v>
      </c>
      <c r="V1676" s="315">
        <f t="shared" si="469"/>
        <v>3300</v>
      </c>
      <c r="W1676" s="316">
        <f t="shared" si="471"/>
        <v>0</v>
      </c>
    </row>
    <row r="1677" spans="1:23" x14ac:dyDescent="0.25">
      <c r="A1677" s="204" t="s">
        <v>17335</v>
      </c>
      <c r="B1677" s="351" t="s">
        <v>21387</v>
      </c>
      <c r="C1677" s="352"/>
      <c r="D1677" s="353" t="s">
        <v>5</v>
      </c>
      <c r="E1677" s="249">
        <f t="shared" si="472"/>
        <v>0</v>
      </c>
      <c r="F1677" s="336">
        <v>0</v>
      </c>
      <c r="G1677" s="258">
        <f t="shared" si="473"/>
        <v>0</v>
      </c>
      <c r="H1677" s="249">
        <f t="shared" si="474"/>
        <v>6.3786805956792425E-2</v>
      </c>
      <c r="I1677" s="336">
        <v>3.2704227364918717E-3</v>
      </c>
      <c r="J1677" s="258">
        <f t="shared" si="475"/>
        <v>3.2704227364918717E-3</v>
      </c>
      <c r="K1677" s="249">
        <f t="shared" si="476"/>
        <v>19.33023717406174</v>
      </c>
      <c r="L1677" s="336">
        <v>0.99108344127865899</v>
      </c>
      <c r="M1677" s="258">
        <f t="shared" si="477"/>
        <v>0.99108344127865899</v>
      </c>
      <c r="N1677" s="251">
        <f t="shared" si="478"/>
        <v>0.1100635083176026</v>
      </c>
      <c r="O1677" s="336">
        <v>5.6430823688487196E-3</v>
      </c>
      <c r="P1677" s="258">
        <f t="shared" si="479"/>
        <v>5.6430823688487196E-3</v>
      </c>
      <c r="Q1677" s="354">
        <v>19.039569767441861</v>
      </c>
      <c r="R1677" s="249">
        <f t="shared" si="480"/>
        <v>19.50414704651163</v>
      </c>
      <c r="S1677" s="355">
        <v>0.1</v>
      </c>
      <c r="T1677" s="355"/>
      <c r="U1677" s="315">
        <f t="shared" si="468"/>
        <v>21.454561751162792</v>
      </c>
      <c r="V1677" s="315">
        <f t="shared" si="469"/>
        <v>22</v>
      </c>
      <c r="W1677" s="316">
        <f t="shared" si="471"/>
        <v>0</v>
      </c>
    </row>
    <row r="1678" spans="1:23" x14ac:dyDescent="0.25">
      <c r="A1678" s="204" t="s">
        <v>17336</v>
      </c>
      <c r="B1678" s="351" t="s">
        <v>21388</v>
      </c>
      <c r="C1678" s="352"/>
      <c r="D1678" s="353" t="s">
        <v>14859</v>
      </c>
      <c r="E1678" s="249">
        <f t="shared" si="472"/>
        <v>0</v>
      </c>
      <c r="F1678" s="336">
        <v>0</v>
      </c>
      <c r="G1678" s="258">
        <f t="shared" si="473"/>
        <v>0</v>
      </c>
      <c r="H1678" s="249">
        <f t="shared" si="474"/>
        <v>10.97136413004923</v>
      </c>
      <c r="I1678" s="336">
        <v>3.2704227364918717E-3</v>
      </c>
      <c r="J1678" s="258">
        <f t="shared" si="475"/>
        <v>3.2704227364918717E-3</v>
      </c>
      <c r="K1678" s="249">
        <f t="shared" si="476"/>
        <v>3324.8211916259438</v>
      </c>
      <c r="L1678" s="336">
        <v>0.99108649489465939</v>
      </c>
      <c r="M1678" s="258">
        <f t="shared" si="477"/>
        <v>0.99108649489465939</v>
      </c>
      <c r="N1678" s="251">
        <f t="shared" si="478"/>
        <v>18.930981244006514</v>
      </c>
      <c r="O1678" s="336">
        <v>5.6430823688487196E-3</v>
      </c>
      <c r="P1678" s="258">
        <f t="shared" si="479"/>
        <v>5.6430823688487196E-3</v>
      </c>
      <c r="Q1678" s="354">
        <v>3274.806</v>
      </c>
      <c r="R1678" s="249">
        <f t="shared" si="480"/>
        <v>3354.7235369999999</v>
      </c>
      <c r="S1678" s="355">
        <v>0.1</v>
      </c>
      <c r="T1678" s="355"/>
      <c r="U1678" s="315">
        <f t="shared" si="468"/>
        <v>3690.1958906999998</v>
      </c>
      <c r="V1678" s="315">
        <f t="shared" si="469"/>
        <v>3700</v>
      </c>
      <c r="W1678" s="316">
        <f t="shared" si="471"/>
        <v>0</v>
      </c>
    </row>
    <row r="1679" spans="1:23" ht="20.399999999999999" x14ac:dyDescent="0.25">
      <c r="A1679" s="203" t="s">
        <v>17337</v>
      </c>
      <c r="B1679" s="363" t="s">
        <v>18957</v>
      </c>
      <c r="C1679" s="346"/>
      <c r="D1679" s="347"/>
      <c r="E1679" s="347"/>
      <c r="F1679" s="347"/>
      <c r="G1679" s="347"/>
      <c r="H1679" s="347"/>
      <c r="I1679" s="347"/>
      <c r="J1679" s="347"/>
      <c r="K1679" s="347"/>
      <c r="L1679" s="347"/>
      <c r="M1679" s="347"/>
      <c r="N1679" s="347"/>
      <c r="O1679" s="347"/>
      <c r="P1679" s="347"/>
      <c r="Q1679" s="347"/>
      <c r="R1679" s="347"/>
      <c r="S1679" s="347"/>
      <c r="T1679" s="348"/>
      <c r="U1679" s="349"/>
      <c r="V1679" s="349"/>
      <c r="W1679" s="350"/>
    </row>
    <row r="1680" spans="1:23" x14ac:dyDescent="0.25">
      <c r="A1680" s="204" t="s">
        <v>17338</v>
      </c>
      <c r="B1680" s="351" t="s">
        <v>21389</v>
      </c>
      <c r="C1680" s="352"/>
      <c r="D1680" s="353" t="s">
        <v>5</v>
      </c>
      <c r="E1680" s="249">
        <f t="shared" si="472"/>
        <v>0</v>
      </c>
      <c r="F1680" s="336">
        <v>0</v>
      </c>
      <c r="G1680" s="258">
        <f t="shared" si="473"/>
        <v>0</v>
      </c>
      <c r="H1680" s="249">
        <f t="shared" si="474"/>
        <v>6.3667396494742817E-2</v>
      </c>
      <c r="I1680" s="336">
        <v>6.63772346537507E-2</v>
      </c>
      <c r="J1680" s="258">
        <f t="shared" si="475"/>
        <v>6.63772346537507E-2</v>
      </c>
      <c r="K1680" s="249">
        <f t="shared" si="476"/>
        <v>0.78559087586167231</v>
      </c>
      <c r="L1680" s="336">
        <v>0.81902752083197772</v>
      </c>
      <c r="M1680" s="258">
        <f t="shared" si="477"/>
        <v>0.81902752083197772</v>
      </c>
      <c r="N1680" s="251">
        <f t="shared" si="478"/>
        <v>0.10985746846151702</v>
      </c>
      <c r="O1680" s="336">
        <v>0.11453326763784434</v>
      </c>
      <c r="P1680" s="258">
        <f t="shared" si="479"/>
        <v>0.11453326763784434</v>
      </c>
      <c r="Q1680" s="354">
        <v>0.93808430232558127</v>
      </c>
      <c r="R1680" s="249">
        <f t="shared" si="480"/>
        <v>0.95917518749999997</v>
      </c>
      <c r="S1680" s="355">
        <v>0.1</v>
      </c>
      <c r="T1680" s="355"/>
      <c r="U1680" s="315">
        <f t="shared" si="468"/>
        <v>1.05509270625</v>
      </c>
      <c r="V1680" s="315">
        <f t="shared" si="469"/>
        <v>2</v>
      </c>
      <c r="W1680" s="316">
        <f t="shared" si="471"/>
        <v>0</v>
      </c>
    </row>
    <row r="1681" spans="1:23" x14ac:dyDescent="0.25">
      <c r="A1681" s="204" t="s">
        <v>17339</v>
      </c>
      <c r="B1681" s="351" t="s">
        <v>21390</v>
      </c>
      <c r="C1681" s="352"/>
      <c r="D1681" s="353" t="s">
        <v>14859</v>
      </c>
      <c r="E1681" s="249">
        <f t="shared" si="472"/>
        <v>0</v>
      </c>
      <c r="F1681" s="336">
        <v>0</v>
      </c>
      <c r="G1681" s="258">
        <f t="shared" si="473"/>
        <v>0</v>
      </c>
      <c r="H1681" s="249">
        <f t="shared" si="474"/>
        <v>10.953933845049628</v>
      </c>
      <c r="I1681" s="336">
        <v>5.8567795915019288E-2</v>
      </c>
      <c r="J1681" s="258">
        <f t="shared" si="475"/>
        <v>5.8567795915019288E-2</v>
      </c>
      <c r="K1681" s="249">
        <f t="shared" si="476"/>
        <v>157.1751431968255</v>
      </c>
      <c r="L1681" s="336">
        <v>0.84037404642769253</v>
      </c>
      <c r="M1681" s="258">
        <f t="shared" si="477"/>
        <v>0.84037404642769253</v>
      </c>
      <c r="N1681" s="251">
        <f t="shared" si="478"/>
        <v>18.900905458124846</v>
      </c>
      <c r="O1681" s="336">
        <v>0.10105815765728818</v>
      </c>
      <c r="P1681" s="258">
        <f t="shared" si="479"/>
        <v>0.10105815765728818</v>
      </c>
      <c r="Q1681" s="354">
        <v>182.86499999999998</v>
      </c>
      <c r="R1681" s="249">
        <f t="shared" si="480"/>
        <v>187.02998249999999</v>
      </c>
      <c r="S1681" s="355">
        <v>0.1</v>
      </c>
      <c r="T1681" s="355"/>
      <c r="U1681" s="315">
        <f t="shared" si="468"/>
        <v>205.73298075</v>
      </c>
      <c r="V1681" s="315">
        <f t="shared" si="469"/>
        <v>210</v>
      </c>
      <c r="W1681" s="316">
        <f t="shared" si="471"/>
        <v>0</v>
      </c>
    </row>
    <row r="1682" spans="1:23" x14ac:dyDescent="0.25">
      <c r="A1682" s="204" t="s">
        <v>17340</v>
      </c>
      <c r="B1682" s="351" t="s">
        <v>21391</v>
      </c>
      <c r="C1682" s="352"/>
      <c r="D1682" s="353" t="s">
        <v>5</v>
      </c>
      <c r="E1682" s="249">
        <f t="shared" si="472"/>
        <v>0</v>
      </c>
      <c r="F1682" s="336">
        <v>0</v>
      </c>
      <c r="G1682" s="258">
        <f t="shared" si="473"/>
        <v>0</v>
      </c>
      <c r="H1682" s="249">
        <f t="shared" si="474"/>
        <v>6.3682173360351618E-2</v>
      </c>
      <c r="I1682" s="336">
        <v>5.8567795915019295E-2</v>
      </c>
      <c r="J1682" s="258">
        <f t="shared" si="475"/>
        <v>5.8567795915019295E-2</v>
      </c>
      <c r="K1682" s="249">
        <f t="shared" si="476"/>
        <v>0.9136994555946244</v>
      </c>
      <c r="L1682" s="336">
        <v>0.84031936127744511</v>
      </c>
      <c r="M1682" s="258">
        <f t="shared" si="477"/>
        <v>0.84031936127744511</v>
      </c>
      <c r="N1682" s="251">
        <f t="shared" si="478"/>
        <v>0.10988296579825374</v>
      </c>
      <c r="O1682" s="336">
        <v>0.10105815765728818</v>
      </c>
      <c r="P1682" s="258">
        <f t="shared" si="479"/>
        <v>0.10105815765728818</v>
      </c>
      <c r="Q1682" s="354">
        <v>1.0631686046511626</v>
      </c>
      <c r="R1682" s="249">
        <f t="shared" si="480"/>
        <v>1.0873240552325578</v>
      </c>
      <c r="S1682" s="355">
        <v>0.1</v>
      </c>
      <c r="T1682" s="355"/>
      <c r="U1682" s="315">
        <f t="shared" si="468"/>
        <v>1.1960564607558135</v>
      </c>
      <c r="V1682" s="315">
        <f t="shared" si="469"/>
        <v>2</v>
      </c>
      <c r="W1682" s="316">
        <f t="shared" si="471"/>
        <v>0</v>
      </c>
    </row>
    <row r="1683" spans="1:23" x14ac:dyDescent="0.25">
      <c r="A1683" s="204" t="s">
        <v>17341</v>
      </c>
      <c r="B1683" s="351" t="s">
        <v>21392</v>
      </c>
      <c r="C1683" s="352"/>
      <c r="D1683" s="353" t="s">
        <v>14859</v>
      </c>
      <c r="E1683" s="249">
        <f t="shared" si="472"/>
        <v>0</v>
      </c>
      <c r="F1683" s="336">
        <v>0</v>
      </c>
      <c r="G1683" s="258">
        <f t="shared" si="473"/>
        <v>0</v>
      </c>
      <c r="H1683" s="249">
        <f t="shared" si="474"/>
        <v>10.953933845049628</v>
      </c>
      <c r="I1683" s="336">
        <v>5.8567795915019288E-2</v>
      </c>
      <c r="J1683" s="258">
        <f t="shared" si="475"/>
        <v>5.8567795915019288E-2</v>
      </c>
      <c r="K1683" s="249">
        <f t="shared" si="476"/>
        <v>157.1751431968255</v>
      </c>
      <c r="L1683" s="336">
        <v>0.84037404642769253</v>
      </c>
      <c r="M1683" s="258">
        <f t="shared" si="477"/>
        <v>0.84037404642769253</v>
      </c>
      <c r="N1683" s="251">
        <f t="shared" si="478"/>
        <v>18.900905458124846</v>
      </c>
      <c r="O1683" s="336">
        <v>0.10105815765728818</v>
      </c>
      <c r="P1683" s="258">
        <f t="shared" si="479"/>
        <v>0.10105815765728818</v>
      </c>
      <c r="Q1683" s="354">
        <v>182.86499999999998</v>
      </c>
      <c r="R1683" s="249">
        <f t="shared" si="480"/>
        <v>187.02998249999999</v>
      </c>
      <c r="S1683" s="355">
        <v>0.1</v>
      </c>
      <c r="T1683" s="355"/>
      <c r="U1683" s="315">
        <f t="shared" si="468"/>
        <v>205.73298075</v>
      </c>
      <c r="V1683" s="315">
        <f t="shared" si="469"/>
        <v>210</v>
      </c>
      <c r="W1683" s="316">
        <f t="shared" si="471"/>
        <v>0</v>
      </c>
    </row>
    <row r="1684" spans="1:23" x14ac:dyDescent="0.25">
      <c r="A1684" s="204" t="s">
        <v>17342</v>
      </c>
      <c r="B1684" s="351" t="s">
        <v>21393</v>
      </c>
      <c r="C1684" s="352"/>
      <c r="D1684" s="353" t="s">
        <v>5</v>
      </c>
      <c r="E1684" s="249">
        <f t="shared" si="472"/>
        <v>0</v>
      </c>
      <c r="F1684" s="336">
        <v>0</v>
      </c>
      <c r="G1684" s="258">
        <f t="shared" si="473"/>
        <v>0</v>
      </c>
      <c r="H1684" s="249">
        <f t="shared" si="474"/>
        <v>6.3682173360351618E-2</v>
      </c>
      <c r="I1684" s="336">
        <v>5.8567795915019295E-2</v>
      </c>
      <c r="J1684" s="258">
        <f t="shared" si="475"/>
        <v>5.8567795915019295E-2</v>
      </c>
      <c r="K1684" s="249">
        <f t="shared" si="476"/>
        <v>0.9136994555946244</v>
      </c>
      <c r="L1684" s="336">
        <v>0.84031936127744511</v>
      </c>
      <c r="M1684" s="258">
        <f t="shared" si="477"/>
        <v>0.84031936127744511</v>
      </c>
      <c r="N1684" s="251">
        <f t="shared" si="478"/>
        <v>0.10988296579825374</v>
      </c>
      <c r="O1684" s="336">
        <v>0.10105815765728818</v>
      </c>
      <c r="P1684" s="258">
        <f t="shared" si="479"/>
        <v>0.10105815765728818</v>
      </c>
      <c r="Q1684" s="354">
        <v>1.0631686046511626</v>
      </c>
      <c r="R1684" s="249">
        <f t="shared" si="480"/>
        <v>1.0873240552325578</v>
      </c>
      <c r="S1684" s="355">
        <v>0.1</v>
      </c>
      <c r="T1684" s="355"/>
      <c r="U1684" s="315">
        <f t="shared" si="468"/>
        <v>1.1960564607558135</v>
      </c>
      <c r="V1684" s="315">
        <f t="shared" si="469"/>
        <v>2</v>
      </c>
      <c r="W1684" s="316">
        <f t="shared" si="471"/>
        <v>0</v>
      </c>
    </row>
    <row r="1685" spans="1:23" x14ac:dyDescent="0.25">
      <c r="A1685" s="204" t="s">
        <v>17343</v>
      </c>
      <c r="B1685" s="351" t="s">
        <v>21394</v>
      </c>
      <c r="C1685" s="352"/>
      <c r="D1685" s="353" t="s">
        <v>14859</v>
      </c>
      <c r="E1685" s="249">
        <f t="shared" si="472"/>
        <v>0</v>
      </c>
      <c r="F1685" s="336">
        <v>0</v>
      </c>
      <c r="G1685" s="258">
        <f t="shared" si="473"/>
        <v>0</v>
      </c>
      <c r="H1685" s="249">
        <f t="shared" si="474"/>
        <v>10.957973627450981</v>
      </c>
      <c r="I1685" s="336">
        <v>4.5751633986928109E-2</v>
      </c>
      <c r="J1685" s="258">
        <f t="shared" si="475"/>
        <v>4.5751633986928109E-2</v>
      </c>
      <c r="K1685" s="249">
        <f t="shared" si="476"/>
        <v>209.64414530949637</v>
      </c>
      <c r="L1685" s="336">
        <v>0.87530437011405871</v>
      </c>
      <c r="M1685" s="258">
        <f t="shared" si="477"/>
        <v>0.87530437011405871</v>
      </c>
      <c r="N1685" s="251">
        <f t="shared" si="478"/>
        <v>18.907876063052672</v>
      </c>
      <c r="O1685" s="336">
        <v>7.89439958990132E-2</v>
      </c>
      <c r="P1685" s="258">
        <f t="shared" si="479"/>
        <v>7.89439958990132E-2</v>
      </c>
      <c r="Q1685" s="354">
        <v>234.09</v>
      </c>
      <c r="R1685" s="249">
        <f t="shared" si="480"/>
        <v>239.509995</v>
      </c>
      <c r="S1685" s="355">
        <v>0.1</v>
      </c>
      <c r="T1685" s="355"/>
      <c r="U1685" s="315">
        <f t="shared" si="468"/>
        <v>263.46099450000003</v>
      </c>
      <c r="V1685" s="315">
        <f t="shared" si="469"/>
        <v>265</v>
      </c>
      <c r="W1685" s="316">
        <f t="shared" si="471"/>
        <v>0</v>
      </c>
    </row>
    <row r="1686" spans="1:23" x14ac:dyDescent="0.25">
      <c r="A1686" s="204" t="s">
        <v>17344</v>
      </c>
      <c r="B1686" s="351" t="s">
        <v>21395</v>
      </c>
      <c r="C1686" s="352"/>
      <c r="D1686" s="353" t="s">
        <v>5</v>
      </c>
      <c r="E1686" s="249">
        <f t="shared" si="472"/>
        <v>0</v>
      </c>
      <c r="F1686" s="336">
        <v>0</v>
      </c>
      <c r="G1686" s="258">
        <f t="shared" si="473"/>
        <v>0</v>
      </c>
      <c r="H1686" s="249">
        <f t="shared" si="474"/>
        <v>6.3706423848609237E-2</v>
      </c>
      <c r="I1686" s="336">
        <v>4.5751633986928109E-2</v>
      </c>
      <c r="J1686" s="258">
        <f t="shared" si="475"/>
        <v>4.5751633986928109E-2</v>
      </c>
      <c r="K1686" s="249">
        <f t="shared" si="476"/>
        <v>1.2187496902279691</v>
      </c>
      <c r="L1686" s="336">
        <v>0.87526165150155943</v>
      </c>
      <c r="M1686" s="258">
        <f t="shared" si="477"/>
        <v>0.87526165150155943</v>
      </c>
      <c r="N1686" s="251">
        <f t="shared" si="478"/>
        <v>0.1099248097779924</v>
      </c>
      <c r="O1686" s="336">
        <v>7.89439958990132E-2</v>
      </c>
      <c r="P1686" s="258">
        <f t="shared" si="479"/>
        <v>7.89439958990132E-2</v>
      </c>
      <c r="Q1686" s="354">
        <v>1.3609883720930234</v>
      </c>
      <c r="R1686" s="249">
        <f t="shared" si="480"/>
        <v>1.3924404069767446</v>
      </c>
      <c r="S1686" s="355">
        <v>0.1</v>
      </c>
      <c r="T1686" s="355"/>
      <c r="U1686" s="315">
        <f t="shared" si="468"/>
        <v>1.5316844476744191</v>
      </c>
      <c r="V1686" s="315">
        <f t="shared" si="469"/>
        <v>2</v>
      </c>
      <c r="W1686" s="316">
        <f t="shared" si="471"/>
        <v>0</v>
      </c>
    </row>
    <row r="1687" spans="1:23" x14ac:dyDescent="0.25">
      <c r="A1687" s="204" t="s">
        <v>17345</v>
      </c>
      <c r="B1687" s="351" t="s">
        <v>21396</v>
      </c>
      <c r="C1687" s="352"/>
      <c r="D1687" s="353" t="s">
        <v>14859</v>
      </c>
      <c r="E1687" s="249">
        <f t="shared" si="472"/>
        <v>0</v>
      </c>
      <c r="F1687" s="336">
        <v>0</v>
      </c>
      <c r="G1687" s="258">
        <f t="shared" si="473"/>
        <v>0</v>
      </c>
      <c r="H1687" s="249">
        <f t="shared" si="474"/>
        <v>10.958578317576279</v>
      </c>
      <c r="I1687" s="336">
        <v>4.3833261710356689E-2</v>
      </c>
      <c r="J1687" s="258">
        <f t="shared" si="475"/>
        <v>4.3833261710356689E-2</v>
      </c>
      <c r="K1687" s="249">
        <f t="shared" si="476"/>
        <v>220.13849973248816</v>
      </c>
      <c r="L1687" s="336">
        <v>0.88053287494628274</v>
      </c>
      <c r="M1687" s="258">
        <f t="shared" si="477"/>
        <v>0.88053287494628274</v>
      </c>
      <c r="N1687" s="251">
        <f t="shared" si="478"/>
        <v>18.908919449935539</v>
      </c>
      <c r="O1687" s="336">
        <v>7.5633863343360558E-2</v>
      </c>
      <c r="P1687" s="258">
        <f t="shared" si="479"/>
        <v>7.5633863343360558E-2</v>
      </c>
      <c r="Q1687" s="354">
        <v>244.33499999999998</v>
      </c>
      <c r="R1687" s="249">
        <f t="shared" si="480"/>
        <v>250.00599749999998</v>
      </c>
      <c r="S1687" s="355">
        <v>0.1</v>
      </c>
      <c r="T1687" s="355"/>
      <c r="U1687" s="315">
        <f t="shared" si="468"/>
        <v>275.00659724999997</v>
      </c>
      <c r="V1687" s="315">
        <f t="shared" si="469"/>
        <v>280</v>
      </c>
      <c r="W1687" s="316">
        <f t="shared" si="471"/>
        <v>0</v>
      </c>
    </row>
    <row r="1688" spans="1:23" x14ac:dyDescent="0.25">
      <c r="A1688" s="204" t="s">
        <v>17346</v>
      </c>
      <c r="B1688" s="351" t="s">
        <v>21397</v>
      </c>
      <c r="C1688" s="352"/>
      <c r="D1688" s="353" t="s">
        <v>5</v>
      </c>
      <c r="E1688" s="249">
        <f t="shared" si="472"/>
        <v>0</v>
      </c>
      <c r="F1688" s="336">
        <v>0</v>
      </c>
      <c r="G1688" s="258">
        <f t="shared" si="473"/>
        <v>0</v>
      </c>
      <c r="H1688" s="249">
        <f t="shared" si="474"/>
        <v>6.3710053754709631E-2</v>
      </c>
      <c r="I1688" s="336">
        <v>4.3833261710356689E-2</v>
      </c>
      <c r="J1688" s="258">
        <f t="shared" si="475"/>
        <v>4.3833261710356689E-2</v>
      </c>
      <c r="K1688" s="249">
        <f t="shared" si="476"/>
        <v>1.2797630639140478</v>
      </c>
      <c r="L1688" s="336">
        <v>0.88049194753105364</v>
      </c>
      <c r="M1688" s="258">
        <f t="shared" si="477"/>
        <v>0.88049194753105364</v>
      </c>
      <c r="N1688" s="251">
        <f t="shared" si="478"/>
        <v>0.10993107314538131</v>
      </c>
      <c r="O1688" s="336">
        <v>7.5633863343360558E-2</v>
      </c>
      <c r="P1688" s="258">
        <f t="shared" si="479"/>
        <v>7.5633863343360558E-2</v>
      </c>
      <c r="Q1688" s="354">
        <v>1.4205523255813952</v>
      </c>
      <c r="R1688" s="249">
        <f t="shared" si="480"/>
        <v>1.4534636773255811</v>
      </c>
      <c r="S1688" s="355">
        <v>0.1</v>
      </c>
      <c r="T1688" s="355"/>
      <c r="U1688" s="315">
        <f t="shared" si="468"/>
        <v>1.5988100450581393</v>
      </c>
      <c r="V1688" s="315">
        <f t="shared" si="469"/>
        <v>2</v>
      </c>
      <c r="W1688" s="316">
        <f t="shared" si="471"/>
        <v>0</v>
      </c>
    </row>
    <row r="1689" spans="1:23" x14ac:dyDescent="0.25">
      <c r="A1689" s="204" t="s">
        <v>17347</v>
      </c>
      <c r="B1689" s="351" t="s">
        <v>21398</v>
      </c>
      <c r="C1689" s="352"/>
      <c r="D1689" s="353" t="s">
        <v>14859</v>
      </c>
      <c r="E1689" s="249">
        <f t="shared" si="472"/>
        <v>0</v>
      </c>
      <c r="F1689" s="336">
        <v>0</v>
      </c>
      <c r="G1689" s="258">
        <f t="shared" si="473"/>
        <v>0</v>
      </c>
      <c r="H1689" s="249">
        <f t="shared" si="474"/>
        <v>10.95974521358394</v>
      </c>
      <c r="I1689" s="336">
        <v>4.0131297915870418E-2</v>
      </c>
      <c r="J1689" s="258">
        <f t="shared" si="475"/>
        <v>4.0131297915870418E-2</v>
      </c>
      <c r="K1689" s="249">
        <f t="shared" si="476"/>
        <v>243.22652486885949</v>
      </c>
      <c r="L1689" s="336">
        <v>0.89062254097439253</v>
      </c>
      <c r="M1689" s="258">
        <f t="shared" si="477"/>
        <v>0.89062254097439253</v>
      </c>
      <c r="N1689" s="251">
        <f t="shared" si="478"/>
        <v>18.9109329175566</v>
      </c>
      <c r="O1689" s="336">
        <v>6.9246161109737192E-2</v>
      </c>
      <c r="P1689" s="258">
        <f t="shared" si="479"/>
        <v>6.9246161109737192E-2</v>
      </c>
      <c r="Q1689" s="354">
        <v>266.87399999999997</v>
      </c>
      <c r="R1689" s="249">
        <f t="shared" si="480"/>
        <v>273.09720299999998</v>
      </c>
      <c r="S1689" s="355">
        <v>0.1</v>
      </c>
      <c r="T1689" s="355"/>
      <c r="U1689" s="315">
        <f t="shared" si="468"/>
        <v>300.40692329999996</v>
      </c>
      <c r="V1689" s="315">
        <f t="shared" si="469"/>
        <v>305</v>
      </c>
      <c r="W1689" s="316">
        <f t="shared" si="471"/>
        <v>0</v>
      </c>
    </row>
    <row r="1690" spans="1:23" x14ac:dyDescent="0.25">
      <c r="A1690" s="204" t="s">
        <v>17348</v>
      </c>
      <c r="B1690" s="351" t="s">
        <v>21399</v>
      </c>
      <c r="C1690" s="352"/>
      <c r="D1690" s="353" t="s">
        <v>5</v>
      </c>
      <c r="E1690" s="249">
        <f t="shared" si="472"/>
        <v>0</v>
      </c>
      <c r="F1690" s="336">
        <v>0</v>
      </c>
      <c r="G1690" s="258">
        <f t="shared" si="473"/>
        <v>0</v>
      </c>
      <c r="H1690" s="249">
        <f t="shared" si="474"/>
        <v>6.371705853742321E-2</v>
      </c>
      <c r="I1690" s="336">
        <v>4.0131297915870418E-2</v>
      </c>
      <c r="J1690" s="258">
        <f t="shared" si="475"/>
        <v>4.0131297915870418E-2</v>
      </c>
      <c r="K1690" s="249">
        <f t="shared" si="476"/>
        <v>1.4139951606744652</v>
      </c>
      <c r="L1690" s="336">
        <v>0.89058507010799104</v>
      </c>
      <c r="M1690" s="258">
        <f t="shared" si="477"/>
        <v>0.89058507010799104</v>
      </c>
      <c r="N1690" s="251">
        <f t="shared" si="478"/>
        <v>0.10994315982927927</v>
      </c>
      <c r="O1690" s="336">
        <v>6.9246161109737192E-2</v>
      </c>
      <c r="P1690" s="258">
        <f t="shared" si="479"/>
        <v>6.9246161109737192E-2</v>
      </c>
      <c r="Q1690" s="354">
        <v>1.5515930232558137</v>
      </c>
      <c r="R1690" s="249">
        <f t="shared" si="480"/>
        <v>1.5877148720930232</v>
      </c>
      <c r="S1690" s="355">
        <v>0.1</v>
      </c>
      <c r="T1690" s="355"/>
      <c r="U1690" s="315">
        <f t="shared" si="468"/>
        <v>1.7464863593023257</v>
      </c>
      <c r="V1690" s="315">
        <f t="shared" si="469"/>
        <v>2</v>
      </c>
      <c r="W1690" s="316">
        <f t="shared" si="471"/>
        <v>0</v>
      </c>
    </row>
    <row r="1691" spans="1:23" x14ac:dyDescent="0.25">
      <c r="A1691" s="204" t="s">
        <v>17349</v>
      </c>
      <c r="B1691" s="351" t="s">
        <v>21400</v>
      </c>
      <c r="C1691" s="352"/>
      <c r="D1691" s="353" t="s">
        <v>14859</v>
      </c>
      <c r="E1691" s="249">
        <f t="shared" si="472"/>
        <v>0</v>
      </c>
      <c r="F1691" s="336">
        <v>0</v>
      </c>
      <c r="G1691" s="258">
        <f t="shared" si="473"/>
        <v>0</v>
      </c>
      <c r="H1691" s="249">
        <f t="shared" si="474"/>
        <v>10.959983446542513</v>
      </c>
      <c r="I1691" s="336">
        <v>3.9375506670122601E-2</v>
      </c>
      <c r="J1691" s="258">
        <f t="shared" si="475"/>
        <v>3.9375506670122601E-2</v>
      </c>
      <c r="K1691" s="249">
        <f t="shared" si="476"/>
        <v>248.47387681726653</v>
      </c>
      <c r="L1691" s="336">
        <v>0.8926824426049601</v>
      </c>
      <c r="M1691" s="258">
        <f t="shared" si="477"/>
        <v>0.8926824426049601</v>
      </c>
      <c r="N1691" s="251">
        <f t="shared" si="478"/>
        <v>18.911343986191</v>
      </c>
      <c r="O1691" s="336">
        <v>6.7942050724917422E-2</v>
      </c>
      <c r="P1691" s="258">
        <f t="shared" si="479"/>
        <v>6.7942050724917422E-2</v>
      </c>
      <c r="Q1691" s="354">
        <v>271.99649999999997</v>
      </c>
      <c r="R1691" s="249">
        <f t="shared" si="480"/>
        <v>278.34520424999999</v>
      </c>
      <c r="S1691" s="355">
        <v>0.1</v>
      </c>
      <c r="T1691" s="355"/>
      <c r="U1691" s="315">
        <f t="shared" si="468"/>
        <v>306.17972467499999</v>
      </c>
      <c r="V1691" s="315">
        <f t="shared" si="469"/>
        <v>310</v>
      </c>
      <c r="W1691" s="316">
        <f t="shared" si="471"/>
        <v>0</v>
      </c>
    </row>
    <row r="1692" spans="1:23" x14ac:dyDescent="0.25">
      <c r="A1692" s="204" t="s">
        <v>17350</v>
      </c>
      <c r="B1692" s="351" t="s">
        <v>21401</v>
      </c>
      <c r="C1692" s="352"/>
      <c r="D1692" s="353" t="s">
        <v>5</v>
      </c>
      <c r="E1692" s="249">
        <f t="shared" si="472"/>
        <v>0</v>
      </c>
      <c r="F1692" s="336">
        <v>0</v>
      </c>
      <c r="G1692" s="258">
        <f t="shared" si="473"/>
        <v>0</v>
      </c>
      <c r="H1692" s="249">
        <f t="shared" si="474"/>
        <v>6.3718488630678347E-2</v>
      </c>
      <c r="I1692" s="336">
        <v>3.9375506670122601E-2</v>
      </c>
      <c r="J1692" s="258">
        <f t="shared" si="475"/>
        <v>3.9375506670122601E-2</v>
      </c>
      <c r="K1692" s="249">
        <f t="shared" si="476"/>
        <v>1.4445028968084497</v>
      </c>
      <c r="L1692" s="336">
        <v>0.89264567742599643</v>
      </c>
      <c r="M1692" s="258">
        <f t="shared" si="477"/>
        <v>0.89264567742599643</v>
      </c>
      <c r="N1692" s="251">
        <f t="shared" si="478"/>
        <v>0.10994562744117048</v>
      </c>
      <c r="O1692" s="336">
        <v>6.7942050724917422E-2</v>
      </c>
      <c r="P1692" s="258">
        <f t="shared" si="479"/>
        <v>6.7942050724917422E-2</v>
      </c>
      <c r="Q1692" s="354">
        <v>1.5813749999999998</v>
      </c>
      <c r="R1692" s="249">
        <f t="shared" si="480"/>
        <v>1.6182265072674418</v>
      </c>
      <c r="S1692" s="355">
        <v>0.1</v>
      </c>
      <c r="T1692" s="355"/>
      <c r="U1692" s="315">
        <f t="shared" si="468"/>
        <v>1.7800491579941859</v>
      </c>
      <c r="V1692" s="315">
        <f t="shared" si="469"/>
        <v>2</v>
      </c>
      <c r="W1692" s="316">
        <f t="shared" si="471"/>
        <v>0</v>
      </c>
    </row>
    <row r="1693" spans="1:23" x14ac:dyDescent="0.25">
      <c r="A1693" s="204" t="s">
        <v>17351</v>
      </c>
      <c r="B1693" s="351" t="s">
        <v>21402</v>
      </c>
      <c r="C1693" s="352"/>
      <c r="D1693" s="353" t="s">
        <v>14859</v>
      </c>
      <c r="E1693" s="249">
        <f t="shared" si="472"/>
        <v>0</v>
      </c>
      <c r="F1693" s="336">
        <v>0</v>
      </c>
      <c r="G1693" s="258">
        <f t="shared" si="473"/>
        <v>0</v>
      </c>
      <c r="H1693" s="249">
        <f t="shared" si="474"/>
        <v>10.960477229776961</v>
      </c>
      <c r="I1693" s="336">
        <v>3.7808985194128494E-2</v>
      </c>
      <c r="J1693" s="258">
        <f t="shared" si="475"/>
        <v>3.7808985194128494E-2</v>
      </c>
      <c r="K1693" s="249">
        <f t="shared" si="476"/>
        <v>260.01813376590201</v>
      </c>
      <c r="L1693" s="336">
        <v>0.89695198152972833</v>
      </c>
      <c r="M1693" s="258">
        <f t="shared" si="477"/>
        <v>0.89695198152972833</v>
      </c>
      <c r="N1693" s="251">
        <f t="shared" si="478"/>
        <v>18.912196004321029</v>
      </c>
      <c r="O1693" s="336">
        <v>6.5239033276143277E-2</v>
      </c>
      <c r="P1693" s="258">
        <f t="shared" si="479"/>
        <v>6.5239033276143277E-2</v>
      </c>
      <c r="Q1693" s="354">
        <v>283.26599999999996</v>
      </c>
      <c r="R1693" s="249">
        <f t="shared" si="480"/>
        <v>289.890807</v>
      </c>
      <c r="S1693" s="355">
        <v>0.1</v>
      </c>
      <c r="T1693" s="355"/>
      <c r="U1693" s="315">
        <f t="shared" si="468"/>
        <v>318.87988769999998</v>
      </c>
      <c r="V1693" s="315">
        <f t="shared" si="469"/>
        <v>320</v>
      </c>
      <c r="W1693" s="316">
        <f t="shared" si="471"/>
        <v>0</v>
      </c>
    </row>
    <row r="1694" spans="1:23" x14ac:dyDescent="0.25">
      <c r="A1694" s="204" t="s">
        <v>17352</v>
      </c>
      <c r="B1694" s="351" t="s">
        <v>21403</v>
      </c>
      <c r="C1694" s="352"/>
      <c r="D1694" s="353" t="s">
        <v>5</v>
      </c>
      <c r="E1694" s="249">
        <f t="shared" si="472"/>
        <v>0</v>
      </c>
      <c r="F1694" s="336">
        <v>0</v>
      </c>
      <c r="G1694" s="258">
        <f t="shared" si="473"/>
        <v>0</v>
      </c>
      <c r="H1694" s="249">
        <f t="shared" si="474"/>
        <v>6.372145277164909E-2</v>
      </c>
      <c r="I1694" s="336">
        <v>3.7808985194128494E-2</v>
      </c>
      <c r="J1694" s="258">
        <f t="shared" si="475"/>
        <v>3.7808985194128494E-2</v>
      </c>
      <c r="K1694" s="249">
        <f t="shared" si="476"/>
        <v>1.5116204126873756</v>
      </c>
      <c r="L1694" s="336">
        <v>0.89691667902254402</v>
      </c>
      <c r="M1694" s="258">
        <f t="shared" si="477"/>
        <v>0.89691667902254402</v>
      </c>
      <c r="N1694" s="251">
        <f t="shared" si="478"/>
        <v>0.10995074203735529</v>
      </c>
      <c r="O1694" s="336">
        <v>6.5239033276143277E-2</v>
      </c>
      <c r="P1694" s="258">
        <f t="shared" si="479"/>
        <v>6.5239033276143277E-2</v>
      </c>
      <c r="Q1694" s="354">
        <v>1.6468953488372091</v>
      </c>
      <c r="R1694" s="249">
        <f t="shared" si="480"/>
        <v>1.6853521046511624</v>
      </c>
      <c r="S1694" s="355">
        <v>0.1</v>
      </c>
      <c r="T1694" s="355"/>
      <c r="U1694" s="315">
        <f t="shared" si="468"/>
        <v>1.8538873151162787</v>
      </c>
      <c r="V1694" s="315">
        <f t="shared" si="469"/>
        <v>2</v>
      </c>
      <c r="W1694" s="316">
        <f t="shared" si="471"/>
        <v>0</v>
      </c>
    </row>
    <row r="1695" spans="1:23" x14ac:dyDescent="0.25">
      <c r="A1695" s="204" t="s">
        <v>17353</v>
      </c>
      <c r="B1695" s="351" t="s">
        <v>21404</v>
      </c>
      <c r="C1695" s="352"/>
      <c r="D1695" s="353" t="s">
        <v>14859</v>
      </c>
      <c r="E1695" s="249">
        <f t="shared" si="472"/>
        <v>0</v>
      </c>
      <c r="F1695" s="336">
        <v>0</v>
      </c>
      <c r="G1695" s="258">
        <f t="shared" si="473"/>
        <v>0</v>
      </c>
      <c r="H1695" s="249">
        <f t="shared" si="474"/>
        <v>10.960893219487515</v>
      </c>
      <c r="I1695" s="336">
        <v>3.6489262753355074E-2</v>
      </c>
      <c r="J1695" s="258">
        <f t="shared" si="475"/>
        <v>3.6489262753355074E-2</v>
      </c>
      <c r="K1695" s="249">
        <f t="shared" si="476"/>
        <v>270.51300249002418</v>
      </c>
      <c r="L1695" s="336">
        <v>0.90054887210360091</v>
      </c>
      <c r="M1695" s="258">
        <f t="shared" si="477"/>
        <v>0.90054887210360091</v>
      </c>
      <c r="N1695" s="251">
        <f t="shared" si="478"/>
        <v>18.912913790488261</v>
      </c>
      <c r="O1695" s="336">
        <v>6.2961865143044055E-2</v>
      </c>
      <c r="P1695" s="258">
        <f t="shared" si="479"/>
        <v>6.2961865143044055E-2</v>
      </c>
      <c r="Q1695" s="354">
        <v>293.51099999999997</v>
      </c>
      <c r="R1695" s="249">
        <f t="shared" si="480"/>
        <v>300.38680949999997</v>
      </c>
      <c r="S1695" s="355">
        <v>0.1</v>
      </c>
      <c r="T1695" s="355"/>
      <c r="U1695" s="315">
        <f t="shared" si="468"/>
        <v>330.42549044999998</v>
      </c>
      <c r="V1695" s="315">
        <f t="shared" si="469"/>
        <v>335</v>
      </c>
      <c r="W1695" s="316">
        <f t="shared" si="471"/>
        <v>0</v>
      </c>
    </row>
    <row r="1696" spans="1:23" x14ac:dyDescent="0.25">
      <c r="A1696" s="204" t="s">
        <v>17354</v>
      </c>
      <c r="B1696" s="351" t="s">
        <v>21405</v>
      </c>
      <c r="C1696" s="352"/>
      <c r="D1696" s="353" t="s">
        <v>5</v>
      </c>
      <c r="E1696" s="249">
        <f t="shared" si="472"/>
        <v>0</v>
      </c>
      <c r="F1696" s="336">
        <v>0</v>
      </c>
      <c r="G1696" s="258">
        <f t="shared" si="473"/>
        <v>0</v>
      </c>
      <c r="H1696" s="249">
        <f t="shared" si="474"/>
        <v>6.3723949924364004E-2</v>
      </c>
      <c r="I1696" s="336">
        <v>3.6489262753355081E-2</v>
      </c>
      <c r="J1696" s="258">
        <f t="shared" si="475"/>
        <v>3.6489262753355081E-2</v>
      </c>
      <c r="K1696" s="249">
        <f t="shared" si="476"/>
        <v>1.5726368747393618</v>
      </c>
      <c r="L1696" s="336">
        <v>0.9005148018302549</v>
      </c>
      <c r="M1696" s="258">
        <f t="shared" si="477"/>
        <v>0.9005148018302549</v>
      </c>
      <c r="N1696" s="251">
        <f t="shared" si="478"/>
        <v>0.10995505084988297</v>
      </c>
      <c r="O1696" s="336">
        <v>6.2961865143044055E-2</v>
      </c>
      <c r="P1696" s="258">
        <f t="shared" si="479"/>
        <v>6.2961865143044055E-2</v>
      </c>
      <c r="Q1696" s="354">
        <v>1.7064593023255812</v>
      </c>
      <c r="R1696" s="249">
        <f t="shared" si="480"/>
        <v>1.7463753749999997</v>
      </c>
      <c r="S1696" s="355">
        <v>0.1</v>
      </c>
      <c r="T1696" s="355"/>
      <c r="U1696" s="315">
        <f t="shared" si="468"/>
        <v>1.9210129124999997</v>
      </c>
      <c r="V1696" s="315">
        <f t="shared" si="469"/>
        <v>2</v>
      </c>
      <c r="W1696" s="316">
        <f t="shared" si="471"/>
        <v>0</v>
      </c>
    </row>
    <row r="1697" spans="1:23" x14ac:dyDescent="0.25">
      <c r="A1697" s="204" t="s">
        <v>17355</v>
      </c>
      <c r="B1697" s="351" t="s">
        <v>21406</v>
      </c>
      <c r="C1697" s="352"/>
      <c r="D1697" s="353" t="s">
        <v>14859</v>
      </c>
      <c r="E1697" s="249">
        <f t="shared" si="472"/>
        <v>0</v>
      </c>
      <c r="F1697" s="336">
        <v>0</v>
      </c>
      <c r="G1697" s="258">
        <f t="shared" si="473"/>
        <v>0</v>
      </c>
      <c r="H1697" s="249">
        <f t="shared" si="474"/>
        <v>10.961355615097858</v>
      </c>
      <c r="I1697" s="336">
        <v>3.5022318143915245E-2</v>
      </c>
      <c r="J1697" s="258">
        <f t="shared" si="475"/>
        <v>3.5022318143915245E-2</v>
      </c>
      <c r="K1697" s="249">
        <f t="shared" si="476"/>
        <v>283.10694523532152</v>
      </c>
      <c r="L1697" s="336">
        <v>0.90454701525481929</v>
      </c>
      <c r="M1697" s="258">
        <f t="shared" si="477"/>
        <v>0.90454701525481929</v>
      </c>
      <c r="N1697" s="251">
        <f t="shared" si="478"/>
        <v>18.913711649580613</v>
      </c>
      <c r="O1697" s="336">
        <v>6.0430666601265511E-2</v>
      </c>
      <c r="P1697" s="258">
        <f t="shared" si="479"/>
        <v>6.0430666601265511E-2</v>
      </c>
      <c r="Q1697" s="354">
        <v>305.80500000000001</v>
      </c>
      <c r="R1697" s="249">
        <f t="shared" si="480"/>
        <v>312.9820125</v>
      </c>
      <c r="S1697" s="355">
        <v>0.1</v>
      </c>
      <c r="T1697" s="355"/>
      <c r="U1697" s="315">
        <f t="shared" si="468"/>
        <v>344.28021374999997</v>
      </c>
      <c r="V1697" s="315">
        <f t="shared" si="469"/>
        <v>345</v>
      </c>
      <c r="W1697" s="316">
        <f t="shared" si="471"/>
        <v>0</v>
      </c>
    </row>
    <row r="1698" spans="1:23" x14ac:dyDescent="0.25">
      <c r="A1698" s="204" t="s">
        <v>17356</v>
      </c>
      <c r="B1698" s="351" t="s">
        <v>21407</v>
      </c>
      <c r="C1698" s="352"/>
      <c r="D1698" s="353" t="s">
        <v>5</v>
      </c>
      <c r="E1698" s="249">
        <f t="shared" si="472"/>
        <v>0</v>
      </c>
      <c r="F1698" s="336">
        <v>0</v>
      </c>
      <c r="G1698" s="258">
        <f t="shared" si="473"/>
        <v>0</v>
      </c>
      <c r="H1698" s="249">
        <f t="shared" si="474"/>
        <v>6.3726725647956228E-2</v>
      </c>
      <c r="I1698" s="336">
        <v>3.5022318143915245E-2</v>
      </c>
      <c r="J1698" s="258">
        <f t="shared" si="475"/>
        <v>3.5022318143915245E-2</v>
      </c>
      <c r="K1698" s="249">
        <f t="shared" si="476"/>
        <v>1.6458572313588169</v>
      </c>
      <c r="L1698" s="336">
        <v>0.90451431467765397</v>
      </c>
      <c r="M1698" s="258">
        <f t="shared" si="477"/>
        <v>0.90451431467765397</v>
      </c>
      <c r="N1698" s="251">
        <f t="shared" si="478"/>
        <v>0.1099598403337284</v>
      </c>
      <c r="O1698" s="336">
        <v>6.0430666601265517E-2</v>
      </c>
      <c r="P1698" s="258">
        <f t="shared" si="479"/>
        <v>6.0430666601265517E-2</v>
      </c>
      <c r="Q1698" s="354">
        <v>1.7779360465116278</v>
      </c>
      <c r="R1698" s="249">
        <f t="shared" si="480"/>
        <v>1.8196032994186044</v>
      </c>
      <c r="S1698" s="355">
        <v>0.1</v>
      </c>
      <c r="T1698" s="355"/>
      <c r="U1698" s="315">
        <f t="shared" si="468"/>
        <v>2.0015636293604651</v>
      </c>
      <c r="V1698" s="315">
        <f t="shared" si="469"/>
        <v>3</v>
      </c>
      <c r="W1698" s="316">
        <f t="shared" si="471"/>
        <v>0</v>
      </c>
    </row>
    <row r="1699" spans="1:23" x14ac:dyDescent="0.25">
      <c r="A1699" s="204" t="s">
        <v>17357</v>
      </c>
      <c r="B1699" s="351" t="s">
        <v>21408</v>
      </c>
      <c r="C1699" s="352"/>
      <c r="D1699" s="353" t="s">
        <v>14859</v>
      </c>
      <c r="E1699" s="249">
        <f t="shared" si="472"/>
        <v>0</v>
      </c>
      <c r="F1699" s="336">
        <v>0</v>
      </c>
      <c r="G1699" s="258">
        <f t="shared" si="473"/>
        <v>0</v>
      </c>
      <c r="H1699" s="249">
        <f t="shared" si="474"/>
        <v>10.961678727507774</v>
      </c>
      <c r="I1699" s="336">
        <v>3.3997247841841383E-2</v>
      </c>
      <c r="J1699" s="258">
        <f t="shared" si="475"/>
        <v>3.3997247841841383E-2</v>
      </c>
      <c r="K1699" s="249">
        <f t="shared" si="476"/>
        <v>292.55246684561604</v>
      </c>
      <c r="L1699" s="336">
        <v>0.90734083431341273</v>
      </c>
      <c r="M1699" s="258">
        <f t="shared" si="477"/>
        <v>0.90734083431341273</v>
      </c>
      <c r="N1699" s="251">
        <f t="shared" si="478"/>
        <v>18.914269176876157</v>
      </c>
      <c r="O1699" s="336">
        <v>5.8661917844745906E-2</v>
      </c>
      <c r="P1699" s="258">
        <f t="shared" si="479"/>
        <v>5.8661917844745906E-2</v>
      </c>
      <c r="Q1699" s="354">
        <v>315.02549999999997</v>
      </c>
      <c r="R1699" s="249">
        <f t="shared" si="480"/>
        <v>322.42841474999994</v>
      </c>
      <c r="S1699" s="355">
        <v>0.1</v>
      </c>
      <c r="T1699" s="355"/>
      <c r="U1699" s="315">
        <f t="shared" si="468"/>
        <v>354.67125622499992</v>
      </c>
      <c r="V1699" s="315">
        <f t="shared" si="469"/>
        <v>355</v>
      </c>
      <c r="W1699" s="316">
        <f t="shared" si="471"/>
        <v>0</v>
      </c>
    </row>
    <row r="1700" spans="1:23" x14ac:dyDescent="0.25">
      <c r="A1700" s="204" t="s">
        <v>17358</v>
      </c>
      <c r="B1700" s="351" t="s">
        <v>21409</v>
      </c>
      <c r="C1700" s="352"/>
      <c r="D1700" s="353" t="s">
        <v>5</v>
      </c>
      <c r="E1700" s="249">
        <f t="shared" si="472"/>
        <v>0</v>
      </c>
      <c r="F1700" s="336">
        <v>0</v>
      </c>
      <c r="G1700" s="258">
        <f t="shared" si="473"/>
        <v>0</v>
      </c>
      <c r="H1700" s="249">
        <f t="shared" si="474"/>
        <v>6.3728665265718798E-2</v>
      </c>
      <c r="I1700" s="336">
        <v>3.3997247841841383E-2</v>
      </c>
      <c r="J1700" s="258">
        <f t="shared" si="475"/>
        <v>3.3997247841841383E-2</v>
      </c>
      <c r="K1700" s="249">
        <f t="shared" si="476"/>
        <v>1.7007728864525398</v>
      </c>
      <c r="L1700" s="336">
        <v>0.90730909085137534</v>
      </c>
      <c r="M1700" s="258">
        <f t="shared" si="477"/>
        <v>0.90730909085137534</v>
      </c>
      <c r="N1700" s="251">
        <f t="shared" si="478"/>
        <v>0.10996318712516183</v>
      </c>
      <c r="O1700" s="336">
        <v>5.8661917844745906E-2</v>
      </c>
      <c r="P1700" s="258">
        <f t="shared" si="479"/>
        <v>5.8661917844745906E-2</v>
      </c>
      <c r="Q1700" s="354">
        <v>1.8315436046511626</v>
      </c>
      <c r="R1700" s="249">
        <f t="shared" si="480"/>
        <v>1.8745242427325577</v>
      </c>
      <c r="S1700" s="355">
        <v>0.1</v>
      </c>
      <c r="T1700" s="355"/>
      <c r="U1700" s="315">
        <f t="shared" si="468"/>
        <v>2.0619766670058133</v>
      </c>
      <c r="V1700" s="315">
        <f t="shared" si="469"/>
        <v>3</v>
      </c>
      <c r="W1700" s="316">
        <f t="shared" si="471"/>
        <v>0</v>
      </c>
    </row>
    <row r="1701" spans="1:23" x14ac:dyDescent="0.25">
      <c r="A1701" s="204" t="s">
        <v>17359</v>
      </c>
      <c r="B1701" s="351" t="s">
        <v>21410</v>
      </c>
      <c r="C1701" s="352"/>
      <c r="D1701" s="353" t="s">
        <v>14859</v>
      </c>
      <c r="E1701" s="249">
        <f t="shared" si="472"/>
        <v>0</v>
      </c>
      <c r="F1701" s="336">
        <v>0</v>
      </c>
      <c r="G1701" s="258">
        <f t="shared" si="473"/>
        <v>0</v>
      </c>
      <c r="H1701" s="249">
        <f t="shared" si="474"/>
        <v>10.962016256461931</v>
      </c>
      <c r="I1701" s="336">
        <v>3.2926441223535496E-2</v>
      </c>
      <c r="J1701" s="258">
        <f t="shared" si="475"/>
        <v>3.2926441223535496E-2</v>
      </c>
      <c r="K1701" s="249">
        <f t="shared" si="476"/>
        <v>303.04754941376063</v>
      </c>
      <c r="L1701" s="336">
        <v>0.91025930725350135</v>
      </c>
      <c r="M1701" s="258">
        <f t="shared" si="477"/>
        <v>0.91025930725350135</v>
      </c>
      <c r="N1701" s="251">
        <f t="shared" si="478"/>
        <v>18.914851579777448</v>
      </c>
      <c r="O1701" s="336">
        <v>5.6814251522963204E-2</v>
      </c>
      <c r="P1701" s="258">
        <f t="shared" si="479"/>
        <v>5.6814251522963204E-2</v>
      </c>
      <c r="Q1701" s="354">
        <v>325.27049999999997</v>
      </c>
      <c r="R1701" s="249">
        <f t="shared" si="480"/>
        <v>332.92441724999998</v>
      </c>
      <c r="S1701" s="355">
        <v>0.1</v>
      </c>
      <c r="T1701" s="355"/>
      <c r="U1701" s="315">
        <f t="shared" ref="U1701:U1764" si="481">(R1701*S1701)+R1701</f>
        <v>366.21685897499998</v>
      </c>
      <c r="V1701" s="315">
        <f t="shared" ref="V1701:V1764" si="482">IF(U1701=0, 0, IF(U1701&lt;10, _xlfn.CEILING.MATH(U1701,1), IF(U1701&lt;100, _xlfn.CEILING.MATH(U1701,1),IF(U1701&lt;1000, _xlfn.CEILING.MATH(U1701,5), IF(U1701&lt;10000, _xlfn.CEILING.MATH(U1701, 25), IF(U1701&lt;100000, _xlfn.CEILING.MATH(U1701,250), IF(U1701&lt;1000000, _xlfn.CEILING.MATH(U1701,500), 0)))))))</f>
        <v>370</v>
      </c>
      <c r="W1701" s="316">
        <f t="shared" si="471"/>
        <v>0</v>
      </c>
    </row>
    <row r="1702" spans="1:23" x14ac:dyDescent="0.25">
      <c r="A1702" s="204" t="s">
        <v>17360</v>
      </c>
      <c r="B1702" s="351" t="s">
        <v>21411</v>
      </c>
      <c r="C1702" s="352"/>
      <c r="D1702" s="353" t="s">
        <v>5</v>
      </c>
      <c r="E1702" s="249">
        <f t="shared" si="472"/>
        <v>0</v>
      </c>
      <c r="F1702" s="336">
        <v>0</v>
      </c>
      <c r="G1702" s="258">
        <f t="shared" si="473"/>
        <v>0</v>
      </c>
      <c r="H1702" s="249">
        <f t="shared" si="474"/>
        <v>6.3730691424834854E-2</v>
      </c>
      <c r="I1702" s="336">
        <v>3.2926441223535496E-2</v>
      </c>
      <c r="J1702" s="258">
        <f t="shared" si="475"/>
        <v>3.2926441223535496E-2</v>
      </c>
      <c r="K1702" s="249">
        <f t="shared" si="476"/>
        <v>1.7617906326327319</v>
      </c>
      <c r="L1702" s="336">
        <v>0.91022856361090221</v>
      </c>
      <c r="M1702" s="258">
        <f t="shared" si="477"/>
        <v>0.91022856361090221</v>
      </c>
      <c r="N1702" s="251">
        <f t="shared" si="478"/>
        <v>0.10996668324285228</v>
      </c>
      <c r="O1702" s="336">
        <v>5.6814251522963204E-2</v>
      </c>
      <c r="P1702" s="258">
        <f t="shared" si="479"/>
        <v>5.6814251522963204E-2</v>
      </c>
      <c r="Q1702" s="354">
        <v>1.8911075581395347</v>
      </c>
      <c r="R1702" s="249">
        <f t="shared" si="480"/>
        <v>1.9355475130813948</v>
      </c>
      <c r="S1702" s="355">
        <v>0.1</v>
      </c>
      <c r="T1702" s="355"/>
      <c r="U1702" s="315">
        <f t="shared" si="481"/>
        <v>2.1291022643895343</v>
      </c>
      <c r="V1702" s="315">
        <f t="shared" si="482"/>
        <v>3</v>
      </c>
      <c r="W1702" s="316">
        <f t="shared" si="471"/>
        <v>0</v>
      </c>
    </row>
    <row r="1703" spans="1:23" x14ac:dyDescent="0.25">
      <c r="A1703" s="204" t="s">
        <v>17361</v>
      </c>
      <c r="B1703" s="351" t="s">
        <v>21412</v>
      </c>
      <c r="C1703" s="352"/>
      <c r="D1703" s="353" t="s">
        <v>14859</v>
      </c>
      <c r="E1703" s="249">
        <f t="shared" si="472"/>
        <v>0</v>
      </c>
      <c r="F1703" s="336">
        <v>0</v>
      </c>
      <c r="G1703" s="258">
        <f t="shared" si="473"/>
        <v>0</v>
      </c>
      <c r="H1703" s="249">
        <f t="shared" si="474"/>
        <v>10.962363802816903</v>
      </c>
      <c r="I1703" s="336">
        <v>3.1823854519522202E-2</v>
      </c>
      <c r="J1703" s="258">
        <f t="shared" si="475"/>
        <v>3.1823854519522202E-2</v>
      </c>
      <c r="K1703" s="249">
        <f t="shared" si="476"/>
        <v>314.59220492957746</v>
      </c>
      <c r="L1703" s="336">
        <v>0.91326439650561597</v>
      </c>
      <c r="M1703" s="258">
        <f t="shared" si="477"/>
        <v>0.91326439650561597</v>
      </c>
      <c r="N1703" s="251">
        <f t="shared" si="478"/>
        <v>18.915451267605633</v>
      </c>
      <c r="O1703" s="336">
        <v>5.4911748974861833E-2</v>
      </c>
      <c r="P1703" s="258">
        <f t="shared" si="479"/>
        <v>5.4911748974861833E-2</v>
      </c>
      <c r="Q1703" s="354">
        <v>336.53999999999996</v>
      </c>
      <c r="R1703" s="249">
        <f t="shared" si="480"/>
        <v>344.47001999999998</v>
      </c>
      <c r="S1703" s="355">
        <v>0.1</v>
      </c>
      <c r="T1703" s="355"/>
      <c r="U1703" s="315">
        <f t="shared" si="481"/>
        <v>378.91702199999997</v>
      </c>
      <c r="V1703" s="315">
        <f t="shared" si="482"/>
        <v>380</v>
      </c>
      <c r="W1703" s="316">
        <f t="shared" si="471"/>
        <v>0</v>
      </c>
    </row>
    <row r="1704" spans="1:23" x14ac:dyDescent="0.25">
      <c r="A1704" s="204" t="s">
        <v>17362</v>
      </c>
      <c r="B1704" s="351" t="s">
        <v>21413</v>
      </c>
      <c r="C1704" s="352"/>
      <c r="D1704" s="353" t="s">
        <v>5</v>
      </c>
      <c r="E1704" s="249">
        <f t="shared" si="472"/>
        <v>0</v>
      </c>
      <c r="F1704" s="336">
        <v>0</v>
      </c>
      <c r="G1704" s="258">
        <f t="shared" si="473"/>
        <v>0</v>
      </c>
      <c r="H1704" s="249">
        <f t="shared" si="474"/>
        <v>6.3732777717600858E-2</v>
      </c>
      <c r="I1704" s="336">
        <v>3.1823854519522202E-2</v>
      </c>
      <c r="J1704" s="258">
        <f t="shared" si="475"/>
        <v>3.1823854519522202E-2</v>
      </c>
      <c r="K1704" s="249">
        <f t="shared" si="476"/>
        <v>1.828910541897987</v>
      </c>
      <c r="L1704" s="336">
        <v>0.91323468235573757</v>
      </c>
      <c r="M1704" s="258">
        <f t="shared" si="477"/>
        <v>0.91323468235573757</v>
      </c>
      <c r="N1704" s="251">
        <f t="shared" si="478"/>
        <v>0.10997028312056618</v>
      </c>
      <c r="O1704" s="336">
        <v>5.4911748974861833E-2</v>
      </c>
      <c r="P1704" s="258">
        <f t="shared" si="479"/>
        <v>5.4911748974861833E-2</v>
      </c>
      <c r="Q1704" s="354">
        <v>1.956627906976744</v>
      </c>
      <c r="R1704" s="249">
        <f t="shared" si="480"/>
        <v>2.0026731104651159</v>
      </c>
      <c r="S1704" s="355">
        <v>0.1</v>
      </c>
      <c r="T1704" s="355"/>
      <c r="U1704" s="315">
        <f t="shared" si="481"/>
        <v>2.2029404215116273</v>
      </c>
      <c r="V1704" s="315">
        <f t="shared" si="482"/>
        <v>3</v>
      </c>
      <c r="W1704" s="316">
        <f t="shared" si="471"/>
        <v>0</v>
      </c>
    </row>
    <row r="1705" spans="1:23" x14ac:dyDescent="0.25">
      <c r="A1705" s="204" t="s">
        <v>17363</v>
      </c>
      <c r="B1705" s="351" t="s">
        <v>21414</v>
      </c>
      <c r="C1705" s="352"/>
      <c r="D1705" s="353" t="s">
        <v>14859</v>
      </c>
      <c r="E1705" s="249">
        <f t="shared" si="472"/>
        <v>0</v>
      </c>
      <c r="F1705" s="336">
        <v>0</v>
      </c>
      <c r="G1705" s="258">
        <f t="shared" si="473"/>
        <v>0</v>
      </c>
      <c r="H1705" s="249">
        <f t="shared" si="474"/>
        <v>10.963476896316022</v>
      </c>
      <c r="I1705" s="336">
        <v>2.8292578547568389E-2</v>
      </c>
      <c r="J1705" s="258">
        <f t="shared" si="475"/>
        <v>2.8292578547568389E-2</v>
      </c>
      <c r="K1705" s="249">
        <f t="shared" si="476"/>
        <v>357.62278145415826</v>
      </c>
      <c r="L1705" s="336">
        <v>0.92288885454682346</v>
      </c>
      <c r="M1705" s="258">
        <f t="shared" si="477"/>
        <v>0.92288885454682346</v>
      </c>
      <c r="N1705" s="251">
        <f t="shared" si="478"/>
        <v>18.917371899525683</v>
      </c>
      <c r="O1705" s="336">
        <v>4.8818566905608193E-2</v>
      </c>
      <c r="P1705" s="258">
        <f t="shared" si="479"/>
        <v>4.8818566905608193E-2</v>
      </c>
      <c r="Q1705" s="354">
        <v>378.54449999999997</v>
      </c>
      <c r="R1705" s="249">
        <f t="shared" si="480"/>
        <v>387.50363024999996</v>
      </c>
      <c r="S1705" s="355">
        <v>0.1</v>
      </c>
      <c r="T1705" s="355"/>
      <c r="U1705" s="315">
        <f t="shared" si="481"/>
        <v>426.25399327499997</v>
      </c>
      <c r="V1705" s="315">
        <f t="shared" si="482"/>
        <v>430</v>
      </c>
      <c r="W1705" s="316">
        <f t="shared" si="471"/>
        <v>0</v>
      </c>
    </row>
    <row r="1706" spans="1:23" x14ac:dyDescent="0.25">
      <c r="A1706" s="204" t="s">
        <v>17364</v>
      </c>
      <c r="B1706" s="351" t="s">
        <v>21415</v>
      </c>
      <c r="C1706" s="352"/>
      <c r="D1706" s="353" t="s">
        <v>5</v>
      </c>
      <c r="E1706" s="249">
        <f t="shared" si="472"/>
        <v>0</v>
      </c>
      <c r="F1706" s="336">
        <v>0</v>
      </c>
      <c r="G1706" s="258">
        <f t="shared" si="473"/>
        <v>0</v>
      </c>
      <c r="H1706" s="249">
        <f t="shared" si="474"/>
        <v>6.3739459528190712E-2</v>
      </c>
      <c r="I1706" s="336">
        <v>2.8292578547568392E-2</v>
      </c>
      <c r="J1706" s="258">
        <f t="shared" si="475"/>
        <v>2.8292578547568392E-2</v>
      </c>
      <c r="K1706" s="249">
        <f t="shared" si="476"/>
        <v>2.0790877328801129</v>
      </c>
      <c r="L1706" s="336">
        <v>0.92286243757338959</v>
      </c>
      <c r="M1706" s="258">
        <f t="shared" si="477"/>
        <v>0.92286243757338959</v>
      </c>
      <c r="N1706" s="251">
        <f t="shared" si="478"/>
        <v>0.10998181251923102</v>
      </c>
      <c r="O1706" s="336">
        <v>4.88185669056082E-2</v>
      </c>
      <c r="P1706" s="258">
        <f t="shared" si="479"/>
        <v>4.88185669056082E-2</v>
      </c>
      <c r="Q1706" s="354">
        <v>2.2008401162790694</v>
      </c>
      <c r="R1706" s="249">
        <f t="shared" si="480"/>
        <v>2.2528685188953483</v>
      </c>
      <c r="S1706" s="355">
        <v>0.1</v>
      </c>
      <c r="T1706" s="355"/>
      <c r="U1706" s="315">
        <f t="shared" si="481"/>
        <v>2.4781553707848833</v>
      </c>
      <c r="V1706" s="315">
        <f t="shared" si="482"/>
        <v>3</v>
      </c>
      <c r="W1706" s="316">
        <f t="shared" si="471"/>
        <v>0</v>
      </c>
    </row>
    <row r="1707" spans="1:23" x14ac:dyDescent="0.25">
      <c r="A1707" s="204" t="s">
        <v>17365</v>
      </c>
      <c r="B1707" s="351" t="s">
        <v>21416</v>
      </c>
      <c r="C1707" s="352"/>
      <c r="D1707" s="353" t="s">
        <v>14859</v>
      </c>
      <c r="E1707" s="249">
        <f t="shared" si="472"/>
        <v>0</v>
      </c>
      <c r="F1707" s="336">
        <v>0</v>
      </c>
      <c r="G1707" s="258">
        <f t="shared" si="473"/>
        <v>0</v>
      </c>
      <c r="H1707" s="249">
        <f t="shared" si="474"/>
        <v>10.966159961768618</v>
      </c>
      <c r="I1707" s="336">
        <v>1.9780585106382979E-2</v>
      </c>
      <c r="J1707" s="258">
        <f t="shared" si="475"/>
        <v>1.9780585106382979E-2</v>
      </c>
      <c r="K1707" s="249">
        <f t="shared" si="476"/>
        <v>524.50190853557183</v>
      </c>
      <c r="L1707" s="336">
        <v>0.94608820921985803</v>
      </c>
      <c r="M1707" s="258">
        <f t="shared" si="477"/>
        <v>0.94608820921985803</v>
      </c>
      <c r="N1707" s="251">
        <f t="shared" si="478"/>
        <v>18.922001502659576</v>
      </c>
      <c r="O1707" s="336">
        <v>3.4131205673758866E-2</v>
      </c>
      <c r="P1707" s="258">
        <f t="shared" si="479"/>
        <v>3.4131205673758866E-2</v>
      </c>
      <c r="Q1707" s="354">
        <v>541.44000000000005</v>
      </c>
      <c r="R1707" s="249">
        <f t="shared" si="480"/>
        <v>554.39007000000004</v>
      </c>
      <c r="S1707" s="355">
        <v>0.1</v>
      </c>
      <c r="T1707" s="355"/>
      <c r="U1707" s="315">
        <f t="shared" si="481"/>
        <v>609.8290770000001</v>
      </c>
      <c r="V1707" s="315">
        <f t="shared" si="482"/>
        <v>610</v>
      </c>
      <c r="W1707" s="316">
        <f t="shared" si="471"/>
        <v>0</v>
      </c>
    </row>
    <row r="1708" spans="1:23" x14ac:dyDescent="0.25">
      <c r="A1708" s="204" t="s">
        <v>17366</v>
      </c>
      <c r="B1708" s="351" t="s">
        <v>21417</v>
      </c>
      <c r="C1708" s="352"/>
      <c r="D1708" s="353" t="s">
        <v>5</v>
      </c>
      <c r="E1708" s="249">
        <f t="shared" si="472"/>
        <v>0</v>
      </c>
      <c r="F1708" s="336">
        <v>0</v>
      </c>
      <c r="G1708" s="258">
        <f t="shared" si="473"/>
        <v>0</v>
      </c>
      <c r="H1708" s="249">
        <f t="shared" si="474"/>
        <v>6.3755565753919774E-2</v>
      </c>
      <c r="I1708" s="336">
        <v>1.9780585106382979E-2</v>
      </c>
      <c r="J1708" s="258">
        <f t="shared" si="475"/>
        <v>1.9780585106382979E-2</v>
      </c>
      <c r="K1708" s="249">
        <f t="shared" si="476"/>
        <v>3.049313819027812</v>
      </c>
      <c r="L1708" s="336">
        <v>0.94606973995271859</v>
      </c>
      <c r="M1708" s="258">
        <f t="shared" si="477"/>
        <v>0.94606973995271859</v>
      </c>
      <c r="N1708" s="251">
        <f t="shared" si="478"/>
        <v>0.11000960365382237</v>
      </c>
      <c r="O1708" s="336">
        <v>3.4131205673758866E-2</v>
      </c>
      <c r="P1708" s="258">
        <f t="shared" si="479"/>
        <v>3.4131205673758866E-2</v>
      </c>
      <c r="Q1708" s="354">
        <v>3.1479069767441863</v>
      </c>
      <c r="R1708" s="249">
        <f t="shared" si="480"/>
        <v>3.2231385174418605</v>
      </c>
      <c r="S1708" s="355">
        <v>0.1</v>
      </c>
      <c r="T1708" s="355"/>
      <c r="U1708" s="315">
        <f t="shared" si="481"/>
        <v>3.5454523691860467</v>
      </c>
      <c r="V1708" s="315">
        <f t="shared" si="482"/>
        <v>4</v>
      </c>
      <c r="W1708" s="316">
        <f t="shared" si="471"/>
        <v>0</v>
      </c>
    </row>
    <row r="1709" spans="1:23" x14ac:dyDescent="0.25">
      <c r="A1709" s="204" t="s">
        <v>17367</v>
      </c>
      <c r="B1709" s="351" t="s">
        <v>21418</v>
      </c>
      <c r="C1709" s="352"/>
      <c r="D1709" s="353" t="s">
        <v>14859</v>
      </c>
      <c r="E1709" s="249">
        <f t="shared" si="472"/>
        <v>0</v>
      </c>
      <c r="F1709" s="336">
        <v>0</v>
      </c>
      <c r="G1709" s="258">
        <f t="shared" si="473"/>
        <v>0</v>
      </c>
      <c r="H1709" s="249">
        <f t="shared" si="474"/>
        <v>10.9678404676259</v>
      </c>
      <c r="I1709" s="336">
        <v>1.4449200133564034E-2</v>
      </c>
      <c r="J1709" s="258">
        <f t="shared" si="475"/>
        <v>1.4449200133564034E-2</v>
      </c>
      <c r="K1709" s="249">
        <f t="shared" si="476"/>
        <v>729.16937708333342</v>
      </c>
      <c r="L1709" s="336">
        <v>0.96061884669479602</v>
      </c>
      <c r="M1709" s="258">
        <f t="shared" si="477"/>
        <v>0.96061884669479602</v>
      </c>
      <c r="N1709" s="251">
        <f t="shared" si="478"/>
        <v>18.924901199040768</v>
      </c>
      <c r="O1709" s="336">
        <v>2.49319531716399E-2</v>
      </c>
      <c r="P1709" s="258">
        <f t="shared" si="479"/>
        <v>2.49319531716399E-2</v>
      </c>
      <c r="Q1709" s="354">
        <v>741.21750000000009</v>
      </c>
      <c r="R1709" s="249">
        <f t="shared" si="480"/>
        <v>759.06211875000008</v>
      </c>
      <c r="S1709" s="355">
        <v>0.1</v>
      </c>
      <c r="T1709" s="355"/>
      <c r="U1709" s="315">
        <f t="shared" si="481"/>
        <v>834.96833062500014</v>
      </c>
      <c r="V1709" s="315">
        <f t="shared" si="482"/>
        <v>835</v>
      </c>
      <c r="W1709" s="316">
        <f t="shared" si="471"/>
        <v>0</v>
      </c>
    </row>
    <row r="1710" spans="1:23" x14ac:dyDescent="0.25">
      <c r="A1710" s="204" t="s">
        <v>17368</v>
      </c>
      <c r="B1710" s="351" t="s">
        <v>21419</v>
      </c>
      <c r="C1710" s="352"/>
      <c r="D1710" s="353" t="s">
        <v>5</v>
      </c>
      <c r="E1710" s="249">
        <f t="shared" si="472"/>
        <v>0</v>
      </c>
      <c r="F1710" s="336">
        <v>0</v>
      </c>
      <c r="G1710" s="258">
        <f t="shared" si="473"/>
        <v>0</v>
      </c>
      <c r="H1710" s="249">
        <f t="shared" si="474"/>
        <v>6.3765653695177518E-2</v>
      </c>
      <c r="I1710" s="336">
        <v>1.4449200133564035E-2</v>
      </c>
      <c r="J1710" s="258">
        <f t="shared" si="475"/>
        <v>1.4449200133564035E-2</v>
      </c>
      <c r="K1710" s="249">
        <f t="shared" si="476"/>
        <v>4.239240086825963</v>
      </c>
      <c r="L1710" s="336">
        <v>0.96060535537814484</v>
      </c>
      <c r="M1710" s="258">
        <f t="shared" si="477"/>
        <v>0.96060535537814484</v>
      </c>
      <c r="N1710" s="251">
        <f t="shared" si="478"/>
        <v>0.11002701029756118</v>
      </c>
      <c r="O1710" s="336">
        <v>2.49319531716399E-2</v>
      </c>
      <c r="P1710" s="258">
        <f t="shared" si="479"/>
        <v>2.49319531716399E-2</v>
      </c>
      <c r="Q1710" s="354">
        <v>4.3094040697674423</v>
      </c>
      <c r="R1710" s="249">
        <f t="shared" si="480"/>
        <v>4.4130922892441866</v>
      </c>
      <c r="S1710" s="355">
        <v>0.1</v>
      </c>
      <c r="T1710" s="355"/>
      <c r="U1710" s="315">
        <f t="shared" si="481"/>
        <v>4.8544015181686051</v>
      </c>
      <c r="V1710" s="315">
        <f t="shared" si="482"/>
        <v>5</v>
      </c>
      <c r="W1710" s="316">
        <f t="shared" si="471"/>
        <v>0</v>
      </c>
    </row>
    <row r="1711" spans="1:23" x14ac:dyDescent="0.25">
      <c r="A1711" s="204" t="s">
        <v>17369</v>
      </c>
      <c r="B1711" s="351" t="s">
        <v>21420</v>
      </c>
      <c r="C1711" s="352"/>
      <c r="D1711" s="353" t="s">
        <v>14859</v>
      </c>
      <c r="E1711" s="249">
        <f t="shared" si="472"/>
        <v>0</v>
      </c>
      <c r="F1711" s="336">
        <v>0</v>
      </c>
      <c r="G1711" s="258">
        <f t="shared" si="473"/>
        <v>0</v>
      </c>
      <c r="H1711" s="249">
        <f t="shared" si="474"/>
        <v>10.967896428365835</v>
      </c>
      <c r="I1711" s="336">
        <v>1.4271665347437098E-2</v>
      </c>
      <c r="J1711" s="258">
        <f t="shared" si="475"/>
        <v>1.4271665347437098E-2</v>
      </c>
      <c r="K1711" s="249">
        <f t="shared" si="476"/>
        <v>738.61562681288524</v>
      </c>
      <c r="L1711" s="336">
        <v>0.96110271601384789</v>
      </c>
      <c r="M1711" s="258">
        <f t="shared" si="477"/>
        <v>0.96110271601384789</v>
      </c>
      <c r="N1711" s="251">
        <f t="shared" si="478"/>
        <v>18.924997758748891</v>
      </c>
      <c r="O1711" s="336">
        <v>2.4625618638714993E-2</v>
      </c>
      <c r="P1711" s="258">
        <f t="shared" si="479"/>
        <v>2.4625618638714993E-2</v>
      </c>
      <c r="Q1711" s="354">
        <v>750.43799999999999</v>
      </c>
      <c r="R1711" s="249">
        <f t="shared" si="480"/>
        <v>768.50852099999997</v>
      </c>
      <c r="S1711" s="355">
        <v>0.1</v>
      </c>
      <c r="T1711" s="355"/>
      <c r="U1711" s="315">
        <f t="shared" si="481"/>
        <v>845.35937309999997</v>
      </c>
      <c r="V1711" s="315">
        <f t="shared" si="482"/>
        <v>850</v>
      </c>
      <c r="W1711" s="316">
        <f t="shared" si="471"/>
        <v>0</v>
      </c>
    </row>
    <row r="1712" spans="1:23" ht="14.4" thickBot="1" x14ac:dyDescent="0.3">
      <c r="A1712" s="356" t="s">
        <v>17370</v>
      </c>
      <c r="B1712" s="357" t="s">
        <v>21421</v>
      </c>
      <c r="C1712" s="358"/>
      <c r="D1712" s="359" t="s">
        <v>5</v>
      </c>
      <c r="E1712" s="266">
        <f t="shared" si="472"/>
        <v>0</v>
      </c>
      <c r="F1712" s="360">
        <v>0</v>
      </c>
      <c r="G1712" s="322">
        <f t="shared" si="473"/>
        <v>0</v>
      </c>
      <c r="H1712" s="266">
        <f t="shared" si="474"/>
        <v>6.3765989622990404E-2</v>
      </c>
      <c r="I1712" s="360">
        <v>1.4271665347437099E-2</v>
      </c>
      <c r="J1712" s="322">
        <f t="shared" si="475"/>
        <v>1.4271665347437099E-2</v>
      </c>
      <c r="K1712" s="266">
        <f t="shared" si="476"/>
        <v>4.2941601142582959</v>
      </c>
      <c r="L1712" s="360">
        <v>0.96108939046263653</v>
      </c>
      <c r="M1712" s="322">
        <f t="shared" si="477"/>
        <v>0.96108939046263653</v>
      </c>
      <c r="N1712" s="270">
        <f t="shared" si="478"/>
        <v>0.11002758993770893</v>
      </c>
      <c r="O1712" s="360">
        <v>2.4625618638714993E-2</v>
      </c>
      <c r="P1712" s="322">
        <f t="shared" si="479"/>
        <v>2.4625618638714993E-2</v>
      </c>
      <c r="Q1712" s="361">
        <v>4.3630116279069764</v>
      </c>
      <c r="R1712" s="266">
        <f t="shared" si="480"/>
        <v>4.468013232558139</v>
      </c>
      <c r="S1712" s="362">
        <v>0.1</v>
      </c>
      <c r="T1712" s="362"/>
      <c r="U1712" s="324">
        <f t="shared" si="481"/>
        <v>4.9148145558139529</v>
      </c>
      <c r="V1712" s="324">
        <f t="shared" si="482"/>
        <v>5</v>
      </c>
      <c r="W1712" s="325">
        <f t="shared" si="471"/>
        <v>0</v>
      </c>
    </row>
    <row r="1713" spans="1:23" x14ac:dyDescent="0.25">
      <c r="A1713" s="204" t="s">
        <v>17371</v>
      </c>
      <c r="B1713" s="351" t="s">
        <v>21422</v>
      </c>
      <c r="C1713" s="352"/>
      <c r="D1713" s="353" t="s">
        <v>14859</v>
      </c>
      <c r="E1713" s="249">
        <f t="shared" si="472"/>
        <v>0</v>
      </c>
      <c r="F1713" s="336">
        <v>0</v>
      </c>
      <c r="G1713" s="258">
        <f t="shared" si="473"/>
        <v>0</v>
      </c>
      <c r="H1713" s="249">
        <f t="shared" si="474"/>
        <v>10.968027600840644</v>
      </c>
      <c r="I1713" s="336">
        <v>1.3855522221230387E-2</v>
      </c>
      <c r="J1713" s="258">
        <f t="shared" si="475"/>
        <v>1.3855522221230387E-2</v>
      </c>
      <c r="K1713" s="249">
        <f t="shared" si="476"/>
        <v>761.70647480359094</v>
      </c>
      <c r="L1713" s="336">
        <v>0.96223691002448963</v>
      </c>
      <c r="M1713" s="258">
        <f t="shared" si="477"/>
        <v>0.96223691002448963</v>
      </c>
      <c r="N1713" s="251">
        <f t="shared" si="478"/>
        <v>18.925224095568172</v>
      </c>
      <c r="O1713" s="336">
        <v>2.3907567754279883E-2</v>
      </c>
      <c r="P1713" s="258">
        <f t="shared" si="479"/>
        <v>2.3907567754279883E-2</v>
      </c>
      <c r="Q1713" s="354">
        <v>772.97699999999998</v>
      </c>
      <c r="R1713" s="249">
        <f t="shared" si="480"/>
        <v>791.59972649999986</v>
      </c>
      <c r="S1713" s="355">
        <v>0.1</v>
      </c>
      <c r="T1713" s="355"/>
      <c r="U1713" s="315">
        <f t="shared" si="481"/>
        <v>870.75969914999985</v>
      </c>
      <c r="V1713" s="315">
        <f t="shared" si="482"/>
        <v>875</v>
      </c>
      <c r="W1713" s="316">
        <f t="shared" si="471"/>
        <v>0</v>
      </c>
    </row>
    <row r="1714" spans="1:23" x14ac:dyDescent="0.25">
      <c r="A1714" s="204" t="s">
        <v>17372</v>
      </c>
      <c r="B1714" s="351" t="s">
        <v>21423</v>
      </c>
      <c r="C1714" s="352"/>
      <c r="D1714" s="353" t="s">
        <v>5</v>
      </c>
      <c r="E1714" s="249">
        <f t="shared" si="472"/>
        <v>0</v>
      </c>
      <c r="F1714" s="336">
        <v>0</v>
      </c>
      <c r="G1714" s="258">
        <f t="shared" si="473"/>
        <v>0</v>
      </c>
      <c r="H1714" s="249">
        <f t="shared" si="474"/>
        <v>6.3766777040787745E-2</v>
      </c>
      <c r="I1714" s="336">
        <v>1.3855522221230387E-2</v>
      </c>
      <c r="J1714" s="258">
        <f t="shared" si="475"/>
        <v>1.3855522221230387E-2</v>
      </c>
      <c r="K1714" s="249">
        <f t="shared" si="476"/>
        <v>4.4284091621910351</v>
      </c>
      <c r="L1714" s="336">
        <v>0.9622239730289518</v>
      </c>
      <c r="M1714" s="258">
        <f t="shared" si="477"/>
        <v>0.9622239730289518</v>
      </c>
      <c r="N1714" s="251">
        <f t="shared" si="478"/>
        <v>0.11002894861939844</v>
      </c>
      <c r="O1714" s="336">
        <v>2.3907567754279879E-2</v>
      </c>
      <c r="P1714" s="258">
        <f t="shared" si="479"/>
        <v>2.3907567754279879E-2</v>
      </c>
      <c r="Q1714" s="354">
        <v>4.4940523255813956</v>
      </c>
      <c r="R1714" s="249">
        <f t="shared" si="480"/>
        <v>4.6022644273255819</v>
      </c>
      <c r="S1714" s="355">
        <v>0.1</v>
      </c>
      <c r="T1714" s="355"/>
      <c r="U1714" s="315">
        <f t="shared" si="481"/>
        <v>5.0624908700581397</v>
      </c>
      <c r="V1714" s="315">
        <f t="shared" si="482"/>
        <v>6</v>
      </c>
      <c r="W1714" s="316">
        <f t="shared" si="471"/>
        <v>0</v>
      </c>
    </row>
    <row r="1715" spans="1:23" x14ac:dyDescent="0.25">
      <c r="A1715" s="203" t="s">
        <v>17373</v>
      </c>
      <c r="B1715" s="345" t="s">
        <v>17374</v>
      </c>
      <c r="C1715" s="346"/>
      <c r="D1715" s="347"/>
      <c r="E1715" s="347"/>
      <c r="F1715" s="347"/>
      <c r="G1715" s="347"/>
      <c r="H1715" s="347"/>
      <c r="I1715" s="347"/>
      <c r="J1715" s="347"/>
      <c r="K1715" s="347"/>
      <c r="L1715" s="347"/>
      <c r="M1715" s="347"/>
      <c r="N1715" s="347"/>
      <c r="O1715" s="347"/>
      <c r="P1715" s="347"/>
      <c r="Q1715" s="347"/>
      <c r="R1715" s="347"/>
      <c r="S1715" s="347"/>
      <c r="T1715" s="348"/>
      <c r="U1715" s="349"/>
      <c r="V1715" s="349"/>
      <c r="W1715" s="350"/>
    </row>
    <row r="1716" spans="1:23" x14ac:dyDescent="0.25">
      <c r="A1716" s="204" t="s">
        <v>17375</v>
      </c>
      <c r="B1716" s="351" t="s">
        <v>21424</v>
      </c>
      <c r="C1716" s="352"/>
      <c r="D1716" s="353" t="s">
        <v>5</v>
      </c>
      <c r="E1716" s="249">
        <f t="shared" si="472"/>
        <v>0</v>
      </c>
      <c r="F1716" s="336">
        <v>0</v>
      </c>
      <c r="G1716" s="258">
        <f t="shared" si="473"/>
        <v>0</v>
      </c>
      <c r="H1716" s="249">
        <f t="shared" si="474"/>
        <v>6.3779293951262125E-2</v>
      </c>
      <c r="I1716" s="336">
        <v>7.24044916474557E-3</v>
      </c>
      <c r="J1716" s="258">
        <f t="shared" si="475"/>
        <v>7.24044916474557E-3</v>
      </c>
      <c r="K1716" s="249">
        <f t="shared" si="476"/>
        <v>8.6348588642754969</v>
      </c>
      <c r="L1716" s="336">
        <v>0.98025946632954508</v>
      </c>
      <c r="M1716" s="258">
        <f t="shared" si="477"/>
        <v>0.98025946632954508</v>
      </c>
      <c r="N1716" s="251">
        <f t="shared" si="478"/>
        <v>0.1100505464257072</v>
      </c>
      <c r="O1716" s="336">
        <v>1.2493324048972748E-2</v>
      </c>
      <c r="P1716" s="258">
        <f t="shared" si="479"/>
        <v>1.2493324048972748E-2</v>
      </c>
      <c r="Q1716" s="354">
        <v>8.5999418604651172</v>
      </c>
      <c r="R1716" s="249">
        <f t="shared" si="480"/>
        <v>8.8087482558139527</v>
      </c>
      <c r="S1716" s="355">
        <v>0.1</v>
      </c>
      <c r="T1716" s="355"/>
      <c r="U1716" s="315">
        <f t="shared" si="481"/>
        <v>9.6896230813953483</v>
      </c>
      <c r="V1716" s="315">
        <f t="shared" si="482"/>
        <v>10</v>
      </c>
      <c r="W1716" s="316">
        <f t="shared" ref="W1716:W1779" si="483">C1716*V1716</f>
        <v>0</v>
      </c>
    </row>
    <row r="1717" spans="1:23" x14ac:dyDescent="0.25">
      <c r="A1717" s="204" t="s">
        <v>17376</v>
      </c>
      <c r="B1717" s="351" t="s">
        <v>21425</v>
      </c>
      <c r="C1717" s="352"/>
      <c r="D1717" s="353" t="s">
        <v>14859</v>
      </c>
      <c r="E1717" s="249">
        <f t="shared" si="472"/>
        <v>0</v>
      </c>
      <c r="F1717" s="336">
        <v>0</v>
      </c>
      <c r="G1717" s="258">
        <f t="shared" si="473"/>
        <v>0</v>
      </c>
      <c r="H1717" s="249">
        <f t="shared" si="474"/>
        <v>10.970112738018782</v>
      </c>
      <c r="I1717" s="336">
        <v>7.2404491647455708E-3</v>
      </c>
      <c r="J1717" s="258">
        <f t="shared" si="475"/>
        <v>7.2404491647455708E-3</v>
      </c>
      <c r="K1717" s="249">
        <f t="shared" si="476"/>
        <v>1485.2160102826547</v>
      </c>
      <c r="L1717" s="336">
        <v>0.98026622678628161</v>
      </c>
      <c r="M1717" s="258">
        <f t="shared" si="477"/>
        <v>0.98026622678628161</v>
      </c>
      <c r="N1717" s="251">
        <f t="shared" si="478"/>
        <v>18.928821979326521</v>
      </c>
      <c r="O1717" s="336">
        <v>1.2493324048972748E-2</v>
      </c>
      <c r="P1717" s="258">
        <f t="shared" si="479"/>
        <v>1.2493324048972748E-2</v>
      </c>
      <c r="Q1717" s="354">
        <v>1479.19</v>
      </c>
      <c r="R1717" s="249">
        <f t="shared" si="480"/>
        <v>1515.114945</v>
      </c>
      <c r="S1717" s="355">
        <v>0.1</v>
      </c>
      <c r="T1717" s="355"/>
      <c r="U1717" s="315">
        <f t="shared" si="481"/>
        <v>1666.6264395000001</v>
      </c>
      <c r="V1717" s="315">
        <f t="shared" si="482"/>
        <v>1675</v>
      </c>
      <c r="W1717" s="316">
        <f t="shared" si="483"/>
        <v>0</v>
      </c>
    </row>
    <row r="1718" spans="1:23" x14ac:dyDescent="0.25">
      <c r="A1718" s="204" t="s">
        <v>17377</v>
      </c>
      <c r="B1718" s="351" t="s">
        <v>21426</v>
      </c>
      <c r="C1718" s="352"/>
      <c r="D1718" s="353" t="s">
        <v>5</v>
      </c>
      <c r="E1718" s="249">
        <f t="shared" si="472"/>
        <v>0</v>
      </c>
      <c r="F1718" s="336">
        <v>0</v>
      </c>
      <c r="G1718" s="258">
        <f t="shared" si="473"/>
        <v>0</v>
      </c>
      <c r="H1718" s="249">
        <f t="shared" si="474"/>
        <v>6.3780010444968088E-2</v>
      </c>
      <c r="I1718" s="336">
        <v>6.8617887741520079E-3</v>
      </c>
      <c r="J1718" s="258">
        <f t="shared" si="475"/>
        <v>6.8617887741520079E-3</v>
      </c>
      <c r="K1718" s="249">
        <f t="shared" si="476"/>
        <v>9.1210625721471423</v>
      </c>
      <c r="L1718" s="336">
        <v>0.98129185506953887</v>
      </c>
      <c r="M1718" s="258">
        <f t="shared" si="477"/>
        <v>0.98129185506953887</v>
      </c>
      <c r="N1718" s="251">
        <f t="shared" si="478"/>
        <v>0.11005178272857236</v>
      </c>
      <c r="O1718" s="336">
        <v>1.1839949257360325E-2</v>
      </c>
      <c r="P1718" s="258">
        <f t="shared" si="479"/>
        <v>1.1839949257360325E-2</v>
      </c>
      <c r="Q1718" s="354">
        <v>9.0745203488372095</v>
      </c>
      <c r="R1718" s="249">
        <f t="shared" si="480"/>
        <v>9.2949539171511635</v>
      </c>
      <c r="S1718" s="355">
        <v>0.1</v>
      </c>
      <c r="T1718" s="355"/>
      <c r="U1718" s="315">
        <f t="shared" si="481"/>
        <v>10.22444930886628</v>
      </c>
      <c r="V1718" s="315">
        <f t="shared" si="482"/>
        <v>11</v>
      </c>
      <c r="W1718" s="316">
        <f t="shared" si="483"/>
        <v>0</v>
      </c>
    </row>
    <row r="1719" spans="1:23" x14ac:dyDescent="0.25">
      <c r="A1719" s="204" t="s">
        <v>17378</v>
      </c>
      <c r="B1719" s="351" t="s">
        <v>21427</v>
      </c>
      <c r="C1719" s="352"/>
      <c r="D1719" s="353" t="s">
        <v>14859</v>
      </c>
      <c r="E1719" s="249">
        <f t="shared" si="472"/>
        <v>0</v>
      </c>
      <c r="F1719" s="336">
        <v>0</v>
      </c>
      <c r="G1719" s="258">
        <f t="shared" si="473"/>
        <v>0</v>
      </c>
      <c r="H1719" s="249">
        <f t="shared" si="474"/>
        <v>10.970232095560501</v>
      </c>
      <c r="I1719" s="336">
        <v>6.861788774152007E-3</v>
      </c>
      <c r="J1719" s="258">
        <f t="shared" si="475"/>
        <v>6.861788774152007E-3</v>
      </c>
      <c r="K1719" s="249">
        <f t="shared" si="476"/>
        <v>1568.8430587248449</v>
      </c>
      <c r="L1719" s="336">
        <v>0.98129826196848768</v>
      </c>
      <c r="M1719" s="258">
        <f t="shared" si="477"/>
        <v>0.98129826196848768</v>
      </c>
      <c r="N1719" s="251">
        <f t="shared" si="478"/>
        <v>18.929027929594586</v>
      </c>
      <c r="O1719" s="336">
        <v>1.1839949257360325E-2</v>
      </c>
      <c r="P1719" s="258">
        <f t="shared" si="479"/>
        <v>1.1839949257360325E-2</v>
      </c>
      <c r="Q1719" s="354">
        <v>1560.8175000000001</v>
      </c>
      <c r="R1719" s="249">
        <f t="shared" si="480"/>
        <v>1598.7423187500001</v>
      </c>
      <c r="S1719" s="355">
        <v>0.1</v>
      </c>
      <c r="T1719" s="355"/>
      <c r="U1719" s="315">
        <f t="shared" si="481"/>
        <v>1758.6165506250002</v>
      </c>
      <c r="V1719" s="315">
        <f t="shared" si="482"/>
        <v>1775</v>
      </c>
      <c r="W1719" s="316">
        <f t="shared" si="483"/>
        <v>0</v>
      </c>
    </row>
    <row r="1720" spans="1:23" x14ac:dyDescent="0.25">
      <c r="A1720" s="204" t="s">
        <v>17379</v>
      </c>
      <c r="B1720" s="351" t="s">
        <v>21428</v>
      </c>
      <c r="C1720" s="352"/>
      <c r="D1720" s="353" t="s">
        <v>5</v>
      </c>
      <c r="E1720" s="249">
        <f t="shared" si="472"/>
        <v>0</v>
      </c>
      <c r="F1720" s="336">
        <v>0</v>
      </c>
      <c r="G1720" s="258">
        <f t="shared" si="473"/>
        <v>0</v>
      </c>
      <c r="H1720" s="249">
        <f t="shared" si="474"/>
        <v>6.3780018961734006E-2</v>
      </c>
      <c r="I1720" s="336">
        <v>6.8572877410134963E-3</v>
      </c>
      <c r="J1720" s="258">
        <f t="shared" si="475"/>
        <v>6.8572877410134963E-3</v>
      </c>
      <c r="K1720" s="249">
        <f t="shared" si="476"/>
        <v>9.1271648759617108</v>
      </c>
      <c r="L1720" s="336">
        <v>0.98130412679387546</v>
      </c>
      <c r="M1720" s="258">
        <f t="shared" si="477"/>
        <v>0.98130412679387546</v>
      </c>
      <c r="N1720" s="251">
        <f t="shared" si="478"/>
        <v>0.11005179742416847</v>
      </c>
      <c r="O1720" s="336">
        <v>1.1832182768807599E-2</v>
      </c>
      <c r="P1720" s="258">
        <f t="shared" si="479"/>
        <v>1.1832182768807599E-2</v>
      </c>
      <c r="Q1720" s="354">
        <v>9.080476744186047</v>
      </c>
      <c r="R1720" s="249">
        <f t="shared" si="480"/>
        <v>9.3010562441860465</v>
      </c>
      <c r="S1720" s="355">
        <v>0.1</v>
      </c>
      <c r="T1720" s="355"/>
      <c r="U1720" s="315">
        <f t="shared" si="481"/>
        <v>10.231161868604651</v>
      </c>
      <c r="V1720" s="315">
        <f t="shared" si="482"/>
        <v>11</v>
      </c>
      <c r="W1720" s="316">
        <f t="shared" si="483"/>
        <v>0</v>
      </c>
    </row>
    <row r="1721" spans="1:23" x14ac:dyDescent="0.25">
      <c r="A1721" s="204" t="s">
        <v>17380</v>
      </c>
      <c r="B1721" s="351" t="s">
        <v>21429</v>
      </c>
      <c r="C1721" s="352"/>
      <c r="D1721" s="353" t="s">
        <v>14859</v>
      </c>
      <c r="E1721" s="249">
        <f t="shared" si="472"/>
        <v>0</v>
      </c>
      <c r="F1721" s="336">
        <v>0</v>
      </c>
      <c r="G1721" s="258">
        <f t="shared" si="473"/>
        <v>0</v>
      </c>
      <c r="H1721" s="249">
        <f t="shared" si="474"/>
        <v>10.970233514331156</v>
      </c>
      <c r="I1721" s="336">
        <v>6.8572877410134955E-3</v>
      </c>
      <c r="J1721" s="258">
        <f t="shared" si="475"/>
        <v>6.8572877410134955E-3</v>
      </c>
      <c r="K1721" s="249">
        <f t="shared" si="476"/>
        <v>1569.8926551079994</v>
      </c>
      <c r="L1721" s="336">
        <v>0.98131052949017883</v>
      </c>
      <c r="M1721" s="258">
        <f t="shared" si="477"/>
        <v>0.98131052949017883</v>
      </c>
      <c r="N1721" s="251">
        <f t="shared" si="478"/>
        <v>18.929030377669445</v>
      </c>
      <c r="O1721" s="336">
        <v>1.1832182768807599E-2</v>
      </c>
      <c r="P1721" s="258">
        <f t="shared" si="479"/>
        <v>1.1832182768807599E-2</v>
      </c>
      <c r="Q1721" s="354">
        <v>1561.8420000000001</v>
      </c>
      <c r="R1721" s="249">
        <f t="shared" si="480"/>
        <v>1599.7919190000002</v>
      </c>
      <c r="S1721" s="355">
        <v>0.1</v>
      </c>
      <c r="T1721" s="355"/>
      <c r="U1721" s="315">
        <f t="shared" si="481"/>
        <v>1759.7711109000002</v>
      </c>
      <c r="V1721" s="315">
        <f t="shared" si="482"/>
        <v>1775</v>
      </c>
      <c r="W1721" s="316">
        <f t="shared" si="483"/>
        <v>0</v>
      </c>
    </row>
    <row r="1722" spans="1:23" x14ac:dyDescent="0.25">
      <c r="A1722" s="204" t="s">
        <v>17381</v>
      </c>
      <c r="B1722" s="351" t="s">
        <v>21430</v>
      </c>
      <c r="C1722" s="352"/>
      <c r="D1722" s="353" t="s">
        <v>5</v>
      </c>
      <c r="E1722" s="249">
        <f t="shared" si="472"/>
        <v>0</v>
      </c>
      <c r="F1722" s="336">
        <v>0</v>
      </c>
      <c r="G1722" s="258">
        <f t="shared" si="473"/>
        <v>0</v>
      </c>
      <c r="H1722" s="249">
        <f t="shared" si="474"/>
        <v>6.3779845093273599E-2</v>
      </c>
      <c r="I1722" s="336">
        <v>6.949175637007767E-3</v>
      </c>
      <c r="J1722" s="258">
        <f t="shared" si="475"/>
        <v>6.949175637007767E-3</v>
      </c>
      <c r="K1722" s="249">
        <f t="shared" si="476"/>
        <v>9.0041538732566533</v>
      </c>
      <c r="L1722" s="336">
        <v>0.98105360143785003</v>
      </c>
      <c r="M1722" s="258">
        <f t="shared" si="477"/>
        <v>0.98105360143785003</v>
      </c>
      <c r="N1722" s="251">
        <f t="shared" si="478"/>
        <v>0.11005149741584463</v>
      </c>
      <c r="O1722" s="336">
        <v>1.1990734432483989E-2</v>
      </c>
      <c r="P1722" s="258">
        <f t="shared" si="479"/>
        <v>1.1990734432483989E-2</v>
      </c>
      <c r="Q1722" s="354">
        <v>8.9604069767441867</v>
      </c>
      <c r="R1722" s="249">
        <f t="shared" si="480"/>
        <v>9.178044767441861</v>
      </c>
      <c r="S1722" s="355">
        <v>0.1</v>
      </c>
      <c r="T1722" s="355"/>
      <c r="U1722" s="315">
        <f t="shared" si="481"/>
        <v>10.095849244186047</v>
      </c>
      <c r="V1722" s="315">
        <f t="shared" si="482"/>
        <v>11</v>
      </c>
      <c r="W1722" s="316">
        <f t="shared" si="483"/>
        <v>0</v>
      </c>
    </row>
    <row r="1723" spans="1:23" x14ac:dyDescent="0.25">
      <c r="A1723" s="204" t="s">
        <v>17382</v>
      </c>
      <c r="B1723" s="351" t="s">
        <v>21431</v>
      </c>
      <c r="C1723" s="352"/>
      <c r="D1723" s="353" t="s">
        <v>14859</v>
      </c>
      <c r="E1723" s="249">
        <f t="shared" si="472"/>
        <v>0</v>
      </c>
      <c r="F1723" s="336">
        <v>0</v>
      </c>
      <c r="G1723" s="258">
        <f t="shared" si="473"/>
        <v>0</v>
      </c>
      <c r="H1723" s="249">
        <f t="shared" si="474"/>
        <v>10.970204550347459</v>
      </c>
      <c r="I1723" s="336">
        <v>6.949175637007767E-3</v>
      </c>
      <c r="J1723" s="258">
        <f t="shared" si="475"/>
        <v>6.949175637007767E-3</v>
      </c>
      <c r="K1723" s="249">
        <f t="shared" si="476"/>
        <v>1548.734760049053</v>
      </c>
      <c r="L1723" s="336">
        <v>0.98106008993050819</v>
      </c>
      <c r="M1723" s="258">
        <f t="shared" si="477"/>
        <v>0.98106008993050819</v>
      </c>
      <c r="N1723" s="251">
        <f t="shared" si="478"/>
        <v>18.928980400599535</v>
      </c>
      <c r="O1723" s="336">
        <v>1.1990734432483989E-2</v>
      </c>
      <c r="P1723" s="258">
        <f t="shared" si="479"/>
        <v>1.1990734432483989E-2</v>
      </c>
      <c r="Q1723" s="354">
        <v>1541.19</v>
      </c>
      <c r="R1723" s="249">
        <f t="shared" si="480"/>
        <v>1578.633945</v>
      </c>
      <c r="S1723" s="355">
        <v>0.1</v>
      </c>
      <c r="T1723" s="355"/>
      <c r="U1723" s="315">
        <f t="shared" si="481"/>
        <v>1736.4973395000002</v>
      </c>
      <c r="V1723" s="315">
        <f t="shared" si="482"/>
        <v>1750</v>
      </c>
      <c r="W1723" s="316">
        <f t="shared" si="483"/>
        <v>0</v>
      </c>
    </row>
    <row r="1724" spans="1:23" x14ac:dyDescent="0.25">
      <c r="A1724" s="204" t="s">
        <v>17383</v>
      </c>
      <c r="B1724" s="351" t="s">
        <v>21432</v>
      </c>
      <c r="C1724" s="352"/>
      <c r="D1724" s="353" t="s">
        <v>5</v>
      </c>
      <c r="E1724" s="249">
        <f t="shared" si="472"/>
        <v>0</v>
      </c>
      <c r="F1724" s="336">
        <v>0</v>
      </c>
      <c r="G1724" s="258">
        <f t="shared" si="473"/>
        <v>0</v>
      </c>
      <c r="H1724" s="249">
        <f t="shared" si="474"/>
        <v>6.3780994961536372E-2</v>
      </c>
      <c r="I1724" s="336">
        <v>6.3414807446354974E-3</v>
      </c>
      <c r="J1724" s="258">
        <f t="shared" si="475"/>
        <v>6.3414807446354974E-3</v>
      </c>
      <c r="K1724" s="249">
        <f t="shared" si="476"/>
        <v>9.8838507672981049</v>
      </c>
      <c r="L1724" s="336">
        <v>0.98271043531808067</v>
      </c>
      <c r="M1724" s="258">
        <f t="shared" si="477"/>
        <v>0.98271043531808067</v>
      </c>
      <c r="N1724" s="251">
        <f t="shared" si="478"/>
        <v>0.11005348150225884</v>
      </c>
      <c r="O1724" s="336">
        <v>1.0942162853488702E-2</v>
      </c>
      <c r="P1724" s="258">
        <f t="shared" si="479"/>
        <v>1.0942162853488702E-2</v>
      </c>
      <c r="Q1724" s="354">
        <v>9.8190697674418619</v>
      </c>
      <c r="R1724" s="249">
        <f t="shared" si="480"/>
        <v>10.05774479651163</v>
      </c>
      <c r="S1724" s="355">
        <v>0.1</v>
      </c>
      <c r="T1724" s="355"/>
      <c r="U1724" s="315">
        <f t="shared" si="481"/>
        <v>11.063519276162793</v>
      </c>
      <c r="V1724" s="315">
        <f t="shared" si="482"/>
        <v>12</v>
      </c>
      <c r="W1724" s="316">
        <f t="shared" si="483"/>
        <v>0</v>
      </c>
    </row>
    <row r="1725" spans="1:23" x14ac:dyDescent="0.25">
      <c r="A1725" s="204" t="s">
        <v>17384</v>
      </c>
      <c r="B1725" s="351" t="s">
        <v>21433</v>
      </c>
      <c r="C1725" s="352"/>
      <c r="D1725" s="353" t="s">
        <v>14859</v>
      </c>
      <c r="E1725" s="249">
        <f t="shared" si="472"/>
        <v>0</v>
      </c>
      <c r="F1725" s="336">
        <v>0</v>
      </c>
      <c r="G1725" s="258">
        <f t="shared" si="473"/>
        <v>0</v>
      </c>
      <c r="H1725" s="249">
        <f t="shared" si="474"/>
        <v>10.970396101854485</v>
      </c>
      <c r="I1725" s="336">
        <v>6.3414807446354983E-3</v>
      </c>
      <c r="J1725" s="258">
        <f t="shared" si="475"/>
        <v>6.3414807446354983E-3</v>
      </c>
      <c r="K1725" s="249">
        <f t="shared" si="476"/>
        <v>1700.0426429772988</v>
      </c>
      <c r="L1725" s="336">
        <v>0.98271635640187582</v>
      </c>
      <c r="M1725" s="258">
        <f t="shared" si="477"/>
        <v>0.98271635640187582</v>
      </c>
      <c r="N1725" s="251">
        <f t="shared" si="478"/>
        <v>18.929310920846952</v>
      </c>
      <c r="O1725" s="336">
        <v>1.0942162853488702E-2</v>
      </c>
      <c r="P1725" s="258">
        <f t="shared" si="479"/>
        <v>1.0942162853488702E-2</v>
      </c>
      <c r="Q1725" s="354">
        <v>1688.88</v>
      </c>
      <c r="R1725" s="249">
        <f t="shared" si="480"/>
        <v>1729.9423500000003</v>
      </c>
      <c r="S1725" s="355">
        <v>0.1</v>
      </c>
      <c r="T1725" s="355"/>
      <c r="U1725" s="315">
        <f t="shared" si="481"/>
        <v>1902.9365850000004</v>
      </c>
      <c r="V1725" s="315">
        <f t="shared" si="482"/>
        <v>1925</v>
      </c>
      <c r="W1725" s="316">
        <f t="shared" si="483"/>
        <v>0</v>
      </c>
    </row>
    <row r="1726" spans="1:23" x14ac:dyDescent="0.25">
      <c r="A1726" s="204" t="s">
        <v>17385</v>
      </c>
      <c r="B1726" s="351" t="s">
        <v>21434</v>
      </c>
      <c r="C1726" s="352"/>
      <c r="D1726" s="353" t="s">
        <v>5</v>
      </c>
      <c r="E1726" s="249">
        <f t="shared" si="472"/>
        <v>0</v>
      </c>
      <c r="F1726" s="336">
        <v>0</v>
      </c>
      <c r="G1726" s="258">
        <f t="shared" si="473"/>
        <v>0</v>
      </c>
      <c r="H1726" s="249">
        <f t="shared" si="474"/>
        <v>6.3781604030812566E-2</v>
      </c>
      <c r="I1726" s="336">
        <v>6.0195931856631395E-3</v>
      </c>
      <c r="J1726" s="258">
        <f t="shared" si="475"/>
        <v>6.0195931856631395E-3</v>
      </c>
      <c r="K1726" s="249">
        <f t="shared" si="476"/>
        <v>10.421771170670558</v>
      </c>
      <c r="L1726" s="336">
        <v>0.98358803725290722</v>
      </c>
      <c r="M1726" s="258">
        <f t="shared" si="477"/>
        <v>0.98358803725290722</v>
      </c>
      <c r="N1726" s="251">
        <f t="shared" si="478"/>
        <v>0.11005453244532364</v>
      </c>
      <c r="O1726" s="336">
        <v>1.0386749026242278E-2</v>
      </c>
      <c r="P1726" s="258">
        <f t="shared" si="479"/>
        <v>1.0386749026242278E-2</v>
      </c>
      <c r="Q1726" s="354">
        <v>10.344127906976745</v>
      </c>
      <c r="R1726" s="249">
        <f t="shared" si="480"/>
        <v>10.595666860465117</v>
      </c>
      <c r="S1726" s="355">
        <v>0.1</v>
      </c>
      <c r="T1726" s="355"/>
      <c r="U1726" s="315">
        <f t="shared" si="481"/>
        <v>11.65523354651163</v>
      </c>
      <c r="V1726" s="315">
        <f t="shared" si="482"/>
        <v>12</v>
      </c>
      <c r="W1726" s="316">
        <f t="shared" si="483"/>
        <v>0</v>
      </c>
    </row>
    <row r="1727" spans="1:23" x14ac:dyDescent="0.25">
      <c r="A1727" s="204" t="s">
        <v>17386</v>
      </c>
      <c r="B1727" s="351" t="s">
        <v>21435</v>
      </c>
      <c r="C1727" s="352"/>
      <c r="D1727" s="353" t="s">
        <v>14859</v>
      </c>
      <c r="E1727" s="249">
        <f t="shared" si="472"/>
        <v>0</v>
      </c>
      <c r="F1727" s="336">
        <v>0</v>
      </c>
      <c r="G1727" s="258">
        <f t="shared" si="473"/>
        <v>0</v>
      </c>
      <c r="H1727" s="249">
        <f t="shared" si="474"/>
        <v>10.97049756403195</v>
      </c>
      <c r="I1727" s="336">
        <v>6.0195931856631395E-3</v>
      </c>
      <c r="J1727" s="258">
        <f t="shared" si="475"/>
        <v>6.0195931856631395E-3</v>
      </c>
      <c r="K1727" s="249">
        <f t="shared" si="476"/>
        <v>1792.5649614431288</v>
      </c>
      <c r="L1727" s="336">
        <v>0.9835936577880946</v>
      </c>
      <c r="M1727" s="258">
        <f t="shared" si="477"/>
        <v>0.9835936577880946</v>
      </c>
      <c r="N1727" s="251">
        <f t="shared" si="478"/>
        <v>18.929485992839439</v>
      </c>
      <c r="O1727" s="336">
        <v>1.0386749026242278E-2</v>
      </c>
      <c r="P1727" s="258">
        <f t="shared" si="479"/>
        <v>1.0386749026242278E-2</v>
      </c>
      <c r="Q1727" s="354">
        <v>1779.19</v>
      </c>
      <c r="R1727" s="249">
        <f t="shared" si="480"/>
        <v>1822.4649450000002</v>
      </c>
      <c r="S1727" s="355">
        <v>0.1</v>
      </c>
      <c r="T1727" s="355"/>
      <c r="U1727" s="315">
        <f t="shared" si="481"/>
        <v>2004.7114395000003</v>
      </c>
      <c r="V1727" s="315">
        <f t="shared" si="482"/>
        <v>2025</v>
      </c>
      <c r="W1727" s="316">
        <f t="shared" si="483"/>
        <v>0</v>
      </c>
    </row>
    <row r="1728" spans="1:23" x14ac:dyDescent="0.25">
      <c r="A1728" s="204" t="s">
        <v>17387</v>
      </c>
      <c r="B1728" s="351" t="s">
        <v>21436</v>
      </c>
      <c r="C1728" s="352"/>
      <c r="D1728" s="353" t="s">
        <v>5</v>
      </c>
      <c r="E1728" s="249">
        <f t="shared" si="472"/>
        <v>0</v>
      </c>
      <c r="F1728" s="336">
        <v>0</v>
      </c>
      <c r="G1728" s="258">
        <f t="shared" si="473"/>
        <v>0</v>
      </c>
      <c r="H1728" s="249">
        <f t="shared" si="474"/>
        <v>6.3781604030812566E-2</v>
      </c>
      <c r="I1728" s="336">
        <v>6.0195931856631395E-3</v>
      </c>
      <c r="J1728" s="258">
        <f t="shared" si="475"/>
        <v>6.0195931856631395E-3</v>
      </c>
      <c r="K1728" s="249">
        <f t="shared" si="476"/>
        <v>10.421771170670558</v>
      </c>
      <c r="L1728" s="336">
        <v>0.98358803725290722</v>
      </c>
      <c r="M1728" s="258">
        <f t="shared" si="477"/>
        <v>0.98358803725290722</v>
      </c>
      <c r="N1728" s="251">
        <f t="shared" si="478"/>
        <v>0.11005453244532364</v>
      </c>
      <c r="O1728" s="336">
        <v>1.0386749026242278E-2</v>
      </c>
      <c r="P1728" s="258">
        <f t="shared" si="479"/>
        <v>1.0386749026242278E-2</v>
      </c>
      <c r="Q1728" s="354">
        <v>10.344127906976745</v>
      </c>
      <c r="R1728" s="249">
        <f t="shared" si="480"/>
        <v>10.595666860465117</v>
      </c>
      <c r="S1728" s="355">
        <v>0.1</v>
      </c>
      <c r="T1728" s="355"/>
      <c r="U1728" s="315">
        <f t="shared" si="481"/>
        <v>11.65523354651163</v>
      </c>
      <c r="V1728" s="315">
        <f t="shared" si="482"/>
        <v>12</v>
      </c>
      <c r="W1728" s="316">
        <f t="shared" si="483"/>
        <v>0</v>
      </c>
    </row>
    <row r="1729" spans="1:23" x14ac:dyDescent="0.25">
      <c r="A1729" s="204" t="s">
        <v>17388</v>
      </c>
      <c r="B1729" s="351" t="s">
        <v>21437</v>
      </c>
      <c r="C1729" s="352"/>
      <c r="D1729" s="353" t="s">
        <v>14859</v>
      </c>
      <c r="E1729" s="249">
        <f t="shared" si="472"/>
        <v>0</v>
      </c>
      <c r="F1729" s="336">
        <v>0</v>
      </c>
      <c r="G1729" s="258">
        <f t="shared" si="473"/>
        <v>0</v>
      </c>
      <c r="H1729" s="249">
        <f t="shared" si="474"/>
        <v>10.97049756403195</v>
      </c>
      <c r="I1729" s="336">
        <v>6.0195931856631395E-3</v>
      </c>
      <c r="J1729" s="258">
        <f t="shared" si="475"/>
        <v>6.0195931856631395E-3</v>
      </c>
      <c r="K1729" s="249">
        <f t="shared" si="476"/>
        <v>1792.5649614431288</v>
      </c>
      <c r="L1729" s="336">
        <v>0.9835936577880946</v>
      </c>
      <c r="M1729" s="258">
        <f t="shared" si="477"/>
        <v>0.9835936577880946</v>
      </c>
      <c r="N1729" s="251">
        <f t="shared" si="478"/>
        <v>18.929485992839439</v>
      </c>
      <c r="O1729" s="336">
        <v>1.0386749026242278E-2</v>
      </c>
      <c r="P1729" s="258">
        <f t="shared" si="479"/>
        <v>1.0386749026242278E-2</v>
      </c>
      <c r="Q1729" s="354">
        <v>1779.19</v>
      </c>
      <c r="R1729" s="249">
        <f t="shared" si="480"/>
        <v>1822.4649450000002</v>
      </c>
      <c r="S1729" s="355">
        <v>0.1</v>
      </c>
      <c r="T1729" s="355"/>
      <c r="U1729" s="315">
        <f t="shared" si="481"/>
        <v>2004.7114395000003</v>
      </c>
      <c r="V1729" s="315">
        <f t="shared" si="482"/>
        <v>2025</v>
      </c>
      <c r="W1729" s="316">
        <f t="shared" si="483"/>
        <v>0</v>
      </c>
    </row>
    <row r="1730" spans="1:23" x14ac:dyDescent="0.25">
      <c r="A1730" s="204" t="s">
        <v>17389</v>
      </c>
      <c r="B1730" s="351" t="s">
        <v>21438</v>
      </c>
      <c r="C1730" s="352"/>
      <c r="D1730" s="353" t="s">
        <v>5</v>
      </c>
      <c r="E1730" s="249">
        <f t="shared" ref="E1730:E1793" si="484">R1730*G1730</f>
        <v>0</v>
      </c>
      <c r="F1730" s="336">
        <v>0</v>
      </c>
      <c r="G1730" s="258">
        <f t="shared" ref="G1730:G1793" si="485">F1730</f>
        <v>0</v>
      </c>
      <c r="H1730" s="249">
        <f t="shared" ref="H1730:H1793" si="486">R1730*J1730</f>
        <v>6.3782996356636174E-2</v>
      </c>
      <c r="I1730" s="336">
        <v>5.2837616831075034E-3</v>
      </c>
      <c r="J1730" s="258">
        <f t="shared" ref="J1730:J1793" si="487">I1730</f>
        <v>5.2837616831075034E-3</v>
      </c>
      <c r="K1730" s="249">
        <f t="shared" ref="K1730:K1793" si="488">R1730*M1730</f>
        <v>11.897613232158287</v>
      </c>
      <c r="L1730" s="336">
        <v>0.98559422584997758</v>
      </c>
      <c r="M1730" s="258">
        <f t="shared" ref="M1730:M1793" si="489">L1730</f>
        <v>0.98559422584997758</v>
      </c>
      <c r="N1730" s="251">
        <f t="shared" ref="N1730:N1793" si="490">P1730*R1730</f>
        <v>0.11005693488988204</v>
      </c>
      <c r="O1730" s="336">
        <v>9.1170789826168688E-3</v>
      </c>
      <c r="P1730" s="258">
        <f t="shared" ref="P1730:P1793" si="491">O1730</f>
        <v>9.1170789826168688E-3</v>
      </c>
      <c r="Q1730" s="354">
        <v>11.78468023255814</v>
      </c>
      <c r="R1730" s="249">
        <f t="shared" ref="R1730:R1793" si="492">SUM(F1730*Q1730*1.0235,I1730*Q1730*1.0175,L1730*Q1730*1.0245,O1730*Q1730*1.0115)</f>
        <v>12.071512718023254</v>
      </c>
      <c r="S1730" s="355">
        <v>0.1</v>
      </c>
      <c r="T1730" s="355"/>
      <c r="U1730" s="315">
        <f t="shared" si="481"/>
        <v>13.27866398982558</v>
      </c>
      <c r="V1730" s="315">
        <f t="shared" si="482"/>
        <v>14</v>
      </c>
      <c r="W1730" s="316">
        <f t="shared" si="483"/>
        <v>0</v>
      </c>
    </row>
    <row r="1731" spans="1:23" x14ac:dyDescent="0.25">
      <c r="A1731" s="204" t="s">
        <v>17390</v>
      </c>
      <c r="B1731" s="351" t="s">
        <v>21439</v>
      </c>
      <c r="C1731" s="352"/>
      <c r="D1731" s="353" t="s">
        <v>14859</v>
      </c>
      <c r="E1731" s="249">
        <f t="shared" si="484"/>
        <v>0</v>
      </c>
      <c r="F1731" s="336">
        <v>0</v>
      </c>
      <c r="G1731" s="258">
        <f t="shared" si="485"/>
        <v>0</v>
      </c>
      <c r="H1731" s="249">
        <f t="shared" si="486"/>
        <v>10.970729505479868</v>
      </c>
      <c r="I1731" s="336">
        <v>5.2837616831075034E-3</v>
      </c>
      <c r="J1731" s="258">
        <f t="shared" si="487"/>
        <v>5.2837616831075034E-3</v>
      </c>
      <c r="K1731" s="249">
        <f t="shared" si="488"/>
        <v>2046.4098167889861</v>
      </c>
      <c r="L1731" s="336">
        <v>0.98559915933427555</v>
      </c>
      <c r="M1731" s="258">
        <f t="shared" si="489"/>
        <v>0.98559915933427555</v>
      </c>
      <c r="N1731" s="251">
        <f t="shared" si="490"/>
        <v>18.92988620553389</v>
      </c>
      <c r="O1731" s="336">
        <v>9.1170789826168688E-3</v>
      </c>
      <c r="P1731" s="258">
        <f t="shared" si="491"/>
        <v>9.1170789826168688E-3</v>
      </c>
      <c r="Q1731" s="354">
        <v>2026.9649999999999</v>
      </c>
      <c r="R1731" s="249">
        <f t="shared" si="492"/>
        <v>2076.3104324999999</v>
      </c>
      <c r="S1731" s="355">
        <v>0.1</v>
      </c>
      <c r="T1731" s="355"/>
      <c r="U1731" s="315">
        <f t="shared" si="481"/>
        <v>2283.9414757499999</v>
      </c>
      <c r="V1731" s="315">
        <f t="shared" si="482"/>
        <v>2300</v>
      </c>
      <c r="W1731" s="316">
        <f t="shared" si="483"/>
        <v>0</v>
      </c>
    </row>
    <row r="1732" spans="1:23" x14ac:dyDescent="0.25">
      <c r="A1732" s="204" t="s">
        <v>17391</v>
      </c>
      <c r="B1732" s="351" t="s">
        <v>21440</v>
      </c>
      <c r="C1732" s="352"/>
      <c r="D1732" s="353" t="s">
        <v>5</v>
      </c>
      <c r="E1732" s="249">
        <f t="shared" si="484"/>
        <v>0</v>
      </c>
      <c r="F1732" s="336">
        <v>0</v>
      </c>
      <c r="G1732" s="258">
        <f t="shared" si="485"/>
        <v>0</v>
      </c>
      <c r="H1732" s="249">
        <f t="shared" si="486"/>
        <v>6.3782996356636174E-2</v>
      </c>
      <c r="I1732" s="336">
        <v>5.2837616831075034E-3</v>
      </c>
      <c r="J1732" s="258">
        <f t="shared" si="487"/>
        <v>5.2837616831075034E-3</v>
      </c>
      <c r="K1732" s="249">
        <f t="shared" si="488"/>
        <v>11.897613232158287</v>
      </c>
      <c r="L1732" s="336">
        <v>0.98559422584997758</v>
      </c>
      <c r="M1732" s="258">
        <f t="shared" si="489"/>
        <v>0.98559422584997758</v>
      </c>
      <c r="N1732" s="251">
        <f t="shared" si="490"/>
        <v>0.11005693488988204</v>
      </c>
      <c r="O1732" s="336">
        <v>9.1170789826168688E-3</v>
      </c>
      <c r="P1732" s="258">
        <f t="shared" si="491"/>
        <v>9.1170789826168688E-3</v>
      </c>
      <c r="Q1732" s="354">
        <v>11.78468023255814</v>
      </c>
      <c r="R1732" s="249">
        <f t="shared" si="492"/>
        <v>12.071512718023254</v>
      </c>
      <c r="S1732" s="355">
        <v>0.1</v>
      </c>
      <c r="T1732" s="355"/>
      <c r="U1732" s="315">
        <f t="shared" si="481"/>
        <v>13.27866398982558</v>
      </c>
      <c r="V1732" s="315">
        <f t="shared" si="482"/>
        <v>14</v>
      </c>
      <c r="W1732" s="316">
        <f t="shared" si="483"/>
        <v>0</v>
      </c>
    </row>
    <row r="1733" spans="1:23" x14ac:dyDescent="0.25">
      <c r="A1733" s="204" t="s">
        <v>17392</v>
      </c>
      <c r="B1733" s="351" t="s">
        <v>21441</v>
      </c>
      <c r="C1733" s="352"/>
      <c r="D1733" s="353" t="s">
        <v>14859</v>
      </c>
      <c r="E1733" s="249">
        <f t="shared" si="484"/>
        <v>0</v>
      </c>
      <c r="F1733" s="336">
        <v>0</v>
      </c>
      <c r="G1733" s="258">
        <f t="shared" si="485"/>
        <v>0</v>
      </c>
      <c r="H1733" s="249">
        <f t="shared" si="486"/>
        <v>10.970729505479868</v>
      </c>
      <c r="I1733" s="336">
        <v>5.2837616831075034E-3</v>
      </c>
      <c r="J1733" s="258">
        <f t="shared" si="487"/>
        <v>5.2837616831075034E-3</v>
      </c>
      <c r="K1733" s="249">
        <f t="shared" si="488"/>
        <v>2046.4098167889861</v>
      </c>
      <c r="L1733" s="336">
        <v>0.98559915933427555</v>
      </c>
      <c r="M1733" s="258">
        <f t="shared" si="489"/>
        <v>0.98559915933427555</v>
      </c>
      <c r="N1733" s="251">
        <f t="shared" si="490"/>
        <v>18.92988620553389</v>
      </c>
      <c r="O1733" s="336">
        <v>9.1170789826168688E-3</v>
      </c>
      <c r="P1733" s="258">
        <f t="shared" si="491"/>
        <v>9.1170789826168688E-3</v>
      </c>
      <c r="Q1733" s="354">
        <v>2026.9649999999999</v>
      </c>
      <c r="R1733" s="249">
        <f t="shared" si="492"/>
        <v>2076.3104324999999</v>
      </c>
      <c r="S1733" s="355">
        <v>0.1</v>
      </c>
      <c r="T1733" s="355"/>
      <c r="U1733" s="315">
        <f t="shared" si="481"/>
        <v>2283.9414757499999</v>
      </c>
      <c r="V1733" s="315">
        <f t="shared" si="482"/>
        <v>2300</v>
      </c>
      <c r="W1733" s="316">
        <f t="shared" si="483"/>
        <v>0</v>
      </c>
    </row>
    <row r="1734" spans="1:23" x14ac:dyDescent="0.25">
      <c r="A1734" s="204" t="s">
        <v>17393</v>
      </c>
      <c r="B1734" s="351" t="s">
        <v>21442</v>
      </c>
      <c r="C1734" s="352"/>
      <c r="D1734" s="353" t="s">
        <v>5</v>
      </c>
      <c r="E1734" s="249">
        <f t="shared" si="484"/>
        <v>0</v>
      </c>
      <c r="F1734" s="336">
        <v>0</v>
      </c>
      <c r="G1734" s="258">
        <f t="shared" si="485"/>
        <v>0</v>
      </c>
      <c r="H1734" s="249">
        <f t="shared" si="486"/>
        <v>6.3782996356636174E-2</v>
      </c>
      <c r="I1734" s="336">
        <v>5.2837616831075034E-3</v>
      </c>
      <c r="J1734" s="258">
        <f t="shared" si="487"/>
        <v>5.2837616831075034E-3</v>
      </c>
      <c r="K1734" s="249">
        <f t="shared" si="488"/>
        <v>11.897613232158287</v>
      </c>
      <c r="L1734" s="336">
        <v>0.98559422584997758</v>
      </c>
      <c r="M1734" s="258">
        <f t="shared" si="489"/>
        <v>0.98559422584997758</v>
      </c>
      <c r="N1734" s="251">
        <f t="shared" si="490"/>
        <v>0.11005693488988204</v>
      </c>
      <c r="O1734" s="336">
        <v>9.1170789826168688E-3</v>
      </c>
      <c r="P1734" s="258">
        <f t="shared" si="491"/>
        <v>9.1170789826168688E-3</v>
      </c>
      <c r="Q1734" s="354">
        <v>11.78468023255814</v>
      </c>
      <c r="R1734" s="249">
        <f t="shared" si="492"/>
        <v>12.071512718023254</v>
      </c>
      <c r="S1734" s="355">
        <v>0.1</v>
      </c>
      <c r="T1734" s="355"/>
      <c r="U1734" s="315">
        <f t="shared" si="481"/>
        <v>13.27866398982558</v>
      </c>
      <c r="V1734" s="315">
        <f t="shared" si="482"/>
        <v>14</v>
      </c>
      <c r="W1734" s="316">
        <f t="shared" si="483"/>
        <v>0</v>
      </c>
    </row>
    <row r="1735" spans="1:23" x14ac:dyDescent="0.25">
      <c r="A1735" s="204" t="s">
        <v>17394</v>
      </c>
      <c r="B1735" s="351" t="s">
        <v>21443</v>
      </c>
      <c r="C1735" s="352"/>
      <c r="D1735" s="353" t="s">
        <v>14859</v>
      </c>
      <c r="E1735" s="249">
        <f t="shared" si="484"/>
        <v>0</v>
      </c>
      <c r="F1735" s="336">
        <v>0</v>
      </c>
      <c r="G1735" s="258">
        <f t="shared" si="485"/>
        <v>0</v>
      </c>
      <c r="H1735" s="249">
        <f t="shared" si="486"/>
        <v>10.970729505479868</v>
      </c>
      <c r="I1735" s="336">
        <v>5.2837616831075034E-3</v>
      </c>
      <c r="J1735" s="258">
        <f t="shared" si="487"/>
        <v>5.2837616831075034E-3</v>
      </c>
      <c r="K1735" s="249">
        <f t="shared" si="488"/>
        <v>2046.4098167889861</v>
      </c>
      <c r="L1735" s="336">
        <v>0.98559915933427555</v>
      </c>
      <c r="M1735" s="258">
        <f t="shared" si="489"/>
        <v>0.98559915933427555</v>
      </c>
      <c r="N1735" s="251">
        <f t="shared" si="490"/>
        <v>18.92988620553389</v>
      </c>
      <c r="O1735" s="336">
        <v>9.1170789826168688E-3</v>
      </c>
      <c r="P1735" s="258">
        <f t="shared" si="491"/>
        <v>9.1170789826168688E-3</v>
      </c>
      <c r="Q1735" s="354">
        <v>2026.9649999999999</v>
      </c>
      <c r="R1735" s="249">
        <f t="shared" si="492"/>
        <v>2076.3104324999999</v>
      </c>
      <c r="S1735" s="355">
        <v>0.1</v>
      </c>
      <c r="T1735" s="355"/>
      <c r="U1735" s="315">
        <f t="shared" si="481"/>
        <v>2283.9414757499999</v>
      </c>
      <c r="V1735" s="315">
        <f t="shared" si="482"/>
        <v>2300</v>
      </c>
      <c r="W1735" s="316">
        <f t="shared" si="483"/>
        <v>0</v>
      </c>
    </row>
    <row r="1736" spans="1:23" x14ac:dyDescent="0.25">
      <c r="A1736" s="204" t="s">
        <v>17395</v>
      </c>
      <c r="B1736" s="351" t="s">
        <v>21444</v>
      </c>
      <c r="C1736" s="352"/>
      <c r="D1736" s="353" t="s">
        <v>5</v>
      </c>
      <c r="E1736" s="249">
        <f t="shared" si="484"/>
        <v>0</v>
      </c>
      <c r="F1736" s="336">
        <v>0</v>
      </c>
      <c r="G1736" s="258">
        <f t="shared" si="485"/>
        <v>0</v>
      </c>
      <c r="H1736" s="249">
        <f t="shared" si="486"/>
        <v>6.3783300138978608E-2</v>
      </c>
      <c r="I1736" s="336">
        <v>5.1232154850264344E-3</v>
      </c>
      <c r="J1736" s="258">
        <f t="shared" si="487"/>
        <v>5.1232154850264344E-3</v>
      </c>
      <c r="K1736" s="249">
        <f t="shared" si="488"/>
        <v>12.275956680081642</v>
      </c>
      <c r="L1736" s="336">
        <v>0.98603194284194473</v>
      </c>
      <c r="M1736" s="258">
        <f t="shared" si="489"/>
        <v>0.98603194284194473</v>
      </c>
      <c r="N1736" s="251">
        <f t="shared" si="490"/>
        <v>0.11005745906333564</v>
      </c>
      <c r="O1736" s="336">
        <v>8.8400580918103176E-3</v>
      </c>
      <c r="P1736" s="258">
        <f t="shared" si="491"/>
        <v>8.8400580918103176E-3</v>
      </c>
      <c r="Q1736" s="354">
        <v>12.153976744186046</v>
      </c>
      <c r="R1736" s="249">
        <f t="shared" si="492"/>
        <v>12.449856994186046</v>
      </c>
      <c r="S1736" s="355">
        <v>0.1</v>
      </c>
      <c r="T1736" s="355"/>
      <c r="U1736" s="315">
        <f t="shared" si="481"/>
        <v>13.694842693604651</v>
      </c>
      <c r="V1736" s="315">
        <f t="shared" si="482"/>
        <v>14</v>
      </c>
      <c r="W1736" s="316">
        <f t="shared" si="483"/>
        <v>0</v>
      </c>
    </row>
    <row r="1737" spans="1:23" x14ac:dyDescent="0.25">
      <c r="A1737" s="204" t="s">
        <v>17396</v>
      </c>
      <c r="B1737" s="351" t="s">
        <v>21445</v>
      </c>
      <c r="C1737" s="352"/>
      <c r="D1737" s="353" t="s">
        <v>14859</v>
      </c>
      <c r="E1737" s="249">
        <f t="shared" si="484"/>
        <v>0</v>
      </c>
      <c r="F1737" s="336">
        <v>0</v>
      </c>
      <c r="G1737" s="258">
        <f t="shared" si="485"/>
        <v>0</v>
      </c>
      <c r="H1737" s="249">
        <f t="shared" si="486"/>
        <v>10.970780111246965</v>
      </c>
      <c r="I1737" s="336">
        <v>5.1232154850264344E-3</v>
      </c>
      <c r="J1737" s="258">
        <f t="shared" si="487"/>
        <v>5.1232154850264344E-3</v>
      </c>
      <c r="K1737" s="249">
        <f t="shared" si="488"/>
        <v>2111.4848943634638</v>
      </c>
      <c r="L1737" s="336">
        <v>0.9860367264231632</v>
      </c>
      <c r="M1737" s="258">
        <f t="shared" si="489"/>
        <v>0.9860367264231632</v>
      </c>
      <c r="N1737" s="251">
        <f t="shared" si="490"/>
        <v>18.929973525288879</v>
      </c>
      <c r="O1737" s="336">
        <v>8.8400580918103176E-3</v>
      </c>
      <c r="P1737" s="258">
        <f t="shared" si="491"/>
        <v>8.8400580918103176E-3</v>
      </c>
      <c r="Q1737" s="354">
        <v>2090.4839999999999</v>
      </c>
      <c r="R1737" s="249">
        <f t="shared" si="492"/>
        <v>2141.3856479999999</v>
      </c>
      <c r="S1737" s="355">
        <v>0.1</v>
      </c>
      <c r="T1737" s="355"/>
      <c r="U1737" s="315">
        <f t="shared" si="481"/>
        <v>2355.5242128</v>
      </c>
      <c r="V1737" s="315">
        <f t="shared" si="482"/>
        <v>2375</v>
      </c>
      <c r="W1737" s="316">
        <f t="shared" si="483"/>
        <v>0</v>
      </c>
    </row>
    <row r="1738" spans="1:23" x14ac:dyDescent="0.25">
      <c r="A1738" s="204" t="s">
        <v>17397</v>
      </c>
      <c r="B1738" s="351" t="s">
        <v>21446</v>
      </c>
      <c r="C1738" s="352"/>
      <c r="D1738" s="353" t="s">
        <v>5</v>
      </c>
      <c r="E1738" s="249">
        <f t="shared" si="484"/>
        <v>0</v>
      </c>
      <c r="F1738" s="336">
        <v>0</v>
      </c>
      <c r="G1738" s="258">
        <f t="shared" si="485"/>
        <v>0</v>
      </c>
      <c r="H1738" s="249">
        <f t="shared" si="486"/>
        <v>6.3784102759578909E-2</v>
      </c>
      <c r="I1738" s="336">
        <v>4.6990378160662342E-3</v>
      </c>
      <c r="J1738" s="258">
        <f t="shared" si="487"/>
        <v>4.6990378160662342E-3</v>
      </c>
      <c r="K1738" s="249">
        <f t="shared" si="488"/>
        <v>13.399962032495328</v>
      </c>
      <c r="L1738" s="336">
        <v>0.98718843097767195</v>
      </c>
      <c r="M1738" s="258">
        <f t="shared" si="489"/>
        <v>0.98718843097767195</v>
      </c>
      <c r="N1738" s="251">
        <f t="shared" si="490"/>
        <v>0.11005884397731262</v>
      </c>
      <c r="O1738" s="336">
        <v>8.1081436826240891E-3</v>
      </c>
      <c r="P1738" s="258">
        <f t="shared" si="491"/>
        <v>8.1081436826240891E-3</v>
      </c>
      <c r="Q1738" s="354">
        <v>13.251104651162791</v>
      </c>
      <c r="R1738" s="249">
        <f t="shared" si="492"/>
        <v>13.573864534883722</v>
      </c>
      <c r="S1738" s="355">
        <v>0.1</v>
      </c>
      <c r="T1738" s="355"/>
      <c r="U1738" s="315">
        <f t="shared" si="481"/>
        <v>14.931250988372094</v>
      </c>
      <c r="V1738" s="315">
        <f t="shared" si="482"/>
        <v>15</v>
      </c>
      <c r="W1738" s="316">
        <f t="shared" si="483"/>
        <v>0</v>
      </c>
    </row>
    <row r="1739" spans="1:23" x14ac:dyDescent="0.25">
      <c r="A1739" s="204" t="s">
        <v>17398</v>
      </c>
      <c r="B1739" s="351" t="s">
        <v>21447</v>
      </c>
      <c r="C1739" s="352"/>
      <c r="D1739" s="353" t="s">
        <v>14859</v>
      </c>
      <c r="E1739" s="249">
        <f t="shared" si="484"/>
        <v>0</v>
      </c>
      <c r="F1739" s="336">
        <v>0</v>
      </c>
      <c r="G1739" s="258">
        <f t="shared" si="485"/>
        <v>0</v>
      </c>
      <c r="H1739" s="249">
        <f t="shared" si="486"/>
        <v>10.970913816289999</v>
      </c>
      <c r="I1739" s="336">
        <v>4.6990378160662342E-3</v>
      </c>
      <c r="J1739" s="258">
        <f t="shared" si="487"/>
        <v>4.6990378160662342E-3</v>
      </c>
      <c r="K1739" s="249">
        <f t="shared" si="488"/>
        <v>2304.8138269516803</v>
      </c>
      <c r="L1739" s="336">
        <v>0.98719281850130969</v>
      </c>
      <c r="M1739" s="258">
        <f t="shared" si="489"/>
        <v>0.98719281850130969</v>
      </c>
      <c r="N1739" s="251">
        <f t="shared" si="490"/>
        <v>18.930204232029805</v>
      </c>
      <c r="O1739" s="336">
        <v>8.1081436826240909E-3</v>
      </c>
      <c r="P1739" s="258">
        <f t="shared" si="491"/>
        <v>8.1081436826240909E-3</v>
      </c>
      <c r="Q1739" s="354">
        <v>2279.19</v>
      </c>
      <c r="R1739" s="249">
        <f t="shared" si="492"/>
        <v>2334.7149450000002</v>
      </c>
      <c r="S1739" s="355">
        <v>0.1</v>
      </c>
      <c r="T1739" s="355"/>
      <c r="U1739" s="315">
        <f t="shared" si="481"/>
        <v>2568.1864395000002</v>
      </c>
      <c r="V1739" s="315">
        <f t="shared" si="482"/>
        <v>2575</v>
      </c>
      <c r="W1739" s="316">
        <f t="shared" si="483"/>
        <v>0</v>
      </c>
    </row>
    <row r="1740" spans="1:23" x14ac:dyDescent="0.25">
      <c r="A1740" s="204" t="s">
        <v>17399</v>
      </c>
      <c r="B1740" s="351" t="s">
        <v>21448</v>
      </c>
      <c r="C1740" s="352"/>
      <c r="D1740" s="353" t="s">
        <v>5</v>
      </c>
      <c r="E1740" s="249">
        <f t="shared" si="484"/>
        <v>0</v>
      </c>
      <c r="F1740" s="336">
        <v>0</v>
      </c>
      <c r="G1740" s="258">
        <f t="shared" si="485"/>
        <v>0</v>
      </c>
      <c r="H1740" s="249">
        <f t="shared" si="486"/>
        <v>6.3784102759578909E-2</v>
      </c>
      <c r="I1740" s="336">
        <v>4.6990378160662342E-3</v>
      </c>
      <c r="J1740" s="258">
        <f t="shared" si="487"/>
        <v>4.6990378160662342E-3</v>
      </c>
      <c r="K1740" s="249">
        <f t="shared" si="488"/>
        <v>13.399962032495328</v>
      </c>
      <c r="L1740" s="336">
        <v>0.98718843097767195</v>
      </c>
      <c r="M1740" s="258">
        <f t="shared" si="489"/>
        <v>0.98718843097767195</v>
      </c>
      <c r="N1740" s="251">
        <f t="shared" si="490"/>
        <v>0.11005884397731262</v>
      </c>
      <c r="O1740" s="336">
        <v>8.1081436826240891E-3</v>
      </c>
      <c r="P1740" s="258">
        <f t="shared" si="491"/>
        <v>8.1081436826240891E-3</v>
      </c>
      <c r="Q1740" s="354">
        <v>13.251104651162791</v>
      </c>
      <c r="R1740" s="249">
        <f t="shared" si="492"/>
        <v>13.573864534883722</v>
      </c>
      <c r="S1740" s="355">
        <v>0.1</v>
      </c>
      <c r="T1740" s="355"/>
      <c r="U1740" s="315">
        <f t="shared" si="481"/>
        <v>14.931250988372094</v>
      </c>
      <c r="V1740" s="315">
        <f t="shared" si="482"/>
        <v>15</v>
      </c>
      <c r="W1740" s="316">
        <f t="shared" si="483"/>
        <v>0</v>
      </c>
    </row>
    <row r="1741" spans="1:23" x14ac:dyDescent="0.25">
      <c r="A1741" s="204" t="s">
        <v>17400</v>
      </c>
      <c r="B1741" s="351" t="s">
        <v>21449</v>
      </c>
      <c r="C1741" s="352"/>
      <c r="D1741" s="353" t="s">
        <v>14859</v>
      </c>
      <c r="E1741" s="249">
        <f t="shared" si="484"/>
        <v>0</v>
      </c>
      <c r="F1741" s="336">
        <v>0</v>
      </c>
      <c r="G1741" s="258">
        <f t="shared" si="485"/>
        <v>0</v>
      </c>
      <c r="H1741" s="249">
        <f t="shared" si="486"/>
        <v>10.970913816289999</v>
      </c>
      <c r="I1741" s="336">
        <v>4.6990378160662342E-3</v>
      </c>
      <c r="J1741" s="258">
        <f t="shared" si="487"/>
        <v>4.6990378160662342E-3</v>
      </c>
      <c r="K1741" s="249">
        <f t="shared" si="488"/>
        <v>2304.8138269516803</v>
      </c>
      <c r="L1741" s="336">
        <v>0.98719281850130969</v>
      </c>
      <c r="M1741" s="258">
        <f t="shared" si="489"/>
        <v>0.98719281850130969</v>
      </c>
      <c r="N1741" s="251">
        <f t="shared" si="490"/>
        <v>18.930204232029805</v>
      </c>
      <c r="O1741" s="336">
        <v>8.1081436826240909E-3</v>
      </c>
      <c r="P1741" s="258">
        <f t="shared" si="491"/>
        <v>8.1081436826240909E-3</v>
      </c>
      <c r="Q1741" s="354">
        <v>2279.19</v>
      </c>
      <c r="R1741" s="249">
        <f t="shared" si="492"/>
        <v>2334.7149450000002</v>
      </c>
      <c r="S1741" s="355">
        <v>0.1</v>
      </c>
      <c r="T1741" s="355"/>
      <c r="U1741" s="315">
        <f t="shared" si="481"/>
        <v>2568.1864395000002</v>
      </c>
      <c r="V1741" s="315">
        <f t="shared" si="482"/>
        <v>2575</v>
      </c>
      <c r="W1741" s="316">
        <f t="shared" si="483"/>
        <v>0</v>
      </c>
    </row>
    <row r="1742" spans="1:23" x14ac:dyDescent="0.25">
      <c r="A1742" s="204" t="s">
        <v>17401</v>
      </c>
      <c r="B1742" s="351" t="s">
        <v>21450</v>
      </c>
      <c r="C1742" s="352"/>
      <c r="D1742" s="353" t="s">
        <v>5</v>
      </c>
      <c r="E1742" s="249">
        <f t="shared" si="484"/>
        <v>0</v>
      </c>
      <c r="F1742" s="336">
        <v>0</v>
      </c>
      <c r="G1742" s="258">
        <f t="shared" si="485"/>
        <v>0</v>
      </c>
      <c r="H1742" s="249">
        <f t="shared" si="486"/>
        <v>6.3785171094104351E-2</v>
      </c>
      <c r="I1742" s="336">
        <v>4.1344327604576833E-3</v>
      </c>
      <c r="J1742" s="258">
        <f t="shared" si="487"/>
        <v>4.1344327604576833E-3</v>
      </c>
      <c r="K1742" s="249">
        <f t="shared" si="488"/>
        <v>15.253887172088122</v>
      </c>
      <c r="L1742" s="336">
        <v>0.98872778369697811</v>
      </c>
      <c r="M1742" s="258">
        <f t="shared" si="489"/>
        <v>0.98872778369697811</v>
      </c>
      <c r="N1742" s="251">
        <f t="shared" si="490"/>
        <v>0.11006068737806238</v>
      </c>
      <c r="O1742" s="336">
        <v>7.1339231945152168E-3</v>
      </c>
      <c r="P1742" s="258">
        <f t="shared" si="491"/>
        <v>7.1339231945152168E-3</v>
      </c>
      <c r="Q1742" s="354">
        <v>15.060697674418606</v>
      </c>
      <c r="R1742" s="249">
        <f t="shared" si="492"/>
        <v>15.427792587209304</v>
      </c>
      <c r="S1742" s="355">
        <v>0.1</v>
      </c>
      <c r="T1742" s="355"/>
      <c r="U1742" s="315">
        <f t="shared" si="481"/>
        <v>16.970571845930234</v>
      </c>
      <c r="V1742" s="315">
        <f t="shared" si="482"/>
        <v>17</v>
      </c>
      <c r="W1742" s="316">
        <f t="shared" si="483"/>
        <v>0</v>
      </c>
    </row>
    <row r="1743" spans="1:23" x14ac:dyDescent="0.25">
      <c r="A1743" s="204" t="s">
        <v>17402</v>
      </c>
      <c r="B1743" s="351" t="s">
        <v>21451</v>
      </c>
      <c r="C1743" s="352"/>
      <c r="D1743" s="353" t="s">
        <v>14859</v>
      </c>
      <c r="E1743" s="249">
        <f t="shared" si="484"/>
        <v>0</v>
      </c>
      <c r="F1743" s="336">
        <v>0</v>
      </c>
      <c r="G1743" s="258">
        <f t="shared" si="485"/>
        <v>0</v>
      </c>
      <c r="H1743" s="249">
        <f t="shared" si="486"/>
        <v>10.971091785449579</v>
      </c>
      <c r="I1743" s="336">
        <v>4.1344327604576833E-3</v>
      </c>
      <c r="J1743" s="258">
        <f t="shared" si="487"/>
        <v>4.1344327604576833E-3</v>
      </c>
      <c r="K1743" s="249">
        <f t="shared" si="488"/>
        <v>2623.6889668984809</v>
      </c>
      <c r="L1743" s="336">
        <v>0.98873164404502711</v>
      </c>
      <c r="M1743" s="258">
        <f t="shared" si="489"/>
        <v>0.98873164404502711</v>
      </c>
      <c r="N1743" s="251">
        <f t="shared" si="490"/>
        <v>18.930511316069861</v>
      </c>
      <c r="O1743" s="336">
        <v>7.1339231945152176E-3</v>
      </c>
      <c r="P1743" s="258">
        <f t="shared" si="491"/>
        <v>7.1339231945152176E-3</v>
      </c>
      <c r="Q1743" s="354">
        <v>2590.44</v>
      </c>
      <c r="R1743" s="249">
        <f t="shared" si="492"/>
        <v>2653.5905700000003</v>
      </c>
      <c r="S1743" s="355">
        <v>0.1</v>
      </c>
      <c r="T1743" s="355"/>
      <c r="U1743" s="315">
        <f t="shared" si="481"/>
        <v>2918.9496270000004</v>
      </c>
      <c r="V1743" s="315">
        <f t="shared" si="482"/>
        <v>2925</v>
      </c>
      <c r="W1743" s="316">
        <f t="shared" si="483"/>
        <v>0</v>
      </c>
    </row>
    <row r="1744" spans="1:23" x14ac:dyDescent="0.25">
      <c r="A1744" s="204" t="s">
        <v>17403</v>
      </c>
      <c r="B1744" s="351" t="s">
        <v>21452</v>
      </c>
      <c r="C1744" s="352"/>
      <c r="D1744" s="353" t="s">
        <v>5</v>
      </c>
      <c r="E1744" s="249">
        <f t="shared" si="484"/>
        <v>0</v>
      </c>
      <c r="F1744" s="336">
        <v>0</v>
      </c>
      <c r="G1744" s="258">
        <f t="shared" si="485"/>
        <v>0</v>
      </c>
      <c r="H1744" s="249">
        <f t="shared" si="486"/>
        <v>6.378498164041306E-2</v>
      </c>
      <c r="I1744" s="336">
        <v>4.2345573088617304E-3</v>
      </c>
      <c r="J1744" s="258">
        <f t="shared" si="487"/>
        <v>4.2345573088617304E-3</v>
      </c>
      <c r="K1744" s="249">
        <f t="shared" si="488"/>
        <v>14.889058473502919</v>
      </c>
      <c r="L1744" s="336">
        <v>0.98845480173494293</v>
      </c>
      <c r="M1744" s="258">
        <f t="shared" si="489"/>
        <v>0.98845480173494293</v>
      </c>
      <c r="N1744" s="251">
        <f t="shared" si="490"/>
        <v>0.11006036047757546</v>
      </c>
      <c r="O1744" s="336">
        <v>7.3066871211731818E-3</v>
      </c>
      <c r="P1744" s="258">
        <f t="shared" si="491"/>
        <v>7.3066871211731818E-3</v>
      </c>
      <c r="Q1744" s="354">
        <v>14.704593023255814</v>
      </c>
      <c r="R1744" s="249">
        <f t="shared" si="492"/>
        <v>15.062963372093025</v>
      </c>
      <c r="S1744" s="355">
        <v>0.1</v>
      </c>
      <c r="T1744" s="355"/>
      <c r="U1744" s="315">
        <f t="shared" si="481"/>
        <v>16.569259709302326</v>
      </c>
      <c r="V1744" s="315">
        <f t="shared" si="482"/>
        <v>17</v>
      </c>
      <c r="W1744" s="316">
        <f t="shared" si="483"/>
        <v>0</v>
      </c>
    </row>
    <row r="1745" spans="1:23" x14ac:dyDescent="0.25">
      <c r="A1745" s="204" t="s">
        <v>17404</v>
      </c>
      <c r="B1745" s="351" t="s">
        <v>21453</v>
      </c>
      <c r="C1745" s="352"/>
      <c r="D1745" s="353" t="s">
        <v>14859</v>
      </c>
      <c r="E1745" s="249">
        <f t="shared" si="484"/>
        <v>0</v>
      </c>
      <c r="F1745" s="336">
        <v>0</v>
      </c>
      <c r="G1745" s="258">
        <f t="shared" si="485"/>
        <v>0</v>
      </c>
      <c r="H1745" s="249">
        <f t="shared" si="486"/>
        <v>10.971060225190675</v>
      </c>
      <c r="I1745" s="336">
        <v>4.2345573088617304E-3</v>
      </c>
      <c r="J1745" s="258">
        <f t="shared" si="487"/>
        <v>4.2345573088617304E-3</v>
      </c>
      <c r="K1745" s="249">
        <f t="shared" si="488"/>
        <v>2560.938427915657</v>
      </c>
      <c r="L1745" s="336">
        <v>0.9884587555699651</v>
      </c>
      <c r="M1745" s="258">
        <f t="shared" si="489"/>
        <v>0.9884587555699651</v>
      </c>
      <c r="N1745" s="251">
        <f t="shared" si="490"/>
        <v>18.930456859152535</v>
      </c>
      <c r="O1745" s="336">
        <v>7.3066871211731818E-3</v>
      </c>
      <c r="P1745" s="258">
        <f t="shared" si="491"/>
        <v>7.3066871211731818E-3</v>
      </c>
      <c r="Q1745" s="354">
        <v>2529.19</v>
      </c>
      <c r="R1745" s="249">
        <f t="shared" si="492"/>
        <v>2590.8399450000002</v>
      </c>
      <c r="S1745" s="355">
        <v>0.1</v>
      </c>
      <c r="T1745" s="355"/>
      <c r="U1745" s="315">
        <f t="shared" si="481"/>
        <v>2849.9239395000004</v>
      </c>
      <c r="V1745" s="315">
        <f t="shared" si="482"/>
        <v>2850</v>
      </c>
      <c r="W1745" s="316">
        <f t="shared" si="483"/>
        <v>0</v>
      </c>
    </row>
    <row r="1746" spans="1:23" x14ac:dyDescent="0.25">
      <c r="A1746" s="204" t="s">
        <v>17405</v>
      </c>
      <c r="B1746" s="351" t="s">
        <v>21454</v>
      </c>
      <c r="C1746" s="352"/>
      <c r="D1746" s="353" t="s">
        <v>5</v>
      </c>
      <c r="E1746" s="249">
        <f t="shared" si="484"/>
        <v>0</v>
      </c>
      <c r="F1746" s="336">
        <v>0</v>
      </c>
      <c r="G1746" s="258">
        <f t="shared" si="485"/>
        <v>0</v>
      </c>
      <c r="H1746" s="249">
        <f t="shared" si="486"/>
        <v>6.3786718540980517E-2</v>
      </c>
      <c r="I1746" s="336">
        <v>3.3166211960274873E-3</v>
      </c>
      <c r="J1746" s="258">
        <f t="shared" si="487"/>
        <v>3.3166211960274873E-3</v>
      </c>
      <c r="K1746" s="249">
        <f t="shared" si="488"/>
        <v>19.058530482161736</v>
      </c>
      <c r="L1746" s="336">
        <v>0.99095748469430411</v>
      </c>
      <c r="M1746" s="258">
        <f t="shared" si="489"/>
        <v>0.99095748469430411</v>
      </c>
      <c r="N1746" s="251">
        <f t="shared" si="490"/>
        <v>0.11006335748247617</v>
      </c>
      <c r="O1746" s="336">
        <v>5.7227973578513501E-3</v>
      </c>
      <c r="P1746" s="258">
        <f t="shared" si="491"/>
        <v>5.7227973578513501E-3</v>
      </c>
      <c r="Q1746" s="354">
        <v>18.774360465116278</v>
      </c>
      <c r="R1746" s="249">
        <f t="shared" si="492"/>
        <v>19.232440116279069</v>
      </c>
      <c r="S1746" s="355">
        <v>0.1</v>
      </c>
      <c r="T1746" s="355"/>
      <c r="U1746" s="315">
        <f t="shared" si="481"/>
        <v>21.155684127906976</v>
      </c>
      <c r="V1746" s="315">
        <f t="shared" si="482"/>
        <v>22</v>
      </c>
      <c r="W1746" s="316">
        <f t="shared" si="483"/>
        <v>0</v>
      </c>
    </row>
    <row r="1747" spans="1:23" x14ac:dyDescent="0.25">
      <c r="A1747" s="204" t="s">
        <v>17406</v>
      </c>
      <c r="B1747" s="351" t="s">
        <v>21455</v>
      </c>
      <c r="C1747" s="352"/>
      <c r="D1747" s="353" t="s">
        <v>14859</v>
      </c>
      <c r="E1747" s="249">
        <f t="shared" si="484"/>
        <v>0</v>
      </c>
      <c r="F1747" s="336">
        <v>0</v>
      </c>
      <c r="G1747" s="258">
        <f t="shared" si="485"/>
        <v>0</v>
      </c>
      <c r="H1747" s="249">
        <f t="shared" si="486"/>
        <v>10.971349567832801</v>
      </c>
      <c r="I1747" s="336">
        <v>3.3166211960274868E-3</v>
      </c>
      <c r="J1747" s="258">
        <f t="shared" si="487"/>
        <v>3.3166211960274868E-3</v>
      </c>
      <c r="K1747" s="249">
        <f t="shared" si="488"/>
        <v>3278.0876393151225</v>
      </c>
      <c r="L1747" s="336">
        <v>0.99096058144612109</v>
      </c>
      <c r="M1747" s="258">
        <f t="shared" si="489"/>
        <v>0.99096058144612109</v>
      </c>
      <c r="N1747" s="251">
        <f t="shared" si="490"/>
        <v>18.930956117044833</v>
      </c>
      <c r="O1747" s="336">
        <v>5.7227973578513501E-3</v>
      </c>
      <c r="P1747" s="258">
        <f t="shared" si="491"/>
        <v>5.7227973578513501E-3</v>
      </c>
      <c r="Q1747" s="354">
        <v>3229.19</v>
      </c>
      <c r="R1747" s="249">
        <f t="shared" si="492"/>
        <v>3307.9899450000003</v>
      </c>
      <c r="S1747" s="355">
        <v>0.1</v>
      </c>
      <c r="T1747" s="355"/>
      <c r="U1747" s="315">
        <f t="shared" si="481"/>
        <v>3638.7889395000002</v>
      </c>
      <c r="V1747" s="315">
        <f t="shared" si="482"/>
        <v>3650</v>
      </c>
      <c r="W1747" s="316">
        <f t="shared" si="483"/>
        <v>0</v>
      </c>
    </row>
    <row r="1748" spans="1:23" x14ac:dyDescent="0.25">
      <c r="A1748" s="204" t="s">
        <v>17407</v>
      </c>
      <c r="B1748" s="351" t="s">
        <v>21456</v>
      </c>
      <c r="C1748" s="352"/>
      <c r="D1748" s="353" t="s">
        <v>5</v>
      </c>
      <c r="E1748" s="249">
        <f t="shared" si="484"/>
        <v>0</v>
      </c>
      <c r="F1748" s="336">
        <v>0</v>
      </c>
      <c r="G1748" s="258">
        <f t="shared" si="485"/>
        <v>0</v>
      </c>
      <c r="H1748" s="249">
        <f t="shared" si="486"/>
        <v>6.3786867292964039E-2</v>
      </c>
      <c r="I1748" s="336">
        <v>3.2380071290577131E-3</v>
      </c>
      <c r="J1748" s="258">
        <f t="shared" si="487"/>
        <v>3.2380071290577131E-3</v>
      </c>
      <c r="K1748" s="249">
        <f t="shared" si="488"/>
        <v>19.525511471949613</v>
      </c>
      <c r="L1748" s="336">
        <v>0.99117181996559434</v>
      </c>
      <c r="M1748" s="258">
        <f t="shared" si="489"/>
        <v>0.99117181996559434</v>
      </c>
      <c r="N1748" s="251">
        <f t="shared" si="490"/>
        <v>0.11006361415256538</v>
      </c>
      <c r="O1748" s="336">
        <v>5.5871495560211515E-3</v>
      </c>
      <c r="P1748" s="258">
        <f t="shared" si="491"/>
        <v>5.5871495560211515E-3</v>
      </c>
      <c r="Q1748" s="354">
        <v>19.230174418604651</v>
      </c>
      <c r="R1748" s="249">
        <f t="shared" si="492"/>
        <v>19.699421511627907</v>
      </c>
      <c r="S1748" s="355">
        <v>0.1</v>
      </c>
      <c r="T1748" s="355"/>
      <c r="U1748" s="315">
        <f t="shared" si="481"/>
        <v>21.669363662790698</v>
      </c>
      <c r="V1748" s="315">
        <f t="shared" si="482"/>
        <v>22</v>
      </c>
      <c r="W1748" s="316">
        <f t="shared" si="483"/>
        <v>0</v>
      </c>
    </row>
    <row r="1749" spans="1:23" x14ac:dyDescent="0.25">
      <c r="A1749" s="204" t="s">
        <v>17408</v>
      </c>
      <c r="B1749" s="351" t="s">
        <v>21457</v>
      </c>
      <c r="C1749" s="352"/>
      <c r="D1749" s="353" t="s">
        <v>14859</v>
      </c>
      <c r="E1749" s="249">
        <f t="shared" si="484"/>
        <v>0</v>
      </c>
      <c r="F1749" s="336">
        <v>0</v>
      </c>
      <c r="G1749" s="258">
        <f t="shared" si="485"/>
        <v>0</v>
      </c>
      <c r="H1749" s="249">
        <f t="shared" si="486"/>
        <v>10.97137434777285</v>
      </c>
      <c r="I1749" s="336">
        <v>3.2380071290577126E-3</v>
      </c>
      <c r="J1749" s="258">
        <f t="shared" si="487"/>
        <v>3.2380071290577126E-3</v>
      </c>
      <c r="K1749" s="249">
        <f t="shared" si="488"/>
        <v>3358.4083717776389</v>
      </c>
      <c r="L1749" s="336">
        <v>0.99117484331492112</v>
      </c>
      <c r="M1749" s="258">
        <f t="shared" si="489"/>
        <v>0.99117484331492112</v>
      </c>
      <c r="N1749" s="251">
        <f t="shared" si="490"/>
        <v>18.930998874588447</v>
      </c>
      <c r="O1749" s="336">
        <v>5.5871495560211515E-3</v>
      </c>
      <c r="P1749" s="258">
        <f t="shared" si="491"/>
        <v>5.5871495560211515E-3</v>
      </c>
      <c r="Q1749" s="354">
        <v>3307.59</v>
      </c>
      <c r="R1749" s="249">
        <f t="shared" si="492"/>
        <v>3388.3107450000002</v>
      </c>
      <c r="S1749" s="355">
        <v>0.1</v>
      </c>
      <c r="T1749" s="355"/>
      <c r="U1749" s="315">
        <f t="shared" si="481"/>
        <v>3727.1418195000001</v>
      </c>
      <c r="V1749" s="315">
        <f t="shared" si="482"/>
        <v>3750</v>
      </c>
      <c r="W1749" s="316">
        <f t="shared" si="483"/>
        <v>0</v>
      </c>
    </row>
    <row r="1750" spans="1:23" x14ac:dyDescent="0.25">
      <c r="A1750" s="204" t="s">
        <v>17409</v>
      </c>
      <c r="B1750" s="351" t="s">
        <v>21458</v>
      </c>
      <c r="C1750" s="352"/>
      <c r="D1750" s="353" t="s">
        <v>5</v>
      </c>
      <c r="E1750" s="249">
        <f t="shared" si="484"/>
        <v>0</v>
      </c>
      <c r="F1750" s="336">
        <v>0</v>
      </c>
      <c r="G1750" s="258">
        <f t="shared" si="485"/>
        <v>0</v>
      </c>
      <c r="H1750" s="249">
        <f t="shared" si="486"/>
        <v>6.3787827497634716E-2</v>
      </c>
      <c r="I1750" s="336">
        <v>2.7305477157476884E-3</v>
      </c>
      <c r="J1750" s="258">
        <f t="shared" si="487"/>
        <v>2.7305477157476884E-3</v>
      </c>
      <c r="K1750" s="249">
        <f t="shared" si="488"/>
        <v>23.186905074954879</v>
      </c>
      <c r="L1750" s="336">
        <v>0.99255536943979161</v>
      </c>
      <c r="M1750" s="258">
        <f t="shared" si="489"/>
        <v>0.99255536943979161</v>
      </c>
      <c r="N1750" s="251">
        <f t="shared" si="490"/>
        <v>0.11006527097631087</v>
      </c>
      <c r="O1750" s="336">
        <v>4.711533313446991E-3</v>
      </c>
      <c r="P1750" s="258">
        <f t="shared" si="491"/>
        <v>4.711533313446991E-3</v>
      </c>
      <c r="Q1750" s="354">
        <v>22.804011627906977</v>
      </c>
      <c r="R1750" s="249">
        <f t="shared" si="492"/>
        <v>23.360817732558139</v>
      </c>
      <c r="S1750" s="355">
        <v>0.1</v>
      </c>
      <c r="T1750" s="355"/>
      <c r="U1750" s="315">
        <f t="shared" si="481"/>
        <v>25.696899505813953</v>
      </c>
      <c r="V1750" s="315">
        <f t="shared" si="482"/>
        <v>26</v>
      </c>
      <c r="W1750" s="316">
        <f t="shared" si="483"/>
        <v>0</v>
      </c>
    </row>
    <row r="1751" spans="1:23" x14ac:dyDescent="0.25">
      <c r="A1751" s="204" t="s">
        <v>17410</v>
      </c>
      <c r="B1751" s="351" t="s">
        <v>21459</v>
      </c>
      <c r="C1751" s="352"/>
      <c r="D1751" s="353" t="s">
        <v>14859</v>
      </c>
      <c r="E1751" s="249">
        <f t="shared" si="484"/>
        <v>0</v>
      </c>
      <c r="F1751" s="336">
        <v>0</v>
      </c>
      <c r="G1751" s="258">
        <f t="shared" si="485"/>
        <v>0</v>
      </c>
      <c r="H1751" s="249">
        <f t="shared" si="486"/>
        <v>10.971534304054519</v>
      </c>
      <c r="I1751" s="336">
        <v>2.7305477157476884E-3</v>
      </c>
      <c r="J1751" s="258">
        <f t="shared" si="487"/>
        <v>2.7305477157476884E-3</v>
      </c>
      <c r="K1751" s="249">
        <f t="shared" si="488"/>
        <v>3988.1680858183609</v>
      </c>
      <c r="L1751" s="336">
        <v>0.99255791897080525</v>
      </c>
      <c r="M1751" s="258">
        <f t="shared" si="489"/>
        <v>0.99255791897080525</v>
      </c>
      <c r="N1751" s="251">
        <f t="shared" si="490"/>
        <v>18.931274877584269</v>
      </c>
      <c r="O1751" s="336">
        <v>4.7115333134469918E-3</v>
      </c>
      <c r="P1751" s="258">
        <f t="shared" si="491"/>
        <v>4.7115333134469918E-3</v>
      </c>
      <c r="Q1751" s="354">
        <v>3922.29</v>
      </c>
      <c r="R1751" s="249">
        <f t="shared" si="492"/>
        <v>4018.0708949999998</v>
      </c>
      <c r="S1751" s="355">
        <v>0.1</v>
      </c>
      <c r="T1751" s="355"/>
      <c r="U1751" s="315">
        <f t="shared" si="481"/>
        <v>4419.8779844999999</v>
      </c>
      <c r="V1751" s="315">
        <f t="shared" si="482"/>
        <v>4425</v>
      </c>
      <c r="W1751" s="316">
        <f t="shared" si="483"/>
        <v>0</v>
      </c>
    </row>
    <row r="1752" spans="1:23" x14ac:dyDescent="0.25">
      <c r="A1752" s="204" t="s">
        <v>17411</v>
      </c>
      <c r="B1752" s="351" t="s">
        <v>21460</v>
      </c>
      <c r="C1752" s="352"/>
      <c r="D1752" s="353" t="s">
        <v>5</v>
      </c>
      <c r="E1752" s="249">
        <f t="shared" si="484"/>
        <v>0</v>
      </c>
      <c r="F1752" s="336">
        <v>0</v>
      </c>
      <c r="G1752" s="258">
        <f t="shared" si="485"/>
        <v>0</v>
      </c>
      <c r="H1752" s="249">
        <f t="shared" si="486"/>
        <v>6.3787827497634716E-2</v>
      </c>
      <c r="I1752" s="336">
        <v>2.7305477157476884E-3</v>
      </c>
      <c r="J1752" s="258">
        <f t="shared" si="487"/>
        <v>2.7305477157476884E-3</v>
      </c>
      <c r="K1752" s="249">
        <f t="shared" si="488"/>
        <v>23.186905074954879</v>
      </c>
      <c r="L1752" s="336">
        <v>0.99255536943979161</v>
      </c>
      <c r="M1752" s="258">
        <f t="shared" si="489"/>
        <v>0.99255536943979161</v>
      </c>
      <c r="N1752" s="251">
        <f t="shared" si="490"/>
        <v>0.11006527097631087</v>
      </c>
      <c r="O1752" s="336">
        <v>4.711533313446991E-3</v>
      </c>
      <c r="P1752" s="258">
        <f t="shared" si="491"/>
        <v>4.711533313446991E-3</v>
      </c>
      <c r="Q1752" s="354">
        <v>22.804011627906977</v>
      </c>
      <c r="R1752" s="249">
        <f t="shared" si="492"/>
        <v>23.360817732558139</v>
      </c>
      <c r="S1752" s="355">
        <v>0.1</v>
      </c>
      <c r="T1752" s="355"/>
      <c r="U1752" s="315">
        <f t="shared" si="481"/>
        <v>25.696899505813953</v>
      </c>
      <c r="V1752" s="315">
        <f t="shared" si="482"/>
        <v>26</v>
      </c>
      <c r="W1752" s="316">
        <f t="shared" si="483"/>
        <v>0</v>
      </c>
    </row>
    <row r="1753" spans="1:23" x14ac:dyDescent="0.25">
      <c r="A1753" s="204" t="s">
        <v>17412</v>
      </c>
      <c r="B1753" s="351" t="s">
        <v>21461</v>
      </c>
      <c r="C1753" s="352"/>
      <c r="D1753" s="353" t="s">
        <v>14859</v>
      </c>
      <c r="E1753" s="249">
        <f t="shared" si="484"/>
        <v>0</v>
      </c>
      <c r="F1753" s="336">
        <v>0</v>
      </c>
      <c r="G1753" s="258">
        <f t="shared" si="485"/>
        <v>0</v>
      </c>
      <c r="H1753" s="249">
        <f t="shared" si="486"/>
        <v>10.971534304054519</v>
      </c>
      <c r="I1753" s="336">
        <v>2.7305477157476884E-3</v>
      </c>
      <c r="J1753" s="258">
        <f t="shared" si="487"/>
        <v>2.7305477157476884E-3</v>
      </c>
      <c r="K1753" s="249">
        <f t="shared" si="488"/>
        <v>3988.1680858183609</v>
      </c>
      <c r="L1753" s="336">
        <v>0.99255791897080525</v>
      </c>
      <c r="M1753" s="258">
        <f t="shared" si="489"/>
        <v>0.99255791897080525</v>
      </c>
      <c r="N1753" s="251">
        <f t="shared" si="490"/>
        <v>18.931274877584269</v>
      </c>
      <c r="O1753" s="336">
        <v>4.7115333134469918E-3</v>
      </c>
      <c r="P1753" s="258">
        <f t="shared" si="491"/>
        <v>4.7115333134469918E-3</v>
      </c>
      <c r="Q1753" s="354">
        <v>3922.29</v>
      </c>
      <c r="R1753" s="249">
        <f t="shared" si="492"/>
        <v>4018.0708949999998</v>
      </c>
      <c r="S1753" s="355">
        <v>0.1</v>
      </c>
      <c r="T1753" s="355"/>
      <c r="U1753" s="315">
        <f t="shared" si="481"/>
        <v>4419.8779844999999</v>
      </c>
      <c r="V1753" s="315">
        <f t="shared" si="482"/>
        <v>4425</v>
      </c>
      <c r="W1753" s="316">
        <f t="shared" si="483"/>
        <v>0</v>
      </c>
    </row>
    <row r="1754" spans="1:23" x14ac:dyDescent="0.25">
      <c r="A1754" s="203" t="s">
        <v>17413</v>
      </c>
      <c r="B1754" s="345" t="s">
        <v>17414</v>
      </c>
      <c r="C1754" s="346"/>
      <c r="D1754" s="347"/>
      <c r="E1754" s="347"/>
      <c r="F1754" s="347"/>
      <c r="G1754" s="347"/>
      <c r="H1754" s="347"/>
      <c r="I1754" s="347"/>
      <c r="J1754" s="347"/>
      <c r="K1754" s="347"/>
      <c r="L1754" s="347"/>
      <c r="M1754" s="347"/>
      <c r="N1754" s="347"/>
      <c r="O1754" s="347"/>
      <c r="P1754" s="347"/>
      <c r="Q1754" s="347"/>
      <c r="R1754" s="347"/>
      <c r="S1754" s="347"/>
      <c r="T1754" s="348"/>
      <c r="U1754" s="349"/>
      <c r="V1754" s="349"/>
      <c r="W1754" s="350"/>
    </row>
    <row r="1755" spans="1:23" x14ac:dyDescent="0.25">
      <c r="A1755" s="204" t="s">
        <v>17415</v>
      </c>
      <c r="B1755" s="351" t="s">
        <v>21462</v>
      </c>
      <c r="C1755" s="352"/>
      <c r="D1755" s="353" t="s">
        <v>14859</v>
      </c>
      <c r="E1755" s="249">
        <f t="shared" si="484"/>
        <v>0</v>
      </c>
      <c r="F1755" s="336">
        <v>0</v>
      </c>
      <c r="G1755" s="258">
        <f t="shared" si="485"/>
        <v>0</v>
      </c>
      <c r="H1755" s="249">
        <f t="shared" si="486"/>
        <v>10.968644063515608</v>
      </c>
      <c r="I1755" s="336">
        <v>1.1899801669972168E-2</v>
      </c>
      <c r="J1755" s="258">
        <f t="shared" si="487"/>
        <v>1.1899801669972168E-2</v>
      </c>
      <c r="K1755" s="249">
        <f t="shared" si="488"/>
        <v>891.85522564061421</v>
      </c>
      <c r="L1755" s="336">
        <v>0.9675672072132131</v>
      </c>
      <c r="M1755" s="258">
        <f t="shared" si="489"/>
        <v>0.9675672072132131</v>
      </c>
      <c r="N1755" s="251">
        <f t="shared" si="490"/>
        <v>18.926287795870067</v>
      </c>
      <c r="O1755" s="336">
        <v>2.0532991116814722E-2</v>
      </c>
      <c r="P1755" s="258">
        <f t="shared" si="491"/>
        <v>2.0532991116814722E-2</v>
      </c>
      <c r="Q1755" s="354">
        <v>900.01499999999999</v>
      </c>
      <c r="R1755" s="249">
        <f t="shared" si="492"/>
        <v>921.75015749999989</v>
      </c>
      <c r="S1755" s="355">
        <v>0.1</v>
      </c>
      <c r="T1755" s="355"/>
      <c r="U1755" s="315">
        <f t="shared" si="481"/>
        <v>1013.9251732499999</v>
      </c>
      <c r="V1755" s="315">
        <f t="shared" si="482"/>
        <v>1025</v>
      </c>
      <c r="W1755" s="316">
        <f t="shared" si="483"/>
        <v>0</v>
      </c>
    </row>
    <row r="1756" spans="1:23" x14ac:dyDescent="0.25">
      <c r="A1756" s="204" t="s">
        <v>17416</v>
      </c>
      <c r="B1756" s="351" t="s">
        <v>21463</v>
      </c>
      <c r="C1756" s="352"/>
      <c r="D1756" s="353" t="s">
        <v>5</v>
      </c>
      <c r="E1756" s="249">
        <f t="shared" si="484"/>
        <v>0</v>
      </c>
      <c r="F1756" s="336">
        <v>0</v>
      </c>
      <c r="G1756" s="258">
        <f t="shared" si="485"/>
        <v>0</v>
      </c>
      <c r="H1756" s="249">
        <f t="shared" si="486"/>
        <v>6.3770477616555243E-2</v>
      </c>
      <c r="I1756" s="336">
        <v>1.1899801669972168E-2</v>
      </c>
      <c r="J1756" s="258">
        <f t="shared" si="487"/>
        <v>1.1899801669972168E-2</v>
      </c>
      <c r="K1756" s="249">
        <f t="shared" si="488"/>
        <v>5.1850876251783893</v>
      </c>
      <c r="L1756" s="336">
        <v>0.96755609628728412</v>
      </c>
      <c r="M1756" s="258">
        <f t="shared" si="489"/>
        <v>0.96755609628728412</v>
      </c>
      <c r="N1756" s="251">
        <f t="shared" si="490"/>
        <v>0.1100353339266051</v>
      </c>
      <c r="O1756" s="336">
        <v>2.0532991116814718E-2</v>
      </c>
      <c r="P1756" s="258">
        <f t="shared" si="491"/>
        <v>2.0532991116814718E-2</v>
      </c>
      <c r="Q1756" s="354">
        <v>5.2326453488372096</v>
      </c>
      <c r="R1756" s="249">
        <f t="shared" si="492"/>
        <v>5.3589529796511632</v>
      </c>
      <c r="S1756" s="355">
        <v>0.1</v>
      </c>
      <c r="T1756" s="355"/>
      <c r="U1756" s="315">
        <f t="shared" si="481"/>
        <v>5.8948482776162798</v>
      </c>
      <c r="V1756" s="315">
        <f t="shared" si="482"/>
        <v>6</v>
      </c>
      <c r="W1756" s="316">
        <f t="shared" si="483"/>
        <v>0</v>
      </c>
    </row>
    <row r="1757" spans="1:23" x14ac:dyDescent="0.25">
      <c r="A1757" s="204" t="s">
        <v>17417</v>
      </c>
      <c r="B1757" s="351" t="s">
        <v>21464</v>
      </c>
      <c r="C1757" s="352"/>
      <c r="D1757" s="353" t="s">
        <v>14859</v>
      </c>
      <c r="E1757" s="249">
        <f t="shared" si="484"/>
        <v>0</v>
      </c>
      <c r="F1757" s="336">
        <v>0</v>
      </c>
      <c r="G1757" s="258">
        <f t="shared" si="485"/>
        <v>0</v>
      </c>
      <c r="H1757" s="249">
        <f t="shared" si="486"/>
        <v>10.968644063515608</v>
      </c>
      <c r="I1757" s="336">
        <v>1.1899801669972168E-2</v>
      </c>
      <c r="J1757" s="258">
        <f t="shared" si="487"/>
        <v>1.1899801669972168E-2</v>
      </c>
      <c r="K1757" s="249">
        <f t="shared" si="488"/>
        <v>891.85522564061421</v>
      </c>
      <c r="L1757" s="336">
        <v>0.9675672072132131</v>
      </c>
      <c r="M1757" s="258">
        <f t="shared" si="489"/>
        <v>0.9675672072132131</v>
      </c>
      <c r="N1757" s="251">
        <f t="shared" si="490"/>
        <v>18.926287795870067</v>
      </c>
      <c r="O1757" s="336">
        <v>2.0532991116814722E-2</v>
      </c>
      <c r="P1757" s="258">
        <f t="shared" si="491"/>
        <v>2.0532991116814722E-2</v>
      </c>
      <c r="Q1757" s="354">
        <v>900.01499999999999</v>
      </c>
      <c r="R1757" s="249">
        <f t="shared" si="492"/>
        <v>921.75015749999989</v>
      </c>
      <c r="S1757" s="355">
        <v>0.1</v>
      </c>
      <c r="T1757" s="355"/>
      <c r="U1757" s="315">
        <f t="shared" si="481"/>
        <v>1013.9251732499999</v>
      </c>
      <c r="V1757" s="315">
        <f t="shared" si="482"/>
        <v>1025</v>
      </c>
      <c r="W1757" s="316">
        <f t="shared" si="483"/>
        <v>0</v>
      </c>
    </row>
    <row r="1758" spans="1:23" x14ac:dyDescent="0.25">
      <c r="A1758" s="204" t="s">
        <v>17418</v>
      </c>
      <c r="B1758" s="351" t="s">
        <v>21465</v>
      </c>
      <c r="C1758" s="352"/>
      <c r="D1758" s="353" t="s">
        <v>5</v>
      </c>
      <c r="E1758" s="249">
        <f t="shared" si="484"/>
        <v>0</v>
      </c>
      <c r="F1758" s="336">
        <v>0</v>
      </c>
      <c r="G1758" s="258">
        <f t="shared" si="485"/>
        <v>0</v>
      </c>
      <c r="H1758" s="249">
        <f t="shared" si="486"/>
        <v>6.3770477616555243E-2</v>
      </c>
      <c r="I1758" s="336">
        <v>1.1899801669972168E-2</v>
      </c>
      <c r="J1758" s="258">
        <f t="shared" si="487"/>
        <v>1.1899801669972168E-2</v>
      </c>
      <c r="K1758" s="249">
        <f t="shared" si="488"/>
        <v>5.1850876251783893</v>
      </c>
      <c r="L1758" s="336">
        <v>0.96755609628728412</v>
      </c>
      <c r="M1758" s="258">
        <f t="shared" si="489"/>
        <v>0.96755609628728412</v>
      </c>
      <c r="N1758" s="251">
        <f t="shared" si="490"/>
        <v>0.1100353339266051</v>
      </c>
      <c r="O1758" s="336">
        <v>2.0532991116814718E-2</v>
      </c>
      <c r="P1758" s="258">
        <f t="shared" si="491"/>
        <v>2.0532991116814718E-2</v>
      </c>
      <c r="Q1758" s="354">
        <v>5.2326453488372096</v>
      </c>
      <c r="R1758" s="249">
        <f t="shared" si="492"/>
        <v>5.3589529796511632</v>
      </c>
      <c r="S1758" s="355">
        <v>0.1</v>
      </c>
      <c r="T1758" s="355"/>
      <c r="U1758" s="315">
        <f t="shared" si="481"/>
        <v>5.8948482776162798</v>
      </c>
      <c r="V1758" s="315">
        <f t="shared" si="482"/>
        <v>6</v>
      </c>
      <c r="W1758" s="316">
        <f t="shared" si="483"/>
        <v>0</v>
      </c>
    </row>
    <row r="1759" spans="1:23" ht="14.4" thickBot="1" x14ac:dyDescent="0.3">
      <c r="A1759" s="356" t="s">
        <v>17419</v>
      </c>
      <c r="B1759" s="357" t="s">
        <v>21466</v>
      </c>
      <c r="C1759" s="358"/>
      <c r="D1759" s="359" t="s">
        <v>14859</v>
      </c>
      <c r="E1759" s="266">
        <f t="shared" si="484"/>
        <v>0</v>
      </c>
      <c r="F1759" s="360">
        <v>0</v>
      </c>
      <c r="G1759" s="322">
        <f t="shared" si="485"/>
        <v>0</v>
      </c>
      <c r="H1759" s="266">
        <f t="shared" si="486"/>
        <v>10.968644063515608</v>
      </c>
      <c r="I1759" s="360">
        <v>1.1899801669972168E-2</v>
      </c>
      <c r="J1759" s="322">
        <f t="shared" si="487"/>
        <v>1.1899801669972168E-2</v>
      </c>
      <c r="K1759" s="266">
        <f t="shared" si="488"/>
        <v>891.85522564061421</v>
      </c>
      <c r="L1759" s="360">
        <v>0.9675672072132131</v>
      </c>
      <c r="M1759" s="322">
        <f t="shared" si="489"/>
        <v>0.9675672072132131</v>
      </c>
      <c r="N1759" s="270">
        <f t="shared" si="490"/>
        <v>18.926287795870067</v>
      </c>
      <c r="O1759" s="360">
        <v>2.0532991116814722E-2</v>
      </c>
      <c r="P1759" s="322">
        <f t="shared" si="491"/>
        <v>2.0532991116814722E-2</v>
      </c>
      <c r="Q1759" s="361">
        <v>900.01499999999999</v>
      </c>
      <c r="R1759" s="266">
        <f t="shared" si="492"/>
        <v>921.75015749999989</v>
      </c>
      <c r="S1759" s="362">
        <v>0.1</v>
      </c>
      <c r="T1759" s="362"/>
      <c r="U1759" s="324">
        <f t="shared" si="481"/>
        <v>1013.9251732499999</v>
      </c>
      <c r="V1759" s="324">
        <f t="shared" si="482"/>
        <v>1025</v>
      </c>
      <c r="W1759" s="325">
        <f t="shared" si="483"/>
        <v>0</v>
      </c>
    </row>
    <row r="1760" spans="1:23" x14ac:dyDescent="0.25">
      <c r="A1760" s="204" t="s">
        <v>17420</v>
      </c>
      <c r="B1760" s="351" t="s">
        <v>21467</v>
      </c>
      <c r="C1760" s="352"/>
      <c r="D1760" s="353" t="s">
        <v>5</v>
      </c>
      <c r="E1760" s="249">
        <f t="shared" si="484"/>
        <v>0</v>
      </c>
      <c r="F1760" s="336">
        <v>0</v>
      </c>
      <c r="G1760" s="258">
        <f t="shared" si="485"/>
        <v>0</v>
      </c>
      <c r="H1760" s="249">
        <f t="shared" si="486"/>
        <v>6.3770477616555243E-2</v>
      </c>
      <c r="I1760" s="336">
        <v>1.1899801669972168E-2</v>
      </c>
      <c r="J1760" s="258">
        <f t="shared" si="487"/>
        <v>1.1899801669972168E-2</v>
      </c>
      <c r="K1760" s="249">
        <f t="shared" si="488"/>
        <v>5.1850876251783893</v>
      </c>
      <c r="L1760" s="336">
        <v>0.96755609628728412</v>
      </c>
      <c r="M1760" s="258">
        <f t="shared" si="489"/>
        <v>0.96755609628728412</v>
      </c>
      <c r="N1760" s="251">
        <f t="shared" si="490"/>
        <v>0.1100353339266051</v>
      </c>
      <c r="O1760" s="336">
        <v>2.0532991116814718E-2</v>
      </c>
      <c r="P1760" s="258">
        <f t="shared" si="491"/>
        <v>2.0532991116814718E-2</v>
      </c>
      <c r="Q1760" s="354">
        <v>5.2326453488372096</v>
      </c>
      <c r="R1760" s="249">
        <f t="shared" si="492"/>
        <v>5.3589529796511632</v>
      </c>
      <c r="S1760" s="355">
        <v>0.1</v>
      </c>
      <c r="T1760" s="355"/>
      <c r="U1760" s="315">
        <f t="shared" si="481"/>
        <v>5.8948482776162798</v>
      </c>
      <c r="V1760" s="315">
        <f t="shared" si="482"/>
        <v>6</v>
      </c>
      <c r="W1760" s="316">
        <f t="shared" si="483"/>
        <v>0</v>
      </c>
    </row>
    <row r="1761" spans="1:23" x14ac:dyDescent="0.25">
      <c r="A1761" s="204" t="s">
        <v>17421</v>
      </c>
      <c r="B1761" s="351" t="s">
        <v>21468</v>
      </c>
      <c r="C1761" s="352"/>
      <c r="D1761" s="353" t="s">
        <v>14859</v>
      </c>
      <c r="E1761" s="249">
        <f t="shared" si="484"/>
        <v>0</v>
      </c>
      <c r="F1761" s="336">
        <v>0</v>
      </c>
      <c r="G1761" s="258">
        <f t="shared" si="485"/>
        <v>0</v>
      </c>
      <c r="H1761" s="249">
        <f t="shared" si="486"/>
        <v>10.968644063515608</v>
      </c>
      <c r="I1761" s="336">
        <v>1.1899801669972168E-2</v>
      </c>
      <c r="J1761" s="258">
        <f t="shared" si="487"/>
        <v>1.1899801669972168E-2</v>
      </c>
      <c r="K1761" s="249">
        <f t="shared" si="488"/>
        <v>891.85522564061421</v>
      </c>
      <c r="L1761" s="336">
        <v>0.9675672072132131</v>
      </c>
      <c r="M1761" s="258">
        <f t="shared" si="489"/>
        <v>0.9675672072132131</v>
      </c>
      <c r="N1761" s="251">
        <f t="shared" si="490"/>
        <v>18.926287795870067</v>
      </c>
      <c r="O1761" s="336">
        <v>2.0532991116814722E-2</v>
      </c>
      <c r="P1761" s="258">
        <f t="shared" si="491"/>
        <v>2.0532991116814722E-2</v>
      </c>
      <c r="Q1761" s="354">
        <v>900.01499999999999</v>
      </c>
      <c r="R1761" s="249">
        <f t="shared" si="492"/>
        <v>921.75015749999989</v>
      </c>
      <c r="S1761" s="355">
        <v>0.1</v>
      </c>
      <c r="T1761" s="355"/>
      <c r="U1761" s="315">
        <f t="shared" si="481"/>
        <v>1013.9251732499999</v>
      </c>
      <c r="V1761" s="315">
        <f t="shared" si="482"/>
        <v>1025</v>
      </c>
      <c r="W1761" s="316">
        <f t="shared" si="483"/>
        <v>0</v>
      </c>
    </row>
    <row r="1762" spans="1:23" x14ac:dyDescent="0.25">
      <c r="A1762" s="204" t="s">
        <v>17422</v>
      </c>
      <c r="B1762" s="351" t="s">
        <v>21469</v>
      </c>
      <c r="C1762" s="352"/>
      <c r="D1762" s="353" t="s">
        <v>5</v>
      </c>
      <c r="E1762" s="249">
        <f t="shared" si="484"/>
        <v>0</v>
      </c>
      <c r="F1762" s="336">
        <v>0</v>
      </c>
      <c r="G1762" s="258">
        <f t="shared" si="485"/>
        <v>0</v>
      </c>
      <c r="H1762" s="249">
        <f t="shared" si="486"/>
        <v>6.3770477616555243E-2</v>
      </c>
      <c r="I1762" s="336">
        <v>1.1899801669972168E-2</v>
      </c>
      <c r="J1762" s="258">
        <f t="shared" si="487"/>
        <v>1.1899801669972168E-2</v>
      </c>
      <c r="K1762" s="249">
        <f t="shared" si="488"/>
        <v>5.1850876251783893</v>
      </c>
      <c r="L1762" s="336">
        <v>0.96755609628728412</v>
      </c>
      <c r="M1762" s="258">
        <f t="shared" si="489"/>
        <v>0.96755609628728412</v>
      </c>
      <c r="N1762" s="251">
        <f t="shared" si="490"/>
        <v>0.1100353339266051</v>
      </c>
      <c r="O1762" s="336">
        <v>2.0532991116814718E-2</v>
      </c>
      <c r="P1762" s="258">
        <f t="shared" si="491"/>
        <v>2.0532991116814718E-2</v>
      </c>
      <c r="Q1762" s="354">
        <v>5.2326453488372096</v>
      </c>
      <c r="R1762" s="249">
        <f t="shared" si="492"/>
        <v>5.3589529796511632</v>
      </c>
      <c r="S1762" s="355">
        <v>0.1</v>
      </c>
      <c r="T1762" s="355"/>
      <c r="U1762" s="315">
        <f t="shared" si="481"/>
        <v>5.8948482776162798</v>
      </c>
      <c r="V1762" s="315">
        <f t="shared" si="482"/>
        <v>6</v>
      </c>
      <c r="W1762" s="316">
        <f t="shared" si="483"/>
        <v>0</v>
      </c>
    </row>
    <row r="1763" spans="1:23" x14ac:dyDescent="0.25">
      <c r="A1763" s="204" t="s">
        <v>17423</v>
      </c>
      <c r="B1763" s="351" t="s">
        <v>21470</v>
      </c>
      <c r="C1763" s="352"/>
      <c r="D1763" s="353" t="s">
        <v>14859</v>
      </c>
      <c r="E1763" s="249">
        <f t="shared" si="484"/>
        <v>0</v>
      </c>
      <c r="F1763" s="336">
        <v>0</v>
      </c>
      <c r="G1763" s="258">
        <f t="shared" si="485"/>
        <v>0</v>
      </c>
      <c r="H1763" s="249">
        <f t="shared" si="486"/>
        <v>10.968644063515608</v>
      </c>
      <c r="I1763" s="336">
        <v>1.1899801669972168E-2</v>
      </c>
      <c r="J1763" s="258">
        <f t="shared" si="487"/>
        <v>1.1899801669972168E-2</v>
      </c>
      <c r="K1763" s="249">
        <f t="shared" si="488"/>
        <v>891.85522564061421</v>
      </c>
      <c r="L1763" s="336">
        <v>0.9675672072132131</v>
      </c>
      <c r="M1763" s="258">
        <f t="shared" si="489"/>
        <v>0.9675672072132131</v>
      </c>
      <c r="N1763" s="251">
        <f t="shared" si="490"/>
        <v>18.926287795870067</v>
      </c>
      <c r="O1763" s="336">
        <v>2.0532991116814722E-2</v>
      </c>
      <c r="P1763" s="258">
        <f t="shared" si="491"/>
        <v>2.0532991116814722E-2</v>
      </c>
      <c r="Q1763" s="354">
        <v>900.01499999999999</v>
      </c>
      <c r="R1763" s="249">
        <f t="shared" si="492"/>
        <v>921.75015749999989</v>
      </c>
      <c r="S1763" s="355">
        <v>0.1</v>
      </c>
      <c r="T1763" s="355"/>
      <c r="U1763" s="315">
        <f t="shared" si="481"/>
        <v>1013.9251732499999</v>
      </c>
      <c r="V1763" s="315">
        <f t="shared" si="482"/>
        <v>1025</v>
      </c>
      <c r="W1763" s="316">
        <f t="shared" si="483"/>
        <v>0</v>
      </c>
    </row>
    <row r="1764" spans="1:23" x14ac:dyDescent="0.25">
      <c r="A1764" s="204" t="s">
        <v>17424</v>
      </c>
      <c r="B1764" s="351" t="s">
        <v>21471</v>
      </c>
      <c r="C1764" s="352"/>
      <c r="D1764" s="353" t="s">
        <v>5</v>
      </c>
      <c r="E1764" s="249">
        <f t="shared" si="484"/>
        <v>0</v>
      </c>
      <c r="F1764" s="336">
        <v>0</v>
      </c>
      <c r="G1764" s="258">
        <f t="shared" si="485"/>
        <v>0</v>
      </c>
      <c r="H1764" s="249">
        <f t="shared" si="486"/>
        <v>6.3770477616555243E-2</v>
      </c>
      <c r="I1764" s="336">
        <v>1.1899801669972168E-2</v>
      </c>
      <c r="J1764" s="258">
        <f t="shared" si="487"/>
        <v>1.1899801669972168E-2</v>
      </c>
      <c r="K1764" s="249">
        <f t="shared" si="488"/>
        <v>5.1850876251783893</v>
      </c>
      <c r="L1764" s="336">
        <v>0.96755609628728412</v>
      </c>
      <c r="M1764" s="258">
        <f t="shared" si="489"/>
        <v>0.96755609628728412</v>
      </c>
      <c r="N1764" s="251">
        <f t="shared" si="490"/>
        <v>0.1100353339266051</v>
      </c>
      <c r="O1764" s="336">
        <v>2.0532991116814718E-2</v>
      </c>
      <c r="P1764" s="258">
        <f t="shared" si="491"/>
        <v>2.0532991116814718E-2</v>
      </c>
      <c r="Q1764" s="354">
        <v>5.2326453488372096</v>
      </c>
      <c r="R1764" s="249">
        <f t="shared" si="492"/>
        <v>5.3589529796511632</v>
      </c>
      <c r="S1764" s="355">
        <v>0.1</v>
      </c>
      <c r="T1764" s="355"/>
      <c r="U1764" s="315">
        <f t="shared" si="481"/>
        <v>5.8948482776162798</v>
      </c>
      <c r="V1764" s="315">
        <f t="shared" si="482"/>
        <v>6</v>
      </c>
      <c r="W1764" s="316">
        <f t="shared" si="483"/>
        <v>0</v>
      </c>
    </row>
    <row r="1765" spans="1:23" x14ac:dyDescent="0.25">
      <c r="A1765" s="204" t="s">
        <v>17425</v>
      </c>
      <c r="B1765" s="351" t="s">
        <v>21472</v>
      </c>
      <c r="C1765" s="352"/>
      <c r="D1765" s="353" t="s">
        <v>14859</v>
      </c>
      <c r="E1765" s="249">
        <f t="shared" si="484"/>
        <v>0</v>
      </c>
      <c r="F1765" s="336">
        <v>0</v>
      </c>
      <c r="G1765" s="258">
        <f t="shared" si="485"/>
        <v>0</v>
      </c>
      <c r="H1765" s="249">
        <f t="shared" si="486"/>
        <v>10.968644063515608</v>
      </c>
      <c r="I1765" s="336">
        <v>1.1899801669972168E-2</v>
      </c>
      <c r="J1765" s="258">
        <f t="shared" si="487"/>
        <v>1.1899801669972168E-2</v>
      </c>
      <c r="K1765" s="249">
        <f t="shared" si="488"/>
        <v>891.85522564061421</v>
      </c>
      <c r="L1765" s="336">
        <v>0.9675672072132131</v>
      </c>
      <c r="M1765" s="258">
        <f t="shared" si="489"/>
        <v>0.9675672072132131</v>
      </c>
      <c r="N1765" s="251">
        <f t="shared" si="490"/>
        <v>18.926287795870067</v>
      </c>
      <c r="O1765" s="336">
        <v>2.0532991116814722E-2</v>
      </c>
      <c r="P1765" s="258">
        <f t="shared" si="491"/>
        <v>2.0532991116814722E-2</v>
      </c>
      <c r="Q1765" s="354">
        <v>900.01499999999999</v>
      </c>
      <c r="R1765" s="249">
        <f t="shared" si="492"/>
        <v>921.75015749999989</v>
      </c>
      <c r="S1765" s="355">
        <v>0.1</v>
      </c>
      <c r="T1765" s="355"/>
      <c r="U1765" s="315">
        <f t="shared" ref="U1765:U1828" si="493">(R1765*S1765)+R1765</f>
        <v>1013.9251732499999</v>
      </c>
      <c r="V1765" s="315">
        <f t="shared" ref="V1765:V1828" si="494">IF(U1765=0, 0, IF(U1765&lt;10, _xlfn.CEILING.MATH(U1765,1), IF(U1765&lt;100, _xlfn.CEILING.MATH(U1765,1),IF(U1765&lt;1000, _xlfn.CEILING.MATH(U1765,5), IF(U1765&lt;10000, _xlfn.CEILING.MATH(U1765, 25), IF(U1765&lt;100000, _xlfn.CEILING.MATH(U1765,250), IF(U1765&lt;1000000, _xlfn.CEILING.MATH(U1765,500), 0)))))))</f>
        <v>1025</v>
      </c>
      <c r="W1765" s="316">
        <f t="shared" si="483"/>
        <v>0</v>
      </c>
    </row>
    <row r="1766" spans="1:23" x14ac:dyDescent="0.25">
      <c r="A1766" s="204" t="s">
        <v>17426</v>
      </c>
      <c r="B1766" s="351" t="s">
        <v>21473</v>
      </c>
      <c r="C1766" s="352"/>
      <c r="D1766" s="353" t="s">
        <v>5</v>
      </c>
      <c r="E1766" s="249">
        <f t="shared" si="484"/>
        <v>0</v>
      </c>
      <c r="F1766" s="336">
        <v>0</v>
      </c>
      <c r="G1766" s="258">
        <f t="shared" si="485"/>
        <v>0</v>
      </c>
      <c r="H1766" s="249">
        <f t="shared" si="486"/>
        <v>6.3770477616555243E-2</v>
      </c>
      <c r="I1766" s="336">
        <v>1.1899801669972168E-2</v>
      </c>
      <c r="J1766" s="258">
        <f t="shared" si="487"/>
        <v>1.1899801669972168E-2</v>
      </c>
      <c r="K1766" s="249">
        <f t="shared" si="488"/>
        <v>5.1850876251783893</v>
      </c>
      <c r="L1766" s="336">
        <v>0.96755609628728412</v>
      </c>
      <c r="M1766" s="258">
        <f t="shared" si="489"/>
        <v>0.96755609628728412</v>
      </c>
      <c r="N1766" s="251">
        <f t="shared" si="490"/>
        <v>0.1100353339266051</v>
      </c>
      <c r="O1766" s="336">
        <v>2.0532991116814718E-2</v>
      </c>
      <c r="P1766" s="258">
        <f t="shared" si="491"/>
        <v>2.0532991116814718E-2</v>
      </c>
      <c r="Q1766" s="354">
        <v>5.2326453488372096</v>
      </c>
      <c r="R1766" s="249">
        <f t="shared" si="492"/>
        <v>5.3589529796511632</v>
      </c>
      <c r="S1766" s="355">
        <v>0.1</v>
      </c>
      <c r="T1766" s="355"/>
      <c r="U1766" s="315">
        <f t="shared" si="493"/>
        <v>5.8948482776162798</v>
      </c>
      <c r="V1766" s="315">
        <f t="shared" si="494"/>
        <v>6</v>
      </c>
      <c r="W1766" s="316">
        <f t="shared" si="483"/>
        <v>0</v>
      </c>
    </row>
    <row r="1767" spans="1:23" x14ac:dyDescent="0.25">
      <c r="A1767" s="204" t="s">
        <v>17427</v>
      </c>
      <c r="B1767" s="351" t="s">
        <v>21474</v>
      </c>
      <c r="C1767" s="352"/>
      <c r="D1767" s="353" t="s">
        <v>14859</v>
      </c>
      <c r="E1767" s="249">
        <f t="shared" si="484"/>
        <v>0</v>
      </c>
      <c r="F1767" s="336">
        <v>0</v>
      </c>
      <c r="G1767" s="258">
        <f t="shared" si="485"/>
        <v>0</v>
      </c>
      <c r="H1767" s="249">
        <f t="shared" si="486"/>
        <v>10.969111299014424</v>
      </c>
      <c r="I1767" s="336">
        <v>1.0417502571547381E-2</v>
      </c>
      <c r="J1767" s="258">
        <f t="shared" si="487"/>
        <v>1.0417502571547381E-2</v>
      </c>
      <c r="K1767" s="249">
        <f t="shared" si="488"/>
        <v>1023.0539834448427</v>
      </c>
      <c r="L1767" s="336">
        <v>0.97160719887362568</v>
      </c>
      <c r="M1767" s="258">
        <f t="shared" si="489"/>
        <v>0.97160719887362568</v>
      </c>
      <c r="N1767" s="251">
        <f t="shared" si="490"/>
        <v>18.927094006142532</v>
      </c>
      <c r="O1767" s="336">
        <v>1.7975298554826852E-2</v>
      </c>
      <c r="P1767" s="258">
        <f t="shared" si="491"/>
        <v>1.7975298554826852E-2</v>
      </c>
      <c r="Q1767" s="354">
        <v>1028.0774999999999</v>
      </c>
      <c r="R1767" s="249">
        <f t="shared" si="492"/>
        <v>1052.9501887499998</v>
      </c>
      <c r="S1767" s="355">
        <v>0.1</v>
      </c>
      <c r="T1767" s="355"/>
      <c r="U1767" s="315">
        <f t="shared" si="493"/>
        <v>1158.2452076249997</v>
      </c>
      <c r="V1767" s="315">
        <f t="shared" si="494"/>
        <v>1175</v>
      </c>
      <c r="W1767" s="316">
        <f t="shared" si="483"/>
        <v>0</v>
      </c>
    </row>
    <row r="1768" spans="1:23" x14ac:dyDescent="0.25">
      <c r="A1768" s="204" t="s">
        <v>17428</v>
      </c>
      <c r="B1768" s="351" t="s">
        <v>21475</v>
      </c>
      <c r="C1768" s="352"/>
      <c r="D1768" s="353" t="s">
        <v>5</v>
      </c>
      <c r="E1768" s="249">
        <f t="shared" si="484"/>
        <v>0</v>
      </c>
      <c r="F1768" s="336">
        <v>0</v>
      </c>
      <c r="G1768" s="258">
        <f t="shared" si="485"/>
        <v>0</v>
      </c>
      <c r="H1768" s="249">
        <f t="shared" si="486"/>
        <v>6.3773282393608008E-2</v>
      </c>
      <c r="I1768" s="336">
        <v>1.0417502571547381E-2</v>
      </c>
      <c r="J1768" s="258">
        <f t="shared" si="487"/>
        <v>1.0417502571547381E-2</v>
      </c>
      <c r="K1768" s="249">
        <f t="shared" si="488"/>
        <v>5.9478708575276533</v>
      </c>
      <c r="L1768" s="336">
        <v>0.97159747198046842</v>
      </c>
      <c r="M1768" s="258">
        <f t="shared" si="489"/>
        <v>0.97159747198046842</v>
      </c>
      <c r="N1768" s="251">
        <f t="shared" si="490"/>
        <v>0.11004017354191185</v>
      </c>
      <c r="O1768" s="336">
        <v>1.7975298554826852E-2</v>
      </c>
      <c r="P1768" s="258">
        <f t="shared" si="491"/>
        <v>1.7975298554826852E-2</v>
      </c>
      <c r="Q1768" s="354">
        <v>5.9771947674418593</v>
      </c>
      <c r="R1768" s="249">
        <f t="shared" si="492"/>
        <v>6.1217438590116267</v>
      </c>
      <c r="S1768" s="355">
        <v>0.1</v>
      </c>
      <c r="T1768" s="355"/>
      <c r="U1768" s="315">
        <f t="shared" si="493"/>
        <v>6.7339182449127897</v>
      </c>
      <c r="V1768" s="315">
        <f t="shared" si="494"/>
        <v>7</v>
      </c>
      <c r="W1768" s="316">
        <f t="shared" si="483"/>
        <v>0</v>
      </c>
    </row>
    <row r="1769" spans="1:23" x14ac:dyDescent="0.25">
      <c r="A1769" s="204" t="s">
        <v>17429</v>
      </c>
      <c r="B1769" s="351" t="s">
        <v>21476</v>
      </c>
      <c r="C1769" s="352"/>
      <c r="D1769" s="353" t="s">
        <v>14859</v>
      </c>
      <c r="E1769" s="249">
        <f t="shared" si="484"/>
        <v>0</v>
      </c>
      <c r="F1769" s="336">
        <v>0</v>
      </c>
      <c r="G1769" s="258">
        <f t="shared" si="485"/>
        <v>0</v>
      </c>
      <c r="H1769" s="249">
        <f t="shared" si="486"/>
        <v>10.969111299014424</v>
      </c>
      <c r="I1769" s="336">
        <v>1.0417502571547381E-2</v>
      </c>
      <c r="J1769" s="258">
        <f t="shared" si="487"/>
        <v>1.0417502571547381E-2</v>
      </c>
      <c r="K1769" s="249">
        <f t="shared" si="488"/>
        <v>1023.0539834448427</v>
      </c>
      <c r="L1769" s="336">
        <v>0.97160719887362568</v>
      </c>
      <c r="M1769" s="258">
        <f t="shared" si="489"/>
        <v>0.97160719887362568</v>
      </c>
      <c r="N1769" s="251">
        <f t="shared" si="490"/>
        <v>18.927094006142532</v>
      </c>
      <c r="O1769" s="336">
        <v>1.7975298554826852E-2</v>
      </c>
      <c r="P1769" s="258">
        <f t="shared" si="491"/>
        <v>1.7975298554826852E-2</v>
      </c>
      <c r="Q1769" s="354">
        <v>1028.0774999999999</v>
      </c>
      <c r="R1769" s="249">
        <f t="shared" si="492"/>
        <v>1052.9501887499998</v>
      </c>
      <c r="S1769" s="355">
        <v>0.1</v>
      </c>
      <c r="T1769" s="355"/>
      <c r="U1769" s="315">
        <f t="shared" si="493"/>
        <v>1158.2452076249997</v>
      </c>
      <c r="V1769" s="315">
        <f t="shared" si="494"/>
        <v>1175</v>
      </c>
      <c r="W1769" s="316">
        <f t="shared" si="483"/>
        <v>0</v>
      </c>
    </row>
    <row r="1770" spans="1:23" x14ac:dyDescent="0.25">
      <c r="A1770" s="204" t="s">
        <v>17430</v>
      </c>
      <c r="B1770" s="351" t="s">
        <v>21477</v>
      </c>
      <c r="C1770" s="352"/>
      <c r="D1770" s="353" t="s">
        <v>5</v>
      </c>
      <c r="E1770" s="249">
        <f t="shared" si="484"/>
        <v>0</v>
      </c>
      <c r="F1770" s="336">
        <v>0</v>
      </c>
      <c r="G1770" s="258">
        <f t="shared" si="485"/>
        <v>0</v>
      </c>
      <c r="H1770" s="249">
        <f t="shared" si="486"/>
        <v>6.3773282393608008E-2</v>
      </c>
      <c r="I1770" s="336">
        <v>1.0417502571547381E-2</v>
      </c>
      <c r="J1770" s="258">
        <f t="shared" si="487"/>
        <v>1.0417502571547381E-2</v>
      </c>
      <c r="K1770" s="249">
        <f t="shared" si="488"/>
        <v>5.9478708575276533</v>
      </c>
      <c r="L1770" s="336">
        <v>0.97159747198046842</v>
      </c>
      <c r="M1770" s="258">
        <f t="shared" si="489"/>
        <v>0.97159747198046842</v>
      </c>
      <c r="N1770" s="251">
        <f t="shared" si="490"/>
        <v>0.11004017354191185</v>
      </c>
      <c r="O1770" s="336">
        <v>1.7975298554826852E-2</v>
      </c>
      <c r="P1770" s="258">
        <f t="shared" si="491"/>
        <v>1.7975298554826852E-2</v>
      </c>
      <c r="Q1770" s="354">
        <v>5.9771947674418593</v>
      </c>
      <c r="R1770" s="249">
        <f t="shared" si="492"/>
        <v>6.1217438590116267</v>
      </c>
      <c r="S1770" s="355">
        <v>0.1</v>
      </c>
      <c r="T1770" s="355"/>
      <c r="U1770" s="315">
        <f t="shared" si="493"/>
        <v>6.7339182449127897</v>
      </c>
      <c r="V1770" s="315">
        <f t="shared" si="494"/>
        <v>7</v>
      </c>
      <c r="W1770" s="316">
        <f t="shared" si="483"/>
        <v>0</v>
      </c>
    </row>
    <row r="1771" spans="1:23" x14ac:dyDescent="0.25">
      <c r="A1771" s="204" t="s">
        <v>17431</v>
      </c>
      <c r="B1771" s="351" t="s">
        <v>21478</v>
      </c>
      <c r="C1771" s="352"/>
      <c r="D1771" s="353" t="s">
        <v>14859</v>
      </c>
      <c r="E1771" s="249">
        <f t="shared" si="484"/>
        <v>0</v>
      </c>
      <c r="F1771" s="336">
        <v>0</v>
      </c>
      <c r="G1771" s="258">
        <f t="shared" si="485"/>
        <v>0</v>
      </c>
      <c r="H1771" s="249">
        <f t="shared" si="486"/>
        <v>10.969111299014424</v>
      </c>
      <c r="I1771" s="336">
        <v>1.0417502571547381E-2</v>
      </c>
      <c r="J1771" s="258">
        <f t="shared" si="487"/>
        <v>1.0417502571547381E-2</v>
      </c>
      <c r="K1771" s="249">
        <f t="shared" si="488"/>
        <v>1023.0539834448427</v>
      </c>
      <c r="L1771" s="336">
        <v>0.97160719887362568</v>
      </c>
      <c r="M1771" s="258">
        <f t="shared" si="489"/>
        <v>0.97160719887362568</v>
      </c>
      <c r="N1771" s="251">
        <f t="shared" si="490"/>
        <v>18.927094006142532</v>
      </c>
      <c r="O1771" s="336">
        <v>1.7975298554826852E-2</v>
      </c>
      <c r="P1771" s="258">
        <f t="shared" si="491"/>
        <v>1.7975298554826852E-2</v>
      </c>
      <c r="Q1771" s="354">
        <v>1028.0774999999999</v>
      </c>
      <c r="R1771" s="249">
        <f t="shared" si="492"/>
        <v>1052.9501887499998</v>
      </c>
      <c r="S1771" s="355">
        <v>0.1</v>
      </c>
      <c r="T1771" s="355"/>
      <c r="U1771" s="315">
        <f t="shared" si="493"/>
        <v>1158.2452076249997</v>
      </c>
      <c r="V1771" s="315">
        <f t="shared" si="494"/>
        <v>1175</v>
      </c>
      <c r="W1771" s="316">
        <f t="shared" si="483"/>
        <v>0</v>
      </c>
    </row>
    <row r="1772" spans="1:23" x14ac:dyDescent="0.25">
      <c r="A1772" s="204" t="s">
        <v>17432</v>
      </c>
      <c r="B1772" s="351" t="s">
        <v>21479</v>
      </c>
      <c r="C1772" s="352"/>
      <c r="D1772" s="353" t="s">
        <v>5</v>
      </c>
      <c r="E1772" s="249">
        <f t="shared" si="484"/>
        <v>0</v>
      </c>
      <c r="F1772" s="336">
        <v>0</v>
      </c>
      <c r="G1772" s="258">
        <f t="shared" si="485"/>
        <v>0</v>
      </c>
      <c r="H1772" s="249">
        <f t="shared" si="486"/>
        <v>6.3773282393608008E-2</v>
      </c>
      <c r="I1772" s="336">
        <v>1.0417502571547381E-2</v>
      </c>
      <c r="J1772" s="258">
        <f t="shared" si="487"/>
        <v>1.0417502571547381E-2</v>
      </c>
      <c r="K1772" s="249">
        <f t="shared" si="488"/>
        <v>5.9478708575276533</v>
      </c>
      <c r="L1772" s="336">
        <v>0.97159747198046842</v>
      </c>
      <c r="M1772" s="258">
        <f t="shared" si="489"/>
        <v>0.97159747198046842</v>
      </c>
      <c r="N1772" s="251">
        <f t="shared" si="490"/>
        <v>0.11004017354191185</v>
      </c>
      <c r="O1772" s="336">
        <v>1.7975298554826852E-2</v>
      </c>
      <c r="P1772" s="258">
        <f t="shared" si="491"/>
        <v>1.7975298554826852E-2</v>
      </c>
      <c r="Q1772" s="354">
        <v>5.9771947674418593</v>
      </c>
      <c r="R1772" s="249">
        <f t="shared" si="492"/>
        <v>6.1217438590116267</v>
      </c>
      <c r="S1772" s="355">
        <v>0.1</v>
      </c>
      <c r="T1772" s="355"/>
      <c r="U1772" s="315">
        <f t="shared" si="493"/>
        <v>6.7339182449127897</v>
      </c>
      <c r="V1772" s="315">
        <f t="shared" si="494"/>
        <v>7</v>
      </c>
      <c r="W1772" s="316">
        <f t="shared" si="483"/>
        <v>0</v>
      </c>
    </row>
    <row r="1773" spans="1:23" x14ac:dyDescent="0.25">
      <c r="A1773" s="204" t="s">
        <v>17433</v>
      </c>
      <c r="B1773" s="351" t="s">
        <v>21480</v>
      </c>
      <c r="C1773" s="352"/>
      <c r="D1773" s="353" t="s">
        <v>14859</v>
      </c>
      <c r="E1773" s="249">
        <f t="shared" si="484"/>
        <v>0</v>
      </c>
      <c r="F1773" s="336">
        <v>0</v>
      </c>
      <c r="G1773" s="258">
        <f t="shared" si="485"/>
        <v>0</v>
      </c>
      <c r="H1773" s="249">
        <f t="shared" si="486"/>
        <v>10.969980059037631</v>
      </c>
      <c r="I1773" s="336">
        <v>7.6613716645134713E-3</v>
      </c>
      <c r="J1773" s="258">
        <f t="shared" si="487"/>
        <v>7.6613716645134713E-3</v>
      </c>
      <c r="K1773" s="249">
        <f t="shared" si="488"/>
        <v>1401.9573058979172</v>
      </c>
      <c r="L1773" s="336">
        <v>0.9791190066398554</v>
      </c>
      <c r="M1773" s="258">
        <f t="shared" si="489"/>
        <v>0.9791190066398554</v>
      </c>
      <c r="N1773" s="251">
        <f t="shared" si="490"/>
        <v>18.928593043045321</v>
      </c>
      <c r="O1773" s="336">
        <v>1.3219621695631087E-2</v>
      </c>
      <c r="P1773" s="258">
        <f t="shared" si="491"/>
        <v>1.3219621695631087E-2</v>
      </c>
      <c r="Q1773" s="354">
        <v>1397.922</v>
      </c>
      <c r="R1773" s="249">
        <f t="shared" si="492"/>
        <v>1431.8558790000002</v>
      </c>
      <c r="S1773" s="355">
        <v>0.1</v>
      </c>
      <c r="T1773" s="355"/>
      <c r="U1773" s="315">
        <f t="shared" si="493"/>
        <v>1575.0414669000002</v>
      </c>
      <c r="V1773" s="315">
        <f t="shared" si="494"/>
        <v>1600</v>
      </c>
      <c r="W1773" s="316">
        <f t="shared" si="483"/>
        <v>0</v>
      </c>
    </row>
    <row r="1774" spans="1:23" x14ac:dyDescent="0.25">
      <c r="A1774" s="204" t="s">
        <v>17434</v>
      </c>
      <c r="B1774" s="351" t="s">
        <v>21481</v>
      </c>
      <c r="C1774" s="352"/>
      <c r="D1774" s="353" t="s">
        <v>5</v>
      </c>
      <c r="E1774" s="249">
        <f t="shared" si="484"/>
        <v>0</v>
      </c>
      <c r="F1774" s="336">
        <v>0</v>
      </c>
      <c r="G1774" s="258">
        <f t="shared" si="485"/>
        <v>0</v>
      </c>
      <c r="H1774" s="249">
        <f t="shared" si="486"/>
        <v>6.3778497490028646E-2</v>
      </c>
      <c r="I1774" s="336">
        <v>7.6613716645134704E-3</v>
      </c>
      <c r="J1774" s="258">
        <f t="shared" si="487"/>
        <v>7.6613716645134704E-3</v>
      </c>
      <c r="K1774" s="249">
        <f t="shared" si="488"/>
        <v>8.1507966985571425</v>
      </c>
      <c r="L1774" s="336">
        <v>0.979111853164912</v>
      </c>
      <c r="M1774" s="258">
        <f t="shared" si="489"/>
        <v>0.979111853164912</v>
      </c>
      <c r="N1774" s="251">
        <f t="shared" si="490"/>
        <v>0.11004917213965726</v>
      </c>
      <c r="O1774" s="336">
        <v>1.3219621695631085E-2</v>
      </c>
      <c r="P1774" s="258">
        <f t="shared" si="491"/>
        <v>1.3219621695631085E-2</v>
      </c>
      <c r="Q1774" s="354">
        <v>8.1274534883720939</v>
      </c>
      <c r="R1774" s="249">
        <f t="shared" si="492"/>
        <v>8.3246839186046522</v>
      </c>
      <c r="S1774" s="355">
        <v>0.1</v>
      </c>
      <c r="T1774" s="355"/>
      <c r="U1774" s="315">
        <f t="shared" si="493"/>
        <v>9.1571523104651167</v>
      </c>
      <c r="V1774" s="315">
        <f t="shared" si="494"/>
        <v>10</v>
      </c>
      <c r="W1774" s="316">
        <f t="shared" si="483"/>
        <v>0</v>
      </c>
    </row>
    <row r="1775" spans="1:23" x14ac:dyDescent="0.25">
      <c r="A1775" s="204" t="s">
        <v>17435</v>
      </c>
      <c r="B1775" s="351" t="s">
        <v>21482</v>
      </c>
      <c r="C1775" s="352"/>
      <c r="D1775" s="353" t="s">
        <v>14859</v>
      </c>
      <c r="E1775" s="249">
        <f t="shared" si="484"/>
        <v>0</v>
      </c>
      <c r="F1775" s="336">
        <v>0</v>
      </c>
      <c r="G1775" s="258">
        <f t="shared" si="485"/>
        <v>0</v>
      </c>
      <c r="H1775" s="249">
        <f t="shared" si="486"/>
        <v>10.97000458524073</v>
      </c>
      <c r="I1775" s="336">
        <v>7.5835625750124798E-3</v>
      </c>
      <c r="J1775" s="258">
        <f t="shared" si="487"/>
        <v>7.5835625750124798E-3</v>
      </c>
      <c r="K1775" s="249">
        <f t="shared" si="488"/>
        <v>1416.651642551991</v>
      </c>
      <c r="L1775" s="336">
        <v>0.97933107455045609</v>
      </c>
      <c r="M1775" s="258">
        <f t="shared" si="489"/>
        <v>0.97933107455045609</v>
      </c>
      <c r="N1775" s="251">
        <f t="shared" si="490"/>
        <v>18.928635362768318</v>
      </c>
      <c r="O1775" s="336">
        <v>1.3085362874531338E-2</v>
      </c>
      <c r="P1775" s="258">
        <f t="shared" si="491"/>
        <v>1.3085362874531338E-2</v>
      </c>
      <c r="Q1775" s="354">
        <v>1412.2650000000001</v>
      </c>
      <c r="R1775" s="249">
        <f t="shared" si="492"/>
        <v>1446.5502825000001</v>
      </c>
      <c r="S1775" s="355">
        <v>0.1</v>
      </c>
      <c r="T1775" s="355"/>
      <c r="U1775" s="315">
        <f t="shared" si="493"/>
        <v>1591.2053107500001</v>
      </c>
      <c r="V1775" s="315">
        <f t="shared" si="494"/>
        <v>1600</v>
      </c>
      <c r="W1775" s="316">
        <f t="shared" si="483"/>
        <v>0</v>
      </c>
    </row>
    <row r="1776" spans="1:23" x14ac:dyDescent="0.25">
      <c r="A1776" s="204" t="s">
        <v>17436</v>
      </c>
      <c r="B1776" s="351" t="s">
        <v>21483</v>
      </c>
      <c r="C1776" s="352"/>
      <c r="D1776" s="353" t="s">
        <v>5</v>
      </c>
      <c r="E1776" s="249">
        <f t="shared" si="484"/>
        <v>0</v>
      </c>
      <c r="F1776" s="336">
        <v>0</v>
      </c>
      <c r="G1776" s="258">
        <f t="shared" si="485"/>
        <v>0</v>
      </c>
      <c r="H1776" s="249">
        <f t="shared" si="486"/>
        <v>6.3778644718849697E-2</v>
      </c>
      <c r="I1776" s="336">
        <v>7.5835625750124806E-3</v>
      </c>
      <c r="J1776" s="258">
        <f t="shared" si="487"/>
        <v>7.5835625750124806E-3</v>
      </c>
      <c r="K1776" s="249">
        <f t="shared" si="488"/>
        <v>8.2362288756373321</v>
      </c>
      <c r="L1776" s="336">
        <v>0.97932399372638967</v>
      </c>
      <c r="M1776" s="258">
        <f t="shared" si="489"/>
        <v>0.97932399372638967</v>
      </c>
      <c r="N1776" s="251">
        <f t="shared" si="490"/>
        <v>0.11004942618154456</v>
      </c>
      <c r="O1776" s="336">
        <v>1.3085362874531338E-2</v>
      </c>
      <c r="P1776" s="258">
        <f t="shared" si="491"/>
        <v>1.3085362874531338E-2</v>
      </c>
      <c r="Q1776" s="354">
        <v>8.2108430232558138</v>
      </c>
      <c r="R1776" s="249">
        <f t="shared" si="492"/>
        <v>8.4101164970930213</v>
      </c>
      <c r="S1776" s="355">
        <v>0.1</v>
      </c>
      <c r="T1776" s="355"/>
      <c r="U1776" s="315">
        <f t="shared" si="493"/>
        <v>9.2511281468023228</v>
      </c>
      <c r="V1776" s="315">
        <f t="shared" si="494"/>
        <v>10</v>
      </c>
      <c r="W1776" s="316">
        <f t="shared" si="483"/>
        <v>0</v>
      </c>
    </row>
    <row r="1777" spans="1:23" x14ac:dyDescent="0.25">
      <c r="A1777" s="204" t="s">
        <v>17437</v>
      </c>
      <c r="B1777" s="351" t="s">
        <v>21484</v>
      </c>
      <c r="C1777" s="352"/>
      <c r="D1777" s="353" t="s">
        <v>14859</v>
      </c>
      <c r="E1777" s="249">
        <f t="shared" si="484"/>
        <v>0</v>
      </c>
      <c r="F1777" s="336">
        <v>0</v>
      </c>
      <c r="G1777" s="258">
        <f t="shared" si="485"/>
        <v>0</v>
      </c>
      <c r="H1777" s="249">
        <f t="shared" si="486"/>
        <v>10.97000458524073</v>
      </c>
      <c r="I1777" s="336">
        <v>7.5835625750124798E-3</v>
      </c>
      <c r="J1777" s="258">
        <f t="shared" si="487"/>
        <v>7.5835625750124798E-3</v>
      </c>
      <c r="K1777" s="249">
        <f t="shared" si="488"/>
        <v>1416.651642551991</v>
      </c>
      <c r="L1777" s="336">
        <v>0.97933107455045609</v>
      </c>
      <c r="M1777" s="258">
        <f t="shared" si="489"/>
        <v>0.97933107455045609</v>
      </c>
      <c r="N1777" s="251">
        <f t="shared" si="490"/>
        <v>18.928635362768318</v>
      </c>
      <c r="O1777" s="336">
        <v>1.3085362874531338E-2</v>
      </c>
      <c r="P1777" s="258">
        <f t="shared" si="491"/>
        <v>1.3085362874531338E-2</v>
      </c>
      <c r="Q1777" s="354">
        <v>1412.2650000000001</v>
      </c>
      <c r="R1777" s="249">
        <f t="shared" si="492"/>
        <v>1446.5502825000001</v>
      </c>
      <c r="S1777" s="355">
        <v>0.1</v>
      </c>
      <c r="T1777" s="355"/>
      <c r="U1777" s="315">
        <f t="shared" si="493"/>
        <v>1591.2053107500001</v>
      </c>
      <c r="V1777" s="315">
        <f t="shared" si="494"/>
        <v>1600</v>
      </c>
      <c r="W1777" s="316">
        <f t="shared" si="483"/>
        <v>0</v>
      </c>
    </row>
    <row r="1778" spans="1:23" x14ac:dyDescent="0.25">
      <c r="A1778" s="204" t="s">
        <v>17438</v>
      </c>
      <c r="B1778" s="351" t="s">
        <v>21485</v>
      </c>
      <c r="C1778" s="352"/>
      <c r="D1778" s="353" t="s">
        <v>5</v>
      </c>
      <c r="E1778" s="249">
        <f t="shared" si="484"/>
        <v>0</v>
      </c>
      <c r="F1778" s="336">
        <v>0</v>
      </c>
      <c r="G1778" s="258">
        <f t="shared" si="485"/>
        <v>0</v>
      </c>
      <c r="H1778" s="249">
        <f t="shared" si="486"/>
        <v>6.3778644718849697E-2</v>
      </c>
      <c r="I1778" s="336">
        <v>7.5835625750124806E-3</v>
      </c>
      <c r="J1778" s="258">
        <f t="shared" si="487"/>
        <v>7.5835625750124806E-3</v>
      </c>
      <c r="K1778" s="249">
        <f t="shared" si="488"/>
        <v>8.2362288756373321</v>
      </c>
      <c r="L1778" s="336">
        <v>0.97932399372638967</v>
      </c>
      <c r="M1778" s="258">
        <f t="shared" si="489"/>
        <v>0.97932399372638967</v>
      </c>
      <c r="N1778" s="251">
        <f t="shared" si="490"/>
        <v>0.11004942618154456</v>
      </c>
      <c r="O1778" s="336">
        <v>1.3085362874531338E-2</v>
      </c>
      <c r="P1778" s="258">
        <f t="shared" si="491"/>
        <v>1.3085362874531338E-2</v>
      </c>
      <c r="Q1778" s="354">
        <v>8.2108430232558138</v>
      </c>
      <c r="R1778" s="249">
        <f t="shared" si="492"/>
        <v>8.4101164970930213</v>
      </c>
      <c r="S1778" s="355">
        <v>0.1</v>
      </c>
      <c r="T1778" s="355"/>
      <c r="U1778" s="315">
        <f t="shared" si="493"/>
        <v>9.2511281468023228</v>
      </c>
      <c r="V1778" s="315">
        <f t="shared" si="494"/>
        <v>10</v>
      </c>
      <c r="W1778" s="316">
        <f t="shared" si="483"/>
        <v>0</v>
      </c>
    </row>
    <row r="1779" spans="1:23" x14ac:dyDescent="0.25">
      <c r="A1779" s="204" t="s">
        <v>17439</v>
      </c>
      <c r="B1779" s="351" t="s">
        <v>21486</v>
      </c>
      <c r="C1779" s="352"/>
      <c r="D1779" s="353" t="s">
        <v>14859</v>
      </c>
      <c r="E1779" s="249">
        <f t="shared" si="484"/>
        <v>0</v>
      </c>
      <c r="F1779" s="336">
        <v>0</v>
      </c>
      <c r="G1779" s="258">
        <f t="shared" si="485"/>
        <v>0</v>
      </c>
      <c r="H1779" s="249">
        <f t="shared" si="486"/>
        <v>10.97000458524073</v>
      </c>
      <c r="I1779" s="336">
        <v>7.5835625750124798E-3</v>
      </c>
      <c r="J1779" s="258">
        <f t="shared" si="487"/>
        <v>7.5835625750124798E-3</v>
      </c>
      <c r="K1779" s="249">
        <f t="shared" si="488"/>
        <v>1416.651642551991</v>
      </c>
      <c r="L1779" s="336">
        <v>0.97933107455045609</v>
      </c>
      <c r="M1779" s="258">
        <f t="shared" si="489"/>
        <v>0.97933107455045609</v>
      </c>
      <c r="N1779" s="251">
        <f t="shared" si="490"/>
        <v>18.928635362768318</v>
      </c>
      <c r="O1779" s="336">
        <v>1.3085362874531338E-2</v>
      </c>
      <c r="P1779" s="258">
        <f t="shared" si="491"/>
        <v>1.3085362874531338E-2</v>
      </c>
      <c r="Q1779" s="354">
        <v>1412.2650000000001</v>
      </c>
      <c r="R1779" s="249">
        <f t="shared" si="492"/>
        <v>1446.5502825000001</v>
      </c>
      <c r="S1779" s="355">
        <v>0.1</v>
      </c>
      <c r="T1779" s="355"/>
      <c r="U1779" s="315">
        <f t="shared" si="493"/>
        <v>1591.2053107500001</v>
      </c>
      <c r="V1779" s="315">
        <f t="shared" si="494"/>
        <v>1600</v>
      </c>
      <c r="W1779" s="316">
        <f t="shared" si="483"/>
        <v>0</v>
      </c>
    </row>
    <row r="1780" spans="1:23" x14ac:dyDescent="0.25">
      <c r="A1780" s="204" t="s">
        <v>17440</v>
      </c>
      <c r="B1780" s="351" t="s">
        <v>21487</v>
      </c>
      <c r="C1780" s="352"/>
      <c r="D1780" s="353" t="s">
        <v>5</v>
      </c>
      <c r="E1780" s="249">
        <f t="shared" si="484"/>
        <v>0</v>
      </c>
      <c r="F1780" s="336">
        <v>0</v>
      </c>
      <c r="G1780" s="258">
        <f t="shared" si="485"/>
        <v>0</v>
      </c>
      <c r="H1780" s="249">
        <f t="shared" si="486"/>
        <v>6.3778644718849697E-2</v>
      </c>
      <c r="I1780" s="336">
        <v>7.5835625750124806E-3</v>
      </c>
      <c r="J1780" s="258">
        <f t="shared" si="487"/>
        <v>7.5835625750124806E-3</v>
      </c>
      <c r="K1780" s="249">
        <f t="shared" si="488"/>
        <v>8.2362288756373321</v>
      </c>
      <c r="L1780" s="336">
        <v>0.97932399372638967</v>
      </c>
      <c r="M1780" s="258">
        <f t="shared" si="489"/>
        <v>0.97932399372638967</v>
      </c>
      <c r="N1780" s="251">
        <f t="shared" si="490"/>
        <v>0.11004942618154456</v>
      </c>
      <c r="O1780" s="336">
        <v>1.3085362874531338E-2</v>
      </c>
      <c r="P1780" s="258">
        <f t="shared" si="491"/>
        <v>1.3085362874531338E-2</v>
      </c>
      <c r="Q1780" s="354">
        <v>8.2108430232558138</v>
      </c>
      <c r="R1780" s="249">
        <f t="shared" si="492"/>
        <v>8.4101164970930213</v>
      </c>
      <c r="S1780" s="355">
        <v>0.1</v>
      </c>
      <c r="T1780" s="355"/>
      <c r="U1780" s="315">
        <f t="shared" si="493"/>
        <v>9.2511281468023228</v>
      </c>
      <c r="V1780" s="315">
        <f t="shared" si="494"/>
        <v>10</v>
      </c>
      <c r="W1780" s="316">
        <f t="shared" ref="W1780:W1796" si="495">C1780*V1780</f>
        <v>0</v>
      </c>
    </row>
    <row r="1781" spans="1:23" x14ac:dyDescent="0.25">
      <c r="A1781" s="204" t="s">
        <v>17441</v>
      </c>
      <c r="B1781" s="351" t="s">
        <v>21488</v>
      </c>
      <c r="C1781" s="352"/>
      <c r="D1781" s="353" t="s">
        <v>14859</v>
      </c>
      <c r="E1781" s="249">
        <f t="shared" si="484"/>
        <v>0</v>
      </c>
      <c r="F1781" s="336">
        <v>0</v>
      </c>
      <c r="G1781" s="258">
        <f t="shared" si="485"/>
        <v>0</v>
      </c>
      <c r="H1781" s="249">
        <f t="shared" si="486"/>
        <v>10.970512576318226</v>
      </c>
      <c r="I1781" s="336">
        <v>5.9719668848581377E-3</v>
      </c>
      <c r="J1781" s="258">
        <f t="shared" si="487"/>
        <v>5.9719668848581377E-3</v>
      </c>
      <c r="K1781" s="249">
        <f t="shared" si="488"/>
        <v>1807.1015510272894</v>
      </c>
      <c r="L1781" s="336">
        <v>0.98372346280401401</v>
      </c>
      <c r="M1781" s="258">
        <f t="shared" si="489"/>
        <v>0.98372346280401401</v>
      </c>
      <c r="N1781" s="251">
        <f t="shared" si="490"/>
        <v>18.929511896392228</v>
      </c>
      <c r="O1781" s="336">
        <v>1.0304570311127765E-2</v>
      </c>
      <c r="P1781" s="258">
        <f t="shared" si="491"/>
        <v>1.0304570311127765E-2</v>
      </c>
      <c r="Q1781" s="354">
        <v>1793.3789999999999</v>
      </c>
      <c r="R1781" s="249">
        <f t="shared" si="492"/>
        <v>1837.0015754999999</v>
      </c>
      <c r="S1781" s="355">
        <v>0.1</v>
      </c>
      <c r="T1781" s="355"/>
      <c r="U1781" s="315">
        <f t="shared" si="493"/>
        <v>2020.70173305</v>
      </c>
      <c r="V1781" s="315">
        <f t="shared" si="494"/>
        <v>2025</v>
      </c>
      <c r="W1781" s="316">
        <f t="shared" si="495"/>
        <v>0</v>
      </c>
    </row>
    <row r="1782" spans="1:23" x14ac:dyDescent="0.25">
      <c r="A1782" s="204" t="s">
        <v>17442</v>
      </c>
      <c r="B1782" s="351" t="s">
        <v>21489</v>
      </c>
      <c r="C1782" s="352"/>
      <c r="D1782" s="353" t="s">
        <v>5</v>
      </c>
      <c r="E1782" s="249">
        <f t="shared" si="484"/>
        <v>0</v>
      </c>
      <c r="F1782" s="336">
        <v>0</v>
      </c>
      <c r="G1782" s="258">
        <f t="shared" si="485"/>
        <v>0</v>
      </c>
      <c r="H1782" s="249">
        <f t="shared" si="486"/>
        <v>6.3781694148357507E-2</v>
      </c>
      <c r="I1782" s="336">
        <v>5.9719668848581377E-3</v>
      </c>
      <c r="J1782" s="258">
        <f t="shared" si="487"/>
        <v>5.9719668848581377E-3</v>
      </c>
      <c r="K1782" s="249">
        <f t="shared" si="488"/>
        <v>10.50628621857658</v>
      </c>
      <c r="L1782" s="336">
        <v>0.98371788673782845</v>
      </c>
      <c r="M1782" s="258">
        <f t="shared" si="489"/>
        <v>0.98371788673782845</v>
      </c>
      <c r="N1782" s="251">
        <f t="shared" si="490"/>
        <v>0.11005468794226392</v>
      </c>
      <c r="O1782" s="336">
        <v>1.0304570311127767E-2</v>
      </c>
      <c r="P1782" s="258">
        <f t="shared" si="491"/>
        <v>1.0304570311127767E-2</v>
      </c>
      <c r="Q1782" s="354">
        <v>10.426622093023255</v>
      </c>
      <c r="R1782" s="249">
        <f t="shared" si="492"/>
        <v>10.680182154069767</v>
      </c>
      <c r="S1782" s="355">
        <v>0.1</v>
      </c>
      <c r="T1782" s="355"/>
      <c r="U1782" s="315">
        <f t="shared" si="493"/>
        <v>11.748200369476743</v>
      </c>
      <c r="V1782" s="315">
        <f t="shared" si="494"/>
        <v>12</v>
      </c>
      <c r="W1782" s="316">
        <f t="shared" si="495"/>
        <v>0</v>
      </c>
    </row>
    <row r="1783" spans="1:23" x14ac:dyDescent="0.25">
      <c r="A1783" s="204" t="s">
        <v>17443</v>
      </c>
      <c r="B1783" s="351" t="s">
        <v>21490</v>
      </c>
      <c r="C1783" s="352"/>
      <c r="D1783" s="353" t="s">
        <v>14859</v>
      </c>
      <c r="E1783" s="249">
        <f t="shared" si="484"/>
        <v>0</v>
      </c>
      <c r="F1783" s="336">
        <v>0</v>
      </c>
      <c r="G1783" s="258">
        <f t="shared" si="485"/>
        <v>0</v>
      </c>
      <c r="H1783" s="249">
        <f t="shared" si="486"/>
        <v>10.9705157969039</v>
      </c>
      <c r="I1783" s="336">
        <v>5.9617496148659651E-3</v>
      </c>
      <c r="J1783" s="258">
        <f t="shared" si="487"/>
        <v>5.9617496148659651E-3</v>
      </c>
      <c r="K1783" s="249">
        <f t="shared" si="488"/>
        <v>1810.250342999615</v>
      </c>
      <c r="L1783" s="336">
        <v>0.98375130987320847</v>
      </c>
      <c r="M1783" s="258">
        <f t="shared" si="489"/>
        <v>0.98375130987320847</v>
      </c>
      <c r="N1783" s="251">
        <f t="shared" si="490"/>
        <v>18.929517453481239</v>
      </c>
      <c r="O1783" s="336">
        <v>1.0286940511925587E-2</v>
      </c>
      <c r="P1783" s="258">
        <f t="shared" si="491"/>
        <v>1.0286940511925587E-2</v>
      </c>
      <c r="Q1783" s="354">
        <v>1796.4525000000001</v>
      </c>
      <c r="R1783" s="249">
        <f t="shared" si="492"/>
        <v>1840.1503762500001</v>
      </c>
      <c r="S1783" s="355">
        <v>0.1</v>
      </c>
      <c r="T1783" s="355"/>
      <c r="U1783" s="315">
        <f t="shared" si="493"/>
        <v>2024.1654138750002</v>
      </c>
      <c r="V1783" s="315">
        <f t="shared" si="494"/>
        <v>2025</v>
      </c>
      <c r="W1783" s="316">
        <f t="shared" si="495"/>
        <v>0</v>
      </c>
    </row>
    <row r="1784" spans="1:23" x14ac:dyDescent="0.25">
      <c r="A1784" s="204" t="s">
        <v>17444</v>
      </c>
      <c r="B1784" s="351" t="s">
        <v>21491</v>
      </c>
      <c r="C1784" s="352"/>
      <c r="D1784" s="353" t="s">
        <v>5</v>
      </c>
      <c r="E1784" s="249">
        <f t="shared" si="484"/>
        <v>0</v>
      </c>
      <c r="F1784" s="336">
        <v>0</v>
      </c>
      <c r="G1784" s="258">
        <f t="shared" si="485"/>
        <v>0</v>
      </c>
      <c r="H1784" s="249">
        <f t="shared" si="486"/>
        <v>6.3781713481273802E-2</v>
      </c>
      <c r="I1784" s="336">
        <v>5.961749614865966E-3</v>
      </c>
      <c r="J1784" s="258">
        <f t="shared" si="487"/>
        <v>5.961749614865966E-3</v>
      </c>
      <c r="K1784" s="249">
        <f t="shared" si="488"/>
        <v>10.524593146971505</v>
      </c>
      <c r="L1784" s="336">
        <v>0.98374574334695741</v>
      </c>
      <c r="M1784" s="258">
        <f t="shared" si="489"/>
        <v>0.98374574334695741</v>
      </c>
      <c r="N1784" s="251">
        <f t="shared" si="490"/>
        <v>0.11005472130102145</v>
      </c>
      <c r="O1784" s="336">
        <v>1.0286940511925587E-2</v>
      </c>
      <c r="P1784" s="258">
        <f t="shared" si="491"/>
        <v>1.0286940511925587E-2</v>
      </c>
      <c r="Q1784" s="354">
        <v>10.444491279069767</v>
      </c>
      <c r="R1784" s="249">
        <f t="shared" si="492"/>
        <v>10.698489135174418</v>
      </c>
      <c r="S1784" s="355">
        <v>0.1</v>
      </c>
      <c r="T1784" s="355"/>
      <c r="U1784" s="315">
        <f t="shared" si="493"/>
        <v>11.768338048691859</v>
      </c>
      <c r="V1784" s="315">
        <f t="shared" si="494"/>
        <v>12</v>
      </c>
      <c r="W1784" s="316">
        <f t="shared" si="495"/>
        <v>0</v>
      </c>
    </row>
    <row r="1785" spans="1:23" x14ac:dyDescent="0.25">
      <c r="A1785" s="204" t="s">
        <v>17445</v>
      </c>
      <c r="B1785" s="351" t="s">
        <v>21492</v>
      </c>
      <c r="C1785" s="352"/>
      <c r="D1785" s="353" t="s">
        <v>14859</v>
      </c>
      <c r="E1785" s="249">
        <f t="shared" si="484"/>
        <v>0</v>
      </c>
      <c r="F1785" s="336">
        <v>0</v>
      </c>
      <c r="G1785" s="258">
        <f t="shared" si="485"/>
        <v>0</v>
      </c>
      <c r="H1785" s="249">
        <f t="shared" si="486"/>
        <v>10.9705157969039</v>
      </c>
      <c r="I1785" s="336">
        <v>5.9617496148659651E-3</v>
      </c>
      <c r="J1785" s="258">
        <f t="shared" si="487"/>
        <v>5.9617496148659651E-3</v>
      </c>
      <c r="K1785" s="249">
        <f t="shared" si="488"/>
        <v>1810.250342999615</v>
      </c>
      <c r="L1785" s="336">
        <v>0.98375130987320847</v>
      </c>
      <c r="M1785" s="258">
        <f t="shared" si="489"/>
        <v>0.98375130987320847</v>
      </c>
      <c r="N1785" s="251">
        <f t="shared" si="490"/>
        <v>18.929517453481239</v>
      </c>
      <c r="O1785" s="336">
        <v>1.0286940511925587E-2</v>
      </c>
      <c r="P1785" s="258">
        <f t="shared" si="491"/>
        <v>1.0286940511925587E-2</v>
      </c>
      <c r="Q1785" s="354">
        <v>1796.4525000000001</v>
      </c>
      <c r="R1785" s="249">
        <f t="shared" si="492"/>
        <v>1840.1503762500001</v>
      </c>
      <c r="S1785" s="355">
        <v>0.1</v>
      </c>
      <c r="T1785" s="355"/>
      <c r="U1785" s="315">
        <f t="shared" si="493"/>
        <v>2024.1654138750002</v>
      </c>
      <c r="V1785" s="315">
        <f t="shared" si="494"/>
        <v>2025</v>
      </c>
      <c r="W1785" s="316">
        <f t="shared" si="495"/>
        <v>0</v>
      </c>
    </row>
    <row r="1786" spans="1:23" x14ac:dyDescent="0.25">
      <c r="A1786" s="204" t="s">
        <v>17446</v>
      </c>
      <c r="B1786" s="351" t="s">
        <v>21493</v>
      </c>
      <c r="C1786" s="352"/>
      <c r="D1786" s="353" t="s">
        <v>5</v>
      </c>
      <c r="E1786" s="249">
        <f t="shared" si="484"/>
        <v>0</v>
      </c>
      <c r="F1786" s="336">
        <v>0</v>
      </c>
      <c r="G1786" s="258">
        <f t="shared" si="485"/>
        <v>0</v>
      </c>
      <c r="H1786" s="249">
        <f t="shared" si="486"/>
        <v>6.3781713481273802E-2</v>
      </c>
      <c r="I1786" s="336">
        <v>5.961749614865966E-3</v>
      </c>
      <c r="J1786" s="258">
        <f t="shared" si="487"/>
        <v>5.961749614865966E-3</v>
      </c>
      <c r="K1786" s="249">
        <f t="shared" si="488"/>
        <v>10.524593146971505</v>
      </c>
      <c r="L1786" s="336">
        <v>0.98374574334695741</v>
      </c>
      <c r="M1786" s="258">
        <f t="shared" si="489"/>
        <v>0.98374574334695741</v>
      </c>
      <c r="N1786" s="251">
        <f t="shared" si="490"/>
        <v>0.11005472130102145</v>
      </c>
      <c r="O1786" s="336">
        <v>1.0286940511925587E-2</v>
      </c>
      <c r="P1786" s="258">
        <f t="shared" si="491"/>
        <v>1.0286940511925587E-2</v>
      </c>
      <c r="Q1786" s="354">
        <v>10.444491279069767</v>
      </c>
      <c r="R1786" s="249">
        <f t="shared" si="492"/>
        <v>10.698489135174418</v>
      </c>
      <c r="S1786" s="355">
        <v>0.1</v>
      </c>
      <c r="T1786" s="355"/>
      <c r="U1786" s="315">
        <f t="shared" si="493"/>
        <v>11.768338048691859</v>
      </c>
      <c r="V1786" s="315">
        <f t="shared" si="494"/>
        <v>12</v>
      </c>
      <c r="W1786" s="316">
        <f t="shared" si="495"/>
        <v>0</v>
      </c>
    </row>
    <row r="1787" spans="1:23" x14ac:dyDescent="0.25">
      <c r="A1787" s="204" t="s">
        <v>17447</v>
      </c>
      <c r="B1787" s="351" t="s">
        <v>21494</v>
      </c>
      <c r="C1787" s="352"/>
      <c r="D1787" s="353" t="s">
        <v>14859</v>
      </c>
      <c r="E1787" s="249">
        <f t="shared" si="484"/>
        <v>0</v>
      </c>
      <c r="F1787" s="336">
        <v>0</v>
      </c>
      <c r="G1787" s="258">
        <f t="shared" si="485"/>
        <v>0</v>
      </c>
      <c r="H1787" s="249">
        <f t="shared" si="486"/>
        <v>10.971129327755548</v>
      </c>
      <c r="I1787" s="336">
        <v>4.0153302384172626E-3</v>
      </c>
      <c r="J1787" s="258">
        <f t="shared" si="487"/>
        <v>4.0153302384172626E-3</v>
      </c>
      <c r="K1787" s="249">
        <f t="shared" si="488"/>
        <v>2702.408883327294</v>
      </c>
      <c r="L1787" s="336">
        <v>0.98905625680117648</v>
      </c>
      <c r="M1787" s="258">
        <f t="shared" si="489"/>
        <v>0.98905625680117648</v>
      </c>
      <c r="N1787" s="251">
        <f t="shared" si="490"/>
        <v>18.930576094950748</v>
      </c>
      <c r="O1787" s="336">
        <v>6.9284129604062564E-3</v>
      </c>
      <c r="P1787" s="258">
        <f t="shared" si="491"/>
        <v>6.9284129604062564E-3</v>
      </c>
      <c r="Q1787" s="354">
        <v>2667.2775000000001</v>
      </c>
      <c r="R1787" s="249">
        <f t="shared" si="492"/>
        <v>2732.3105887500001</v>
      </c>
      <c r="S1787" s="355">
        <v>0.1</v>
      </c>
      <c r="T1787" s="355"/>
      <c r="U1787" s="315">
        <f t="shared" si="493"/>
        <v>3005.5416476250002</v>
      </c>
      <c r="V1787" s="315">
        <f t="shared" si="494"/>
        <v>3025</v>
      </c>
      <c r="W1787" s="316">
        <f t="shared" si="495"/>
        <v>0</v>
      </c>
    </row>
    <row r="1788" spans="1:23" x14ac:dyDescent="0.25">
      <c r="A1788" s="204" t="s">
        <v>17448</v>
      </c>
      <c r="B1788" s="351" t="s">
        <v>21495</v>
      </c>
      <c r="C1788" s="352"/>
      <c r="D1788" s="353" t="s">
        <v>5</v>
      </c>
      <c r="E1788" s="249">
        <f t="shared" si="484"/>
        <v>0</v>
      </c>
      <c r="F1788" s="336">
        <v>0</v>
      </c>
      <c r="G1788" s="258">
        <f t="shared" si="485"/>
        <v>0</v>
      </c>
      <c r="H1788" s="249">
        <f t="shared" si="486"/>
        <v>6.3785396457542193E-2</v>
      </c>
      <c r="I1788" s="336">
        <v>4.0153302384172626E-3</v>
      </c>
      <c r="J1788" s="258">
        <f t="shared" si="487"/>
        <v>4.0153302384172626E-3</v>
      </c>
      <c r="K1788" s="249">
        <f t="shared" si="488"/>
        <v>15.711561085268137</v>
      </c>
      <c r="L1788" s="336">
        <v>0.98905250765996411</v>
      </c>
      <c r="M1788" s="258">
        <f t="shared" si="489"/>
        <v>0.98905250765996411</v>
      </c>
      <c r="N1788" s="251">
        <f t="shared" si="490"/>
        <v>0.11006107624046495</v>
      </c>
      <c r="O1788" s="336">
        <v>6.9284129604062564E-3</v>
      </c>
      <c r="P1788" s="258">
        <f t="shared" si="491"/>
        <v>6.9284129604062564E-3</v>
      </c>
      <c r="Q1788" s="354">
        <v>15.507427325581396</v>
      </c>
      <c r="R1788" s="249">
        <f t="shared" si="492"/>
        <v>15.885467114825582</v>
      </c>
      <c r="S1788" s="355">
        <v>0.1</v>
      </c>
      <c r="T1788" s="355"/>
      <c r="U1788" s="315">
        <f t="shared" si="493"/>
        <v>17.474013826308141</v>
      </c>
      <c r="V1788" s="315">
        <f t="shared" si="494"/>
        <v>18</v>
      </c>
      <c r="W1788" s="316">
        <f t="shared" si="495"/>
        <v>0</v>
      </c>
    </row>
    <row r="1789" spans="1:23" x14ac:dyDescent="0.25">
      <c r="A1789" s="204" t="s">
        <v>17449</v>
      </c>
      <c r="B1789" s="351" t="s">
        <v>21496</v>
      </c>
      <c r="C1789" s="352"/>
      <c r="D1789" s="353" t="s">
        <v>14859</v>
      </c>
      <c r="E1789" s="249">
        <f t="shared" si="484"/>
        <v>0</v>
      </c>
      <c r="F1789" s="336">
        <v>0</v>
      </c>
      <c r="G1789" s="258">
        <f t="shared" si="485"/>
        <v>0</v>
      </c>
      <c r="H1789" s="249">
        <f t="shared" si="486"/>
        <v>10.971341723356858</v>
      </c>
      <c r="I1789" s="336">
        <v>3.3415077032516523E-3</v>
      </c>
      <c r="J1789" s="258">
        <f t="shared" si="487"/>
        <v>3.3415077032516523E-3</v>
      </c>
      <c r="K1789" s="249">
        <f t="shared" si="488"/>
        <v>3253.4484356951648</v>
      </c>
      <c r="L1789" s="336">
        <v>0.9908927535146671</v>
      </c>
      <c r="M1789" s="258">
        <f t="shared" si="489"/>
        <v>0.9908927535146671</v>
      </c>
      <c r="N1789" s="251">
        <f t="shared" si="490"/>
        <v>18.930942581478501</v>
      </c>
      <c r="O1789" s="336">
        <v>5.765738782081282E-3</v>
      </c>
      <c r="P1789" s="258">
        <f t="shared" si="491"/>
        <v>5.765738782081282E-3</v>
      </c>
      <c r="Q1789" s="354">
        <v>3205.14</v>
      </c>
      <c r="R1789" s="249">
        <f t="shared" si="492"/>
        <v>3283.3507199999999</v>
      </c>
      <c r="S1789" s="355">
        <v>0.1</v>
      </c>
      <c r="T1789" s="355"/>
      <c r="U1789" s="315">
        <f t="shared" si="493"/>
        <v>3611.6857919999998</v>
      </c>
      <c r="V1789" s="315">
        <f t="shared" si="494"/>
        <v>3625</v>
      </c>
      <c r="W1789" s="316">
        <f t="shared" si="495"/>
        <v>0</v>
      </c>
    </row>
    <row r="1790" spans="1:23" x14ac:dyDescent="0.25">
      <c r="A1790" s="204" t="s">
        <v>17450</v>
      </c>
      <c r="B1790" s="351" t="s">
        <v>21497</v>
      </c>
      <c r="C1790" s="352"/>
      <c r="D1790" s="353" t="s">
        <v>5</v>
      </c>
      <c r="E1790" s="249">
        <f t="shared" si="484"/>
        <v>0</v>
      </c>
      <c r="F1790" s="336">
        <v>0</v>
      </c>
      <c r="G1790" s="258">
        <f t="shared" si="485"/>
        <v>0</v>
      </c>
      <c r="H1790" s="249">
        <f t="shared" si="486"/>
        <v>6.3786671451223478E-2</v>
      </c>
      <c r="I1790" s="336">
        <v>3.3415077032516527E-3</v>
      </c>
      <c r="J1790" s="258">
        <f t="shared" si="487"/>
        <v>3.3415077032516527E-3</v>
      </c>
      <c r="K1790" s="249">
        <f t="shared" si="488"/>
        <v>18.915279302408841</v>
      </c>
      <c r="L1790" s="336">
        <v>0.99088963352614867</v>
      </c>
      <c r="M1790" s="258">
        <f t="shared" si="489"/>
        <v>0.99088963352614867</v>
      </c>
      <c r="N1790" s="251">
        <f t="shared" si="490"/>
        <v>0.11006327622956208</v>
      </c>
      <c r="O1790" s="336">
        <v>5.7657387820812828E-3</v>
      </c>
      <c r="P1790" s="258">
        <f t="shared" si="491"/>
        <v>5.7657387820812828E-3</v>
      </c>
      <c r="Q1790" s="354">
        <v>18.634534883720928</v>
      </c>
      <c r="R1790" s="249">
        <f t="shared" si="492"/>
        <v>19.089188808139532</v>
      </c>
      <c r="S1790" s="355">
        <v>0.1</v>
      </c>
      <c r="T1790" s="355"/>
      <c r="U1790" s="315">
        <f t="shared" si="493"/>
        <v>20.998107688953485</v>
      </c>
      <c r="V1790" s="315">
        <f t="shared" si="494"/>
        <v>21</v>
      </c>
      <c r="W1790" s="316">
        <f t="shared" si="495"/>
        <v>0</v>
      </c>
    </row>
    <row r="1791" spans="1:23" x14ac:dyDescent="0.25">
      <c r="A1791" s="204" t="s">
        <v>17451</v>
      </c>
      <c r="B1791" s="351" t="s">
        <v>21498</v>
      </c>
      <c r="C1791" s="352"/>
      <c r="D1791" s="353" t="s">
        <v>14859</v>
      </c>
      <c r="E1791" s="249">
        <f t="shared" si="484"/>
        <v>0</v>
      </c>
      <c r="F1791" s="336">
        <v>0</v>
      </c>
      <c r="G1791" s="258">
        <f t="shared" si="485"/>
        <v>0</v>
      </c>
      <c r="H1791" s="249">
        <f t="shared" si="486"/>
        <v>10.971341723356858</v>
      </c>
      <c r="I1791" s="336">
        <v>3.3415077032516523E-3</v>
      </c>
      <c r="J1791" s="258">
        <f t="shared" si="487"/>
        <v>3.3415077032516523E-3</v>
      </c>
      <c r="K1791" s="249">
        <f t="shared" si="488"/>
        <v>3253.4484356951648</v>
      </c>
      <c r="L1791" s="336">
        <v>0.9908927535146671</v>
      </c>
      <c r="M1791" s="258">
        <f t="shared" si="489"/>
        <v>0.9908927535146671</v>
      </c>
      <c r="N1791" s="251">
        <f t="shared" si="490"/>
        <v>18.930942581478501</v>
      </c>
      <c r="O1791" s="336">
        <v>5.765738782081282E-3</v>
      </c>
      <c r="P1791" s="258">
        <f t="shared" si="491"/>
        <v>5.765738782081282E-3</v>
      </c>
      <c r="Q1791" s="354">
        <v>3205.14</v>
      </c>
      <c r="R1791" s="249">
        <f t="shared" si="492"/>
        <v>3283.3507199999999</v>
      </c>
      <c r="S1791" s="355">
        <v>0.1</v>
      </c>
      <c r="T1791" s="355"/>
      <c r="U1791" s="315">
        <f t="shared" si="493"/>
        <v>3611.6857919999998</v>
      </c>
      <c r="V1791" s="315">
        <f t="shared" si="494"/>
        <v>3625</v>
      </c>
      <c r="W1791" s="316">
        <f t="shared" si="495"/>
        <v>0</v>
      </c>
    </row>
    <row r="1792" spans="1:23" x14ac:dyDescent="0.25">
      <c r="A1792" s="204" t="s">
        <v>17452</v>
      </c>
      <c r="B1792" s="351" t="s">
        <v>21499</v>
      </c>
      <c r="C1792" s="352"/>
      <c r="D1792" s="353" t="s">
        <v>5</v>
      </c>
      <c r="E1792" s="249">
        <f t="shared" si="484"/>
        <v>0</v>
      </c>
      <c r="F1792" s="336">
        <v>0</v>
      </c>
      <c r="G1792" s="258">
        <f t="shared" si="485"/>
        <v>0</v>
      </c>
      <c r="H1792" s="249">
        <f t="shared" si="486"/>
        <v>6.3786671451223478E-2</v>
      </c>
      <c r="I1792" s="336">
        <v>3.3415077032516527E-3</v>
      </c>
      <c r="J1792" s="258">
        <f t="shared" si="487"/>
        <v>3.3415077032516527E-3</v>
      </c>
      <c r="K1792" s="249">
        <f t="shared" si="488"/>
        <v>18.915279302408841</v>
      </c>
      <c r="L1792" s="336">
        <v>0.99088963352614867</v>
      </c>
      <c r="M1792" s="258">
        <f t="shared" si="489"/>
        <v>0.99088963352614867</v>
      </c>
      <c r="N1792" s="251">
        <f t="shared" si="490"/>
        <v>0.11006327622956208</v>
      </c>
      <c r="O1792" s="336">
        <v>5.7657387820812828E-3</v>
      </c>
      <c r="P1792" s="258">
        <f t="shared" si="491"/>
        <v>5.7657387820812828E-3</v>
      </c>
      <c r="Q1792" s="354">
        <v>18.634534883720928</v>
      </c>
      <c r="R1792" s="249">
        <f t="shared" si="492"/>
        <v>19.089188808139532</v>
      </c>
      <c r="S1792" s="355">
        <v>0.1</v>
      </c>
      <c r="T1792" s="355"/>
      <c r="U1792" s="315">
        <f t="shared" si="493"/>
        <v>20.998107688953485</v>
      </c>
      <c r="V1792" s="315">
        <f t="shared" si="494"/>
        <v>21</v>
      </c>
      <c r="W1792" s="316">
        <f t="shared" si="495"/>
        <v>0</v>
      </c>
    </row>
    <row r="1793" spans="1:23" x14ac:dyDescent="0.25">
      <c r="A1793" s="204" t="s">
        <v>17453</v>
      </c>
      <c r="B1793" s="351" t="s">
        <v>21500</v>
      </c>
      <c r="C1793" s="352"/>
      <c r="D1793" s="353" t="s">
        <v>14859</v>
      </c>
      <c r="E1793" s="249">
        <f t="shared" si="484"/>
        <v>0</v>
      </c>
      <c r="F1793" s="336">
        <v>0</v>
      </c>
      <c r="G1793" s="258">
        <f t="shared" si="485"/>
        <v>0</v>
      </c>
      <c r="H1793" s="249">
        <f t="shared" si="486"/>
        <v>10.971663308340526</v>
      </c>
      <c r="I1793" s="336">
        <v>2.3212831429003365E-3</v>
      </c>
      <c r="J1793" s="258">
        <f t="shared" si="487"/>
        <v>2.3212831429003365E-3</v>
      </c>
      <c r="K1793" s="249">
        <f t="shared" si="488"/>
        <v>4696.6479029684442</v>
      </c>
      <c r="L1793" s="336">
        <v>0.99367336555170305</v>
      </c>
      <c r="M1793" s="258">
        <f t="shared" si="489"/>
        <v>0.99367336555170305</v>
      </c>
      <c r="N1793" s="251">
        <f t="shared" si="490"/>
        <v>18.931497473215028</v>
      </c>
      <c r="O1793" s="336">
        <v>4.0053513053966592E-3</v>
      </c>
      <c r="P1793" s="258">
        <f t="shared" si="491"/>
        <v>4.0053513053966592E-3</v>
      </c>
      <c r="Q1793" s="354">
        <v>4613.8274999999994</v>
      </c>
      <c r="R1793" s="249">
        <f t="shared" si="492"/>
        <v>4726.5510637499992</v>
      </c>
      <c r="S1793" s="355">
        <v>0.1</v>
      </c>
      <c r="T1793" s="355"/>
      <c r="U1793" s="315">
        <f t="shared" si="493"/>
        <v>5199.2061701249995</v>
      </c>
      <c r="V1793" s="315">
        <f t="shared" si="494"/>
        <v>5200</v>
      </c>
      <c r="W1793" s="316">
        <f t="shared" si="495"/>
        <v>0</v>
      </c>
    </row>
    <row r="1794" spans="1:23" x14ac:dyDescent="0.25">
      <c r="A1794" s="204" t="s">
        <v>17454</v>
      </c>
      <c r="B1794" s="351" t="s">
        <v>21501</v>
      </c>
      <c r="C1794" s="352"/>
      <c r="D1794" s="353" t="s">
        <v>5</v>
      </c>
      <c r="E1794" s="249">
        <f t="shared" ref="E1794:E1857" si="496">R1794*G1794</f>
        <v>0</v>
      </c>
      <c r="F1794" s="336">
        <v>0</v>
      </c>
      <c r="G1794" s="258">
        <f t="shared" ref="G1794:G1857" si="497">F1794</f>
        <v>0</v>
      </c>
      <c r="H1794" s="249">
        <f t="shared" ref="H1794:H1857" si="498">R1794*J1794</f>
        <v>6.3788601899969349E-2</v>
      </c>
      <c r="I1794" s="336">
        <v>2.3212831429003365E-3</v>
      </c>
      <c r="J1794" s="258">
        <f t="shared" ref="J1794:J1857" si="499">I1794</f>
        <v>2.3212831429003365E-3</v>
      </c>
      <c r="K1794" s="249">
        <f t="shared" ref="K1794:K1857" si="500">R1794*M1794</f>
        <v>27.305973712152351</v>
      </c>
      <c r="L1794" s="336">
        <v>0.99367119815381044</v>
      </c>
      <c r="M1794" s="258">
        <f t="shared" ref="M1794:M1857" si="501">L1794</f>
        <v>0.99367119815381044</v>
      </c>
      <c r="N1794" s="251">
        <f t="shared" ref="N1794:N1857" si="502">P1794*R1794</f>
        <v>0.1100666071999471</v>
      </c>
      <c r="O1794" s="336">
        <v>4.0053513053966584E-3</v>
      </c>
      <c r="P1794" s="258">
        <f t="shared" ref="P1794:P1857" si="503">O1794</f>
        <v>4.0053513053966584E-3</v>
      </c>
      <c r="Q1794" s="354">
        <v>26.82457848837209</v>
      </c>
      <c r="R1794" s="249">
        <f t="shared" ref="R1794:R1857" si="504">SUM(F1794*Q1794*1.0235,I1794*Q1794*1.0175,L1794*Q1794*1.0245,O1794*Q1794*1.0115)</f>
        <v>27.479888481104648</v>
      </c>
      <c r="S1794" s="355">
        <v>0.1</v>
      </c>
      <c r="T1794" s="355"/>
      <c r="U1794" s="315">
        <f t="shared" si="493"/>
        <v>30.227877329215112</v>
      </c>
      <c r="V1794" s="315">
        <f t="shared" si="494"/>
        <v>31</v>
      </c>
      <c r="W1794" s="316">
        <f t="shared" si="495"/>
        <v>0</v>
      </c>
    </row>
    <row r="1795" spans="1:23" x14ac:dyDescent="0.25">
      <c r="A1795" s="204" t="s">
        <v>17455</v>
      </c>
      <c r="B1795" s="351" t="s">
        <v>21502</v>
      </c>
      <c r="C1795" s="352"/>
      <c r="D1795" s="353" t="s">
        <v>14859</v>
      </c>
      <c r="E1795" s="249">
        <f t="shared" si="496"/>
        <v>0</v>
      </c>
      <c r="F1795" s="336">
        <v>0</v>
      </c>
      <c r="G1795" s="258">
        <f t="shared" si="497"/>
        <v>0</v>
      </c>
      <c r="H1795" s="249">
        <f t="shared" si="498"/>
        <v>10.971663308340526</v>
      </c>
      <c r="I1795" s="336">
        <v>2.3212831429003365E-3</v>
      </c>
      <c r="J1795" s="258">
        <f t="shared" si="499"/>
        <v>2.3212831429003365E-3</v>
      </c>
      <c r="K1795" s="249">
        <f t="shared" si="500"/>
        <v>4696.6479029684442</v>
      </c>
      <c r="L1795" s="336">
        <v>0.99367336555170305</v>
      </c>
      <c r="M1795" s="258">
        <f t="shared" si="501"/>
        <v>0.99367336555170305</v>
      </c>
      <c r="N1795" s="251">
        <f t="shared" si="502"/>
        <v>18.931497473215028</v>
      </c>
      <c r="O1795" s="336">
        <v>4.0053513053966592E-3</v>
      </c>
      <c r="P1795" s="258">
        <f t="shared" si="503"/>
        <v>4.0053513053966592E-3</v>
      </c>
      <c r="Q1795" s="354">
        <v>4613.8274999999994</v>
      </c>
      <c r="R1795" s="249">
        <f t="shared" si="504"/>
        <v>4726.5510637499992</v>
      </c>
      <c r="S1795" s="355">
        <v>0.1</v>
      </c>
      <c r="T1795" s="355"/>
      <c r="U1795" s="315">
        <f t="shared" si="493"/>
        <v>5199.2061701249995</v>
      </c>
      <c r="V1795" s="315">
        <f t="shared" si="494"/>
        <v>5200</v>
      </c>
      <c r="W1795" s="316">
        <f t="shared" si="495"/>
        <v>0</v>
      </c>
    </row>
    <row r="1796" spans="1:23" x14ac:dyDescent="0.25">
      <c r="A1796" s="204" t="s">
        <v>17456</v>
      </c>
      <c r="B1796" s="351" t="s">
        <v>21503</v>
      </c>
      <c r="C1796" s="352"/>
      <c r="D1796" s="353" t="s">
        <v>5</v>
      </c>
      <c r="E1796" s="249">
        <f t="shared" si="496"/>
        <v>0</v>
      </c>
      <c r="F1796" s="336">
        <v>0</v>
      </c>
      <c r="G1796" s="258">
        <f t="shared" si="497"/>
        <v>0</v>
      </c>
      <c r="H1796" s="249">
        <f t="shared" si="498"/>
        <v>6.3788601899969349E-2</v>
      </c>
      <c r="I1796" s="336">
        <v>2.3212831429003365E-3</v>
      </c>
      <c r="J1796" s="258">
        <f t="shared" si="499"/>
        <v>2.3212831429003365E-3</v>
      </c>
      <c r="K1796" s="249">
        <f t="shared" si="500"/>
        <v>27.305973712152351</v>
      </c>
      <c r="L1796" s="336">
        <v>0.99367119815381044</v>
      </c>
      <c r="M1796" s="258">
        <f t="shared" si="501"/>
        <v>0.99367119815381044</v>
      </c>
      <c r="N1796" s="251">
        <f t="shared" si="502"/>
        <v>0.1100666071999471</v>
      </c>
      <c r="O1796" s="336">
        <v>4.0053513053966584E-3</v>
      </c>
      <c r="P1796" s="258">
        <f t="shared" si="503"/>
        <v>4.0053513053966584E-3</v>
      </c>
      <c r="Q1796" s="354">
        <v>26.82457848837209</v>
      </c>
      <c r="R1796" s="249">
        <f t="shared" si="504"/>
        <v>27.479888481104648</v>
      </c>
      <c r="S1796" s="355">
        <v>0.1</v>
      </c>
      <c r="T1796" s="355"/>
      <c r="U1796" s="315">
        <f t="shared" si="493"/>
        <v>30.227877329215112</v>
      </c>
      <c r="V1796" s="315">
        <f t="shared" si="494"/>
        <v>31</v>
      </c>
      <c r="W1796" s="316">
        <f t="shared" si="495"/>
        <v>0</v>
      </c>
    </row>
    <row r="1797" spans="1:23" x14ac:dyDescent="0.25">
      <c r="A1797" s="203" t="s">
        <v>17457</v>
      </c>
      <c r="B1797" s="345" t="s">
        <v>17458</v>
      </c>
      <c r="C1797" s="346"/>
      <c r="D1797" s="347"/>
      <c r="E1797" s="347"/>
      <c r="F1797" s="347"/>
      <c r="G1797" s="347"/>
      <c r="H1797" s="347"/>
      <c r="I1797" s="347"/>
      <c r="J1797" s="347"/>
      <c r="K1797" s="347"/>
      <c r="L1797" s="347"/>
      <c r="M1797" s="347"/>
      <c r="N1797" s="347"/>
      <c r="O1797" s="347"/>
      <c r="P1797" s="347"/>
      <c r="Q1797" s="347"/>
      <c r="R1797" s="347"/>
      <c r="S1797" s="347"/>
      <c r="T1797" s="348"/>
      <c r="U1797" s="349"/>
      <c r="V1797" s="349"/>
      <c r="W1797" s="350"/>
    </row>
    <row r="1798" spans="1:23" x14ac:dyDescent="0.25">
      <c r="A1798" s="204" t="s">
        <v>17459</v>
      </c>
      <c r="B1798" s="351" t="s">
        <v>21504</v>
      </c>
      <c r="C1798" s="352"/>
      <c r="D1798" s="353" t="s">
        <v>5</v>
      </c>
      <c r="E1798" s="249">
        <f t="shared" si="496"/>
        <v>0</v>
      </c>
      <c r="F1798" s="336">
        <v>0</v>
      </c>
      <c r="G1798" s="258">
        <f t="shared" si="497"/>
        <v>0</v>
      </c>
      <c r="H1798" s="249">
        <f t="shared" si="498"/>
        <v>6.371570195411283E-2</v>
      </c>
      <c r="I1798" s="336">
        <v>4.0848239826080331E-2</v>
      </c>
      <c r="J1798" s="258">
        <f t="shared" si="499"/>
        <v>4.0848239826080331E-2</v>
      </c>
      <c r="K1798" s="249">
        <f t="shared" si="500"/>
        <v>1.3860991034816756</v>
      </c>
      <c r="L1798" s="336">
        <v>0.88863038254700799</v>
      </c>
      <c r="M1798" s="258">
        <f t="shared" si="501"/>
        <v>0.88863038254700799</v>
      </c>
      <c r="N1798" s="251">
        <f t="shared" si="502"/>
        <v>0.10994081905807701</v>
      </c>
      <c r="O1798" s="336">
        <v>7.048323734696213E-2</v>
      </c>
      <c r="P1798" s="258">
        <f t="shared" si="503"/>
        <v>7.048323734696213E-2</v>
      </c>
      <c r="Q1798" s="354">
        <v>1.524360465116279</v>
      </c>
      <c r="R1798" s="249">
        <f t="shared" si="504"/>
        <v>1.5598151162790699</v>
      </c>
      <c r="S1798" s="355">
        <v>0.1</v>
      </c>
      <c r="T1798" s="355"/>
      <c r="U1798" s="315">
        <f t="shared" si="493"/>
        <v>1.715796627906977</v>
      </c>
      <c r="V1798" s="315">
        <f t="shared" si="494"/>
        <v>2</v>
      </c>
      <c r="W1798" s="316">
        <f t="shared" ref="W1798:W1861" si="505">C1798*V1798</f>
        <v>0</v>
      </c>
    </row>
    <row r="1799" spans="1:23" x14ac:dyDescent="0.25">
      <c r="A1799" s="204" t="s">
        <v>17460</v>
      </c>
      <c r="B1799" s="351" t="s">
        <v>21505</v>
      </c>
      <c r="C1799" s="352"/>
      <c r="D1799" s="353" t="s">
        <v>14859</v>
      </c>
      <c r="E1799" s="249">
        <f t="shared" si="496"/>
        <v>0</v>
      </c>
      <c r="F1799" s="336">
        <v>0</v>
      </c>
      <c r="G1799" s="258">
        <f t="shared" si="497"/>
        <v>0</v>
      </c>
      <c r="H1799" s="249">
        <f t="shared" si="498"/>
        <v>10.959519226324423</v>
      </c>
      <c r="I1799" s="336">
        <v>4.0848239826080324E-2</v>
      </c>
      <c r="J1799" s="258">
        <f t="shared" si="499"/>
        <v>4.0848239826080324E-2</v>
      </c>
      <c r="K1799" s="249">
        <f t="shared" si="500"/>
        <v>238.42838279491971</v>
      </c>
      <c r="L1799" s="336">
        <v>0.88866852282695752</v>
      </c>
      <c r="M1799" s="258">
        <f t="shared" si="501"/>
        <v>0.88866852282695752</v>
      </c>
      <c r="N1799" s="251">
        <f t="shared" si="502"/>
        <v>18.910542978755867</v>
      </c>
      <c r="O1799" s="336">
        <v>7.048323734696213E-2</v>
      </c>
      <c r="P1799" s="258">
        <f t="shared" si="503"/>
        <v>7.048323734696213E-2</v>
      </c>
      <c r="Q1799" s="354">
        <v>262.19</v>
      </c>
      <c r="R1799" s="249">
        <f t="shared" si="504"/>
        <v>268.29844500000002</v>
      </c>
      <c r="S1799" s="355">
        <v>0.1</v>
      </c>
      <c r="T1799" s="355"/>
      <c r="U1799" s="315">
        <f t="shared" si="493"/>
        <v>295.12828949999999</v>
      </c>
      <c r="V1799" s="315">
        <f t="shared" si="494"/>
        <v>300</v>
      </c>
      <c r="W1799" s="316">
        <f t="shared" si="505"/>
        <v>0</v>
      </c>
    </row>
    <row r="1800" spans="1:23" x14ac:dyDescent="0.25">
      <c r="A1800" s="204" t="s">
        <v>17461</v>
      </c>
      <c r="B1800" s="351" t="s">
        <v>21506</v>
      </c>
      <c r="C1800" s="352"/>
      <c r="D1800" s="353" t="s">
        <v>5</v>
      </c>
      <c r="E1800" s="249">
        <f t="shared" si="496"/>
        <v>0</v>
      </c>
      <c r="F1800" s="336">
        <v>0</v>
      </c>
      <c r="G1800" s="258">
        <f t="shared" si="497"/>
        <v>0</v>
      </c>
      <c r="H1800" s="249">
        <f t="shared" si="498"/>
        <v>6.371570195411283E-2</v>
      </c>
      <c r="I1800" s="336">
        <v>4.0848239826080331E-2</v>
      </c>
      <c r="J1800" s="258">
        <f t="shared" si="499"/>
        <v>4.0848239826080331E-2</v>
      </c>
      <c r="K1800" s="249">
        <f t="shared" si="500"/>
        <v>1.3860991034816756</v>
      </c>
      <c r="L1800" s="336">
        <v>0.88863038254700799</v>
      </c>
      <c r="M1800" s="258">
        <f t="shared" si="501"/>
        <v>0.88863038254700799</v>
      </c>
      <c r="N1800" s="251">
        <f t="shared" si="502"/>
        <v>0.10994081905807701</v>
      </c>
      <c r="O1800" s="336">
        <v>7.048323734696213E-2</v>
      </c>
      <c r="P1800" s="258">
        <f t="shared" si="503"/>
        <v>7.048323734696213E-2</v>
      </c>
      <c r="Q1800" s="354">
        <v>1.524360465116279</v>
      </c>
      <c r="R1800" s="249">
        <f t="shared" si="504"/>
        <v>1.5598151162790699</v>
      </c>
      <c r="S1800" s="355">
        <v>0.1</v>
      </c>
      <c r="T1800" s="355"/>
      <c r="U1800" s="315">
        <f t="shared" si="493"/>
        <v>1.715796627906977</v>
      </c>
      <c r="V1800" s="315">
        <f t="shared" si="494"/>
        <v>2</v>
      </c>
      <c r="W1800" s="316">
        <f t="shared" si="505"/>
        <v>0</v>
      </c>
    </row>
    <row r="1801" spans="1:23" x14ac:dyDescent="0.25">
      <c r="A1801" s="204" t="s">
        <v>17462</v>
      </c>
      <c r="B1801" s="351" t="s">
        <v>21507</v>
      </c>
      <c r="C1801" s="352"/>
      <c r="D1801" s="353" t="s">
        <v>14859</v>
      </c>
      <c r="E1801" s="249">
        <f t="shared" si="496"/>
        <v>0</v>
      </c>
      <c r="F1801" s="336">
        <v>0</v>
      </c>
      <c r="G1801" s="258">
        <f t="shared" si="497"/>
        <v>0</v>
      </c>
      <c r="H1801" s="249">
        <f t="shared" si="498"/>
        <v>10.959519226324423</v>
      </c>
      <c r="I1801" s="336">
        <v>4.0848239826080324E-2</v>
      </c>
      <c r="J1801" s="258">
        <f t="shared" si="499"/>
        <v>4.0848239826080324E-2</v>
      </c>
      <c r="K1801" s="249">
        <f t="shared" si="500"/>
        <v>238.42838279491971</v>
      </c>
      <c r="L1801" s="336">
        <v>0.88866852282695752</v>
      </c>
      <c r="M1801" s="258">
        <f t="shared" si="501"/>
        <v>0.88866852282695752</v>
      </c>
      <c r="N1801" s="251">
        <f t="shared" si="502"/>
        <v>18.910542978755867</v>
      </c>
      <c r="O1801" s="336">
        <v>7.048323734696213E-2</v>
      </c>
      <c r="P1801" s="258">
        <f t="shared" si="503"/>
        <v>7.048323734696213E-2</v>
      </c>
      <c r="Q1801" s="354">
        <v>262.19</v>
      </c>
      <c r="R1801" s="249">
        <f t="shared" si="504"/>
        <v>268.29844500000002</v>
      </c>
      <c r="S1801" s="355">
        <v>0.1</v>
      </c>
      <c r="T1801" s="355"/>
      <c r="U1801" s="315">
        <f t="shared" si="493"/>
        <v>295.12828949999999</v>
      </c>
      <c r="V1801" s="315">
        <f t="shared" si="494"/>
        <v>300</v>
      </c>
      <c r="W1801" s="316">
        <f t="shared" si="505"/>
        <v>0</v>
      </c>
    </row>
    <row r="1802" spans="1:23" x14ac:dyDescent="0.25">
      <c r="A1802" s="204" t="s">
        <v>17463</v>
      </c>
      <c r="B1802" s="351" t="s">
        <v>21508</v>
      </c>
      <c r="C1802" s="352"/>
      <c r="D1802" s="353" t="s">
        <v>5</v>
      </c>
      <c r="E1802" s="249">
        <f t="shared" si="496"/>
        <v>0</v>
      </c>
      <c r="F1802" s="336">
        <v>0</v>
      </c>
      <c r="G1802" s="258">
        <f t="shared" si="497"/>
        <v>0</v>
      </c>
      <c r="H1802" s="249">
        <f t="shared" si="498"/>
        <v>6.371570195411283E-2</v>
      </c>
      <c r="I1802" s="336">
        <v>4.0848239826080331E-2</v>
      </c>
      <c r="J1802" s="258">
        <f t="shared" si="499"/>
        <v>4.0848239826080331E-2</v>
      </c>
      <c r="K1802" s="249">
        <f t="shared" si="500"/>
        <v>1.3860991034816756</v>
      </c>
      <c r="L1802" s="336">
        <v>0.88863038254700799</v>
      </c>
      <c r="M1802" s="258">
        <f t="shared" si="501"/>
        <v>0.88863038254700799</v>
      </c>
      <c r="N1802" s="251">
        <f t="shared" si="502"/>
        <v>0.10994081905807701</v>
      </c>
      <c r="O1802" s="336">
        <v>7.048323734696213E-2</v>
      </c>
      <c r="P1802" s="258">
        <f t="shared" si="503"/>
        <v>7.048323734696213E-2</v>
      </c>
      <c r="Q1802" s="354">
        <v>1.524360465116279</v>
      </c>
      <c r="R1802" s="249">
        <f t="shared" si="504"/>
        <v>1.5598151162790699</v>
      </c>
      <c r="S1802" s="355">
        <v>0.1</v>
      </c>
      <c r="T1802" s="355"/>
      <c r="U1802" s="315">
        <f t="shared" si="493"/>
        <v>1.715796627906977</v>
      </c>
      <c r="V1802" s="315">
        <f t="shared" si="494"/>
        <v>2</v>
      </c>
      <c r="W1802" s="316">
        <f t="shared" si="505"/>
        <v>0</v>
      </c>
    </row>
    <row r="1803" spans="1:23" x14ac:dyDescent="0.25">
      <c r="A1803" s="204" t="s">
        <v>17464</v>
      </c>
      <c r="B1803" s="351" t="s">
        <v>21509</v>
      </c>
      <c r="C1803" s="352"/>
      <c r="D1803" s="353" t="s">
        <v>14859</v>
      </c>
      <c r="E1803" s="249">
        <f t="shared" si="496"/>
        <v>0</v>
      </c>
      <c r="F1803" s="336">
        <v>0</v>
      </c>
      <c r="G1803" s="258">
        <f t="shared" si="497"/>
        <v>0</v>
      </c>
      <c r="H1803" s="249">
        <f t="shared" si="498"/>
        <v>10.959519226324423</v>
      </c>
      <c r="I1803" s="336">
        <v>4.0848239826080324E-2</v>
      </c>
      <c r="J1803" s="258">
        <f t="shared" si="499"/>
        <v>4.0848239826080324E-2</v>
      </c>
      <c r="K1803" s="249">
        <f t="shared" si="500"/>
        <v>238.42838279491971</v>
      </c>
      <c r="L1803" s="336">
        <v>0.88866852282695752</v>
      </c>
      <c r="M1803" s="258">
        <f t="shared" si="501"/>
        <v>0.88866852282695752</v>
      </c>
      <c r="N1803" s="251">
        <f t="shared" si="502"/>
        <v>18.910542978755867</v>
      </c>
      <c r="O1803" s="336">
        <v>7.048323734696213E-2</v>
      </c>
      <c r="P1803" s="258">
        <f t="shared" si="503"/>
        <v>7.048323734696213E-2</v>
      </c>
      <c r="Q1803" s="354">
        <v>262.19</v>
      </c>
      <c r="R1803" s="249">
        <f t="shared" si="504"/>
        <v>268.29844500000002</v>
      </c>
      <c r="S1803" s="355">
        <v>0.1</v>
      </c>
      <c r="T1803" s="355"/>
      <c r="U1803" s="315">
        <f t="shared" si="493"/>
        <v>295.12828949999999</v>
      </c>
      <c r="V1803" s="315">
        <f t="shared" si="494"/>
        <v>300</v>
      </c>
      <c r="W1803" s="316">
        <f t="shared" si="505"/>
        <v>0</v>
      </c>
    </row>
    <row r="1804" spans="1:23" x14ac:dyDescent="0.25">
      <c r="A1804" s="204" t="s">
        <v>17465</v>
      </c>
      <c r="B1804" s="351" t="s">
        <v>21510</v>
      </c>
      <c r="C1804" s="352"/>
      <c r="D1804" s="353" t="s">
        <v>5</v>
      </c>
      <c r="E1804" s="249">
        <f t="shared" si="496"/>
        <v>0</v>
      </c>
      <c r="F1804" s="336">
        <v>0</v>
      </c>
      <c r="G1804" s="258">
        <f t="shared" si="497"/>
        <v>0</v>
      </c>
      <c r="H1804" s="249">
        <f t="shared" si="498"/>
        <v>6.371570195411283E-2</v>
      </c>
      <c r="I1804" s="336">
        <v>4.0848239826080331E-2</v>
      </c>
      <c r="J1804" s="258">
        <f t="shared" si="499"/>
        <v>4.0848239826080331E-2</v>
      </c>
      <c r="K1804" s="249">
        <f t="shared" si="500"/>
        <v>1.3860991034816756</v>
      </c>
      <c r="L1804" s="336">
        <v>0.88863038254700799</v>
      </c>
      <c r="M1804" s="258">
        <f t="shared" si="501"/>
        <v>0.88863038254700799</v>
      </c>
      <c r="N1804" s="251">
        <f t="shared" si="502"/>
        <v>0.10994081905807701</v>
      </c>
      <c r="O1804" s="336">
        <v>7.048323734696213E-2</v>
      </c>
      <c r="P1804" s="258">
        <f t="shared" si="503"/>
        <v>7.048323734696213E-2</v>
      </c>
      <c r="Q1804" s="354">
        <v>1.524360465116279</v>
      </c>
      <c r="R1804" s="249">
        <f t="shared" si="504"/>
        <v>1.5598151162790699</v>
      </c>
      <c r="S1804" s="355">
        <v>0.1</v>
      </c>
      <c r="T1804" s="355"/>
      <c r="U1804" s="315">
        <f t="shared" si="493"/>
        <v>1.715796627906977</v>
      </c>
      <c r="V1804" s="315">
        <f t="shared" si="494"/>
        <v>2</v>
      </c>
      <c r="W1804" s="316">
        <f t="shared" si="505"/>
        <v>0</v>
      </c>
    </row>
    <row r="1805" spans="1:23" x14ac:dyDescent="0.25">
      <c r="A1805" s="204" t="s">
        <v>17466</v>
      </c>
      <c r="B1805" s="351" t="s">
        <v>21511</v>
      </c>
      <c r="C1805" s="352"/>
      <c r="D1805" s="353" t="s">
        <v>14859</v>
      </c>
      <c r="E1805" s="249">
        <f t="shared" si="496"/>
        <v>0</v>
      </c>
      <c r="F1805" s="336">
        <v>0</v>
      </c>
      <c r="G1805" s="258">
        <f t="shared" si="497"/>
        <v>0</v>
      </c>
      <c r="H1805" s="249">
        <f t="shared" si="498"/>
        <v>10.959519226324423</v>
      </c>
      <c r="I1805" s="336">
        <v>4.0848239826080324E-2</v>
      </c>
      <c r="J1805" s="258">
        <f t="shared" si="499"/>
        <v>4.0848239826080324E-2</v>
      </c>
      <c r="K1805" s="249">
        <f t="shared" si="500"/>
        <v>238.42838279491971</v>
      </c>
      <c r="L1805" s="336">
        <v>0.88866852282695752</v>
      </c>
      <c r="M1805" s="258">
        <f t="shared" si="501"/>
        <v>0.88866852282695752</v>
      </c>
      <c r="N1805" s="251">
        <f t="shared" si="502"/>
        <v>18.910542978755867</v>
      </c>
      <c r="O1805" s="336">
        <v>7.048323734696213E-2</v>
      </c>
      <c r="P1805" s="258">
        <f t="shared" si="503"/>
        <v>7.048323734696213E-2</v>
      </c>
      <c r="Q1805" s="354">
        <v>262.19</v>
      </c>
      <c r="R1805" s="249">
        <f t="shared" si="504"/>
        <v>268.29844500000002</v>
      </c>
      <c r="S1805" s="355">
        <v>0.1</v>
      </c>
      <c r="T1805" s="355"/>
      <c r="U1805" s="315">
        <f t="shared" si="493"/>
        <v>295.12828949999999</v>
      </c>
      <c r="V1805" s="315">
        <f t="shared" si="494"/>
        <v>300</v>
      </c>
      <c r="W1805" s="316">
        <f t="shared" si="505"/>
        <v>0</v>
      </c>
    </row>
    <row r="1806" spans="1:23" ht="14.4" thickBot="1" x14ac:dyDescent="0.3">
      <c r="A1806" s="356" t="s">
        <v>17467</v>
      </c>
      <c r="B1806" s="357" t="s">
        <v>21512</v>
      </c>
      <c r="C1806" s="358"/>
      <c r="D1806" s="359" t="s">
        <v>5</v>
      </c>
      <c r="E1806" s="266">
        <f t="shared" si="496"/>
        <v>0</v>
      </c>
      <c r="F1806" s="360">
        <v>0</v>
      </c>
      <c r="G1806" s="322">
        <f t="shared" si="497"/>
        <v>0</v>
      </c>
      <c r="H1806" s="266">
        <f t="shared" si="498"/>
        <v>6.3742100767601298E-2</v>
      </c>
      <c r="I1806" s="360">
        <v>2.6896707601898592E-2</v>
      </c>
      <c r="J1806" s="322">
        <f t="shared" si="499"/>
        <v>2.6896707601898592E-2</v>
      </c>
      <c r="K1806" s="266">
        <f t="shared" si="500"/>
        <v>2.1960968965674326</v>
      </c>
      <c r="L1806" s="360">
        <v>0.92666817348501962</v>
      </c>
      <c r="M1806" s="322">
        <f t="shared" si="501"/>
        <v>0.92666817348501962</v>
      </c>
      <c r="N1806" s="270">
        <f t="shared" si="502"/>
        <v>0.10998636995193949</v>
      </c>
      <c r="O1806" s="360">
        <v>4.6410005273864234E-2</v>
      </c>
      <c r="P1806" s="322">
        <f t="shared" si="503"/>
        <v>4.6410005273864234E-2</v>
      </c>
      <c r="Q1806" s="361">
        <v>2.3150581395348837</v>
      </c>
      <c r="R1806" s="266">
        <f t="shared" si="504"/>
        <v>2.3698848837209301</v>
      </c>
      <c r="S1806" s="362">
        <v>0.1</v>
      </c>
      <c r="T1806" s="362"/>
      <c r="U1806" s="324">
        <f t="shared" si="493"/>
        <v>2.6068733720930233</v>
      </c>
      <c r="V1806" s="324">
        <f t="shared" si="494"/>
        <v>3</v>
      </c>
      <c r="W1806" s="325">
        <f t="shared" si="505"/>
        <v>0</v>
      </c>
    </row>
    <row r="1807" spans="1:23" x14ac:dyDescent="0.25">
      <c r="A1807" s="204" t="s">
        <v>17468</v>
      </c>
      <c r="B1807" s="351" t="s">
        <v>21513</v>
      </c>
      <c r="C1807" s="352"/>
      <c r="D1807" s="353" t="s">
        <v>14859</v>
      </c>
      <c r="E1807" s="249">
        <f t="shared" si="496"/>
        <v>0</v>
      </c>
      <c r="F1807" s="336">
        <v>0</v>
      </c>
      <c r="G1807" s="258">
        <f t="shared" si="497"/>
        <v>0</v>
      </c>
      <c r="H1807" s="249">
        <f t="shared" si="498"/>
        <v>10.963916888796806</v>
      </c>
      <c r="I1807" s="336">
        <v>2.6896707601898592E-2</v>
      </c>
      <c r="J1807" s="258">
        <f t="shared" si="499"/>
        <v>2.6896707601898592E-2</v>
      </c>
      <c r="K1807" s="249">
        <f t="shared" si="500"/>
        <v>377.74839700896558</v>
      </c>
      <c r="L1807" s="336">
        <v>0.92669328712423715</v>
      </c>
      <c r="M1807" s="258">
        <f t="shared" si="501"/>
        <v>0.92669328712423715</v>
      </c>
      <c r="N1807" s="251">
        <f t="shared" si="502"/>
        <v>18.918131102237624</v>
      </c>
      <c r="O1807" s="336">
        <v>4.6410005273864234E-2</v>
      </c>
      <c r="P1807" s="258">
        <f t="shared" si="503"/>
        <v>4.6410005273864234E-2</v>
      </c>
      <c r="Q1807" s="354">
        <v>398.19</v>
      </c>
      <c r="R1807" s="249">
        <f t="shared" si="504"/>
        <v>407.63044500000001</v>
      </c>
      <c r="S1807" s="355">
        <v>0.1</v>
      </c>
      <c r="T1807" s="355"/>
      <c r="U1807" s="315">
        <f t="shared" si="493"/>
        <v>448.39348949999999</v>
      </c>
      <c r="V1807" s="315">
        <f t="shared" si="494"/>
        <v>450</v>
      </c>
      <c r="W1807" s="316">
        <f t="shared" si="505"/>
        <v>0</v>
      </c>
    </row>
    <row r="1808" spans="1:23" x14ac:dyDescent="0.25">
      <c r="A1808" s="204" t="s">
        <v>17469</v>
      </c>
      <c r="B1808" s="351" t="s">
        <v>21514</v>
      </c>
      <c r="C1808" s="352"/>
      <c r="D1808" s="353" t="s">
        <v>5</v>
      </c>
      <c r="E1808" s="249">
        <f t="shared" si="496"/>
        <v>0</v>
      </c>
      <c r="F1808" s="336">
        <v>0</v>
      </c>
      <c r="G1808" s="258">
        <f t="shared" si="497"/>
        <v>0</v>
      </c>
      <c r="H1808" s="249">
        <f t="shared" si="498"/>
        <v>6.3742100767601298E-2</v>
      </c>
      <c r="I1808" s="336">
        <v>2.6896707601898592E-2</v>
      </c>
      <c r="J1808" s="258">
        <f t="shared" si="499"/>
        <v>2.6896707601898592E-2</v>
      </c>
      <c r="K1808" s="249">
        <f t="shared" si="500"/>
        <v>2.1960968965674326</v>
      </c>
      <c r="L1808" s="336">
        <v>0.92666817348501962</v>
      </c>
      <c r="M1808" s="258">
        <f t="shared" si="501"/>
        <v>0.92666817348501962</v>
      </c>
      <c r="N1808" s="251">
        <f t="shared" si="502"/>
        <v>0.10998636995193949</v>
      </c>
      <c r="O1808" s="336">
        <v>4.6410005273864234E-2</v>
      </c>
      <c r="P1808" s="258">
        <f t="shared" si="503"/>
        <v>4.6410005273864234E-2</v>
      </c>
      <c r="Q1808" s="354">
        <v>2.3150581395348837</v>
      </c>
      <c r="R1808" s="249">
        <f t="shared" si="504"/>
        <v>2.3698848837209301</v>
      </c>
      <c r="S1808" s="355">
        <v>0.1</v>
      </c>
      <c r="T1808" s="355"/>
      <c r="U1808" s="315">
        <f t="shared" si="493"/>
        <v>2.6068733720930233</v>
      </c>
      <c r="V1808" s="315">
        <f t="shared" si="494"/>
        <v>3</v>
      </c>
      <c r="W1808" s="316">
        <f t="shared" si="505"/>
        <v>0</v>
      </c>
    </row>
    <row r="1809" spans="1:23" x14ac:dyDescent="0.25">
      <c r="A1809" s="204" t="s">
        <v>17470</v>
      </c>
      <c r="B1809" s="351" t="s">
        <v>21515</v>
      </c>
      <c r="C1809" s="352"/>
      <c r="D1809" s="353" t="s">
        <v>14859</v>
      </c>
      <c r="E1809" s="249">
        <f t="shared" si="496"/>
        <v>0</v>
      </c>
      <c r="F1809" s="336">
        <v>0</v>
      </c>
      <c r="G1809" s="258">
        <f t="shared" si="497"/>
        <v>0</v>
      </c>
      <c r="H1809" s="249">
        <f t="shared" si="498"/>
        <v>10.963916888796806</v>
      </c>
      <c r="I1809" s="336">
        <v>2.6896707601898592E-2</v>
      </c>
      <c r="J1809" s="258">
        <f t="shared" si="499"/>
        <v>2.6896707601898592E-2</v>
      </c>
      <c r="K1809" s="249">
        <f t="shared" si="500"/>
        <v>377.74839700896558</v>
      </c>
      <c r="L1809" s="336">
        <v>0.92669328712423715</v>
      </c>
      <c r="M1809" s="258">
        <f t="shared" si="501"/>
        <v>0.92669328712423715</v>
      </c>
      <c r="N1809" s="251">
        <f t="shared" si="502"/>
        <v>18.918131102237624</v>
      </c>
      <c r="O1809" s="336">
        <v>4.6410005273864234E-2</v>
      </c>
      <c r="P1809" s="258">
        <f t="shared" si="503"/>
        <v>4.6410005273864234E-2</v>
      </c>
      <c r="Q1809" s="354">
        <v>398.19</v>
      </c>
      <c r="R1809" s="249">
        <f t="shared" si="504"/>
        <v>407.63044500000001</v>
      </c>
      <c r="S1809" s="355">
        <v>0.1</v>
      </c>
      <c r="T1809" s="355"/>
      <c r="U1809" s="315">
        <f t="shared" si="493"/>
        <v>448.39348949999999</v>
      </c>
      <c r="V1809" s="315">
        <f t="shared" si="494"/>
        <v>450</v>
      </c>
      <c r="W1809" s="316">
        <f t="shared" si="505"/>
        <v>0</v>
      </c>
    </row>
    <row r="1810" spans="1:23" x14ac:dyDescent="0.25">
      <c r="A1810" s="204" t="s">
        <v>17471</v>
      </c>
      <c r="B1810" s="351" t="s">
        <v>21516</v>
      </c>
      <c r="C1810" s="352"/>
      <c r="D1810" s="353" t="s">
        <v>5</v>
      </c>
      <c r="E1810" s="249">
        <f t="shared" si="496"/>
        <v>0</v>
      </c>
      <c r="F1810" s="336">
        <v>0</v>
      </c>
      <c r="G1810" s="258">
        <f t="shared" si="497"/>
        <v>0</v>
      </c>
      <c r="H1810" s="249">
        <f t="shared" si="498"/>
        <v>6.3753153408997398E-2</v>
      </c>
      <c r="I1810" s="336">
        <v>2.1055487402094935E-2</v>
      </c>
      <c r="J1810" s="258">
        <f t="shared" si="499"/>
        <v>2.1055487402094935E-2</v>
      </c>
      <c r="K1810" s="249">
        <f t="shared" si="500"/>
        <v>2.8540459309863913</v>
      </c>
      <c r="L1810" s="336">
        <v>0.94259381585983448</v>
      </c>
      <c r="M1810" s="258">
        <f t="shared" si="501"/>
        <v>0.94259381585983448</v>
      </c>
      <c r="N1810" s="251">
        <f t="shared" si="502"/>
        <v>0.11000544117630921</v>
      </c>
      <c r="O1810" s="336">
        <v>3.6331037085967723E-2</v>
      </c>
      <c r="P1810" s="258">
        <f t="shared" si="503"/>
        <v>3.6331037085967723E-2</v>
      </c>
      <c r="Q1810" s="354">
        <v>2.9573023255813955</v>
      </c>
      <c r="R1810" s="249">
        <f t="shared" si="504"/>
        <v>3.0278640523255813</v>
      </c>
      <c r="S1810" s="355">
        <v>0.1</v>
      </c>
      <c r="T1810" s="355"/>
      <c r="U1810" s="315">
        <f t="shared" si="493"/>
        <v>3.3306504575581393</v>
      </c>
      <c r="V1810" s="315">
        <f t="shared" si="494"/>
        <v>4</v>
      </c>
      <c r="W1810" s="316">
        <f t="shared" si="505"/>
        <v>0</v>
      </c>
    </row>
    <row r="1811" spans="1:23" x14ac:dyDescent="0.25">
      <c r="A1811" s="204" t="s">
        <v>17472</v>
      </c>
      <c r="B1811" s="351" t="s">
        <v>21517</v>
      </c>
      <c r="C1811" s="352"/>
      <c r="D1811" s="353" t="s">
        <v>14859</v>
      </c>
      <c r="E1811" s="249">
        <f t="shared" si="496"/>
        <v>0</v>
      </c>
      <c r="F1811" s="336">
        <v>0</v>
      </c>
      <c r="G1811" s="258">
        <f t="shared" si="497"/>
        <v>0</v>
      </c>
      <c r="H1811" s="249">
        <f t="shared" si="498"/>
        <v>10.965758099815988</v>
      </c>
      <c r="I1811" s="336">
        <v>2.1055487402094935E-2</v>
      </c>
      <c r="J1811" s="258">
        <f t="shared" si="499"/>
        <v>2.1055487402094935E-2</v>
      </c>
      <c r="K1811" s="249">
        <f t="shared" si="500"/>
        <v>490.91579580638387</v>
      </c>
      <c r="L1811" s="336">
        <v>0.9426134755119373</v>
      </c>
      <c r="M1811" s="258">
        <f t="shared" si="501"/>
        <v>0.9426134755119373</v>
      </c>
      <c r="N1811" s="251">
        <f t="shared" si="502"/>
        <v>18.921308093800135</v>
      </c>
      <c r="O1811" s="336">
        <v>3.633103708596773E-2</v>
      </c>
      <c r="P1811" s="258">
        <f t="shared" si="503"/>
        <v>3.633103708596773E-2</v>
      </c>
      <c r="Q1811" s="354">
        <v>508.65600000000001</v>
      </c>
      <c r="R1811" s="249">
        <f t="shared" si="504"/>
        <v>520.802862</v>
      </c>
      <c r="S1811" s="355">
        <v>0.1</v>
      </c>
      <c r="T1811" s="355"/>
      <c r="U1811" s="315">
        <f t="shared" si="493"/>
        <v>572.88314820000005</v>
      </c>
      <c r="V1811" s="315">
        <f t="shared" si="494"/>
        <v>575</v>
      </c>
      <c r="W1811" s="316">
        <f t="shared" si="505"/>
        <v>0</v>
      </c>
    </row>
    <row r="1812" spans="1:23" x14ac:dyDescent="0.25">
      <c r="A1812" s="204" t="s">
        <v>17473</v>
      </c>
      <c r="B1812" s="351" t="s">
        <v>21518</v>
      </c>
      <c r="C1812" s="352"/>
      <c r="D1812" s="353" t="s">
        <v>5</v>
      </c>
      <c r="E1812" s="249">
        <f t="shared" si="496"/>
        <v>0</v>
      </c>
      <c r="F1812" s="336">
        <v>0</v>
      </c>
      <c r="G1812" s="258">
        <f t="shared" si="497"/>
        <v>0</v>
      </c>
      <c r="H1812" s="249">
        <f t="shared" si="498"/>
        <v>6.3761969139290289E-2</v>
      </c>
      <c r="I1812" s="336">
        <v>1.6396454324162955E-2</v>
      </c>
      <c r="J1812" s="258">
        <f t="shared" si="499"/>
        <v>1.6396454324162955E-2</v>
      </c>
      <c r="K1812" s="249">
        <f t="shared" si="500"/>
        <v>3.7149235409174364</v>
      </c>
      <c r="L1812" s="336">
        <v>0.95529631500788437</v>
      </c>
      <c r="M1812" s="258">
        <f t="shared" si="501"/>
        <v>0.95529631500788437</v>
      </c>
      <c r="N1812" s="251">
        <f t="shared" si="502"/>
        <v>0.11002065263250087</v>
      </c>
      <c r="O1812" s="336">
        <v>2.8291921186790976E-2</v>
      </c>
      <c r="P1812" s="258">
        <f t="shared" si="503"/>
        <v>2.8291921186790976E-2</v>
      </c>
      <c r="Q1812" s="354">
        <v>3.7976162790697678</v>
      </c>
      <c r="R1812" s="249">
        <f t="shared" si="504"/>
        <v>3.8887656976744185</v>
      </c>
      <c r="S1812" s="355">
        <v>0.1</v>
      </c>
      <c r="T1812" s="355"/>
      <c r="U1812" s="315">
        <f t="shared" si="493"/>
        <v>4.2776422674418608</v>
      </c>
      <c r="V1812" s="315">
        <f t="shared" si="494"/>
        <v>5</v>
      </c>
      <c r="W1812" s="316">
        <f t="shared" si="505"/>
        <v>0</v>
      </c>
    </row>
    <row r="1813" spans="1:23" x14ac:dyDescent="0.25">
      <c r="A1813" s="204" t="s">
        <v>17474</v>
      </c>
      <c r="B1813" s="351" t="s">
        <v>21519</v>
      </c>
      <c r="C1813" s="352"/>
      <c r="D1813" s="353" t="s">
        <v>14859</v>
      </c>
      <c r="E1813" s="249">
        <f t="shared" si="496"/>
        <v>0</v>
      </c>
      <c r="F1813" s="336">
        <v>0</v>
      </c>
      <c r="G1813" s="258">
        <f t="shared" si="497"/>
        <v>0</v>
      </c>
      <c r="H1813" s="249">
        <f t="shared" si="498"/>
        <v>10.96722667363248</v>
      </c>
      <c r="I1813" s="336">
        <v>1.6396454324162955E-2</v>
      </c>
      <c r="J1813" s="258">
        <f t="shared" si="499"/>
        <v>1.6396454324162955E-2</v>
      </c>
      <c r="K1813" s="249">
        <f t="shared" si="500"/>
        <v>638.98687622284467</v>
      </c>
      <c r="L1813" s="336">
        <v>0.95531162448904594</v>
      </c>
      <c r="M1813" s="258">
        <f t="shared" si="501"/>
        <v>0.95531162448904594</v>
      </c>
      <c r="N1813" s="251">
        <f t="shared" si="502"/>
        <v>18.923842103522709</v>
      </c>
      <c r="O1813" s="336">
        <v>2.829192118679098E-2</v>
      </c>
      <c r="P1813" s="258">
        <f t="shared" si="503"/>
        <v>2.829192118679098E-2</v>
      </c>
      <c r="Q1813" s="354">
        <v>653.19000000000005</v>
      </c>
      <c r="R1813" s="249">
        <f t="shared" si="504"/>
        <v>668.87794499999995</v>
      </c>
      <c r="S1813" s="355">
        <v>0.1</v>
      </c>
      <c r="T1813" s="355"/>
      <c r="U1813" s="315">
        <f t="shared" si="493"/>
        <v>735.7657395</v>
      </c>
      <c r="V1813" s="315">
        <f t="shared" si="494"/>
        <v>740</v>
      </c>
      <c r="W1813" s="316">
        <f t="shared" si="505"/>
        <v>0</v>
      </c>
    </row>
    <row r="1814" spans="1:23" x14ac:dyDescent="0.25">
      <c r="A1814" s="204" t="s">
        <v>17475</v>
      </c>
      <c r="B1814" s="351" t="s">
        <v>21520</v>
      </c>
      <c r="C1814" s="352"/>
      <c r="D1814" s="353" t="s">
        <v>5</v>
      </c>
      <c r="E1814" s="249">
        <f t="shared" si="496"/>
        <v>0</v>
      </c>
      <c r="F1814" s="336">
        <v>0</v>
      </c>
      <c r="G1814" s="258">
        <f t="shared" si="497"/>
        <v>0</v>
      </c>
      <c r="H1814" s="249">
        <f t="shared" si="498"/>
        <v>6.3763840376546352E-2</v>
      </c>
      <c r="I1814" s="336">
        <v>1.5407522496277597E-2</v>
      </c>
      <c r="J1814" s="258">
        <f t="shared" si="499"/>
        <v>1.5407522496277597E-2</v>
      </c>
      <c r="K1814" s="249">
        <f t="shared" si="500"/>
        <v>3.9646403141314526</v>
      </c>
      <c r="L1814" s="336">
        <v>0.95799256238176411</v>
      </c>
      <c r="M1814" s="258">
        <f t="shared" si="501"/>
        <v>0.95799256238176411</v>
      </c>
      <c r="N1814" s="251">
        <f t="shared" si="502"/>
        <v>0.11002388143404077</v>
      </c>
      <c r="O1814" s="336">
        <v>2.658552901318487E-2</v>
      </c>
      <c r="P1814" s="258">
        <f t="shared" si="503"/>
        <v>2.658552901318487E-2</v>
      </c>
      <c r="Q1814" s="354">
        <v>4.0413662790697673</v>
      </c>
      <c r="R1814" s="249">
        <f t="shared" si="504"/>
        <v>4.1384875726744177</v>
      </c>
      <c r="S1814" s="355">
        <v>0.1</v>
      </c>
      <c r="T1814" s="355"/>
      <c r="U1814" s="315">
        <f t="shared" si="493"/>
        <v>4.5523363299418591</v>
      </c>
      <c r="V1814" s="315">
        <f t="shared" si="494"/>
        <v>5</v>
      </c>
      <c r="W1814" s="316">
        <f t="shared" si="505"/>
        <v>0</v>
      </c>
    </row>
    <row r="1815" spans="1:23" x14ac:dyDescent="0.25">
      <c r="A1815" s="204" t="s">
        <v>17476</v>
      </c>
      <c r="B1815" s="351" t="s">
        <v>21521</v>
      </c>
      <c r="C1815" s="352"/>
      <c r="D1815" s="353" t="s">
        <v>14859</v>
      </c>
      <c r="E1815" s="249">
        <f t="shared" si="496"/>
        <v>0</v>
      </c>
      <c r="F1815" s="336">
        <v>0</v>
      </c>
      <c r="G1815" s="258">
        <f t="shared" si="497"/>
        <v>0</v>
      </c>
      <c r="H1815" s="249">
        <f t="shared" si="498"/>
        <v>10.967538394833948</v>
      </c>
      <c r="I1815" s="336">
        <v>1.5407522496277595E-2</v>
      </c>
      <c r="J1815" s="258">
        <f t="shared" si="499"/>
        <v>1.5407522496277595E-2</v>
      </c>
      <c r="K1815" s="249">
        <f t="shared" si="500"/>
        <v>681.93818912976622</v>
      </c>
      <c r="L1815" s="336">
        <v>0.95800694849053747</v>
      </c>
      <c r="M1815" s="258">
        <f t="shared" si="501"/>
        <v>0.95800694849053747</v>
      </c>
      <c r="N1815" s="251">
        <f t="shared" si="502"/>
        <v>18.924379975399752</v>
      </c>
      <c r="O1815" s="336">
        <v>2.658552901318487E-2</v>
      </c>
      <c r="P1815" s="258">
        <f t="shared" si="503"/>
        <v>2.658552901318487E-2</v>
      </c>
      <c r="Q1815" s="354">
        <v>695.11500000000001</v>
      </c>
      <c r="R1815" s="249">
        <f t="shared" si="504"/>
        <v>711.83010749999994</v>
      </c>
      <c r="S1815" s="355">
        <v>0.1</v>
      </c>
      <c r="T1815" s="355"/>
      <c r="U1815" s="315">
        <f t="shared" si="493"/>
        <v>783.01311824999993</v>
      </c>
      <c r="V1815" s="315">
        <f t="shared" si="494"/>
        <v>785</v>
      </c>
      <c r="W1815" s="316">
        <f t="shared" si="505"/>
        <v>0</v>
      </c>
    </row>
    <row r="1816" spans="1:23" x14ac:dyDescent="0.25">
      <c r="A1816" s="204" t="s">
        <v>17477</v>
      </c>
      <c r="B1816" s="351" t="s">
        <v>21522</v>
      </c>
      <c r="C1816" s="352"/>
      <c r="D1816" s="353" t="s">
        <v>5</v>
      </c>
      <c r="E1816" s="249">
        <f t="shared" si="496"/>
        <v>0</v>
      </c>
      <c r="F1816" s="336">
        <v>0</v>
      </c>
      <c r="G1816" s="258">
        <f t="shared" si="497"/>
        <v>0</v>
      </c>
      <c r="H1816" s="249">
        <f t="shared" si="498"/>
        <v>6.3764459216121991E-2</v>
      </c>
      <c r="I1816" s="336">
        <v>1.5080471423140287E-2</v>
      </c>
      <c r="J1816" s="258">
        <f t="shared" si="499"/>
        <v>1.5080471423140287E-2</v>
      </c>
      <c r="K1816" s="249">
        <f t="shared" si="500"/>
        <v>4.0544312867961629</v>
      </c>
      <c r="L1816" s="336">
        <v>0.95888424224503288</v>
      </c>
      <c r="M1816" s="258">
        <f t="shared" si="501"/>
        <v>0.95888424224503288</v>
      </c>
      <c r="N1816" s="251">
        <f t="shared" si="502"/>
        <v>0.11002494923566146</v>
      </c>
      <c r="O1816" s="336">
        <v>2.6021205592869509E-2</v>
      </c>
      <c r="P1816" s="258">
        <f t="shared" si="503"/>
        <v>2.6021205592869509E-2</v>
      </c>
      <c r="Q1816" s="354">
        <v>4.1290116279069773</v>
      </c>
      <c r="R1816" s="249">
        <f t="shared" si="504"/>
        <v>4.2282802325581397</v>
      </c>
      <c r="S1816" s="355">
        <v>0.1</v>
      </c>
      <c r="T1816" s="355"/>
      <c r="U1816" s="315">
        <f t="shared" si="493"/>
        <v>4.6511082558139538</v>
      </c>
      <c r="V1816" s="315">
        <f t="shared" si="494"/>
        <v>5</v>
      </c>
      <c r="W1816" s="316">
        <f t="shared" si="505"/>
        <v>0</v>
      </c>
    </row>
    <row r="1817" spans="1:23" x14ac:dyDescent="0.25">
      <c r="A1817" s="204" t="s">
        <v>17478</v>
      </c>
      <c r="B1817" s="351" t="s">
        <v>21523</v>
      </c>
      <c r="C1817" s="352"/>
      <c r="D1817" s="353" t="s">
        <v>14859</v>
      </c>
      <c r="E1817" s="249">
        <f t="shared" si="496"/>
        <v>0</v>
      </c>
      <c r="F1817" s="336">
        <v>0</v>
      </c>
      <c r="G1817" s="258">
        <f t="shared" si="497"/>
        <v>0</v>
      </c>
      <c r="H1817" s="249">
        <f t="shared" si="498"/>
        <v>10.967641484602712</v>
      </c>
      <c r="I1817" s="336">
        <v>1.5080471423140287E-2</v>
      </c>
      <c r="J1817" s="258">
        <f t="shared" si="499"/>
        <v>1.5080471423140287E-2</v>
      </c>
      <c r="K1817" s="249">
        <f t="shared" si="500"/>
        <v>697.38224565961218</v>
      </c>
      <c r="L1817" s="336">
        <v>0.95889832298399014</v>
      </c>
      <c r="M1817" s="258">
        <f t="shared" si="501"/>
        <v>0.95889832298399014</v>
      </c>
      <c r="N1817" s="251">
        <f t="shared" si="502"/>
        <v>18.924557855785071</v>
      </c>
      <c r="O1817" s="336">
        <v>2.6021205592869513E-2</v>
      </c>
      <c r="P1817" s="258">
        <f t="shared" si="503"/>
        <v>2.6021205592869513E-2</v>
      </c>
      <c r="Q1817" s="354">
        <v>710.19</v>
      </c>
      <c r="R1817" s="249">
        <f t="shared" si="504"/>
        <v>727.27444500000001</v>
      </c>
      <c r="S1817" s="355">
        <v>0.1</v>
      </c>
      <c r="T1817" s="355"/>
      <c r="U1817" s="315">
        <f t="shared" si="493"/>
        <v>800.00188950000006</v>
      </c>
      <c r="V1817" s="315">
        <f t="shared" si="494"/>
        <v>805</v>
      </c>
      <c r="W1817" s="316">
        <f t="shared" si="505"/>
        <v>0</v>
      </c>
    </row>
    <row r="1818" spans="1:23" x14ac:dyDescent="0.25">
      <c r="A1818" s="204" t="s">
        <v>17479</v>
      </c>
      <c r="B1818" s="351" t="s">
        <v>21524</v>
      </c>
      <c r="C1818" s="352"/>
      <c r="D1818" s="353" t="s">
        <v>5</v>
      </c>
      <c r="E1818" s="249">
        <f t="shared" si="496"/>
        <v>0</v>
      </c>
      <c r="F1818" s="336">
        <v>0</v>
      </c>
      <c r="G1818" s="258">
        <f t="shared" si="497"/>
        <v>0</v>
      </c>
      <c r="H1818" s="249">
        <f t="shared" si="498"/>
        <v>6.3771221153233512E-2</v>
      </c>
      <c r="I1818" s="336">
        <v>1.1506849315068495E-2</v>
      </c>
      <c r="J1818" s="258">
        <f t="shared" si="499"/>
        <v>1.1506849315068495E-2</v>
      </c>
      <c r="K1818" s="249">
        <f t="shared" si="500"/>
        <v>5.3681554090287271</v>
      </c>
      <c r="L1818" s="336">
        <v>0.96862745098039216</v>
      </c>
      <c r="M1818" s="258">
        <f t="shared" si="501"/>
        <v>0.96862745098039216</v>
      </c>
      <c r="N1818" s="251">
        <f t="shared" si="502"/>
        <v>0.1100366168918539</v>
      </c>
      <c r="O1818" s="336">
        <v>1.9854955680902498E-2</v>
      </c>
      <c r="P1818" s="258">
        <f t="shared" si="503"/>
        <v>1.9854955680902498E-2</v>
      </c>
      <c r="Q1818" s="354">
        <v>5.4113372093023253</v>
      </c>
      <c r="R1818" s="249">
        <f t="shared" si="504"/>
        <v>5.5420227906976738</v>
      </c>
      <c r="S1818" s="355">
        <v>0.1</v>
      </c>
      <c r="T1818" s="355"/>
      <c r="U1818" s="315">
        <f t="shared" si="493"/>
        <v>6.0962250697674412</v>
      </c>
      <c r="V1818" s="315">
        <f t="shared" si="494"/>
        <v>7</v>
      </c>
      <c r="W1818" s="316">
        <f t="shared" si="505"/>
        <v>0</v>
      </c>
    </row>
    <row r="1819" spans="1:23" x14ac:dyDescent="0.25">
      <c r="A1819" s="204" t="s">
        <v>17480</v>
      </c>
      <c r="B1819" s="351" t="s">
        <v>21525</v>
      </c>
      <c r="C1819" s="352"/>
      <c r="D1819" s="353" t="s">
        <v>14859</v>
      </c>
      <c r="E1819" s="249">
        <f t="shared" si="496"/>
        <v>0</v>
      </c>
      <c r="F1819" s="336">
        <v>0</v>
      </c>
      <c r="G1819" s="258">
        <f t="shared" si="497"/>
        <v>0</v>
      </c>
      <c r="H1819" s="249">
        <f t="shared" si="498"/>
        <v>10.968767926027397</v>
      </c>
      <c r="I1819" s="336">
        <v>1.1506849315068493E-2</v>
      </c>
      <c r="J1819" s="258">
        <f t="shared" si="499"/>
        <v>1.1506849315068493E-2</v>
      </c>
      <c r="K1819" s="249">
        <f t="shared" si="500"/>
        <v>923.34289555455268</v>
      </c>
      <c r="L1819" s="336">
        <v>0.96863819500402892</v>
      </c>
      <c r="M1819" s="258">
        <f t="shared" si="501"/>
        <v>0.96863819500402892</v>
      </c>
      <c r="N1819" s="251">
        <f t="shared" si="502"/>
        <v>18.926501519419823</v>
      </c>
      <c r="O1819" s="336">
        <v>1.9854955680902498E-2</v>
      </c>
      <c r="P1819" s="258">
        <f t="shared" si="503"/>
        <v>1.9854955680902498E-2</v>
      </c>
      <c r="Q1819" s="354">
        <v>930.75</v>
      </c>
      <c r="R1819" s="249">
        <f t="shared" si="504"/>
        <v>953.23816499999998</v>
      </c>
      <c r="S1819" s="355">
        <v>0.1</v>
      </c>
      <c r="T1819" s="355"/>
      <c r="U1819" s="315">
        <f t="shared" si="493"/>
        <v>1048.5619815</v>
      </c>
      <c r="V1819" s="315">
        <f t="shared" si="494"/>
        <v>1050</v>
      </c>
      <c r="W1819" s="316">
        <f t="shared" si="505"/>
        <v>0</v>
      </c>
    </row>
    <row r="1820" spans="1:23" x14ac:dyDescent="0.25">
      <c r="A1820" s="204" t="s">
        <v>17481</v>
      </c>
      <c r="B1820" s="351" t="s">
        <v>21526</v>
      </c>
      <c r="C1820" s="352"/>
      <c r="D1820" s="353" t="s">
        <v>5</v>
      </c>
      <c r="E1820" s="249">
        <f t="shared" si="496"/>
        <v>0</v>
      </c>
      <c r="F1820" s="336">
        <v>0</v>
      </c>
      <c r="G1820" s="258">
        <f t="shared" si="497"/>
        <v>0</v>
      </c>
      <c r="H1820" s="249">
        <f t="shared" si="498"/>
        <v>6.3772226950129213E-2</v>
      </c>
      <c r="I1820" s="336">
        <v>1.0975294826547303E-2</v>
      </c>
      <c r="J1820" s="258">
        <f t="shared" si="499"/>
        <v>1.0975294826547303E-2</v>
      </c>
      <c r="K1820" s="249">
        <f t="shared" si="500"/>
        <v>5.636655056334912</v>
      </c>
      <c r="L1820" s="336">
        <v>0.97007669384358708</v>
      </c>
      <c r="M1820" s="258">
        <f t="shared" si="501"/>
        <v>0.97007669384358708</v>
      </c>
      <c r="N1820" s="251">
        <f t="shared" si="502"/>
        <v>0.11003835238453669</v>
      </c>
      <c r="O1820" s="336">
        <v>1.8937763622277698E-2</v>
      </c>
      <c r="P1820" s="258">
        <f t="shared" si="503"/>
        <v>1.8937763622277698E-2</v>
      </c>
      <c r="Q1820" s="354">
        <v>5.6734186046511628</v>
      </c>
      <c r="R1820" s="249">
        <f t="shared" si="504"/>
        <v>5.810525180232557</v>
      </c>
      <c r="S1820" s="355">
        <v>0.1</v>
      </c>
      <c r="T1820" s="355"/>
      <c r="U1820" s="315">
        <f t="shared" si="493"/>
        <v>6.391577698255813</v>
      </c>
      <c r="V1820" s="315">
        <f t="shared" si="494"/>
        <v>7</v>
      </c>
      <c r="W1820" s="316">
        <f t="shared" si="505"/>
        <v>0</v>
      </c>
    </row>
    <row r="1821" spans="1:23" x14ac:dyDescent="0.25">
      <c r="A1821" s="204" t="s">
        <v>17482</v>
      </c>
      <c r="B1821" s="351" t="s">
        <v>21527</v>
      </c>
      <c r="C1821" s="352"/>
      <c r="D1821" s="353" t="s">
        <v>14859</v>
      </c>
      <c r="E1821" s="249">
        <f t="shared" si="496"/>
        <v>0</v>
      </c>
      <c r="F1821" s="336">
        <v>0</v>
      </c>
      <c r="G1821" s="258">
        <f t="shared" si="497"/>
        <v>0</v>
      </c>
      <c r="H1821" s="249">
        <f t="shared" si="498"/>
        <v>10.968935477317725</v>
      </c>
      <c r="I1821" s="336">
        <v>1.0975294826547303E-2</v>
      </c>
      <c r="J1821" s="258">
        <f t="shared" si="499"/>
        <v>1.0975294826547303E-2</v>
      </c>
      <c r="K1821" s="249">
        <f t="shared" si="500"/>
        <v>969.52484989515358</v>
      </c>
      <c r="L1821" s="336">
        <v>0.97008694155117492</v>
      </c>
      <c r="M1821" s="258">
        <f t="shared" si="501"/>
        <v>0.97008694155117492</v>
      </c>
      <c r="N1821" s="251">
        <f t="shared" si="502"/>
        <v>18.926790627528622</v>
      </c>
      <c r="O1821" s="336">
        <v>1.8937763622277698E-2</v>
      </c>
      <c r="P1821" s="258">
        <f t="shared" si="503"/>
        <v>1.8937763622277698E-2</v>
      </c>
      <c r="Q1821" s="354">
        <v>975.82799999999997</v>
      </c>
      <c r="R1821" s="249">
        <f t="shared" si="504"/>
        <v>999.42057599999998</v>
      </c>
      <c r="S1821" s="355">
        <v>0.1</v>
      </c>
      <c r="T1821" s="355"/>
      <c r="U1821" s="315">
        <f t="shared" si="493"/>
        <v>1099.3626336</v>
      </c>
      <c r="V1821" s="315">
        <f t="shared" si="494"/>
        <v>1100</v>
      </c>
      <c r="W1821" s="316">
        <f t="shared" si="505"/>
        <v>0</v>
      </c>
    </row>
    <row r="1822" spans="1:23" x14ac:dyDescent="0.25">
      <c r="A1822" s="204" t="s">
        <v>17483</v>
      </c>
      <c r="B1822" s="351" t="s">
        <v>21528</v>
      </c>
      <c r="C1822" s="352"/>
      <c r="D1822" s="353" t="s">
        <v>5</v>
      </c>
      <c r="E1822" s="249">
        <f t="shared" si="496"/>
        <v>0</v>
      </c>
      <c r="F1822" s="336">
        <v>0</v>
      </c>
      <c r="G1822" s="258">
        <f t="shared" si="497"/>
        <v>0</v>
      </c>
      <c r="H1822" s="249">
        <f t="shared" si="498"/>
        <v>6.3775635024337876E-2</v>
      </c>
      <c r="I1822" s="336">
        <v>9.1741586821076932E-3</v>
      </c>
      <c r="J1822" s="258">
        <f t="shared" si="499"/>
        <v>9.1741586821076932E-3</v>
      </c>
      <c r="K1822" s="249">
        <f t="shared" si="500"/>
        <v>6.7777809200031829</v>
      </c>
      <c r="L1822" s="336">
        <v>0.9749873544801545</v>
      </c>
      <c r="M1822" s="258">
        <f t="shared" si="501"/>
        <v>0.9749873544801545</v>
      </c>
      <c r="N1822" s="251">
        <f t="shared" si="502"/>
        <v>0.11004423298317123</v>
      </c>
      <c r="O1822" s="336">
        <v>1.5829920863244647E-2</v>
      </c>
      <c r="P1822" s="258">
        <f t="shared" si="503"/>
        <v>1.5829920863244647E-2</v>
      </c>
      <c r="Q1822" s="354">
        <v>6.7872645348837208</v>
      </c>
      <c r="R1822" s="249">
        <f t="shared" si="504"/>
        <v>6.9516603357558129</v>
      </c>
      <c r="S1822" s="355">
        <v>0.1</v>
      </c>
      <c r="T1822" s="355"/>
      <c r="U1822" s="315">
        <f t="shared" si="493"/>
        <v>7.6468263693313947</v>
      </c>
      <c r="V1822" s="315">
        <f t="shared" si="494"/>
        <v>8</v>
      </c>
      <c r="W1822" s="316">
        <f t="shared" si="505"/>
        <v>0</v>
      </c>
    </row>
    <row r="1823" spans="1:23" x14ac:dyDescent="0.25">
      <c r="A1823" s="204" t="s">
        <v>17484</v>
      </c>
      <c r="B1823" s="351" t="s">
        <v>21529</v>
      </c>
      <c r="C1823" s="352"/>
      <c r="D1823" s="353" t="s">
        <v>14859</v>
      </c>
      <c r="E1823" s="249">
        <f t="shared" si="496"/>
        <v>0</v>
      </c>
      <c r="F1823" s="336">
        <v>0</v>
      </c>
      <c r="G1823" s="258">
        <f t="shared" si="497"/>
        <v>0</v>
      </c>
      <c r="H1823" s="249">
        <f t="shared" si="498"/>
        <v>10.969503213441815</v>
      </c>
      <c r="I1823" s="336">
        <v>9.1741586821076932E-3</v>
      </c>
      <c r="J1823" s="258">
        <f t="shared" si="499"/>
        <v>9.1741586821076932E-3</v>
      </c>
      <c r="K1823" s="249">
        <f t="shared" si="500"/>
        <v>1165.7985492859136</v>
      </c>
      <c r="L1823" s="336">
        <v>0.97499592045464767</v>
      </c>
      <c r="M1823" s="258">
        <f t="shared" si="501"/>
        <v>0.97499592045464767</v>
      </c>
      <c r="N1823" s="251">
        <f t="shared" si="502"/>
        <v>18.927770250644702</v>
      </c>
      <c r="O1823" s="336">
        <v>1.5829920863244647E-2</v>
      </c>
      <c r="P1823" s="258">
        <f t="shared" si="503"/>
        <v>1.5829920863244647E-2</v>
      </c>
      <c r="Q1823" s="354">
        <v>1167.4095</v>
      </c>
      <c r="R1823" s="249">
        <f t="shared" si="504"/>
        <v>1195.6958227500002</v>
      </c>
      <c r="S1823" s="355">
        <v>0.1</v>
      </c>
      <c r="T1823" s="355"/>
      <c r="U1823" s="315">
        <f t="shared" si="493"/>
        <v>1315.2654050250003</v>
      </c>
      <c r="V1823" s="315">
        <f t="shared" si="494"/>
        <v>1325</v>
      </c>
      <c r="W1823" s="316">
        <f t="shared" si="505"/>
        <v>0</v>
      </c>
    </row>
    <row r="1824" spans="1:23" x14ac:dyDescent="0.25">
      <c r="A1824" s="204" t="s">
        <v>17485</v>
      </c>
      <c r="B1824" s="351" t="s">
        <v>21530</v>
      </c>
      <c r="C1824" s="352"/>
      <c r="D1824" s="353" t="s">
        <v>5</v>
      </c>
      <c r="E1824" s="249">
        <f t="shared" si="496"/>
        <v>0</v>
      </c>
      <c r="F1824" s="336">
        <v>0</v>
      </c>
      <c r="G1824" s="258">
        <f t="shared" si="497"/>
        <v>0</v>
      </c>
      <c r="H1824" s="249">
        <f t="shared" si="498"/>
        <v>6.3775635024337876E-2</v>
      </c>
      <c r="I1824" s="336">
        <v>9.1741586821076932E-3</v>
      </c>
      <c r="J1824" s="258">
        <f t="shared" si="499"/>
        <v>9.1741586821076932E-3</v>
      </c>
      <c r="K1824" s="249">
        <f t="shared" si="500"/>
        <v>6.7777809200031829</v>
      </c>
      <c r="L1824" s="336">
        <v>0.9749873544801545</v>
      </c>
      <c r="M1824" s="258">
        <f t="shared" si="501"/>
        <v>0.9749873544801545</v>
      </c>
      <c r="N1824" s="251">
        <f t="shared" si="502"/>
        <v>0.11004423298317123</v>
      </c>
      <c r="O1824" s="336">
        <v>1.5829920863244647E-2</v>
      </c>
      <c r="P1824" s="258">
        <f t="shared" si="503"/>
        <v>1.5829920863244647E-2</v>
      </c>
      <c r="Q1824" s="354">
        <v>6.7872645348837208</v>
      </c>
      <c r="R1824" s="249">
        <f t="shared" si="504"/>
        <v>6.9516603357558129</v>
      </c>
      <c r="S1824" s="355">
        <v>0.1</v>
      </c>
      <c r="T1824" s="355"/>
      <c r="U1824" s="315">
        <f t="shared" si="493"/>
        <v>7.6468263693313947</v>
      </c>
      <c r="V1824" s="315">
        <f t="shared" si="494"/>
        <v>8</v>
      </c>
      <c r="W1824" s="316">
        <f t="shared" si="505"/>
        <v>0</v>
      </c>
    </row>
    <row r="1825" spans="1:23" x14ac:dyDescent="0.25">
      <c r="A1825" s="204" t="s">
        <v>17486</v>
      </c>
      <c r="B1825" s="351" t="s">
        <v>21531</v>
      </c>
      <c r="C1825" s="352"/>
      <c r="D1825" s="353" t="s">
        <v>14859</v>
      </c>
      <c r="E1825" s="249">
        <f t="shared" si="496"/>
        <v>0</v>
      </c>
      <c r="F1825" s="336">
        <v>0</v>
      </c>
      <c r="G1825" s="258">
        <f t="shared" si="497"/>
        <v>0</v>
      </c>
      <c r="H1825" s="249">
        <f t="shared" si="498"/>
        <v>10.969503213441815</v>
      </c>
      <c r="I1825" s="336">
        <v>9.1741586821076932E-3</v>
      </c>
      <c r="J1825" s="258">
        <f t="shared" si="499"/>
        <v>9.1741586821076932E-3</v>
      </c>
      <c r="K1825" s="249">
        <f t="shared" si="500"/>
        <v>1165.7985492859136</v>
      </c>
      <c r="L1825" s="336">
        <v>0.97499592045464767</v>
      </c>
      <c r="M1825" s="258">
        <f t="shared" si="501"/>
        <v>0.97499592045464767</v>
      </c>
      <c r="N1825" s="251">
        <f t="shared" si="502"/>
        <v>18.927770250644702</v>
      </c>
      <c r="O1825" s="336">
        <v>1.5829920863244647E-2</v>
      </c>
      <c r="P1825" s="258">
        <f t="shared" si="503"/>
        <v>1.5829920863244647E-2</v>
      </c>
      <c r="Q1825" s="354">
        <v>1167.4095</v>
      </c>
      <c r="R1825" s="249">
        <f t="shared" si="504"/>
        <v>1195.6958227500002</v>
      </c>
      <c r="S1825" s="355">
        <v>0.1</v>
      </c>
      <c r="T1825" s="355"/>
      <c r="U1825" s="315">
        <f t="shared" si="493"/>
        <v>1315.2654050250003</v>
      </c>
      <c r="V1825" s="315">
        <f t="shared" si="494"/>
        <v>1325</v>
      </c>
      <c r="W1825" s="316">
        <f t="shared" si="505"/>
        <v>0</v>
      </c>
    </row>
    <row r="1826" spans="1:23" x14ac:dyDescent="0.25">
      <c r="A1826" s="204" t="s">
        <v>17487</v>
      </c>
      <c r="B1826" s="351" t="s">
        <v>21532</v>
      </c>
      <c r="C1826" s="352"/>
      <c r="D1826" s="353" t="s">
        <v>5</v>
      </c>
      <c r="E1826" s="249">
        <f t="shared" si="496"/>
        <v>0</v>
      </c>
      <c r="F1826" s="336">
        <v>0</v>
      </c>
      <c r="G1826" s="258">
        <f t="shared" si="497"/>
        <v>0</v>
      </c>
      <c r="H1826" s="249">
        <f t="shared" si="498"/>
        <v>6.3778900321798213E-2</v>
      </c>
      <c r="I1826" s="336">
        <v>7.4484787473202696E-3</v>
      </c>
      <c r="J1826" s="258">
        <f t="shared" si="499"/>
        <v>7.4484787473202696E-3</v>
      </c>
      <c r="K1826" s="249">
        <f t="shared" si="500"/>
        <v>8.3887863546274399</v>
      </c>
      <c r="L1826" s="336">
        <v>0.97969228950310439</v>
      </c>
      <c r="M1826" s="258">
        <f t="shared" si="501"/>
        <v>0.97969228950310439</v>
      </c>
      <c r="N1826" s="251">
        <f t="shared" si="502"/>
        <v>0.11004986722192629</v>
      </c>
      <c r="O1826" s="336">
        <v>1.2852277054199678E-2</v>
      </c>
      <c r="P1826" s="258">
        <f t="shared" si="503"/>
        <v>1.2852277054199678E-2</v>
      </c>
      <c r="Q1826" s="354">
        <v>8.3597529069767447</v>
      </c>
      <c r="R1826" s="249">
        <f t="shared" si="504"/>
        <v>8.562674672965116</v>
      </c>
      <c r="S1826" s="355">
        <v>0.1</v>
      </c>
      <c r="T1826" s="355"/>
      <c r="U1826" s="315">
        <f t="shared" si="493"/>
        <v>9.4189421402616276</v>
      </c>
      <c r="V1826" s="315">
        <f t="shared" si="494"/>
        <v>10</v>
      </c>
      <c r="W1826" s="316">
        <f t="shared" si="505"/>
        <v>0</v>
      </c>
    </row>
    <row r="1827" spans="1:23" x14ac:dyDescent="0.25">
      <c r="A1827" s="204" t="s">
        <v>17488</v>
      </c>
      <c r="B1827" s="351" t="s">
        <v>21533</v>
      </c>
      <c r="C1827" s="352"/>
      <c r="D1827" s="353" t="s">
        <v>14859</v>
      </c>
      <c r="E1827" s="249">
        <f t="shared" si="496"/>
        <v>0</v>
      </c>
      <c r="F1827" s="336">
        <v>0</v>
      </c>
      <c r="G1827" s="258">
        <f t="shared" si="497"/>
        <v>0</v>
      </c>
      <c r="H1827" s="249">
        <f t="shared" si="498"/>
        <v>10.97004716501406</v>
      </c>
      <c r="I1827" s="336">
        <v>7.4484787473202696E-3</v>
      </c>
      <c r="J1827" s="258">
        <f t="shared" si="499"/>
        <v>7.4484787473202696E-3</v>
      </c>
      <c r="K1827" s="249">
        <f t="shared" si="500"/>
        <v>1442.8915327512364</v>
      </c>
      <c r="L1827" s="336">
        <v>0.97969924419847998</v>
      </c>
      <c r="M1827" s="258">
        <f t="shared" si="501"/>
        <v>0.97969924419847998</v>
      </c>
      <c r="N1827" s="251">
        <f t="shared" si="502"/>
        <v>18.928708833749749</v>
      </c>
      <c r="O1827" s="336">
        <v>1.285227705419968E-2</v>
      </c>
      <c r="P1827" s="258">
        <f t="shared" si="503"/>
        <v>1.285227705419968E-2</v>
      </c>
      <c r="Q1827" s="354">
        <v>1437.8775000000001</v>
      </c>
      <c r="R1827" s="249">
        <f t="shared" si="504"/>
        <v>1472.7902887500002</v>
      </c>
      <c r="S1827" s="355">
        <v>0.1</v>
      </c>
      <c r="T1827" s="355"/>
      <c r="U1827" s="315">
        <f t="shared" si="493"/>
        <v>1620.0693176250002</v>
      </c>
      <c r="V1827" s="315">
        <f t="shared" si="494"/>
        <v>1625</v>
      </c>
      <c r="W1827" s="316">
        <f t="shared" si="505"/>
        <v>0</v>
      </c>
    </row>
    <row r="1828" spans="1:23" x14ac:dyDescent="0.25">
      <c r="A1828" s="204" t="s">
        <v>17489</v>
      </c>
      <c r="B1828" s="351" t="s">
        <v>21534</v>
      </c>
      <c r="C1828" s="352"/>
      <c r="D1828" s="353" t="s">
        <v>5</v>
      </c>
      <c r="E1828" s="249">
        <f t="shared" si="496"/>
        <v>0</v>
      </c>
      <c r="F1828" s="336">
        <v>0</v>
      </c>
      <c r="G1828" s="258">
        <f t="shared" si="497"/>
        <v>0</v>
      </c>
      <c r="H1828" s="249">
        <f t="shared" si="498"/>
        <v>6.3781764713774933E-2</v>
      </c>
      <c r="I1828" s="336">
        <v>5.9346737051564338E-3</v>
      </c>
      <c r="J1828" s="258">
        <f t="shared" si="499"/>
        <v>5.9346737051564338E-3</v>
      </c>
      <c r="K1828" s="249">
        <f t="shared" si="500"/>
        <v>10.57341162356906</v>
      </c>
      <c r="L1828" s="336">
        <v>0.98381956375438206</v>
      </c>
      <c r="M1828" s="258">
        <f t="shared" si="501"/>
        <v>0.98381956375438206</v>
      </c>
      <c r="N1828" s="251">
        <f t="shared" si="502"/>
        <v>0.11005480970219987</v>
      </c>
      <c r="O1828" s="336">
        <v>1.0240221295171884E-2</v>
      </c>
      <c r="P1828" s="258">
        <f t="shared" si="503"/>
        <v>1.0240221295171884E-2</v>
      </c>
      <c r="Q1828" s="354">
        <v>10.492142441860466</v>
      </c>
      <c r="R1828" s="249">
        <f t="shared" si="504"/>
        <v>10.747307751453489</v>
      </c>
      <c r="S1828" s="355">
        <v>0.1</v>
      </c>
      <c r="T1828" s="355"/>
      <c r="U1828" s="315">
        <f t="shared" si="493"/>
        <v>11.822038526598838</v>
      </c>
      <c r="V1828" s="315">
        <f t="shared" si="494"/>
        <v>12</v>
      </c>
      <c r="W1828" s="316">
        <f t="shared" si="505"/>
        <v>0</v>
      </c>
    </row>
    <row r="1829" spans="1:23" x14ac:dyDescent="0.25">
      <c r="A1829" s="204" t="s">
        <v>17490</v>
      </c>
      <c r="B1829" s="351" t="s">
        <v>21535</v>
      </c>
      <c r="C1829" s="352"/>
      <c r="D1829" s="353" t="s">
        <v>14859</v>
      </c>
      <c r="E1829" s="249">
        <f t="shared" si="496"/>
        <v>0</v>
      </c>
      <c r="F1829" s="336">
        <v>0</v>
      </c>
      <c r="G1829" s="258">
        <f t="shared" si="497"/>
        <v>0</v>
      </c>
      <c r="H1829" s="249">
        <f t="shared" si="498"/>
        <v>10.970524331501398</v>
      </c>
      <c r="I1829" s="336">
        <v>5.9346737051564338E-3</v>
      </c>
      <c r="J1829" s="258">
        <f t="shared" si="499"/>
        <v>5.9346737051564338E-3</v>
      </c>
      <c r="K1829" s="249">
        <f t="shared" si="500"/>
        <v>1818.6471217386531</v>
      </c>
      <c r="L1829" s="336">
        <v>0.98382510499967168</v>
      </c>
      <c r="M1829" s="258">
        <f t="shared" si="501"/>
        <v>0.98382510499967168</v>
      </c>
      <c r="N1829" s="251">
        <f t="shared" si="502"/>
        <v>18.929532179845552</v>
      </c>
      <c r="O1829" s="336">
        <v>1.0240221295171886E-2</v>
      </c>
      <c r="P1829" s="258">
        <f t="shared" si="503"/>
        <v>1.0240221295171886E-2</v>
      </c>
      <c r="Q1829" s="354">
        <v>1804.6485</v>
      </c>
      <c r="R1829" s="249">
        <f t="shared" si="504"/>
        <v>1848.5471782500001</v>
      </c>
      <c r="S1829" s="355">
        <v>0.1</v>
      </c>
      <c r="T1829" s="355"/>
      <c r="U1829" s="315">
        <f t="shared" ref="U1829:U1892" si="506">(R1829*S1829)+R1829</f>
        <v>2033.4018960750002</v>
      </c>
      <c r="V1829" s="315">
        <f t="shared" ref="V1829:V1892" si="507">IF(U1829=0, 0, IF(U1829&lt;10, _xlfn.CEILING.MATH(U1829,1), IF(U1829&lt;100, _xlfn.CEILING.MATH(U1829,1),IF(U1829&lt;1000, _xlfn.CEILING.MATH(U1829,5), IF(U1829&lt;10000, _xlfn.CEILING.MATH(U1829, 25), IF(U1829&lt;100000, _xlfn.CEILING.MATH(U1829,250), IF(U1829&lt;1000000, _xlfn.CEILING.MATH(U1829,500), 0)))))))</f>
        <v>2050</v>
      </c>
      <c r="W1829" s="316">
        <f t="shared" si="505"/>
        <v>0</v>
      </c>
    </row>
    <row r="1830" spans="1:23" x14ac:dyDescent="0.25">
      <c r="A1830" s="204" t="s">
        <v>17491</v>
      </c>
      <c r="B1830" s="351" t="s">
        <v>21536</v>
      </c>
      <c r="C1830" s="352"/>
      <c r="D1830" s="353" t="s">
        <v>5</v>
      </c>
      <c r="E1830" s="249">
        <f t="shared" si="496"/>
        <v>0</v>
      </c>
      <c r="F1830" s="336">
        <v>0</v>
      </c>
      <c r="G1830" s="258">
        <f t="shared" si="497"/>
        <v>0</v>
      </c>
      <c r="H1830" s="249">
        <f t="shared" si="498"/>
        <v>6.3781764713774933E-2</v>
      </c>
      <c r="I1830" s="336">
        <v>5.9346737051564338E-3</v>
      </c>
      <c r="J1830" s="258">
        <f t="shared" si="499"/>
        <v>5.9346737051564338E-3</v>
      </c>
      <c r="K1830" s="249">
        <f t="shared" si="500"/>
        <v>10.57341162356906</v>
      </c>
      <c r="L1830" s="336">
        <v>0.98381956375438206</v>
      </c>
      <c r="M1830" s="258">
        <f t="shared" si="501"/>
        <v>0.98381956375438206</v>
      </c>
      <c r="N1830" s="251">
        <f t="shared" si="502"/>
        <v>0.11005480970219987</v>
      </c>
      <c r="O1830" s="336">
        <v>1.0240221295171884E-2</v>
      </c>
      <c r="P1830" s="258">
        <f t="shared" si="503"/>
        <v>1.0240221295171884E-2</v>
      </c>
      <c r="Q1830" s="354">
        <v>10.492142441860466</v>
      </c>
      <c r="R1830" s="249">
        <f t="shared" si="504"/>
        <v>10.747307751453489</v>
      </c>
      <c r="S1830" s="355">
        <v>0.1</v>
      </c>
      <c r="T1830" s="355"/>
      <c r="U1830" s="315">
        <f t="shared" si="506"/>
        <v>11.822038526598838</v>
      </c>
      <c r="V1830" s="315">
        <f t="shared" si="507"/>
        <v>12</v>
      </c>
      <c r="W1830" s="316">
        <f t="shared" si="505"/>
        <v>0</v>
      </c>
    </row>
    <row r="1831" spans="1:23" x14ac:dyDescent="0.25">
      <c r="A1831" s="204" t="s">
        <v>17492</v>
      </c>
      <c r="B1831" s="351" t="s">
        <v>21537</v>
      </c>
      <c r="C1831" s="352"/>
      <c r="D1831" s="353" t="s">
        <v>14859</v>
      </c>
      <c r="E1831" s="249">
        <f t="shared" si="496"/>
        <v>0</v>
      </c>
      <c r="F1831" s="336">
        <v>0</v>
      </c>
      <c r="G1831" s="258">
        <f t="shared" si="497"/>
        <v>0</v>
      </c>
      <c r="H1831" s="249">
        <f t="shared" si="498"/>
        <v>10.970524331501398</v>
      </c>
      <c r="I1831" s="336">
        <v>5.9346737051564338E-3</v>
      </c>
      <c r="J1831" s="258">
        <f t="shared" si="499"/>
        <v>5.9346737051564338E-3</v>
      </c>
      <c r="K1831" s="249">
        <f t="shared" si="500"/>
        <v>1818.6471217386531</v>
      </c>
      <c r="L1831" s="336">
        <v>0.98382510499967168</v>
      </c>
      <c r="M1831" s="258">
        <f t="shared" si="501"/>
        <v>0.98382510499967168</v>
      </c>
      <c r="N1831" s="251">
        <f t="shared" si="502"/>
        <v>18.929532179845552</v>
      </c>
      <c r="O1831" s="336">
        <v>1.0240221295171886E-2</v>
      </c>
      <c r="P1831" s="258">
        <f t="shared" si="503"/>
        <v>1.0240221295171886E-2</v>
      </c>
      <c r="Q1831" s="354">
        <v>1804.6485</v>
      </c>
      <c r="R1831" s="249">
        <f t="shared" si="504"/>
        <v>1848.5471782500001</v>
      </c>
      <c r="S1831" s="355">
        <v>0.1</v>
      </c>
      <c r="T1831" s="355"/>
      <c r="U1831" s="315">
        <f t="shared" si="506"/>
        <v>2033.4018960750002</v>
      </c>
      <c r="V1831" s="315">
        <f t="shared" si="507"/>
        <v>2050</v>
      </c>
      <c r="W1831" s="316">
        <f t="shared" si="505"/>
        <v>0</v>
      </c>
    </row>
    <row r="1832" spans="1:23" x14ac:dyDescent="0.25">
      <c r="A1832" s="204" t="s">
        <v>17493</v>
      </c>
      <c r="B1832" s="351" t="s">
        <v>21538</v>
      </c>
      <c r="C1832" s="352"/>
      <c r="D1832" s="353" t="s">
        <v>5</v>
      </c>
      <c r="E1832" s="249">
        <f t="shared" si="496"/>
        <v>0</v>
      </c>
      <c r="F1832" s="336">
        <v>0</v>
      </c>
      <c r="G1832" s="258">
        <f t="shared" si="497"/>
        <v>0</v>
      </c>
      <c r="H1832" s="249">
        <f t="shared" si="498"/>
        <v>6.37822642097058E-2</v>
      </c>
      <c r="I1832" s="336">
        <v>5.6706946600958629E-3</v>
      </c>
      <c r="J1832" s="258">
        <f t="shared" si="499"/>
        <v>5.6706946600958629E-3</v>
      </c>
      <c r="K1832" s="249">
        <f t="shared" si="500"/>
        <v>11.073801078591876</v>
      </c>
      <c r="L1832" s="336">
        <v>0.9845392825326984</v>
      </c>
      <c r="M1832" s="258">
        <f t="shared" si="501"/>
        <v>0.9845392825326984</v>
      </c>
      <c r="N1832" s="251">
        <f t="shared" si="502"/>
        <v>0.11005567157753156</v>
      </c>
      <c r="O1832" s="336">
        <v>9.7847280409497223E-3</v>
      </c>
      <c r="P1832" s="258">
        <f t="shared" si="503"/>
        <v>9.7847280409497223E-3</v>
      </c>
      <c r="Q1832" s="354">
        <v>10.980566860465116</v>
      </c>
      <c r="R1832" s="249">
        <f t="shared" si="504"/>
        <v>11.24769856831395</v>
      </c>
      <c r="S1832" s="355">
        <v>0.1</v>
      </c>
      <c r="T1832" s="355"/>
      <c r="U1832" s="315">
        <f t="shared" si="506"/>
        <v>12.372468425145346</v>
      </c>
      <c r="V1832" s="315">
        <f t="shared" si="507"/>
        <v>13</v>
      </c>
      <c r="W1832" s="316">
        <f t="shared" si="505"/>
        <v>0</v>
      </c>
    </row>
    <row r="1833" spans="1:23" x14ac:dyDescent="0.25">
      <c r="A1833" s="204" t="s">
        <v>17494</v>
      </c>
      <c r="B1833" s="351" t="s">
        <v>21539</v>
      </c>
      <c r="C1833" s="352"/>
      <c r="D1833" s="353" t="s">
        <v>14859</v>
      </c>
      <c r="E1833" s="249">
        <f t="shared" si="496"/>
        <v>0</v>
      </c>
      <c r="F1833" s="336">
        <v>0</v>
      </c>
      <c r="G1833" s="258">
        <f t="shared" si="497"/>
        <v>0</v>
      </c>
      <c r="H1833" s="249">
        <f t="shared" si="498"/>
        <v>10.970607540336193</v>
      </c>
      <c r="I1833" s="336">
        <v>5.6706946600958621E-3</v>
      </c>
      <c r="J1833" s="258">
        <f t="shared" si="499"/>
        <v>5.6706946600958621E-3</v>
      </c>
      <c r="K1833" s="249">
        <f t="shared" si="500"/>
        <v>1904.7141154537896</v>
      </c>
      <c r="L1833" s="336">
        <v>0.98454457729895439</v>
      </c>
      <c r="M1833" s="258">
        <f t="shared" si="501"/>
        <v>0.98454457729895439</v>
      </c>
      <c r="N1833" s="251">
        <f t="shared" si="502"/>
        <v>18.929675755874214</v>
      </c>
      <c r="O1833" s="336">
        <v>9.7847280409497223E-3</v>
      </c>
      <c r="P1833" s="258">
        <f t="shared" si="503"/>
        <v>9.7847280409497223E-3</v>
      </c>
      <c r="Q1833" s="354">
        <v>1888.6575</v>
      </c>
      <c r="R1833" s="249">
        <f t="shared" si="504"/>
        <v>1934.6143987500002</v>
      </c>
      <c r="S1833" s="355">
        <v>0.1</v>
      </c>
      <c r="T1833" s="355"/>
      <c r="U1833" s="315">
        <f t="shared" si="506"/>
        <v>2128.0758386250004</v>
      </c>
      <c r="V1833" s="315">
        <f t="shared" si="507"/>
        <v>2150</v>
      </c>
      <c r="W1833" s="316">
        <f t="shared" si="505"/>
        <v>0</v>
      </c>
    </row>
    <row r="1834" spans="1:23" x14ac:dyDescent="0.25">
      <c r="A1834" s="204" t="s">
        <v>17495</v>
      </c>
      <c r="B1834" s="351" t="s">
        <v>21540</v>
      </c>
      <c r="C1834" s="352"/>
      <c r="D1834" s="353" t="s">
        <v>5</v>
      </c>
      <c r="E1834" s="249">
        <f t="shared" si="496"/>
        <v>0</v>
      </c>
      <c r="F1834" s="336">
        <v>0</v>
      </c>
      <c r="G1834" s="258">
        <f t="shared" si="497"/>
        <v>0</v>
      </c>
      <c r="H1834" s="249">
        <f t="shared" si="498"/>
        <v>6.3784117948013558E-2</v>
      </c>
      <c r="I1834" s="336">
        <v>4.6910108668515044E-3</v>
      </c>
      <c r="J1834" s="258">
        <f t="shared" si="499"/>
        <v>4.6910108668515044E-3</v>
      </c>
      <c r="K1834" s="249">
        <f t="shared" si="500"/>
        <v>13.423191932945683</v>
      </c>
      <c r="L1834" s="336">
        <v>0.98721031584387831</v>
      </c>
      <c r="M1834" s="258">
        <f t="shared" si="501"/>
        <v>0.98721031584387831</v>
      </c>
      <c r="N1834" s="251">
        <f t="shared" si="502"/>
        <v>0.11005887018480769</v>
      </c>
      <c r="O1834" s="336">
        <v>8.0942932604496538E-3</v>
      </c>
      <c r="P1834" s="258">
        <f t="shared" si="503"/>
        <v>8.0942932604496538E-3</v>
      </c>
      <c r="Q1834" s="354">
        <v>13.273779069767443</v>
      </c>
      <c r="R1834" s="249">
        <f t="shared" si="504"/>
        <v>13.597094476744187</v>
      </c>
      <c r="S1834" s="355">
        <v>0.1</v>
      </c>
      <c r="T1834" s="355"/>
      <c r="U1834" s="315">
        <f t="shared" si="506"/>
        <v>14.956803924418606</v>
      </c>
      <c r="V1834" s="315">
        <f t="shared" si="507"/>
        <v>15</v>
      </c>
      <c r="W1834" s="316">
        <f t="shared" si="505"/>
        <v>0</v>
      </c>
    </row>
    <row r="1835" spans="1:23" x14ac:dyDescent="0.25">
      <c r="A1835" s="204" t="s">
        <v>17496</v>
      </c>
      <c r="B1835" s="351" t="s">
        <v>21541</v>
      </c>
      <c r="C1835" s="352"/>
      <c r="D1835" s="353" t="s">
        <v>14859</v>
      </c>
      <c r="E1835" s="249">
        <f t="shared" si="496"/>
        <v>0</v>
      </c>
      <c r="F1835" s="336">
        <v>0</v>
      </c>
      <c r="G1835" s="258">
        <f t="shared" si="497"/>
        <v>0</v>
      </c>
      <c r="H1835" s="249">
        <f t="shared" si="498"/>
        <v>10.97091634646466</v>
      </c>
      <c r="I1835" s="336">
        <v>4.6910108668515036E-3</v>
      </c>
      <c r="J1835" s="258">
        <f t="shared" si="499"/>
        <v>4.6910108668515036E-3</v>
      </c>
      <c r="K1835" s="249">
        <f t="shared" si="500"/>
        <v>2308.8093700557142</v>
      </c>
      <c r="L1835" s="336">
        <v>0.98721469587269883</v>
      </c>
      <c r="M1835" s="258">
        <f t="shared" si="501"/>
        <v>0.98721469587269883</v>
      </c>
      <c r="N1835" s="251">
        <f t="shared" si="502"/>
        <v>18.930208597821377</v>
      </c>
      <c r="O1835" s="336">
        <v>8.0942932604496538E-3</v>
      </c>
      <c r="P1835" s="258">
        <f t="shared" si="503"/>
        <v>8.0942932604496538E-3</v>
      </c>
      <c r="Q1835" s="354">
        <v>2283.09</v>
      </c>
      <c r="R1835" s="249">
        <f t="shared" si="504"/>
        <v>2338.7104950000003</v>
      </c>
      <c r="S1835" s="355">
        <v>0.1</v>
      </c>
      <c r="T1835" s="355"/>
      <c r="U1835" s="315">
        <f t="shared" si="506"/>
        <v>2572.5815445000003</v>
      </c>
      <c r="V1835" s="315">
        <f t="shared" si="507"/>
        <v>2575</v>
      </c>
      <c r="W1835" s="316">
        <f t="shared" si="505"/>
        <v>0</v>
      </c>
    </row>
    <row r="1836" spans="1:23" x14ac:dyDescent="0.25">
      <c r="A1836" s="204" t="s">
        <v>17497</v>
      </c>
      <c r="B1836" s="351" t="s">
        <v>21542</v>
      </c>
      <c r="C1836" s="352"/>
      <c r="D1836" s="353" t="s">
        <v>5</v>
      </c>
      <c r="E1836" s="249">
        <f t="shared" si="496"/>
        <v>0</v>
      </c>
      <c r="F1836" s="336">
        <v>0</v>
      </c>
      <c r="G1836" s="258">
        <f t="shared" si="497"/>
        <v>0</v>
      </c>
      <c r="H1836" s="249">
        <f t="shared" si="498"/>
        <v>6.3785013274508626E-2</v>
      </c>
      <c r="I1836" s="336">
        <v>4.2178389777943184E-3</v>
      </c>
      <c r="J1836" s="258">
        <f t="shared" si="499"/>
        <v>4.2178389777943184E-3</v>
      </c>
      <c r="K1836" s="249">
        <f t="shared" si="500"/>
        <v>14.948771250627056</v>
      </c>
      <c r="L1836" s="336">
        <v>0.98850038299238152</v>
      </c>
      <c r="M1836" s="258">
        <f t="shared" si="501"/>
        <v>0.98850038299238152</v>
      </c>
      <c r="N1836" s="251">
        <f t="shared" si="502"/>
        <v>0.11006041506189722</v>
      </c>
      <c r="O1836" s="336">
        <v>7.2778398048215683E-3</v>
      </c>
      <c r="P1836" s="258">
        <f t="shared" si="503"/>
        <v>7.2778398048215683E-3</v>
      </c>
      <c r="Q1836" s="354">
        <v>14.762877906976746</v>
      </c>
      <c r="R1836" s="249">
        <f t="shared" si="504"/>
        <v>15.122676235465118</v>
      </c>
      <c r="S1836" s="355">
        <v>0.1</v>
      </c>
      <c r="T1836" s="355"/>
      <c r="U1836" s="315">
        <f t="shared" si="506"/>
        <v>16.634943859011628</v>
      </c>
      <c r="V1836" s="315">
        <f t="shared" si="507"/>
        <v>17</v>
      </c>
      <c r="W1836" s="316">
        <f t="shared" si="505"/>
        <v>0</v>
      </c>
    </row>
    <row r="1837" spans="1:23" x14ac:dyDescent="0.25">
      <c r="A1837" s="204" t="s">
        <v>17498</v>
      </c>
      <c r="B1837" s="351" t="s">
        <v>21543</v>
      </c>
      <c r="C1837" s="352"/>
      <c r="D1837" s="353" t="s">
        <v>14859</v>
      </c>
      <c r="E1837" s="249">
        <f t="shared" si="496"/>
        <v>0</v>
      </c>
      <c r="F1837" s="336">
        <v>0</v>
      </c>
      <c r="G1837" s="258">
        <f t="shared" si="497"/>
        <v>0</v>
      </c>
      <c r="H1837" s="249">
        <f t="shared" si="498"/>
        <v>10.971065494975811</v>
      </c>
      <c r="I1837" s="336">
        <v>4.2178389777943184E-3</v>
      </c>
      <c r="J1837" s="258">
        <f t="shared" si="499"/>
        <v>4.2178389777943184E-3</v>
      </c>
      <c r="K1837" s="249">
        <f t="shared" si="500"/>
        <v>2571.2090260529089</v>
      </c>
      <c r="L1837" s="336">
        <v>0.98850432121738407</v>
      </c>
      <c r="M1837" s="258">
        <f t="shared" si="501"/>
        <v>0.98850432121738407</v>
      </c>
      <c r="N1837" s="251">
        <f t="shared" si="502"/>
        <v>18.930465952115121</v>
      </c>
      <c r="O1837" s="336">
        <v>7.2778398048215683E-3</v>
      </c>
      <c r="P1837" s="258">
        <f t="shared" si="503"/>
        <v>7.2778398048215683E-3</v>
      </c>
      <c r="Q1837" s="354">
        <v>2539.2150000000001</v>
      </c>
      <c r="R1837" s="249">
        <f t="shared" si="504"/>
        <v>2601.1105575000001</v>
      </c>
      <c r="S1837" s="355">
        <v>0.1</v>
      </c>
      <c r="T1837" s="355"/>
      <c r="U1837" s="315">
        <f t="shared" si="506"/>
        <v>2861.2216132500002</v>
      </c>
      <c r="V1837" s="315">
        <f t="shared" si="507"/>
        <v>2875</v>
      </c>
      <c r="W1837" s="316">
        <f t="shared" si="505"/>
        <v>0</v>
      </c>
    </row>
    <row r="1838" spans="1:23" x14ac:dyDescent="0.25">
      <c r="A1838" s="204" t="s">
        <v>17499</v>
      </c>
      <c r="B1838" s="351" t="s">
        <v>21544</v>
      </c>
      <c r="C1838" s="352"/>
      <c r="D1838" s="353" t="s">
        <v>5</v>
      </c>
      <c r="E1838" s="249">
        <f t="shared" si="496"/>
        <v>0</v>
      </c>
      <c r="F1838" s="336">
        <v>0</v>
      </c>
      <c r="G1838" s="258">
        <f t="shared" si="497"/>
        <v>0</v>
      </c>
      <c r="H1838" s="249">
        <f t="shared" si="498"/>
        <v>6.3785658497542586E-2</v>
      </c>
      <c r="I1838" s="336">
        <v>3.8768444874963627E-3</v>
      </c>
      <c r="J1838" s="258">
        <f t="shared" si="499"/>
        <v>3.8768444874963627E-3</v>
      </c>
      <c r="K1838" s="249">
        <f t="shared" si="500"/>
        <v>16.279076785080207</v>
      </c>
      <c r="L1838" s="336">
        <v>0.98943007852148535</v>
      </c>
      <c r="M1838" s="258">
        <f t="shared" si="501"/>
        <v>0.98943007852148535</v>
      </c>
      <c r="N1838" s="251">
        <f t="shared" si="502"/>
        <v>0.11006152838791661</v>
      </c>
      <c r="O1838" s="336">
        <v>6.6894571548956842E-3</v>
      </c>
      <c r="P1838" s="258">
        <f t="shared" si="503"/>
        <v>6.6894571548956842E-3</v>
      </c>
      <c r="Q1838" s="354">
        <v>16.061372093023255</v>
      </c>
      <c r="R1838" s="249">
        <f t="shared" si="504"/>
        <v>16.452983529069769</v>
      </c>
      <c r="S1838" s="355">
        <v>0.1</v>
      </c>
      <c r="T1838" s="355"/>
      <c r="U1838" s="315">
        <f t="shared" si="506"/>
        <v>18.098281881976746</v>
      </c>
      <c r="V1838" s="315">
        <f t="shared" si="507"/>
        <v>19</v>
      </c>
      <c r="W1838" s="316">
        <f t="shared" si="505"/>
        <v>0</v>
      </c>
    </row>
    <row r="1839" spans="1:23" x14ac:dyDescent="0.25">
      <c r="A1839" s="204" t="s">
        <v>17500</v>
      </c>
      <c r="B1839" s="351" t="s">
        <v>21545</v>
      </c>
      <c r="C1839" s="352"/>
      <c r="D1839" s="353" t="s">
        <v>14859</v>
      </c>
      <c r="E1839" s="249">
        <f t="shared" si="496"/>
        <v>0</v>
      </c>
      <c r="F1839" s="336">
        <v>0</v>
      </c>
      <c r="G1839" s="258">
        <f t="shared" si="497"/>
        <v>0</v>
      </c>
      <c r="H1839" s="249">
        <f t="shared" si="498"/>
        <v>10.971172979849097</v>
      </c>
      <c r="I1839" s="336">
        <v>3.8768444874963622E-3</v>
      </c>
      <c r="J1839" s="258">
        <f t="shared" si="499"/>
        <v>3.8768444874963622E-3</v>
      </c>
      <c r="K1839" s="249">
        <f t="shared" si="500"/>
        <v>2800.021587603941</v>
      </c>
      <c r="L1839" s="336">
        <v>0.98943369835760797</v>
      </c>
      <c r="M1839" s="258">
        <f t="shared" si="501"/>
        <v>0.98943369835760797</v>
      </c>
      <c r="N1839" s="251">
        <f t="shared" si="502"/>
        <v>18.930651416210207</v>
      </c>
      <c r="O1839" s="336">
        <v>6.6894571548956833E-3</v>
      </c>
      <c r="P1839" s="258">
        <f t="shared" si="503"/>
        <v>6.6894571548956833E-3</v>
      </c>
      <c r="Q1839" s="354">
        <v>2762.556</v>
      </c>
      <c r="R1839" s="249">
        <f t="shared" si="504"/>
        <v>2829.9234120000001</v>
      </c>
      <c r="S1839" s="355">
        <v>0.1</v>
      </c>
      <c r="T1839" s="355"/>
      <c r="U1839" s="315">
        <f t="shared" si="506"/>
        <v>3112.9157531999999</v>
      </c>
      <c r="V1839" s="315">
        <f t="shared" si="507"/>
        <v>3125</v>
      </c>
      <c r="W1839" s="316">
        <f t="shared" si="505"/>
        <v>0</v>
      </c>
    </row>
    <row r="1840" spans="1:23" x14ac:dyDescent="0.25">
      <c r="A1840" s="204" t="s">
        <v>17501</v>
      </c>
      <c r="B1840" s="351" t="s">
        <v>21546</v>
      </c>
      <c r="C1840" s="352"/>
      <c r="D1840" s="353" t="s">
        <v>5</v>
      </c>
      <c r="E1840" s="249">
        <f t="shared" si="496"/>
        <v>0</v>
      </c>
      <c r="F1840" s="336">
        <v>0</v>
      </c>
      <c r="G1840" s="258">
        <f t="shared" si="497"/>
        <v>0</v>
      </c>
      <c r="H1840" s="249">
        <f t="shared" si="498"/>
        <v>6.3786000839292367E-2</v>
      </c>
      <c r="I1840" s="336">
        <v>3.6959199942024784E-3</v>
      </c>
      <c r="J1840" s="258">
        <f t="shared" si="499"/>
        <v>3.6959199942024784E-3</v>
      </c>
      <c r="K1840" s="249">
        <f t="shared" si="500"/>
        <v>17.084583020316124</v>
      </c>
      <c r="L1840" s="336">
        <v>0.98992335538462073</v>
      </c>
      <c r="M1840" s="258">
        <f t="shared" si="501"/>
        <v>0.98992335538462073</v>
      </c>
      <c r="N1840" s="251">
        <f t="shared" si="502"/>
        <v>0.11006211909524956</v>
      </c>
      <c r="O1840" s="336">
        <v>6.3772737154866293E-3</v>
      </c>
      <c r="P1840" s="258">
        <f t="shared" si="503"/>
        <v>6.3772737154866293E-3</v>
      </c>
      <c r="Q1840" s="354">
        <v>16.847616279069769</v>
      </c>
      <c r="R1840" s="249">
        <f t="shared" si="504"/>
        <v>17.258490697674418</v>
      </c>
      <c r="S1840" s="355">
        <v>0.1</v>
      </c>
      <c r="T1840" s="355"/>
      <c r="U1840" s="315">
        <f t="shared" si="506"/>
        <v>18.98433976744186</v>
      </c>
      <c r="V1840" s="315">
        <f t="shared" si="507"/>
        <v>19</v>
      </c>
      <c r="W1840" s="316">
        <f t="shared" si="505"/>
        <v>0</v>
      </c>
    </row>
    <row r="1841" spans="1:23" x14ac:dyDescent="0.25">
      <c r="A1841" s="204" t="s">
        <v>17502</v>
      </c>
      <c r="B1841" s="351" t="s">
        <v>21547</v>
      </c>
      <c r="C1841" s="352"/>
      <c r="D1841" s="353" t="s">
        <v>14859</v>
      </c>
      <c r="E1841" s="249">
        <f t="shared" si="496"/>
        <v>0</v>
      </c>
      <c r="F1841" s="336">
        <v>0</v>
      </c>
      <c r="G1841" s="258">
        <f t="shared" si="497"/>
        <v>0</v>
      </c>
      <c r="H1841" s="249">
        <f t="shared" si="498"/>
        <v>10.971230009058628</v>
      </c>
      <c r="I1841" s="336">
        <v>3.6959199942024788E-3</v>
      </c>
      <c r="J1841" s="258">
        <f t="shared" si="499"/>
        <v>3.6959199942024788E-3</v>
      </c>
      <c r="K1841" s="249">
        <f t="shared" si="500"/>
        <v>2938.5686651713891</v>
      </c>
      <c r="L1841" s="336">
        <v>0.98992680629031082</v>
      </c>
      <c r="M1841" s="258">
        <f t="shared" si="501"/>
        <v>0.98992680629031082</v>
      </c>
      <c r="N1841" s="251">
        <f t="shared" si="502"/>
        <v>18.93074981955214</v>
      </c>
      <c r="O1841" s="336">
        <v>6.3772737154866293E-3</v>
      </c>
      <c r="P1841" s="258">
        <f t="shared" si="503"/>
        <v>6.3772737154866293E-3</v>
      </c>
      <c r="Q1841" s="354">
        <v>2897.79</v>
      </c>
      <c r="R1841" s="249">
        <f t="shared" si="504"/>
        <v>2968.4706449999999</v>
      </c>
      <c r="S1841" s="355">
        <v>0.1</v>
      </c>
      <c r="T1841" s="355"/>
      <c r="U1841" s="315">
        <f t="shared" si="506"/>
        <v>3265.3177095000001</v>
      </c>
      <c r="V1841" s="315">
        <f t="shared" si="507"/>
        <v>3275</v>
      </c>
      <c r="W1841" s="316">
        <f t="shared" si="505"/>
        <v>0</v>
      </c>
    </row>
    <row r="1842" spans="1:23" x14ac:dyDescent="0.25">
      <c r="A1842" s="204" t="s">
        <v>17503</v>
      </c>
      <c r="B1842" s="351" t="s">
        <v>21548</v>
      </c>
      <c r="C1842" s="352"/>
      <c r="D1842" s="353" t="s">
        <v>5</v>
      </c>
      <c r="E1842" s="249">
        <f t="shared" si="496"/>
        <v>0</v>
      </c>
      <c r="F1842" s="336">
        <v>0</v>
      </c>
      <c r="G1842" s="258">
        <f t="shared" si="497"/>
        <v>0</v>
      </c>
      <c r="H1842" s="249">
        <f t="shared" si="498"/>
        <v>6.3787269784056744E-2</v>
      </c>
      <c r="I1842" s="336">
        <v>3.0252942564746171E-3</v>
      </c>
      <c r="J1842" s="258">
        <f t="shared" si="499"/>
        <v>3.0252942564746171E-3</v>
      </c>
      <c r="K1842" s="249">
        <f t="shared" si="500"/>
        <v>20.910738611506879</v>
      </c>
      <c r="L1842" s="336">
        <v>0.99175176542585819</v>
      </c>
      <c r="M1842" s="258">
        <f t="shared" si="501"/>
        <v>0.99175176542585819</v>
      </c>
      <c r="N1842" s="251">
        <f t="shared" si="502"/>
        <v>0.11006430864699986</v>
      </c>
      <c r="O1842" s="336">
        <v>5.2201155797993387E-3</v>
      </c>
      <c r="P1842" s="258">
        <f t="shared" si="503"/>
        <v>5.2201155797993387E-3</v>
      </c>
      <c r="Q1842" s="354">
        <v>20.582276162790698</v>
      </c>
      <c r="R1842" s="249">
        <f t="shared" si="504"/>
        <v>21.084649748546511</v>
      </c>
      <c r="S1842" s="355">
        <v>0.1</v>
      </c>
      <c r="T1842" s="355"/>
      <c r="U1842" s="315">
        <f t="shared" si="506"/>
        <v>23.193114723401163</v>
      </c>
      <c r="V1842" s="315">
        <f t="shared" si="507"/>
        <v>24</v>
      </c>
      <c r="W1842" s="316">
        <f t="shared" si="505"/>
        <v>0</v>
      </c>
    </row>
    <row r="1843" spans="1:23" x14ac:dyDescent="0.25">
      <c r="A1843" s="204" t="s">
        <v>17504</v>
      </c>
      <c r="B1843" s="351" t="s">
        <v>21549</v>
      </c>
      <c r="C1843" s="352"/>
      <c r="D1843" s="353" t="s">
        <v>14859</v>
      </c>
      <c r="E1843" s="249">
        <f t="shared" si="496"/>
        <v>0</v>
      </c>
      <c r="F1843" s="336">
        <v>0</v>
      </c>
      <c r="G1843" s="258">
        <f t="shared" si="497"/>
        <v>0</v>
      </c>
      <c r="H1843" s="249">
        <f t="shared" si="498"/>
        <v>10.971441396997417</v>
      </c>
      <c r="I1843" s="336">
        <v>3.0252942564746171E-3</v>
      </c>
      <c r="J1843" s="258">
        <f t="shared" si="499"/>
        <v>3.0252942564746171E-3</v>
      </c>
      <c r="K1843" s="249">
        <f t="shared" si="500"/>
        <v>3596.6674457856343</v>
      </c>
      <c r="L1843" s="336">
        <v>0.99175459016372602</v>
      </c>
      <c r="M1843" s="258">
        <f t="shared" si="501"/>
        <v>0.99175459016372602</v>
      </c>
      <c r="N1843" s="251">
        <f t="shared" si="502"/>
        <v>18.931114567368091</v>
      </c>
      <c r="O1843" s="336">
        <v>5.2201155797993396E-3</v>
      </c>
      <c r="P1843" s="258">
        <f t="shared" si="503"/>
        <v>5.2201155797993396E-3</v>
      </c>
      <c r="Q1843" s="354">
        <v>3540.1514999999999</v>
      </c>
      <c r="R1843" s="249">
        <f t="shared" si="504"/>
        <v>3626.5700017499998</v>
      </c>
      <c r="S1843" s="355">
        <v>0.1</v>
      </c>
      <c r="T1843" s="355"/>
      <c r="U1843" s="315">
        <f t="shared" si="506"/>
        <v>3989.227001925</v>
      </c>
      <c r="V1843" s="315">
        <f t="shared" si="507"/>
        <v>4000</v>
      </c>
      <c r="W1843" s="316">
        <f t="shared" si="505"/>
        <v>0</v>
      </c>
    </row>
    <row r="1844" spans="1:23" x14ac:dyDescent="0.25">
      <c r="A1844" s="204" t="s">
        <v>17505</v>
      </c>
      <c r="B1844" s="351" t="s">
        <v>21550</v>
      </c>
      <c r="C1844" s="352"/>
      <c r="D1844" s="353" t="s">
        <v>5</v>
      </c>
      <c r="E1844" s="249">
        <f t="shared" si="496"/>
        <v>0</v>
      </c>
      <c r="F1844" s="336">
        <v>0</v>
      </c>
      <c r="G1844" s="258">
        <f t="shared" si="497"/>
        <v>0</v>
      </c>
      <c r="H1844" s="249">
        <f t="shared" si="498"/>
        <v>6.378842432078638E-2</v>
      </c>
      <c r="I1844" s="336">
        <v>2.41513212193373E-3</v>
      </c>
      <c r="J1844" s="258">
        <f t="shared" si="499"/>
        <v>2.41513212193373E-3</v>
      </c>
      <c r="K1844" s="249">
        <f t="shared" si="500"/>
        <v>26.238066965203828</v>
      </c>
      <c r="L1844" s="336">
        <v>0.99341532605411165</v>
      </c>
      <c r="M1844" s="258">
        <f t="shared" si="501"/>
        <v>0.99341532605411165</v>
      </c>
      <c r="N1844" s="251">
        <f t="shared" si="502"/>
        <v>0.11006630078880784</v>
      </c>
      <c r="O1844" s="336">
        <v>4.1672867986307493E-3</v>
      </c>
      <c r="P1844" s="258">
        <f t="shared" si="503"/>
        <v>4.1672867986307493E-3</v>
      </c>
      <c r="Q1844" s="354">
        <v>25.782209302325576</v>
      </c>
      <c r="R1844" s="249">
        <f t="shared" si="504"/>
        <v>26.411981249999993</v>
      </c>
      <c r="S1844" s="355">
        <v>0.1</v>
      </c>
      <c r="T1844" s="355"/>
      <c r="U1844" s="315">
        <f t="shared" si="506"/>
        <v>29.053179374999992</v>
      </c>
      <c r="V1844" s="315">
        <f t="shared" si="507"/>
        <v>30</v>
      </c>
      <c r="W1844" s="316">
        <f t="shared" si="505"/>
        <v>0</v>
      </c>
    </row>
    <row r="1845" spans="1:23" x14ac:dyDescent="0.25">
      <c r="A1845" s="204" t="s">
        <v>17506</v>
      </c>
      <c r="B1845" s="351" t="s">
        <v>21551</v>
      </c>
      <c r="C1845" s="352"/>
      <c r="D1845" s="353" t="s">
        <v>14859</v>
      </c>
      <c r="E1845" s="249">
        <f t="shared" si="496"/>
        <v>0</v>
      </c>
      <c r="F1845" s="336">
        <v>0</v>
      </c>
      <c r="G1845" s="258">
        <f t="shared" si="497"/>
        <v>0</v>
      </c>
      <c r="H1845" s="249">
        <f t="shared" si="498"/>
        <v>10.971633726203844</v>
      </c>
      <c r="I1845" s="336">
        <v>2.41513212193373E-3</v>
      </c>
      <c r="J1845" s="258">
        <f t="shared" si="499"/>
        <v>2.41513212193373E-3</v>
      </c>
      <c r="K1845" s="249">
        <f t="shared" si="500"/>
        <v>4512.9679398442668</v>
      </c>
      <c r="L1845" s="336">
        <v>0.99341758107943556</v>
      </c>
      <c r="M1845" s="258">
        <f t="shared" si="501"/>
        <v>0.99341758107943556</v>
      </c>
      <c r="N1845" s="251">
        <f t="shared" si="502"/>
        <v>18.931446429528201</v>
      </c>
      <c r="O1845" s="336">
        <v>4.1672867986307493E-3</v>
      </c>
      <c r="P1845" s="258">
        <f t="shared" si="503"/>
        <v>4.1672867986307493E-3</v>
      </c>
      <c r="Q1845" s="354">
        <v>4434.5399999999991</v>
      </c>
      <c r="R1845" s="249">
        <f t="shared" si="504"/>
        <v>4542.8710199999987</v>
      </c>
      <c r="S1845" s="355">
        <v>0.1</v>
      </c>
      <c r="T1845" s="355"/>
      <c r="U1845" s="315">
        <f t="shared" si="506"/>
        <v>4997.1581219999989</v>
      </c>
      <c r="V1845" s="315">
        <f t="shared" si="507"/>
        <v>5000</v>
      </c>
      <c r="W1845" s="316">
        <f t="shared" si="505"/>
        <v>0</v>
      </c>
    </row>
    <row r="1846" spans="1:23" x14ac:dyDescent="0.25">
      <c r="A1846" s="204" t="s">
        <v>17507</v>
      </c>
      <c r="B1846" s="351" t="s">
        <v>21552</v>
      </c>
      <c r="C1846" s="352"/>
      <c r="D1846" s="353" t="s">
        <v>5</v>
      </c>
      <c r="E1846" s="249">
        <f t="shared" si="496"/>
        <v>0</v>
      </c>
      <c r="F1846" s="336">
        <v>0</v>
      </c>
      <c r="G1846" s="258">
        <f t="shared" si="497"/>
        <v>0</v>
      </c>
      <c r="H1846" s="249">
        <f t="shared" si="498"/>
        <v>6.3788527513144289E-2</v>
      </c>
      <c r="I1846" s="336">
        <v>2.360595901688124E-3</v>
      </c>
      <c r="J1846" s="258">
        <f t="shared" si="499"/>
        <v>2.360595901688124E-3</v>
      </c>
      <c r="K1846" s="249">
        <f t="shared" si="500"/>
        <v>26.848299387346096</v>
      </c>
      <c r="L1846" s="336">
        <v>0.99356401490856283</v>
      </c>
      <c r="M1846" s="258">
        <f t="shared" si="501"/>
        <v>0.99356401490856283</v>
      </c>
      <c r="N1846" s="251">
        <f t="shared" si="502"/>
        <v>0.11006647884620975</v>
      </c>
      <c r="O1846" s="336">
        <v>4.0731850852657823E-3</v>
      </c>
      <c r="P1846" s="258">
        <f t="shared" si="503"/>
        <v>4.0731850852657823E-3</v>
      </c>
      <c r="Q1846" s="354">
        <v>26.377848837209299</v>
      </c>
      <c r="R1846" s="249">
        <f t="shared" si="504"/>
        <v>27.022213953488372</v>
      </c>
      <c r="S1846" s="355">
        <v>0.1</v>
      </c>
      <c r="T1846" s="355"/>
      <c r="U1846" s="315">
        <f t="shared" si="506"/>
        <v>29.724435348837208</v>
      </c>
      <c r="V1846" s="315">
        <f t="shared" si="507"/>
        <v>30</v>
      </c>
      <c r="W1846" s="316">
        <f t="shared" si="505"/>
        <v>0</v>
      </c>
    </row>
    <row r="1847" spans="1:23" x14ac:dyDescent="0.25">
      <c r="A1847" s="204" t="s">
        <v>17508</v>
      </c>
      <c r="B1847" s="351" t="s">
        <v>21553</v>
      </c>
      <c r="C1847" s="352"/>
      <c r="D1847" s="353" t="s">
        <v>14859</v>
      </c>
      <c r="E1847" s="249">
        <f t="shared" si="496"/>
        <v>0</v>
      </c>
      <c r="F1847" s="336">
        <v>0</v>
      </c>
      <c r="G1847" s="258">
        <f t="shared" si="497"/>
        <v>0</v>
      </c>
      <c r="H1847" s="249">
        <f t="shared" si="498"/>
        <v>10.97165091656583</v>
      </c>
      <c r="I1847" s="336">
        <v>2.360595901688124E-3</v>
      </c>
      <c r="J1847" s="258">
        <f t="shared" si="499"/>
        <v>2.360595901688124E-3</v>
      </c>
      <c r="K1847" s="249">
        <f t="shared" si="500"/>
        <v>4617.927917992105</v>
      </c>
      <c r="L1847" s="336">
        <v>0.9935662190130462</v>
      </c>
      <c r="M1847" s="258">
        <f t="shared" si="501"/>
        <v>0.9935662190130462</v>
      </c>
      <c r="N1847" s="251">
        <f t="shared" si="502"/>
        <v>18.931476091329273</v>
      </c>
      <c r="O1847" s="336">
        <v>4.0731850852657823E-3</v>
      </c>
      <c r="P1847" s="258">
        <f t="shared" si="503"/>
        <v>4.0731850852657823E-3</v>
      </c>
      <c r="Q1847" s="354">
        <v>4536.99</v>
      </c>
      <c r="R1847" s="249">
        <f t="shared" si="504"/>
        <v>4647.8310449999999</v>
      </c>
      <c r="S1847" s="355">
        <v>0.1</v>
      </c>
      <c r="T1847" s="355"/>
      <c r="U1847" s="315">
        <f t="shared" si="506"/>
        <v>5112.6141495000002</v>
      </c>
      <c r="V1847" s="315">
        <f t="shared" si="507"/>
        <v>5125</v>
      </c>
      <c r="W1847" s="316">
        <f t="shared" si="505"/>
        <v>0</v>
      </c>
    </row>
    <row r="1848" spans="1:23" x14ac:dyDescent="0.25">
      <c r="A1848" s="204" t="s">
        <v>17509</v>
      </c>
      <c r="B1848" s="351" t="s">
        <v>21554</v>
      </c>
      <c r="C1848" s="352"/>
      <c r="D1848" s="353" t="s">
        <v>5</v>
      </c>
      <c r="E1848" s="249">
        <f t="shared" si="496"/>
        <v>0</v>
      </c>
      <c r="F1848" s="336">
        <v>0</v>
      </c>
      <c r="G1848" s="258">
        <f t="shared" si="497"/>
        <v>0</v>
      </c>
      <c r="H1848" s="249">
        <f t="shared" si="498"/>
        <v>6.3788626148031019E-2</v>
      </c>
      <c r="I1848" s="336">
        <v>2.3084682634111021E-3</v>
      </c>
      <c r="J1848" s="258">
        <f t="shared" si="499"/>
        <v>2.3084682634111021E-3</v>
      </c>
      <c r="K1848" s="249">
        <f t="shared" si="500"/>
        <v>27.458531821913954</v>
      </c>
      <c r="L1848" s="336">
        <v>0.99370613694756282</v>
      </c>
      <c r="M1848" s="258">
        <f t="shared" si="501"/>
        <v>0.99370613694756282</v>
      </c>
      <c r="N1848" s="251">
        <f t="shared" si="502"/>
        <v>0.11006664903973978</v>
      </c>
      <c r="O1848" s="336">
        <v>3.9832393564740581E-3</v>
      </c>
      <c r="P1848" s="258">
        <f t="shared" si="503"/>
        <v>3.9832393564740581E-3</v>
      </c>
      <c r="Q1848" s="354">
        <v>26.973488372093019</v>
      </c>
      <c r="R1848" s="249">
        <f t="shared" si="504"/>
        <v>27.632446656976743</v>
      </c>
      <c r="S1848" s="355">
        <v>0.1</v>
      </c>
      <c r="T1848" s="355"/>
      <c r="U1848" s="315">
        <f t="shared" si="506"/>
        <v>30.395691322674416</v>
      </c>
      <c r="V1848" s="315">
        <f t="shared" si="507"/>
        <v>31</v>
      </c>
      <c r="W1848" s="316">
        <f t="shared" si="505"/>
        <v>0</v>
      </c>
    </row>
    <row r="1849" spans="1:23" x14ac:dyDescent="0.25">
      <c r="A1849" s="204" t="s">
        <v>17510</v>
      </c>
      <c r="B1849" s="351" t="s">
        <v>21555</v>
      </c>
      <c r="C1849" s="352"/>
      <c r="D1849" s="353" t="s">
        <v>14859</v>
      </c>
      <c r="E1849" s="249">
        <f t="shared" si="496"/>
        <v>0</v>
      </c>
      <c r="F1849" s="336">
        <v>0</v>
      </c>
      <c r="G1849" s="258">
        <f t="shared" si="497"/>
        <v>0</v>
      </c>
      <c r="H1849" s="249">
        <f t="shared" si="498"/>
        <v>10.971667347718689</v>
      </c>
      <c r="I1849" s="336">
        <v>2.3084682634111017E-3</v>
      </c>
      <c r="J1849" s="258">
        <f t="shared" si="499"/>
        <v>2.3084682634111017E-3</v>
      </c>
      <c r="K1849" s="249">
        <f t="shared" si="500"/>
        <v>4722.8878982091583</v>
      </c>
      <c r="L1849" s="336">
        <v>0.99370829238011493</v>
      </c>
      <c r="M1849" s="258">
        <f t="shared" si="501"/>
        <v>0.99370829238011493</v>
      </c>
      <c r="N1849" s="251">
        <f t="shared" si="502"/>
        <v>18.931504443122442</v>
      </c>
      <c r="O1849" s="336">
        <v>3.9832393564740573E-3</v>
      </c>
      <c r="P1849" s="258">
        <f t="shared" si="503"/>
        <v>3.9832393564740573E-3</v>
      </c>
      <c r="Q1849" s="354">
        <v>4639.4399999999996</v>
      </c>
      <c r="R1849" s="249">
        <f t="shared" si="504"/>
        <v>4752.7910699999993</v>
      </c>
      <c r="S1849" s="355">
        <v>0.1</v>
      </c>
      <c r="T1849" s="355"/>
      <c r="U1849" s="315">
        <f t="shared" si="506"/>
        <v>5228.0701769999996</v>
      </c>
      <c r="V1849" s="315">
        <f t="shared" si="507"/>
        <v>5250</v>
      </c>
      <c r="W1849" s="316">
        <f t="shared" si="505"/>
        <v>0</v>
      </c>
    </row>
    <row r="1850" spans="1:23" x14ac:dyDescent="0.25">
      <c r="A1850" s="204" t="s">
        <v>17511</v>
      </c>
      <c r="B1850" s="351" t="s">
        <v>21556</v>
      </c>
      <c r="C1850" s="352"/>
      <c r="D1850" s="353" t="s">
        <v>5</v>
      </c>
      <c r="E1850" s="249">
        <f t="shared" si="496"/>
        <v>0</v>
      </c>
      <c r="F1850" s="336">
        <v>0</v>
      </c>
      <c r="G1850" s="258">
        <f t="shared" si="497"/>
        <v>0</v>
      </c>
      <c r="H1850" s="249">
        <f t="shared" si="498"/>
        <v>6.3789611432353649E-2</v>
      </c>
      <c r="I1850" s="336">
        <v>1.7877544827192499E-3</v>
      </c>
      <c r="J1850" s="258">
        <f t="shared" si="499"/>
        <v>1.7877544827192499E-3</v>
      </c>
      <c r="K1850" s="249">
        <f t="shared" si="500"/>
        <v>35.507498494622851</v>
      </c>
      <c r="L1850" s="336">
        <v>0.99512582344580747</v>
      </c>
      <c r="M1850" s="258">
        <f t="shared" si="501"/>
        <v>0.99512582344580747</v>
      </c>
      <c r="N1850" s="251">
        <f t="shared" si="502"/>
        <v>0.11006834913817883</v>
      </c>
      <c r="O1850" s="336">
        <v>3.0847528329273326E-3</v>
      </c>
      <c r="P1850" s="258">
        <f t="shared" si="503"/>
        <v>3.0847528329273326E-3</v>
      </c>
      <c r="Q1850" s="354">
        <v>34.829973837209302</v>
      </c>
      <c r="R1850" s="249">
        <f t="shared" si="504"/>
        <v>35.681416015988368</v>
      </c>
      <c r="S1850" s="355">
        <v>0.1</v>
      </c>
      <c r="T1850" s="355"/>
      <c r="U1850" s="315">
        <f t="shared" si="506"/>
        <v>39.249557617587207</v>
      </c>
      <c r="V1850" s="315">
        <f t="shared" si="507"/>
        <v>40</v>
      </c>
      <c r="W1850" s="316">
        <f t="shared" si="505"/>
        <v>0</v>
      </c>
    </row>
    <row r="1851" spans="1:23" x14ac:dyDescent="0.25">
      <c r="A1851" s="204" t="s">
        <v>17512</v>
      </c>
      <c r="B1851" s="351" t="s">
        <v>21557</v>
      </c>
      <c r="C1851" s="352"/>
      <c r="D1851" s="353" t="s">
        <v>14859</v>
      </c>
      <c r="E1851" s="249">
        <f t="shared" si="496"/>
        <v>0</v>
      </c>
      <c r="F1851" s="336">
        <v>0</v>
      </c>
      <c r="G1851" s="258">
        <f t="shared" si="497"/>
        <v>0</v>
      </c>
      <c r="H1851" s="249">
        <f t="shared" si="498"/>
        <v>10.971831481909504</v>
      </c>
      <c r="I1851" s="336">
        <v>1.7877544827192501E-3</v>
      </c>
      <c r="J1851" s="258">
        <f t="shared" si="499"/>
        <v>1.7877544827192501E-3</v>
      </c>
      <c r="K1851" s="249">
        <f t="shared" si="500"/>
        <v>6107.3101806130308</v>
      </c>
      <c r="L1851" s="336">
        <v>0.99512749268435352</v>
      </c>
      <c r="M1851" s="258">
        <f t="shared" si="501"/>
        <v>0.99512749268435352</v>
      </c>
      <c r="N1851" s="251">
        <f t="shared" si="502"/>
        <v>18.931787655059534</v>
      </c>
      <c r="O1851" s="336">
        <v>3.0847528329273331E-3</v>
      </c>
      <c r="P1851" s="258">
        <f t="shared" si="503"/>
        <v>3.0847528329273331E-3</v>
      </c>
      <c r="Q1851" s="354">
        <v>5990.7554999999993</v>
      </c>
      <c r="R1851" s="249">
        <f t="shared" si="504"/>
        <v>6137.2137997499995</v>
      </c>
      <c r="S1851" s="355">
        <v>0.1</v>
      </c>
      <c r="T1851" s="355"/>
      <c r="U1851" s="315">
        <f t="shared" si="506"/>
        <v>6750.9351797249992</v>
      </c>
      <c r="V1851" s="315">
        <f t="shared" si="507"/>
        <v>6775</v>
      </c>
      <c r="W1851" s="316">
        <f t="shared" si="505"/>
        <v>0</v>
      </c>
    </row>
    <row r="1852" spans="1:23" x14ac:dyDescent="0.25">
      <c r="A1852" s="204" t="s">
        <v>17513</v>
      </c>
      <c r="B1852" s="351" t="s">
        <v>21558</v>
      </c>
      <c r="C1852" s="352"/>
      <c r="D1852" s="353" t="s">
        <v>5</v>
      </c>
      <c r="E1852" s="249">
        <f t="shared" si="496"/>
        <v>0</v>
      </c>
      <c r="F1852" s="336">
        <v>0</v>
      </c>
      <c r="G1852" s="258">
        <f t="shared" si="497"/>
        <v>0</v>
      </c>
      <c r="H1852" s="249">
        <f t="shared" si="498"/>
        <v>6.3789797829786027E-2</v>
      </c>
      <c r="I1852" s="336">
        <v>1.6892451392799181E-3</v>
      </c>
      <c r="J1852" s="258">
        <f t="shared" si="499"/>
        <v>1.6892451392799181E-3</v>
      </c>
      <c r="K1852" s="249">
        <f t="shared" si="500"/>
        <v>37.588391505319784</v>
      </c>
      <c r="L1852" s="336">
        <v>0.99539440167441895</v>
      </c>
      <c r="M1852" s="258">
        <f t="shared" si="501"/>
        <v>0.99539440167441895</v>
      </c>
      <c r="N1852" s="251">
        <f t="shared" si="502"/>
        <v>0.11006867076512097</v>
      </c>
      <c r="O1852" s="336">
        <v>2.9147759266006427E-3</v>
      </c>
      <c r="P1852" s="258">
        <f t="shared" si="503"/>
        <v>2.9147759266006427E-3</v>
      </c>
      <c r="Q1852" s="354">
        <v>36.86110465116279</v>
      </c>
      <c r="R1852" s="249">
        <f t="shared" si="504"/>
        <v>37.76230953488372</v>
      </c>
      <c r="S1852" s="355">
        <v>0.1</v>
      </c>
      <c r="T1852" s="355"/>
      <c r="U1852" s="315">
        <f t="shared" si="506"/>
        <v>41.538540488372092</v>
      </c>
      <c r="V1852" s="315">
        <f t="shared" si="507"/>
        <v>42</v>
      </c>
      <c r="W1852" s="316">
        <f t="shared" si="505"/>
        <v>0</v>
      </c>
    </row>
    <row r="1853" spans="1:23" ht="14.4" thickBot="1" x14ac:dyDescent="0.3">
      <c r="A1853" s="356" t="s">
        <v>17514</v>
      </c>
      <c r="B1853" s="357" t="s">
        <v>21559</v>
      </c>
      <c r="C1853" s="358"/>
      <c r="D1853" s="359" t="s">
        <v>14859</v>
      </c>
      <c r="E1853" s="266">
        <f t="shared" si="496"/>
        <v>0</v>
      </c>
      <c r="F1853" s="360">
        <v>0</v>
      </c>
      <c r="G1853" s="322">
        <f t="shared" si="497"/>
        <v>0</v>
      </c>
      <c r="H1853" s="266">
        <f t="shared" si="498"/>
        <v>10.97186253303965</v>
      </c>
      <c r="I1853" s="360">
        <v>1.6892451392799181E-3</v>
      </c>
      <c r="J1853" s="322">
        <f t="shared" si="499"/>
        <v>1.6892451392799181E-3</v>
      </c>
      <c r="K1853" s="266">
        <f t="shared" si="500"/>
        <v>6465.2237812334806</v>
      </c>
      <c r="L1853" s="360">
        <v>0.99539597893411946</v>
      </c>
      <c r="M1853" s="322">
        <f t="shared" si="501"/>
        <v>0.99539597893411946</v>
      </c>
      <c r="N1853" s="270">
        <f t="shared" si="502"/>
        <v>18.931841233480178</v>
      </c>
      <c r="O1853" s="360">
        <v>2.9147759266006427E-3</v>
      </c>
      <c r="P1853" s="322">
        <f t="shared" si="503"/>
        <v>2.9147759266006427E-3</v>
      </c>
      <c r="Q1853" s="361">
        <v>6340.11</v>
      </c>
      <c r="R1853" s="266">
        <f t="shared" si="504"/>
        <v>6495.127485</v>
      </c>
      <c r="S1853" s="362">
        <v>0.1</v>
      </c>
      <c r="T1853" s="362"/>
      <c r="U1853" s="324">
        <f t="shared" si="506"/>
        <v>7144.6402335000002</v>
      </c>
      <c r="V1853" s="324">
        <f t="shared" si="507"/>
        <v>7150</v>
      </c>
      <c r="W1853" s="325">
        <f t="shared" si="505"/>
        <v>0</v>
      </c>
    </row>
    <row r="1854" spans="1:23" x14ac:dyDescent="0.25">
      <c r="A1854" s="204" t="s">
        <v>17515</v>
      </c>
      <c r="B1854" s="351" t="s">
        <v>21560</v>
      </c>
      <c r="C1854" s="352"/>
      <c r="D1854" s="353" t="s">
        <v>5</v>
      </c>
      <c r="E1854" s="249">
        <f t="shared" si="496"/>
        <v>0</v>
      </c>
      <c r="F1854" s="336">
        <v>0</v>
      </c>
      <c r="G1854" s="258">
        <f t="shared" si="497"/>
        <v>0</v>
      </c>
      <c r="H1854" s="249">
        <f t="shared" si="498"/>
        <v>6.3790195763819224E-2</v>
      </c>
      <c r="I1854" s="336">
        <v>1.4789406310975234E-3</v>
      </c>
      <c r="J1854" s="258">
        <f t="shared" si="499"/>
        <v>1.4789406310975234E-3</v>
      </c>
      <c r="K1854" s="249">
        <f t="shared" si="500"/>
        <v>42.958438211080598</v>
      </c>
      <c r="L1854" s="336">
        <v>0.99596778091241389</v>
      </c>
      <c r="M1854" s="258">
        <f t="shared" si="501"/>
        <v>0.99596778091241389</v>
      </c>
      <c r="N1854" s="251">
        <f t="shared" si="502"/>
        <v>0.11006935739639395</v>
      </c>
      <c r="O1854" s="336">
        <v>2.5518975595408247E-3</v>
      </c>
      <c r="P1854" s="258">
        <f t="shared" si="503"/>
        <v>2.5518975595408247E-3</v>
      </c>
      <c r="Q1854" s="354">
        <v>42.102732558139529</v>
      </c>
      <c r="R1854" s="249">
        <f t="shared" si="504"/>
        <v>43.132357325581388</v>
      </c>
      <c r="S1854" s="355">
        <v>0.1</v>
      </c>
      <c r="T1854" s="355"/>
      <c r="U1854" s="315">
        <f t="shared" si="506"/>
        <v>47.445593058139529</v>
      </c>
      <c r="V1854" s="315">
        <f t="shared" si="507"/>
        <v>48</v>
      </c>
      <c r="W1854" s="316">
        <f t="shared" si="505"/>
        <v>0</v>
      </c>
    </row>
    <row r="1855" spans="1:23" x14ac:dyDescent="0.25">
      <c r="A1855" s="204" t="s">
        <v>17516</v>
      </c>
      <c r="B1855" s="351" t="s">
        <v>21561</v>
      </c>
      <c r="C1855" s="352"/>
      <c r="D1855" s="353" t="s">
        <v>14859</v>
      </c>
      <c r="E1855" s="249">
        <f t="shared" si="496"/>
        <v>0</v>
      </c>
      <c r="F1855" s="336">
        <v>0</v>
      </c>
      <c r="G1855" s="258">
        <f t="shared" si="497"/>
        <v>0</v>
      </c>
      <c r="H1855" s="249">
        <f t="shared" si="498"/>
        <v>10.971928823123672</v>
      </c>
      <c r="I1855" s="336">
        <v>1.4789406310975234E-3</v>
      </c>
      <c r="J1855" s="258">
        <f t="shared" si="499"/>
        <v>1.4789406310975234E-3</v>
      </c>
      <c r="K1855" s="249">
        <f t="shared" si="500"/>
        <v>7388.8718205605055</v>
      </c>
      <c r="L1855" s="336">
        <v>0.99596916180936168</v>
      </c>
      <c r="M1855" s="258">
        <f t="shared" si="501"/>
        <v>0.99596916180936168</v>
      </c>
      <c r="N1855" s="251">
        <f t="shared" si="502"/>
        <v>18.931955616370256</v>
      </c>
      <c r="O1855" s="336">
        <v>2.5518975595408243E-3</v>
      </c>
      <c r="P1855" s="258">
        <f t="shared" si="503"/>
        <v>2.5518975595408243E-3</v>
      </c>
      <c r="Q1855" s="354">
        <v>7241.6699999999992</v>
      </c>
      <c r="R1855" s="249">
        <f t="shared" si="504"/>
        <v>7418.7757049999991</v>
      </c>
      <c r="S1855" s="355">
        <v>0.1</v>
      </c>
      <c r="T1855" s="355"/>
      <c r="U1855" s="315">
        <f t="shared" si="506"/>
        <v>8160.6532754999989</v>
      </c>
      <c r="V1855" s="315">
        <f t="shared" si="507"/>
        <v>8175</v>
      </c>
      <c r="W1855" s="316">
        <f t="shared" si="505"/>
        <v>0</v>
      </c>
    </row>
    <row r="1856" spans="1:23" x14ac:dyDescent="0.25">
      <c r="A1856" s="204" t="s">
        <v>17517</v>
      </c>
      <c r="B1856" s="351" t="s">
        <v>21562</v>
      </c>
      <c r="C1856" s="352"/>
      <c r="D1856" s="353" t="s">
        <v>5</v>
      </c>
      <c r="E1856" s="249">
        <f t="shared" si="496"/>
        <v>0</v>
      </c>
      <c r="F1856" s="336">
        <v>0</v>
      </c>
      <c r="G1856" s="258">
        <f t="shared" si="497"/>
        <v>0</v>
      </c>
      <c r="H1856" s="249">
        <f t="shared" si="498"/>
        <v>6.3790505585050269E-2</v>
      </c>
      <c r="I1856" s="336">
        <v>1.3152029354445351E-3</v>
      </c>
      <c r="J1856" s="258">
        <f t="shared" si="499"/>
        <v>1.3152029354445351E-3</v>
      </c>
      <c r="K1856" s="249">
        <f t="shared" si="500"/>
        <v>48.328485157074262</v>
      </c>
      <c r="L1856" s="336">
        <v>0.99641419927964703</v>
      </c>
      <c r="M1856" s="258">
        <f t="shared" si="501"/>
        <v>0.99641419927964703</v>
      </c>
      <c r="N1856" s="251">
        <f t="shared" si="502"/>
        <v>0.11006989198989063</v>
      </c>
      <c r="O1856" s="336">
        <v>2.2693697709631191E-3</v>
      </c>
      <c r="P1856" s="258">
        <f t="shared" si="503"/>
        <v>2.2693697709631191E-3</v>
      </c>
      <c r="Q1856" s="354">
        <v>47.344360465116274</v>
      </c>
      <c r="R1856" s="249">
        <f t="shared" si="504"/>
        <v>48.502405116279064</v>
      </c>
      <c r="S1856" s="355">
        <v>0.1</v>
      </c>
      <c r="T1856" s="355"/>
      <c r="U1856" s="315">
        <f t="shared" si="506"/>
        <v>53.352645627906973</v>
      </c>
      <c r="V1856" s="315">
        <f t="shared" si="507"/>
        <v>54</v>
      </c>
      <c r="W1856" s="316">
        <f t="shared" si="505"/>
        <v>0</v>
      </c>
    </row>
    <row r="1857" spans="1:23" x14ac:dyDescent="0.25">
      <c r="A1857" s="204" t="s">
        <v>17518</v>
      </c>
      <c r="B1857" s="351" t="s">
        <v>21563</v>
      </c>
      <c r="C1857" s="352"/>
      <c r="D1857" s="353" t="s">
        <v>14859</v>
      </c>
      <c r="E1857" s="249">
        <f t="shared" si="496"/>
        <v>0</v>
      </c>
      <c r="F1857" s="336">
        <v>0</v>
      </c>
      <c r="G1857" s="258">
        <f t="shared" si="497"/>
        <v>0</v>
      </c>
      <c r="H1857" s="249">
        <f t="shared" si="498"/>
        <v>10.971980434882719</v>
      </c>
      <c r="I1857" s="336">
        <v>1.3152029354445351E-3</v>
      </c>
      <c r="J1857" s="258">
        <f t="shared" si="499"/>
        <v>1.3152029354445351E-3</v>
      </c>
      <c r="K1857" s="249">
        <f t="shared" si="500"/>
        <v>8312.5198998931628</v>
      </c>
      <c r="L1857" s="336">
        <v>0.99641542729359245</v>
      </c>
      <c r="M1857" s="258">
        <f t="shared" si="501"/>
        <v>0.99641542729359245</v>
      </c>
      <c r="N1857" s="251">
        <f t="shared" si="502"/>
        <v>18.932044671954493</v>
      </c>
      <c r="O1857" s="336">
        <v>2.2693697709631191E-3</v>
      </c>
      <c r="P1857" s="258">
        <f t="shared" si="503"/>
        <v>2.2693697709631191E-3</v>
      </c>
      <c r="Q1857" s="354">
        <v>8143.23</v>
      </c>
      <c r="R1857" s="249">
        <f t="shared" si="504"/>
        <v>8342.4239249999991</v>
      </c>
      <c r="S1857" s="355">
        <v>0.1</v>
      </c>
      <c r="T1857" s="355"/>
      <c r="U1857" s="315">
        <f t="shared" si="506"/>
        <v>9176.6663174999994</v>
      </c>
      <c r="V1857" s="315">
        <f t="shared" si="507"/>
        <v>9200</v>
      </c>
      <c r="W1857" s="316">
        <f t="shared" si="505"/>
        <v>0</v>
      </c>
    </row>
    <row r="1858" spans="1:23" x14ac:dyDescent="0.25">
      <c r="A1858" s="204" t="s">
        <v>17519</v>
      </c>
      <c r="B1858" s="351" t="s">
        <v>21564</v>
      </c>
      <c r="C1858" s="352"/>
      <c r="D1858" s="353" t="s">
        <v>5</v>
      </c>
      <c r="E1858" s="249">
        <f t="shared" ref="E1858:E1921" si="508">R1858*G1858</f>
        <v>0</v>
      </c>
      <c r="F1858" s="336">
        <v>0</v>
      </c>
      <c r="G1858" s="258">
        <f t="shared" ref="G1858:G1921" si="509">F1858</f>
        <v>0</v>
      </c>
      <c r="H1858" s="249">
        <f t="shared" ref="H1858:H1921" si="510">R1858*J1858</f>
        <v>6.3790625104777426E-2</v>
      </c>
      <c r="I1858" s="336">
        <v>1.252037849419828E-3</v>
      </c>
      <c r="J1858" s="258">
        <f t="shared" ref="J1858:J1921" si="511">I1858</f>
        <v>1.252037849419828E-3</v>
      </c>
      <c r="K1858" s="249">
        <f t="shared" ref="K1858:K1921" si="512">R1858*M1858</f>
        <v>50.7755179722012</v>
      </c>
      <c r="L1858" s="336">
        <v>0.99658641408001336</v>
      </c>
      <c r="M1858" s="258">
        <f t="shared" ref="M1858:M1921" si="513">L1858</f>
        <v>0.99658641408001336</v>
      </c>
      <c r="N1858" s="251">
        <f t="shared" ref="N1858:N1921" si="514">P1858*R1858</f>
        <v>0.11007009822000811</v>
      </c>
      <c r="O1858" s="336">
        <v>2.1603790342930363E-3</v>
      </c>
      <c r="P1858" s="258">
        <f t="shared" ref="P1858:P1921" si="515">O1858</f>
        <v>2.1603790342930363E-3</v>
      </c>
      <c r="Q1858" s="354">
        <v>49.732874999999993</v>
      </c>
      <c r="R1858" s="249">
        <f t="shared" ref="R1858:R1921" si="516">SUM(F1858*Q1858*1.0235,I1858*Q1858*1.0175,L1858*Q1858*1.0245,O1858*Q1858*1.0115)</f>
        <v>50.949438257267438</v>
      </c>
      <c r="S1858" s="355">
        <v>0.1</v>
      </c>
      <c r="T1858" s="355"/>
      <c r="U1858" s="315">
        <f t="shared" si="506"/>
        <v>56.044382082994183</v>
      </c>
      <c r="V1858" s="315">
        <f t="shared" si="507"/>
        <v>57</v>
      </c>
      <c r="W1858" s="316">
        <f t="shared" si="505"/>
        <v>0</v>
      </c>
    </row>
    <row r="1859" spans="1:23" x14ac:dyDescent="0.25">
      <c r="A1859" s="204" t="s">
        <v>17520</v>
      </c>
      <c r="B1859" s="351" t="s">
        <v>21565</v>
      </c>
      <c r="C1859" s="352"/>
      <c r="D1859" s="353" t="s">
        <v>14859</v>
      </c>
      <c r="E1859" s="249">
        <f t="shared" si="508"/>
        <v>0</v>
      </c>
      <c r="F1859" s="336">
        <v>0</v>
      </c>
      <c r="G1859" s="258">
        <f t="shared" si="509"/>
        <v>0</v>
      </c>
      <c r="H1859" s="249">
        <f t="shared" si="510"/>
        <v>10.972000345149485</v>
      </c>
      <c r="I1859" s="336">
        <v>1.252037849419828E-3</v>
      </c>
      <c r="J1859" s="258">
        <f t="shared" si="511"/>
        <v>1.252037849419828E-3</v>
      </c>
      <c r="K1859" s="249">
        <f t="shared" si="512"/>
        <v>8733.4095458779266</v>
      </c>
      <c r="L1859" s="336">
        <v>0.99658758311628726</v>
      </c>
      <c r="M1859" s="258">
        <f t="shared" si="513"/>
        <v>0.99658758311628726</v>
      </c>
      <c r="N1859" s="251">
        <f t="shared" si="514"/>
        <v>18.932079026924605</v>
      </c>
      <c r="O1859" s="336">
        <v>2.1603790342930368E-3</v>
      </c>
      <c r="P1859" s="258">
        <f t="shared" si="515"/>
        <v>2.1603790342930368E-3</v>
      </c>
      <c r="Q1859" s="354">
        <v>8554.0544999999984</v>
      </c>
      <c r="R1859" s="249">
        <f t="shared" si="516"/>
        <v>8763.3136252499989</v>
      </c>
      <c r="S1859" s="355">
        <v>0.1</v>
      </c>
      <c r="T1859" s="355"/>
      <c r="U1859" s="315">
        <f t="shared" si="506"/>
        <v>9639.6449877749983</v>
      </c>
      <c r="V1859" s="315">
        <f t="shared" si="507"/>
        <v>9650</v>
      </c>
      <c r="W1859" s="316">
        <f t="shared" si="505"/>
        <v>0</v>
      </c>
    </row>
    <row r="1860" spans="1:23" x14ac:dyDescent="0.25">
      <c r="A1860" s="204" t="s">
        <v>17521</v>
      </c>
      <c r="B1860" s="351" t="s">
        <v>21566</v>
      </c>
      <c r="C1860" s="352"/>
      <c r="D1860" s="353" t="s">
        <v>5</v>
      </c>
      <c r="E1860" s="249">
        <f t="shared" si="508"/>
        <v>0</v>
      </c>
      <c r="F1860" s="336">
        <v>0</v>
      </c>
      <c r="G1860" s="258">
        <f t="shared" si="509"/>
        <v>0</v>
      </c>
      <c r="H1860" s="249">
        <f t="shared" si="510"/>
        <v>6.3790636119173114E-2</v>
      </c>
      <c r="I1860" s="336">
        <v>1.2462168417304615E-3</v>
      </c>
      <c r="J1860" s="258">
        <f t="shared" si="511"/>
        <v>1.2462168417304615E-3</v>
      </c>
      <c r="K1860" s="249">
        <f t="shared" si="512"/>
        <v>51.013508696531744</v>
      </c>
      <c r="L1860" s="336">
        <v>0.9966022846145165</v>
      </c>
      <c r="M1860" s="258">
        <f t="shared" si="513"/>
        <v>0.9966022846145165</v>
      </c>
      <c r="N1860" s="251">
        <f t="shared" si="514"/>
        <v>0.11007011722523988</v>
      </c>
      <c r="O1860" s="336">
        <v>2.1503349425937373E-3</v>
      </c>
      <c r="P1860" s="258">
        <f t="shared" si="515"/>
        <v>2.1503349425937373E-3</v>
      </c>
      <c r="Q1860" s="354">
        <v>49.96517441860464</v>
      </c>
      <c r="R1860" s="249">
        <f t="shared" si="516"/>
        <v>51.187429011627898</v>
      </c>
      <c r="S1860" s="355">
        <v>0.1</v>
      </c>
      <c r="T1860" s="355"/>
      <c r="U1860" s="315">
        <f t="shared" si="506"/>
        <v>56.306171912790688</v>
      </c>
      <c r="V1860" s="315">
        <f t="shared" si="507"/>
        <v>57</v>
      </c>
      <c r="W1860" s="316">
        <f t="shared" si="505"/>
        <v>0</v>
      </c>
    </row>
    <row r="1861" spans="1:23" x14ac:dyDescent="0.25">
      <c r="A1861" s="204" t="s">
        <v>17522</v>
      </c>
      <c r="B1861" s="351" t="s">
        <v>21567</v>
      </c>
      <c r="C1861" s="352"/>
      <c r="D1861" s="353" t="s">
        <v>14859</v>
      </c>
      <c r="E1861" s="249">
        <f t="shared" si="508"/>
        <v>0</v>
      </c>
      <c r="F1861" s="336">
        <v>0</v>
      </c>
      <c r="G1861" s="258">
        <f t="shared" si="509"/>
        <v>0</v>
      </c>
      <c r="H1861" s="249">
        <f t="shared" si="510"/>
        <v>10.972002179989319</v>
      </c>
      <c r="I1861" s="336">
        <v>1.2462168417304615E-3</v>
      </c>
      <c r="J1861" s="258">
        <f t="shared" si="511"/>
        <v>1.2462168417304615E-3</v>
      </c>
      <c r="K1861" s="249">
        <f t="shared" si="512"/>
        <v>8774.3439506270879</v>
      </c>
      <c r="L1861" s="336">
        <v>0.99660344821567592</v>
      </c>
      <c r="M1861" s="258">
        <f t="shared" si="513"/>
        <v>0.99660344821567592</v>
      </c>
      <c r="N1861" s="251">
        <f t="shared" si="514"/>
        <v>18.932082192922746</v>
      </c>
      <c r="O1861" s="336">
        <v>2.1503349425937373E-3</v>
      </c>
      <c r="P1861" s="258">
        <f t="shared" si="515"/>
        <v>2.1503349425937373E-3</v>
      </c>
      <c r="Q1861" s="354">
        <v>8594.0099999999984</v>
      </c>
      <c r="R1861" s="249">
        <f t="shared" si="516"/>
        <v>8804.2480349999987</v>
      </c>
      <c r="S1861" s="355">
        <v>0.1</v>
      </c>
      <c r="T1861" s="355"/>
      <c r="U1861" s="315">
        <f t="shared" si="506"/>
        <v>9684.6728384999988</v>
      </c>
      <c r="V1861" s="315">
        <f t="shared" si="507"/>
        <v>9700</v>
      </c>
      <c r="W1861" s="316">
        <f t="shared" si="505"/>
        <v>0</v>
      </c>
    </row>
    <row r="1862" spans="1:23" x14ac:dyDescent="0.25">
      <c r="A1862" s="204" t="s">
        <v>17523</v>
      </c>
      <c r="B1862" s="351" t="s">
        <v>21568</v>
      </c>
      <c r="C1862" s="352"/>
      <c r="D1862" s="353" t="s">
        <v>5</v>
      </c>
      <c r="E1862" s="249">
        <f t="shared" si="508"/>
        <v>0</v>
      </c>
      <c r="F1862" s="336">
        <v>0</v>
      </c>
      <c r="G1862" s="258">
        <f t="shared" si="509"/>
        <v>0</v>
      </c>
      <c r="H1862" s="249">
        <f t="shared" si="510"/>
        <v>6.3791532040446283E-2</v>
      </c>
      <c r="I1862" s="336">
        <v>7.727306178814628E-4</v>
      </c>
      <c r="J1862" s="258">
        <f t="shared" si="511"/>
        <v>7.727306178814628E-4</v>
      </c>
      <c r="K1862" s="249">
        <f t="shared" si="512"/>
        <v>82.379467213172916</v>
      </c>
      <c r="L1862" s="336">
        <v>0.99789320877290966</v>
      </c>
      <c r="M1862" s="258">
        <f t="shared" si="513"/>
        <v>0.99789320877290966</v>
      </c>
      <c r="N1862" s="251">
        <f t="shared" si="514"/>
        <v>0.11007166312861318</v>
      </c>
      <c r="O1862" s="336">
        <v>1.3333391053640925E-3</v>
      </c>
      <c r="P1862" s="258">
        <f t="shared" si="515"/>
        <v>1.3333391053640925E-3</v>
      </c>
      <c r="Q1862" s="354">
        <v>80.581046511627903</v>
      </c>
      <c r="R1862" s="249">
        <f t="shared" si="516"/>
        <v>82.55338997093024</v>
      </c>
      <c r="S1862" s="355">
        <v>0.1</v>
      </c>
      <c r="T1862" s="355"/>
      <c r="U1862" s="315">
        <f t="shared" si="506"/>
        <v>90.80872896802326</v>
      </c>
      <c r="V1862" s="315">
        <f t="shared" si="507"/>
        <v>91</v>
      </c>
      <c r="W1862" s="316">
        <f t="shared" ref="W1862:W1873" si="517">C1862*V1862</f>
        <v>0</v>
      </c>
    </row>
    <row r="1863" spans="1:23" x14ac:dyDescent="0.25">
      <c r="A1863" s="204" t="s">
        <v>17524</v>
      </c>
      <c r="B1863" s="351" t="s">
        <v>21569</v>
      </c>
      <c r="C1863" s="352"/>
      <c r="D1863" s="353" t="s">
        <v>14859</v>
      </c>
      <c r="E1863" s="249">
        <f t="shared" si="508"/>
        <v>0</v>
      </c>
      <c r="F1863" s="336">
        <v>0</v>
      </c>
      <c r="G1863" s="258">
        <f t="shared" si="509"/>
        <v>0</v>
      </c>
      <c r="H1863" s="249">
        <f t="shared" si="510"/>
        <v>10.972151427581938</v>
      </c>
      <c r="I1863" s="336">
        <v>7.727306178814628E-4</v>
      </c>
      <c r="J1863" s="258">
        <f t="shared" si="511"/>
        <v>7.727306178814628E-4</v>
      </c>
      <c r="K1863" s="249">
        <f t="shared" si="512"/>
        <v>14169.288828854238</v>
      </c>
      <c r="L1863" s="336">
        <v>0.99789393027675455</v>
      </c>
      <c r="M1863" s="258">
        <f t="shared" si="513"/>
        <v>0.99789393027675455</v>
      </c>
      <c r="N1863" s="251">
        <f t="shared" si="514"/>
        <v>18.9323397181806</v>
      </c>
      <c r="O1863" s="336">
        <v>1.3333391053640927E-3</v>
      </c>
      <c r="P1863" s="258">
        <f t="shared" si="515"/>
        <v>1.3333391053640927E-3</v>
      </c>
      <c r="Q1863" s="354">
        <v>13859.939999999999</v>
      </c>
      <c r="R1863" s="249">
        <f t="shared" si="516"/>
        <v>14199.193319999998</v>
      </c>
      <c r="S1863" s="355">
        <v>0.1</v>
      </c>
      <c r="T1863" s="355"/>
      <c r="U1863" s="315">
        <f t="shared" si="506"/>
        <v>15619.112651999998</v>
      </c>
      <c r="V1863" s="315">
        <f t="shared" si="507"/>
        <v>15750</v>
      </c>
      <c r="W1863" s="316">
        <f t="shared" si="517"/>
        <v>0</v>
      </c>
    </row>
    <row r="1864" spans="1:23" x14ac:dyDescent="0.25">
      <c r="A1864" s="204" t="s">
        <v>17525</v>
      </c>
      <c r="B1864" s="351" t="s">
        <v>21570</v>
      </c>
      <c r="C1864" s="352"/>
      <c r="D1864" s="353" t="s">
        <v>5</v>
      </c>
      <c r="E1864" s="249">
        <f t="shared" si="508"/>
        <v>0</v>
      </c>
      <c r="F1864" s="336">
        <v>0</v>
      </c>
      <c r="G1864" s="258">
        <f t="shared" si="509"/>
        <v>0</v>
      </c>
      <c r="H1864" s="249">
        <f t="shared" si="510"/>
        <v>6.3791674465220161E-2</v>
      </c>
      <c r="I1864" s="336">
        <v>6.9746042351672463E-4</v>
      </c>
      <c r="J1864" s="258">
        <f t="shared" si="511"/>
        <v>6.9746042351672463E-4</v>
      </c>
      <c r="K1864" s="249">
        <f t="shared" si="512"/>
        <v>91.28886429579282</v>
      </c>
      <c r="L1864" s="336">
        <v>0.9980984272300012</v>
      </c>
      <c r="M1864" s="258">
        <f t="shared" si="513"/>
        <v>0.9980984272300012</v>
      </c>
      <c r="N1864" s="251">
        <f t="shared" si="514"/>
        <v>0.11007190888116418</v>
      </c>
      <c r="O1864" s="336">
        <v>1.2034611229308188E-3</v>
      </c>
      <c r="P1864" s="258">
        <f t="shared" si="515"/>
        <v>1.2034611229308188E-3</v>
      </c>
      <c r="Q1864" s="354">
        <v>89.277383720930217</v>
      </c>
      <c r="R1864" s="249">
        <f t="shared" si="516"/>
        <v>91.462787441860456</v>
      </c>
      <c r="S1864" s="355">
        <v>0.1</v>
      </c>
      <c r="T1864" s="355"/>
      <c r="U1864" s="315">
        <f t="shared" si="506"/>
        <v>100.6090661860465</v>
      </c>
      <c r="V1864" s="315">
        <f t="shared" si="507"/>
        <v>105</v>
      </c>
      <c r="W1864" s="316">
        <f t="shared" si="517"/>
        <v>0</v>
      </c>
    </row>
    <row r="1865" spans="1:23" x14ac:dyDescent="0.25">
      <c r="A1865" s="204" t="s">
        <v>17526</v>
      </c>
      <c r="B1865" s="351" t="s">
        <v>21571</v>
      </c>
      <c r="C1865" s="352"/>
      <c r="D1865" s="353" t="s">
        <v>14859</v>
      </c>
      <c r="E1865" s="249">
        <f t="shared" si="508"/>
        <v>0</v>
      </c>
      <c r="F1865" s="336">
        <v>0</v>
      </c>
      <c r="G1865" s="258">
        <f t="shared" si="509"/>
        <v>0</v>
      </c>
      <c r="H1865" s="249">
        <f t="shared" si="510"/>
        <v>10.972175153499906</v>
      </c>
      <c r="I1865" s="336">
        <v>6.9746042351672463E-4</v>
      </c>
      <c r="J1865" s="258">
        <f t="shared" si="511"/>
        <v>6.9746042351672463E-4</v>
      </c>
      <c r="K1865" s="249">
        <f t="shared" si="512"/>
        <v>15701.705129189479</v>
      </c>
      <c r="L1865" s="336">
        <v>0.9980990784535525</v>
      </c>
      <c r="M1865" s="258">
        <f t="shared" si="513"/>
        <v>0.9980990784535525</v>
      </c>
      <c r="N1865" s="251">
        <f t="shared" si="514"/>
        <v>18.932380657019444</v>
      </c>
      <c r="O1865" s="336">
        <v>1.2034611229308188E-3</v>
      </c>
      <c r="P1865" s="258">
        <f t="shared" si="515"/>
        <v>1.2034611229308188E-3</v>
      </c>
      <c r="Q1865" s="354">
        <v>15355.709999999997</v>
      </c>
      <c r="R1865" s="249">
        <f t="shared" si="516"/>
        <v>15731.609684999998</v>
      </c>
      <c r="S1865" s="355">
        <v>0.1</v>
      </c>
      <c r="T1865" s="355"/>
      <c r="U1865" s="315">
        <f t="shared" si="506"/>
        <v>17304.770653499996</v>
      </c>
      <c r="V1865" s="315">
        <f t="shared" si="507"/>
        <v>17500</v>
      </c>
      <c r="W1865" s="316">
        <f t="shared" si="517"/>
        <v>0</v>
      </c>
    </row>
    <row r="1866" spans="1:23" x14ac:dyDescent="0.25">
      <c r="A1866" s="204" t="s">
        <v>17527</v>
      </c>
      <c r="B1866" s="351" t="s">
        <v>21572</v>
      </c>
      <c r="C1866" s="352"/>
      <c r="D1866" s="353" t="s">
        <v>5</v>
      </c>
      <c r="E1866" s="249">
        <f t="shared" si="508"/>
        <v>0</v>
      </c>
      <c r="F1866" s="336">
        <v>0</v>
      </c>
      <c r="G1866" s="258">
        <f t="shared" si="509"/>
        <v>0</v>
      </c>
      <c r="H1866" s="249">
        <f t="shared" si="510"/>
        <v>6.3791843379737312E-2</v>
      </c>
      <c r="I1866" s="336">
        <v>6.0819064136003029E-4</v>
      </c>
      <c r="J1866" s="258">
        <f t="shared" si="511"/>
        <v>6.0819064136003029E-4</v>
      </c>
      <c r="K1866" s="249">
        <f t="shared" si="512"/>
        <v>104.7139833120044</v>
      </c>
      <c r="L1866" s="336">
        <v>0.99834181449787918</v>
      </c>
      <c r="M1866" s="258">
        <f t="shared" si="513"/>
        <v>0.99834181449787918</v>
      </c>
      <c r="N1866" s="251">
        <f t="shared" si="514"/>
        <v>0.1100722003415075</v>
      </c>
      <c r="O1866" s="336">
        <v>1.0494269890133855E-3</v>
      </c>
      <c r="P1866" s="258">
        <f t="shared" si="515"/>
        <v>1.0494269890133855E-3</v>
      </c>
      <c r="Q1866" s="354">
        <v>102.38145348837207</v>
      </c>
      <c r="R1866" s="249">
        <f t="shared" si="516"/>
        <v>104.88790691860463</v>
      </c>
      <c r="S1866" s="355">
        <v>0.1</v>
      </c>
      <c r="T1866" s="355"/>
      <c r="U1866" s="315">
        <f t="shared" si="506"/>
        <v>115.37669761046509</v>
      </c>
      <c r="V1866" s="315">
        <f t="shared" si="507"/>
        <v>120</v>
      </c>
      <c r="W1866" s="316">
        <f t="shared" si="517"/>
        <v>0</v>
      </c>
    </row>
    <row r="1867" spans="1:23" x14ac:dyDescent="0.25">
      <c r="A1867" s="204" t="s">
        <v>17528</v>
      </c>
      <c r="B1867" s="351" t="s">
        <v>21573</v>
      </c>
      <c r="C1867" s="352"/>
      <c r="D1867" s="353" t="s">
        <v>14859</v>
      </c>
      <c r="E1867" s="249">
        <f t="shared" si="508"/>
        <v>0</v>
      </c>
      <c r="F1867" s="336">
        <v>0</v>
      </c>
      <c r="G1867" s="258">
        <f t="shared" si="509"/>
        <v>0</v>
      </c>
      <c r="H1867" s="249">
        <f t="shared" si="510"/>
        <v>10.97220329222794</v>
      </c>
      <c r="I1867" s="336">
        <v>6.0819064136003029E-4</v>
      </c>
      <c r="J1867" s="258">
        <f t="shared" si="511"/>
        <v>6.0819064136003029E-4</v>
      </c>
      <c r="K1867" s="249">
        <f t="shared" si="512"/>
        <v>18010.825602497654</v>
      </c>
      <c r="L1867" s="336">
        <v>0.99834238236962669</v>
      </c>
      <c r="M1867" s="258">
        <f t="shared" si="513"/>
        <v>0.99834238236962669</v>
      </c>
      <c r="N1867" s="251">
        <f t="shared" si="514"/>
        <v>18.932429210118794</v>
      </c>
      <c r="O1867" s="336">
        <v>1.0494269890133855E-3</v>
      </c>
      <c r="P1867" s="258">
        <f t="shared" si="515"/>
        <v>1.0494269890133855E-3</v>
      </c>
      <c r="Q1867" s="354">
        <v>17609.609999999997</v>
      </c>
      <c r="R1867" s="249">
        <f t="shared" si="516"/>
        <v>18040.730234999999</v>
      </c>
      <c r="S1867" s="355">
        <v>0.1</v>
      </c>
      <c r="T1867" s="355"/>
      <c r="U1867" s="315">
        <f t="shared" si="506"/>
        <v>19844.8032585</v>
      </c>
      <c r="V1867" s="315">
        <f t="shared" si="507"/>
        <v>20000</v>
      </c>
      <c r="W1867" s="316">
        <f t="shared" si="517"/>
        <v>0</v>
      </c>
    </row>
    <row r="1868" spans="1:23" x14ac:dyDescent="0.25">
      <c r="A1868" s="204" t="s">
        <v>17529</v>
      </c>
      <c r="B1868" s="351" t="s">
        <v>21574</v>
      </c>
      <c r="C1868" s="352"/>
      <c r="D1868" s="353" t="s">
        <v>5</v>
      </c>
      <c r="E1868" s="249">
        <f t="shared" si="508"/>
        <v>0</v>
      </c>
      <c r="F1868" s="336">
        <v>0</v>
      </c>
      <c r="G1868" s="258">
        <f t="shared" si="509"/>
        <v>0</v>
      </c>
      <c r="H1868" s="249">
        <f t="shared" si="510"/>
        <v>6.3791872103395431E-2</v>
      </c>
      <c r="I1868" s="336">
        <v>5.9301044994044985E-4</v>
      </c>
      <c r="J1868" s="258">
        <f t="shared" si="511"/>
        <v>5.9301044994044985E-4</v>
      </c>
      <c r="K1868" s="249">
        <f t="shared" si="512"/>
        <v>107.39900712904038</v>
      </c>
      <c r="L1868" s="336">
        <v>0.99838320213461607</v>
      </c>
      <c r="M1868" s="258">
        <f t="shared" si="513"/>
        <v>0.99838320213461607</v>
      </c>
      <c r="N1868" s="251">
        <f t="shared" si="514"/>
        <v>0.110072249903898</v>
      </c>
      <c r="O1868" s="336">
        <v>1.0232337175443056E-3</v>
      </c>
      <c r="P1868" s="258">
        <f t="shared" si="515"/>
        <v>1.0232337175443056E-3</v>
      </c>
      <c r="Q1868" s="354">
        <v>105.00226744186047</v>
      </c>
      <c r="R1868" s="249">
        <f t="shared" si="516"/>
        <v>107.57293081395348</v>
      </c>
      <c r="S1868" s="355">
        <v>0.1</v>
      </c>
      <c r="T1868" s="355"/>
      <c r="U1868" s="315">
        <f t="shared" si="506"/>
        <v>118.33022389534882</v>
      </c>
      <c r="V1868" s="315">
        <f t="shared" si="507"/>
        <v>120</v>
      </c>
      <c r="W1868" s="316">
        <f t="shared" si="517"/>
        <v>0</v>
      </c>
    </row>
    <row r="1869" spans="1:23" x14ac:dyDescent="0.25">
      <c r="A1869" s="204" t="s">
        <v>17530</v>
      </c>
      <c r="B1869" s="351" t="s">
        <v>21575</v>
      </c>
      <c r="C1869" s="352"/>
      <c r="D1869" s="353" t="s">
        <v>14859</v>
      </c>
      <c r="E1869" s="249">
        <f t="shared" si="508"/>
        <v>0</v>
      </c>
      <c r="F1869" s="336">
        <v>0</v>
      </c>
      <c r="G1869" s="258">
        <f t="shared" si="509"/>
        <v>0</v>
      </c>
      <c r="H1869" s="249">
        <f t="shared" si="510"/>
        <v>10.972208077176075</v>
      </c>
      <c r="I1869" s="336">
        <v>5.9301044994044985E-4</v>
      </c>
      <c r="J1869" s="258">
        <f t="shared" si="511"/>
        <v>5.9301044994044985E-4</v>
      </c>
      <c r="K1869" s="249">
        <f t="shared" si="512"/>
        <v>18472.649699456324</v>
      </c>
      <c r="L1869" s="336">
        <v>0.99838375583251526</v>
      </c>
      <c r="M1869" s="258">
        <f t="shared" si="513"/>
        <v>0.99838375583251526</v>
      </c>
      <c r="N1869" s="251">
        <f t="shared" si="514"/>
        <v>18.932437466499895</v>
      </c>
      <c r="O1869" s="336">
        <v>1.0232337175443056E-3</v>
      </c>
      <c r="P1869" s="258">
        <f t="shared" si="515"/>
        <v>1.0232337175443056E-3</v>
      </c>
      <c r="Q1869" s="354">
        <v>18060.39</v>
      </c>
      <c r="R1869" s="249">
        <f t="shared" si="516"/>
        <v>18502.554345</v>
      </c>
      <c r="S1869" s="355">
        <v>0.1</v>
      </c>
      <c r="T1869" s="355"/>
      <c r="U1869" s="315">
        <f t="shared" si="506"/>
        <v>20352.809779499999</v>
      </c>
      <c r="V1869" s="315">
        <f t="shared" si="507"/>
        <v>20500</v>
      </c>
      <c r="W1869" s="316">
        <f t="shared" si="517"/>
        <v>0</v>
      </c>
    </row>
    <row r="1870" spans="1:23" x14ac:dyDescent="0.25">
      <c r="A1870" s="204" t="s">
        <v>17531</v>
      </c>
      <c r="B1870" s="351" t="s">
        <v>21576</v>
      </c>
      <c r="C1870" s="352"/>
      <c r="D1870" s="353" t="s">
        <v>5</v>
      </c>
      <c r="E1870" s="249">
        <f t="shared" si="508"/>
        <v>0</v>
      </c>
      <c r="F1870" s="336">
        <v>0</v>
      </c>
      <c r="G1870" s="258">
        <f t="shared" si="509"/>
        <v>0</v>
      </c>
      <c r="H1870" s="249">
        <f t="shared" si="510"/>
        <v>6.3792146995357554E-2</v>
      </c>
      <c r="I1870" s="336">
        <v>4.4773255442082598E-4</v>
      </c>
      <c r="J1870" s="258">
        <f t="shared" si="511"/>
        <v>4.4773255442082598E-4</v>
      </c>
      <c r="K1870" s="249">
        <f t="shared" si="512"/>
        <v>142.30431701910325</v>
      </c>
      <c r="L1870" s="336">
        <v>0.99877929126152298</v>
      </c>
      <c r="M1870" s="258">
        <f t="shared" si="513"/>
        <v>0.99877929126152298</v>
      </c>
      <c r="N1870" s="251">
        <f t="shared" si="514"/>
        <v>0.11007272422728362</v>
      </c>
      <c r="O1870" s="336">
        <v>7.7255813311828789E-4</v>
      </c>
      <c r="P1870" s="258">
        <f t="shared" si="515"/>
        <v>7.7255813311828789E-4</v>
      </c>
      <c r="Q1870" s="354">
        <v>139.07284883720931</v>
      </c>
      <c r="R1870" s="249">
        <f t="shared" si="516"/>
        <v>142.47824145348835</v>
      </c>
      <c r="S1870" s="355">
        <v>0.1</v>
      </c>
      <c r="T1870" s="355"/>
      <c r="U1870" s="315">
        <f t="shared" si="506"/>
        <v>156.72606559883718</v>
      </c>
      <c r="V1870" s="315">
        <f t="shared" si="507"/>
        <v>160</v>
      </c>
      <c r="W1870" s="316">
        <f t="shared" si="517"/>
        <v>0</v>
      </c>
    </row>
    <row r="1871" spans="1:23" x14ac:dyDescent="0.25">
      <c r="A1871" s="204" t="s">
        <v>17532</v>
      </c>
      <c r="B1871" s="351" t="s">
        <v>21577</v>
      </c>
      <c r="C1871" s="352"/>
      <c r="D1871" s="353" t="s">
        <v>14859</v>
      </c>
      <c r="E1871" s="249">
        <f t="shared" si="508"/>
        <v>0</v>
      </c>
      <c r="F1871" s="336">
        <v>0</v>
      </c>
      <c r="G1871" s="258">
        <f t="shared" si="509"/>
        <v>0</v>
      </c>
      <c r="H1871" s="249">
        <f t="shared" si="510"/>
        <v>10.972253870221524</v>
      </c>
      <c r="I1871" s="336">
        <v>4.4773255442082604E-4</v>
      </c>
      <c r="J1871" s="258">
        <f t="shared" si="511"/>
        <v>4.4773255442082604E-4</v>
      </c>
      <c r="K1871" s="249">
        <f t="shared" si="512"/>
        <v>24476.363004647828</v>
      </c>
      <c r="L1871" s="336">
        <v>0.99877970931246096</v>
      </c>
      <c r="M1871" s="258">
        <f t="shared" si="513"/>
        <v>0.99877970931246096</v>
      </c>
      <c r="N1871" s="251">
        <f t="shared" si="514"/>
        <v>18.932516481950863</v>
      </c>
      <c r="O1871" s="336">
        <v>7.72558133118288E-4</v>
      </c>
      <c r="P1871" s="258">
        <f t="shared" si="515"/>
        <v>7.72558133118288E-4</v>
      </c>
      <c r="Q1871" s="354">
        <v>23920.53</v>
      </c>
      <c r="R1871" s="249">
        <f t="shared" si="516"/>
        <v>24506.267775</v>
      </c>
      <c r="S1871" s="355">
        <v>0.1</v>
      </c>
      <c r="T1871" s="355"/>
      <c r="U1871" s="315">
        <f t="shared" si="506"/>
        <v>26956.894552500002</v>
      </c>
      <c r="V1871" s="315">
        <f t="shared" si="507"/>
        <v>27000</v>
      </c>
      <c r="W1871" s="316">
        <f t="shared" si="517"/>
        <v>0</v>
      </c>
    </row>
    <row r="1872" spans="1:23" x14ac:dyDescent="0.25">
      <c r="A1872" s="204" t="s">
        <v>17533</v>
      </c>
      <c r="B1872" s="351" t="s">
        <v>21578</v>
      </c>
      <c r="C1872" s="352"/>
      <c r="D1872" s="353" t="s">
        <v>5</v>
      </c>
      <c r="E1872" s="249">
        <f t="shared" si="508"/>
        <v>0</v>
      </c>
      <c r="F1872" s="336">
        <v>0</v>
      </c>
      <c r="G1872" s="258">
        <f t="shared" si="509"/>
        <v>0</v>
      </c>
      <c r="H1872" s="249">
        <f t="shared" si="510"/>
        <v>6.3792240738656789E-2</v>
      </c>
      <c r="I1872" s="336">
        <v>3.9819007553063435E-4</v>
      </c>
      <c r="J1872" s="258">
        <f t="shared" si="511"/>
        <v>3.9819007553063435E-4</v>
      </c>
      <c r="K1872" s="249">
        <f t="shared" si="512"/>
        <v>160.03157679985645</v>
      </c>
      <c r="L1872" s="336">
        <v>0.99891436506017783</v>
      </c>
      <c r="M1872" s="258">
        <f t="shared" si="513"/>
        <v>0.99891436506017783</v>
      </c>
      <c r="N1872" s="251">
        <f t="shared" si="514"/>
        <v>0.11007288598042739</v>
      </c>
      <c r="O1872" s="336">
        <v>6.8707307150383959E-4</v>
      </c>
      <c r="P1872" s="258">
        <f t="shared" si="515"/>
        <v>6.8707307150383959E-4</v>
      </c>
      <c r="Q1872" s="354">
        <v>156.37617732558138</v>
      </c>
      <c r="R1872" s="249">
        <f t="shared" si="516"/>
        <v>160.20550148982554</v>
      </c>
      <c r="S1872" s="355">
        <v>0.1</v>
      </c>
      <c r="T1872" s="355"/>
      <c r="U1872" s="315">
        <f t="shared" si="506"/>
        <v>176.22605163880809</v>
      </c>
      <c r="V1872" s="315">
        <f t="shared" si="507"/>
        <v>180</v>
      </c>
      <c r="W1872" s="316">
        <f t="shared" si="517"/>
        <v>0</v>
      </c>
    </row>
    <row r="1873" spans="1:23" x14ac:dyDescent="0.25">
      <c r="A1873" s="204" t="s">
        <v>17534</v>
      </c>
      <c r="B1873" s="351" t="s">
        <v>21579</v>
      </c>
      <c r="C1873" s="352"/>
      <c r="D1873" s="353" t="s">
        <v>14859</v>
      </c>
      <c r="E1873" s="249">
        <f t="shared" si="508"/>
        <v>0</v>
      </c>
      <c r="F1873" s="336">
        <v>0</v>
      </c>
      <c r="G1873" s="258">
        <f t="shared" si="509"/>
        <v>0</v>
      </c>
      <c r="H1873" s="249">
        <f t="shared" si="510"/>
        <v>10.972269486506292</v>
      </c>
      <c r="I1873" s="336">
        <v>3.981900755306343E-4</v>
      </c>
      <c r="J1873" s="258">
        <f t="shared" si="511"/>
        <v>3.981900755306343E-4</v>
      </c>
      <c r="K1873" s="249">
        <f t="shared" si="512"/>
        <v>27525.451688335801</v>
      </c>
      <c r="L1873" s="336">
        <v>0.99891473685296561</v>
      </c>
      <c r="M1873" s="258">
        <f t="shared" si="513"/>
        <v>0.99891473685296561</v>
      </c>
      <c r="N1873" s="251">
        <f t="shared" si="514"/>
        <v>18.932543427697134</v>
      </c>
      <c r="O1873" s="336">
        <v>6.8707307150383959E-4</v>
      </c>
      <c r="P1873" s="258">
        <f t="shared" si="515"/>
        <v>6.8707307150383959E-4</v>
      </c>
      <c r="Q1873" s="354">
        <v>26896.702499999999</v>
      </c>
      <c r="R1873" s="249">
        <f t="shared" si="516"/>
        <v>27555.35650125</v>
      </c>
      <c r="S1873" s="355">
        <v>0.1</v>
      </c>
      <c r="T1873" s="355"/>
      <c r="U1873" s="315">
        <f t="shared" si="506"/>
        <v>30310.892151374999</v>
      </c>
      <c r="V1873" s="315">
        <f t="shared" si="507"/>
        <v>30500</v>
      </c>
      <c r="W1873" s="316">
        <f t="shared" si="517"/>
        <v>0</v>
      </c>
    </row>
    <row r="1874" spans="1:23" x14ac:dyDescent="0.25">
      <c r="A1874" s="203" t="s">
        <v>17535</v>
      </c>
      <c r="B1874" s="345" t="s">
        <v>17536</v>
      </c>
      <c r="C1874" s="346"/>
      <c r="D1874" s="347"/>
      <c r="E1874" s="347"/>
      <c r="F1874" s="347"/>
      <c r="G1874" s="347"/>
      <c r="H1874" s="347"/>
      <c r="I1874" s="347"/>
      <c r="J1874" s="347"/>
      <c r="K1874" s="347"/>
      <c r="L1874" s="347"/>
      <c r="M1874" s="347"/>
      <c r="N1874" s="347"/>
      <c r="O1874" s="347"/>
      <c r="P1874" s="347"/>
      <c r="Q1874" s="347"/>
      <c r="R1874" s="347"/>
      <c r="S1874" s="347"/>
      <c r="T1874" s="348"/>
      <c r="U1874" s="349"/>
      <c r="V1874" s="349"/>
      <c r="W1874" s="350"/>
    </row>
    <row r="1875" spans="1:23" x14ac:dyDescent="0.25">
      <c r="A1875" s="204" t="s">
        <v>17537</v>
      </c>
      <c r="B1875" s="351" t="s">
        <v>21580</v>
      </c>
      <c r="C1875" s="352"/>
      <c r="D1875" s="353" t="s">
        <v>14859</v>
      </c>
      <c r="E1875" s="249">
        <f t="shared" si="508"/>
        <v>0</v>
      </c>
      <c r="F1875" s="336">
        <v>0</v>
      </c>
      <c r="G1875" s="258">
        <f t="shared" si="509"/>
        <v>0</v>
      </c>
      <c r="H1875" s="249">
        <f t="shared" si="510"/>
        <v>10.951054212971743</v>
      </c>
      <c r="I1875" s="336">
        <v>6.7703394652000759E-2</v>
      </c>
      <c r="J1875" s="258">
        <f t="shared" si="511"/>
        <v>6.7703394652000759E-2</v>
      </c>
      <c r="K1875" s="249">
        <f t="shared" si="512"/>
        <v>131.90345410582211</v>
      </c>
      <c r="L1875" s="336">
        <v>0.81547506163474304</v>
      </c>
      <c r="M1875" s="258">
        <f t="shared" si="513"/>
        <v>0.81547506163474304</v>
      </c>
      <c r="N1875" s="251">
        <f t="shared" si="514"/>
        <v>18.895936681206145</v>
      </c>
      <c r="O1875" s="336">
        <v>0.11682154371325622</v>
      </c>
      <c r="P1875" s="258">
        <f t="shared" si="515"/>
        <v>0.11682154371325622</v>
      </c>
      <c r="Q1875" s="354">
        <v>158.19</v>
      </c>
      <c r="R1875" s="249">
        <f t="shared" si="516"/>
        <v>161.75044499999998</v>
      </c>
      <c r="S1875" s="355">
        <v>0.1</v>
      </c>
      <c r="T1875" s="355"/>
      <c r="U1875" s="315">
        <f t="shared" si="506"/>
        <v>177.92548949999997</v>
      </c>
      <c r="V1875" s="315">
        <f t="shared" si="507"/>
        <v>180</v>
      </c>
      <c r="W1875" s="316">
        <f t="shared" ref="W1875:W1910" si="518">C1875*V1875</f>
        <v>0</v>
      </c>
    </row>
    <row r="1876" spans="1:23" x14ac:dyDescent="0.25">
      <c r="A1876" s="204" t="s">
        <v>17538</v>
      </c>
      <c r="B1876" s="351" t="s">
        <v>21581</v>
      </c>
      <c r="C1876" s="352"/>
      <c r="D1876" s="353" t="s">
        <v>5</v>
      </c>
      <c r="E1876" s="249">
        <f t="shared" si="508"/>
        <v>0</v>
      </c>
      <c r="F1876" s="336">
        <v>0</v>
      </c>
      <c r="G1876" s="258">
        <f t="shared" si="509"/>
        <v>0</v>
      </c>
      <c r="H1876" s="249">
        <f t="shared" si="510"/>
        <v>6.3664887161008932E-2</v>
      </c>
      <c r="I1876" s="336">
        <v>6.7703394652000773E-2</v>
      </c>
      <c r="J1876" s="258">
        <f t="shared" si="511"/>
        <v>6.7703394652000773E-2</v>
      </c>
      <c r="K1876" s="249">
        <f t="shared" si="512"/>
        <v>0.76677252986914479</v>
      </c>
      <c r="L1876" s="336">
        <v>0.81541184651368614</v>
      </c>
      <c r="M1876" s="258">
        <f t="shared" si="513"/>
        <v>0.81541184651368614</v>
      </c>
      <c r="N1876" s="251">
        <f t="shared" si="514"/>
        <v>0.10985313863076049</v>
      </c>
      <c r="O1876" s="336">
        <v>0.11682154371325622</v>
      </c>
      <c r="P1876" s="258">
        <f t="shared" si="515"/>
        <v>0.11682154371325622</v>
      </c>
      <c r="Q1876" s="354">
        <v>0.91970930232558135</v>
      </c>
      <c r="R1876" s="249">
        <f t="shared" si="516"/>
        <v>0.94035000000000002</v>
      </c>
      <c r="S1876" s="355">
        <v>0.1</v>
      </c>
      <c r="T1876" s="355"/>
      <c r="U1876" s="315">
        <f t="shared" si="506"/>
        <v>1.0343850000000001</v>
      </c>
      <c r="V1876" s="315">
        <f t="shared" si="507"/>
        <v>2</v>
      </c>
      <c r="W1876" s="316">
        <f t="shared" si="518"/>
        <v>0</v>
      </c>
    </row>
    <row r="1877" spans="1:23" x14ac:dyDescent="0.25">
      <c r="A1877" s="204" t="s">
        <v>17539</v>
      </c>
      <c r="B1877" s="351" t="s">
        <v>21582</v>
      </c>
      <c r="C1877" s="352"/>
      <c r="D1877" s="353" t="s">
        <v>14859</v>
      </c>
      <c r="E1877" s="249">
        <f t="shared" si="508"/>
        <v>0</v>
      </c>
      <c r="F1877" s="336">
        <v>0</v>
      </c>
      <c r="G1877" s="258">
        <f t="shared" si="509"/>
        <v>0</v>
      </c>
      <c r="H1877" s="249">
        <f t="shared" si="510"/>
        <v>10.959469929744634</v>
      </c>
      <c r="I1877" s="336">
        <v>4.1004632642903639E-2</v>
      </c>
      <c r="J1877" s="258">
        <f t="shared" si="511"/>
        <v>4.1004632642903639E-2</v>
      </c>
      <c r="K1877" s="249">
        <f t="shared" si="512"/>
        <v>237.40401715226466</v>
      </c>
      <c r="L1877" s="336">
        <v>0.88824227573796855</v>
      </c>
      <c r="M1877" s="258">
        <f t="shared" si="513"/>
        <v>0.88824227573796855</v>
      </c>
      <c r="N1877" s="251">
        <f t="shared" si="514"/>
        <v>18.910457917990737</v>
      </c>
      <c r="O1877" s="336">
        <v>7.0753091619127836E-2</v>
      </c>
      <c r="P1877" s="258">
        <f t="shared" si="515"/>
        <v>7.0753091619127836E-2</v>
      </c>
      <c r="Q1877" s="354">
        <v>261.19</v>
      </c>
      <c r="R1877" s="249">
        <f t="shared" si="516"/>
        <v>267.27394500000003</v>
      </c>
      <c r="S1877" s="355">
        <v>0.1</v>
      </c>
      <c r="T1877" s="355"/>
      <c r="U1877" s="315">
        <f t="shared" si="506"/>
        <v>294.00133950000003</v>
      </c>
      <c r="V1877" s="315">
        <f t="shared" si="507"/>
        <v>295</v>
      </c>
      <c r="W1877" s="316">
        <f t="shared" si="518"/>
        <v>0</v>
      </c>
    </row>
    <row r="1878" spans="1:23" x14ac:dyDescent="0.25">
      <c r="A1878" s="204" t="s">
        <v>17540</v>
      </c>
      <c r="B1878" s="351" t="s">
        <v>21583</v>
      </c>
      <c r="C1878" s="352"/>
      <c r="D1878" s="353" t="s">
        <v>5</v>
      </c>
      <c r="E1878" s="249">
        <f t="shared" si="508"/>
        <v>0</v>
      </c>
      <c r="F1878" s="336">
        <v>0</v>
      </c>
      <c r="G1878" s="258">
        <f t="shared" si="509"/>
        <v>0</v>
      </c>
      <c r="H1878" s="249">
        <f t="shared" si="510"/>
        <v>6.3715406030716307E-2</v>
      </c>
      <c r="I1878" s="336">
        <v>4.1004632642903639E-2</v>
      </c>
      <c r="J1878" s="258">
        <f t="shared" si="511"/>
        <v>4.1004632642903639E-2</v>
      </c>
      <c r="K1878" s="249">
        <f t="shared" si="512"/>
        <v>1.3801435149454599</v>
      </c>
      <c r="L1878" s="336">
        <v>0.88820398943297996</v>
      </c>
      <c r="M1878" s="258">
        <f t="shared" si="513"/>
        <v>0.88820398943297996</v>
      </c>
      <c r="N1878" s="251">
        <f t="shared" si="514"/>
        <v>0.10994030844515754</v>
      </c>
      <c r="O1878" s="336">
        <v>7.0753091619127836E-2</v>
      </c>
      <c r="P1878" s="258">
        <f t="shared" si="515"/>
        <v>7.0753091619127836E-2</v>
      </c>
      <c r="Q1878" s="354">
        <v>1.5185465116279069</v>
      </c>
      <c r="R1878" s="249">
        <f t="shared" si="516"/>
        <v>1.5538587209302326</v>
      </c>
      <c r="S1878" s="355">
        <v>0.1</v>
      </c>
      <c r="T1878" s="355"/>
      <c r="U1878" s="315">
        <f t="shared" si="506"/>
        <v>1.7092445930232558</v>
      </c>
      <c r="V1878" s="315">
        <f t="shared" si="507"/>
        <v>2</v>
      </c>
      <c r="W1878" s="316">
        <f t="shared" si="518"/>
        <v>0</v>
      </c>
    </row>
    <row r="1879" spans="1:23" x14ac:dyDescent="0.25">
      <c r="A1879" s="204" t="s">
        <v>17541</v>
      </c>
      <c r="B1879" s="351" t="s">
        <v>21584</v>
      </c>
      <c r="C1879" s="352"/>
      <c r="D1879" s="353" t="s">
        <v>14859</v>
      </c>
      <c r="E1879" s="249">
        <f t="shared" si="508"/>
        <v>0</v>
      </c>
      <c r="F1879" s="336">
        <v>0</v>
      </c>
      <c r="G1879" s="258">
        <f t="shared" si="509"/>
        <v>0</v>
      </c>
      <c r="H1879" s="249">
        <f t="shared" si="510"/>
        <v>10.961851575470815</v>
      </c>
      <c r="I1879" s="336">
        <v>3.3448889721727729E-2</v>
      </c>
      <c r="J1879" s="258">
        <f t="shared" si="511"/>
        <v>3.3448889721727729E-2</v>
      </c>
      <c r="K1879" s="249">
        <f t="shared" si="512"/>
        <v>297.84302600018736</v>
      </c>
      <c r="L1879" s="336">
        <v>0.90883537899372246</v>
      </c>
      <c r="M1879" s="258">
        <f t="shared" si="513"/>
        <v>0.90883537899372246</v>
      </c>
      <c r="N1879" s="251">
        <f t="shared" si="514"/>
        <v>18.914567424341797</v>
      </c>
      <c r="O1879" s="336">
        <v>5.77157312845498E-2</v>
      </c>
      <c r="P1879" s="258">
        <f t="shared" si="515"/>
        <v>5.77157312845498E-2</v>
      </c>
      <c r="Q1879" s="354">
        <v>320.19</v>
      </c>
      <c r="R1879" s="249">
        <f t="shared" si="516"/>
        <v>327.71944500000001</v>
      </c>
      <c r="S1879" s="355">
        <v>0.1</v>
      </c>
      <c r="T1879" s="355"/>
      <c r="U1879" s="315">
        <f t="shared" si="506"/>
        <v>360.49138950000003</v>
      </c>
      <c r="V1879" s="315">
        <f t="shared" si="507"/>
        <v>365</v>
      </c>
      <c r="W1879" s="316">
        <f t="shared" si="518"/>
        <v>0</v>
      </c>
    </row>
    <row r="1880" spans="1:23" x14ac:dyDescent="0.25">
      <c r="A1880" s="204" t="s">
        <v>17542</v>
      </c>
      <c r="B1880" s="351" t="s">
        <v>21585</v>
      </c>
      <c r="C1880" s="352"/>
      <c r="D1880" s="353" t="s">
        <v>5</v>
      </c>
      <c r="E1880" s="249">
        <f t="shared" si="508"/>
        <v>0</v>
      </c>
      <c r="F1880" s="336">
        <v>0</v>
      </c>
      <c r="G1880" s="258">
        <f t="shared" si="509"/>
        <v>0</v>
      </c>
      <c r="H1880" s="249">
        <f t="shared" si="510"/>
        <v>6.3729702858114037E-2</v>
      </c>
      <c r="I1880" s="336">
        <v>3.3448889721727729E-2</v>
      </c>
      <c r="J1880" s="258">
        <f t="shared" si="511"/>
        <v>3.3448889721727729E-2</v>
      </c>
      <c r="K1880" s="249">
        <f t="shared" si="512"/>
        <v>1.7315318613149018</v>
      </c>
      <c r="L1880" s="336">
        <v>0.90880414753739946</v>
      </c>
      <c r="M1880" s="258">
        <f t="shared" si="513"/>
        <v>0.90880414753739946</v>
      </c>
      <c r="N1880" s="251">
        <f t="shared" si="514"/>
        <v>0.10996497748066736</v>
      </c>
      <c r="O1880" s="336">
        <v>5.77157312845498E-2</v>
      </c>
      <c r="P1880" s="258">
        <f t="shared" si="515"/>
        <v>5.77157312845498E-2</v>
      </c>
      <c r="Q1880" s="354">
        <v>1.8615697674418605</v>
      </c>
      <c r="R1880" s="249">
        <f t="shared" si="516"/>
        <v>1.9052860465116277</v>
      </c>
      <c r="S1880" s="355">
        <v>0.1</v>
      </c>
      <c r="T1880" s="355"/>
      <c r="U1880" s="315">
        <f t="shared" si="506"/>
        <v>2.0958146511627906</v>
      </c>
      <c r="V1880" s="315">
        <f t="shared" si="507"/>
        <v>3</v>
      </c>
      <c r="W1880" s="316">
        <f t="shared" si="518"/>
        <v>0</v>
      </c>
    </row>
    <row r="1881" spans="1:23" x14ac:dyDescent="0.25">
      <c r="A1881" s="204" t="s">
        <v>17543</v>
      </c>
      <c r="B1881" s="351" t="s">
        <v>21586</v>
      </c>
      <c r="C1881" s="352"/>
      <c r="D1881" s="353" t="s">
        <v>14859</v>
      </c>
      <c r="E1881" s="249">
        <f t="shared" si="508"/>
        <v>0</v>
      </c>
      <c r="F1881" s="336">
        <v>0</v>
      </c>
      <c r="G1881" s="258">
        <f t="shared" si="509"/>
        <v>0</v>
      </c>
      <c r="H1881" s="249">
        <f t="shared" si="510"/>
        <v>10.962442173855361</v>
      </c>
      <c r="I1881" s="336">
        <v>3.1575223326159384E-2</v>
      </c>
      <c r="J1881" s="258">
        <f t="shared" si="511"/>
        <v>3.1575223326159384E-2</v>
      </c>
      <c r="K1881" s="249">
        <f t="shared" si="512"/>
        <v>317.30691633008047</v>
      </c>
      <c r="L1881" s="336">
        <v>0.91394203838556565</v>
      </c>
      <c r="M1881" s="258">
        <f t="shared" si="513"/>
        <v>0.91394203838556565</v>
      </c>
      <c r="N1881" s="251">
        <f t="shared" si="514"/>
        <v>18.915586496064151</v>
      </c>
      <c r="O1881" s="336">
        <v>5.4482738288275011E-2</v>
      </c>
      <c r="P1881" s="258">
        <f t="shared" si="515"/>
        <v>5.4482738288275011E-2</v>
      </c>
      <c r="Q1881" s="354">
        <v>339.19</v>
      </c>
      <c r="R1881" s="249">
        <f t="shared" si="516"/>
        <v>347.18494499999997</v>
      </c>
      <c r="S1881" s="355">
        <v>0.1</v>
      </c>
      <c r="T1881" s="355"/>
      <c r="U1881" s="315">
        <f t="shared" si="506"/>
        <v>381.90343949999999</v>
      </c>
      <c r="V1881" s="315">
        <f t="shared" si="507"/>
        <v>385</v>
      </c>
      <c r="W1881" s="316">
        <f t="shared" si="518"/>
        <v>0</v>
      </c>
    </row>
    <row r="1882" spans="1:23" x14ac:dyDescent="0.25">
      <c r="A1882" s="204" t="s">
        <v>17544</v>
      </c>
      <c r="B1882" s="351" t="s">
        <v>21587</v>
      </c>
      <c r="C1882" s="352"/>
      <c r="D1882" s="353" t="s">
        <v>5</v>
      </c>
      <c r="E1882" s="249">
        <f t="shared" si="508"/>
        <v>0</v>
      </c>
      <c r="F1882" s="336">
        <v>0</v>
      </c>
      <c r="G1882" s="258">
        <f t="shared" si="509"/>
        <v>0</v>
      </c>
      <c r="H1882" s="249">
        <f t="shared" si="510"/>
        <v>6.3733248172630153E-2</v>
      </c>
      <c r="I1882" s="336">
        <v>3.1575223326159384E-2</v>
      </c>
      <c r="J1882" s="258">
        <f t="shared" si="511"/>
        <v>3.1575223326159384E-2</v>
      </c>
      <c r="K1882" s="249">
        <f t="shared" si="512"/>
        <v>1.8446937069125691</v>
      </c>
      <c r="L1882" s="336">
        <v>0.91391255638432722</v>
      </c>
      <c r="M1882" s="258">
        <f t="shared" si="513"/>
        <v>0.91391255638432722</v>
      </c>
      <c r="N1882" s="251">
        <f t="shared" si="514"/>
        <v>0.1099710948861069</v>
      </c>
      <c r="O1882" s="336">
        <v>5.4482738288275004E-2</v>
      </c>
      <c r="P1882" s="258">
        <f t="shared" si="515"/>
        <v>5.4482738288275004E-2</v>
      </c>
      <c r="Q1882" s="354">
        <v>1.9720348837209303</v>
      </c>
      <c r="R1882" s="249">
        <f t="shared" si="516"/>
        <v>2.0184575581395348</v>
      </c>
      <c r="S1882" s="355">
        <v>0.1</v>
      </c>
      <c r="T1882" s="355"/>
      <c r="U1882" s="315">
        <f t="shared" si="506"/>
        <v>2.2203033139534885</v>
      </c>
      <c r="V1882" s="315">
        <f t="shared" si="507"/>
        <v>3</v>
      </c>
      <c r="W1882" s="316">
        <f t="shared" si="518"/>
        <v>0</v>
      </c>
    </row>
    <row r="1883" spans="1:23" x14ac:dyDescent="0.25">
      <c r="A1883" s="204" t="s">
        <v>17545</v>
      </c>
      <c r="B1883" s="351" t="s">
        <v>21588</v>
      </c>
      <c r="C1883" s="352"/>
      <c r="D1883" s="353" t="s">
        <v>14859</v>
      </c>
      <c r="E1883" s="249">
        <f t="shared" si="508"/>
        <v>0</v>
      </c>
      <c r="F1883" s="336">
        <v>0</v>
      </c>
      <c r="G1883" s="258">
        <f t="shared" si="509"/>
        <v>0</v>
      </c>
      <c r="H1883" s="249">
        <f t="shared" si="510"/>
        <v>10.962996355549988</v>
      </c>
      <c r="I1883" s="336">
        <v>2.9817088449010275E-2</v>
      </c>
      <c r="J1883" s="258">
        <f t="shared" si="511"/>
        <v>2.9817088449010275E-2</v>
      </c>
      <c r="K1883" s="249">
        <f t="shared" si="512"/>
        <v>337.79540591330493</v>
      </c>
      <c r="L1883" s="336">
        <v>0.91873381775661911</v>
      </c>
      <c r="M1883" s="258">
        <f t="shared" si="513"/>
        <v>0.91873381775661911</v>
      </c>
      <c r="N1883" s="251">
        <f t="shared" si="514"/>
        <v>18.916542731145075</v>
      </c>
      <c r="O1883" s="336">
        <v>5.1449093794370668E-2</v>
      </c>
      <c r="P1883" s="258">
        <f t="shared" si="515"/>
        <v>5.1449093794370668E-2</v>
      </c>
      <c r="Q1883" s="354">
        <v>359.19</v>
      </c>
      <c r="R1883" s="249">
        <f t="shared" si="516"/>
        <v>367.67494499999998</v>
      </c>
      <c r="S1883" s="355">
        <v>0.1</v>
      </c>
      <c r="T1883" s="355"/>
      <c r="U1883" s="315">
        <f t="shared" si="506"/>
        <v>404.44243949999998</v>
      </c>
      <c r="V1883" s="315">
        <f t="shared" si="507"/>
        <v>405</v>
      </c>
      <c r="W1883" s="316">
        <f t="shared" si="518"/>
        <v>0</v>
      </c>
    </row>
    <row r="1884" spans="1:23" x14ac:dyDescent="0.25">
      <c r="A1884" s="204" t="s">
        <v>17546</v>
      </c>
      <c r="B1884" s="351" t="s">
        <v>21589</v>
      </c>
      <c r="C1884" s="352"/>
      <c r="D1884" s="353" t="s">
        <v>5</v>
      </c>
      <c r="E1884" s="249">
        <f t="shared" si="508"/>
        <v>0</v>
      </c>
      <c r="F1884" s="336">
        <v>0</v>
      </c>
      <c r="G1884" s="258">
        <f t="shared" si="509"/>
        <v>0</v>
      </c>
      <c r="H1884" s="249">
        <f t="shared" si="510"/>
        <v>6.3736574880690858E-2</v>
      </c>
      <c r="I1884" s="336">
        <v>2.9817088449010275E-2</v>
      </c>
      <c r="J1884" s="258">
        <f t="shared" si="511"/>
        <v>2.9817088449010275E-2</v>
      </c>
      <c r="K1884" s="249">
        <f t="shared" si="512"/>
        <v>1.9638125438729386</v>
      </c>
      <c r="L1884" s="336">
        <v>0.91870597733789905</v>
      </c>
      <c r="M1884" s="258">
        <f t="shared" si="513"/>
        <v>0.91870597733789905</v>
      </c>
      <c r="N1884" s="251">
        <f t="shared" si="514"/>
        <v>0.10997683508825089</v>
      </c>
      <c r="O1884" s="336">
        <v>5.1449093794370668E-2</v>
      </c>
      <c r="P1884" s="258">
        <f t="shared" si="515"/>
        <v>5.1449093794370668E-2</v>
      </c>
      <c r="Q1884" s="354">
        <v>2.0883139534883721</v>
      </c>
      <c r="R1884" s="249">
        <f t="shared" si="516"/>
        <v>2.1375854651162789</v>
      </c>
      <c r="S1884" s="355">
        <v>0.1</v>
      </c>
      <c r="T1884" s="355"/>
      <c r="U1884" s="315">
        <f t="shared" si="506"/>
        <v>2.3513440116279067</v>
      </c>
      <c r="V1884" s="315">
        <f t="shared" si="507"/>
        <v>3</v>
      </c>
      <c r="W1884" s="316">
        <f t="shared" si="518"/>
        <v>0</v>
      </c>
    </row>
    <row r="1885" spans="1:23" x14ac:dyDescent="0.25">
      <c r="A1885" s="204" t="s">
        <v>17547</v>
      </c>
      <c r="B1885" s="351" t="s">
        <v>21590</v>
      </c>
      <c r="C1885" s="352"/>
      <c r="D1885" s="353" t="s">
        <v>14859</v>
      </c>
      <c r="E1885" s="249">
        <f t="shared" si="508"/>
        <v>0</v>
      </c>
      <c r="F1885" s="336">
        <v>0</v>
      </c>
      <c r="G1885" s="258">
        <f t="shared" si="509"/>
        <v>0</v>
      </c>
      <c r="H1885" s="249">
        <f t="shared" si="510"/>
        <v>10.965010982195587</v>
      </c>
      <c r="I1885" s="336">
        <v>2.3425709223736303E-2</v>
      </c>
      <c r="J1885" s="258">
        <f t="shared" si="511"/>
        <v>2.3425709223736303E-2</v>
      </c>
      <c r="K1885" s="249">
        <f t="shared" si="512"/>
        <v>438.19091506813362</v>
      </c>
      <c r="L1885" s="336">
        <v>0.93615345917452264</v>
      </c>
      <c r="M1885" s="258">
        <f t="shared" si="513"/>
        <v>0.93615345917452264</v>
      </c>
      <c r="N1885" s="251">
        <f t="shared" si="514"/>
        <v>18.920018949670816</v>
      </c>
      <c r="O1885" s="336">
        <v>4.0420831601741071E-2</v>
      </c>
      <c r="P1885" s="258">
        <f t="shared" si="515"/>
        <v>4.0420831601741071E-2</v>
      </c>
      <c r="Q1885" s="354">
        <v>457.19</v>
      </c>
      <c r="R1885" s="249">
        <f t="shared" si="516"/>
        <v>468.07594499999999</v>
      </c>
      <c r="S1885" s="355">
        <v>0.1</v>
      </c>
      <c r="T1885" s="355"/>
      <c r="U1885" s="315">
        <f t="shared" si="506"/>
        <v>514.88353949999998</v>
      </c>
      <c r="V1885" s="315">
        <f t="shared" si="507"/>
        <v>515</v>
      </c>
      <c r="W1885" s="316">
        <f t="shared" si="518"/>
        <v>0</v>
      </c>
    </row>
    <row r="1886" spans="1:23" x14ac:dyDescent="0.25">
      <c r="A1886" s="204" t="s">
        <v>17548</v>
      </c>
      <c r="B1886" s="351" t="s">
        <v>21591</v>
      </c>
      <c r="C1886" s="352"/>
      <c r="D1886" s="353" t="s">
        <v>5</v>
      </c>
      <c r="E1886" s="249">
        <f t="shared" si="508"/>
        <v>0</v>
      </c>
      <c r="F1886" s="336">
        <v>0</v>
      </c>
      <c r="G1886" s="258">
        <f t="shared" si="509"/>
        <v>0</v>
      </c>
      <c r="H1886" s="249">
        <f t="shared" si="510"/>
        <v>6.3748668522119703E-2</v>
      </c>
      <c r="I1886" s="336">
        <v>2.3425709223736303E-2</v>
      </c>
      <c r="J1886" s="258">
        <f t="shared" si="511"/>
        <v>2.3425709223736303E-2</v>
      </c>
      <c r="K1886" s="249">
        <f t="shared" si="512"/>
        <v>2.5475063156659203</v>
      </c>
      <c r="L1886" s="336">
        <v>0.93613158643014927</v>
      </c>
      <c r="M1886" s="258">
        <f t="shared" si="513"/>
        <v>0.93613158643014927</v>
      </c>
      <c r="N1886" s="251">
        <f t="shared" si="514"/>
        <v>0.10999770254797124</v>
      </c>
      <c r="O1886" s="336">
        <v>4.0420831601741071E-2</v>
      </c>
      <c r="P1886" s="258">
        <f t="shared" si="515"/>
        <v>4.0420831601741071E-2</v>
      </c>
      <c r="Q1886" s="354">
        <v>2.6580813953488374</v>
      </c>
      <c r="R1886" s="249">
        <f t="shared" si="516"/>
        <v>2.7213122093023254</v>
      </c>
      <c r="S1886" s="355">
        <v>0.1</v>
      </c>
      <c r="T1886" s="355"/>
      <c r="U1886" s="315">
        <f t="shared" si="506"/>
        <v>2.9934434302325581</v>
      </c>
      <c r="V1886" s="315">
        <f t="shared" si="507"/>
        <v>3</v>
      </c>
      <c r="W1886" s="316">
        <f t="shared" si="518"/>
        <v>0</v>
      </c>
    </row>
    <row r="1887" spans="1:23" x14ac:dyDescent="0.25">
      <c r="A1887" s="204" t="s">
        <v>17549</v>
      </c>
      <c r="B1887" s="351" t="s">
        <v>21592</v>
      </c>
      <c r="C1887" s="352"/>
      <c r="D1887" s="353" t="s">
        <v>14859</v>
      </c>
      <c r="E1887" s="249">
        <f t="shared" si="508"/>
        <v>0</v>
      </c>
      <c r="F1887" s="336">
        <v>0</v>
      </c>
      <c r="G1887" s="258">
        <f t="shared" si="509"/>
        <v>0</v>
      </c>
      <c r="H1887" s="249">
        <f t="shared" si="510"/>
        <v>10.965508431657538</v>
      </c>
      <c r="I1887" s="336">
        <v>2.184755668431199E-2</v>
      </c>
      <c r="J1887" s="258">
        <f t="shared" si="511"/>
        <v>2.184755668431199E-2</v>
      </c>
      <c r="K1887" s="249">
        <f t="shared" si="512"/>
        <v>472.02367177450196</v>
      </c>
      <c r="L1887" s="336">
        <v>0.94045469844863994</v>
      </c>
      <c r="M1887" s="258">
        <f t="shared" si="513"/>
        <v>0.94045469844863994</v>
      </c>
      <c r="N1887" s="251">
        <f t="shared" si="514"/>
        <v>18.920877293840455</v>
      </c>
      <c r="O1887" s="336">
        <v>3.7697744867048133E-2</v>
      </c>
      <c r="P1887" s="258">
        <f t="shared" si="515"/>
        <v>3.7697744867048133E-2</v>
      </c>
      <c r="Q1887" s="354">
        <v>490.21499999999997</v>
      </c>
      <c r="R1887" s="249">
        <f t="shared" si="516"/>
        <v>501.91005749999994</v>
      </c>
      <c r="S1887" s="355">
        <v>0.1</v>
      </c>
      <c r="T1887" s="355"/>
      <c r="U1887" s="315">
        <f t="shared" si="506"/>
        <v>552.10106324999992</v>
      </c>
      <c r="V1887" s="315">
        <f t="shared" si="507"/>
        <v>555</v>
      </c>
      <c r="W1887" s="316">
        <f t="shared" si="518"/>
        <v>0</v>
      </c>
    </row>
    <row r="1888" spans="1:23" x14ac:dyDescent="0.25">
      <c r="A1888" s="204" t="s">
        <v>17550</v>
      </c>
      <c r="B1888" s="351" t="s">
        <v>21593</v>
      </c>
      <c r="C1888" s="352"/>
      <c r="D1888" s="353" t="s">
        <v>5</v>
      </c>
      <c r="E1888" s="249">
        <f t="shared" si="508"/>
        <v>0</v>
      </c>
      <c r="F1888" s="336">
        <v>0</v>
      </c>
      <c r="G1888" s="258">
        <f t="shared" si="509"/>
        <v>0</v>
      </c>
      <c r="H1888" s="249">
        <f t="shared" si="510"/>
        <v>6.3751654671158758E-2</v>
      </c>
      <c r="I1888" s="336">
        <v>2.184755668431199E-2</v>
      </c>
      <c r="J1888" s="258">
        <f t="shared" si="511"/>
        <v>2.184755668431199E-2</v>
      </c>
      <c r="K1888" s="249">
        <f t="shared" si="512"/>
        <v>2.7442081305531509</v>
      </c>
      <c r="L1888" s="336">
        <v>0.94043429923604938</v>
      </c>
      <c r="M1888" s="258">
        <f t="shared" si="513"/>
        <v>0.94043429923604938</v>
      </c>
      <c r="N1888" s="251">
        <f t="shared" si="514"/>
        <v>0.11000285511886217</v>
      </c>
      <c r="O1888" s="336">
        <v>3.7697744867048133E-2</v>
      </c>
      <c r="P1888" s="258">
        <f t="shared" si="515"/>
        <v>3.7697744867048133E-2</v>
      </c>
      <c r="Q1888" s="354">
        <v>2.8500872093023255</v>
      </c>
      <c r="R1888" s="249">
        <f t="shared" si="516"/>
        <v>2.9180221656976739</v>
      </c>
      <c r="S1888" s="355">
        <v>0.1</v>
      </c>
      <c r="T1888" s="355"/>
      <c r="U1888" s="315">
        <f t="shared" si="506"/>
        <v>3.2098243822674415</v>
      </c>
      <c r="V1888" s="315">
        <f t="shared" si="507"/>
        <v>4</v>
      </c>
      <c r="W1888" s="316">
        <f t="shared" si="518"/>
        <v>0</v>
      </c>
    </row>
    <row r="1889" spans="1:23" x14ac:dyDescent="0.25">
      <c r="A1889" s="204" t="s">
        <v>17551</v>
      </c>
      <c r="B1889" s="351" t="s">
        <v>21594</v>
      </c>
      <c r="C1889" s="352"/>
      <c r="D1889" s="353" t="s">
        <v>14859</v>
      </c>
      <c r="E1889" s="249">
        <f t="shared" si="508"/>
        <v>0</v>
      </c>
      <c r="F1889" s="336">
        <v>0</v>
      </c>
      <c r="G1889" s="258">
        <f t="shared" si="509"/>
        <v>0</v>
      </c>
      <c r="H1889" s="249">
        <f t="shared" si="510"/>
        <v>10.965704195176766</v>
      </c>
      <c r="I1889" s="336">
        <v>2.1226499232992045E-2</v>
      </c>
      <c r="J1889" s="258">
        <f t="shared" si="511"/>
        <v>2.1226499232992045E-2</v>
      </c>
      <c r="K1889" s="249">
        <f t="shared" si="512"/>
        <v>486.71754172294948</v>
      </c>
      <c r="L1889" s="336">
        <v>0.94214738444341384</v>
      </c>
      <c r="M1889" s="258">
        <f t="shared" si="513"/>
        <v>0.94214738444341384</v>
      </c>
      <c r="N1889" s="251">
        <f t="shared" si="514"/>
        <v>18.921215081873637</v>
      </c>
      <c r="O1889" s="336">
        <v>3.6626116323594117E-2</v>
      </c>
      <c r="P1889" s="258">
        <f t="shared" si="515"/>
        <v>3.6626116323594117E-2</v>
      </c>
      <c r="Q1889" s="354">
        <v>504.55799999999999</v>
      </c>
      <c r="R1889" s="249">
        <f t="shared" si="516"/>
        <v>516.6044609999999</v>
      </c>
      <c r="S1889" s="355">
        <v>0.1</v>
      </c>
      <c r="T1889" s="355"/>
      <c r="U1889" s="315">
        <f t="shared" si="506"/>
        <v>568.26490709999985</v>
      </c>
      <c r="V1889" s="315">
        <f t="shared" si="507"/>
        <v>570</v>
      </c>
      <c r="W1889" s="316">
        <f t="shared" si="518"/>
        <v>0</v>
      </c>
    </row>
    <row r="1890" spans="1:23" x14ac:dyDescent="0.25">
      <c r="A1890" s="204" t="s">
        <v>17552</v>
      </c>
      <c r="B1890" s="351" t="s">
        <v>21595</v>
      </c>
      <c r="C1890" s="352"/>
      <c r="D1890" s="353" t="s">
        <v>5</v>
      </c>
      <c r="E1890" s="249">
        <f t="shared" si="508"/>
        <v>0</v>
      </c>
      <c r="F1890" s="336">
        <v>0</v>
      </c>
      <c r="G1890" s="258">
        <f t="shared" si="509"/>
        <v>0</v>
      </c>
      <c r="H1890" s="249">
        <f t="shared" si="510"/>
        <v>6.3752829823791435E-2</v>
      </c>
      <c r="I1890" s="336">
        <v>2.1226499232992049E-2</v>
      </c>
      <c r="J1890" s="258">
        <f t="shared" si="511"/>
        <v>2.1226499232992049E-2</v>
      </c>
      <c r="K1890" s="249">
        <f t="shared" si="512"/>
        <v>2.8296375050772964</v>
      </c>
      <c r="L1890" s="336">
        <v>0.94212756511639884</v>
      </c>
      <c r="M1890" s="258">
        <f t="shared" si="513"/>
        <v>0.94212756511639884</v>
      </c>
      <c r="N1890" s="251">
        <f t="shared" si="514"/>
        <v>0.11000488283320874</v>
      </c>
      <c r="O1890" s="336">
        <v>3.6626116323594117E-2</v>
      </c>
      <c r="P1890" s="258">
        <f t="shared" si="515"/>
        <v>3.6626116323594117E-2</v>
      </c>
      <c r="Q1890" s="354">
        <v>2.9334767441860463</v>
      </c>
      <c r="R1890" s="249">
        <f t="shared" si="516"/>
        <v>3.0034547441860462</v>
      </c>
      <c r="S1890" s="355">
        <v>0.1</v>
      </c>
      <c r="T1890" s="355"/>
      <c r="U1890" s="315">
        <f t="shared" si="506"/>
        <v>3.3038002186046507</v>
      </c>
      <c r="V1890" s="315">
        <f t="shared" si="507"/>
        <v>4</v>
      </c>
      <c r="W1890" s="316">
        <f t="shared" si="518"/>
        <v>0</v>
      </c>
    </row>
    <row r="1891" spans="1:23" x14ac:dyDescent="0.25">
      <c r="A1891" s="204" t="s">
        <v>17553</v>
      </c>
      <c r="B1891" s="351" t="s">
        <v>21596</v>
      </c>
      <c r="C1891" s="352"/>
      <c r="D1891" s="353" t="s">
        <v>14859</v>
      </c>
      <c r="E1891" s="249">
        <f t="shared" si="508"/>
        <v>0</v>
      </c>
      <c r="F1891" s="336">
        <v>0</v>
      </c>
      <c r="G1891" s="258">
        <f t="shared" si="509"/>
        <v>0</v>
      </c>
      <c r="H1891" s="249">
        <f t="shared" si="510"/>
        <v>10.965704195176766</v>
      </c>
      <c r="I1891" s="336">
        <v>2.1226499232992045E-2</v>
      </c>
      <c r="J1891" s="258">
        <f t="shared" si="511"/>
        <v>2.1226499232992045E-2</v>
      </c>
      <c r="K1891" s="249">
        <f t="shared" si="512"/>
        <v>486.71754172294948</v>
      </c>
      <c r="L1891" s="336">
        <v>0.94214738444341384</v>
      </c>
      <c r="M1891" s="258">
        <f t="shared" si="513"/>
        <v>0.94214738444341384</v>
      </c>
      <c r="N1891" s="251">
        <f t="shared" si="514"/>
        <v>18.921215081873637</v>
      </c>
      <c r="O1891" s="336">
        <v>3.6626116323594117E-2</v>
      </c>
      <c r="P1891" s="258">
        <f t="shared" si="515"/>
        <v>3.6626116323594117E-2</v>
      </c>
      <c r="Q1891" s="354">
        <v>504.55799999999999</v>
      </c>
      <c r="R1891" s="249">
        <f t="shared" si="516"/>
        <v>516.6044609999999</v>
      </c>
      <c r="S1891" s="355">
        <v>0.1</v>
      </c>
      <c r="T1891" s="355"/>
      <c r="U1891" s="315">
        <f t="shared" si="506"/>
        <v>568.26490709999985</v>
      </c>
      <c r="V1891" s="315">
        <f t="shared" si="507"/>
        <v>570</v>
      </c>
      <c r="W1891" s="316">
        <f t="shared" si="518"/>
        <v>0</v>
      </c>
    </row>
    <row r="1892" spans="1:23" x14ac:dyDescent="0.25">
      <c r="A1892" s="204" t="s">
        <v>17554</v>
      </c>
      <c r="B1892" s="351" t="s">
        <v>21597</v>
      </c>
      <c r="C1892" s="352"/>
      <c r="D1892" s="353" t="s">
        <v>5</v>
      </c>
      <c r="E1892" s="249">
        <f t="shared" si="508"/>
        <v>0</v>
      </c>
      <c r="F1892" s="336">
        <v>0</v>
      </c>
      <c r="G1892" s="258">
        <f t="shared" si="509"/>
        <v>0</v>
      </c>
      <c r="H1892" s="249">
        <f t="shared" si="510"/>
        <v>6.3752829823791435E-2</v>
      </c>
      <c r="I1892" s="336">
        <v>2.1226499232992049E-2</v>
      </c>
      <c r="J1892" s="258">
        <f t="shared" si="511"/>
        <v>2.1226499232992049E-2</v>
      </c>
      <c r="K1892" s="249">
        <f t="shared" si="512"/>
        <v>2.8296375050772964</v>
      </c>
      <c r="L1892" s="336">
        <v>0.94212756511639884</v>
      </c>
      <c r="M1892" s="258">
        <f t="shared" si="513"/>
        <v>0.94212756511639884</v>
      </c>
      <c r="N1892" s="251">
        <f t="shared" si="514"/>
        <v>0.11000488283320874</v>
      </c>
      <c r="O1892" s="336">
        <v>3.6626116323594117E-2</v>
      </c>
      <c r="P1892" s="258">
        <f t="shared" si="515"/>
        <v>3.6626116323594117E-2</v>
      </c>
      <c r="Q1892" s="354">
        <v>2.9334767441860463</v>
      </c>
      <c r="R1892" s="249">
        <f t="shared" si="516"/>
        <v>3.0034547441860462</v>
      </c>
      <c r="S1892" s="355">
        <v>0.1</v>
      </c>
      <c r="T1892" s="355"/>
      <c r="U1892" s="315">
        <f t="shared" si="506"/>
        <v>3.3038002186046507</v>
      </c>
      <c r="V1892" s="315">
        <f t="shared" si="507"/>
        <v>4</v>
      </c>
      <c r="W1892" s="316">
        <f t="shared" si="518"/>
        <v>0</v>
      </c>
    </row>
    <row r="1893" spans="1:23" x14ac:dyDescent="0.25">
      <c r="A1893" s="204" t="s">
        <v>17555</v>
      </c>
      <c r="B1893" s="351" t="s">
        <v>21598</v>
      </c>
      <c r="C1893" s="352"/>
      <c r="D1893" s="353" t="s">
        <v>14859</v>
      </c>
      <c r="E1893" s="249">
        <f t="shared" si="508"/>
        <v>0</v>
      </c>
      <c r="F1893" s="336">
        <v>0</v>
      </c>
      <c r="G1893" s="258">
        <f t="shared" si="509"/>
        <v>0</v>
      </c>
      <c r="H1893" s="249">
        <f t="shared" si="510"/>
        <v>10.966698866265091</v>
      </c>
      <c r="I1893" s="336">
        <v>1.8070916959833969E-2</v>
      </c>
      <c r="J1893" s="258">
        <f t="shared" si="511"/>
        <v>1.8070916959833969E-2</v>
      </c>
      <c r="K1893" s="249">
        <f t="shared" si="512"/>
        <v>576.9804522566501</v>
      </c>
      <c r="L1893" s="336">
        <v>0.95074789299182494</v>
      </c>
      <c r="M1893" s="258">
        <f t="shared" si="513"/>
        <v>0.95074789299182494</v>
      </c>
      <c r="N1893" s="251">
        <f t="shared" si="514"/>
        <v>18.922931377084861</v>
      </c>
      <c r="O1893" s="336">
        <v>3.1181190048340964E-2</v>
      </c>
      <c r="P1893" s="258">
        <f t="shared" si="515"/>
        <v>3.1181190048340964E-2</v>
      </c>
      <c r="Q1893" s="354">
        <v>592.66500000000008</v>
      </c>
      <c r="R1893" s="249">
        <f t="shared" si="516"/>
        <v>606.87008250000008</v>
      </c>
      <c r="S1893" s="355">
        <v>0.1</v>
      </c>
      <c r="T1893" s="355"/>
      <c r="U1893" s="315">
        <f t="shared" ref="U1893:U1956" si="519">(R1893*S1893)+R1893</f>
        <v>667.55709075000004</v>
      </c>
      <c r="V1893" s="315">
        <f t="shared" ref="V1893:V1956" si="520">IF(U1893=0, 0, IF(U1893&lt;10, _xlfn.CEILING.MATH(U1893,1), IF(U1893&lt;100, _xlfn.CEILING.MATH(U1893,1),IF(U1893&lt;1000, _xlfn.CEILING.MATH(U1893,5), IF(U1893&lt;10000, _xlfn.CEILING.MATH(U1893, 25), IF(U1893&lt;100000, _xlfn.CEILING.MATH(U1893,250), IF(U1893&lt;1000000, _xlfn.CEILING.MATH(U1893,500), 0)))))))</f>
        <v>670</v>
      </c>
      <c r="W1893" s="316">
        <f t="shared" si="518"/>
        <v>0</v>
      </c>
    </row>
    <row r="1894" spans="1:23" x14ac:dyDescent="0.25">
      <c r="A1894" s="204" t="s">
        <v>17556</v>
      </c>
      <c r="B1894" s="351" t="s">
        <v>21599</v>
      </c>
      <c r="C1894" s="352"/>
      <c r="D1894" s="353" t="s">
        <v>5</v>
      </c>
      <c r="E1894" s="249">
        <f t="shared" si="508"/>
        <v>0</v>
      </c>
      <c r="F1894" s="336">
        <v>0</v>
      </c>
      <c r="G1894" s="258">
        <f t="shared" si="509"/>
        <v>0</v>
      </c>
      <c r="H1894" s="249">
        <f t="shared" si="510"/>
        <v>6.3758800754190909E-2</v>
      </c>
      <c r="I1894" s="336">
        <v>1.8070916959833969E-2</v>
      </c>
      <c r="J1894" s="258">
        <f t="shared" si="511"/>
        <v>1.8070916959833969E-2</v>
      </c>
      <c r="K1894" s="249">
        <f t="shared" si="512"/>
        <v>3.3544213507899334</v>
      </c>
      <c r="L1894" s="336">
        <v>0.9507310200534872</v>
      </c>
      <c r="M1894" s="258">
        <f t="shared" si="513"/>
        <v>0.9507310200534872</v>
      </c>
      <c r="N1894" s="251">
        <f t="shared" si="514"/>
        <v>0.11001518561507451</v>
      </c>
      <c r="O1894" s="336">
        <v>3.1181190048340964E-2</v>
      </c>
      <c r="P1894" s="258">
        <f t="shared" si="515"/>
        <v>3.1181190048340964E-2</v>
      </c>
      <c r="Q1894" s="354">
        <v>3.4457267441860471</v>
      </c>
      <c r="R1894" s="249">
        <f t="shared" si="516"/>
        <v>3.5282548691860467</v>
      </c>
      <c r="S1894" s="355">
        <v>0.1</v>
      </c>
      <c r="T1894" s="355"/>
      <c r="U1894" s="315">
        <f t="shared" si="519"/>
        <v>3.8810803561046514</v>
      </c>
      <c r="V1894" s="315">
        <f t="shared" si="520"/>
        <v>4</v>
      </c>
      <c r="W1894" s="316">
        <f t="shared" si="518"/>
        <v>0</v>
      </c>
    </row>
    <row r="1895" spans="1:23" x14ac:dyDescent="0.25">
      <c r="A1895" s="204" t="s">
        <v>17557</v>
      </c>
      <c r="B1895" s="351" t="s">
        <v>21600</v>
      </c>
      <c r="C1895" s="352"/>
      <c r="D1895" s="353" t="s">
        <v>14859</v>
      </c>
      <c r="E1895" s="249">
        <f t="shared" si="508"/>
        <v>0</v>
      </c>
      <c r="F1895" s="336">
        <v>0</v>
      </c>
      <c r="G1895" s="258">
        <f t="shared" si="509"/>
        <v>0</v>
      </c>
      <c r="H1895" s="249">
        <f t="shared" si="510"/>
        <v>10.966870755269952</v>
      </c>
      <c r="I1895" s="336">
        <v>1.7525601123209396E-2</v>
      </c>
      <c r="J1895" s="258">
        <f t="shared" si="511"/>
        <v>1.7525601123209396E-2</v>
      </c>
      <c r="K1895" s="249">
        <f t="shared" si="512"/>
        <v>595.87278827485227</v>
      </c>
      <c r="L1895" s="336">
        <v>0.95223414595831157</v>
      </c>
      <c r="M1895" s="258">
        <f t="shared" si="513"/>
        <v>0.95223414595831157</v>
      </c>
      <c r="N1895" s="251">
        <f t="shared" si="514"/>
        <v>18.923227969877562</v>
      </c>
      <c r="O1895" s="336">
        <v>3.0240252918478955E-2</v>
      </c>
      <c r="P1895" s="258">
        <f t="shared" si="515"/>
        <v>3.0240252918478955E-2</v>
      </c>
      <c r="Q1895" s="354">
        <v>611.10599999999999</v>
      </c>
      <c r="R1895" s="249">
        <f t="shared" si="516"/>
        <v>625.76288699999986</v>
      </c>
      <c r="S1895" s="355">
        <v>0.1</v>
      </c>
      <c r="T1895" s="355"/>
      <c r="U1895" s="315">
        <f t="shared" si="519"/>
        <v>688.33917569999983</v>
      </c>
      <c r="V1895" s="315">
        <f t="shared" si="520"/>
        <v>690</v>
      </c>
      <c r="W1895" s="316">
        <f t="shared" si="518"/>
        <v>0</v>
      </c>
    </row>
    <row r="1896" spans="1:23" x14ac:dyDescent="0.25">
      <c r="A1896" s="204" t="s">
        <v>17558</v>
      </c>
      <c r="B1896" s="351" t="s">
        <v>21601</v>
      </c>
      <c r="C1896" s="352"/>
      <c r="D1896" s="353" t="s">
        <v>5</v>
      </c>
      <c r="E1896" s="249">
        <f t="shared" si="508"/>
        <v>0</v>
      </c>
      <c r="F1896" s="336">
        <v>0</v>
      </c>
      <c r="G1896" s="258">
        <f t="shared" si="509"/>
        <v>0</v>
      </c>
      <c r="H1896" s="249">
        <f t="shared" si="510"/>
        <v>6.375983259003748E-2</v>
      </c>
      <c r="I1896" s="336">
        <v>1.7525601123209396E-2</v>
      </c>
      <c r="J1896" s="258">
        <f t="shared" si="511"/>
        <v>1.7525601123209396E-2</v>
      </c>
      <c r="K1896" s="249">
        <f t="shared" si="512"/>
        <v>3.4642604241959236</v>
      </c>
      <c r="L1896" s="336">
        <v>0.95221778218508735</v>
      </c>
      <c r="M1896" s="258">
        <f t="shared" si="513"/>
        <v>0.95221778218508735</v>
      </c>
      <c r="N1896" s="251">
        <f t="shared" si="514"/>
        <v>0.11001696603771172</v>
      </c>
      <c r="O1896" s="336">
        <v>3.0240252918478955E-2</v>
      </c>
      <c r="P1896" s="258">
        <f t="shared" si="515"/>
        <v>3.0240252918478955E-2</v>
      </c>
      <c r="Q1896" s="354">
        <v>3.5529418604651162</v>
      </c>
      <c r="R1896" s="249">
        <f t="shared" si="516"/>
        <v>3.6380967558139532</v>
      </c>
      <c r="S1896" s="355">
        <v>0.1</v>
      </c>
      <c r="T1896" s="355"/>
      <c r="U1896" s="315">
        <f t="shared" si="519"/>
        <v>4.0019064313953487</v>
      </c>
      <c r="V1896" s="315">
        <f t="shared" si="520"/>
        <v>5</v>
      </c>
      <c r="W1896" s="316">
        <f t="shared" si="518"/>
        <v>0</v>
      </c>
    </row>
    <row r="1897" spans="1:23" x14ac:dyDescent="0.25">
      <c r="A1897" s="204" t="s">
        <v>17559</v>
      </c>
      <c r="B1897" s="351" t="s">
        <v>21602</v>
      </c>
      <c r="C1897" s="352"/>
      <c r="D1897" s="353" t="s">
        <v>14859</v>
      </c>
      <c r="E1897" s="249">
        <f t="shared" si="508"/>
        <v>0</v>
      </c>
      <c r="F1897" s="336">
        <v>0</v>
      </c>
      <c r="G1897" s="258">
        <f t="shared" si="509"/>
        <v>0</v>
      </c>
      <c r="H1897" s="249">
        <f t="shared" si="510"/>
        <v>10.967152025112988</v>
      </c>
      <c r="I1897" s="336">
        <v>1.6633275870102038E-2</v>
      </c>
      <c r="J1897" s="258">
        <f t="shared" si="511"/>
        <v>1.6633275870102038E-2</v>
      </c>
      <c r="K1897" s="249">
        <f t="shared" si="512"/>
        <v>629.45922967665274</v>
      </c>
      <c r="L1897" s="336">
        <v>0.95466616968736884</v>
      </c>
      <c r="M1897" s="258">
        <f t="shared" si="513"/>
        <v>0.95466616968736884</v>
      </c>
      <c r="N1897" s="251">
        <f t="shared" si="514"/>
        <v>18.923713298234173</v>
      </c>
      <c r="O1897" s="336">
        <v>2.8700554442529006E-2</v>
      </c>
      <c r="P1897" s="258">
        <f t="shared" si="515"/>
        <v>2.8700554442529006E-2</v>
      </c>
      <c r="Q1897" s="354">
        <v>643.89</v>
      </c>
      <c r="R1897" s="249">
        <f t="shared" si="516"/>
        <v>659.35009500000001</v>
      </c>
      <c r="S1897" s="355">
        <v>0.1</v>
      </c>
      <c r="T1897" s="355"/>
      <c r="U1897" s="315">
        <f t="shared" si="519"/>
        <v>725.28510449999999</v>
      </c>
      <c r="V1897" s="315">
        <f t="shared" si="520"/>
        <v>730</v>
      </c>
      <c r="W1897" s="316">
        <f t="shared" si="518"/>
        <v>0</v>
      </c>
    </row>
    <row r="1898" spans="1:23" x14ac:dyDescent="0.25">
      <c r="A1898" s="204" t="s">
        <v>17560</v>
      </c>
      <c r="B1898" s="351" t="s">
        <v>21603</v>
      </c>
      <c r="C1898" s="352"/>
      <c r="D1898" s="353" t="s">
        <v>5</v>
      </c>
      <c r="E1898" s="249">
        <f t="shared" si="508"/>
        <v>0</v>
      </c>
      <c r="F1898" s="336">
        <v>0</v>
      </c>
      <c r="G1898" s="258">
        <f t="shared" si="509"/>
        <v>0</v>
      </c>
      <c r="H1898" s="249">
        <f t="shared" si="510"/>
        <v>6.3761521030242421E-2</v>
      </c>
      <c r="I1898" s="336">
        <v>1.6633275870102038E-2</v>
      </c>
      <c r="J1898" s="258">
        <f t="shared" si="511"/>
        <v>1.6633275870102038E-2</v>
      </c>
      <c r="K1898" s="249">
        <f t="shared" si="512"/>
        <v>3.6595302859084695</v>
      </c>
      <c r="L1898" s="336">
        <v>0.95465063908431558</v>
      </c>
      <c r="M1898" s="258">
        <f t="shared" si="513"/>
        <v>0.95465063908431558</v>
      </c>
      <c r="N1898" s="251">
        <f t="shared" si="514"/>
        <v>0.11001987942473201</v>
      </c>
      <c r="O1898" s="336">
        <v>2.8700554442529003E-2</v>
      </c>
      <c r="P1898" s="258">
        <f t="shared" si="515"/>
        <v>2.8700554442529003E-2</v>
      </c>
      <c r="Q1898" s="354">
        <v>3.743546511627907</v>
      </c>
      <c r="R1898" s="249">
        <f t="shared" si="516"/>
        <v>3.8333712209302324</v>
      </c>
      <c r="S1898" s="355">
        <v>0.1</v>
      </c>
      <c r="T1898" s="355"/>
      <c r="U1898" s="315">
        <f t="shared" si="519"/>
        <v>4.2167083430232557</v>
      </c>
      <c r="V1898" s="315">
        <f t="shared" si="520"/>
        <v>5</v>
      </c>
      <c r="W1898" s="316">
        <f t="shared" si="518"/>
        <v>0</v>
      </c>
    </row>
    <row r="1899" spans="1:23" x14ac:dyDescent="0.25">
      <c r="A1899" s="204" t="s">
        <v>17561</v>
      </c>
      <c r="B1899" s="351" t="s">
        <v>21604</v>
      </c>
      <c r="C1899" s="352"/>
      <c r="D1899" s="353" t="s">
        <v>14859</v>
      </c>
      <c r="E1899" s="249">
        <f t="shared" si="508"/>
        <v>0</v>
      </c>
      <c r="F1899" s="336">
        <v>0</v>
      </c>
      <c r="G1899" s="258">
        <f t="shared" si="509"/>
        <v>0</v>
      </c>
      <c r="H1899" s="249">
        <f t="shared" si="510"/>
        <v>10.969287793476882</v>
      </c>
      <c r="I1899" s="336">
        <v>9.8575759751268789E-3</v>
      </c>
      <c r="J1899" s="258">
        <f t="shared" si="511"/>
        <v>9.8575759751268789E-3</v>
      </c>
      <c r="K1899" s="249">
        <f t="shared" si="512"/>
        <v>1082.8807166609161</v>
      </c>
      <c r="L1899" s="336">
        <v>0.97313327332269339</v>
      </c>
      <c r="M1899" s="258">
        <f t="shared" si="513"/>
        <v>0.97313327332269339</v>
      </c>
      <c r="N1899" s="251">
        <f t="shared" si="514"/>
        <v>18.927398545607169</v>
      </c>
      <c r="O1899" s="336">
        <v>1.7009150702179714E-2</v>
      </c>
      <c r="P1899" s="258">
        <f t="shared" si="515"/>
        <v>1.7009150702179714E-2</v>
      </c>
      <c r="Q1899" s="354">
        <v>1086.4739999999999</v>
      </c>
      <c r="R1899" s="249">
        <f t="shared" si="516"/>
        <v>1112.777403</v>
      </c>
      <c r="S1899" s="355">
        <v>0.1</v>
      </c>
      <c r="T1899" s="355"/>
      <c r="U1899" s="315">
        <f t="shared" si="519"/>
        <v>1224.0551433000001</v>
      </c>
      <c r="V1899" s="315">
        <f t="shared" si="520"/>
        <v>1225</v>
      </c>
      <c r="W1899" s="316">
        <f t="shared" si="518"/>
        <v>0</v>
      </c>
    </row>
    <row r="1900" spans="1:23" ht="14.4" thickBot="1" x14ac:dyDescent="0.3">
      <c r="A1900" s="356" t="s">
        <v>17562</v>
      </c>
      <c r="B1900" s="357" t="s">
        <v>21605</v>
      </c>
      <c r="C1900" s="358"/>
      <c r="D1900" s="359" t="s">
        <v>5</v>
      </c>
      <c r="E1900" s="266">
        <f t="shared" si="508"/>
        <v>0</v>
      </c>
      <c r="F1900" s="360">
        <v>0</v>
      </c>
      <c r="G1900" s="322">
        <f t="shared" si="509"/>
        <v>0</v>
      </c>
      <c r="H1900" s="266">
        <f t="shared" si="510"/>
        <v>6.3774341875645443E-2</v>
      </c>
      <c r="I1900" s="360">
        <v>9.8575759751268806E-3</v>
      </c>
      <c r="J1900" s="322">
        <f t="shared" si="511"/>
        <v>9.8575759751268806E-3</v>
      </c>
      <c r="K1900" s="266">
        <f t="shared" si="512"/>
        <v>6.2957006099188746</v>
      </c>
      <c r="L1900" s="360">
        <v>0.9731240692368156</v>
      </c>
      <c r="M1900" s="322">
        <f t="shared" si="513"/>
        <v>0.9731240692368156</v>
      </c>
      <c r="N1900" s="270">
        <f t="shared" si="514"/>
        <v>0.11004200166778037</v>
      </c>
      <c r="O1900" s="360">
        <v>1.7009150702179714E-2</v>
      </c>
      <c r="P1900" s="322">
        <f t="shared" si="515"/>
        <v>1.7009150702179714E-2</v>
      </c>
      <c r="Q1900" s="361">
        <v>6.3167093023255809</v>
      </c>
      <c r="R1900" s="266">
        <f t="shared" si="516"/>
        <v>6.4695764999999996</v>
      </c>
      <c r="S1900" s="362">
        <v>0.1</v>
      </c>
      <c r="T1900" s="362"/>
      <c r="U1900" s="324">
        <f t="shared" si="519"/>
        <v>7.1165341499999997</v>
      </c>
      <c r="V1900" s="324">
        <f t="shared" si="520"/>
        <v>8</v>
      </c>
      <c r="W1900" s="325">
        <f t="shared" si="518"/>
        <v>0</v>
      </c>
    </row>
    <row r="1901" spans="1:23" x14ac:dyDescent="0.25">
      <c r="A1901" s="204" t="s">
        <v>17563</v>
      </c>
      <c r="B1901" s="351" t="s">
        <v>21606</v>
      </c>
      <c r="C1901" s="352"/>
      <c r="D1901" s="353" t="s">
        <v>14859</v>
      </c>
      <c r="E1901" s="249">
        <f t="shared" si="508"/>
        <v>0</v>
      </c>
      <c r="F1901" s="336">
        <v>0</v>
      </c>
      <c r="G1901" s="258">
        <f t="shared" si="509"/>
        <v>0</v>
      </c>
      <c r="H1901" s="249">
        <f t="shared" si="510"/>
        <v>10.969624768975031</v>
      </c>
      <c r="I1901" s="336">
        <v>8.7885251894641095E-3</v>
      </c>
      <c r="J1901" s="258">
        <f t="shared" si="511"/>
        <v>8.7885251894641095E-3</v>
      </c>
      <c r="K1901" s="249">
        <f t="shared" si="512"/>
        <v>1218.2782304874993</v>
      </c>
      <c r="L1901" s="336">
        <v>0.97604696075812714</v>
      </c>
      <c r="M1901" s="258">
        <f t="shared" si="513"/>
        <v>0.97604696075812714</v>
      </c>
      <c r="N1901" s="251">
        <f t="shared" si="514"/>
        <v>18.92797999352554</v>
      </c>
      <c r="O1901" s="336">
        <v>1.5164514052408658E-2</v>
      </c>
      <c r="P1901" s="258">
        <f t="shared" si="515"/>
        <v>1.5164514052408658E-2</v>
      </c>
      <c r="Q1901" s="354">
        <v>1218.6345000000001</v>
      </c>
      <c r="R1901" s="249">
        <f t="shared" si="516"/>
        <v>1248.1758352500001</v>
      </c>
      <c r="S1901" s="355">
        <v>0.1</v>
      </c>
      <c r="T1901" s="355"/>
      <c r="U1901" s="315">
        <f t="shared" si="519"/>
        <v>1372.993418775</v>
      </c>
      <c r="V1901" s="315">
        <f t="shared" si="520"/>
        <v>1375</v>
      </c>
      <c r="W1901" s="316">
        <f t="shared" si="518"/>
        <v>0</v>
      </c>
    </row>
    <row r="1902" spans="1:23" x14ac:dyDescent="0.25">
      <c r="A1902" s="204" t="s">
        <v>17564</v>
      </c>
      <c r="B1902" s="351" t="s">
        <v>21607</v>
      </c>
      <c r="C1902" s="352"/>
      <c r="D1902" s="353" t="s">
        <v>5</v>
      </c>
      <c r="E1902" s="249">
        <f t="shared" si="508"/>
        <v>0</v>
      </c>
      <c r="F1902" s="336">
        <v>0</v>
      </c>
      <c r="G1902" s="258">
        <f t="shared" si="509"/>
        <v>0</v>
      </c>
      <c r="H1902" s="249">
        <f t="shared" si="510"/>
        <v>6.3776364712409675E-2</v>
      </c>
      <c r="I1902" s="336">
        <v>8.7885251894641095E-3</v>
      </c>
      <c r="J1902" s="258">
        <f t="shared" si="511"/>
        <v>8.7885251894641095E-3</v>
      </c>
      <c r="K1902" s="249">
        <f t="shared" si="512"/>
        <v>7.0828952823083693</v>
      </c>
      <c r="L1902" s="336">
        <v>0.97603875485225466</v>
      </c>
      <c r="M1902" s="258">
        <f t="shared" si="513"/>
        <v>0.97603875485225466</v>
      </c>
      <c r="N1902" s="251">
        <f t="shared" si="514"/>
        <v>0.1100454920527853</v>
      </c>
      <c r="O1902" s="336">
        <v>1.5164514052408656E-2</v>
      </c>
      <c r="P1902" s="258">
        <f t="shared" si="515"/>
        <v>1.5164514052408656E-2</v>
      </c>
      <c r="Q1902" s="354">
        <v>7.0850843023255825</v>
      </c>
      <c r="R1902" s="249">
        <f t="shared" si="516"/>
        <v>7.2567766875000004</v>
      </c>
      <c r="S1902" s="355">
        <v>0.1</v>
      </c>
      <c r="T1902" s="355"/>
      <c r="U1902" s="315">
        <f t="shared" si="519"/>
        <v>7.9824543562500008</v>
      </c>
      <c r="V1902" s="315">
        <f t="shared" si="520"/>
        <v>8</v>
      </c>
      <c r="W1902" s="316">
        <f t="shared" si="518"/>
        <v>0</v>
      </c>
    </row>
    <row r="1903" spans="1:23" x14ac:dyDescent="0.25">
      <c r="A1903" s="204" t="s">
        <v>17565</v>
      </c>
      <c r="B1903" s="351" t="s">
        <v>21608</v>
      </c>
      <c r="C1903" s="352"/>
      <c r="D1903" s="353" t="s">
        <v>14859</v>
      </c>
      <c r="E1903" s="249">
        <f t="shared" si="508"/>
        <v>0</v>
      </c>
      <c r="F1903" s="336">
        <v>0</v>
      </c>
      <c r="G1903" s="258">
        <f t="shared" si="509"/>
        <v>0</v>
      </c>
      <c r="H1903" s="249">
        <f t="shared" si="510"/>
        <v>10.9700554995842</v>
      </c>
      <c r="I1903" s="336">
        <v>7.4220374220374226E-3</v>
      </c>
      <c r="J1903" s="258">
        <f t="shared" si="511"/>
        <v>7.4220374220374226E-3</v>
      </c>
      <c r="K1903" s="249">
        <f t="shared" si="512"/>
        <v>1448.139511285447</v>
      </c>
      <c r="L1903" s="336">
        <v>0.97977130977130977</v>
      </c>
      <c r="M1903" s="258">
        <f t="shared" si="513"/>
        <v>0.97977130977130977</v>
      </c>
      <c r="N1903" s="251">
        <f t="shared" si="514"/>
        <v>18.928723214968816</v>
      </c>
      <c r="O1903" s="336">
        <v>1.2806652806652807E-2</v>
      </c>
      <c r="P1903" s="258">
        <f t="shared" si="515"/>
        <v>1.2806652806652807E-2</v>
      </c>
      <c r="Q1903" s="354">
        <v>1443</v>
      </c>
      <c r="R1903" s="249">
        <f t="shared" si="516"/>
        <v>1478.03829</v>
      </c>
      <c r="S1903" s="355">
        <v>0.1</v>
      </c>
      <c r="T1903" s="355"/>
      <c r="U1903" s="315">
        <f t="shared" si="519"/>
        <v>1625.8421189999999</v>
      </c>
      <c r="V1903" s="315">
        <f t="shared" si="520"/>
        <v>1650</v>
      </c>
      <c r="W1903" s="316">
        <f t="shared" si="518"/>
        <v>0</v>
      </c>
    </row>
    <row r="1904" spans="1:23" x14ac:dyDescent="0.25">
      <c r="A1904" s="204" t="s">
        <v>17566</v>
      </c>
      <c r="B1904" s="351" t="s">
        <v>21609</v>
      </c>
      <c r="C1904" s="352"/>
      <c r="D1904" s="353" t="s">
        <v>5</v>
      </c>
      <c r="E1904" s="249">
        <f t="shared" si="508"/>
        <v>0</v>
      </c>
      <c r="F1904" s="336">
        <v>0</v>
      </c>
      <c r="G1904" s="258">
        <f t="shared" si="509"/>
        <v>0</v>
      </c>
      <c r="H1904" s="249">
        <f t="shared" si="510"/>
        <v>6.3778950353551231E-2</v>
      </c>
      <c r="I1904" s="336">
        <v>7.4220374220374226E-3</v>
      </c>
      <c r="J1904" s="258">
        <f t="shared" si="511"/>
        <v>7.4220374220374226E-3</v>
      </c>
      <c r="K1904" s="249">
        <f t="shared" si="512"/>
        <v>8.4192978533940916</v>
      </c>
      <c r="L1904" s="336">
        <v>0.9797643797643798</v>
      </c>
      <c r="M1904" s="258">
        <f t="shared" si="513"/>
        <v>0.9797643797643798</v>
      </c>
      <c r="N1904" s="251">
        <f t="shared" si="514"/>
        <v>0.11004995355122564</v>
      </c>
      <c r="O1904" s="336">
        <v>1.2806652806652807E-2</v>
      </c>
      <c r="P1904" s="258">
        <f t="shared" si="515"/>
        <v>1.2806652806652807E-2</v>
      </c>
      <c r="Q1904" s="354">
        <v>8.3895348837209305</v>
      </c>
      <c r="R1904" s="249">
        <f t="shared" si="516"/>
        <v>8.5931863081395345</v>
      </c>
      <c r="S1904" s="355">
        <v>0.1</v>
      </c>
      <c r="T1904" s="355"/>
      <c r="U1904" s="315">
        <f t="shared" si="519"/>
        <v>9.4525049389534885</v>
      </c>
      <c r="V1904" s="315">
        <f t="shared" si="520"/>
        <v>10</v>
      </c>
      <c r="W1904" s="316">
        <f t="shared" si="518"/>
        <v>0</v>
      </c>
    </row>
    <row r="1905" spans="1:23" x14ac:dyDescent="0.25">
      <c r="A1905" s="204" t="s">
        <v>17567</v>
      </c>
      <c r="B1905" s="351" t="s">
        <v>21610</v>
      </c>
      <c r="C1905" s="352"/>
      <c r="D1905" s="353" t="s">
        <v>14859</v>
      </c>
      <c r="E1905" s="249">
        <f t="shared" si="508"/>
        <v>0</v>
      </c>
      <c r="F1905" s="336">
        <v>0</v>
      </c>
      <c r="G1905" s="258">
        <f t="shared" si="509"/>
        <v>0</v>
      </c>
      <c r="H1905" s="249">
        <f t="shared" si="510"/>
        <v>10.970686324212702</v>
      </c>
      <c r="I1905" s="336">
        <v>5.4207537429013944E-3</v>
      </c>
      <c r="J1905" s="258">
        <f t="shared" si="511"/>
        <v>5.4207537429013944E-3</v>
      </c>
      <c r="K1905" s="249">
        <f t="shared" si="512"/>
        <v>1993.9299219791064</v>
      </c>
      <c r="L1905" s="336">
        <v>0.98522578881836675</v>
      </c>
      <c r="M1905" s="258">
        <f t="shared" si="513"/>
        <v>0.98522578881836675</v>
      </c>
      <c r="N1905" s="251">
        <f t="shared" si="514"/>
        <v>18.929811696680737</v>
      </c>
      <c r="O1905" s="336">
        <v>9.3534574387318173E-3</v>
      </c>
      <c r="P1905" s="258">
        <f t="shared" si="515"/>
        <v>9.3534574387318173E-3</v>
      </c>
      <c r="Q1905" s="354">
        <v>1975.74</v>
      </c>
      <c r="R1905" s="249">
        <f t="shared" si="516"/>
        <v>2023.83042</v>
      </c>
      <c r="S1905" s="355">
        <v>0.1</v>
      </c>
      <c r="T1905" s="355"/>
      <c r="U1905" s="315">
        <f t="shared" si="519"/>
        <v>2226.2134620000002</v>
      </c>
      <c r="V1905" s="315">
        <f t="shared" si="520"/>
        <v>2250</v>
      </c>
      <c r="W1905" s="316">
        <f t="shared" si="518"/>
        <v>0</v>
      </c>
    </row>
    <row r="1906" spans="1:23" x14ac:dyDescent="0.25">
      <c r="A1906" s="204" t="s">
        <v>17568</v>
      </c>
      <c r="B1906" s="351" t="s">
        <v>21611</v>
      </c>
      <c r="C1906" s="352"/>
      <c r="D1906" s="353" t="s">
        <v>5</v>
      </c>
      <c r="E1906" s="249">
        <f t="shared" si="508"/>
        <v>0</v>
      </c>
      <c r="F1906" s="336">
        <v>0</v>
      </c>
      <c r="G1906" s="258">
        <f t="shared" si="509"/>
        <v>0</v>
      </c>
      <c r="H1906" s="249">
        <f t="shared" si="510"/>
        <v>6.3782737142968629E-2</v>
      </c>
      <c r="I1906" s="336">
        <v>5.4207537429013944E-3</v>
      </c>
      <c r="J1906" s="258">
        <f t="shared" si="511"/>
        <v>5.4207537429013944E-3</v>
      </c>
      <c r="K1906" s="249">
        <f t="shared" si="512"/>
        <v>11.592497587140443</v>
      </c>
      <c r="L1906" s="336">
        <v>0.98522072742364886</v>
      </c>
      <c r="M1906" s="258">
        <f t="shared" si="513"/>
        <v>0.98522072742364886</v>
      </c>
      <c r="N1906" s="251">
        <f t="shared" si="514"/>
        <v>0.11005648761923997</v>
      </c>
      <c r="O1906" s="336">
        <v>9.3534574387318156E-3</v>
      </c>
      <c r="P1906" s="258">
        <f t="shared" si="515"/>
        <v>9.3534574387318156E-3</v>
      </c>
      <c r="Q1906" s="354">
        <v>11.48686046511628</v>
      </c>
      <c r="R1906" s="249">
        <f t="shared" si="516"/>
        <v>11.76639636627907</v>
      </c>
      <c r="S1906" s="355">
        <v>0.1</v>
      </c>
      <c r="T1906" s="355"/>
      <c r="U1906" s="315">
        <f t="shared" si="519"/>
        <v>12.943036002906977</v>
      </c>
      <c r="V1906" s="315">
        <f t="shared" si="520"/>
        <v>13</v>
      </c>
      <c r="W1906" s="316">
        <f t="shared" si="518"/>
        <v>0</v>
      </c>
    </row>
    <row r="1907" spans="1:23" x14ac:dyDescent="0.25">
      <c r="A1907" s="204" t="s">
        <v>17569</v>
      </c>
      <c r="B1907" s="351" t="s">
        <v>21612</v>
      </c>
      <c r="C1907" s="352"/>
      <c r="D1907" s="353" t="s">
        <v>14859</v>
      </c>
      <c r="E1907" s="249">
        <f t="shared" si="508"/>
        <v>0</v>
      </c>
      <c r="F1907" s="336">
        <v>0</v>
      </c>
      <c r="G1907" s="258">
        <f t="shared" si="509"/>
        <v>0</v>
      </c>
      <c r="H1907" s="249">
        <f t="shared" si="510"/>
        <v>10.970923500647288</v>
      </c>
      <c r="I1907" s="336">
        <v>4.668314307010318E-3</v>
      </c>
      <c r="J1907" s="258">
        <f t="shared" si="511"/>
        <v>4.668314307010318E-3</v>
      </c>
      <c r="K1907" s="249">
        <f t="shared" si="512"/>
        <v>2320.1813005570593</v>
      </c>
      <c r="L1907" s="336">
        <v>0.98727655512403067</v>
      </c>
      <c r="M1907" s="258">
        <f t="shared" si="513"/>
        <v>0.98727655512403067</v>
      </c>
      <c r="N1907" s="251">
        <f t="shared" si="514"/>
        <v>18.93022094229336</v>
      </c>
      <c r="O1907" s="336">
        <v>8.0551305689589795E-3</v>
      </c>
      <c r="P1907" s="258">
        <f t="shared" si="515"/>
        <v>8.0551305689589795E-3</v>
      </c>
      <c r="Q1907" s="354">
        <v>2294.19</v>
      </c>
      <c r="R1907" s="249">
        <f t="shared" si="516"/>
        <v>2350.082445</v>
      </c>
      <c r="S1907" s="355">
        <v>0.1</v>
      </c>
      <c r="T1907" s="355"/>
      <c r="U1907" s="315">
        <f t="shared" si="519"/>
        <v>2585.0906894999998</v>
      </c>
      <c r="V1907" s="315">
        <f t="shared" si="520"/>
        <v>2600</v>
      </c>
      <c r="W1907" s="316">
        <f t="shared" si="518"/>
        <v>0</v>
      </c>
    </row>
    <row r="1908" spans="1:23" x14ac:dyDescent="0.25">
      <c r="A1908" s="204" t="s">
        <v>17570</v>
      </c>
      <c r="B1908" s="351" t="s">
        <v>21613</v>
      </c>
      <c r="C1908" s="352"/>
      <c r="D1908" s="353" t="s">
        <v>5</v>
      </c>
      <c r="E1908" s="249">
        <f t="shared" si="508"/>
        <v>0</v>
      </c>
      <c r="F1908" s="336">
        <v>0</v>
      </c>
      <c r="G1908" s="258">
        <f t="shared" si="509"/>
        <v>0</v>
      </c>
      <c r="H1908" s="249">
        <f t="shared" si="510"/>
        <v>6.378416089399544E-2</v>
      </c>
      <c r="I1908" s="336">
        <v>4.668314307010318E-3</v>
      </c>
      <c r="J1908" s="258">
        <f t="shared" si="511"/>
        <v>4.668314307010318E-3</v>
      </c>
      <c r="K1908" s="249">
        <f t="shared" si="512"/>
        <v>13.489307804228826</v>
      </c>
      <c r="L1908" s="336">
        <v>0.98727219628714291</v>
      </c>
      <c r="M1908" s="258">
        <f t="shared" si="513"/>
        <v>0.98727219628714291</v>
      </c>
      <c r="N1908" s="251">
        <f t="shared" si="514"/>
        <v>0.11005894428767839</v>
      </c>
      <c r="O1908" s="336">
        <v>8.0551305689589795E-3</v>
      </c>
      <c r="P1908" s="258">
        <f t="shared" si="515"/>
        <v>8.0551305689589795E-3</v>
      </c>
      <c r="Q1908" s="354">
        <v>13.338313953488372</v>
      </c>
      <c r="R1908" s="249">
        <f t="shared" si="516"/>
        <v>13.663210465116281</v>
      </c>
      <c r="S1908" s="355">
        <v>0.1</v>
      </c>
      <c r="T1908" s="355"/>
      <c r="U1908" s="315">
        <f t="shared" si="519"/>
        <v>15.029531511627908</v>
      </c>
      <c r="V1908" s="315">
        <f t="shared" si="520"/>
        <v>16</v>
      </c>
      <c r="W1908" s="316">
        <f t="shared" si="518"/>
        <v>0</v>
      </c>
    </row>
    <row r="1909" spans="1:23" x14ac:dyDescent="0.25">
      <c r="A1909" s="204" t="s">
        <v>17571</v>
      </c>
      <c r="B1909" s="351" t="s">
        <v>21614</v>
      </c>
      <c r="C1909" s="352"/>
      <c r="D1909" s="353" t="s">
        <v>14859</v>
      </c>
      <c r="E1909" s="249">
        <f t="shared" si="508"/>
        <v>0</v>
      </c>
      <c r="F1909" s="336">
        <v>0</v>
      </c>
      <c r="G1909" s="258">
        <f t="shared" si="509"/>
        <v>0</v>
      </c>
      <c r="H1909" s="249">
        <f t="shared" si="510"/>
        <v>10.971271325133857</v>
      </c>
      <c r="I1909" s="336">
        <v>3.5648452337919373E-3</v>
      </c>
      <c r="J1909" s="258">
        <f t="shared" si="511"/>
        <v>3.5648452337919373E-3</v>
      </c>
      <c r="K1909" s="249">
        <f t="shared" si="512"/>
        <v>3047.7269785648309</v>
      </c>
      <c r="L1909" s="336">
        <v>0.9902840492647631</v>
      </c>
      <c r="M1909" s="258">
        <f t="shared" si="513"/>
        <v>0.9902840492647631</v>
      </c>
      <c r="N1909" s="251">
        <f t="shared" si="514"/>
        <v>18.930821110034891</v>
      </c>
      <c r="O1909" s="336">
        <v>6.1511055014449112E-3</v>
      </c>
      <c r="P1909" s="258">
        <f t="shared" si="515"/>
        <v>6.1511055014449112E-3</v>
      </c>
      <c r="Q1909" s="354">
        <v>3004.3379999999997</v>
      </c>
      <c r="R1909" s="249">
        <f t="shared" si="516"/>
        <v>3077.6290709999998</v>
      </c>
      <c r="S1909" s="355">
        <v>0.1</v>
      </c>
      <c r="T1909" s="355"/>
      <c r="U1909" s="315">
        <f t="shared" si="519"/>
        <v>3385.3919781</v>
      </c>
      <c r="V1909" s="315">
        <f t="shared" si="520"/>
        <v>3400</v>
      </c>
      <c r="W1909" s="316">
        <f t="shared" si="518"/>
        <v>0</v>
      </c>
    </row>
    <row r="1910" spans="1:23" x14ac:dyDescent="0.25">
      <c r="A1910" s="204" t="s">
        <v>17572</v>
      </c>
      <c r="B1910" s="351" t="s">
        <v>21615</v>
      </c>
      <c r="C1910" s="352"/>
      <c r="D1910" s="353" t="s">
        <v>5</v>
      </c>
      <c r="E1910" s="249">
        <f t="shared" si="508"/>
        <v>0</v>
      </c>
      <c r="F1910" s="336">
        <v>0</v>
      </c>
      <c r="G1910" s="258">
        <f t="shared" si="509"/>
        <v>0</v>
      </c>
      <c r="H1910" s="249">
        <f t="shared" si="510"/>
        <v>6.3786248856362998E-2</v>
      </c>
      <c r="I1910" s="336">
        <v>3.5648452337919377E-3</v>
      </c>
      <c r="J1910" s="258">
        <f t="shared" si="511"/>
        <v>3.5648452337919377E-3</v>
      </c>
      <c r="K1910" s="249">
        <f t="shared" si="512"/>
        <v>17.719224355744355</v>
      </c>
      <c r="L1910" s="336">
        <v>0.99028072074447016</v>
      </c>
      <c r="M1910" s="258">
        <f t="shared" si="513"/>
        <v>0.99028072074447016</v>
      </c>
      <c r="N1910" s="251">
        <f t="shared" si="514"/>
        <v>0.1100625470462734</v>
      </c>
      <c r="O1910" s="336">
        <v>6.1511055014449112E-3</v>
      </c>
      <c r="P1910" s="258">
        <f t="shared" si="515"/>
        <v>6.1511055014449112E-3</v>
      </c>
      <c r="Q1910" s="354">
        <v>17.467081395348835</v>
      </c>
      <c r="R1910" s="249">
        <f t="shared" si="516"/>
        <v>17.893132709302321</v>
      </c>
      <c r="S1910" s="355">
        <v>0.1</v>
      </c>
      <c r="T1910" s="355"/>
      <c r="U1910" s="315">
        <f t="shared" si="519"/>
        <v>19.682445980232554</v>
      </c>
      <c r="V1910" s="315">
        <f t="shared" si="520"/>
        <v>20</v>
      </c>
      <c r="W1910" s="316">
        <f t="shared" si="518"/>
        <v>0</v>
      </c>
    </row>
    <row r="1911" spans="1:23" x14ac:dyDescent="0.25">
      <c r="A1911" s="203" t="s">
        <v>17573</v>
      </c>
      <c r="B1911" s="345" t="s">
        <v>17574</v>
      </c>
      <c r="C1911" s="346"/>
      <c r="D1911" s="347"/>
      <c r="E1911" s="347"/>
      <c r="F1911" s="347"/>
      <c r="G1911" s="347"/>
      <c r="H1911" s="347"/>
      <c r="I1911" s="347"/>
      <c r="J1911" s="347"/>
      <c r="K1911" s="347"/>
      <c r="L1911" s="347"/>
      <c r="M1911" s="347"/>
      <c r="N1911" s="347"/>
      <c r="O1911" s="347"/>
      <c r="P1911" s="347"/>
      <c r="Q1911" s="347"/>
      <c r="R1911" s="347"/>
      <c r="S1911" s="347"/>
      <c r="T1911" s="348"/>
      <c r="U1911" s="349"/>
      <c r="V1911" s="349"/>
      <c r="W1911" s="350"/>
    </row>
    <row r="1912" spans="1:23" x14ac:dyDescent="0.25">
      <c r="A1912" s="204" t="s">
        <v>17575</v>
      </c>
      <c r="B1912" s="351" t="s">
        <v>21616</v>
      </c>
      <c r="C1912" s="352"/>
      <c r="D1912" s="353" t="s">
        <v>5</v>
      </c>
      <c r="E1912" s="249">
        <f t="shared" si="508"/>
        <v>0</v>
      </c>
      <c r="F1912" s="336">
        <v>0</v>
      </c>
      <c r="G1912" s="258">
        <f t="shared" si="509"/>
        <v>0</v>
      </c>
      <c r="H1912" s="249">
        <f t="shared" si="510"/>
        <v>6.3630179897365441E-2</v>
      </c>
      <c r="I1912" s="336">
        <v>8.6045867026597098E-2</v>
      </c>
      <c r="J1912" s="258">
        <f t="shared" si="511"/>
        <v>8.6045867026597098E-2</v>
      </c>
      <c r="K1912" s="249">
        <f t="shared" si="512"/>
        <v>0.56600857082653211</v>
      </c>
      <c r="L1912" s="336">
        <v>0.76540249139340466</v>
      </c>
      <c r="M1912" s="258">
        <f t="shared" si="513"/>
        <v>0.76540249139340466</v>
      </c>
      <c r="N1912" s="251">
        <f t="shared" si="514"/>
        <v>0.10979325158761095</v>
      </c>
      <c r="O1912" s="336">
        <v>0.14847129996746164</v>
      </c>
      <c r="P1912" s="258">
        <f t="shared" si="515"/>
        <v>0.14847129996746164</v>
      </c>
      <c r="Q1912" s="354">
        <v>0.72365406976744184</v>
      </c>
      <c r="R1912" s="249">
        <f t="shared" si="516"/>
        <v>0.73949141424418585</v>
      </c>
      <c r="S1912" s="355">
        <v>0.1</v>
      </c>
      <c r="T1912" s="355"/>
      <c r="U1912" s="315">
        <f t="shared" si="519"/>
        <v>0.8134405556686044</v>
      </c>
      <c r="V1912" s="315">
        <f t="shared" si="520"/>
        <v>1</v>
      </c>
      <c r="W1912" s="316">
        <f t="shared" ref="W1912:W1975" si="521">C1912*V1912</f>
        <v>0</v>
      </c>
    </row>
    <row r="1913" spans="1:23" x14ac:dyDescent="0.25">
      <c r="A1913" s="204" t="s">
        <v>17576</v>
      </c>
      <c r="B1913" s="351" t="s">
        <v>21617</v>
      </c>
      <c r="C1913" s="352"/>
      <c r="D1913" s="353" t="s">
        <v>14859</v>
      </c>
      <c r="E1913" s="249">
        <f t="shared" si="508"/>
        <v>0</v>
      </c>
      <c r="F1913" s="336">
        <v>0</v>
      </c>
      <c r="G1913" s="258">
        <f t="shared" si="509"/>
        <v>0</v>
      </c>
      <c r="H1913" s="249">
        <f t="shared" si="510"/>
        <v>10.945272482254547</v>
      </c>
      <c r="I1913" s="336">
        <v>8.6045867026597098E-2</v>
      </c>
      <c r="J1913" s="258">
        <f t="shared" si="511"/>
        <v>8.6045867026597098E-2</v>
      </c>
      <c r="K1913" s="249">
        <f t="shared" si="512"/>
        <v>97.371535406208181</v>
      </c>
      <c r="L1913" s="336">
        <v>0.76548283300594122</v>
      </c>
      <c r="M1913" s="258">
        <f t="shared" si="513"/>
        <v>0.76548283300594122</v>
      </c>
      <c r="N1913" s="251">
        <f t="shared" si="514"/>
        <v>18.885960361537254</v>
      </c>
      <c r="O1913" s="336">
        <v>0.14847129996746164</v>
      </c>
      <c r="P1913" s="258">
        <f t="shared" si="515"/>
        <v>0.14847129996746164</v>
      </c>
      <c r="Q1913" s="354">
        <v>124.46850000000001</v>
      </c>
      <c r="R1913" s="249">
        <f t="shared" si="516"/>
        <v>127.20276824999999</v>
      </c>
      <c r="S1913" s="355">
        <v>0.1</v>
      </c>
      <c r="T1913" s="355"/>
      <c r="U1913" s="315">
        <f t="shared" si="519"/>
        <v>139.923045075</v>
      </c>
      <c r="V1913" s="315">
        <f t="shared" si="520"/>
        <v>140</v>
      </c>
      <c r="W1913" s="316">
        <f t="shared" si="521"/>
        <v>0</v>
      </c>
    </row>
    <row r="1914" spans="1:23" x14ac:dyDescent="0.25">
      <c r="A1914" s="204" t="s">
        <v>17577</v>
      </c>
      <c r="B1914" s="351" t="s">
        <v>21618</v>
      </c>
      <c r="C1914" s="352"/>
      <c r="D1914" s="353" t="s">
        <v>5</v>
      </c>
      <c r="E1914" s="249">
        <f t="shared" si="508"/>
        <v>0</v>
      </c>
      <c r="F1914" s="336">
        <v>0</v>
      </c>
      <c r="G1914" s="258">
        <f t="shared" si="509"/>
        <v>0</v>
      </c>
      <c r="H1914" s="249">
        <f t="shared" si="510"/>
        <v>6.3671261230608123E-2</v>
      </c>
      <c r="I1914" s="336">
        <v>6.4334756987619632E-2</v>
      </c>
      <c r="J1914" s="258">
        <f t="shared" si="511"/>
        <v>6.4334756987619632E-2</v>
      </c>
      <c r="K1914" s="249">
        <f t="shared" si="512"/>
        <v>0.8160919741278494</v>
      </c>
      <c r="L1914" s="336">
        <v>0.82459618076204555</v>
      </c>
      <c r="M1914" s="258">
        <f t="shared" si="513"/>
        <v>0.82459618076204555</v>
      </c>
      <c r="N1914" s="251">
        <f t="shared" si="514"/>
        <v>0.10986413702536302</v>
      </c>
      <c r="O1914" s="336">
        <v>0.11100899244922602</v>
      </c>
      <c r="P1914" s="258">
        <f t="shared" si="515"/>
        <v>0.11100899244922602</v>
      </c>
      <c r="Q1914" s="354">
        <v>0.9678662790697673</v>
      </c>
      <c r="R1914" s="249">
        <f t="shared" si="516"/>
        <v>0.98968682267441854</v>
      </c>
      <c r="S1914" s="355">
        <v>0.1</v>
      </c>
      <c r="T1914" s="355"/>
      <c r="U1914" s="315">
        <f t="shared" si="519"/>
        <v>1.0886555049418605</v>
      </c>
      <c r="V1914" s="315">
        <f t="shared" si="520"/>
        <v>2</v>
      </c>
      <c r="W1914" s="316">
        <f t="shared" si="521"/>
        <v>0</v>
      </c>
    </row>
    <row r="1915" spans="1:23" x14ac:dyDescent="0.25">
      <c r="A1915" s="204" t="s">
        <v>17578</v>
      </c>
      <c r="B1915" s="351" t="s">
        <v>21619</v>
      </c>
      <c r="C1915" s="352"/>
      <c r="D1915" s="353" t="s">
        <v>14859</v>
      </c>
      <c r="E1915" s="249">
        <f t="shared" si="508"/>
        <v>0</v>
      </c>
      <c r="F1915" s="336">
        <v>0</v>
      </c>
      <c r="G1915" s="258">
        <f t="shared" si="509"/>
        <v>0</v>
      </c>
      <c r="H1915" s="249">
        <f t="shared" si="510"/>
        <v>10.952116041249933</v>
      </c>
      <c r="I1915" s="336">
        <v>6.4334756987619632E-2</v>
      </c>
      <c r="J1915" s="258">
        <f t="shared" si="511"/>
        <v>6.4334756987619632E-2</v>
      </c>
      <c r="K1915" s="249">
        <f t="shared" si="512"/>
        <v>140.38649360325996</v>
      </c>
      <c r="L1915" s="336">
        <v>0.82465625056315439</v>
      </c>
      <c r="M1915" s="258">
        <f t="shared" si="513"/>
        <v>0.82465625056315439</v>
      </c>
      <c r="N1915" s="251">
        <f t="shared" si="514"/>
        <v>18.897768855490078</v>
      </c>
      <c r="O1915" s="336">
        <v>0.11100899244922602</v>
      </c>
      <c r="P1915" s="258">
        <f t="shared" si="515"/>
        <v>0.11100899244922602</v>
      </c>
      <c r="Q1915" s="354">
        <v>166.47299999999998</v>
      </c>
      <c r="R1915" s="249">
        <f t="shared" si="516"/>
        <v>170.23637849999997</v>
      </c>
      <c r="S1915" s="355">
        <v>0.1</v>
      </c>
      <c r="T1915" s="355"/>
      <c r="U1915" s="315">
        <f t="shared" si="519"/>
        <v>187.26001634999997</v>
      </c>
      <c r="V1915" s="315">
        <f t="shared" si="520"/>
        <v>190</v>
      </c>
      <c r="W1915" s="316">
        <f t="shared" si="521"/>
        <v>0</v>
      </c>
    </row>
    <row r="1916" spans="1:23" x14ac:dyDescent="0.25">
      <c r="A1916" s="204" t="s">
        <v>17579</v>
      </c>
      <c r="B1916" s="351" t="s">
        <v>21620</v>
      </c>
      <c r="C1916" s="352"/>
      <c r="D1916" s="353" t="s">
        <v>5</v>
      </c>
      <c r="E1916" s="249">
        <f t="shared" si="508"/>
        <v>0</v>
      </c>
      <c r="F1916" s="336">
        <v>0</v>
      </c>
      <c r="G1916" s="258">
        <f t="shared" si="509"/>
        <v>0</v>
      </c>
      <c r="H1916" s="249">
        <f t="shared" si="510"/>
        <v>6.3700958897020238E-2</v>
      </c>
      <c r="I1916" s="336">
        <v>4.863981107225579E-2</v>
      </c>
      <c r="J1916" s="258">
        <f t="shared" si="511"/>
        <v>4.863981107225579E-2</v>
      </c>
      <c r="K1916" s="249">
        <f t="shared" si="512"/>
        <v>1.1359706946537718</v>
      </c>
      <c r="L1916" s="336">
        <v>0.86738725646032988</v>
      </c>
      <c r="M1916" s="258">
        <f t="shared" si="513"/>
        <v>0.86738725646032988</v>
      </c>
      <c r="N1916" s="251">
        <f t="shared" si="514"/>
        <v>0.10991538005760353</v>
      </c>
      <c r="O1916" s="336">
        <v>8.392751714428448E-2</v>
      </c>
      <c r="P1916" s="258">
        <f t="shared" si="515"/>
        <v>8.392751714428448E-2</v>
      </c>
      <c r="Q1916" s="354">
        <v>1.2801744186046511</v>
      </c>
      <c r="R1916" s="249">
        <f t="shared" si="516"/>
        <v>1.309646511627907</v>
      </c>
      <c r="S1916" s="355">
        <v>0.1</v>
      </c>
      <c r="T1916" s="355"/>
      <c r="U1916" s="315">
        <f t="shared" si="519"/>
        <v>1.4406111627906977</v>
      </c>
      <c r="V1916" s="315">
        <f t="shared" si="520"/>
        <v>2</v>
      </c>
      <c r="W1916" s="316">
        <f t="shared" si="521"/>
        <v>0</v>
      </c>
    </row>
    <row r="1917" spans="1:23" x14ac:dyDescent="0.25">
      <c r="A1917" s="204" t="s">
        <v>17580</v>
      </c>
      <c r="B1917" s="351" t="s">
        <v>21621</v>
      </c>
      <c r="C1917" s="352"/>
      <c r="D1917" s="353" t="s">
        <v>14859</v>
      </c>
      <c r="E1917" s="249">
        <f t="shared" si="508"/>
        <v>0</v>
      </c>
      <c r="F1917" s="336">
        <v>0</v>
      </c>
      <c r="G1917" s="258">
        <f t="shared" si="509"/>
        <v>0</v>
      </c>
      <c r="H1917" s="249">
        <f t="shared" si="510"/>
        <v>10.957063245151915</v>
      </c>
      <c r="I1917" s="336">
        <v>4.8639811072255783E-2</v>
      </c>
      <c r="J1917" s="258">
        <f t="shared" si="511"/>
        <v>4.8639811072255783E-2</v>
      </c>
      <c r="K1917" s="249">
        <f t="shared" si="512"/>
        <v>195.40607654752714</v>
      </c>
      <c r="L1917" s="336">
        <v>0.86743267178345973</v>
      </c>
      <c r="M1917" s="258">
        <f t="shared" si="513"/>
        <v>0.86743267178345973</v>
      </c>
      <c r="N1917" s="251">
        <f t="shared" si="514"/>
        <v>18.906305207320948</v>
      </c>
      <c r="O1917" s="336">
        <v>8.392751714428448E-2</v>
      </c>
      <c r="P1917" s="258">
        <f t="shared" si="515"/>
        <v>8.392751714428448E-2</v>
      </c>
      <c r="Q1917" s="354">
        <v>220.19</v>
      </c>
      <c r="R1917" s="249">
        <f t="shared" si="516"/>
        <v>225.26944499999999</v>
      </c>
      <c r="S1917" s="355">
        <v>0.1</v>
      </c>
      <c r="T1917" s="355"/>
      <c r="U1917" s="315">
        <f t="shared" si="519"/>
        <v>247.79638949999998</v>
      </c>
      <c r="V1917" s="315">
        <f t="shared" si="520"/>
        <v>250</v>
      </c>
      <c r="W1917" s="316">
        <f t="shared" si="521"/>
        <v>0</v>
      </c>
    </row>
    <row r="1918" spans="1:23" x14ac:dyDescent="0.25">
      <c r="A1918" s="204" t="s">
        <v>17581</v>
      </c>
      <c r="B1918" s="351" t="s">
        <v>21622</v>
      </c>
      <c r="C1918" s="352"/>
      <c r="D1918" s="353" t="s">
        <v>5</v>
      </c>
      <c r="E1918" s="249">
        <f t="shared" si="508"/>
        <v>0</v>
      </c>
      <c r="F1918" s="336">
        <v>0</v>
      </c>
      <c r="G1918" s="258">
        <f t="shared" si="509"/>
        <v>0</v>
      </c>
      <c r="H1918" s="249">
        <f t="shared" si="510"/>
        <v>6.3700958897020238E-2</v>
      </c>
      <c r="I1918" s="336">
        <v>4.863981107225579E-2</v>
      </c>
      <c r="J1918" s="258">
        <f t="shared" si="511"/>
        <v>4.863981107225579E-2</v>
      </c>
      <c r="K1918" s="249">
        <f t="shared" si="512"/>
        <v>1.1359706946537718</v>
      </c>
      <c r="L1918" s="336">
        <v>0.86738725646032988</v>
      </c>
      <c r="M1918" s="258">
        <f t="shared" si="513"/>
        <v>0.86738725646032988</v>
      </c>
      <c r="N1918" s="251">
        <f t="shared" si="514"/>
        <v>0.10991538005760353</v>
      </c>
      <c r="O1918" s="336">
        <v>8.392751714428448E-2</v>
      </c>
      <c r="P1918" s="258">
        <f t="shared" si="515"/>
        <v>8.392751714428448E-2</v>
      </c>
      <c r="Q1918" s="354">
        <v>1.2801744186046511</v>
      </c>
      <c r="R1918" s="249">
        <f t="shared" si="516"/>
        <v>1.309646511627907</v>
      </c>
      <c r="S1918" s="355">
        <v>0.1</v>
      </c>
      <c r="T1918" s="355"/>
      <c r="U1918" s="315">
        <f t="shared" si="519"/>
        <v>1.4406111627906977</v>
      </c>
      <c r="V1918" s="315">
        <f t="shared" si="520"/>
        <v>2</v>
      </c>
      <c r="W1918" s="316">
        <f t="shared" si="521"/>
        <v>0</v>
      </c>
    </row>
    <row r="1919" spans="1:23" x14ac:dyDescent="0.25">
      <c r="A1919" s="204" t="s">
        <v>17582</v>
      </c>
      <c r="B1919" s="351" t="s">
        <v>21623</v>
      </c>
      <c r="C1919" s="352"/>
      <c r="D1919" s="353" t="s">
        <v>14859</v>
      </c>
      <c r="E1919" s="249">
        <f t="shared" si="508"/>
        <v>0</v>
      </c>
      <c r="F1919" s="336">
        <v>0</v>
      </c>
      <c r="G1919" s="258">
        <f t="shared" si="509"/>
        <v>0</v>
      </c>
      <c r="H1919" s="249">
        <f t="shared" si="510"/>
        <v>10.957063245151915</v>
      </c>
      <c r="I1919" s="336">
        <v>4.8639811072255783E-2</v>
      </c>
      <c r="J1919" s="258">
        <f t="shared" si="511"/>
        <v>4.8639811072255783E-2</v>
      </c>
      <c r="K1919" s="249">
        <f t="shared" si="512"/>
        <v>195.40607654752714</v>
      </c>
      <c r="L1919" s="336">
        <v>0.86743267178345973</v>
      </c>
      <c r="M1919" s="258">
        <f t="shared" si="513"/>
        <v>0.86743267178345973</v>
      </c>
      <c r="N1919" s="251">
        <f t="shared" si="514"/>
        <v>18.906305207320948</v>
      </c>
      <c r="O1919" s="336">
        <v>8.392751714428448E-2</v>
      </c>
      <c r="P1919" s="258">
        <f t="shared" si="515"/>
        <v>8.392751714428448E-2</v>
      </c>
      <c r="Q1919" s="354">
        <v>220.19</v>
      </c>
      <c r="R1919" s="249">
        <f t="shared" si="516"/>
        <v>225.26944499999999</v>
      </c>
      <c r="S1919" s="355">
        <v>0.1</v>
      </c>
      <c r="T1919" s="355"/>
      <c r="U1919" s="315">
        <f t="shared" si="519"/>
        <v>247.79638949999998</v>
      </c>
      <c r="V1919" s="315">
        <f t="shared" si="520"/>
        <v>250</v>
      </c>
      <c r="W1919" s="316">
        <f t="shared" si="521"/>
        <v>0</v>
      </c>
    </row>
    <row r="1920" spans="1:23" x14ac:dyDescent="0.25">
      <c r="A1920" s="204" t="s">
        <v>17583</v>
      </c>
      <c r="B1920" s="351" t="s">
        <v>21624</v>
      </c>
      <c r="C1920" s="352"/>
      <c r="D1920" s="353" t="s">
        <v>5</v>
      </c>
      <c r="E1920" s="249">
        <f t="shared" si="508"/>
        <v>0</v>
      </c>
      <c r="F1920" s="336">
        <v>0</v>
      </c>
      <c r="G1920" s="258">
        <f t="shared" si="509"/>
        <v>0</v>
      </c>
      <c r="H1920" s="249">
        <f t="shared" si="510"/>
        <v>6.3731846991674765E-2</v>
      </c>
      <c r="I1920" s="336">
        <v>3.2315734685102633E-2</v>
      </c>
      <c r="J1920" s="258">
        <f t="shared" si="511"/>
        <v>3.2315734685102633E-2</v>
      </c>
      <c r="K1920" s="249">
        <f t="shared" si="512"/>
        <v>1.7984014442769805</v>
      </c>
      <c r="L1920" s="336">
        <v>0.91189360851493939</v>
      </c>
      <c r="M1920" s="258">
        <f t="shared" si="513"/>
        <v>0.91189360851493939</v>
      </c>
      <c r="N1920" s="251">
        <f t="shared" si="514"/>
        <v>0.10996867716210547</v>
      </c>
      <c r="O1920" s="336">
        <v>5.5760483378216305E-2</v>
      </c>
      <c r="P1920" s="258">
        <f t="shared" si="515"/>
        <v>5.5760483378216305E-2</v>
      </c>
      <c r="Q1920" s="354">
        <v>1.926845930232558</v>
      </c>
      <c r="R1920" s="249">
        <f t="shared" si="516"/>
        <v>1.9721614752906973</v>
      </c>
      <c r="S1920" s="355">
        <v>0.1</v>
      </c>
      <c r="T1920" s="355"/>
      <c r="U1920" s="315">
        <f t="shared" si="519"/>
        <v>2.1693776228197672</v>
      </c>
      <c r="V1920" s="315">
        <f t="shared" si="520"/>
        <v>3</v>
      </c>
      <c r="W1920" s="316">
        <f t="shared" si="521"/>
        <v>0</v>
      </c>
    </row>
    <row r="1921" spans="1:23" x14ac:dyDescent="0.25">
      <c r="A1921" s="204" t="s">
        <v>17584</v>
      </c>
      <c r="B1921" s="351" t="s">
        <v>21625</v>
      </c>
      <c r="C1921" s="352"/>
      <c r="D1921" s="353" t="s">
        <v>14859</v>
      </c>
      <c r="E1921" s="249">
        <f t="shared" si="508"/>
        <v>0</v>
      </c>
      <c r="F1921" s="336">
        <v>0</v>
      </c>
      <c r="G1921" s="258">
        <f t="shared" si="509"/>
        <v>0</v>
      </c>
      <c r="H1921" s="249">
        <f t="shared" si="510"/>
        <v>10.962208757269909</v>
      </c>
      <c r="I1921" s="336">
        <v>3.2315734685102633E-2</v>
      </c>
      <c r="J1921" s="258">
        <f t="shared" si="511"/>
        <v>3.2315734685102633E-2</v>
      </c>
      <c r="K1921" s="249">
        <f t="shared" si="512"/>
        <v>309.3446262546957</v>
      </c>
      <c r="L1921" s="336">
        <v>0.91192378193668111</v>
      </c>
      <c r="M1921" s="258">
        <f t="shared" si="513"/>
        <v>0.91192378193668111</v>
      </c>
      <c r="N1921" s="251">
        <f t="shared" si="514"/>
        <v>18.915183738034354</v>
      </c>
      <c r="O1921" s="336">
        <v>5.5760483378216305E-2</v>
      </c>
      <c r="P1921" s="258">
        <f t="shared" si="515"/>
        <v>5.5760483378216305E-2</v>
      </c>
      <c r="Q1921" s="354">
        <v>331.41749999999996</v>
      </c>
      <c r="R1921" s="249">
        <f t="shared" si="516"/>
        <v>339.22201874999996</v>
      </c>
      <c r="S1921" s="355">
        <v>0.1</v>
      </c>
      <c r="T1921" s="355"/>
      <c r="U1921" s="315">
        <f t="shared" si="519"/>
        <v>373.14422062499995</v>
      </c>
      <c r="V1921" s="315">
        <f t="shared" si="520"/>
        <v>375</v>
      </c>
      <c r="W1921" s="316">
        <f t="shared" si="521"/>
        <v>0</v>
      </c>
    </row>
    <row r="1922" spans="1:23" x14ac:dyDescent="0.25">
      <c r="A1922" s="204" t="s">
        <v>17585</v>
      </c>
      <c r="B1922" s="351" t="s">
        <v>21626</v>
      </c>
      <c r="C1922" s="352"/>
      <c r="D1922" s="353" t="s">
        <v>5</v>
      </c>
      <c r="E1922" s="249">
        <f t="shared" ref="E1922:E1985" si="522">R1922*G1922</f>
        <v>0</v>
      </c>
      <c r="F1922" s="336">
        <v>0</v>
      </c>
      <c r="G1922" s="258">
        <f t="shared" ref="G1922:G1985" si="523">F1922</f>
        <v>0</v>
      </c>
      <c r="H1922" s="249">
        <f t="shared" ref="H1922:H1985" si="524">R1922*J1922</f>
        <v>6.3748392192482628E-2</v>
      </c>
      <c r="I1922" s="336">
        <v>2.3571746917350329E-2</v>
      </c>
      <c r="J1922" s="258">
        <f t="shared" ref="J1922:J1985" si="525">I1922</f>
        <v>2.3571746917350329E-2</v>
      </c>
      <c r="K1922" s="249">
        <f t="shared" ref="K1922:K1985" si="526">R1922*M1922</f>
        <v>2.5306355792320661</v>
      </c>
      <c r="L1922" s="336">
        <v>0.93573342577155649</v>
      </c>
      <c r="M1922" s="258">
        <f t="shared" ref="M1922:M1985" si="527">L1922</f>
        <v>0.93573342577155649</v>
      </c>
      <c r="N1922" s="251">
        <f t="shared" ref="N1922:N1985" si="528">P1922*R1922</f>
        <v>0.10999722574389159</v>
      </c>
      <c r="O1922" s="336">
        <v>4.0672818210329975E-2</v>
      </c>
      <c r="P1922" s="258">
        <f t="shared" ref="P1922:P1985" si="529">O1922</f>
        <v>4.0672818210329975E-2</v>
      </c>
      <c r="Q1922" s="354">
        <v>2.641613372093023</v>
      </c>
      <c r="R1922" s="249">
        <f t="shared" ref="R1922:R1985" si="530">SUM(F1922*Q1922*1.0235,I1922*Q1922*1.0175,L1922*Q1922*1.0245,O1922*Q1922*1.0115)</f>
        <v>2.7044407194767435</v>
      </c>
      <c r="S1922" s="355">
        <v>0.1</v>
      </c>
      <c r="T1922" s="355"/>
      <c r="U1922" s="315">
        <f t="shared" si="519"/>
        <v>2.9748847914244179</v>
      </c>
      <c r="V1922" s="315">
        <f t="shared" si="520"/>
        <v>3</v>
      </c>
      <c r="W1922" s="316">
        <f t="shared" si="521"/>
        <v>0</v>
      </c>
    </row>
    <row r="1923" spans="1:23" x14ac:dyDescent="0.25">
      <c r="A1923" s="204" t="s">
        <v>17586</v>
      </c>
      <c r="B1923" s="351" t="s">
        <v>21627</v>
      </c>
      <c r="C1923" s="352"/>
      <c r="D1923" s="353" t="s">
        <v>14859</v>
      </c>
      <c r="E1923" s="249">
        <f t="shared" si="522"/>
        <v>0</v>
      </c>
      <c r="F1923" s="336">
        <v>0</v>
      </c>
      <c r="G1923" s="258">
        <f t="shared" si="523"/>
        <v>0</v>
      </c>
      <c r="H1923" s="249">
        <f t="shared" si="524"/>
        <v>10.964964949654183</v>
      </c>
      <c r="I1923" s="336">
        <v>2.3571746917350329E-2</v>
      </c>
      <c r="J1923" s="258">
        <f t="shared" si="525"/>
        <v>2.3571746917350329E-2</v>
      </c>
      <c r="K1923" s="249">
        <f t="shared" si="526"/>
        <v>435.28914427937383</v>
      </c>
      <c r="L1923" s="336">
        <v>0.93575543487231971</v>
      </c>
      <c r="M1923" s="258">
        <f t="shared" si="527"/>
        <v>0.93575543487231971</v>
      </c>
      <c r="N1923" s="251">
        <f t="shared" si="528"/>
        <v>18.919939520971923</v>
      </c>
      <c r="O1923" s="336">
        <v>4.0672818210329975E-2</v>
      </c>
      <c r="P1923" s="258">
        <f t="shared" si="529"/>
        <v>4.0672818210329975E-2</v>
      </c>
      <c r="Q1923" s="354">
        <v>454.35749999999996</v>
      </c>
      <c r="R1923" s="249">
        <f t="shared" si="530"/>
        <v>465.17404874999994</v>
      </c>
      <c r="S1923" s="355">
        <v>0.1</v>
      </c>
      <c r="T1923" s="355"/>
      <c r="U1923" s="315">
        <f t="shared" si="519"/>
        <v>511.69145362499995</v>
      </c>
      <c r="V1923" s="315">
        <f t="shared" si="520"/>
        <v>515</v>
      </c>
      <c r="W1923" s="316">
        <f t="shared" si="521"/>
        <v>0</v>
      </c>
    </row>
    <row r="1924" spans="1:23" x14ac:dyDescent="0.25">
      <c r="A1924" s="204" t="s">
        <v>17587</v>
      </c>
      <c r="B1924" s="351" t="s">
        <v>21628</v>
      </c>
      <c r="C1924" s="352"/>
      <c r="D1924" s="353" t="s">
        <v>5</v>
      </c>
      <c r="E1924" s="249">
        <f t="shared" si="522"/>
        <v>0</v>
      </c>
      <c r="F1924" s="336">
        <v>0</v>
      </c>
      <c r="G1924" s="258">
        <f t="shared" si="523"/>
        <v>0</v>
      </c>
      <c r="H1924" s="249">
        <f t="shared" si="524"/>
        <v>6.3750681959935829E-2</v>
      </c>
      <c r="I1924" s="336">
        <v>2.2361625696451896E-2</v>
      </c>
      <c r="J1924" s="258">
        <f t="shared" si="525"/>
        <v>2.2361625696451896E-2</v>
      </c>
      <c r="K1924" s="249">
        <f t="shared" si="526"/>
        <v>2.6770851851925594</v>
      </c>
      <c r="L1924" s="336">
        <v>0.9390327291936138</v>
      </c>
      <c r="M1924" s="258">
        <f t="shared" si="527"/>
        <v>0.9390327291936138</v>
      </c>
      <c r="N1924" s="251">
        <f t="shared" si="528"/>
        <v>0.11000117671518336</v>
      </c>
      <c r="O1924" s="336">
        <v>3.8584765907603263E-2</v>
      </c>
      <c r="P1924" s="258">
        <f t="shared" si="529"/>
        <v>3.8584765907603263E-2</v>
      </c>
      <c r="Q1924" s="354">
        <v>2.7845668604651164</v>
      </c>
      <c r="R1924" s="249">
        <f t="shared" si="530"/>
        <v>2.8508965683139533</v>
      </c>
      <c r="S1924" s="355">
        <v>0.1</v>
      </c>
      <c r="T1924" s="355"/>
      <c r="U1924" s="315">
        <f t="shared" si="519"/>
        <v>3.1359862251453485</v>
      </c>
      <c r="V1924" s="315">
        <f t="shared" si="520"/>
        <v>4</v>
      </c>
      <c r="W1924" s="316">
        <f t="shared" si="521"/>
        <v>0</v>
      </c>
    </row>
    <row r="1925" spans="1:23" x14ac:dyDescent="0.25">
      <c r="A1925" s="204" t="s">
        <v>17588</v>
      </c>
      <c r="B1925" s="351" t="s">
        <v>21629</v>
      </c>
      <c r="C1925" s="352"/>
      <c r="D1925" s="353" t="s">
        <v>14859</v>
      </c>
      <c r="E1925" s="249">
        <f t="shared" si="522"/>
        <v>0</v>
      </c>
      <c r="F1925" s="336">
        <v>0</v>
      </c>
      <c r="G1925" s="258">
        <f t="shared" si="523"/>
        <v>0</v>
      </c>
      <c r="H1925" s="249">
        <f t="shared" si="524"/>
        <v>10.965346391964223</v>
      </c>
      <c r="I1925" s="336">
        <v>2.2361625696451896E-2</v>
      </c>
      <c r="J1925" s="258">
        <f t="shared" si="525"/>
        <v>2.2361625696451896E-2</v>
      </c>
      <c r="K1925" s="249">
        <f t="shared" si="526"/>
        <v>460.47851066209751</v>
      </c>
      <c r="L1925" s="336">
        <v>0.93905360839594487</v>
      </c>
      <c r="M1925" s="258">
        <f t="shared" si="527"/>
        <v>0.93905360839594487</v>
      </c>
      <c r="N1925" s="251">
        <f t="shared" si="528"/>
        <v>18.920597695938266</v>
      </c>
      <c r="O1925" s="336">
        <v>3.858476590760327E-2</v>
      </c>
      <c r="P1925" s="258">
        <f t="shared" si="529"/>
        <v>3.858476590760327E-2</v>
      </c>
      <c r="Q1925" s="354">
        <v>478.94549999999998</v>
      </c>
      <c r="R1925" s="249">
        <f t="shared" si="530"/>
        <v>490.36445474999999</v>
      </c>
      <c r="S1925" s="355">
        <v>0.1</v>
      </c>
      <c r="T1925" s="355"/>
      <c r="U1925" s="315">
        <f t="shared" si="519"/>
        <v>539.40090022499999</v>
      </c>
      <c r="V1925" s="315">
        <f t="shared" si="520"/>
        <v>540</v>
      </c>
      <c r="W1925" s="316">
        <f t="shared" si="521"/>
        <v>0</v>
      </c>
    </row>
    <row r="1926" spans="1:23" x14ac:dyDescent="0.25">
      <c r="A1926" s="204" t="s">
        <v>17589</v>
      </c>
      <c r="B1926" s="351" t="s">
        <v>21630</v>
      </c>
      <c r="C1926" s="352"/>
      <c r="D1926" s="353" t="s">
        <v>5</v>
      </c>
      <c r="E1926" s="249">
        <f t="shared" si="522"/>
        <v>0</v>
      </c>
      <c r="F1926" s="336">
        <v>0</v>
      </c>
      <c r="G1926" s="258">
        <f t="shared" si="523"/>
        <v>0</v>
      </c>
      <c r="H1926" s="249">
        <f t="shared" si="524"/>
        <v>6.3756598752632454E-2</v>
      </c>
      <c r="I1926" s="336">
        <v>1.9234654705620885E-2</v>
      </c>
      <c r="J1926" s="258">
        <f t="shared" si="525"/>
        <v>1.9234654705620885E-2</v>
      </c>
      <c r="K1926" s="249">
        <f t="shared" si="526"/>
        <v>3.1408459081586853</v>
      </c>
      <c r="L1926" s="336">
        <v>0.94755817764667316</v>
      </c>
      <c r="M1926" s="258">
        <f t="shared" si="527"/>
        <v>0.94755817764667316</v>
      </c>
      <c r="N1926" s="251">
        <f t="shared" si="528"/>
        <v>0.11001138608297364</v>
      </c>
      <c r="O1926" s="336">
        <v>3.3189208119502704E-2</v>
      </c>
      <c r="P1926" s="258">
        <f t="shared" si="529"/>
        <v>3.3189208119502704E-2</v>
      </c>
      <c r="Q1926" s="354">
        <v>3.2372529069767442</v>
      </c>
      <c r="R1926" s="249">
        <f t="shared" si="530"/>
        <v>3.3146734229651158</v>
      </c>
      <c r="S1926" s="355">
        <v>0.1</v>
      </c>
      <c r="T1926" s="355"/>
      <c r="U1926" s="315">
        <f t="shared" si="519"/>
        <v>3.6461407652616273</v>
      </c>
      <c r="V1926" s="315">
        <f t="shared" si="520"/>
        <v>4</v>
      </c>
      <c r="W1926" s="316">
        <f t="shared" si="521"/>
        <v>0</v>
      </c>
    </row>
    <row r="1927" spans="1:23" x14ac:dyDescent="0.25">
      <c r="A1927" s="204" t="s">
        <v>17590</v>
      </c>
      <c r="B1927" s="351" t="s">
        <v>21631</v>
      </c>
      <c r="C1927" s="352"/>
      <c r="D1927" s="353" t="s">
        <v>14859</v>
      </c>
      <c r="E1927" s="249">
        <f t="shared" si="522"/>
        <v>0</v>
      </c>
      <c r="F1927" s="336">
        <v>0</v>
      </c>
      <c r="G1927" s="258">
        <f t="shared" si="523"/>
        <v>0</v>
      </c>
      <c r="H1927" s="249">
        <f t="shared" si="524"/>
        <v>10.966332044490242</v>
      </c>
      <c r="I1927" s="336">
        <v>1.9234654705620885E-2</v>
      </c>
      <c r="J1927" s="258">
        <f t="shared" si="525"/>
        <v>1.9234654705620885E-2</v>
      </c>
      <c r="K1927" s="249">
        <f t="shared" si="526"/>
        <v>540.24544327580099</v>
      </c>
      <c r="L1927" s="336">
        <v>0.94757613717487632</v>
      </c>
      <c r="M1927" s="258">
        <f t="shared" si="527"/>
        <v>0.94757613717487632</v>
      </c>
      <c r="N1927" s="251">
        <f t="shared" si="528"/>
        <v>18.922298429708654</v>
      </c>
      <c r="O1927" s="336">
        <v>3.3189208119502704E-2</v>
      </c>
      <c r="P1927" s="258">
        <f t="shared" si="529"/>
        <v>3.3189208119502704E-2</v>
      </c>
      <c r="Q1927" s="354">
        <v>556.8075</v>
      </c>
      <c r="R1927" s="249">
        <f t="shared" si="530"/>
        <v>570.13407374999997</v>
      </c>
      <c r="S1927" s="355">
        <v>0.1</v>
      </c>
      <c r="T1927" s="355"/>
      <c r="U1927" s="315">
        <f t="shared" si="519"/>
        <v>627.14748112500001</v>
      </c>
      <c r="V1927" s="315">
        <f t="shared" si="520"/>
        <v>630</v>
      </c>
      <c r="W1927" s="316">
        <f t="shared" si="521"/>
        <v>0</v>
      </c>
    </row>
    <row r="1928" spans="1:23" x14ac:dyDescent="0.25">
      <c r="A1928" s="204" t="s">
        <v>17591</v>
      </c>
      <c r="B1928" s="351" t="s">
        <v>21632</v>
      </c>
      <c r="C1928" s="352"/>
      <c r="D1928" s="353" t="s">
        <v>5</v>
      </c>
      <c r="E1928" s="249">
        <f t="shared" si="522"/>
        <v>0</v>
      </c>
      <c r="F1928" s="336">
        <v>0</v>
      </c>
      <c r="G1928" s="258">
        <f t="shared" si="523"/>
        <v>0</v>
      </c>
      <c r="H1928" s="249">
        <f t="shared" si="524"/>
        <v>6.3756598752632454E-2</v>
      </c>
      <c r="I1928" s="336">
        <v>1.9234654705620885E-2</v>
      </c>
      <c r="J1928" s="258">
        <f t="shared" si="525"/>
        <v>1.9234654705620885E-2</v>
      </c>
      <c r="K1928" s="249">
        <f t="shared" si="526"/>
        <v>3.1408459081586853</v>
      </c>
      <c r="L1928" s="336">
        <v>0.94755817764667316</v>
      </c>
      <c r="M1928" s="258">
        <f t="shared" si="527"/>
        <v>0.94755817764667316</v>
      </c>
      <c r="N1928" s="251">
        <f t="shared" si="528"/>
        <v>0.11001138608297364</v>
      </c>
      <c r="O1928" s="336">
        <v>3.3189208119502704E-2</v>
      </c>
      <c r="P1928" s="258">
        <f t="shared" si="529"/>
        <v>3.3189208119502704E-2</v>
      </c>
      <c r="Q1928" s="354">
        <v>3.2372529069767442</v>
      </c>
      <c r="R1928" s="249">
        <f t="shared" si="530"/>
        <v>3.3146734229651158</v>
      </c>
      <c r="S1928" s="355">
        <v>0.1</v>
      </c>
      <c r="T1928" s="355"/>
      <c r="U1928" s="315">
        <f t="shared" si="519"/>
        <v>3.6461407652616273</v>
      </c>
      <c r="V1928" s="315">
        <f t="shared" si="520"/>
        <v>4</v>
      </c>
      <c r="W1928" s="316">
        <f t="shared" si="521"/>
        <v>0</v>
      </c>
    </row>
    <row r="1929" spans="1:23" x14ac:dyDescent="0.25">
      <c r="A1929" s="204" t="s">
        <v>17592</v>
      </c>
      <c r="B1929" s="351" t="s">
        <v>21633</v>
      </c>
      <c r="C1929" s="352"/>
      <c r="D1929" s="353" t="s">
        <v>14859</v>
      </c>
      <c r="E1929" s="249">
        <f t="shared" si="522"/>
        <v>0</v>
      </c>
      <c r="F1929" s="336">
        <v>0</v>
      </c>
      <c r="G1929" s="258">
        <f t="shared" si="523"/>
        <v>0</v>
      </c>
      <c r="H1929" s="249">
        <f t="shared" si="524"/>
        <v>10.966332044490242</v>
      </c>
      <c r="I1929" s="336">
        <v>1.9234654705620885E-2</v>
      </c>
      <c r="J1929" s="258">
        <f t="shared" si="525"/>
        <v>1.9234654705620885E-2</v>
      </c>
      <c r="K1929" s="249">
        <f t="shared" si="526"/>
        <v>540.24544327580099</v>
      </c>
      <c r="L1929" s="336">
        <v>0.94757613717487632</v>
      </c>
      <c r="M1929" s="258">
        <f t="shared" si="527"/>
        <v>0.94757613717487632</v>
      </c>
      <c r="N1929" s="251">
        <f t="shared" si="528"/>
        <v>18.922298429708654</v>
      </c>
      <c r="O1929" s="336">
        <v>3.3189208119502704E-2</v>
      </c>
      <c r="P1929" s="258">
        <f t="shared" si="529"/>
        <v>3.3189208119502704E-2</v>
      </c>
      <c r="Q1929" s="354">
        <v>556.8075</v>
      </c>
      <c r="R1929" s="249">
        <f t="shared" si="530"/>
        <v>570.13407374999997</v>
      </c>
      <c r="S1929" s="355">
        <v>0.1</v>
      </c>
      <c r="T1929" s="355"/>
      <c r="U1929" s="315">
        <f t="shared" si="519"/>
        <v>627.14748112500001</v>
      </c>
      <c r="V1929" s="315">
        <f t="shared" si="520"/>
        <v>630</v>
      </c>
      <c r="W1929" s="316">
        <f t="shared" si="521"/>
        <v>0</v>
      </c>
    </row>
    <row r="1930" spans="1:23" x14ac:dyDescent="0.25">
      <c r="A1930" s="204" t="s">
        <v>17593</v>
      </c>
      <c r="B1930" s="351" t="s">
        <v>21634</v>
      </c>
      <c r="C1930" s="352"/>
      <c r="D1930" s="353" t="s">
        <v>5</v>
      </c>
      <c r="E1930" s="249">
        <f t="shared" si="522"/>
        <v>0</v>
      </c>
      <c r="F1930" s="336">
        <v>0</v>
      </c>
      <c r="G1930" s="258">
        <f t="shared" si="523"/>
        <v>0</v>
      </c>
      <c r="H1930" s="249">
        <f t="shared" si="524"/>
        <v>6.3760908406068961E-2</v>
      </c>
      <c r="I1930" s="336">
        <v>1.6957042159861685E-2</v>
      </c>
      <c r="J1930" s="258">
        <f t="shared" si="525"/>
        <v>1.6957042159861685E-2</v>
      </c>
      <c r="K1930" s="249">
        <f t="shared" si="526"/>
        <v>3.5863040317630546</v>
      </c>
      <c r="L1930" s="336">
        <v>0.95376791493296342</v>
      </c>
      <c r="M1930" s="258">
        <f t="shared" si="527"/>
        <v>0.95376791493296342</v>
      </c>
      <c r="N1930" s="251">
        <f t="shared" si="528"/>
        <v>0.11001882234772684</v>
      </c>
      <c r="O1930" s="336">
        <v>2.9259210001329965E-2</v>
      </c>
      <c r="P1930" s="258">
        <f t="shared" si="529"/>
        <v>2.9259210001329965E-2</v>
      </c>
      <c r="Q1930" s="354">
        <v>3.6720697674418603</v>
      </c>
      <c r="R1930" s="249">
        <f t="shared" si="530"/>
        <v>3.7601432965116275</v>
      </c>
      <c r="S1930" s="355">
        <v>0.1</v>
      </c>
      <c r="T1930" s="355"/>
      <c r="U1930" s="315">
        <f t="shared" si="519"/>
        <v>4.1361576261627899</v>
      </c>
      <c r="V1930" s="315">
        <f t="shared" si="520"/>
        <v>5</v>
      </c>
      <c r="W1930" s="316">
        <f t="shared" si="521"/>
        <v>0</v>
      </c>
    </row>
    <row r="1931" spans="1:23" x14ac:dyDescent="0.25">
      <c r="A1931" s="204" t="s">
        <v>17594</v>
      </c>
      <c r="B1931" s="351" t="s">
        <v>21635</v>
      </c>
      <c r="C1931" s="352"/>
      <c r="D1931" s="353" t="s">
        <v>14859</v>
      </c>
      <c r="E1931" s="249">
        <f t="shared" si="522"/>
        <v>0</v>
      </c>
      <c r="F1931" s="336">
        <v>0</v>
      </c>
      <c r="G1931" s="258">
        <f t="shared" si="523"/>
        <v>0</v>
      </c>
      <c r="H1931" s="249">
        <f t="shared" si="524"/>
        <v>10.96704997074079</v>
      </c>
      <c r="I1931" s="336">
        <v>1.6957042159861685E-2</v>
      </c>
      <c r="J1931" s="258">
        <f t="shared" si="525"/>
        <v>1.6957042159861685E-2</v>
      </c>
      <c r="K1931" s="249">
        <f t="shared" si="526"/>
        <v>616.86430482484354</v>
      </c>
      <c r="L1931" s="336">
        <v>0.95378374783880826</v>
      </c>
      <c r="M1931" s="258">
        <f t="shared" si="527"/>
        <v>0.95378374783880826</v>
      </c>
      <c r="N1931" s="251">
        <f t="shared" si="528"/>
        <v>18.923537204415478</v>
      </c>
      <c r="O1931" s="336">
        <v>2.9259210001329965E-2</v>
      </c>
      <c r="P1931" s="258">
        <f t="shared" si="529"/>
        <v>2.9259210001329965E-2</v>
      </c>
      <c r="Q1931" s="354">
        <v>631.596</v>
      </c>
      <c r="R1931" s="249">
        <f t="shared" si="530"/>
        <v>646.75489199999993</v>
      </c>
      <c r="S1931" s="355">
        <v>0.1</v>
      </c>
      <c r="T1931" s="355"/>
      <c r="U1931" s="315">
        <f t="shared" si="519"/>
        <v>711.43038119999994</v>
      </c>
      <c r="V1931" s="315">
        <f t="shared" si="520"/>
        <v>715</v>
      </c>
      <c r="W1931" s="316">
        <f t="shared" si="521"/>
        <v>0</v>
      </c>
    </row>
    <row r="1932" spans="1:23" x14ac:dyDescent="0.25">
      <c r="A1932" s="204" t="s">
        <v>17595</v>
      </c>
      <c r="B1932" s="351" t="s">
        <v>21636</v>
      </c>
      <c r="C1932" s="352"/>
      <c r="D1932" s="353" t="s">
        <v>5</v>
      </c>
      <c r="E1932" s="249">
        <f t="shared" si="522"/>
        <v>0</v>
      </c>
      <c r="F1932" s="336">
        <v>0</v>
      </c>
      <c r="G1932" s="258">
        <f t="shared" si="523"/>
        <v>0</v>
      </c>
      <c r="H1932" s="249">
        <f t="shared" si="524"/>
        <v>6.376201395980774E-2</v>
      </c>
      <c r="I1932" s="336">
        <v>1.6372767089362288E-2</v>
      </c>
      <c r="J1932" s="258">
        <f t="shared" si="525"/>
        <v>1.6372767089362288E-2</v>
      </c>
      <c r="K1932" s="249">
        <f t="shared" si="526"/>
        <v>3.7205522123223576</v>
      </c>
      <c r="L1932" s="336">
        <v>0.95536089645103839</v>
      </c>
      <c r="M1932" s="258">
        <f t="shared" si="527"/>
        <v>0.95536089645103839</v>
      </c>
      <c r="N1932" s="251">
        <f t="shared" si="528"/>
        <v>0.11002072996986434</v>
      </c>
      <c r="O1932" s="336">
        <v>2.8251049095370222E-2</v>
      </c>
      <c r="P1932" s="258">
        <f t="shared" si="529"/>
        <v>2.8251049095370222E-2</v>
      </c>
      <c r="Q1932" s="354">
        <v>3.803110465116279</v>
      </c>
      <c r="R1932" s="249">
        <f t="shared" si="530"/>
        <v>3.8943944912790696</v>
      </c>
      <c r="S1932" s="355">
        <v>0.1</v>
      </c>
      <c r="T1932" s="355"/>
      <c r="U1932" s="315">
        <f t="shared" si="519"/>
        <v>4.2838339404069767</v>
      </c>
      <c r="V1932" s="315">
        <f t="shared" si="520"/>
        <v>5</v>
      </c>
      <c r="W1932" s="316">
        <f t="shared" si="521"/>
        <v>0</v>
      </c>
    </row>
    <row r="1933" spans="1:23" x14ac:dyDescent="0.25">
      <c r="A1933" s="204" t="s">
        <v>17596</v>
      </c>
      <c r="B1933" s="351" t="s">
        <v>21637</v>
      </c>
      <c r="C1933" s="352"/>
      <c r="D1933" s="353" t="s">
        <v>14859</v>
      </c>
      <c r="E1933" s="249">
        <f t="shared" si="522"/>
        <v>0</v>
      </c>
      <c r="F1933" s="336">
        <v>0</v>
      </c>
      <c r="G1933" s="258">
        <f t="shared" si="523"/>
        <v>0</v>
      </c>
      <c r="H1933" s="249">
        <f t="shared" si="524"/>
        <v>10.967234140085759</v>
      </c>
      <c r="I1933" s="336">
        <v>1.6372767089362288E-2</v>
      </c>
      <c r="J1933" s="258">
        <f t="shared" si="525"/>
        <v>1.6372767089362288E-2</v>
      </c>
      <c r="K1933" s="249">
        <f t="shared" si="526"/>
        <v>639.95500837309942</v>
      </c>
      <c r="L1933" s="336">
        <v>0.95537618381526745</v>
      </c>
      <c r="M1933" s="258">
        <f t="shared" si="527"/>
        <v>0.95537618381526745</v>
      </c>
      <c r="N1933" s="251">
        <f t="shared" si="528"/>
        <v>18.923854986814643</v>
      </c>
      <c r="O1933" s="336">
        <v>2.8251049095370222E-2</v>
      </c>
      <c r="P1933" s="258">
        <f t="shared" si="529"/>
        <v>2.8251049095370222E-2</v>
      </c>
      <c r="Q1933" s="354">
        <v>654.13499999999999</v>
      </c>
      <c r="R1933" s="249">
        <f t="shared" si="530"/>
        <v>669.84609749999981</v>
      </c>
      <c r="S1933" s="355">
        <v>0.1</v>
      </c>
      <c r="T1933" s="355"/>
      <c r="U1933" s="315">
        <f t="shared" si="519"/>
        <v>736.83070724999982</v>
      </c>
      <c r="V1933" s="315">
        <f t="shared" si="520"/>
        <v>740</v>
      </c>
      <c r="W1933" s="316">
        <f t="shared" si="521"/>
        <v>0</v>
      </c>
    </row>
    <row r="1934" spans="1:23" x14ac:dyDescent="0.25">
      <c r="A1934" s="204" t="s">
        <v>17597</v>
      </c>
      <c r="B1934" s="351" t="s">
        <v>21638</v>
      </c>
      <c r="C1934" s="352"/>
      <c r="D1934" s="353" t="s">
        <v>5</v>
      </c>
      <c r="E1934" s="249">
        <f t="shared" si="522"/>
        <v>0</v>
      </c>
      <c r="F1934" s="336">
        <v>0</v>
      </c>
      <c r="G1934" s="258">
        <f t="shared" si="523"/>
        <v>0</v>
      </c>
      <c r="H1934" s="249">
        <f t="shared" si="524"/>
        <v>6.3763840376546352E-2</v>
      </c>
      <c r="I1934" s="336">
        <v>1.5407522496277597E-2</v>
      </c>
      <c r="J1934" s="258">
        <f t="shared" si="525"/>
        <v>1.5407522496277597E-2</v>
      </c>
      <c r="K1934" s="249">
        <f t="shared" si="526"/>
        <v>3.9646403141314526</v>
      </c>
      <c r="L1934" s="336">
        <v>0.95799256238176411</v>
      </c>
      <c r="M1934" s="258">
        <f t="shared" si="527"/>
        <v>0.95799256238176411</v>
      </c>
      <c r="N1934" s="251">
        <f t="shared" si="528"/>
        <v>0.11002388143404077</v>
      </c>
      <c r="O1934" s="336">
        <v>2.658552901318487E-2</v>
      </c>
      <c r="P1934" s="258">
        <f t="shared" si="529"/>
        <v>2.658552901318487E-2</v>
      </c>
      <c r="Q1934" s="354">
        <v>4.0413662790697673</v>
      </c>
      <c r="R1934" s="249">
        <f t="shared" si="530"/>
        <v>4.1384875726744177</v>
      </c>
      <c r="S1934" s="355">
        <v>0.1</v>
      </c>
      <c r="T1934" s="355"/>
      <c r="U1934" s="315">
        <f t="shared" si="519"/>
        <v>4.5523363299418591</v>
      </c>
      <c r="V1934" s="315">
        <f t="shared" si="520"/>
        <v>5</v>
      </c>
      <c r="W1934" s="316">
        <f t="shared" si="521"/>
        <v>0</v>
      </c>
    </row>
    <row r="1935" spans="1:23" x14ac:dyDescent="0.25">
      <c r="A1935" s="204" t="s">
        <v>17598</v>
      </c>
      <c r="B1935" s="351" t="s">
        <v>21639</v>
      </c>
      <c r="C1935" s="352"/>
      <c r="D1935" s="353" t="s">
        <v>14859</v>
      </c>
      <c r="E1935" s="249">
        <f t="shared" si="522"/>
        <v>0</v>
      </c>
      <c r="F1935" s="336">
        <v>0</v>
      </c>
      <c r="G1935" s="258">
        <f t="shared" si="523"/>
        <v>0</v>
      </c>
      <c r="H1935" s="249">
        <f t="shared" si="524"/>
        <v>10.967538394833948</v>
      </c>
      <c r="I1935" s="336">
        <v>1.5407522496277595E-2</v>
      </c>
      <c r="J1935" s="258">
        <f t="shared" si="525"/>
        <v>1.5407522496277595E-2</v>
      </c>
      <c r="K1935" s="249">
        <f t="shared" si="526"/>
        <v>681.93818912976622</v>
      </c>
      <c r="L1935" s="336">
        <v>0.95800694849053747</v>
      </c>
      <c r="M1935" s="258">
        <f t="shared" si="527"/>
        <v>0.95800694849053747</v>
      </c>
      <c r="N1935" s="251">
        <f t="shared" si="528"/>
        <v>18.924379975399752</v>
      </c>
      <c r="O1935" s="336">
        <v>2.658552901318487E-2</v>
      </c>
      <c r="P1935" s="258">
        <f t="shared" si="529"/>
        <v>2.658552901318487E-2</v>
      </c>
      <c r="Q1935" s="354">
        <v>695.11500000000001</v>
      </c>
      <c r="R1935" s="249">
        <f t="shared" si="530"/>
        <v>711.83010749999994</v>
      </c>
      <c r="S1935" s="355">
        <v>0.1</v>
      </c>
      <c r="T1935" s="355"/>
      <c r="U1935" s="315">
        <f t="shared" si="519"/>
        <v>783.01311824999993</v>
      </c>
      <c r="V1935" s="315">
        <f t="shared" si="520"/>
        <v>785</v>
      </c>
      <c r="W1935" s="316">
        <f t="shared" si="521"/>
        <v>0</v>
      </c>
    </row>
    <row r="1936" spans="1:23" x14ac:dyDescent="0.25">
      <c r="A1936" s="204" t="s">
        <v>17599</v>
      </c>
      <c r="B1936" s="351" t="s">
        <v>21640</v>
      </c>
      <c r="C1936" s="352"/>
      <c r="D1936" s="353" t="s">
        <v>5</v>
      </c>
      <c r="E1936" s="249">
        <f t="shared" si="522"/>
        <v>0</v>
      </c>
      <c r="F1936" s="336">
        <v>0</v>
      </c>
      <c r="G1936" s="258">
        <f t="shared" si="523"/>
        <v>0</v>
      </c>
      <c r="H1936" s="249">
        <f t="shared" si="524"/>
        <v>6.3763840376546352E-2</v>
      </c>
      <c r="I1936" s="336">
        <v>1.5407522496277597E-2</v>
      </c>
      <c r="J1936" s="258">
        <f t="shared" si="525"/>
        <v>1.5407522496277597E-2</v>
      </c>
      <c r="K1936" s="249">
        <f t="shared" si="526"/>
        <v>3.9646403141314526</v>
      </c>
      <c r="L1936" s="336">
        <v>0.95799256238176411</v>
      </c>
      <c r="M1936" s="258">
        <f t="shared" si="527"/>
        <v>0.95799256238176411</v>
      </c>
      <c r="N1936" s="251">
        <f t="shared" si="528"/>
        <v>0.11002388143404077</v>
      </c>
      <c r="O1936" s="336">
        <v>2.658552901318487E-2</v>
      </c>
      <c r="P1936" s="258">
        <f t="shared" si="529"/>
        <v>2.658552901318487E-2</v>
      </c>
      <c r="Q1936" s="354">
        <v>4.0413662790697673</v>
      </c>
      <c r="R1936" s="249">
        <f t="shared" si="530"/>
        <v>4.1384875726744177</v>
      </c>
      <c r="S1936" s="355">
        <v>0.1</v>
      </c>
      <c r="T1936" s="355"/>
      <c r="U1936" s="315">
        <f t="shared" si="519"/>
        <v>4.5523363299418591</v>
      </c>
      <c r="V1936" s="315">
        <f t="shared" si="520"/>
        <v>5</v>
      </c>
      <c r="W1936" s="316">
        <f t="shared" si="521"/>
        <v>0</v>
      </c>
    </row>
    <row r="1937" spans="1:23" x14ac:dyDescent="0.25">
      <c r="A1937" s="204" t="s">
        <v>17600</v>
      </c>
      <c r="B1937" s="351" t="s">
        <v>21641</v>
      </c>
      <c r="C1937" s="352"/>
      <c r="D1937" s="353" t="s">
        <v>14859</v>
      </c>
      <c r="E1937" s="249">
        <f t="shared" si="522"/>
        <v>0</v>
      </c>
      <c r="F1937" s="336">
        <v>0</v>
      </c>
      <c r="G1937" s="258">
        <f t="shared" si="523"/>
        <v>0</v>
      </c>
      <c r="H1937" s="249">
        <f t="shared" si="524"/>
        <v>10.967538394833948</v>
      </c>
      <c r="I1937" s="336">
        <v>1.5407522496277595E-2</v>
      </c>
      <c r="J1937" s="258">
        <f t="shared" si="525"/>
        <v>1.5407522496277595E-2</v>
      </c>
      <c r="K1937" s="249">
        <f t="shared" si="526"/>
        <v>681.93818912976622</v>
      </c>
      <c r="L1937" s="336">
        <v>0.95800694849053747</v>
      </c>
      <c r="M1937" s="258">
        <f t="shared" si="527"/>
        <v>0.95800694849053747</v>
      </c>
      <c r="N1937" s="251">
        <f t="shared" si="528"/>
        <v>18.924379975399752</v>
      </c>
      <c r="O1937" s="336">
        <v>2.658552901318487E-2</v>
      </c>
      <c r="P1937" s="258">
        <f t="shared" si="529"/>
        <v>2.658552901318487E-2</v>
      </c>
      <c r="Q1937" s="354">
        <v>695.11500000000001</v>
      </c>
      <c r="R1937" s="249">
        <f t="shared" si="530"/>
        <v>711.83010749999994</v>
      </c>
      <c r="S1937" s="355">
        <v>0.1</v>
      </c>
      <c r="T1937" s="355"/>
      <c r="U1937" s="315">
        <f t="shared" si="519"/>
        <v>783.01311824999993</v>
      </c>
      <c r="V1937" s="315">
        <f t="shared" si="520"/>
        <v>785</v>
      </c>
      <c r="W1937" s="316">
        <f t="shared" si="521"/>
        <v>0</v>
      </c>
    </row>
    <row r="1938" spans="1:23" x14ac:dyDescent="0.25">
      <c r="A1938" s="204" t="s">
        <v>17601</v>
      </c>
      <c r="B1938" s="351" t="s">
        <v>21642</v>
      </c>
      <c r="C1938" s="352"/>
      <c r="D1938" s="353" t="s">
        <v>5</v>
      </c>
      <c r="E1938" s="249">
        <f t="shared" si="522"/>
        <v>0</v>
      </c>
      <c r="F1938" s="336">
        <v>0</v>
      </c>
      <c r="G1938" s="258">
        <f t="shared" si="523"/>
        <v>0</v>
      </c>
      <c r="H1938" s="249">
        <f t="shared" si="524"/>
        <v>6.3764138084881683E-2</v>
      </c>
      <c r="I1938" s="336">
        <v>1.5250186355568561E-2</v>
      </c>
      <c r="J1938" s="258">
        <f t="shared" si="525"/>
        <v>1.5250186355568561E-2</v>
      </c>
      <c r="K1938" s="249">
        <f t="shared" si="526"/>
        <v>4.0073557916965186</v>
      </c>
      <c r="L1938" s="336">
        <v>0.95842152739658237</v>
      </c>
      <c r="M1938" s="258">
        <f t="shared" si="527"/>
        <v>0.95842152739658237</v>
      </c>
      <c r="N1938" s="251">
        <f t="shared" si="528"/>
        <v>0.11002439512685466</v>
      </c>
      <c r="O1938" s="336">
        <v>2.6314047044902613E-2</v>
      </c>
      <c r="P1938" s="258">
        <f t="shared" si="529"/>
        <v>2.6314047044902613E-2</v>
      </c>
      <c r="Q1938" s="354">
        <v>4.0830610465116282</v>
      </c>
      <c r="R1938" s="249">
        <f t="shared" si="530"/>
        <v>4.1812038619186049</v>
      </c>
      <c r="S1938" s="355">
        <v>0.1</v>
      </c>
      <c r="T1938" s="355"/>
      <c r="U1938" s="315">
        <f t="shared" si="519"/>
        <v>4.5993242481104657</v>
      </c>
      <c r="V1938" s="315">
        <f t="shared" si="520"/>
        <v>5</v>
      </c>
      <c r="W1938" s="316">
        <f t="shared" si="521"/>
        <v>0</v>
      </c>
    </row>
    <row r="1939" spans="1:23" x14ac:dyDescent="0.25">
      <c r="A1939" s="204" t="s">
        <v>17602</v>
      </c>
      <c r="B1939" s="351" t="s">
        <v>21643</v>
      </c>
      <c r="C1939" s="352"/>
      <c r="D1939" s="353" t="s">
        <v>14859</v>
      </c>
      <c r="E1939" s="249">
        <f t="shared" si="522"/>
        <v>0</v>
      </c>
      <c r="F1939" s="336">
        <v>0</v>
      </c>
      <c r="G1939" s="258">
        <f t="shared" si="523"/>
        <v>0</v>
      </c>
      <c r="H1939" s="249">
        <f t="shared" si="524"/>
        <v>10.967587988758861</v>
      </c>
      <c r="I1939" s="336">
        <v>1.5250186355568561E-2</v>
      </c>
      <c r="J1939" s="258">
        <f t="shared" si="525"/>
        <v>1.5250186355568561E-2</v>
      </c>
      <c r="K1939" s="249">
        <f t="shared" si="526"/>
        <v>689.2852557120101</v>
      </c>
      <c r="L1939" s="336">
        <v>0.95843576659952878</v>
      </c>
      <c r="M1939" s="258">
        <f t="shared" si="527"/>
        <v>0.95843576659952878</v>
      </c>
      <c r="N1939" s="251">
        <f t="shared" si="528"/>
        <v>18.924465549230977</v>
      </c>
      <c r="O1939" s="336">
        <v>2.6314047044902613E-2</v>
      </c>
      <c r="P1939" s="258">
        <f t="shared" si="529"/>
        <v>2.6314047044902613E-2</v>
      </c>
      <c r="Q1939" s="354">
        <v>702.28650000000005</v>
      </c>
      <c r="R1939" s="249">
        <f t="shared" si="530"/>
        <v>719.17730925000001</v>
      </c>
      <c r="S1939" s="355">
        <v>0.1</v>
      </c>
      <c r="T1939" s="355"/>
      <c r="U1939" s="315">
        <f t="shared" si="519"/>
        <v>791.09504017500001</v>
      </c>
      <c r="V1939" s="315">
        <f t="shared" si="520"/>
        <v>795</v>
      </c>
      <c r="W1939" s="316">
        <f t="shared" si="521"/>
        <v>0</v>
      </c>
    </row>
    <row r="1940" spans="1:23" x14ac:dyDescent="0.25">
      <c r="A1940" s="204" t="s">
        <v>17603</v>
      </c>
      <c r="B1940" s="351" t="s">
        <v>21644</v>
      </c>
      <c r="C1940" s="352"/>
      <c r="D1940" s="353" t="s">
        <v>5</v>
      </c>
      <c r="E1940" s="249">
        <f t="shared" si="522"/>
        <v>0</v>
      </c>
      <c r="F1940" s="336">
        <v>0</v>
      </c>
      <c r="G1940" s="258">
        <f t="shared" si="523"/>
        <v>0</v>
      </c>
      <c r="H1940" s="249">
        <f t="shared" si="524"/>
        <v>6.3764876415750946E-2</v>
      </c>
      <c r="I1940" s="336">
        <v>1.4859985223263993E-2</v>
      </c>
      <c r="J1940" s="258">
        <f t="shared" si="525"/>
        <v>1.4859985223263993E-2</v>
      </c>
      <c r="K1940" s="249">
        <f t="shared" si="526"/>
        <v>4.1171956653214945</v>
      </c>
      <c r="L1940" s="336">
        <v>0.95948538109063397</v>
      </c>
      <c r="M1940" s="258">
        <f t="shared" si="527"/>
        <v>0.95948538109063397</v>
      </c>
      <c r="N1940" s="251">
        <f t="shared" si="528"/>
        <v>0.11002566910953103</v>
      </c>
      <c r="O1940" s="336">
        <v>2.5640758816612378E-2</v>
      </c>
      <c r="P1940" s="258">
        <f t="shared" si="529"/>
        <v>2.5640758816612378E-2</v>
      </c>
      <c r="Q1940" s="354">
        <v>4.1902761627906981</v>
      </c>
      <c r="R1940" s="249">
        <f t="shared" si="530"/>
        <v>4.2910457485465114</v>
      </c>
      <c r="S1940" s="355">
        <v>0.1</v>
      </c>
      <c r="T1940" s="355"/>
      <c r="U1940" s="315">
        <f t="shared" si="519"/>
        <v>4.7201503234011621</v>
      </c>
      <c r="V1940" s="315">
        <f t="shared" si="520"/>
        <v>5</v>
      </c>
      <c r="W1940" s="316">
        <f t="shared" si="521"/>
        <v>0</v>
      </c>
    </row>
    <row r="1941" spans="1:23" x14ac:dyDescent="0.25">
      <c r="A1941" s="204" t="s">
        <v>17604</v>
      </c>
      <c r="B1941" s="351" t="s">
        <v>21645</v>
      </c>
      <c r="C1941" s="352"/>
      <c r="D1941" s="353" t="s">
        <v>14859</v>
      </c>
      <c r="E1941" s="249">
        <f t="shared" si="522"/>
        <v>0</v>
      </c>
      <c r="F1941" s="336">
        <v>0</v>
      </c>
      <c r="G1941" s="258">
        <f t="shared" si="523"/>
        <v>0</v>
      </c>
      <c r="H1941" s="249">
        <f t="shared" si="524"/>
        <v>10.967710984057774</v>
      </c>
      <c r="I1941" s="336">
        <v>1.4859985223263993E-2</v>
      </c>
      <c r="J1941" s="258">
        <f t="shared" si="525"/>
        <v>1.4859985223263993E-2</v>
      </c>
      <c r="K1941" s="249">
        <f t="shared" si="526"/>
        <v>708.17772498952877</v>
      </c>
      <c r="L1941" s="336">
        <v>0.95949925596012353</v>
      </c>
      <c r="M1941" s="258">
        <f t="shared" si="527"/>
        <v>0.95949925596012353</v>
      </c>
      <c r="N1941" s="251">
        <f t="shared" si="528"/>
        <v>18.924677776413414</v>
      </c>
      <c r="O1941" s="336">
        <v>2.5640758816612378E-2</v>
      </c>
      <c r="P1941" s="258">
        <f t="shared" si="529"/>
        <v>2.5640758816612378E-2</v>
      </c>
      <c r="Q1941" s="354">
        <v>720.72750000000008</v>
      </c>
      <c r="R1941" s="249">
        <f t="shared" si="530"/>
        <v>738.07011375000002</v>
      </c>
      <c r="S1941" s="355">
        <v>0.1</v>
      </c>
      <c r="T1941" s="355"/>
      <c r="U1941" s="315">
        <f t="shared" si="519"/>
        <v>811.87712512500002</v>
      </c>
      <c r="V1941" s="315">
        <f t="shared" si="520"/>
        <v>815</v>
      </c>
      <c r="W1941" s="316">
        <f t="shared" si="521"/>
        <v>0</v>
      </c>
    </row>
    <row r="1942" spans="1:23" x14ac:dyDescent="0.25">
      <c r="A1942" s="204" t="s">
        <v>17605</v>
      </c>
      <c r="B1942" s="351" t="s">
        <v>21646</v>
      </c>
      <c r="C1942" s="352"/>
      <c r="D1942" s="353" t="s">
        <v>5</v>
      </c>
      <c r="E1942" s="249">
        <f t="shared" si="522"/>
        <v>0</v>
      </c>
      <c r="F1942" s="336">
        <v>0</v>
      </c>
      <c r="G1942" s="258">
        <f t="shared" si="523"/>
        <v>0</v>
      </c>
      <c r="H1942" s="249">
        <f t="shared" si="524"/>
        <v>6.376837586218477E-2</v>
      </c>
      <c r="I1942" s="336">
        <v>1.3010559690953653E-2</v>
      </c>
      <c r="J1942" s="258">
        <f t="shared" si="525"/>
        <v>1.3010559690953653E-2</v>
      </c>
      <c r="K1942" s="249">
        <f t="shared" si="526"/>
        <v>4.7274188278354616</v>
      </c>
      <c r="L1942" s="336">
        <v>0.96452769906854829</v>
      </c>
      <c r="M1942" s="258">
        <f t="shared" si="527"/>
        <v>0.96452769906854829</v>
      </c>
      <c r="N1942" s="251">
        <f t="shared" si="528"/>
        <v>0.11003170737004428</v>
      </c>
      <c r="O1942" s="336">
        <v>2.244959319223375E-2</v>
      </c>
      <c r="P1942" s="258">
        <f t="shared" si="529"/>
        <v>2.244959319223375E-2</v>
      </c>
      <c r="Q1942" s="354">
        <v>4.7859156976744188</v>
      </c>
      <c r="R1942" s="249">
        <f t="shared" si="530"/>
        <v>4.9012784520348829</v>
      </c>
      <c r="S1942" s="355">
        <v>0.1</v>
      </c>
      <c r="T1942" s="355"/>
      <c r="U1942" s="315">
        <f t="shared" si="519"/>
        <v>5.3914062972383707</v>
      </c>
      <c r="V1942" s="315">
        <f t="shared" si="520"/>
        <v>6</v>
      </c>
      <c r="W1942" s="316">
        <f t="shared" si="521"/>
        <v>0</v>
      </c>
    </row>
    <row r="1943" spans="1:23" x14ac:dyDescent="0.25">
      <c r="A1943" s="204" t="s">
        <v>17606</v>
      </c>
      <c r="B1943" s="351" t="s">
        <v>21647</v>
      </c>
      <c r="C1943" s="352"/>
      <c r="D1943" s="353" t="s">
        <v>14859</v>
      </c>
      <c r="E1943" s="249">
        <f t="shared" si="522"/>
        <v>0</v>
      </c>
      <c r="F1943" s="336">
        <v>0</v>
      </c>
      <c r="G1943" s="258">
        <f t="shared" si="523"/>
        <v>0</v>
      </c>
      <c r="H1943" s="249">
        <f t="shared" si="524"/>
        <v>10.968293941479814</v>
      </c>
      <c r="I1943" s="336">
        <v>1.3010559690953653E-2</v>
      </c>
      <c r="J1943" s="258">
        <f t="shared" si="525"/>
        <v>1.3010559690953653E-2</v>
      </c>
      <c r="K1943" s="249">
        <f t="shared" si="526"/>
        <v>813.13616114479009</v>
      </c>
      <c r="L1943" s="336">
        <v>0.96453984711681251</v>
      </c>
      <c r="M1943" s="258">
        <f t="shared" si="527"/>
        <v>0.96453984711681251</v>
      </c>
      <c r="N1943" s="251">
        <f t="shared" si="528"/>
        <v>18.925683663729874</v>
      </c>
      <c r="O1943" s="336">
        <v>2.2449593192233754E-2</v>
      </c>
      <c r="P1943" s="258">
        <f t="shared" si="529"/>
        <v>2.2449593192233754E-2</v>
      </c>
      <c r="Q1943" s="354">
        <v>823.17750000000001</v>
      </c>
      <c r="R1943" s="249">
        <f t="shared" si="530"/>
        <v>843.03013874999988</v>
      </c>
      <c r="S1943" s="355">
        <v>0.1</v>
      </c>
      <c r="T1943" s="355"/>
      <c r="U1943" s="315">
        <f t="shared" si="519"/>
        <v>927.33315262499991</v>
      </c>
      <c r="V1943" s="315">
        <f t="shared" si="520"/>
        <v>930</v>
      </c>
      <c r="W1943" s="316">
        <f t="shared" si="521"/>
        <v>0</v>
      </c>
    </row>
    <row r="1944" spans="1:23" x14ac:dyDescent="0.25">
      <c r="A1944" s="204" t="s">
        <v>17607</v>
      </c>
      <c r="B1944" s="351" t="s">
        <v>21648</v>
      </c>
      <c r="C1944" s="352"/>
      <c r="D1944" s="353" t="s">
        <v>5</v>
      </c>
      <c r="E1944" s="249">
        <f t="shared" si="522"/>
        <v>0</v>
      </c>
      <c r="F1944" s="336">
        <v>0</v>
      </c>
      <c r="G1944" s="258">
        <f t="shared" si="523"/>
        <v>0</v>
      </c>
      <c r="H1944" s="249">
        <f t="shared" si="524"/>
        <v>6.3772139370109282E-2</v>
      </c>
      <c r="I1944" s="336">
        <v>1.1021580068537557E-2</v>
      </c>
      <c r="J1944" s="258">
        <f t="shared" si="525"/>
        <v>1.1021580068537557E-2</v>
      </c>
      <c r="K1944" s="249">
        <f t="shared" si="526"/>
        <v>5.6122459869756396</v>
      </c>
      <c r="L1944" s="336">
        <v>0.96995050065347377</v>
      </c>
      <c r="M1944" s="258">
        <f t="shared" si="527"/>
        <v>0.96995050065347377</v>
      </c>
      <c r="N1944" s="251">
        <f t="shared" si="528"/>
        <v>0.1100382012660709</v>
      </c>
      <c r="O1944" s="336">
        <v>1.9017628353554999E-2</v>
      </c>
      <c r="P1944" s="258">
        <f t="shared" si="529"/>
        <v>1.9017628353554999E-2</v>
      </c>
      <c r="Q1944" s="354">
        <v>5.6495930232558145</v>
      </c>
      <c r="R1944" s="249">
        <f t="shared" si="530"/>
        <v>5.7861158720930241</v>
      </c>
      <c r="S1944" s="355">
        <v>0.1</v>
      </c>
      <c r="T1944" s="355"/>
      <c r="U1944" s="315">
        <f t="shared" si="519"/>
        <v>6.3647274593023262</v>
      </c>
      <c r="V1944" s="315">
        <f t="shared" si="520"/>
        <v>7</v>
      </c>
      <c r="W1944" s="316">
        <f t="shared" si="521"/>
        <v>0</v>
      </c>
    </row>
    <row r="1945" spans="1:23" x14ac:dyDescent="0.25">
      <c r="A1945" s="204" t="s">
        <v>17608</v>
      </c>
      <c r="B1945" s="351" t="s">
        <v>21649</v>
      </c>
      <c r="C1945" s="352"/>
      <c r="D1945" s="353" t="s">
        <v>14859</v>
      </c>
      <c r="E1945" s="249">
        <f t="shared" si="522"/>
        <v>0</v>
      </c>
      <c r="F1945" s="336">
        <v>0</v>
      </c>
      <c r="G1945" s="258">
        <f t="shared" si="523"/>
        <v>0</v>
      </c>
      <c r="H1945" s="249">
        <f t="shared" si="524"/>
        <v>10.968920887746595</v>
      </c>
      <c r="I1945" s="336">
        <v>1.1021580068537557E-2</v>
      </c>
      <c r="J1945" s="258">
        <f t="shared" si="525"/>
        <v>1.1021580068537557E-2</v>
      </c>
      <c r="K1945" s="249">
        <f t="shared" si="526"/>
        <v>965.32648865888655</v>
      </c>
      <c r="L1945" s="336">
        <v>0.96996079157790738</v>
      </c>
      <c r="M1945" s="258">
        <f t="shared" si="527"/>
        <v>0.96996079157790738</v>
      </c>
      <c r="N1945" s="251">
        <f t="shared" si="528"/>
        <v>18.926765453366674</v>
      </c>
      <c r="O1945" s="336">
        <v>1.9017628353554999E-2</v>
      </c>
      <c r="P1945" s="258">
        <f t="shared" si="529"/>
        <v>1.9017628353554999E-2</v>
      </c>
      <c r="Q1945" s="354">
        <v>971.73</v>
      </c>
      <c r="R1945" s="249">
        <f t="shared" si="530"/>
        <v>995.22217499999988</v>
      </c>
      <c r="S1945" s="355">
        <v>0.1</v>
      </c>
      <c r="T1945" s="355"/>
      <c r="U1945" s="315">
        <f t="shared" si="519"/>
        <v>1094.7443924999998</v>
      </c>
      <c r="V1945" s="315">
        <f t="shared" si="520"/>
        <v>1100</v>
      </c>
      <c r="W1945" s="316">
        <f t="shared" si="521"/>
        <v>0</v>
      </c>
    </row>
    <row r="1946" spans="1:23" x14ac:dyDescent="0.25">
      <c r="A1946" s="203" t="s">
        <v>17609</v>
      </c>
      <c r="B1946" s="345" t="s">
        <v>17610</v>
      </c>
      <c r="C1946" s="346"/>
      <c r="D1946" s="347"/>
      <c r="E1946" s="347"/>
      <c r="F1946" s="347"/>
      <c r="G1946" s="347"/>
      <c r="H1946" s="347"/>
      <c r="I1946" s="347"/>
      <c r="J1946" s="347"/>
      <c r="K1946" s="347"/>
      <c r="L1946" s="347"/>
      <c r="M1946" s="347"/>
      <c r="N1946" s="347"/>
      <c r="O1946" s="347"/>
      <c r="P1946" s="347"/>
      <c r="Q1946" s="347"/>
      <c r="R1946" s="347"/>
      <c r="S1946" s="347"/>
      <c r="T1946" s="348"/>
      <c r="U1946" s="349"/>
      <c r="V1946" s="349"/>
      <c r="W1946" s="350"/>
    </row>
    <row r="1947" spans="1:23" ht="14.4" thickBot="1" x14ac:dyDescent="0.3">
      <c r="A1947" s="356" t="s">
        <v>17611</v>
      </c>
      <c r="B1947" s="357" t="s">
        <v>21650</v>
      </c>
      <c r="C1947" s="358"/>
      <c r="D1947" s="359" t="s">
        <v>14859</v>
      </c>
      <c r="E1947" s="266">
        <f t="shared" si="522"/>
        <v>0</v>
      </c>
      <c r="F1947" s="360">
        <v>0</v>
      </c>
      <c r="G1947" s="322">
        <f t="shared" si="523"/>
        <v>0</v>
      </c>
      <c r="H1947" s="266">
        <f t="shared" si="524"/>
        <v>10.905815128390973</v>
      </c>
      <c r="I1947" s="360">
        <v>0.21122385587078071</v>
      </c>
      <c r="J1947" s="322">
        <f t="shared" si="525"/>
        <v>0.21122385587078071</v>
      </c>
      <c r="K1947" s="266">
        <f t="shared" si="526"/>
        <v>21.907858037326569</v>
      </c>
      <c r="L1947" s="360">
        <v>0.42431145164630357</v>
      </c>
      <c r="M1947" s="322">
        <f t="shared" si="527"/>
        <v>0.42431145164630357</v>
      </c>
      <c r="N1947" s="270">
        <f t="shared" si="528"/>
        <v>18.817877084282461</v>
      </c>
      <c r="O1947" s="360">
        <v>0.36446469248291569</v>
      </c>
      <c r="P1947" s="322">
        <f t="shared" si="529"/>
        <v>0.36446469248291569</v>
      </c>
      <c r="Q1947" s="361">
        <v>50.704500000000003</v>
      </c>
      <c r="R1947" s="266">
        <f t="shared" si="530"/>
        <v>51.631550250000004</v>
      </c>
      <c r="S1947" s="362">
        <v>0.1</v>
      </c>
      <c r="T1947" s="362"/>
      <c r="U1947" s="324">
        <f t="shared" si="519"/>
        <v>56.794705275000005</v>
      </c>
      <c r="V1947" s="324">
        <f t="shared" si="520"/>
        <v>57</v>
      </c>
      <c r="W1947" s="325">
        <f t="shared" si="521"/>
        <v>0</v>
      </c>
    </row>
    <row r="1948" spans="1:23" x14ac:dyDescent="0.25">
      <c r="A1948" s="204" t="s">
        <v>17612</v>
      </c>
      <c r="B1948" s="351" t="s">
        <v>21651</v>
      </c>
      <c r="C1948" s="352"/>
      <c r="D1948" s="353" t="s">
        <v>5</v>
      </c>
      <c r="E1948" s="249">
        <f t="shared" si="522"/>
        <v>0</v>
      </c>
      <c r="F1948" s="336">
        <v>0</v>
      </c>
      <c r="G1948" s="258">
        <f t="shared" si="523"/>
        <v>0</v>
      </c>
      <c r="H1948" s="249">
        <f t="shared" si="524"/>
        <v>6.3393320581323132E-2</v>
      </c>
      <c r="I1948" s="336">
        <v>0.21122385587078069</v>
      </c>
      <c r="J1948" s="258">
        <f t="shared" si="525"/>
        <v>0.21122385587078069</v>
      </c>
      <c r="K1948" s="249">
        <f t="shared" si="526"/>
        <v>0.12728680321578559</v>
      </c>
      <c r="L1948" s="336">
        <v>0.42411423049236274</v>
      </c>
      <c r="M1948" s="258">
        <f t="shared" si="527"/>
        <v>0.42411423049236274</v>
      </c>
      <c r="N1948" s="251">
        <f t="shared" si="528"/>
        <v>0.10938455315993009</v>
      </c>
      <c r="O1948" s="336">
        <v>0.36446469248291569</v>
      </c>
      <c r="P1948" s="258">
        <f t="shared" si="529"/>
        <v>0.36446469248291569</v>
      </c>
      <c r="Q1948" s="354">
        <v>0.29479360465116283</v>
      </c>
      <c r="R1948" s="249">
        <f t="shared" si="530"/>
        <v>0.30012386773255822</v>
      </c>
      <c r="S1948" s="355">
        <v>0.1</v>
      </c>
      <c r="T1948" s="355"/>
      <c r="U1948" s="315">
        <f t="shared" si="519"/>
        <v>0.33013625450581408</v>
      </c>
      <c r="V1948" s="315">
        <f t="shared" si="520"/>
        <v>1</v>
      </c>
      <c r="W1948" s="316">
        <f t="shared" si="521"/>
        <v>0</v>
      </c>
    </row>
    <row r="1949" spans="1:23" x14ac:dyDescent="0.25">
      <c r="A1949" s="204" t="s">
        <v>17613</v>
      </c>
      <c r="B1949" s="351" t="s">
        <v>21652</v>
      </c>
      <c r="C1949" s="352"/>
      <c r="D1949" s="353" t="s">
        <v>14859</v>
      </c>
      <c r="E1949" s="249">
        <f t="shared" si="522"/>
        <v>0</v>
      </c>
      <c r="F1949" s="336">
        <v>0</v>
      </c>
      <c r="G1949" s="258">
        <f t="shared" si="523"/>
        <v>0</v>
      </c>
      <c r="H1949" s="249">
        <f t="shared" si="524"/>
        <v>10.905815128390973</v>
      </c>
      <c r="I1949" s="336">
        <v>0.21122385587078071</v>
      </c>
      <c r="J1949" s="258">
        <f t="shared" si="525"/>
        <v>0.21122385587078071</v>
      </c>
      <c r="K1949" s="249">
        <f t="shared" si="526"/>
        <v>21.907858037326569</v>
      </c>
      <c r="L1949" s="336">
        <v>0.42431145164630357</v>
      </c>
      <c r="M1949" s="258">
        <f t="shared" si="527"/>
        <v>0.42431145164630357</v>
      </c>
      <c r="N1949" s="251">
        <f t="shared" si="528"/>
        <v>18.817877084282461</v>
      </c>
      <c r="O1949" s="336">
        <v>0.36446469248291569</v>
      </c>
      <c r="P1949" s="258">
        <f t="shared" si="529"/>
        <v>0.36446469248291569</v>
      </c>
      <c r="Q1949" s="354">
        <v>50.704500000000003</v>
      </c>
      <c r="R1949" s="249">
        <f t="shared" si="530"/>
        <v>51.631550250000004</v>
      </c>
      <c r="S1949" s="355">
        <v>0.1</v>
      </c>
      <c r="T1949" s="355"/>
      <c r="U1949" s="315">
        <f t="shared" si="519"/>
        <v>56.794705275000005</v>
      </c>
      <c r="V1949" s="315">
        <f t="shared" si="520"/>
        <v>57</v>
      </c>
      <c r="W1949" s="316">
        <f t="shared" si="521"/>
        <v>0</v>
      </c>
    </row>
    <row r="1950" spans="1:23" x14ac:dyDescent="0.25">
      <c r="A1950" s="204" t="s">
        <v>17614</v>
      </c>
      <c r="B1950" s="351" t="s">
        <v>21653</v>
      </c>
      <c r="C1950" s="352"/>
      <c r="D1950" s="353" t="s">
        <v>5</v>
      </c>
      <c r="E1950" s="249">
        <f t="shared" si="522"/>
        <v>0</v>
      </c>
      <c r="F1950" s="336">
        <v>0</v>
      </c>
      <c r="G1950" s="258">
        <f t="shared" si="523"/>
        <v>0</v>
      </c>
      <c r="H1950" s="249">
        <f t="shared" si="524"/>
        <v>6.3393320581323132E-2</v>
      </c>
      <c r="I1950" s="336">
        <v>0.21122385587078069</v>
      </c>
      <c r="J1950" s="258">
        <f t="shared" si="525"/>
        <v>0.21122385587078069</v>
      </c>
      <c r="K1950" s="249">
        <f t="shared" si="526"/>
        <v>0.12728680321578559</v>
      </c>
      <c r="L1950" s="336">
        <v>0.42411423049236274</v>
      </c>
      <c r="M1950" s="258">
        <f t="shared" si="527"/>
        <v>0.42411423049236274</v>
      </c>
      <c r="N1950" s="251">
        <f t="shared" si="528"/>
        <v>0.10938455315993009</v>
      </c>
      <c r="O1950" s="336">
        <v>0.36446469248291569</v>
      </c>
      <c r="P1950" s="258">
        <f t="shared" si="529"/>
        <v>0.36446469248291569</v>
      </c>
      <c r="Q1950" s="354">
        <v>0.29479360465116283</v>
      </c>
      <c r="R1950" s="249">
        <f t="shared" si="530"/>
        <v>0.30012386773255822</v>
      </c>
      <c r="S1950" s="355">
        <v>0.1</v>
      </c>
      <c r="T1950" s="355"/>
      <c r="U1950" s="315">
        <f t="shared" si="519"/>
        <v>0.33013625450581408</v>
      </c>
      <c r="V1950" s="315">
        <f t="shared" si="520"/>
        <v>1</v>
      </c>
      <c r="W1950" s="316">
        <f t="shared" si="521"/>
        <v>0</v>
      </c>
    </row>
    <row r="1951" spans="1:23" x14ac:dyDescent="0.25">
      <c r="A1951" s="204" t="s">
        <v>17615</v>
      </c>
      <c r="B1951" s="351" t="s">
        <v>21654</v>
      </c>
      <c r="C1951" s="352"/>
      <c r="D1951" s="353" t="s">
        <v>14859</v>
      </c>
      <c r="E1951" s="249">
        <f t="shared" si="522"/>
        <v>0</v>
      </c>
      <c r="F1951" s="336">
        <v>0</v>
      </c>
      <c r="G1951" s="258">
        <f t="shared" si="523"/>
        <v>0</v>
      </c>
      <c r="H1951" s="249">
        <f t="shared" si="524"/>
        <v>10.905815128390973</v>
      </c>
      <c r="I1951" s="336">
        <v>0.21122385587078071</v>
      </c>
      <c r="J1951" s="258">
        <f t="shared" si="525"/>
        <v>0.21122385587078071</v>
      </c>
      <c r="K1951" s="249">
        <f t="shared" si="526"/>
        <v>21.907858037326569</v>
      </c>
      <c r="L1951" s="336">
        <v>0.42431145164630357</v>
      </c>
      <c r="M1951" s="258">
        <f t="shared" si="527"/>
        <v>0.42431145164630357</v>
      </c>
      <c r="N1951" s="251">
        <f t="shared" si="528"/>
        <v>18.817877084282461</v>
      </c>
      <c r="O1951" s="336">
        <v>0.36446469248291569</v>
      </c>
      <c r="P1951" s="258">
        <f t="shared" si="529"/>
        <v>0.36446469248291569</v>
      </c>
      <c r="Q1951" s="354">
        <v>50.704500000000003</v>
      </c>
      <c r="R1951" s="249">
        <f t="shared" si="530"/>
        <v>51.631550250000004</v>
      </c>
      <c r="S1951" s="355">
        <v>0.1</v>
      </c>
      <c r="T1951" s="355"/>
      <c r="U1951" s="315">
        <f t="shared" si="519"/>
        <v>56.794705275000005</v>
      </c>
      <c r="V1951" s="315">
        <f t="shared" si="520"/>
        <v>57</v>
      </c>
      <c r="W1951" s="316">
        <f t="shared" si="521"/>
        <v>0</v>
      </c>
    </row>
    <row r="1952" spans="1:23" x14ac:dyDescent="0.25">
      <c r="A1952" s="204" t="s">
        <v>17616</v>
      </c>
      <c r="B1952" s="351" t="s">
        <v>21655</v>
      </c>
      <c r="C1952" s="352"/>
      <c r="D1952" s="353" t="s">
        <v>5</v>
      </c>
      <c r="E1952" s="249">
        <f t="shared" si="522"/>
        <v>0</v>
      </c>
      <c r="F1952" s="336">
        <v>0</v>
      </c>
      <c r="G1952" s="258">
        <f t="shared" si="523"/>
        <v>0</v>
      </c>
      <c r="H1952" s="249">
        <f t="shared" si="524"/>
        <v>6.3393320581323132E-2</v>
      </c>
      <c r="I1952" s="336">
        <v>0.21122385587078069</v>
      </c>
      <c r="J1952" s="258">
        <f t="shared" si="525"/>
        <v>0.21122385587078069</v>
      </c>
      <c r="K1952" s="249">
        <f t="shared" si="526"/>
        <v>0.12728680321578559</v>
      </c>
      <c r="L1952" s="336">
        <v>0.42411423049236274</v>
      </c>
      <c r="M1952" s="258">
        <f t="shared" si="527"/>
        <v>0.42411423049236274</v>
      </c>
      <c r="N1952" s="251">
        <f t="shared" si="528"/>
        <v>0.10938455315993009</v>
      </c>
      <c r="O1952" s="336">
        <v>0.36446469248291569</v>
      </c>
      <c r="P1952" s="258">
        <f t="shared" si="529"/>
        <v>0.36446469248291569</v>
      </c>
      <c r="Q1952" s="354">
        <v>0.29479360465116283</v>
      </c>
      <c r="R1952" s="249">
        <f t="shared" si="530"/>
        <v>0.30012386773255822</v>
      </c>
      <c r="S1952" s="355">
        <v>0.1</v>
      </c>
      <c r="T1952" s="355"/>
      <c r="U1952" s="315">
        <f t="shared" si="519"/>
        <v>0.33013625450581408</v>
      </c>
      <c r="V1952" s="315">
        <f t="shared" si="520"/>
        <v>1</v>
      </c>
      <c r="W1952" s="316">
        <f t="shared" si="521"/>
        <v>0</v>
      </c>
    </row>
    <row r="1953" spans="1:23" x14ac:dyDescent="0.25">
      <c r="A1953" s="204" t="s">
        <v>17617</v>
      </c>
      <c r="B1953" s="351" t="s">
        <v>21656</v>
      </c>
      <c r="C1953" s="352"/>
      <c r="D1953" s="353" t="s">
        <v>14859</v>
      </c>
      <c r="E1953" s="249">
        <f t="shared" si="522"/>
        <v>0</v>
      </c>
      <c r="F1953" s="336">
        <v>0</v>
      </c>
      <c r="G1953" s="258">
        <f t="shared" si="523"/>
        <v>0</v>
      </c>
      <c r="H1953" s="249">
        <f t="shared" si="524"/>
        <v>10.907133751957316</v>
      </c>
      <c r="I1953" s="336">
        <v>0.20704053818941021</v>
      </c>
      <c r="J1953" s="258">
        <f t="shared" si="525"/>
        <v>0.20704053818941021</v>
      </c>
      <c r="K1953" s="249">
        <f t="shared" si="526"/>
        <v>22.953864391724178</v>
      </c>
      <c r="L1953" s="336">
        <v>0.43571304297396041</v>
      </c>
      <c r="M1953" s="258">
        <f t="shared" si="527"/>
        <v>0.43571304297396041</v>
      </c>
      <c r="N1953" s="251">
        <f t="shared" si="528"/>
        <v>18.820152356318509</v>
      </c>
      <c r="O1953" s="336">
        <v>0.35724641883662939</v>
      </c>
      <c r="P1953" s="258">
        <f t="shared" si="529"/>
        <v>0.35724641883662939</v>
      </c>
      <c r="Q1953" s="354">
        <v>51.728999999999999</v>
      </c>
      <c r="R1953" s="249">
        <f t="shared" si="530"/>
        <v>52.681150500000001</v>
      </c>
      <c r="S1953" s="355">
        <v>0.1</v>
      </c>
      <c r="T1953" s="355"/>
      <c r="U1953" s="315">
        <f t="shared" si="519"/>
        <v>57.94926555</v>
      </c>
      <c r="V1953" s="315">
        <f t="shared" si="520"/>
        <v>58</v>
      </c>
      <c r="W1953" s="316">
        <f t="shared" si="521"/>
        <v>0</v>
      </c>
    </row>
    <row r="1954" spans="1:23" x14ac:dyDescent="0.25">
      <c r="A1954" s="204" t="s">
        <v>17618</v>
      </c>
      <c r="B1954" s="351" t="s">
        <v>21657</v>
      </c>
      <c r="C1954" s="352"/>
      <c r="D1954" s="353" t="s">
        <v>5</v>
      </c>
      <c r="E1954" s="249">
        <f t="shared" si="522"/>
        <v>0</v>
      </c>
      <c r="F1954" s="336">
        <v>0</v>
      </c>
      <c r="G1954" s="258">
        <f t="shared" si="523"/>
        <v>0</v>
      </c>
      <c r="H1954" s="249">
        <f t="shared" si="524"/>
        <v>6.3401236172346331E-2</v>
      </c>
      <c r="I1954" s="336">
        <v>0.20704053818941021</v>
      </c>
      <c r="J1954" s="258">
        <f t="shared" si="525"/>
        <v>0.20704053818941021</v>
      </c>
      <c r="K1954" s="249">
        <f t="shared" si="526"/>
        <v>0.13336754899409811</v>
      </c>
      <c r="L1954" s="336">
        <v>0.43551972781225246</v>
      </c>
      <c r="M1954" s="258">
        <f t="shared" si="527"/>
        <v>0.43551972781225246</v>
      </c>
      <c r="N1954" s="251">
        <f t="shared" si="528"/>
        <v>0.10939821143463679</v>
      </c>
      <c r="O1954" s="336">
        <v>0.35724641883662933</v>
      </c>
      <c r="P1954" s="258">
        <f t="shared" si="529"/>
        <v>0.35724641883662933</v>
      </c>
      <c r="Q1954" s="354">
        <v>0.30075000000000002</v>
      </c>
      <c r="R1954" s="249">
        <f t="shared" si="530"/>
        <v>0.30622619476744195</v>
      </c>
      <c r="S1954" s="355">
        <v>0.1</v>
      </c>
      <c r="T1954" s="355"/>
      <c r="U1954" s="315">
        <f t="shared" si="519"/>
        <v>0.33684881424418617</v>
      </c>
      <c r="V1954" s="315">
        <f t="shared" si="520"/>
        <v>1</v>
      </c>
      <c r="W1954" s="316">
        <f t="shared" si="521"/>
        <v>0</v>
      </c>
    </row>
    <row r="1955" spans="1:23" x14ac:dyDescent="0.25">
      <c r="A1955" s="204" t="s">
        <v>17619</v>
      </c>
      <c r="B1955" s="351" t="s">
        <v>21658</v>
      </c>
      <c r="C1955" s="352"/>
      <c r="D1955" s="353" t="s">
        <v>14859</v>
      </c>
      <c r="E1955" s="249">
        <f t="shared" si="522"/>
        <v>0</v>
      </c>
      <c r="F1955" s="336">
        <v>0</v>
      </c>
      <c r="G1955" s="258">
        <f t="shared" si="523"/>
        <v>0</v>
      </c>
      <c r="H1955" s="249">
        <f t="shared" si="524"/>
        <v>10.907133751957316</v>
      </c>
      <c r="I1955" s="336">
        <v>0.20704053818941021</v>
      </c>
      <c r="J1955" s="258">
        <f t="shared" si="525"/>
        <v>0.20704053818941021</v>
      </c>
      <c r="K1955" s="249">
        <f t="shared" si="526"/>
        <v>22.953864391724178</v>
      </c>
      <c r="L1955" s="336">
        <v>0.43571304297396041</v>
      </c>
      <c r="M1955" s="258">
        <f t="shared" si="527"/>
        <v>0.43571304297396041</v>
      </c>
      <c r="N1955" s="251">
        <f t="shared" si="528"/>
        <v>18.820152356318509</v>
      </c>
      <c r="O1955" s="336">
        <v>0.35724641883662939</v>
      </c>
      <c r="P1955" s="258">
        <f t="shared" si="529"/>
        <v>0.35724641883662939</v>
      </c>
      <c r="Q1955" s="354">
        <v>51.728999999999999</v>
      </c>
      <c r="R1955" s="249">
        <f t="shared" si="530"/>
        <v>52.681150500000001</v>
      </c>
      <c r="S1955" s="355">
        <v>0.1</v>
      </c>
      <c r="T1955" s="355"/>
      <c r="U1955" s="315">
        <f t="shared" si="519"/>
        <v>57.94926555</v>
      </c>
      <c r="V1955" s="315">
        <f t="shared" si="520"/>
        <v>58</v>
      </c>
      <c r="W1955" s="316">
        <f t="shared" si="521"/>
        <v>0</v>
      </c>
    </row>
    <row r="1956" spans="1:23" x14ac:dyDescent="0.25">
      <c r="A1956" s="204" t="s">
        <v>17620</v>
      </c>
      <c r="B1956" s="351" t="s">
        <v>21659</v>
      </c>
      <c r="C1956" s="352"/>
      <c r="D1956" s="353" t="s">
        <v>5</v>
      </c>
      <c r="E1956" s="249">
        <f t="shared" si="522"/>
        <v>0</v>
      </c>
      <c r="F1956" s="336">
        <v>0</v>
      </c>
      <c r="G1956" s="258">
        <f t="shared" si="523"/>
        <v>0</v>
      </c>
      <c r="H1956" s="249">
        <f t="shared" si="524"/>
        <v>6.3401236172346331E-2</v>
      </c>
      <c r="I1956" s="336">
        <v>0.20704053818941021</v>
      </c>
      <c r="J1956" s="258">
        <f t="shared" si="525"/>
        <v>0.20704053818941021</v>
      </c>
      <c r="K1956" s="249">
        <f t="shared" si="526"/>
        <v>0.13336754899409811</v>
      </c>
      <c r="L1956" s="336">
        <v>0.43551972781225246</v>
      </c>
      <c r="M1956" s="258">
        <f t="shared" si="527"/>
        <v>0.43551972781225246</v>
      </c>
      <c r="N1956" s="251">
        <f t="shared" si="528"/>
        <v>0.10939821143463679</v>
      </c>
      <c r="O1956" s="336">
        <v>0.35724641883662933</v>
      </c>
      <c r="P1956" s="258">
        <f t="shared" si="529"/>
        <v>0.35724641883662933</v>
      </c>
      <c r="Q1956" s="354">
        <v>0.30075000000000002</v>
      </c>
      <c r="R1956" s="249">
        <f t="shared" si="530"/>
        <v>0.30622619476744195</v>
      </c>
      <c r="S1956" s="355">
        <v>0.1</v>
      </c>
      <c r="T1956" s="355"/>
      <c r="U1956" s="315">
        <f t="shared" si="519"/>
        <v>0.33684881424418617</v>
      </c>
      <c r="V1956" s="315">
        <f t="shared" si="520"/>
        <v>1</v>
      </c>
      <c r="W1956" s="316">
        <f t="shared" si="521"/>
        <v>0</v>
      </c>
    </row>
    <row r="1957" spans="1:23" x14ac:dyDescent="0.25">
      <c r="A1957" s="204" t="s">
        <v>17621</v>
      </c>
      <c r="B1957" s="351" t="s">
        <v>21660</v>
      </c>
      <c r="C1957" s="352"/>
      <c r="D1957" s="353" t="s">
        <v>14859</v>
      </c>
      <c r="E1957" s="249">
        <f t="shared" si="522"/>
        <v>0</v>
      </c>
      <c r="F1957" s="336">
        <v>0</v>
      </c>
      <c r="G1957" s="258">
        <f t="shared" si="523"/>
        <v>0</v>
      </c>
      <c r="H1957" s="249">
        <f t="shared" si="524"/>
        <v>10.935981069313657</v>
      </c>
      <c r="I1957" s="336">
        <v>0.11552276478011844</v>
      </c>
      <c r="J1957" s="258">
        <f t="shared" si="525"/>
        <v>0.11552276478011844</v>
      </c>
      <c r="K1957" s="249">
        <f t="shared" si="526"/>
        <v>64.859251311086282</v>
      </c>
      <c r="L1957" s="336">
        <v>0.68514383716791238</v>
      </c>
      <c r="M1957" s="258">
        <f t="shared" si="527"/>
        <v>0.68514383716791238</v>
      </c>
      <c r="N1957" s="251">
        <f t="shared" si="528"/>
        <v>18.869928119600036</v>
      </c>
      <c r="O1957" s="336">
        <v>0.19933339805196906</v>
      </c>
      <c r="P1957" s="258">
        <f t="shared" si="529"/>
        <v>0.19933339805196906</v>
      </c>
      <c r="Q1957" s="354">
        <v>92.709000000000003</v>
      </c>
      <c r="R1957" s="249">
        <f t="shared" si="530"/>
        <v>94.665160499999985</v>
      </c>
      <c r="S1957" s="355">
        <v>0.1</v>
      </c>
      <c r="T1957" s="355"/>
      <c r="U1957" s="315">
        <f t="shared" ref="U1957:U2020" si="531">(R1957*S1957)+R1957</f>
        <v>104.13167654999998</v>
      </c>
      <c r="V1957" s="315">
        <f t="shared" ref="V1957:V2020" si="532">IF(U1957=0, 0, IF(U1957&lt;10, _xlfn.CEILING.MATH(U1957,1), IF(U1957&lt;100, _xlfn.CEILING.MATH(U1957,1),IF(U1957&lt;1000, _xlfn.CEILING.MATH(U1957,5), IF(U1957&lt;10000, _xlfn.CEILING.MATH(U1957, 25), IF(U1957&lt;100000, _xlfn.CEILING.MATH(U1957,250), IF(U1957&lt;1000000, _xlfn.CEILING.MATH(U1957,500), 0)))))))</f>
        <v>105</v>
      </c>
      <c r="W1957" s="316">
        <f t="shared" si="521"/>
        <v>0</v>
      </c>
    </row>
    <row r="1958" spans="1:23" x14ac:dyDescent="0.25">
      <c r="A1958" s="204" t="s">
        <v>17622</v>
      </c>
      <c r="B1958" s="351" t="s">
        <v>21661</v>
      </c>
      <c r="C1958" s="352"/>
      <c r="D1958" s="353" t="s">
        <v>5</v>
      </c>
      <c r="E1958" s="249">
        <f t="shared" si="522"/>
        <v>0</v>
      </c>
      <c r="F1958" s="336">
        <v>0</v>
      </c>
      <c r="G1958" s="258">
        <f t="shared" si="523"/>
        <v>0</v>
      </c>
      <c r="H1958" s="249">
        <f t="shared" si="524"/>
        <v>6.3574404294119119E-2</v>
      </c>
      <c r="I1958" s="336">
        <v>0.11552276478011846</v>
      </c>
      <c r="J1958" s="258">
        <f t="shared" si="525"/>
        <v>0.11552276478011846</v>
      </c>
      <c r="K1958" s="249">
        <f t="shared" si="526"/>
        <v>0.37698850068302608</v>
      </c>
      <c r="L1958" s="336">
        <v>0.68503597277502715</v>
      </c>
      <c r="M1958" s="258">
        <f t="shared" si="527"/>
        <v>0.68503597277502715</v>
      </c>
      <c r="N1958" s="251">
        <f t="shared" si="528"/>
        <v>0.10969701133102903</v>
      </c>
      <c r="O1958" s="336">
        <v>0.19933339805196906</v>
      </c>
      <c r="P1958" s="258">
        <f t="shared" si="529"/>
        <v>0.19933339805196906</v>
      </c>
      <c r="Q1958" s="354">
        <v>0.53900581395348834</v>
      </c>
      <c r="R1958" s="249">
        <f t="shared" si="530"/>
        <v>0.55031927616279064</v>
      </c>
      <c r="S1958" s="355">
        <v>0.1</v>
      </c>
      <c r="T1958" s="355"/>
      <c r="U1958" s="315">
        <f t="shared" si="531"/>
        <v>0.6053512037790697</v>
      </c>
      <c r="V1958" s="315">
        <f t="shared" si="532"/>
        <v>1</v>
      </c>
      <c r="W1958" s="316">
        <f t="shared" si="521"/>
        <v>0</v>
      </c>
    </row>
    <row r="1959" spans="1:23" x14ac:dyDescent="0.25">
      <c r="A1959" s="204" t="s">
        <v>17623</v>
      </c>
      <c r="B1959" s="351" t="s">
        <v>21662</v>
      </c>
      <c r="C1959" s="352"/>
      <c r="D1959" s="353" t="s">
        <v>14859</v>
      </c>
      <c r="E1959" s="249">
        <f t="shared" si="522"/>
        <v>0</v>
      </c>
      <c r="F1959" s="336">
        <v>0</v>
      </c>
      <c r="G1959" s="258">
        <f t="shared" si="523"/>
        <v>0</v>
      </c>
      <c r="H1959" s="249">
        <f t="shared" si="524"/>
        <v>10.936768466092571</v>
      </c>
      <c r="I1959" s="336">
        <v>0.11302475780409042</v>
      </c>
      <c r="J1959" s="258">
        <f t="shared" si="525"/>
        <v>0.11302475780409042</v>
      </c>
      <c r="K1959" s="249">
        <f t="shared" si="526"/>
        <v>66.956305768884931</v>
      </c>
      <c r="L1959" s="336">
        <v>0.69195213069081229</v>
      </c>
      <c r="M1959" s="258">
        <f t="shared" si="527"/>
        <v>0.69195213069081229</v>
      </c>
      <c r="N1959" s="251">
        <f t="shared" si="528"/>
        <v>18.871286765022475</v>
      </c>
      <c r="O1959" s="336">
        <v>0.19502311150509719</v>
      </c>
      <c r="P1959" s="258">
        <f t="shared" si="529"/>
        <v>0.19502311150509719</v>
      </c>
      <c r="Q1959" s="354">
        <v>94.75800000000001</v>
      </c>
      <c r="R1959" s="249">
        <f t="shared" si="530"/>
        <v>96.764360999999994</v>
      </c>
      <c r="S1959" s="355">
        <v>0.1</v>
      </c>
      <c r="T1959" s="355"/>
      <c r="U1959" s="315">
        <f t="shared" si="531"/>
        <v>106.4407971</v>
      </c>
      <c r="V1959" s="315">
        <f t="shared" si="532"/>
        <v>110</v>
      </c>
      <c r="W1959" s="316">
        <f t="shared" si="521"/>
        <v>0</v>
      </c>
    </row>
    <row r="1960" spans="1:23" x14ac:dyDescent="0.25">
      <c r="A1960" s="204" t="s">
        <v>17624</v>
      </c>
      <c r="B1960" s="351" t="s">
        <v>21663</v>
      </c>
      <c r="C1960" s="352"/>
      <c r="D1960" s="353" t="s">
        <v>5</v>
      </c>
      <c r="E1960" s="249">
        <f t="shared" si="522"/>
        <v>0</v>
      </c>
      <c r="F1960" s="336">
        <v>0</v>
      </c>
      <c r="G1960" s="258">
        <f t="shared" si="523"/>
        <v>0</v>
      </c>
      <c r="H1960" s="249">
        <f t="shared" si="524"/>
        <v>6.3579130973539955E-2</v>
      </c>
      <c r="I1960" s="336">
        <v>0.11302475780409042</v>
      </c>
      <c r="J1960" s="258">
        <f t="shared" si="525"/>
        <v>0.11302475780409042</v>
      </c>
      <c r="K1960" s="249">
        <f t="shared" si="526"/>
        <v>0.38918026782103943</v>
      </c>
      <c r="L1960" s="336">
        <v>0.69184659870406728</v>
      </c>
      <c r="M1960" s="258">
        <f t="shared" si="527"/>
        <v>0.69184659870406728</v>
      </c>
      <c r="N1960" s="251">
        <f t="shared" si="528"/>
        <v>0.1097051671700297</v>
      </c>
      <c r="O1960" s="336">
        <v>0.19502311150509719</v>
      </c>
      <c r="P1960" s="258">
        <f t="shared" si="529"/>
        <v>0.19502311150509719</v>
      </c>
      <c r="Q1960" s="354">
        <v>0.55091860465116282</v>
      </c>
      <c r="R1960" s="249">
        <f t="shared" si="530"/>
        <v>0.5625239302325582</v>
      </c>
      <c r="S1960" s="355">
        <v>0.1</v>
      </c>
      <c r="T1960" s="355"/>
      <c r="U1960" s="315">
        <f t="shared" si="531"/>
        <v>0.618776323255814</v>
      </c>
      <c r="V1960" s="315">
        <f t="shared" si="532"/>
        <v>1</v>
      </c>
      <c r="W1960" s="316">
        <f t="shared" si="521"/>
        <v>0</v>
      </c>
    </row>
    <row r="1961" spans="1:23" x14ac:dyDescent="0.25">
      <c r="A1961" s="204" t="s">
        <v>17625</v>
      </c>
      <c r="B1961" s="351" t="s">
        <v>21664</v>
      </c>
      <c r="C1961" s="352"/>
      <c r="D1961" s="353" t="s">
        <v>14859</v>
      </c>
      <c r="E1961" s="249">
        <f t="shared" si="522"/>
        <v>0</v>
      </c>
      <c r="F1961" s="336">
        <v>0</v>
      </c>
      <c r="G1961" s="258">
        <f t="shared" si="523"/>
        <v>0</v>
      </c>
      <c r="H1961" s="249">
        <f t="shared" si="524"/>
        <v>10.936768466092571</v>
      </c>
      <c r="I1961" s="336">
        <v>0.11302475780409042</v>
      </c>
      <c r="J1961" s="258">
        <f t="shared" si="525"/>
        <v>0.11302475780409042</v>
      </c>
      <c r="K1961" s="249">
        <f t="shared" si="526"/>
        <v>66.956305768884931</v>
      </c>
      <c r="L1961" s="336">
        <v>0.69195213069081229</v>
      </c>
      <c r="M1961" s="258">
        <f t="shared" si="527"/>
        <v>0.69195213069081229</v>
      </c>
      <c r="N1961" s="251">
        <f t="shared" si="528"/>
        <v>18.871286765022475</v>
      </c>
      <c r="O1961" s="336">
        <v>0.19502311150509719</v>
      </c>
      <c r="P1961" s="258">
        <f t="shared" si="529"/>
        <v>0.19502311150509719</v>
      </c>
      <c r="Q1961" s="354">
        <v>94.75800000000001</v>
      </c>
      <c r="R1961" s="249">
        <f t="shared" si="530"/>
        <v>96.764360999999994</v>
      </c>
      <c r="S1961" s="355">
        <v>0.1</v>
      </c>
      <c r="T1961" s="355"/>
      <c r="U1961" s="315">
        <f t="shared" si="531"/>
        <v>106.4407971</v>
      </c>
      <c r="V1961" s="315">
        <f t="shared" si="532"/>
        <v>110</v>
      </c>
      <c r="W1961" s="316">
        <f t="shared" si="521"/>
        <v>0</v>
      </c>
    </row>
    <row r="1962" spans="1:23" x14ac:dyDescent="0.25">
      <c r="A1962" s="204" t="s">
        <v>17626</v>
      </c>
      <c r="B1962" s="351" t="s">
        <v>21665</v>
      </c>
      <c r="C1962" s="352"/>
      <c r="D1962" s="353" t="s">
        <v>5</v>
      </c>
      <c r="E1962" s="249">
        <f t="shared" si="522"/>
        <v>0</v>
      </c>
      <c r="F1962" s="336">
        <v>0</v>
      </c>
      <c r="G1962" s="258">
        <f t="shared" si="523"/>
        <v>0</v>
      </c>
      <c r="H1962" s="249">
        <f t="shared" si="524"/>
        <v>6.3579130973539955E-2</v>
      </c>
      <c r="I1962" s="336">
        <v>0.11302475780409042</v>
      </c>
      <c r="J1962" s="258">
        <f t="shared" si="525"/>
        <v>0.11302475780409042</v>
      </c>
      <c r="K1962" s="249">
        <f t="shared" si="526"/>
        <v>0.38918026782103943</v>
      </c>
      <c r="L1962" s="336">
        <v>0.69184659870406728</v>
      </c>
      <c r="M1962" s="258">
        <f t="shared" si="527"/>
        <v>0.69184659870406728</v>
      </c>
      <c r="N1962" s="251">
        <f t="shared" si="528"/>
        <v>0.1097051671700297</v>
      </c>
      <c r="O1962" s="336">
        <v>0.19502311150509719</v>
      </c>
      <c r="P1962" s="258">
        <f t="shared" si="529"/>
        <v>0.19502311150509719</v>
      </c>
      <c r="Q1962" s="354">
        <v>0.55091860465116282</v>
      </c>
      <c r="R1962" s="249">
        <f t="shared" si="530"/>
        <v>0.5625239302325582</v>
      </c>
      <c r="S1962" s="355">
        <v>0.1</v>
      </c>
      <c r="T1962" s="355"/>
      <c r="U1962" s="315">
        <f t="shared" si="531"/>
        <v>0.618776323255814</v>
      </c>
      <c r="V1962" s="315">
        <f t="shared" si="532"/>
        <v>1</v>
      </c>
      <c r="W1962" s="316">
        <f t="shared" si="521"/>
        <v>0</v>
      </c>
    </row>
    <row r="1963" spans="1:23" x14ac:dyDescent="0.25">
      <c r="A1963" s="204" t="s">
        <v>17627</v>
      </c>
      <c r="B1963" s="351" t="s">
        <v>21666</v>
      </c>
      <c r="C1963" s="352"/>
      <c r="D1963" s="353" t="s">
        <v>14859</v>
      </c>
      <c r="E1963" s="249">
        <f t="shared" si="522"/>
        <v>0</v>
      </c>
      <c r="F1963" s="336">
        <v>0</v>
      </c>
      <c r="G1963" s="258">
        <f t="shared" si="523"/>
        <v>0</v>
      </c>
      <c r="H1963" s="249">
        <f t="shared" si="524"/>
        <v>10.936768466092571</v>
      </c>
      <c r="I1963" s="336">
        <v>0.11302475780409042</v>
      </c>
      <c r="J1963" s="258">
        <f t="shared" si="525"/>
        <v>0.11302475780409042</v>
      </c>
      <c r="K1963" s="249">
        <f t="shared" si="526"/>
        <v>66.956305768884931</v>
      </c>
      <c r="L1963" s="336">
        <v>0.69195213069081229</v>
      </c>
      <c r="M1963" s="258">
        <f t="shared" si="527"/>
        <v>0.69195213069081229</v>
      </c>
      <c r="N1963" s="251">
        <f t="shared" si="528"/>
        <v>18.871286765022475</v>
      </c>
      <c r="O1963" s="336">
        <v>0.19502311150509719</v>
      </c>
      <c r="P1963" s="258">
        <f t="shared" si="529"/>
        <v>0.19502311150509719</v>
      </c>
      <c r="Q1963" s="354">
        <v>94.75800000000001</v>
      </c>
      <c r="R1963" s="249">
        <f t="shared" si="530"/>
        <v>96.764360999999994</v>
      </c>
      <c r="S1963" s="355">
        <v>0.1</v>
      </c>
      <c r="T1963" s="355"/>
      <c r="U1963" s="315">
        <f t="shared" si="531"/>
        <v>106.4407971</v>
      </c>
      <c r="V1963" s="315">
        <f t="shared" si="532"/>
        <v>110</v>
      </c>
      <c r="W1963" s="316">
        <f t="shared" si="521"/>
        <v>0</v>
      </c>
    </row>
    <row r="1964" spans="1:23" x14ac:dyDescent="0.25">
      <c r="A1964" s="204" t="s">
        <v>17628</v>
      </c>
      <c r="B1964" s="351" t="s">
        <v>21667</v>
      </c>
      <c r="C1964" s="352"/>
      <c r="D1964" s="353" t="s">
        <v>5</v>
      </c>
      <c r="E1964" s="249">
        <f t="shared" si="522"/>
        <v>0</v>
      </c>
      <c r="F1964" s="336">
        <v>0</v>
      </c>
      <c r="G1964" s="258">
        <f t="shared" si="523"/>
        <v>0</v>
      </c>
      <c r="H1964" s="249">
        <f t="shared" si="524"/>
        <v>6.3579130973539955E-2</v>
      </c>
      <c r="I1964" s="336">
        <v>0.11302475780409042</v>
      </c>
      <c r="J1964" s="258">
        <f t="shared" si="525"/>
        <v>0.11302475780409042</v>
      </c>
      <c r="K1964" s="249">
        <f t="shared" si="526"/>
        <v>0.38918026782103943</v>
      </c>
      <c r="L1964" s="336">
        <v>0.69184659870406728</v>
      </c>
      <c r="M1964" s="258">
        <f t="shared" si="527"/>
        <v>0.69184659870406728</v>
      </c>
      <c r="N1964" s="251">
        <f t="shared" si="528"/>
        <v>0.1097051671700297</v>
      </c>
      <c r="O1964" s="336">
        <v>0.19502311150509719</v>
      </c>
      <c r="P1964" s="258">
        <f t="shared" si="529"/>
        <v>0.19502311150509719</v>
      </c>
      <c r="Q1964" s="354">
        <v>0.55091860465116282</v>
      </c>
      <c r="R1964" s="249">
        <f t="shared" si="530"/>
        <v>0.5625239302325582</v>
      </c>
      <c r="S1964" s="355">
        <v>0.1</v>
      </c>
      <c r="T1964" s="355"/>
      <c r="U1964" s="315">
        <f t="shared" si="531"/>
        <v>0.618776323255814</v>
      </c>
      <c r="V1964" s="315">
        <f t="shared" si="532"/>
        <v>1</v>
      </c>
      <c r="W1964" s="316">
        <f t="shared" si="521"/>
        <v>0</v>
      </c>
    </row>
    <row r="1965" spans="1:23" x14ac:dyDescent="0.25">
      <c r="A1965" s="204" t="s">
        <v>17629</v>
      </c>
      <c r="B1965" s="351" t="s">
        <v>21668</v>
      </c>
      <c r="C1965" s="352"/>
      <c r="D1965" s="353" t="s">
        <v>14859</v>
      </c>
      <c r="E1965" s="249">
        <f t="shared" si="522"/>
        <v>0</v>
      </c>
      <c r="F1965" s="336">
        <v>0</v>
      </c>
      <c r="G1965" s="258">
        <f t="shared" si="523"/>
        <v>0</v>
      </c>
      <c r="H1965" s="249">
        <f t="shared" si="524"/>
        <v>10.941158800641212</v>
      </c>
      <c r="I1965" s="336">
        <v>9.9096473331390267E-2</v>
      </c>
      <c r="J1965" s="258">
        <f t="shared" si="525"/>
        <v>9.9096473331390267E-2</v>
      </c>
      <c r="K1965" s="249">
        <f t="shared" si="526"/>
        <v>80.589143205115121</v>
      </c>
      <c r="L1965" s="336">
        <v>0.72991353346934806</v>
      </c>
      <c r="M1965" s="258">
        <f t="shared" si="527"/>
        <v>0.72991353346934806</v>
      </c>
      <c r="N1965" s="251">
        <f t="shared" si="528"/>
        <v>18.878862244243656</v>
      </c>
      <c r="O1965" s="336">
        <v>0.17098999319926161</v>
      </c>
      <c r="P1965" s="258">
        <f t="shared" si="529"/>
        <v>0.17098999319926161</v>
      </c>
      <c r="Q1965" s="354">
        <v>108.07650000000001</v>
      </c>
      <c r="R1965" s="249">
        <f t="shared" si="530"/>
        <v>110.40916424999999</v>
      </c>
      <c r="S1965" s="355">
        <v>0.1</v>
      </c>
      <c r="T1965" s="355"/>
      <c r="U1965" s="315">
        <f t="shared" si="531"/>
        <v>121.45008067499998</v>
      </c>
      <c r="V1965" s="315">
        <f t="shared" si="532"/>
        <v>125</v>
      </c>
      <c r="W1965" s="316">
        <f t="shared" si="521"/>
        <v>0</v>
      </c>
    </row>
    <row r="1966" spans="1:23" x14ac:dyDescent="0.25">
      <c r="A1966" s="204" t="s">
        <v>17630</v>
      </c>
      <c r="B1966" s="351" t="s">
        <v>21669</v>
      </c>
      <c r="C1966" s="352"/>
      <c r="D1966" s="353" t="s">
        <v>5</v>
      </c>
      <c r="E1966" s="249">
        <f t="shared" si="522"/>
        <v>0</v>
      </c>
      <c r="F1966" s="336">
        <v>0</v>
      </c>
      <c r="G1966" s="258">
        <f t="shared" si="523"/>
        <v>0</v>
      </c>
      <c r="H1966" s="249">
        <f t="shared" si="524"/>
        <v>6.3605485798092651E-2</v>
      </c>
      <c r="I1966" s="336">
        <v>9.9096473331390267E-2</v>
      </c>
      <c r="J1966" s="258">
        <f t="shared" si="525"/>
        <v>9.9096473331390267E-2</v>
      </c>
      <c r="K1966" s="249">
        <f t="shared" si="526"/>
        <v>0.46843866485091085</v>
      </c>
      <c r="L1966" s="336">
        <v>0.72982100641675118</v>
      </c>
      <c r="M1966" s="258">
        <f t="shared" si="527"/>
        <v>0.72982100641675118</v>
      </c>
      <c r="N1966" s="251">
        <f t="shared" si="528"/>
        <v>0.10975064216141475</v>
      </c>
      <c r="O1966" s="336">
        <v>0.17098999319926161</v>
      </c>
      <c r="P1966" s="258">
        <f t="shared" si="529"/>
        <v>0.17098999319926161</v>
      </c>
      <c r="Q1966" s="354">
        <v>0.62835174418604656</v>
      </c>
      <c r="R1966" s="249">
        <f t="shared" si="530"/>
        <v>0.64185418168604669</v>
      </c>
      <c r="S1966" s="355">
        <v>0.1</v>
      </c>
      <c r="T1966" s="355"/>
      <c r="U1966" s="315">
        <f t="shared" si="531"/>
        <v>0.70603959985465137</v>
      </c>
      <c r="V1966" s="315">
        <f t="shared" si="532"/>
        <v>1</v>
      </c>
      <c r="W1966" s="316">
        <f t="shared" si="521"/>
        <v>0</v>
      </c>
    </row>
    <row r="1967" spans="1:23" x14ac:dyDescent="0.25">
      <c r="A1967" s="204" t="s">
        <v>17631</v>
      </c>
      <c r="B1967" s="351" t="s">
        <v>21670</v>
      </c>
      <c r="C1967" s="352"/>
      <c r="D1967" s="353" t="s">
        <v>14859</v>
      </c>
      <c r="E1967" s="249">
        <f t="shared" si="522"/>
        <v>0</v>
      </c>
      <c r="F1967" s="336">
        <v>0</v>
      </c>
      <c r="G1967" s="258">
        <f t="shared" si="523"/>
        <v>0</v>
      </c>
      <c r="H1967" s="249">
        <f t="shared" si="524"/>
        <v>10.942572306336627</v>
      </c>
      <c r="I1967" s="336">
        <v>9.4612143216812869E-2</v>
      </c>
      <c r="J1967" s="258">
        <f t="shared" si="525"/>
        <v>9.4612143216812869E-2</v>
      </c>
      <c r="K1967" s="249">
        <f t="shared" si="526"/>
        <v>85.833291959200153</v>
      </c>
      <c r="L1967" s="336">
        <v>0.742135531232608</v>
      </c>
      <c r="M1967" s="258">
        <f t="shared" si="527"/>
        <v>0.742135531232608</v>
      </c>
      <c r="N1967" s="251">
        <f t="shared" si="528"/>
        <v>18.881301234463198</v>
      </c>
      <c r="O1967" s="336">
        <v>0.16325232555057906</v>
      </c>
      <c r="P1967" s="258">
        <f t="shared" si="529"/>
        <v>0.16325232555057906</v>
      </c>
      <c r="Q1967" s="354">
        <v>113.19900000000001</v>
      </c>
      <c r="R1967" s="249">
        <f t="shared" si="530"/>
        <v>115.65716549999999</v>
      </c>
      <c r="S1967" s="355">
        <v>0.1</v>
      </c>
      <c r="T1967" s="355"/>
      <c r="U1967" s="315">
        <f t="shared" si="531"/>
        <v>127.22288205</v>
      </c>
      <c r="V1967" s="315">
        <f t="shared" si="532"/>
        <v>130</v>
      </c>
      <c r="W1967" s="316">
        <f t="shared" si="521"/>
        <v>0</v>
      </c>
    </row>
    <row r="1968" spans="1:23" x14ac:dyDescent="0.25">
      <c r="A1968" s="204" t="s">
        <v>17632</v>
      </c>
      <c r="B1968" s="351" t="s">
        <v>21671</v>
      </c>
      <c r="C1968" s="352"/>
      <c r="D1968" s="353" t="s">
        <v>5</v>
      </c>
      <c r="E1968" s="249">
        <f t="shared" si="522"/>
        <v>0</v>
      </c>
      <c r="F1968" s="336">
        <v>0</v>
      </c>
      <c r="G1968" s="258">
        <f t="shared" si="523"/>
        <v>0</v>
      </c>
      <c r="H1968" s="249">
        <f t="shared" si="524"/>
        <v>6.3613970958891708E-2</v>
      </c>
      <c r="I1968" s="336">
        <v>9.4612143216812869E-2</v>
      </c>
      <c r="J1968" s="258">
        <f t="shared" si="525"/>
        <v>9.4612143216812869E-2</v>
      </c>
      <c r="K1968" s="249">
        <f t="shared" si="526"/>
        <v>0.49892716588010683</v>
      </c>
      <c r="L1968" s="336">
        <v>0.7420471912296045</v>
      </c>
      <c r="M1968" s="258">
        <f t="shared" si="527"/>
        <v>0.7420471912296045</v>
      </c>
      <c r="N1968" s="251">
        <f t="shared" si="528"/>
        <v>0.10976528322318567</v>
      </c>
      <c r="O1968" s="336">
        <v>0.16325232555057906</v>
      </c>
      <c r="P1968" s="258">
        <f t="shared" si="529"/>
        <v>0.16325232555057906</v>
      </c>
      <c r="Q1968" s="354">
        <v>0.65813372093023259</v>
      </c>
      <c r="R1968" s="249">
        <f t="shared" si="530"/>
        <v>0.67236581686046515</v>
      </c>
      <c r="S1968" s="355">
        <v>0.1</v>
      </c>
      <c r="T1968" s="355"/>
      <c r="U1968" s="315">
        <f t="shared" si="531"/>
        <v>0.73960239854651166</v>
      </c>
      <c r="V1968" s="315">
        <f t="shared" si="532"/>
        <v>1</v>
      </c>
      <c r="W1968" s="316">
        <f t="shared" si="521"/>
        <v>0</v>
      </c>
    </row>
    <row r="1969" spans="1:23" x14ac:dyDescent="0.25">
      <c r="A1969" s="204" t="s">
        <v>17633</v>
      </c>
      <c r="B1969" s="351" t="s">
        <v>21672</v>
      </c>
      <c r="C1969" s="352"/>
      <c r="D1969" s="353" t="s">
        <v>14859</v>
      </c>
      <c r="E1969" s="249">
        <f t="shared" si="522"/>
        <v>0</v>
      </c>
      <c r="F1969" s="336">
        <v>0</v>
      </c>
      <c r="G1969" s="258">
        <f t="shared" si="523"/>
        <v>0</v>
      </c>
      <c r="H1969" s="249">
        <f t="shared" si="524"/>
        <v>10.943863422053473</v>
      </c>
      <c r="I1969" s="336">
        <v>9.0516093862907418E-2</v>
      </c>
      <c r="J1969" s="258">
        <f t="shared" si="525"/>
        <v>9.0516093862907418E-2</v>
      </c>
      <c r="K1969" s="249">
        <f t="shared" si="526"/>
        <v>91.077774285971898</v>
      </c>
      <c r="L1969" s="336">
        <v>0.75329927358933069</v>
      </c>
      <c r="M1969" s="258">
        <f t="shared" si="527"/>
        <v>0.75329927358933069</v>
      </c>
      <c r="N1969" s="251">
        <f t="shared" si="528"/>
        <v>18.883529041974619</v>
      </c>
      <c r="O1969" s="336">
        <v>0.1561846325477618</v>
      </c>
      <c r="P1969" s="258">
        <f t="shared" si="529"/>
        <v>0.1561846325477618</v>
      </c>
      <c r="Q1969" s="354">
        <v>118.32150000000001</v>
      </c>
      <c r="R1969" s="249">
        <f t="shared" si="530"/>
        <v>120.90516675000001</v>
      </c>
      <c r="S1969" s="355">
        <v>0.1</v>
      </c>
      <c r="T1969" s="355"/>
      <c r="U1969" s="315">
        <f t="shared" si="531"/>
        <v>132.99568342500001</v>
      </c>
      <c r="V1969" s="315">
        <f t="shared" si="532"/>
        <v>135</v>
      </c>
      <c r="W1969" s="316">
        <f t="shared" si="521"/>
        <v>0</v>
      </c>
    </row>
    <row r="1970" spans="1:23" x14ac:dyDescent="0.25">
      <c r="A1970" s="204" t="s">
        <v>17634</v>
      </c>
      <c r="B1970" s="351" t="s">
        <v>21673</v>
      </c>
      <c r="C1970" s="352"/>
      <c r="D1970" s="353" t="s">
        <v>5</v>
      </c>
      <c r="E1970" s="249">
        <f t="shared" si="522"/>
        <v>0</v>
      </c>
      <c r="F1970" s="336">
        <v>0</v>
      </c>
      <c r="G1970" s="258">
        <f t="shared" si="523"/>
        <v>0</v>
      </c>
      <c r="H1970" s="249">
        <f t="shared" si="524"/>
        <v>6.3621721422510741E-2</v>
      </c>
      <c r="I1970" s="336">
        <v>9.0516093862907404E-2</v>
      </c>
      <c r="J1970" s="258">
        <f t="shared" si="525"/>
        <v>9.0516093862907404E-2</v>
      </c>
      <c r="K1970" s="249">
        <f t="shared" si="526"/>
        <v>0.52941767000525608</v>
      </c>
      <c r="L1970" s="336">
        <v>0.75321475809552796</v>
      </c>
      <c r="M1970" s="258">
        <f t="shared" si="527"/>
        <v>0.75321475809552796</v>
      </c>
      <c r="N1970" s="251">
        <f t="shared" si="528"/>
        <v>0.10977865657217539</v>
      </c>
      <c r="O1970" s="336">
        <v>0.1561846325477618</v>
      </c>
      <c r="P1970" s="258">
        <f t="shared" si="529"/>
        <v>0.1561846325477618</v>
      </c>
      <c r="Q1970" s="354">
        <v>0.68791569767441874</v>
      </c>
      <c r="R1970" s="249">
        <f t="shared" si="530"/>
        <v>0.70287745203488383</v>
      </c>
      <c r="S1970" s="355">
        <v>0.1</v>
      </c>
      <c r="T1970" s="355"/>
      <c r="U1970" s="315">
        <f t="shared" si="531"/>
        <v>0.77316519723837218</v>
      </c>
      <c r="V1970" s="315">
        <f t="shared" si="532"/>
        <v>1</v>
      </c>
      <c r="W1970" s="316">
        <f t="shared" si="521"/>
        <v>0</v>
      </c>
    </row>
    <row r="1971" spans="1:23" x14ac:dyDescent="0.25">
      <c r="A1971" s="204" t="s">
        <v>17635</v>
      </c>
      <c r="B1971" s="351" t="s">
        <v>21672</v>
      </c>
      <c r="C1971" s="352"/>
      <c r="D1971" s="353" t="s">
        <v>14859</v>
      </c>
      <c r="E1971" s="249">
        <f t="shared" si="522"/>
        <v>0</v>
      </c>
      <c r="F1971" s="336">
        <v>0</v>
      </c>
      <c r="G1971" s="258">
        <f t="shared" si="523"/>
        <v>0</v>
      </c>
      <c r="H1971" s="249">
        <f t="shared" si="524"/>
        <v>10.944585789571233</v>
      </c>
      <c r="I1971" s="336">
        <v>8.822439144940071E-2</v>
      </c>
      <c r="J1971" s="258">
        <f t="shared" si="525"/>
        <v>8.822439144940071E-2</v>
      </c>
      <c r="K1971" s="249">
        <f t="shared" si="526"/>
        <v>94.224606230384282</v>
      </c>
      <c r="L1971" s="336">
        <v>0.75954528604967253</v>
      </c>
      <c r="M1971" s="258">
        <f t="shared" si="527"/>
        <v>0.75954528604967253</v>
      </c>
      <c r="N1971" s="251">
        <f t="shared" si="528"/>
        <v>18.884775480044482</v>
      </c>
      <c r="O1971" s="336">
        <v>0.15223032250092672</v>
      </c>
      <c r="P1971" s="258">
        <f t="shared" si="529"/>
        <v>0.15223032250092672</v>
      </c>
      <c r="Q1971" s="354">
        <v>121.39500000000001</v>
      </c>
      <c r="R1971" s="249">
        <f t="shared" si="530"/>
        <v>124.0539675</v>
      </c>
      <c r="S1971" s="355">
        <v>0.1</v>
      </c>
      <c r="T1971" s="355"/>
      <c r="U1971" s="315">
        <f t="shared" si="531"/>
        <v>136.45936424999999</v>
      </c>
      <c r="V1971" s="315">
        <f t="shared" si="532"/>
        <v>140</v>
      </c>
      <c r="W1971" s="316">
        <f t="shared" si="521"/>
        <v>0</v>
      </c>
    </row>
    <row r="1972" spans="1:23" x14ac:dyDescent="0.25">
      <c r="A1972" s="204" t="s">
        <v>17636</v>
      </c>
      <c r="B1972" s="351" t="s">
        <v>21673</v>
      </c>
      <c r="C1972" s="352"/>
      <c r="D1972" s="353" t="s">
        <v>5</v>
      </c>
      <c r="E1972" s="249">
        <f t="shared" si="522"/>
        <v>0</v>
      </c>
      <c r="F1972" s="336">
        <v>0</v>
      </c>
      <c r="G1972" s="258">
        <f t="shared" si="523"/>
        <v>0</v>
      </c>
      <c r="H1972" s="249">
        <f t="shared" si="524"/>
        <v>6.36260577365165E-2</v>
      </c>
      <c r="I1972" s="336">
        <v>8.8224391449400724E-2</v>
      </c>
      <c r="J1972" s="258">
        <f t="shared" si="525"/>
        <v>8.8224391449400724E-2</v>
      </c>
      <c r="K1972" s="249">
        <f t="shared" si="526"/>
        <v>0.54771282847975145</v>
      </c>
      <c r="L1972" s="336">
        <v>0.75946291033403357</v>
      </c>
      <c r="M1972" s="258">
        <f t="shared" si="527"/>
        <v>0.75946291033403357</v>
      </c>
      <c r="N1972" s="251">
        <f t="shared" si="528"/>
        <v>0.10978613883947942</v>
      </c>
      <c r="O1972" s="336">
        <v>0.15223032250092672</v>
      </c>
      <c r="P1972" s="258">
        <f t="shared" si="529"/>
        <v>0.15223032250092672</v>
      </c>
      <c r="Q1972" s="354">
        <v>0.70578488372093029</v>
      </c>
      <c r="R1972" s="249">
        <f t="shared" si="530"/>
        <v>0.72118443313953495</v>
      </c>
      <c r="S1972" s="355">
        <v>0.1</v>
      </c>
      <c r="T1972" s="355"/>
      <c r="U1972" s="315">
        <f t="shared" si="531"/>
        <v>0.7933028764534884</v>
      </c>
      <c r="V1972" s="315">
        <f t="shared" si="532"/>
        <v>1</v>
      </c>
      <c r="W1972" s="316">
        <f t="shared" si="521"/>
        <v>0</v>
      </c>
    </row>
    <row r="1973" spans="1:23" x14ac:dyDescent="0.25">
      <c r="A1973" s="204" t="s">
        <v>17637</v>
      </c>
      <c r="B1973" s="351" t="s">
        <v>21674</v>
      </c>
      <c r="C1973" s="352"/>
      <c r="D1973" s="353" t="s">
        <v>14859</v>
      </c>
      <c r="E1973" s="249">
        <f t="shared" si="522"/>
        <v>0</v>
      </c>
      <c r="F1973" s="336">
        <v>0</v>
      </c>
      <c r="G1973" s="258">
        <f t="shared" si="523"/>
        <v>0</v>
      </c>
      <c r="H1973" s="249">
        <f t="shared" si="524"/>
        <v>10.95005366166354</v>
      </c>
      <c r="I1973" s="336">
        <v>7.0877631853241613E-2</v>
      </c>
      <c r="J1973" s="258">
        <f t="shared" si="525"/>
        <v>7.0877631853241613E-2</v>
      </c>
      <c r="K1973" s="249">
        <f t="shared" si="526"/>
        <v>124.6481108486033</v>
      </c>
      <c r="L1973" s="336">
        <v>0.80682370926273361</v>
      </c>
      <c r="M1973" s="258">
        <f t="shared" si="527"/>
        <v>0.80682370926273361</v>
      </c>
      <c r="N1973" s="251">
        <f t="shared" si="528"/>
        <v>18.894210239733166</v>
      </c>
      <c r="O1973" s="336">
        <v>0.12229865888402473</v>
      </c>
      <c r="P1973" s="258">
        <f t="shared" si="529"/>
        <v>0.12229865888402473</v>
      </c>
      <c r="Q1973" s="354">
        <v>151.10550000000001</v>
      </c>
      <c r="R1973" s="249">
        <f t="shared" si="530"/>
        <v>154.49237475000001</v>
      </c>
      <c r="S1973" s="355">
        <v>0.1</v>
      </c>
      <c r="T1973" s="355"/>
      <c r="U1973" s="315">
        <f t="shared" si="531"/>
        <v>169.941612225</v>
      </c>
      <c r="V1973" s="315">
        <f t="shared" si="532"/>
        <v>170</v>
      </c>
      <c r="W1973" s="316">
        <f t="shared" si="521"/>
        <v>0</v>
      </c>
    </row>
    <row r="1974" spans="1:23" x14ac:dyDescent="0.25">
      <c r="A1974" s="204" t="s">
        <v>17638</v>
      </c>
      <c r="B1974" s="351" t="s">
        <v>21675</v>
      </c>
      <c r="C1974" s="352"/>
      <c r="D1974" s="353" t="s">
        <v>5</v>
      </c>
      <c r="E1974" s="249">
        <f t="shared" si="522"/>
        <v>0</v>
      </c>
      <c r="F1974" s="336">
        <v>0</v>
      </c>
      <c r="G1974" s="258">
        <f t="shared" si="523"/>
        <v>0</v>
      </c>
      <c r="H1974" s="249">
        <f t="shared" si="524"/>
        <v>6.3658880932123282E-2</v>
      </c>
      <c r="I1974" s="336">
        <v>7.0877631853241613E-2</v>
      </c>
      <c r="J1974" s="258">
        <f t="shared" si="525"/>
        <v>7.0877631853241613E-2</v>
      </c>
      <c r="K1974" s="249">
        <f t="shared" si="526"/>
        <v>0.7245908225463078</v>
      </c>
      <c r="L1974" s="336">
        <v>0.80675753033476627</v>
      </c>
      <c r="M1974" s="258">
        <f t="shared" si="527"/>
        <v>0.80675753033476627</v>
      </c>
      <c r="N1974" s="251">
        <f t="shared" si="528"/>
        <v>0.10984277494170291</v>
      </c>
      <c r="O1974" s="336">
        <v>0.12229865888402473</v>
      </c>
      <c r="P1974" s="258">
        <f t="shared" si="529"/>
        <v>0.12229865888402473</v>
      </c>
      <c r="Q1974" s="354">
        <v>0.87852034883720931</v>
      </c>
      <c r="R1974" s="249">
        <f t="shared" si="530"/>
        <v>0.89815191715116294</v>
      </c>
      <c r="S1974" s="355">
        <v>0.1</v>
      </c>
      <c r="T1974" s="355"/>
      <c r="U1974" s="315">
        <f t="shared" si="531"/>
        <v>0.98796710886627925</v>
      </c>
      <c r="V1974" s="315">
        <f t="shared" si="532"/>
        <v>1</v>
      </c>
      <c r="W1974" s="316">
        <f t="shared" si="521"/>
        <v>0</v>
      </c>
    </row>
    <row r="1975" spans="1:23" x14ac:dyDescent="0.25">
      <c r="A1975" s="204" t="s">
        <v>17639</v>
      </c>
      <c r="B1975" s="351" t="s">
        <v>21676</v>
      </c>
      <c r="C1975" s="352"/>
      <c r="D1975" s="353" t="s">
        <v>14859</v>
      </c>
      <c r="E1975" s="249">
        <f t="shared" si="522"/>
        <v>0</v>
      </c>
      <c r="F1975" s="336">
        <v>0</v>
      </c>
      <c r="G1975" s="258">
        <f t="shared" si="523"/>
        <v>0</v>
      </c>
      <c r="H1975" s="249">
        <f t="shared" si="524"/>
        <v>10.950204116545059</v>
      </c>
      <c r="I1975" s="336">
        <v>7.0400315519621379E-2</v>
      </c>
      <c r="J1975" s="258">
        <f t="shared" si="525"/>
        <v>7.0400315519621379E-2</v>
      </c>
      <c r="K1975" s="249">
        <f t="shared" si="526"/>
        <v>125.69730103529872</v>
      </c>
      <c r="L1975" s="336">
        <v>0.80812463025044357</v>
      </c>
      <c r="M1975" s="258">
        <f t="shared" si="527"/>
        <v>0.80812463025044357</v>
      </c>
      <c r="N1975" s="251">
        <f t="shared" si="528"/>
        <v>18.894469848156181</v>
      </c>
      <c r="O1975" s="336">
        <v>0.12147505422993493</v>
      </c>
      <c r="P1975" s="258">
        <f t="shared" si="529"/>
        <v>0.12147505422993493</v>
      </c>
      <c r="Q1975" s="354">
        <v>152.13</v>
      </c>
      <c r="R1975" s="249">
        <f t="shared" si="530"/>
        <v>155.54197499999998</v>
      </c>
      <c r="S1975" s="355">
        <v>0.1</v>
      </c>
      <c r="T1975" s="355"/>
      <c r="U1975" s="315">
        <f t="shared" si="531"/>
        <v>171.09617249999997</v>
      </c>
      <c r="V1975" s="315">
        <f t="shared" si="532"/>
        <v>175</v>
      </c>
      <c r="W1975" s="316">
        <f t="shared" si="521"/>
        <v>0</v>
      </c>
    </row>
    <row r="1976" spans="1:23" x14ac:dyDescent="0.25">
      <c r="A1976" s="204" t="s">
        <v>17640</v>
      </c>
      <c r="B1976" s="351" t="s">
        <v>21677</v>
      </c>
      <c r="C1976" s="352"/>
      <c r="D1976" s="353" t="s">
        <v>5</v>
      </c>
      <c r="E1976" s="249">
        <f t="shared" si="522"/>
        <v>0</v>
      </c>
      <c r="F1976" s="336">
        <v>0</v>
      </c>
      <c r="G1976" s="258">
        <f t="shared" si="523"/>
        <v>0</v>
      </c>
      <c r="H1976" s="249">
        <f t="shared" si="524"/>
        <v>6.3659784100654426E-2</v>
      </c>
      <c r="I1976" s="336">
        <v>7.0400315519621379E-2</v>
      </c>
      <c r="J1976" s="258">
        <f t="shared" si="525"/>
        <v>7.0400315519621379E-2</v>
      </c>
      <c r="K1976" s="249">
        <f t="shared" si="526"/>
        <v>0.73069068716091967</v>
      </c>
      <c r="L1976" s="336">
        <v>0.80805889699599032</v>
      </c>
      <c r="M1976" s="258">
        <f t="shared" si="527"/>
        <v>0.80805889699599032</v>
      </c>
      <c r="N1976" s="251">
        <f t="shared" si="528"/>
        <v>0.10984433335014882</v>
      </c>
      <c r="O1976" s="336">
        <v>0.12147505422993493</v>
      </c>
      <c r="P1976" s="258">
        <f t="shared" si="529"/>
        <v>0.12147505422993493</v>
      </c>
      <c r="Q1976" s="354">
        <v>0.88447674418604649</v>
      </c>
      <c r="R1976" s="249">
        <f t="shared" si="530"/>
        <v>0.9042542441860465</v>
      </c>
      <c r="S1976" s="355">
        <v>0.1</v>
      </c>
      <c r="T1976" s="355"/>
      <c r="U1976" s="315">
        <f t="shared" si="531"/>
        <v>0.99467966860465118</v>
      </c>
      <c r="V1976" s="315">
        <f t="shared" si="532"/>
        <v>1</v>
      </c>
      <c r="W1976" s="316">
        <f t="shared" ref="W1976:W2039" si="533">C1976*V1976</f>
        <v>0</v>
      </c>
    </row>
    <row r="1977" spans="1:23" x14ac:dyDescent="0.25">
      <c r="A1977" s="204" t="s">
        <v>17641</v>
      </c>
      <c r="B1977" s="351" t="s">
        <v>21678</v>
      </c>
      <c r="C1977" s="352"/>
      <c r="D1977" s="353" t="s">
        <v>14859</v>
      </c>
      <c r="E1977" s="249">
        <f t="shared" si="522"/>
        <v>0</v>
      </c>
      <c r="F1977" s="336">
        <v>0</v>
      </c>
      <c r="G1977" s="258">
        <f t="shared" si="523"/>
        <v>0</v>
      </c>
      <c r="H1977" s="249">
        <f t="shared" si="524"/>
        <v>10.950926984547145</v>
      </c>
      <c r="I1977" s="336">
        <v>6.8107025325511522E-2</v>
      </c>
      <c r="J1977" s="258">
        <f t="shared" si="525"/>
        <v>6.8107025325511522E-2</v>
      </c>
      <c r="K1977" s="249">
        <f t="shared" si="526"/>
        <v>130.943332115646</v>
      </c>
      <c r="L1977" s="336">
        <v>0.81437497019125293</v>
      </c>
      <c r="M1977" s="258">
        <f t="shared" si="527"/>
        <v>0.81437497019125293</v>
      </c>
      <c r="N1977" s="251">
        <f t="shared" si="528"/>
        <v>18.895717149806842</v>
      </c>
      <c r="O1977" s="336">
        <v>0.11751800448323557</v>
      </c>
      <c r="P1977" s="258">
        <f t="shared" si="529"/>
        <v>0.11751800448323557</v>
      </c>
      <c r="Q1977" s="354">
        <v>157.2525</v>
      </c>
      <c r="R1977" s="249">
        <f t="shared" si="530"/>
        <v>160.78997625</v>
      </c>
      <c r="S1977" s="355">
        <v>0.1</v>
      </c>
      <c r="T1977" s="355"/>
      <c r="U1977" s="315">
        <f t="shared" si="531"/>
        <v>176.86897387499999</v>
      </c>
      <c r="V1977" s="315">
        <f t="shared" si="532"/>
        <v>180</v>
      </c>
      <c r="W1977" s="316">
        <f t="shared" si="533"/>
        <v>0</v>
      </c>
    </row>
    <row r="1978" spans="1:23" x14ac:dyDescent="0.25">
      <c r="A1978" s="204" t="s">
        <v>17642</v>
      </c>
      <c r="B1978" s="351" t="s">
        <v>21679</v>
      </c>
      <c r="C1978" s="352"/>
      <c r="D1978" s="353" t="s">
        <v>5</v>
      </c>
      <c r="E1978" s="249">
        <f t="shared" si="522"/>
        <v>0</v>
      </c>
      <c r="F1978" s="336">
        <v>0</v>
      </c>
      <c r="G1978" s="258">
        <f t="shared" si="523"/>
        <v>0</v>
      </c>
      <c r="H1978" s="249">
        <f t="shared" si="524"/>
        <v>6.3664123419027246E-2</v>
      </c>
      <c r="I1978" s="336">
        <v>6.8107025325511522E-2</v>
      </c>
      <c r="J1978" s="258">
        <f t="shared" si="525"/>
        <v>6.8107025325511522E-2</v>
      </c>
      <c r="K1978" s="249">
        <f t="shared" si="526"/>
        <v>0.76119049151400453</v>
      </c>
      <c r="L1978" s="336">
        <v>0.81431137819748511</v>
      </c>
      <c r="M1978" s="258">
        <f t="shared" si="527"/>
        <v>0.81431137819748511</v>
      </c>
      <c r="N1978" s="251">
        <f t="shared" si="528"/>
        <v>0.10985182080145878</v>
      </c>
      <c r="O1978" s="336">
        <v>0.11751800448323556</v>
      </c>
      <c r="P1978" s="258">
        <f t="shared" si="529"/>
        <v>0.11751800448323556</v>
      </c>
      <c r="Q1978" s="354">
        <v>0.91425872093023253</v>
      </c>
      <c r="R1978" s="249">
        <f t="shared" si="530"/>
        <v>0.93476587936046518</v>
      </c>
      <c r="S1978" s="355">
        <v>0.1</v>
      </c>
      <c r="T1978" s="355"/>
      <c r="U1978" s="315">
        <f t="shared" si="531"/>
        <v>1.0282424672965118</v>
      </c>
      <c r="V1978" s="315">
        <f t="shared" si="532"/>
        <v>2</v>
      </c>
      <c r="W1978" s="316">
        <f t="shared" si="533"/>
        <v>0</v>
      </c>
    </row>
    <row r="1979" spans="1:23" x14ac:dyDescent="0.25">
      <c r="A1979" s="204" t="s">
        <v>17643</v>
      </c>
      <c r="B1979" s="351" t="s">
        <v>21680</v>
      </c>
      <c r="C1979" s="352"/>
      <c r="D1979" s="353" t="s">
        <v>14859</v>
      </c>
      <c r="E1979" s="249">
        <f t="shared" si="522"/>
        <v>0</v>
      </c>
      <c r="F1979" s="336">
        <v>0</v>
      </c>
      <c r="G1979" s="258">
        <f t="shared" si="523"/>
        <v>0</v>
      </c>
      <c r="H1979" s="249">
        <f t="shared" si="524"/>
        <v>10.953401798599097</v>
      </c>
      <c r="I1979" s="336">
        <v>6.02557069918562E-2</v>
      </c>
      <c r="J1979" s="258">
        <f t="shared" si="525"/>
        <v>6.02557069918562E-2</v>
      </c>
      <c r="K1979" s="249">
        <f t="shared" si="526"/>
        <v>151.92859203421031</v>
      </c>
      <c r="L1979" s="336">
        <v>0.83577366133592135</v>
      </c>
      <c r="M1979" s="258">
        <f t="shared" si="527"/>
        <v>0.83577366133592135</v>
      </c>
      <c r="N1979" s="251">
        <f t="shared" si="528"/>
        <v>18.899987417190598</v>
      </c>
      <c r="O1979" s="336">
        <v>0.10397063167222245</v>
      </c>
      <c r="P1979" s="258">
        <f t="shared" si="529"/>
        <v>0.10397063167222245</v>
      </c>
      <c r="Q1979" s="354">
        <v>177.74250000000001</v>
      </c>
      <c r="R1979" s="249">
        <f t="shared" si="530"/>
        <v>181.78198125</v>
      </c>
      <c r="S1979" s="355">
        <v>0.1</v>
      </c>
      <c r="T1979" s="355"/>
      <c r="U1979" s="315">
        <f t="shared" si="531"/>
        <v>199.960179375</v>
      </c>
      <c r="V1979" s="315">
        <f t="shared" si="532"/>
        <v>200</v>
      </c>
      <c r="W1979" s="316">
        <f t="shared" si="533"/>
        <v>0</v>
      </c>
    </row>
    <row r="1980" spans="1:23" x14ac:dyDescent="0.25">
      <c r="A1980" s="204" t="s">
        <v>17644</v>
      </c>
      <c r="B1980" s="351" t="s">
        <v>21681</v>
      </c>
      <c r="C1980" s="352"/>
      <c r="D1980" s="353" t="s">
        <v>5</v>
      </c>
      <c r="E1980" s="249">
        <f t="shared" si="522"/>
        <v>0</v>
      </c>
      <c r="F1980" s="336">
        <v>0</v>
      </c>
      <c r="G1980" s="258">
        <f t="shared" si="523"/>
        <v>0</v>
      </c>
      <c r="H1980" s="249">
        <f t="shared" si="524"/>
        <v>6.3678979528377713E-2</v>
      </c>
      <c r="I1980" s="336">
        <v>6.02557069918562E-2</v>
      </c>
      <c r="J1980" s="258">
        <f t="shared" si="525"/>
        <v>6.02557069918562E-2</v>
      </c>
      <c r="K1980" s="249">
        <f t="shared" si="526"/>
        <v>0.8831965281600419</v>
      </c>
      <c r="L1980" s="336">
        <v>0.83571740017159668</v>
      </c>
      <c r="M1980" s="258">
        <f t="shared" si="527"/>
        <v>0.83571740017159668</v>
      </c>
      <c r="N1980" s="251">
        <f t="shared" si="528"/>
        <v>0.10987745487249488</v>
      </c>
      <c r="O1980" s="336">
        <v>0.10397063167222245</v>
      </c>
      <c r="P1980" s="258">
        <f t="shared" si="529"/>
        <v>0.10397063167222245</v>
      </c>
      <c r="Q1980" s="354">
        <v>1.0333866279069768</v>
      </c>
      <c r="R1980" s="249">
        <f t="shared" si="530"/>
        <v>1.0568124200581397</v>
      </c>
      <c r="S1980" s="355">
        <v>0.1</v>
      </c>
      <c r="T1980" s="355"/>
      <c r="U1980" s="315">
        <f t="shared" si="531"/>
        <v>1.1624936620639537</v>
      </c>
      <c r="V1980" s="315">
        <f t="shared" si="532"/>
        <v>2</v>
      </c>
      <c r="W1980" s="316">
        <f t="shared" si="533"/>
        <v>0</v>
      </c>
    </row>
    <row r="1981" spans="1:23" x14ac:dyDescent="0.25">
      <c r="A1981" s="204" t="s">
        <v>17645</v>
      </c>
      <c r="B1981" s="351" t="s">
        <v>21682</v>
      </c>
      <c r="C1981" s="352"/>
      <c r="D1981" s="353" t="s">
        <v>14859</v>
      </c>
      <c r="E1981" s="249">
        <f t="shared" si="522"/>
        <v>0</v>
      </c>
      <c r="F1981" s="336">
        <v>0</v>
      </c>
      <c r="G1981" s="258">
        <f t="shared" si="523"/>
        <v>0</v>
      </c>
      <c r="H1981" s="249">
        <f t="shared" si="524"/>
        <v>10.953933845049628</v>
      </c>
      <c r="I1981" s="336">
        <v>5.8567795915019288E-2</v>
      </c>
      <c r="J1981" s="258">
        <f t="shared" si="525"/>
        <v>5.8567795915019288E-2</v>
      </c>
      <c r="K1981" s="249">
        <f t="shared" si="526"/>
        <v>157.1751431968255</v>
      </c>
      <c r="L1981" s="336">
        <v>0.84037404642769253</v>
      </c>
      <c r="M1981" s="258">
        <f t="shared" si="527"/>
        <v>0.84037404642769253</v>
      </c>
      <c r="N1981" s="251">
        <f t="shared" si="528"/>
        <v>18.900905458124846</v>
      </c>
      <c r="O1981" s="336">
        <v>0.10105815765728818</v>
      </c>
      <c r="P1981" s="258">
        <f t="shared" si="529"/>
        <v>0.10105815765728818</v>
      </c>
      <c r="Q1981" s="354">
        <v>182.86499999999998</v>
      </c>
      <c r="R1981" s="249">
        <f t="shared" si="530"/>
        <v>187.02998249999999</v>
      </c>
      <c r="S1981" s="355">
        <v>0.1</v>
      </c>
      <c r="T1981" s="355"/>
      <c r="U1981" s="315">
        <f t="shared" si="531"/>
        <v>205.73298075</v>
      </c>
      <c r="V1981" s="315">
        <f t="shared" si="532"/>
        <v>210</v>
      </c>
      <c r="W1981" s="316">
        <f t="shared" si="533"/>
        <v>0</v>
      </c>
    </row>
    <row r="1982" spans="1:23" x14ac:dyDescent="0.25">
      <c r="A1982" s="204" t="s">
        <v>17646</v>
      </c>
      <c r="B1982" s="351" t="s">
        <v>21683</v>
      </c>
      <c r="C1982" s="352"/>
      <c r="D1982" s="353" t="s">
        <v>5</v>
      </c>
      <c r="E1982" s="249">
        <f t="shared" si="522"/>
        <v>0</v>
      </c>
      <c r="F1982" s="336">
        <v>0</v>
      </c>
      <c r="G1982" s="258">
        <f t="shared" si="523"/>
        <v>0</v>
      </c>
      <c r="H1982" s="249">
        <f t="shared" si="524"/>
        <v>6.3682173360351618E-2</v>
      </c>
      <c r="I1982" s="336">
        <v>5.8567795915019295E-2</v>
      </c>
      <c r="J1982" s="258">
        <f t="shared" si="525"/>
        <v>5.8567795915019295E-2</v>
      </c>
      <c r="K1982" s="249">
        <f t="shared" si="526"/>
        <v>0.9136994555946244</v>
      </c>
      <c r="L1982" s="336">
        <v>0.84031936127744511</v>
      </c>
      <c r="M1982" s="258">
        <f t="shared" si="527"/>
        <v>0.84031936127744511</v>
      </c>
      <c r="N1982" s="251">
        <f t="shared" si="528"/>
        <v>0.10988296579825374</v>
      </c>
      <c r="O1982" s="336">
        <v>0.10105815765728818</v>
      </c>
      <c r="P1982" s="258">
        <f t="shared" si="529"/>
        <v>0.10105815765728818</v>
      </c>
      <c r="Q1982" s="354">
        <v>1.0631686046511626</v>
      </c>
      <c r="R1982" s="249">
        <f t="shared" si="530"/>
        <v>1.0873240552325578</v>
      </c>
      <c r="S1982" s="355">
        <v>0.1</v>
      </c>
      <c r="T1982" s="355"/>
      <c r="U1982" s="315">
        <f t="shared" si="531"/>
        <v>1.1960564607558135</v>
      </c>
      <c r="V1982" s="315">
        <f t="shared" si="532"/>
        <v>2</v>
      </c>
      <c r="W1982" s="316">
        <f t="shared" si="533"/>
        <v>0</v>
      </c>
    </row>
    <row r="1983" spans="1:23" x14ac:dyDescent="0.25">
      <c r="A1983" s="204" t="s">
        <v>17647</v>
      </c>
      <c r="B1983" s="351" t="s">
        <v>21684</v>
      </c>
      <c r="C1983" s="352"/>
      <c r="D1983" s="353" t="s">
        <v>14859</v>
      </c>
      <c r="E1983" s="249">
        <f t="shared" si="522"/>
        <v>0</v>
      </c>
      <c r="F1983" s="336">
        <v>0</v>
      </c>
      <c r="G1983" s="258">
        <f t="shared" si="523"/>
        <v>0</v>
      </c>
      <c r="H1983" s="249">
        <f t="shared" si="524"/>
        <v>10.954534234016888</v>
      </c>
      <c r="I1983" s="336">
        <v>5.6663069011491339E-2</v>
      </c>
      <c r="J1983" s="258">
        <f t="shared" si="525"/>
        <v>5.6663069011491339E-2</v>
      </c>
      <c r="K1983" s="249">
        <f t="shared" si="526"/>
        <v>163.47110834258143</v>
      </c>
      <c r="L1983" s="336">
        <v>0.84556536092946477</v>
      </c>
      <c r="M1983" s="258">
        <f t="shared" si="527"/>
        <v>0.84556536092946477</v>
      </c>
      <c r="N1983" s="251">
        <f t="shared" si="528"/>
        <v>18.901941423401688</v>
      </c>
      <c r="O1983" s="336">
        <v>9.7771570059043869E-2</v>
      </c>
      <c r="P1983" s="258">
        <f t="shared" si="529"/>
        <v>9.7771570059043869E-2</v>
      </c>
      <c r="Q1983" s="354">
        <v>189.012</v>
      </c>
      <c r="R1983" s="249">
        <f t="shared" si="530"/>
        <v>193.327584</v>
      </c>
      <c r="S1983" s="355">
        <v>0.1</v>
      </c>
      <c r="T1983" s="355"/>
      <c r="U1983" s="315">
        <f t="shared" si="531"/>
        <v>212.66034239999999</v>
      </c>
      <c r="V1983" s="315">
        <f t="shared" si="532"/>
        <v>215</v>
      </c>
      <c r="W1983" s="316">
        <f t="shared" si="533"/>
        <v>0</v>
      </c>
    </row>
    <row r="1984" spans="1:23" x14ac:dyDescent="0.25">
      <c r="A1984" s="204" t="s">
        <v>17648</v>
      </c>
      <c r="B1984" s="351" t="s">
        <v>21685</v>
      </c>
      <c r="C1984" s="352"/>
      <c r="D1984" s="353" t="s">
        <v>5</v>
      </c>
      <c r="E1984" s="249">
        <f t="shared" si="522"/>
        <v>0</v>
      </c>
      <c r="F1984" s="336">
        <v>0</v>
      </c>
      <c r="G1984" s="258">
        <f t="shared" si="523"/>
        <v>0</v>
      </c>
      <c r="H1984" s="249">
        <f t="shared" si="524"/>
        <v>6.3685777446946895E-2</v>
      </c>
      <c r="I1984" s="336">
        <v>5.6663069011491332E-2</v>
      </c>
      <c r="J1984" s="258">
        <f t="shared" si="525"/>
        <v>5.6663069011491332E-2</v>
      </c>
      <c r="K1984" s="249">
        <f t="shared" si="526"/>
        <v>0.95030359153608568</v>
      </c>
      <c r="L1984" s="336">
        <v>0.84551245423570998</v>
      </c>
      <c r="M1984" s="258">
        <f t="shared" si="527"/>
        <v>0.84551245423570998</v>
      </c>
      <c r="N1984" s="251">
        <f t="shared" si="528"/>
        <v>0.10988918461433972</v>
      </c>
      <c r="O1984" s="336">
        <v>9.7771570059043855E-2</v>
      </c>
      <c r="P1984" s="258">
        <f t="shared" si="529"/>
        <v>9.7771570059043855E-2</v>
      </c>
      <c r="Q1984" s="354">
        <v>1.0989069767441861</v>
      </c>
      <c r="R1984" s="249">
        <f t="shared" si="530"/>
        <v>1.1239380174418605</v>
      </c>
      <c r="S1984" s="355">
        <v>0.1</v>
      </c>
      <c r="T1984" s="355"/>
      <c r="U1984" s="315">
        <f t="shared" si="531"/>
        <v>1.2363318191860466</v>
      </c>
      <c r="V1984" s="315">
        <f t="shared" si="532"/>
        <v>2</v>
      </c>
      <c r="W1984" s="316">
        <f t="shared" si="533"/>
        <v>0</v>
      </c>
    </row>
    <row r="1985" spans="1:23" x14ac:dyDescent="0.25">
      <c r="A1985" s="204" t="s">
        <v>17649</v>
      </c>
      <c r="B1985" s="351" t="s">
        <v>21686</v>
      </c>
      <c r="C1985" s="352"/>
      <c r="D1985" s="353" t="s">
        <v>14859</v>
      </c>
      <c r="E1985" s="249">
        <f t="shared" si="522"/>
        <v>0</v>
      </c>
      <c r="F1985" s="336">
        <v>0</v>
      </c>
      <c r="G1985" s="258">
        <f t="shared" si="523"/>
        <v>0</v>
      </c>
      <c r="H1985" s="249">
        <f t="shared" si="524"/>
        <v>10.954725778651845</v>
      </c>
      <c r="I1985" s="336">
        <v>5.6055395920674558E-2</v>
      </c>
      <c r="J1985" s="258">
        <f t="shared" si="525"/>
        <v>5.6055395920674558E-2</v>
      </c>
      <c r="K1985" s="249">
        <f t="shared" si="526"/>
        <v>165.5697867895567</v>
      </c>
      <c r="L1985" s="336">
        <v>0.84722156798090664</v>
      </c>
      <c r="M1985" s="258">
        <f t="shared" si="527"/>
        <v>0.84722156798090664</v>
      </c>
      <c r="N1985" s="251">
        <f t="shared" si="528"/>
        <v>18.902271931791418</v>
      </c>
      <c r="O1985" s="336">
        <v>9.6723036098418841E-2</v>
      </c>
      <c r="P1985" s="258">
        <f t="shared" si="529"/>
        <v>9.6723036098418841E-2</v>
      </c>
      <c r="Q1985" s="354">
        <v>191.06099999999998</v>
      </c>
      <c r="R1985" s="249">
        <f t="shared" si="530"/>
        <v>195.42678449999997</v>
      </c>
      <c r="S1985" s="355">
        <v>0.1</v>
      </c>
      <c r="T1985" s="355"/>
      <c r="U1985" s="315">
        <f t="shared" si="531"/>
        <v>214.96946294999998</v>
      </c>
      <c r="V1985" s="315">
        <f t="shared" si="532"/>
        <v>215</v>
      </c>
      <c r="W1985" s="316">
        <f t="shared" si="533"/>
        <v>0</v>
      </c>
    </row>
    <row r="1986" spans="1:23" x14ac:dyDescent="0.25">
      <c r="A1986" s="204" t="s">
        <v>17650</v>
      </c>
      <c r="B1986" s="351" t="s">
        <v>21687</v>
      </c>
      <c r="C1986" s="352"/>
      <c r="D1986" s="353" t="s">
        <v>5</v>
      </c>
      <c r="E1986" s="249">
        <f t="shared" ref="E1986:E2049" si="534">R1986*G1986</f>
        <v>0</v>
      </c>
      <c r="F1986" s="336">
        <v>0</v>
      </c>
      <c r="G1986" s="258">
        <f t="shared" ref="G1986:G2049" si="535">F1986</f>
        <v>0</v>
      </c>
      <c r="H1986" s="249">
        <f t="shared" ref="H1986:H2049" si="536">R1986*J1986</f>
        <v>6.3686927273957222E-2</v>
      </c>
      <c r="I1986" s="336">
        <v>5.6055395920674565E-2</v>
      </c>
      <c r="J1986" s="258">
        <f t="shared" ref="J1986:J2049" si="537">I1986</f>
        <v>5.6055395920674565E-2</v>
      </c>
      <c r="K1986" s="249">
        <f t="shared" ref="K1986:K2049" si="538">R1986*M1986</f>
        <v>0.96250511069000821</v>
      </c>
      <c r="L1986" s="336">
        <v>0.84716922867565869</v>
      </c>
      <c r="M1986" s="258">
        <f t="shared" ref="M1986:M2049" si="539">L1986</f>
        <v>0.84716922867565869</v>
      </c>
      <c r="N1986" s="251">
        <f t="shared" ref="N1986:N2049" si="540">P1986*R1986</f>
        <v>0.10989116862957322</v>
      </c>
      <c r="O1986" s="336">
        <v>9.6723036098418841E-2</v>
      </c>
      <c r="P1986" s="258">
        <f t="shared" ref="P1986:P2049" si="541">O1986</f>
        <v>9.6723036098418841E-2</v>
      </c>
      <c r="Q1986" s="354">
        <v>1.1108197674418603</v>
      </c>
      <c r="R1986" s="249">
        <f t="shared" ref="R1986:R2049" si="542">SUM(F1986*Q1986*1.0235,I1986*Q1986*1.0175,L1986*Q1986*1.0245,O1986*Q1986*1.0115)</f>
        <v>1.1361426715116281</v>
      </c>
      <c r="S1986" s="355">
        <v>0.1</v>
      </c>
      <c r="T1986" s="355"/>
      <c r="U1986" s="315">
        <f t="shared" si="531"/>
        <v>1.2497569386627909</v>
      </c>
      <c r="V1986" s="315">
        <f t="shared" si="532"/>
        <v>2</v>
      </c>
      <c r="W1986" s="316">
        <f t="shared" si="533"/>
        <v>0</v>
      </c>
    </row>
    <row r="1987" spans="1:23" x14ac:dyDescent="0.25">
      <c r="A1987" s="204" t="s">
        <v>17651</v>
      </c>
      <c r="B1987" s="351" t="s">
        <v>21688</v>
      </c>
      <c r="C1987" s="352"/>
      <c r="D1987" s="353" t="s">
        <v>14859</v>
      </c>
      <c r="E1987" s="249">
        <f t="shared" si="534"/>
        <v>0</v>
      </c>
      <c r="F1987" s="336">
        <v>0</v>
      </c>
      <c r="G1987" s="258">
        <f t="shared" si="535"/>
        <v>0</v>
      </c>
      <c r="H1987" s="249">
        <f t="shared" si="536"/>
        <v>10.959134338911147</v>
      </c>
      <c r="I1987" s="336">
        <v>4.2069290596276225E-2</v>
      </c>
      <c r="J1987" s="258">
        <f t="shared" si="537"/>
        <v>4.2069290596276225E-2</v>
      </c>
      <c r="K1987" s="249">
        <f t="shared" si="538"/>
        <v>230.63298680179113</v>
      </c>
      <c r="L1987" s="336">
        <v>0.88534056092387459</v>
      </c>
      <c r="M1987" s="258">
        <f t="shared" si="539"/>
        <v>0.88534056092387459</v>
      </c>
      <c r="N1987" s="251">
        <f t="shared" si="540"/>
        <v>18.909878859297663</v>
      </c>
      <c r="O1987" s="336">
        <v>7.2590148479849168E-2</v>
      </c>
      <c r="P1987" s="258">
        <f t="shared" si="541"/>
        <v>7.2590148479849168E-2</v>
      </c>
      <c r="Q1987" s="354">
        <v>254.57999999999998</v>
      </c>
      <c r="R1987" s="249">
        <f t="shared" si="542"/>
        <v>260.50199999999995</v>
      </c>
      <c r="S1987" s="355">
        <v>0.1</v>
      </c>
      <c r="T1987" s="355"/>
      <c r="U1987" s="315">
        <f t="shared" si="531"/>
        <v>286.55219999999997</v>
      </c>
      <c r="V1987" s="315">
        <f t="shared" si="532"/>
        <v>290</v>
      </c>
      <c r="W1987" s="316">
        <f t="shared" si="533"/>
        <v>0</v>
      </c>
    </row>
    <row r="1988" spans="1:23" x14ac:dyDescent="0.25">
      <c r="A1988" s="204" t="s">
        <v>17652</v>
      </c>
      <c r="B1988" s="351" t="s">
        <v>21689</v>
      </c>
      <c r="C1988" s="352"/>
      <c r="D1988" s="353" t="s">
        <v>5</v>
      </c>
      <c r="E1988" s="249">
        <f t="shared" si="534"/>
        <v>0</v>
      </c>
      <c r="F1988" s="336">
        <v>0</v>
      </c>
      <c r="G1988" s="258">
        <f t="shared" si="535"/>
        <v>0</v>
      </c>
      <c r="H1988" s="249">
        <f t="shared" si="536"/>
        <v>6.37133915059825E-2</v>
      </c>
      <c r="I1988" s="336">
        <v>4.2069290596276225E-2</v>
      </c>
      <c r="J1988" s="258">
        <f t="shared" si="537"/>
        <v>4.2069290596276225E-2</v>
      </c>
      <c r="K1988" s="249">
        <f t="shared" si="538"/>
        <v>1.3407772341380333</v>
      </c>
      <c r="L1988" s="336">
        <v>0.88530128054049817</v>
      </c>
      <c r="M1988" s="258">
        <f t="shared" si="539"/>
        <v>0.88530128054049817</v>
      </c>
      <c r="N1988" s="251">
        <f t="shared" si="540"/>
        <v>0.10993683240247962</v>
      </c>
      <c r="O1988" s="336">
        <v>7.2590148479849168E-2</v>
      </c>
      <c r="P1988" s="258">
        <f t="shared" si="541"/>
        <v>7.2590148479849168E-2</v>
      </c>
      <c r="Q1988" s="354">
        <v>1.4801162790697673</v>
      </c>
      <c r="R1988" s="249">
        <f t="shared" si="542"/>
        <v>1.5144869476744187</v>
      </c>
      <c r="S1988" s="355">
        <v>0.1</v>
      </c>
      <c r="T1988" s="355"/>
      <c r="U1988" s="315">
        <f t="shared" si="531"/>
        <v>1.6659356424418605</v>
      </c>
      <c r="V1988" s="315">
        <f t="shared" si="532"/>
        <v>2</v>
      </c>
      <c r="W1988" s="316">
        <f t="shared" si="533"/>
        <v>0</v>
      </c>
    </row>
    <row r="1989" spans="1:23" x14ac:dyDescent="0.25">
      <c r="A1989" s="204" t="s">
        <v>17653</v>
      </c>
      <c r="B1989" s="351" t="s">
        <v>21690</v>
      </c>
      <c r="C1989" s="352"/>
      <c r="D1989" s="353" t="s">
        <v>14859</v>
      </c>
      <c r="E1989" s="249">
        <f t="shared" si="534"/>
        <v>0</v>
      </c>
      <c r="F1989" s="336">
        <v>0</v>
      </c>
      <c r="G1989" s="258">
        <f t="shared" si="535"/>
        <v>0</v>
      </c>
      <c r="H1989" s="249">
        <f t="shared" si="536"/>
        <v>10.960302284860729</v>
      </c>
      <c r="I1989" s="336">
        <v>3.8363995873452551E-2</v>
      </c>
      <c r="J1989" s="258">
        <f t="shared" si="537"/>
        <v>3.8363995873452551E-2</v>
      </c>
      <c r="K1989" s="249">
        <f t="shared" si="538"/>
        <v>255.82020957655604</v>
      </c>
      <c r="L1989" s="336">
        <v>0.89543930536451177</v>
      </c>
      <c r="M1989" s="258">
        <f t="shared" si="539"/>
        <v>0.89543930536451177</v>
      </c>
      <c r="N1989" s="251">
        <f t="shared" si="540"/>
        <v>18.911894138583222</v>
      </c>
      <c r="O1989" s="336">
        <v>6.619669876203578E-2</v>
      </c>
      <c r="P1989" s="258">
        <f t="shared" si="541"/>
        <v>6.619669876203578E-2</v>
      </c>
      <c r="Q1989" s="354">
        <v>279.16799999999995</v>
      </c>
      <c r="R1989" s="249">
        <f t="shared" si="542"/>
        <v>285.69240599999995</v>
      </c>
      <c r="S1989" s="355">
        <v>0.1</v>
      </c>
      <c r="T1989" s="355"/>
      <c r="U1989" s="315">
        <f t="shared" si="531"/>
        <v>314.26164659999995</v>
      </c>
      <c r="V1989" s="315">
        <f t="shared" si="532"/>
        <v>315</v>
      </c>
      <c r="W1989" s="316">
        <f t="shared" si="533"/>
        <v>0</v>
      </c>
    </row>
    <row r="1990" spans="1:23" x14ac:dyDescent="0.25">
      <c r="A1990" s="204" t="s">
        <v>17654</v>
      </c>
      <c r="B1990" s="351" t="s">
        <v>21691</v>
      </c>
      <c r="C1990" s="352"/>
      <c r="D1990" s="353" t="s">
        <v>5</v>
      </c>
      <c r="E1990" s="249">
        <f t="shared" si="534"/>
        <v>0</v>
      </c>
      <c r="F1990" s="336">
        <v>0</v>
      </c>
      <c r="G1990" s="258">
        <f t="shared" si="535"/>
        <v>0</v>
      </c>
      <c r="H1990" s="249">
        <f t="shared" si="536"/>
        <v>6.3720402591412831E-2</v>
      </c>
      <c r="I1990" s="336">
        <v>3.8363995873452558E-2</v>
      </c>
      <c r="J1990" s="258">
        <f t="shared" si="537"/>
        <v>3.8363995873452558E-2</v>
      </c>
      <c r="K1990" s="249">
        <f t="shared" si="538"/>
        <v>1.4872139677843397</v>
      </c>
      <c r="L1990" s="336">
        <v>0.89540348464007335</v>
      </c>
      <c r="M1990" s="258">
        <f t="shared" si="539"/>
        <v>0.89540348464007335</v>
      </c>
      <c r="N1990" s="251">
        <f t="shared" si="540"/>
        <v>0.10994892996165351</v>
      </c>
      <c r="O1990" s="336">
        <v>6.619669876203578E-2</v>
      </c>
      <c r="P1990" s="258">
        <f t="shared" si="541"/>
        <v>6.619669876203578E-2</v>
      </c>
      <c r="Q1990" s="354">
        <v>1.6230697674418602</v>
      </c>
      <c r="R1990" s="249">
        <f t="shared" si="542"/>
        <v>1.6609427965116277</v>
      </c>
      <c r="S1990" s="355">
        <v>0.1</v>
      </c>
      <c r="T1990" s="355"/>
      <c r="U1990" s="315">
        <f t="shared" si="531"/>
        <v>1.8270370761627905</v>
      </c>
      <c r="V1990" s="315">
        <f t="shared" si="532"/>
        <v>2</v>
      </c>
      <c r="W1990" s="316">
        <f t="shared" si="533"/>
        <v>0</v>
      </c>
    </row>
    <row r="1991" spans="1:23" x14ac:dyDescent="0.25">
      <c r="A1991" s="204" t="s">
        <v>17655</v>
      </c>
      <c r="B1991" s="351" t="s">
        <v>21692</v>
      </c>
      <c r="C1991" s="352"/>
      <c r="D1991" s="353" t="s">
        <v>14859</v>
      </c>
      <c r="E1991" s="249">
        <f t="shared" si="534"/>
        <v>0</v>
      </c>
      <c r="F1991" s="336">
        <v>0</v>
      </c>
      <c r="G1991" s="258">
        <f t="shared" si="535"/>
        <v>0</v>
      </c>
      <c r="H1991" s="249">
        <f t="shared" si="536"/>
        <v>10.960562817675202</v>
      </c>
      <c r="I1991" s="336">
        <v>3.7537458598391256E-2</v>
      </c>
      <c r="J1991" s="258">
        <f t="shared" si="537"/>
        <v>3.7537458598391256E-2</v>
      </c>
      <c r="K1991" s="249">
        <f t="shared" si="538"/>
        <v>262.11710099692448</v>
      </c>
      <c r="L1991" s="336">
        <v>0.89769202460438469</v>
      </c>
      <c r="M1991" s="258">
        <f t="shared" si="539"/>
        <v>0.89769202460438469</v>
      </c>
      <c r="N1991" s="251">
        <f t="shared" si="540"/>
        <v>18.912343685400348</v>
      </c>
      <c r="O1991" s="336">
        <v>6.477051679722412E-2</v>
      </c>
      <c r="P1991" s="258">
        <f t="shared" si="541"/>
        <v>6.477051679722412E-2</v>
      </c>
      <c r="Q1991" s="354">
        <v>285.315</v>
      </c>
      <c r="R1991" s="249">
        <f t="shared" si="542"/>
        <v>291.99000749999999</v>
      </c>
      <c r="S1991" s="355">
        <v>0.1</v>
      </c>
      <c r="T1991" s="355"/>
      <c r="U1991" s="315">
        <f t="shared" si="531"/>
        <v>321.18900824999997</v>
      </c>
      <c r="V1991" s="315">
        <f t="shared" si="532"/>
        <v>325</v>
      </c>
      <c r="W1991" s="316">
        <f t="shared" si="533"/>
        <v>0</v>
      </c>
    </row>
    <row r="1992" spans="1:23" x14ac:dyDescent="0.25">
      <c r="A1992" s="204" t="s">
        <v>17656</v>
      </c>
      <c r="B1992" s="351" t="s">
        <v>21693</v>
      </c>
      <c r="C1992" s="352"/>
      <c r="D1992" s="353" t="s">
        <v>5</v>
      </c>
      <c r="E1992" s="249">
        <f t="shared" si="534"/>
        <v>0</v>
      </c>
      <c r="F1992" s="336">
        <v>0</v>
      </c>
      <c r="G1992" s="258">
        <f t="shared" si="535"/>
        <v>0</v>
      </c>
      <c r="H1992" s="249">
        <f t="shared" si="536"/>
        <v>6.3721966548906175E-2</v>
      </c>
      <c r="I1992" s="336">
        <v>3.7537458598391256E-2</v>
      </c>
      <c r="J1992" s="258">
        <f t="shared" si="537"/>
        <v>3.7537458598391256E-2</v>
      </c>
      <c r="K1992" s="249">
        <f t="shared" si="538"/>
        <v>1.523823665982549</v>
      </c>
      <c r="L1992" s="336">
        <v>0.89765697562343361</v>
      </c>
      <c r="M1992" s="258">
        <f t="shared" si="539"/>
        <v>0.89765697562343361</v>
      </c>
      <c r="N1992" s="251">
        <f t="shared" si="540"/>
        <v>0.10995162855497534</v>
      </c>
      <c r="O1992" s="336">
        <v>6.477051679722412E-2</v>
      </c>
      <c r="P1992" s="258">
        <f t="shared" si="541"/>
        <v>6.477051679722412E-2</v>
      </c>
      <c r="Q1992" s="354">
        <v>1.6588081395348837</v>
      </c>
      <c r="R1992" s="249">
        <f t="shared" si="542"/>
        <v>1.6975567587209301</v>
      </c>
      <c r="S1992" s="355">
        <v>0.1</v>
      </c>
      <c r="T1992" s="355"/>
      <c r="U1992" s="315">
        <f t="shared" si="531"/>
        <v>1.8673124345930232</v>
      </c>
      <c r="V1992" s="315">
        <f t="shared" si="532"/>
        <v>2</v>
      </c>
      <c r="W1992" s="316">
        <f t="shared" si="533"/>
        <v>0</v>
      </c>
    </row>
    <row r="1993" spans="1:23" x14ac:dyDescent="0.25">
      <c r="A1993" s="204" t="s">
        <v>17657</v>
      </c>
      <c r="B1993" s="351" t="s">
        <v>21694</v>
      </c>
      <c r="C1993" s="352"/>
      <c r="D1993" s="353" t="s">
        <v>14859</v>
      </c>
      <c r="E1993" s="249">
        <f t="shared" si="534"/>
        <v>0</v>
      </c>
      <c r="F1993" s="336">
        <v>0</v>
      </c>
      <c r="G1993" s="258">
        <f t="shared" si="535"/>
        <v>0</v>
      </c>
      <c r="H1993" s="249">
        <f t="shared" si="536"/>
        <v>10.961090511052847</v>
      </c>
      <c r="I1993" s="336">
        <v>3.5863357593839948E-2</v>
      </c>
      <c r="J1993" s="258">
        <f t="shared" si="537"/>
        <v>3.5863357593839948E-2</v>
      </c>
      <c r="K1993" s="249">
        <f t="shared" si="538"/>
        <v>275.76046602379711</v>
      </c>
      <c r="L1993" s="336">
        <v>0.90225477047953428</v>
      </c>
      <c r="M1993" s="258">
        <f t="shared" si="539"/>
        <v>0.90225477047953428</v>
      </c>
      <c r="N1993" s="251">
        <f t="shared" si="540"/>
        <v>18.913254215150008</v>
      </c>
      <c r="O1993" s="336">
        <v>6.1881871926625788E-2</v>
      </c>
      <c r="P1993" s="258">
        <f t="shared" si="541"/>
        <v>6.1881871926625788E-2</v>
      </c>
      <c r="Q1993" s="354">
        <v>298.63349999999997</v>
      </c>
      <c r="R1993" s="249">
        <f t="shared" si="542"/>
        <v>305.63481074999999</v>
      </c>
      <c r="S1993" s="355">
        <v>0.1</v>
      </c>
      <c r="T1993" s="355"/>
      <c r="U1993" s="315">
        <f t="shared" si="531"/>
        <v>336.19829182499996</v>
      </c>
      <c r="V1993" s="315">
        <f t="shared" si="532"/>
        <v>340</v>
      </c>
      <c r="W1993" s="316">
        <f t="shared" si="533"/>
        <v>0</v>
      </c>
    </row>
    <row r="1994" spans="1:23" ht="14.4" thickBot="1" x14ac:dyDescent="0.3">
      <c r="A1994" s="356" t="s">
        <v>17658</v>
      </c>
      <c r="B1994" s="357" t="s">
        <v>21695</v>
      </c>
      <c r="C1994" s="358"/>
      <c r="D1994" s="359" t="s">
        <v>5</v>
      </c>
      <c r="E1994" s="266">
        <f t="shared" si="534"/>
        <v>0</v>
      </c>
      <c r="F1994" s="360">
        <v>0</v>
      </c>
      <c r="G1994" s="322">
        <f t="shared" si="535"/>
        <v>0</v>
      </c>
      <c r="H1994" s="266">
        <f t="shared" si="536"/>
        <v>6.3725134249734278E-2</v>
      </c>
      <c r="I1994" s="360">
        <v>3.5863357593839948E-2</v>
      </c>
      <c r="J1994" s="322">
        <f t="shared" si="537"/>
        <v>3.5863357593839948E-2</v>
      </c>
      <c r="K1994" s="266">
        <f t="shared" si="538"/>
        <v>1.603145280940782</v>
      </c>
      <c r="L1994" s="360">
        <v>0.90222128461810203</v>
      </c>
      <c r="M1994" s="322">
        <f t="shared" si="539"/>
        <v>0.90222128461810203</v>
      </c>
      <c r="N1994" s="270">
        <f t="shared" si="540"/>
        <v>0.10995709439169836</v>
      </c>
      <c r="O1994" s="360">
        <v>6.1881871926625788E-2</v>
      </c>
      <c r="P1994" s="322">
        <f t="shared" si="541"/>
        <v>6.1881871926625788E-2</v>
      </c>
      <c r="Q1994" s="361">
        <v>1.7362412790697672</v>
      </c>
      <c r="R1994" s="266">
        <f t="shared" si="542"/>
        <v>1.7768870101744181</v>
      </c>
      <c r="S1994" s="362">
        <v>0.1</v>
      </c>
      <c r="T1994" s="362"/>
      <c r="U1994" s="324">
        <f t="shared" si="531"/>
        <v>1.9545757111918598</v>
      </c>
      <c r="V1994" s="324">
        <f t="shared" si="532"/>
        <v>2</v>
      </c>
      <c r="W1994" s="325">
        <f t="shared" si="533"/>
        <v>0</v>
      </c>
    </row>
    <row r="1995" spans="1:23" x14ac:dyDescent="0.25">
      <c r="A1995" s="204" t="s">
        <v>17659</v>
      </c>
      <c r="B1995" s="351" t="s">
        <v>21696</v>
      </c>
      <c r="C1995" s="352"/>
      <c r="D1995" s="353" t="s">
        <v>14859</v>
      </c>
      <c r="E1995" s="249">
        <f t="shared" si="534"/>
        <v>0</v>
      </c>
      <c r="F1995" s="336">
        <v>0</v>
      </c>
      <c r="G1995" s="258">
        <f t="shared" si="535"/>
        <v>0</v>
      </c>
      <c r="H1995" s="249">
        <f t="shared" si="536"/>
        <v>10.961129159942335</v>
      </c>
      <c r="I1995" s="336">
        <v>3.5740744448671487E-2</v>
      </c>
      <c r="J1995" s="258">
        <f t="shared" si="537"/>
        <v>3.5740744448671487E-2</v>
      </c>
      <c r="K1995" s="249">
        <f t="shared" si="538"/>
        <v>276.80996093662776</v>
      </c>
      <c r="L1995" s="336">
        <v>0.90258895140460127</v>
      </c>
      <c r="M1995" s="258">
        <f t="shared" si="539"/>
        <v>0.90258895140460127</v>
      </c>
      <c r="N1995" s="251">
        <f t="shared" si="540"/>
        <v>18.913320903429909</v>
      </c>
      <c r="O1995" s="336">
        <v>6.1670304146727264E-2</v>
      </c>
      <c r="P1995" s="258">
        <f t="shared" si="541"/>
        <v>6.1670304146727264E-2</v>
      </c>
      <c r="Q1995" s="354">
        <v>299.65800000000002</v>
      </c>
      <c r="R1995" s="249">
        <f t="shared" si="542"/>
        <v>306.68441100000001</v>
      </c>
      <c r="S1995" s="355">
        <v>0.1</v>
      </c>
      <c r="T1995" s="355"/>
      <c r="U1995" s="315">
        <f t="shared" si="531"/>
        <v>337.35285210000001</v>
      </c>
      <c r="V1995" s="315">
        <f t="shared" si="532"/>
        <v>340</v>
      </c>
      <c r="W1995" s="316">
        <f t="shared" si="533"/>
        <v>0</v>
      </c>
    </row>
    <row r="1996" spans="1:23" x14ac:dyDescent="0.25">
      <c r="A1996" s="204" t="s">
        <v>17660</v>
      </c>
      <c r="B1996" s="351" t="s">
        <v>21697</v>
      </c>
      <c r="C1996" s="352"/>
      <c r="D1996" s="353" t="s">
        <v>5</v>
      </c>
      <c r="E1996" s="249">
        <f t="shared" si="534"/>
        <v>0</v>
      </c>
      <c r="F1996" s="336">
        <v>0</v>
      </c>
      <c r="G1996" s="258">
        <f t="shared" si="535"/>
        <v>0</v>
      </c>
      <c r="H1996" s="249">
        <f t="shared" si="536"/>
        <v>6.3725366255903831E-2</v>
      </c>
      <c r="I1996" s="336">
        <v>3.5740744448671487E-2</v>
      </c>
      <c r="J1996" s="258">
        <f t="shared" si="537"/>
        <v>3.5740744448671487E-2</v>
      </c>
      <c r="K1996" s="249">
        <f t="shared" si="538"/>
        <v>1.6092469754284999</v>
      </c>
      <c r="L1996" s="336">
        <v>0.90255558002789837</v>
      </c>
      <c r="M1996" s="258">
        <f t="shared" si="539"/>
        <v>0.90255558002789837</v>
      </c>
      <c r="N1996" s="251">
        <f t="shared" si="540"/>
        <v>0.10995749471606935</v>
      </c>
      <c r="O1996" s="336">
        <v>6.1670304146727264E-2</v>
      </c>
      <c r="P1996" s="258">
        <f t="shared" si="541"/>
        <v>6.1670304146727264E-2</v>
      </c>
      <c r="Q1996" s="354">
        <v>1.7421976744186047</v>
      </c>
      <c r="R1996" s="249">
        <f t="shared" si="542"/>
        <v>1.7829893372093024</v>
      </c>
      <c r="S1996" s="355">
        <v>0.1</v>
      </c>
      <c r="T1996" s="355"/>
      <c r="U1996" s="315">
        <f t="shared" si="531"/>
        <v>1.9612882709302326</v>
      </c>
      <c r="V1996" s="315">
        <f t="shared" si="532"/>
        <v>2</v>
      </c>
      <c r="W1996" s="316">
        <f t="shared" si="533"/>
        <v>0</v>
      </c>
    </row>
    <row r="1997" spans="1:23" x14ac:dyDescent="0.25">
      <c r="A1997" s="204" t="s">
        <v>17661</v>
      </c>
      <c r="B1997" s="351" t="s">
        <v>21698</v>
      </c>
      <c r="C1997" s="352"/>
      <c r="D1997" s="353" t="s">
        <v>14859</v>
      </c>
      <c r="E1997" s="249">
        <f t="shared" si="534"/>
        <v>0</v>
      </c>
      <c r="F1997" s="336">
        <v>0</v>
      </c>
      <c r="G1997" s="258">
        <f t="shared" si="535"/>
        <v>0</v>
      </c>
      <c r="H1997" s="249">
        <f t="shared" si="536"/>
        <v>10.961537487879008</v>
      </c>
      <c r="I1997" s="336">
        <v>3.4445328894999641E-2</v>
      </c>
      <c r="J1997" s="258">
        <f t="shared" si="537"/>
        <v>3.4445328894999641E-2</v>
      </c>
      <c r="K1997" s="249">
        <f t="shared" si="538"/>
        <v>288.3544507928396</v>
      </c>
      <c r="L1997" s="336">
        <v>0.90611959379598139</v>
      </c>
      <c r="M1997" s="258">
        <f t="shared" si="539"/>
        <v>0.90611959379598139</v>
      </c>
      <c r="N1997" s="251">
        <f t="shared" si="540"/>
        <v>18.914025469281423</v>
      </c>
      <c r="O1997" s="336">
        <v>5.943507730901898E-2</v>
      </c>
      <c r="P1997" s="258">
        <f t="shared" si="541"/>
        <v>5.943507730901898E-2</v>
      </c>
      <c r="Q1997" s="354">
        <v>310.92750000000001</v>
      </c>
      <c r="R1997" s="249">
        <f t="shared" si="542"/>
        <v>318.23001375000001</v>
      </c>
      <c r="S1997" s="355">
        <v>0.1</v>
      </c>
      <c r="T1997" s="355"/>
      <c r="U1997" s="315">
        <f t="shared" si="531"/>
        <v>350.053015125</v>
      </c>
      <c r="V1997" s="315">
        <f t="shared" si="532"/>
        <v>355</v>
      </c>
      <c r="W1997" s="316">
        <f t="shared" si="533"/>
        <v>0</v>
      </c>
    </row>
    <row r="1998" spans="1:23" x14ac:dyDescent="0.25">
      <c r="A1998" s="204" t="s">
        <v>17662</v>
      </c>
      <c r="B1998" s="351" t="s">
        <v>21699</v>
      </c>
      <c r="C1998" s="352"/>
      <c r="D1998" s="353" t="s">
        <v>5</v>
      </c>
      <c r="E1998" s="249">
        <f t="shared" si="534"/>
        <v>0</v>
      </c>
      <c r="F1998" s="336">
        <v>0</v>
      </c>
      <c r="G1998" s="258">
        <f t="shared" si="535"/>
        <v>0</v>
      </c>
      <c r="H1998" s="249">
        <f t="shared" si="536"/>
        <v>6.372781741560743E-2</v>
      </c>
      <c r="I1998" s="336">
        <v>3.4445328894999641E-2</v>
      </c>
      <c r="J1998" s="258">
        <f t="shared" si="537"/>
        <v>3.4445328894999641E-2</v>
      </c>
      <c r="K1998" s="249">
        <f t="shared" si="538"/>
        <v>1.6763658899118146</v>
      </c>
      <c r="L1998" s="336">
        <v>0.90608743195761043</v>
      </c>
      <c r="M1998" s="258">
        <f t="shared" si="539"/>
        <v>0.90608743195761043</v>
      </c>
      <c r="N1998" s="251">
        <f t="shared" si="540"/>
        <v>0.10996172416810691</v>
      </c>
      <c r="O1998" s="336">
        <v>5.943507730901898E-2</v>
      </c>
      <c r="P1998" s="258">
        <f t="shared" si="541"/>
        <v>5.943507730901898E-2</v>
      </c>
      <c r="Q1998" s="354">
        <v>1.8077180232558141</v>
      </c>
      <c r="R1998" s="249">
        <f t="shared" si="542"/>
        <v>1.850114934593023</v>
      </c>
      <c r="S1998" s="355">
        <v>0.1</v>
      </c>
      <c r="T1998" s="355"/>
      <c r="U1998" s="315">
        <f t="shared" si="531"/>
        <v>2.0351264280523251</v>
      </c>
      <c r="V1998" s="315">
        <f t="shared" si="532"/>
        <v>3</v>
      </c>
      <c r="W1998" s="316">
        <f t="shared" si="533"/>
        <v>0</v>
      </c>
    </row>
    <row r="1999" spans="1:23" x14ac:dyDescent="0.25">
      <c r="A1999" s="204" t="s">
        <v>17663</v>
      </c>
      <c r="B1999" s="351" t="s">
        <v>21700</v>
      </c>
      <c r="C1999" s="352"/>
      <c r="D1999" s="353" t="s">
        <v>14859</v>
      </c>
      <c r="E1999" s="249">
        <f t="shared" si="534"/>
        <v>0</v>
      </c>
      <c r="F1999" s="336">
        <v>0</v>
      </c>
      <c r="G1999" s="258">
        <f t="shared" si="535"/>
        <v>0</v>
      </c>
      <c r="H1999" s="249">
        <f t="shared" si="536"/>
        <v>10.962966549582536</v>
      </c>
      <c r="I1999" s="336">
        <v>2.9911647528518708E-2</v>
      </c>
      <c r="J1999" s="258">
        <f t="shared" si="537"/>
        <v>2.9911647528518708E-2</v>
      </c>
      <c r="K1999" s="249">
        <f t="shared" si="538"/>
        <v>336.63216739917698</v>
      </c>
      <c r="L1999" s="336">
        <v>0.91847609791246865</v>
      </c>
      <c r="M1999" s="258">
        <f t="shared" si="539"/>
        <v>0.91847609791246865</v>
      </c>
      <c r="N1999" s="251">
        <f t="shared" si="540"/>
        <v>18.916491301240455</v>
      </c>
      <c r="O1999" s="336">
        <v>5.1612254559012673E-2</v>
      </c>
      <c r="P1999" s="258">
        <f t="shared" si="541"/>
        <v>5.1612254559012673E-2</v>
      </c>
      <c r="Q1999" s="354">
        <v>358.05449999999996</v>
      </c>
      <c r="R1999" s="249">
        <f t="shared" si="542"/>
        <v>366.51162524999995</v>
      </c>
      <c r="S1999" s="355">
        <v>0.1</v>
      </c>
      <c r="T1999" s="355"/>
      <c r="U1999" s="315">
        <f t="shared" si="531"/>
        <v>403.16278777499997</v>
      </c>
      <c r="V1999" s="315">
        <f t="shared" si="532"/>
        <v>405</v>
      </c>
      <c r="W1999" s="316">
        <f t="shared" si="533"/>
        <v>0</v>
      </c>
    </row>
    <row r="2000" spans="1:23" x14ac:dyDescent="0.25">
      <c r="A2000" s="204" t="s">
        <v>17664</v>
      </c>
      <c r="B2000" s="351" t="s">
        <v>21701</v>
      </c>
      <c r="C2000" s="352"/>
      <c r="D2000" s="353" t="s">
        <v>5</v>
      </c>
      <c r="E2000" s="249">
        <f t="shared" si="534"/>
        <v>0</v>
      </c>
      <c r="F2000" s="336">
        <v>0</v>
      </c>
      <c r="G2000" s="258">
        <f t="shared" si="535"/>
        <v>0</v>
      </c>
      <c r="H2000" s="249">
        <f t="shared" si="536"/>
        <v>6.3736395957869812E-2</v>
      </c>
      <c r="I2000" s="336">
        <v>2.9911647528518711E-2</v>
      </c>
      <c r="J2000" s="258">
        <f t="shared" si="537"/>
        <v>2.9911647528518711E-2</v>
      </c>
      <c r="K2000" s="249">
        <f t="shared" si="538"/>
        <v>1.9570495447737897</v>
      </c>
      <c r="L2000" s="336">
        <v>0.91844816920329153</v>
      </c>
      <c r="M2000" s="258">
        <f t="shared" si="539"/>
        <v>0.91844816920329153</v>
      </c>
      <c r="N2000" s="251">
        <f t="shared" si="540"/>
        <v>0.1099765263586773</v>
      </c>
      <c r="O2000" s="336">
        <v>5.1612254559012673E-2</v>
      </c>
      <c r="P2000" s="258">
        <f t="shared" si="541"/>
        <v>5.1612254559012673E-2</v>
      </c>
      <c r="Q2000" s="354">
        <v>2.0817122093023253</v>
      </c>
      <c r="R2000" s="249">
        <f t="shared" si="542"/>
        <v>2.130821978197674</v>
      </c>
      <c r="S2000" s="355">
        <v>0.1</v>
      </c>
      <c r="T2000" s="355"/>
      <c r="U2000" s="315">
        <f t="shared" si="531"/>
        <v>2.3439041760174413</v>
      </c>
      <c r="V2000" s="315">
        <f t="shared" si="532"/>
        <v>3</v>
      </c>
      <c r="W2000" s="316">
        <f t="shared" si="533"/>
        <v>0</v>
      </c>
    </row>
    <row r="2001" spans="1:23" x14ac:dyDescent="0.25">
      <c r="A2001" s="204" t="s">
        <v>17665</v>
      </c>
      <c r="B2001" s="351" t="s">
        <v>21702</v>
      </c>
      <c r="C2001" s="352"/>
      <c r="D2001" s="353" t="s">
        <v>14859</v>
      </c>
      <c r="E2001" s="249">
        <f t="shared" si="534"/>
        <v>0</v>
      </c>
      <c r="F2001" s="336">
        <v>0</v>
      </c>
      <c r="G2001" s="258">
        <f t="shared" si="535"/>
        <v>0</v>
      </c>
      <c r="H2001" s="249">
        <f t="shared" si="536"/>
        <v>10.963046793546887</v>
      </c>
      <c r="I2001" s="336">
        <v>2.9657074499900318E-2</v>
      </c>
      <c r="J2001" s="258">
        <f t="shared" si="537"/>
        <v>2.9657074499900318E-2</v>
      </c>
      <c r="K2001" s="249">
        <f t="shared" si="538"/>
        <v>339.78074944503885</v>
      </c>
      <c r="L2001" s="336">
        <v>0.919169934206154</v>
      </c>
      <c r="M2001" s="258">
        <f t="shared" si="539"/>
        <v>0.919169934206154</v>
      </c>
      <c r="N2001" s="251">
        <f t="shared" si="540"/>
        <v>18.916629761414235</v>
      </c>
      <c r="O2001" s="336">
        <v>5.117299129394564E-2</v>
      </c>
      <c r="P2001" s="258">
        <f t="shared" si="541"/>
        <v>5.117299129394564E-2</v>
      </c>
      <c r="Q2001" s="354">
        <v>361.12799999999999</v>
      </c>
      <c r="R2001" s="249">
        <f t="shared" si="542"/>
        <v>369.66042599999997</v>
      </c>
      <c r="S2001" s="355">
        <v>0.1</v>
      </c>
      <c r="T2001" s="355"/>
      <c r="U2001" s="315">
        <f t="shared" si="531"/>
        <v>406.62646859999995</v>
      </c>
      <c r="V2001" s="315">
        <f t="shared" si="532"/>
        <v>410</v>
      </c>
      <c r="W2001" s="316">
        <f t="shared" si="533"/>
        <v>0</v>
      </c>
    </row>
    <row r="2002" spans="1:23" x14ac:dyDescent="0.25">
      <c r="A2002" s="204" t="s">
        <v>17666</v>
      </c>
      <c r="B2002" s="351" t="s">
        <v>21703</v>
      </c>
      <c r="C2002" s="352"/>
      <c r="D2002" s="353" t="s">
        <v>5</v>
      </c>
      <c r="E2002" s="249">
        <f t="shared" si="534"/>
        <v>0</v>
      </c>
      <c r="F2002" s="336">
        <v>0</v>
      </c>
      <c r="G2002" s="258">
        <f t="shared" si="535"/>
        <v>0</v>
      </c>
      <c r="H2002" s="249">
        <f t="shared" si="536"/>
        <v>6.3736877655922286E-2</v>
      </c>
      <c r="I2002" s="336">
        <v>2.9657074499900321E-2</v>
      </c>
      <c r="J2002" s="258">
        <f t="shared" si="537"/>
        <v>2.9657074499900321E-2</v>
      </c>
      <c r="K2002" s="249">
        <f t="shared" si="538"/>
        <v>1.975355212565356</v>
      </c>
      <c r="L2002" s="336">
        <v>0.91914224319354887</v>
      </c>
      <c r="M2002" s="258">
        <f t="shared" si="539"/>
        <v>0.91914224319354887</v>
      </c>
      <c r="N2002" s="251">
        <f t="shared" si="540"/>
        <v>0.10997735752394433</v>
      </c>
      <c r="O2002" s="336">
        <v>5.1172991293945647E-2</v>
      </c>
      <c r="P2002" s="258">
        <f t="shared" si="541"/>
        <v>5.1172991293945647E-2</v>
      </c>
      <c r="Q2002" s="354">
        <v>2.0995813953488369</v>
      </c>
      <c r="R2002" s="249">
        <f t="shared" si="542"/>
        <v>2.1491289593023248</v>
      </c>
      <c r="S2002" s="355">
        <v>0.1</v>
      </c>
      <c r="T2002" s="355"/>
      <c r="U2002" s="315">
        <f t="shared" si="531"/>
        <v>2.3640418552325575</v>
      </c>
      <c r="V2002" s="315">
        <f t="shared" si="532"/>
        <v>3</v>
      </c>
      <c r="W2002" s="316">
        <f t="shared" si="533"/>
        <v>0</v>
      </c>
    </row>
    <row r="2003" spans="1:23" x14ac:dyDescent="0.25">
      <c r="A2003" s="204" t="s">
        <v>17667</v>
      </c>
      <c r="B2003" s="351" t="s">
        <v>21704</v>
      </c>
      <c r="C2003" s="352"/>
      <c r="D2003" s="353" t="s">
        <v>14859</v>
      </c>
      <c r="E2003" s="249">
        <f t="shared" si="534"/>
        <v>0</v>
      </c>
      <c r="F2003" s="336">
        <v>0</v>
      </c>
      <c r="G2003" s="258">
        <f t="shared" si="535"/>
        <v>0</v>
      </c>
      <c r="H2003" s="249">
        <f t="shared" si="536"/>
        <v>10.963073238863462</v>
      </c>
      <c r="I2003" s="336">
        <v>2.9573177045581631E-2</v>
      </c>
      <c r="J2003" s="258">
        <f t="shared" si="537"/>
        <v>2.9573177045581631E-2</v>
      </c>
      <c r="K2003" s="249">
        <f t="shared" si="538"/>
        <v>340.83027761858773</v>
      </c>
      <c r="L2003" s="336">
        <v>0.91939859589537554</v>
      </c>
      <c r="M2003" s="258">
        <f t="shared" si="539"/>
        <v>0.91939859589537554</v>
      </c>
      <c r="N2003" s="251">
        <f t="shared" si="540"/>
        <v>18.916675392548719</v>
      </c>
      <c r="O2003" s="336">
        <v>5.1028227059042815E-2</v>
      </c>
      <c r="P2003" s="258">
        <f t="shared" si="541"/>
        <v>5.1028227059042815E-2</v>
      </c>
      <c r="Q2003" s="354">
        <v>362.15249999999997</v>
      </c>
      <c r="R2003" s="249">
        <f t="shared" si="542"/>
        <v>370.71002624999994</v>
      </c>
      <c r="S2003" s="355">
        <v>0.1</v>
      </c>
      <c r="T2003" s="355"/>
      <c r="U2003" s="315">
        <f t="shared" si="531"/>
        <v>407.78102887499995</v>
      </c>
      <c r="V2003" s="315">
        <f t="shared" si="532"/>
        <v>410</v>
      </c>
      <c r="W2003" s="316">
        <f t="shared" si="533"/>
        <v>0</v>
      </c>
    </row>
    <row r="2004" spans="1:23" x14ac:dyDescent="0.25">
      <c r="A2004" s="204" t="s">
        <v>17668</v>
      </c>
      <c r="B2004" s="351" t="s">
        <v>21705</v>
      </c>
      <c r="C2004" s="352"/>
      <c r="D2004" s="353" t="s">
        <v>5</v>
      </c>
      <c r="E2004" s="249">
        <f t="shared" si="534"/>
        <v>0</v>
      </c>
      <c r="F2004" s="336">
        <v>0</v>
      </c>
      <c r="G2004" s="258">
        <f t="shared" si="535"/>
        <v>0</v>
      </c>
      <c r="H2004" s="249">
        <f t="shared" si="536"/>
        <v>6.3737036405026926E-2</v>
      </c>
      <c r="I2004" s="336">
        <v>2.9573177045581628E-2</v>
      </c>
      <c r="J2004" s="258">
        <f t="shared" si="537"/>
        <v>2.9573177045581628E-2</v>
      </c>
      <c r="K2004" s="249">
        <f t="shared" si="538"/>
        <v>1.9814571067828874</v>
      </c>
      <c r="L2004" s="336">
        <v>0.91937098321839561</v>
      </c>
      <c r="M2004" s="258">
        <f t="shared" si="539"/>
        <v>0.91937098321839561</v>
      </c>
      <c r="N2004" s="251">
        <f t="shared" si="540"/>
        <v>0.10997763144396802</v>
      </c>
      <c r="O2004" s="336">
        <v>5.1028227059042808E-2</v>
      </c>
      <c r="P2004" s="258">
        <f t="shared" si="541"/>
        <v>5.1028227059042808E-2</v>
      </c>
      <c r="Q2004" s="354">
        <v>2.1055377906976744</v>
      </c>
      <c r="R2004" s="249">
        <f t="shared" si="542"/>
        <v>2.1552312863372092</v>
      </c>
      <c r="S2004" s="355">
        <v>0.1</v>
      </c>
      <c r="T2004" s="355"/>
      <c r="U2004" s="315">
        <f t="shared" si="531"/>
        <v>2.3707544149709303</v>
      </c>
      <c r="V2004" s="315">
        <f t="shared" si="532"/>
        <v>3</v>
      </c>
      <c r="W2004" s="316">
        <f t="shared" si="533"/>
        <v>0</v>
      </c>
    </row>
    <row r="2005" spans="1:23" x14ac:dyDescent="0.25">
      <c r="A2005" s="204" t="s">
        <v>17669</v>
      </c>
      <c r="B2005" s="351" t="s">
        <v>21706</v>
      </c>
      <c r="C2005" s="352"/>
      <c r="D2005" s="353" t="s">
        <v>14859</v>
      </c>
      <c r="E2005" s="249">
        <f t="shared" si="534"/>
        <v>0</v>
      </c>
      <c r="F2005" s="336">
        <v>0</v>
      </c>
      <c r="G2005" s="258">
        <f t="shared" si="535"/>
        <v>0</v>
      </c>
      <c r="H2005" s="249">
        <f t="shared" si="536"/>
        <v>10.963151684628148</v>
      </c>
      <c r="I2005" s="336">
        <v>2.9324308784150089E-2</v>
      </c>
      <c r="J2005" s="258">
        <f t="shared" si="537"/>
        <v>2.9324308784150089E-2</v>
      </c>
      <c r="K2005" s="249">
        <f t="shared" si="538"/>
        <v>343.97886456542523</v>
      </c>
      <c r="L2005" s="336">
        <v>0.92007688390202236</v>
      </c>
      <c r="M2005" s="258">
        <f t="shared" si="539"/>
        <v>0.92007688390202236</v>
      </c>
      <c r="N2005" s="251">
        <f t="shared" si="540"/>
        <v>18.916810749946606</v>
      </c>
      <c r="O2005" s="336">
        <v>5.0598807313827605E-2</v>
      </c>
      <c r="P2005" s="258">
        <f t="shared" si="541"/>
        <v>5.0598807313827605E-2</v>
      </c>
      <c r="Q2005" s="354">
        <v>365.226</v>
      </c>
      <c r="R2005" s="249">
        <f t="shared" si="542"/>
        <v>373.85882699999996</v>
      </c>
      <c r="S2005" s="355">
        <v>0.1</v>
      </c>
      <c r="T2005" s="355"/>
      <c r="U2005" s="315">
        <f t="shared" si="531"/>
        <v>411.24470969999993</v>
      </c>
      <c r="V2005" s="315">
        <f t="shared" si="532"/>
        <v>415</v>
      </c>
      <c r="W2005" s="316">
        <f t="shared" si="533"/>
        <v>0</v>
      </c>
    </row>
    <row r="2006" spans="1:23" x14ac:dyDescent="0.25">
      <c r="A2006" s="204" t="s">
        <v>17670</v>
      </c>
      <c r="B2006" s="351" t="s">
        <v>21707</v>
      </c>
      <c r="C2006" s="352"/>
      <c r="D2006" s="353" t="s">
        <v>5</v>
      </c>
      <c r="E2006" s="249">
        <f t="shared" si="534"/>
        <v>0</v>
      </c>
      <c r="F2006" s="336">
        <v>0</v>
      </c>
      <c r="G2006" s="258">
        <f t="shared" si="535"/>
        <v>0</v>
      </c>
      <c r="H2006" s="249">
        <f t="shared" si="536"/>
        <v>6.3737507308631702E-2</v>
      </c>
      <c r="I2006" s="336">
        <v>2.9324308784150089E-2</v>
      </c>
      <c r="J2006" s="258">
        <f t="shared" si="537"/>
        <v>2.9324308784150089E-2</v>
      </c>
      <c r="K2006" s="249">
        <f t="shared" si="538"/>
        <v>1.9997628040046938</v>
      </c>
      <c r="L2006" s="336">
        <v>0.92004950359503412</v>
      </c>
      <c r="M2006" s="258">
        <f t="shared" si="539"/>
        <v>0.92004950359503412</v>
      </c>
      <c r="N2006" s="251">
        <f t="shared" si="540"/>
        <v>0.10997844398352136</v>
      </c>
      <c r="O2006" s="336">
        <v>5.0598807313827598E-2</v>
      </c>
      <c r="P2006" s="258">
        <f t="shared" si="541"/>
        <v>5.0598807313827598E-2</v>
      </c>
      <c r="Q2006" s="354">
        <v>2.1234069767441861</v>
      </c>
      <c r="R2006" s="249">
        <f t="shared" si="542"/>
        <v>2.17353826744186</v>
      </c>
      <c r="S2006" s="355">
        <v>0.1</v>
      </c>
      <c r="T2006" s="355"/>
      <c r="U2006" s="315">
        <f t="shared" si="531"/>
        <v>2.3908920941860461</v>
      </c>
      <c r="V2006" s="315">
        <f t="shared" si="532"/>
        <v>3</v>
      </c>
      <c r="W2006" s="316">
        <f t="shared" si="533"/>
        <v>0</v>
      </c>
    </row>
    <row r="2007" spans="1:23" x14ac:dyDescent="0.25">
      <c r="A2007" s="204" t="s">
        <v>17671</v>
      </c>
      <c r="B2007" s="351" t="s">
        <v>21708</v>
      </c>
      <c r="C2007" s="352"/>
      <c r="D2007" s="353" t="s">
        <v>14859</v>
      </c>
      <c r="E2007" s="249">
        <f t="shared" si="534"/>
        <v>0</v>
      </c>
      <c r="F2007" s="336">
        <v>0</v>
      </c>
      <c r="G2007" s="258">
        <f t="shared" si="535"/>
        <v>0</v>
      </c>
      <c r="H2007" s="249">
        <f t="shared" si="536"/>
        <v>10.963524908682098</v>
      </c>
      <c r="I2007" s="336">
        <v>2.8140259883576574E-2</v>
      </c>
      <c r="J2007" s="258">
        <f t="shared" si="537"/>
        <v>2.8140259883576574E-2</v>
      </c>
      <c r="K2007" s="249">
        <f t="shared" si="538"/>
        <v>359.72185109692532</v>
      </c>
      <c r="L2007" s="336">
        <v>0.92330399757221293</v>
      </c>
      <c r="M2007" s="258">
        <f t="shared" si="539"/>
        <v>0.92330399757221293</v>
      </c>
      <c r="N2007" s="251">
        <f t="shared" si="540"/>
        <v>18.917454744392639</v>
      </c>
      <c r="O2007" s="336">
        <v>4.8555742544210558E-2</v>
      </c>
      <c r="P2007" s="258">
        <f t="shared" si="541"/>
        <v>4.8555742544210558E-2</v>
      </c>
      <c r="Q2007" s="354">
        <v>380.59350000000001</v>
      </c>
      <c r="R2007" s="249">
        <f t="shared" si="542"/>
        <v>389.60283075000001</v>
      </c>
      <c r="S2007" s="355">
        <v>0.1</v>
      </c>
      <c r="T2007" s="355"/>
      <c r="U2007" s="315">
        <f t="shared" si="531"/>
        <v>428.56311382500002</v>
      </c>
      <c r="V2007" s="315">
        <f t="shared" si="532"/>
        <v>430</v>
      </c>
      <c r="W2007" s="316">
        <f t="shared" si="533"/>
        <v>0</v>
      </c>
    </row>
    <row r="2008" spans="1:23" x14ac:dyDescent="0.25">
      <c r="A2008" s="204" t="s">
        <v>17672</v>
      </c>
      <c r="B2008" s="351" t="s">
        <v>21709</v>
      </c>
      <c r="C2008" s="352"/>
      <c r="D2008" s="353" t="s">
        <v>5</v>
      </c>
      <c r="E2008" s="249">
        <f t="shared" si="534"/>
        <v>0</v>
      </c>
      <c r="F2008" s="336">
        <v>0</v>
      </c>
      <c r="G2008" s="258">
        <f t="shared" si="535"/>
        <v>0</v>
      </c>
      <c r="H2008" s="249">
        <f t="shared" si="536"/>
        <v>6.3739747742555752E-2</v>
      </c>
      <c r="I2008" s="336">
        <v>2.814025988357657E-2</v>
      </c>
      <c r="J2008" s="258">
        <f t="shared" si="537"/>
        <v>2.814025988357657E-2</v>
      </c>
      <c r="K2008" s="249">
        <f t="shared" si="538"/>
        <v>2.0912916011553468</v>
      </c>
      <c r="L2008" s="336">
        <v>0.92327772281975384</v>
      </c>
      <c r="M2008" s="258">
        <f t="shared" si="539"/>
        <v>0.92327772281975384</v>
      </c>
      <c r="N2008" s="251">
        <f t="shared" si="540"/>
        <v>0.10998230983029227</v>
      </c>
      <c r="O2008" s="336">
        <v>4.8555742544210551E-2</v>
      </c>
      <c r="P2008" s="258">
        <f t="shared" si="541"/>
        <v>4.8555742544210551E-2</v>
      </c>
      <c r="Q2008" s="354">
        <v>2.2127529069767444</v>
      </c>
      <c r="R2008" s="249">
        <f t="shared" si="542"/>
        <v>2.2650731729651161</v>
      </c>
      <c r="S2008" s="355">
        <v>0.1</v>
      </c>
      <c r="T2008" s="355"/>
      <c r="U2008" s="315">
        <f t="shared" si="531"/>
        <v>2.4915804902616276</v>
      </c>
      <c r="V2008" s="315">
        <f t="shared" si="532"/>
        <v>3</v>
      </c>
      <c r="W2008" s="316">
        <f t="shared" si="533"/>
        <v>0</v>
      </c>
    </row>
    <row r="2009" spans="1:23" x14ac:dyDescent="0.25">
      <c r="A2009" s="204" t="s">
        <v>17673</v>
      </c>
      <c r="B2009" s="351" t="s">
        <v>21710</v>
      </c>
      <c r="C2009" s="352"/>
      <c r="D2009" s="353" t="s">
        <v>14859</v>
      </c>
      <c r="E2009" s="249">
        <f t="shared" si="534"/>
        <v>0</v>
      </c>
      <c r="F2009" s="336">
        <v>0</v>
      </c>
      <c r="G2009" s="258">
        <f t="shared" si="535"/>
        <v>0</v>
      </c>
      <c r="H2009" s="249">
        <f t="shared" si="536"/>
        <v>10.964632385143899</v>
      </c>
      <c r="I2009" s="336">
        <v>2.4626803896139735E-2</v>
      </c>
      <c r="J2009" s="258">
        <f t="shared" si="537"/>
        <v>2.4626803896139735E-2</v>
      </c>
      <c r="K2009" s="249">
        <f t="shared" si="538"/>
        <v>415.34764593068621</v>
      </c>
      <c r="L2009" s="336">
        <v>0.93287988742032502</v>
      </c>
      <c r="M2009" s="258">
        <f t="shared" si="539"/>
        <v>0.93287988742032502</v>
      </c>
      <c r="N2009" s="251">
        <f t="shared" si="540"/>
        <v>18.919365684169861</v>
      </c>
      <c r="O2009" s="336">
        <v>4.2493308683535222E-2</v>
      </c>
      <c r="P2009" s="258">
        <f t="shared" si="541"/>
        <v>4.2493308683535222E-2</v>
      </c>
      <c r="Q2009" s="354">
        <v>434.892</v>
      </c>
      <c r="R2009" s="249">
        <f t="shared" si="542"/>
        <v>445.23164399999996</v>
      </c>
      <c r="S2009" s="355">
        <v>0.1</v>
      </c>
      <c r="T2009" s="355"/>
      <c r="U2009" s="315">
        <f t="shared" si="531"/>
        <v>489.75480839999994</v>
      </c>
      <c r="V2009" s="315">
        <f t="shared" si="532"/>
        <v>490</v>
      </c>
      <c r="W2009" s="316">
        <f t="shared" si="533"/>
        <v>0</v>
      </c>
    </row>
    <row r="2010" spans="1:23" x14ac:dyDescent="0.25">
      <c r="A2010" s="204" t="s">
        <v>17674</v>
      </c>
      <c r="B2010" s="351" t="s">
        <v>21711</v>
      </c>
      <c r="C2010" s="352"/>
      <c r="D2010" s="353" t="s">
        <v>5</v>
      </c>
      <c r="E2010" s="249">
        <f t="shared" si="534"/>
        <v>0</v>
      </c>
      <c r="F2010" s="336">
        <v>0</v>
      </c>
      <c r="G2010" s="258">
        <f t="shared" si="535"/>
        <v>0</v>
      </c>
      <c r="H2010" s="249">
        <f t="shared" si="536"/>
        <v>6.3746395834523156E-2</v>
      </c>
      <c r="I2010" s="336">
        <v>2.4626803896139731E-2</v>
      </c>
      <c r="J2010" s="258">
        <f t="shared" si="537"/>
        <v>2.4626803896139731E-2</v>
      </c>
      <c r="K2010" s="249">
        <f t="shared" si="538"/>
        <v>2.4146968084873355</v>
      </c>
      <c r="L2010" s="336">
        <v>0.93285689320566934</v>
      </c>
      <c r="M2010" s="258">
        <f t="shared" si="539"/>
        <v>0.93285689320566934</v>
      </c>
      <c r="N2010" s="251">
        <f t="shared" si="540"/>
        <v>0.10999378104780465</v>
      </c>
      <c r="O2010" s="336">
        <v>4.2493308683535222E-2</v>
      </c>
      <c r="P2010" s="258">
        <f t="shared" si="541"/>
        <v>4.2493308683535222E-2</v>
      </c>
      <c r="Q2010" s="354">
        <v>2.5284418604651164</v>
      </c>
      <c r="R2010" s="249">
        <f t="shared" si="542"/>
        <v>2.5884965058139535</v>
      </c>
      <c r="S2010" s="355">
        <v>0.1</v>
      </c>
      <c r="T2010" s="355"/>
      <c r="U2010" s="315">
        <f t="shared" si="531"/>
        <v>2.847346156395349</v>
      </c>
      <c r="V2010" s="315">
        <f t="shared" si="532"/>
        <v>3</v>
      </c>
      <c r="W2010" s="316">
        <f t="shared" si="533"/>
        <v>0</v>
      </c>
    </row>
    <row r="2011" spans="1:23" x14ac:dyDescent="0.25">
      <c r="A2011" s="204" t="s">
        <v>17675</v>
      </c>
      <c r="B2011" s="351" t="s">
        <v>21712</v>
      </c>
      <c r="C2011" s="352"/>
      <c r="D2011" s="353" t="s">
        <v>14859</v>
      </c>
      <c r="E2011" s="249">
        <f t="shared" si="534"/>
        <v>0</v>
      </c>
      <c r="F2011" s="336">
        <v>0</v>
      </c>
      <c r="G2011" s="258">
        <f t="shared" si="535"/>
        <v>0</v>
      </c>
      <c r="H2011" s="249">
        <f t="shared" si="536"/>
        <v>10.964632385143899</v>
      </c>
      <c r="I2011" s="336">
        <v>2.4626803896139735E-2</v>
      </c>
      <c r="J2011" s="258">
        <f t="shared" si="537"/>
        <v>2.4626803896139735E-2</v>
      </c>
      <c r="K2011" s="249">
        <f t="shared" si="538"/>
        <v>415.34764593068621</v>
      </c>
      <c r="L2011" s="336">
        <v>0.93287988742032502</v>
      </c>
      <c r="M2011" s="258">
        <f t="shared" si="539"/>
        <v>0.93287988742032502</v>
      </c>
      <c r="N2011" s="251">
        <f t="shared" si="540"/>
        <v>18.919365684169861</v>
      </c>
      <c r="O2011" s="336">
        <v>4.2493308683535222E-2</v>
      </c>
      <c r="P2011" s="258">
        <f t="shared" si="541"/>
        <v>4.2493308683535222E-2</v>
      </c>
      <c r="Q2011" s="354">
        <v>434.892</v>
      </c>
      <c r="R2011" s="249">
        <f t="shared" si="542"/>
        <v>445.23164399999996</v>
      </c>
      <c r="S2011" s="355">
        <v>0.1</v>
      </c>
      <c r="T2011" s="355"/>
      <c r="U2011" s="315">
        <f t="shared" si="531"/>
        <v>489.75480839999994</v>
      </c>
      <c r="V2011" s="315">
        <f t="shared" si="532"/>
        <v>490</v>
      </c>
      <c r="W2011" s="316">
        <f t="shared" si="533"/>
        <v>0</v>
      </c>
    </row>
    <row r="2012" spans="1:23" x14ac:dyDescent="0.25">
      <c r="A2012" s="204" t="s">
        <v>17676</v>
      </c>
      <c r="B2012" s="351" t="s">
        <v>21713</v>
      </c>
      <c r="C2012" s="352"/>
      <c r="D2012" s="353" t="s">
        <v>5</v>
      </c>
      <c r="E2012" s="249">
        <f t="shared" si="534"/>
        <v>0</v>
      </c>
      <c r="F2012" s="336">
        <v>0</v>
      </c>
      <c r="G2012" s="258">
        <f t="shared" si="535"/>
        <v>0</v>
      </c>
      <c r="H2012" s="249">
        <f t="shared" si="536"/>
        <v>6.3746395834523156E-2</v>
      </c>
      <c r="I2012" s="336">
        <v>2.4626803896139731E-2</v>
      </c>
      <c r="J2012" s="258">
        <f t="shared" si="537"/>
        <v>2.4626803896139731E-2</v>
      </c>
      <c r="K2012" s="249">
        <f t="shared" si="538"/>
        <v>2.4146968084873355</v>
      </c>
      <c r="L2012" s="336">
        <v>0.93285689320566934</v>
      </c>
      <c r="M2012" s="258">
        <f t="shared" si="539"/>
        <v>0.93285689320566934</v>
      </c>
      <c r="N2012" s="251">
        <f t="shared" si="540"/>
        <v>0.10999378104780465</v>
      </c>
      <c r="O2012" s="336">
        <v>4.2493308683535222E-2</v>
      </c>
      <c r="P2012" s="258">
        <f t="shared" si="541"/>
        <v>4.2493308683535222E-2</v>
      </c>
      <c r="Q2012" s="354">
        <v>2.5284418604651164</v>
      </c>
      <c r="R2012" s="249">
        <f t="shared" si="542"/>
        <v>2.5884965058139535</v>
      </c>
      <c r="S2012" s="355">
        <v>0.1</v>
      </c>
      <c r="T2012" s="355"/>
      <c r="U2012" s="315">
        <f t="shared" si="531"/>
        <v>2.847346156395349</v>
      </c>
      <c r="V2012" s="315">
        <f t="shared" si="532"/>
        <v>3</v>
      </c>
      <c r="W2012" s="316">
        <f t="shared" si="533"/>
        <v>0</v>
      </c>
    </row>
    <row r="2013" spans="1:23" x14ac:dyDescent="0.25">
      <c r="A2013" s="204" t="s">
        <v>17677</v>
      </c>
      <c r="B2013" s="351" t="s">
        <v>21714</v>
      </c>
      <c r="C2013" s="352"/>
      <c r="D2013" s="353" t="s">
        <v>14859</v>
      </c>
      <c r="E2013" s="249">
        <f t="shared" si="534"/>
        <v>0</v>
      </c>
      <c r="F2013" s="336">
        <v>0</v>
      </c>
      <c r="G2013" s="258">
        <f t="shared" si="535"/>
        <v>0</v>
      </c>
      <c r="H2013" s="249">
        <f t="shared" si="536"/>
        <v>10.964704849654892</v>
      </c>
      <c r="I2013" s="336">
        <v>2.4396911091368826E-2</v>
      </c>
      <c r="J2013" s="258">
        <f t="shared" si="537"/>
        <v>2.4396911091368826E-2</v>
      </c>
      <c r="K2013" s="249">
        <f t="shared" si="538"/>
        <v>419.54584942937197</v>
      </c>
      <c r="L2013" s="336">
        <v>0.93350645800587717</v>
      </c>
      <c r="M2013" s="258">
        <f t="shared" si="539"/>
        <v>0.93350645800587717</v>
      </c>
      <c r="N2013" s="251">
        <f t="shared" si="540"/>
        <v>18.919490720973144</v>
      </c>
      <c r="O2013" s="336">
        <v>4.2096630902754048E-2</v>
      </c>
      <c r="P2013" s="258">
        <f t="shared" si="541"/>
        <v>4.2096630902754048E-2</v>
      </c>
      <c r="Q2013" s="354">
        <v>438.99</v>
      </c>
      <c r="R2013" s="249">
        <f t="shared" si="542"/>
        <v>449.43004500000001</v>
      </c>
      <c r="S2013" s="355">
        <v>0.1</v>
      </c>
      <c r="T2013" s="355"/>
      <c r="U2013" s="315">
        <f t="shared" si="531"/>
        <v>494.37304949999998</v>
      </c>
      <c r="V2013" s="315">
        <f t="shared" si="532"/>
        <v>495</v>
      </c>
      <c r="W2013" s="316">
        <f t="shared" si="533"/>
        <v>0</v>
      </c>
    </row>
    <row r="2014" spans="1:23" x14ac:dyDescent="0.25">
      <c r="A2014" s="204" t="s">
        <v>17678</v>
      </c>
      <c r="B2014" s="351" t="s">
        <v>21715</v>
      </c>
      <c r="C2014" s="352"/>
      <c r="D2014" s="353" t="s">
        <v>5</v>
      </c>
      <c r="E2014" s="249">
        <f t="shared" si="534"/>
        <v>0</v>
      </c>
      <c r="F2014" s="336">
        <v>0</v>
      </c>
      <c r="G2014" s="258">
        <f t="shared" si="535"/>
        <v>0</v>
      </c>
      <c r="H2014" s="249">
        <f t="shared" si="536"/>
        <v>6.3746830833143947E-2</v>
      </c>
      <c r="I2014" s="336">
        <v>2.4396911091368826E-2</v>
      </c>
      <c r="J2014" s="258">
        <f t="shared" si="537"/>
        <v>2.4396911091368826E-2</v>
      </c>
      <c r="K2014" s="249">
        <f t="shared" si="538"/>
        <v>2.4391049306362329</v>
      </c>
      <c r="L2014" s="336">
        <v>0.93348367844370028</v>
      </c>
      <c r="M2014" s="258">
        <f t="shared" si="539"/>
        <v>0.93348367844370028</v>
      </c>
      <c r="N2014" s="251">
        <f t="shared" si="540"/>
        <v>0.10999453163366013</v>
      </c>
      <c r="O2014" s="336">
        <v>4.2096630902754048E-2</v>
      </c>
      <c r="P2014" s="258">
        <f t="shared" si="541"/>
        <v>4.2096630902754048E-2</v>
      </c>
      <c r="Q2014" s="354">
        <v>2.5522674418604652</v>
      </c>
      <c r="R2014" s="249">
        <f t="shared" si="542"/>
        <v>2.6129058139534882</v>
      </c>
      <c r="S2014" s="355">
        <v>0.1</v>
      </c>
      <c r="T2014" s="355"/>
      <c r="U2014" s="315">
        <f t="shared" si="531"/>
        <v>2.8741963953488372</v>
      </c>
      <c r="V2014" s="315">
        <f t="shared" si="532"/>
        <v>3</v>
      </c>
      <c r="W2014" s="316">
        <f t="shared" si="533"/>
        <v>0</v>
      </c>
    </row>
    <row r="2015" spans="1:23" x14ac:dyDescent="0.25">
      <c r="A2015" s="204" t="s">
        <v>17679</v>
      </c>
      <c r="B2015" s="351" t="s">
        <v>21716</v>
      </c>
      <c r="C2015" s="352"/>
      <c r="D2015" s="353" t="s">
        <v>14859</v>
      </c>
      <c r="E2015" s="249">
        <f t="shared" si="534"/>
        <v>0</v>
      </c>
      <c r="F2015" s="336">
        <v>0</v>
      </c>
      <c r="G2015" s="258">
        <f t="shared" si="535"/>
        <v>0</v>
      </c>
      <c r="H2015" s="249">
        <f t="shared" si="536"/>
        <v>10.964775973756906</v>
      </c>
      <c r="I2015" s="336">
        <v>2.4171270718232048E-2</v>
      </c>
      <c r="J2015" s="258">
        <f t="shared" si="537"/>
        <v>2.4171270718232048E-2</v>
      </c>
      <c r="K2015" s="249">
        <f t="shared" si="538"/>
        <v>423.74405658132912</v>
      </c>
      <c r="L2015" s="336">
        <v>0.93412143863070085</v>
      </c>
      <c r="M2015" s="258">
        <f t="shared" si="539"/>
        <v>0.93412143863070085</v>
      </c>
      <c r="N2015" s="251">
        <f t="shared" si="540"/>
        <v>18.919613444913878</v>
      </c>
      <c r="O2015" s="336">
        <v>4.1707290651067062E-2</v>
      </c>
      <c r="P2015" s="258">
        <f t="shared" si="541"/>
        <v>4.1707290651067062E-2</v>
      </c>
      <c r="Q2015" s="354">
        <v>443.08799999999997</v>
      </c>
      <c r="R2015" s="249">
        <f t="shared" si="542"/>
        <v>453.62844599999994</v>
      </c>
      <c r="S2015" s="355">
        <v>0.1</v>
      </c>
      <c r="T2015" s="355"/>
      <c r="U2015" s="315">
        <f t="shared" si="531"/>
        <v>498.99129059999996</v>
      </c>
      <c r="V2015" s="315">
        <f t="shared" si="532"/>
        <v>500</v>
      </c>
      <c r="W2015" s="316">
        <f t="shared" si="533"/>
        <v>0</v>
      </c>
    </row>
    <row r="2016" spans="1:23" x14ac:dyDescent="0.25">
      <c r="A2016" s="204" t="s">
        <v>17680</v>
      </c>
      <c r="B2016" s="351" t="s">
        <v>21717</v>
      </c>
      <c r="C2016" s="352"/>
      <c r="D2016" s="353" t="s">
        <v>5</v>
      </c>
      <c r="E2016" s="249">
        <f t="shared" si="534"/>
        <v>0</v>
      </c>
      <c r="F2016" s="336">
        <v>0</v>
      </c>
      <c r="G2016" s="258">
        <f t="shared" si="535"/>
        <v>0</v>
      </c>
      <c r="H2016" s="249">
        <f t="shared" si="536"/>
        <v>6.3747257785397665E-2</v>
      </c>
      <c r="I2016" s="336">
        <v>2.4171270718232048E-2</v>
      </c>
      <c r="J2016" s="258">
        <f t="shared" si="537"/>
        <v>2.4171270718232048E-2</v>
      </c>
      <c r="K2016" s="249">
        <f t="shared" si="538"/>
        <v>2.4635130747229375</v>
      </c>
      <c r="L2016" s="336">
        <v>0.9340988697504784</v>
      </c>
      <c r="M2016" s="258">
        <f t="shared" si="539"/>
        <v>0.9340988697504784</v>
      </c>
      <c r="N2016" s="251">
        <f t="shared" si="540"/>
        <v>0.10999526833558811</v>
      </c>
      <c r="O2016" s="336">
        <v>4.1707290651067055E-2</v>
      </c>
      <c r="P2016" s="258">
        <f t="shared" si="541"/>
        <v>4.1707290651067055E-2</v>
      </c>
      <c r="Q2016" s="354">
        <v>2.5760930232558139</v>
      </c>
      <c r="R2016" s="249">
        <f t="shared" si="542"/>
        <v>2.6373151220930229</v>
      </c>
      <c r="S2016" s="355">
        <v>0.1</v>
      </c>
      <c r="T2016" s="355"/>
      <c r="U2016" s="315">
        <f t="shared" si="531"/>
        <v>2.9010466343023253</v>
      </c>
      <c r="V2016" s="315">
        <f t="shared" si="532"/>
        <v>3</v>
      </c>
      <c r="W2016" s="316">
        <f t="shared" si="533"/>
        <v>0</v>
      </c>
    </row>
    <row r="2017" spans="1:23" x14ac:dyDescent="0.25">
      <c r="A2017" s="204" t="s">
        <v>17681</v>
      </c>
      <c r="B2017" s="351" t="s">
        <v>21718</v>
      </c>
      <c r="C2017" s="352"/>
      <c r="D2017" s="353" t="s">
        <v>14859</v>
      </c>
      <c r="E2017" s="249">
        <f t="shared" si="534"/>
        <v>0</v>
      </c>
      <c r="F2017" s="336">
        <v>0</v>
      </c>
      <c r="G2017" s="258">
        <f t="shared" si="535"/>
        <v>0</v>
      </c>
      <c r="H2017" s="249">
        <f t="shared" si="536"/>
        <v>10.96481104472331</v>
      </c>
      <c r="I2017" s="336">
        <v>2.4060008491767704E-2</v>
      </c>
      <c r="J2017" s="258">
        <f t="shared" si="537"/>
        <v>2.4060008491767704E-2</v>
      </c>
      <c r="K2017" s="249">
        <f t="shared" si="538"/>
        <v>425.84316149575409</v>
      </c>
      <c r="L2017" s="336">
        <v>0.93442468273812329</v>
      </c>
      <c r="M2017" s="258">
        <f t="shared" si="539"/>
        <v>0.93442468273812329</v>
      </c>
      <c r="N2017" s="251">
        <f t="shared" si="540"/>
        <v>18.919673959522573</v>
      </c>
      <c r="O2017" s="336">
        <v>4.1515308770108977E-2</v>
      </c>
      <c r="P2017" s="258">
        <f t="shared" si="541"/>
        <v>4.1515308770108977E-2</v>
      </c>
      <c r="Q2017" s="354">
        <v>445.137</v>
      </c>
      <c r="R2017" s="249">
        <f t="shared" si="542"/>
        <v>455.72764649999999</v>
      </c>
      <c r="S2017" s="355">
        <v>0.1</v>
      </c>
      <c r="T2017" s="355"/>
      <c r="U2017" s="315">
        <f t="shared" si="531"/>
        <v>501.30041115</v>
      </c>
      <c r="V2017" s="315">
        <f t="shared" si="532"/>
        <v>505</v>
      </c>
      <c r="W2017" s="316">
        <f t="shared" si="533"/>
        <v>0</v>
      </c>
    </row>
    <row r="2018" spans="1:23" x14ac:dyDescent="0.25">
      <c r="A2018" s="204" t="s">
        <v>17682</v>
      </c>
      <c r="B2018" s="351" t="s">
        <v>21719</v>
      </c>
      <c r="C2018" s="352"/>
      <c r="D2018" s="353" t="s">
        <v>5</v>
      </c>
      <c r="E2018" s="249">
        <f t="shared" si="534"/>
        <v>0</v>
      </c>
      <c r="F2018" s="336">
        <v>0</v>
      </c>
      <c r="G2018" s="258">
        <f t="shared" si="535"/>
        <v>0</v>
      </c>
      <c r="H2018" s="249">
        <f t="shared" si="536"/>
        <v>6.3747468313583203E-2</v>
      </c>
      <c r="I2018" s="336">
        <v>2.4060008491767704E-2</v>
      </c>
      <c r="J2018" s="258">
        <f t="shared" si="537"/>
        <v>2.4060008491767704E-2</v>
      </c>
      <c r="K2018" s="249">
        <f t="shared" si="538"/>
        <v>2.4757171548036281</v>
      </c>
      <c r="L2018" s="336">
        <v>0.93440221774420007</v>
      </c>
      <c r="M2018" s="258">
        <f t="shared" si="539"/>
        <v>0.93440221774420007</v>
      </c>
      <c r="N2018" s="251">
        <f t="shared" si="540"/>
        <v>0.10999563159990827</v>
      </c>
      <c r="O2018" s="336">
        <v>4.1515308770108977E-2</v>
      </c>
      <c r="P2018" s="258">
        <f t="shared" si="541"/>
        <v>4.1515308770108977E-2</v>
      </c>
      <c r="Q2018" s="354">
        <v>2.5880058139534885</v>
      </c>
      <c r="R2018" s="249">
        <f t="shared" si="542"/>
        <v>2.6495197761627907</v>
      </c>
      <c r="S2018" s="355">
        <v>0.1</v>
      </c>
      <c r="T2018" s="355"/>
      <c r="U2018" s="315">
        <f t="shared" si="531"/>
        <v>2.9144717537790696</v>
      </c>
      <c r="V2018" s="315">
        <f t="shared" si="532"/>
        <v>3</v>
      </c>
      <c r="W2018" s="316">
        <f t="shared" si="533"/>
        <v>0</v>
      </c>
    </row>
    <row r="2019" spans="1:23" x14ac:dyDescent="0.25">
      <c r="A2019" s="204" t="s">
        <v>17683</v>
      </c>
      <c r="B2019" s="351" t="s">
        <v>21720</v>
      </c>
      <c r="C2019" s="352"/>
      <c r="D2019" s="353" t="s">
        <v>14859</v>
      </c>
      <c r="E2019" s="249">
        <f t="shared" si="534"/>
        <v>0</v>
      </c>
      <c r="F2019" s="336">
        <v>0</v>
      </c>
      <c r="G2019" s="258">
        <f t="shared" si="535"/>
        <v>0</v>
      </c>
      <c r="H2019" s="249">
        <f t="shared" si="536"/>
        <v>10.965014872505362</v>
      </c>
      <c r="I2019" s="336">
        <v>2.3413367261947707E-2</v>
      </c>
      <c r="J2019" s="258">
        <f t="shared" si="537"/>
        <v>2.3413367261947707E-2</v>
      </c>
      <c r="K2019" s="249">
        <f t="shared" si="538"/>
        <v>438.43780896513243</v>
      </c>
      <c r="L2019" s="336">
        <v>0.93618709707037784</v>
      </c>
      <c r="M2019" s="258">
        <f t="shared" si="539"/>
        <v>0.93618709707037784</v>
      </c>
      <c r="N2019" s="251">
        <f t="shared" si="540"/>
        <v>18.920025662362193</v>
      </c>
      <c r="O2019" s="336">
        <v>4.0399535667674472E-2</v>
      </c>
      <c r="P2019" s="258">
        <f t="shared" si="541"/>
        <v>4.0399535667674472E-2</v>
      </c>
      <c r="Q2019" s="354">
        <v>457.43099999999998</v>
      </c>
      <c r="R2019" s="249">
        <f t="shared" si="542"/>
        <v>468.32284949999996</v>
      </c>
      <c r="S2019" s="355">
        <v>0.1</v>
      </c>
      <c r="T2019" s="355"/>
      <c r="U2019" s="315">
        <f t="shared" si="531"/>
        <v>515.15513444999999</v>
      </c>
      <c r="V2019" s="315">
        <f t="shared" si="532"/>
        <v>520</v>
      </c>
      <c r="W2019" s="316">
        <f t="shared" si="533"/>
        <v>0</v>
      </c>
    </row>
    <row r="2020" spans="1:23" x14ac:dyDescent="0.25">
      <c r="A2020" s="204" t="s">
        <v>17684</v>
      </c>
      <c r="B2020" s="351" t="s">
        <v>21721</v>
      </c>
      <c r="C2020" s="352"/>
      <c r="D2020" s="353" t="s">
        <v>5</v>
      </c>
      <c r="E2020" s="249">
        <f t="shared" si="534"/>
        <v>0</v>
      </c>
      <c r="F2020" s="336">
        <v>0</v>
      </c>
      <c r="G2020" s="258">
        <f t="shared" si="535"/>
        <v>0</v>
      </c>
      <c r="H2020" s="249">
        <f t="shared" si="536"/>
        <v>6.3748691875335828E-2</v>
      </c>
      <c r="I2020" s="336">
        <v>2.3413367261947707E-2</v>
      </c>
      <c r="J2020" s="258">
        <f t="shared" si="537"/>
        <v>2.3413367261947707E-2</v>
      </c>
      <c r="K2020" s="249">
        <f t="shared" si="538"/>
        <v>2.5489417432742232</v>
      </c>
      <c r="L2020" s="336">
        <v>0.9361652358497784</v>
      </c>
      <c r="M2020" s="258">
        <f t="shared" si="539"/>
        <v>0.9361652358497784</v>
      </c>
      <c r="N2020" s="251">
        <f t="shared" si="540"/>
        <v>0.1099977428437167</v>
      </c>
      <c r="O2020" s="336">
        <v>4.0399535667674472E-2</v>
      </c>
      <c r="P2020" s="258">
        <f t="shared" si="541"/>
        <v>4.0399535667674472E-2</v>
      </c>
      <c r="Q2020" s="354">
        <v>2.6594825581395347</v>
      </c>
      <c r="R2020" s="249">
        <f t="shared" si="542"/>
        <v>2.7227477005813947</v>
      </c>
      <c r="S2020" s="355">
        <v>0.1</v>
      </c>
      <c r="T2020" s="355"/>
      <c r="U2020" s="315">
        <f t="shared" si="531"/>
        <v>2.9950224706395341</v>
      </c>
      <c r="V2020" s="315">
        <f t="shared" si="532"/>
        <v>3</v>
      </c>
      <c r="W2020" s="316">
        <f t="shared" si="533"/>
        <v>0</v>
      </c>
    </row>
    <row r="2021" spans="1:23" x14ac:dyDescent="0.25">
      <c r="A2021" s="204" t="s">
        <v>17685</v>
      </c>
      <c r="B2021" s="351" t="s">
        <v>21722</v>
      </c>
      <c r="C2021" s="352"/>
      <c r="D2021" s="353" t="s">
        <v>14859</v>
      </c>
      <c r="E2021" s="249">
        <f t="shared" si="534"/>
        <v>0</v>
      </c>
      <c r="F2021" s="336">
        <v>0</v>
      </c>
      <c r="G2021" s="258">
        <f t="shared" si="535"/>
        <v>0</v>
      </c>
      <c r="H2021" s="249">
        <f t="shared" si="536"/>
        <v>10.965014872505362</v>
      </c>
      <c r="I2021" s="336">
        <v>2.3413367261947707E-2</v>
      </c>
      <c r="J2021" s="258">
        <f t="shared" si="537"/>
        <v>2.3413367261947707E-2</v>
      </c>
      <c r="K2021" s="249">
        <f t="shared" si="538"/>
        <v>438.43780896513243</v>
      </c>
      <c r="L2021" s="336">
        <v>0.93618709707037784</v>
      </c>
      <c r="M2021" s="258">
        <f t="shared" si="539"/>
        <v>0.93618709707037784</v>
      </c>
      <c r="N2021" s="251">
        <f t="shared" si="540"/>
        <v>18.920025662362193</v>
      </c>
      <c r="O2021" s="336">
        <v>4.0399535667674472E-2</v>
      </c>
      <c r="P2021" s="258">
        <f t="shared" si="541"/>
        <v>4.0399535667674472E-2</v>
      </c>
      <c r="Q2021" s="354">
        <v>457.43099999999998</v>
      </c>
      <c r="R2021" s="249">
        <f t="shared" si="542"/>
        <v>468.32284949999996</v>
      </c>
      <c r="S2021" s="355">
        <v>0.1</v>
      </c>
      <c r="T2021" s="355"/>
      <c r="U2021" s="315">
        <f t="shared" ref="U2021:U2084" si="543">(R2021*S2021)+R2021</f>
        <v>515.15513444999999</v>
      </c>
      <c r="V2021" s="315">
        <f t="shared" ref="V2021:V2084" si="544">IF(U2021=0, 0, IF(U2021&lt;10, _xlfn.CEILING.MATH(U2021,1), IF(U2021&lt;100, _xlfn.CEILING.MATH(U2021,1),IF(U2021&lt;1000, _xlfn.CEILING.MATH(U2021,5), IF(U2021&lt;10000, _xlfn.CEILING.MATH(U2021, 25), IF(U2021&lt;100000, _xlfn.CEILING.MATH(U2021,250), IF(U2021&lt;1000000, _xlfn.CEILING.MATH(U2021,500), 0)))))))</f>
        <v>520</v>
      </c>
      <c r="W2021" s="316">
        <f t="shared" si="533"/>
        <v>0</v>
      </c>
    </row>
    <row r="2022" spans="1:23" x14ac:dyDescent="0.25">
      <c r="A2022" s="204" t="s">
        <v>17686</v>
      </c>
      <c r="B2022" s="351" t="s">
        <v>21723</v>
      </c>
      <c r="C2022" s="352"/>
      <c r="D2022" s="353" t="s">
        <v>5</v>
      </c>
      <c r="E2022" s="249">
        <f t="shared" si="534"/>
        <v>0</v>
      </c>
      <c r="F2022" s="336">
        <v>0</v>
      </c>
      <c r="G2022" s="258">
        <f t="shared" si="535"/>
        <v>0</v>
      </c>
      <c r="H2022" s="249">
        <f t="shared" si="536"/>
        <v>6.3748691875335828E-2</v>
      </c>
      <c r="I2022" s="336">
        <v>2.3413367261947707E-2</v>
      </c>
      <c r="J2022" s="258">
        <f t="shared" si="537"/>
        <v>2.3413367261947707E-2</v>
      </c>
      <c r="K2022" s="249">
        <f t="shared" si="538"/>
        <v>2.5489417432742232</v>
      </c>
      <c r="L2022" s="336">
        <v>0.9361652358497784</v>
      </c>
      <c r="M2022" s="258">
        <f t="shared" si="539"/>
        <v>0.9361652358497784</v>
      </c>
      <c r="N2022" s="251">
        <f t="shared" si="540"/>
        <v>0.1099977428437167</v>
      </c>
      <c r="O2022" s="336">
        <v>4.0399535667674472E-2</v>
      </c>
      <c r="P2022" s="258">
        <f t="shared" si="541"/>
        <v>4.0399535667674472E-2</v>
      </c>
      <c r="Q2022" s="354">
        <v>2.6594825581395347</v>
      </c>
      <c r="R2022" s="249">
        <f t="shared" si="542"/>
        <v>2.7227477005813947</v>
      </c>
      <c r="S2022" s="355">
        <v>0.1</v>
      </c>
      <c r="T2022" s="355"/>
      <c r="U2022" s="315">
        <f t="shared" si="543"/>
        <v>2.9950224706395341</v>
      </c>
      <c r="V2022" s="315">
        <f t="shared" si="544"/>
        <v>3</v>
      </c>
      <c r="W2022" s="316">
        <f t="shared" si="533"/>
        <v>0</v>
      </c>
    </row>
    <row r="2023" spans="1:23" x14ac:dyDescent="0.25">
      <c r="A2023" s="204" t="s">
        <v>17687</v>
      </c>
      <c r="B2023" s="351" t="s">
        <v>21724</v>
      </c>
      <c r="C2023" s="352"/>
      <c r="D2023" s="353" t="s">
        <v>14859</v>
      </c>
      <c r="E2023" s="249">
        <f t="shared" si="534"/>
        <v>0</v>
      </c>
      <c r="F2023" s="336">
        <v>0</v>
      </c>
      <c r="G2023" s="258">
        <f t="shared" si="535"/>
        <v>0</v>
      </c>
      <c r="H2023" s="249">
        <f t="shared" si="536"/>
        <v>10.965676913159765</v>
      </c>
      <c r="I2023" s="336">
        <v>2.1313051109532369E-2</v>
      </c>
      <c r="J2023" s="258">
        <f t="shared" si="537"/>
        <v>2.1313051109532369E-2</v>
      </c>
      <c r="K2023" s="249">
        <f t="shared" si="538"/>
        <v>484.61841557981938</v>
      </c>
      <c r="L2023" s="336">
        <v>0.94191148815245096</v>
      </c>
      <c r="M2023" s="258">
        <f t="shared" si="539"/>
        <v>0.94191148815245096</v>
      </c>
      <c r="N2023" s="251">
        <f t="shared" si="540"/>
        <v>18.921168007020771</v>
      </c>
      <c r="O2023" s="336">
        <v>3.6775460738016637E-2</v>
      </c>
      <c r="P2023" s="258">
        <f t="shared" si="541"/>
        <v>3.6775460738016637E-2</v>
      </c>
      <c r="Q2023" s="354">
        <v>502.50899999999996</v>
      </c>
      <c r="R2023" s="249">
        <f t="shared" si="542"/>
        <v>514.50526049999996</v>
      </c>
      <c r="S2023" s="355">
        <v>0.1</v>
      </c>
      <c r="T2023" s="355"/>
      <c r="U2023" s="315">
        <f t="shared" si="543"/>
        <v>565.95578654999997</v>
      </c>
      <c r="V2023" s="315">
        <f t="shared" si="544"/>
        <v>570</v>
      </c>
      <c r="W2023" s="316">
        <f t="shared" si="533"/>
        <v>0</v>
      </c>
    </row>
    <row r="2024" spans="1:23" x14ac:dyDescent="0.25">
      <c r="A2024" s="204" t="s">
        <v>17688</v>
      </c>
      <c r="B2024" s="351" t="s">
        <v>21725</v>
      </c>
      <c r="C2024" s="352"/>
      <c r="D2024" s="353" t="s">
        <v>5</v>
      </c>
      <c r="E2024" s="249">
        <f t="shared" si="534"/>
        <v>0</v>
      </c>
      <c r="F2024" s="336">
        <v>0</v>
      </c>
      <c r="G2024" s="258">
        <f t="shared" si="535"/>
        <v>0</v>
      </c>
      <c r="H2024" s="249">
        <f t="shared" si="536"/>
        <v>6.3752666052041551E-2</v>
      </c>
      <c r="I2024" s="336">
        <v>2.1313051109532372E-2</v>
      </c>
      <c r="J2024" s="258">
        <f t="shared" si="537"/>
        <v>2.1313051109532372E-2</v>
      </c>
      <c r="K2024" s="249">
        <f t="shared" si="538"/>
        <v>2.8174332975187419</v>
      </c>
      <c r="L2024" s="336">
        <v>0.94189158801135897</v>
      </c>
      <c r="M2024" s="258">
        <f t="shared" si="539"/>
        <v>0.94189158801135897</v>
      </c>
      <c r="N2024" s="251">
        <f t="shared" si="540"/>
        <v>0.11000460024665992</v>
      </c>
      <c r="O2024" s="336">
        <v>3.6775460738016637E-2</v>
      </c>
      <c r="P2024" s="258">
        <f t="shared" si="541"/>
        <v>3.6775460738016637E-2</v>
      </c>
      <c r="Q2024" s="354">
        <v>2.9215639534883717</v>
      </c>
      <c r="R2024" s="249">
        <f t="shared" si="542"/>
        <v>2.9912500901162784</v>
      </c>
      <c r="S2024" s="355">
        <v>0.1</v>
      </c>
      <c r="T2024" s="355"/>
      <c r="U2024" s="315">
        <f t="shared" si="543"/>
        <v>3.2903750991279064</v>
      </c>
      <c r="V2024" s="315">
        <f t="shared" si="544"/>
        <v>4</v>
      </c>
      <c r="W2024" s="316">
        <f t="shared" si="533"/>
        <v>0</v>
      </c>
    </row>
    <row r="2025" spans="1:23" x14ac:dyDescent="0.25">
      <c r="A2025" s="204" t="s">
        <v>17689</v>
      </c>
      <c r="B2025" s="351" t="s">
        <v>21726</v>
      </c>
      <c r="C2025" s="352"/>
      <c r="D2025" s="353" t="s">
        <v>14859</v>
      </c>
      <c r="E2025" s="249">
        <f t="shared" si="534"/>
        <v>0</v>
      </c>
      <c r="F2025" s="336">
        <v>0</v>
      </c>
      <c r="G2025" s="258">
        <f t="shared" si="535"/>
        <v>0</v>
      </c>
      <c r="H2025" s="249">
        <f t="shared" si="536"/>
        <v>10.965850371999361</v>
      </c>
      <c r="I2025" s="336">
        <v>2.0762754990767265E-2</v>
      </c>
      <c r="J2025" s="258">
        <f t="shared" si="537"/>
        <v>2.0762754990767265E-2</v>
      </c>
      <c r="K2025" s="249">
        <f t="shared" si="538"/>
        <v>498.2627460694527</v>
      </c>
      <c r="L2025" s="336">
        <v>0.94341131482908536</v>
      </c>
      <c r="M2025" s="258">
        <f t="shared" si="539"/>
        <v>0.94341131482908536</v>
      </c>
      <c r="N2025" s="251">
        <f t="shared" si="540"/>
        <v>18.921467308547918</v>
      </c>
      <c r="O2025" s="336">
        <v>3.5825930180147438E-2</v>
      </c>
      <c r="P2025" s="258">
        <f t="shared" si="541"/>
        <v>3.5825930180147438E-2</v>
      </c>
      <c r="Q2025" s="354">
        <v>515.82749999999999</v>
      </c>
      <c r="R2025" s="249">
        <f t="shared" si="542"/>
        <v>528.15006374999996</v>
      </c>
      <c r="S2025" s="355">
        <v>0.1</v>
      </c>
      <c r="T2025" s="355"/>
      <c r="U2025" s="315">
        <f t="shared" si="543"/>
        <v>580.96507012500001</v>
      </c>
      <c r="V2025" s="315">
        <f t="shared" si="544"/>
        <v>585</v>
      </c>
      <c r="W2025" s="316">
        <f t="shared" si="533"/>
        <v>0</v>
      </c>
    </row>
    <row r="2026" spans="1:23" x14ac:dyDescent="0.25">
      <c r="A2026" s="204" t="s">
        <v>17690</v>
      </c>
      <c r="B2026" s="351" t="s">
        <v>21727</v>
      </c>
      <c r="C2026" s="352"/>
      <c r="D2026" s="353" t="s">
        <v>5</v>
      </c>
      <c r="E2026" s="249">
        <f t="shared" si="534"/>
        <v>0</v>
      </c>
      <c r="F2026" s="336">
        <v>0</v>
      </c>
      <c r="G2026" s="258">
        <f t="shared" si="535"/>
        <v>0</v>
      </c>
      <c r="H2026" s="249">
        <f t="shared" si="536"/>
        <v>6.3753707311479543E-2</v>
      </c>
      <c r="I2026" s="336">
        <v>2.0762754990767265E-2</v>
      </c>
      <c r="J2026" s="258">
        <f t="shared" si="537"/>
        <v>2.0762754990767265E-2</v>
      </c>
      <c r="K2026" s="249">
        <f t="shared" si="538"/>
        <v>2.89676071005761</v>
      </c>
      <c r="L2026" s="336">
        <v>0.94339192850323017</v>
      </c>
      <c r="M2026" s="258">
        <f t="shared" si="539"/>
        <v>0.94339192850323017</v>
      </c>
      <c r="N2026" s="251">
        <f t="shared" si="540"/>
        <v>0.11000639692961173</v>
      </c>
      <c r="O2026" s="336">
        <v>3.5825930180147431E-2</v>
      </c>
      <c r="P2026" s="258">
        <f t="shared" si="541"/>
        <v>3.5825930180147431E-2</v>
      </c>
      <c r="Q2026" s="354">
        <v>2.9989970930232559</v>
      </c>
      <c r="R2026" s="249">
        <f t="shared" si="542"/>
        <v>3.0705803415697672</v>
      </c>
      <c r="S2026" s="355">
        <v>0.1</v>
      </c>
      <c r="T2026" s="355"/>
      <c r="U2026" s="315">
        <f t="shared" si="543"/>
        <v>3.3776383757267441</v>
      </c>
      <c r="V2026" s="315">
        <f t="shared" si="544"/>
        <v>4</v>
      </c>
      <c r="W2026" s="316">
        <f t="shared" si="533"/>
        <v>0</v>
      </c>
    </row>
    <row r="2027" spans="1:23" x14ac:dyDescent="0.25">
      <c r="A2027" s="204" t="s">
        <v>17691</v>
      </c>
      <c r="B2027" s="351" t="s">
        <v>21728</v>
      </c>
      <c r="C2027" s="352"/>
      <c r="D2027" s="353" t="s">
        <v>14859</v>
      </c>
      <c r="E2027" s="249">
        <f t="shared" si="534"/>
        <v>0</v>
      </c>
      <c r="F2027" s="336">
        <v>0</v>
      </c>
      <c r="G2027" s="258">
        <f t="shared" si="535"/>
        <v>0</v>
      </c>
      <c r="H2027" s="249">
        <f t="shared" si="536"/>
        <v>10.965977825371025</v>
      </c>
      <c r="I2027" s="336">
        <v>2.0358410675334674E-2</v>
      </c>
      <c r="J2027" s="258">
        <f t="shared" si="537"/>
        <v>2.0358410675334674E-2</v>
      </c>
      <c r="K2027" s="249">
        <f t="shared" si="538"/>
        <v>508.75840119653759</v>
      </c>
      <c r="L2027" s="336">
        <v>0.94451335129663672</v>
      </c>
      <c r="M2027" s="258">
        <f t="shared" si="539"/>
        <v>0.94451335129663672</v>
      </c>
      <c r="N2027" s="251">
        <f t="shared" si="540"/>
        <v>18.921687228091184</v>
      </c>
      <c r="O2027" s="336">
        <v>3.5128238028028461E-2</v>
      </c>
      <c r="P2027" s="258">
        <f t="shared" si="541"/>
        <v>3.5128238028028461E-2</v>
      </c>
      <c r="Q2027" s="354">
        <v>526.07249999999999</v>
      </c>
      <c r="R2027" s="249">
        <f t="shared" si="542"/>
        <v>538.64606624999988</v>
      </c>
      <c r="S2027" s="355">
        <v>0.1</v>
      </c>
      <c r="T2027" s="355"/>
      <c r="U2027" s="315">
        <f t="shared" si="543"/>
        <v>592.51067287499984</v>
      </c>
      <c r="V2027" s="315">
        <f t="shared" si="544"/>
        <v>595</v>
      </c>
      <c r="W2027" s="316">
        <f t="shared" si="533"/>
        <v>0</v>
      </c>
    </row>
    <row r="2028" spans="1:23" x14ac:dyDescent="0.25">
      <c r="A2028" s="204" t="s">
        <v>17692</v>
      </c>
      <c r="B2028" s="351" t="s">
        <v>21729</v>
      </c>
      <c r="C2028" s="352"/>
      <c r="D2028" s="353" t="s">
        <v>5</v>
      </c>
      <c r="E2028" s="249">
        <f t="shared" si="534"/>
        <v>0</v>
      </c>
      <c r="F2028" s="336">
        <v>0</v>
      </c>
      <c r="G2028" s="258">
        <f t="shared" si="535"/>
        <v>0</v>
      </c>
      <c r="H2028" s="249">
        <f t="shared" si="536"/>
        <v>6.3754472403800333E-2</v>
      </c>
      <c r="I2028" s="336">
        <v>2.0358410675334674E-2</v>
      </c>
      <c r="J2028" s="258">
        <f t="shared" si="537"/>
        <v>2.0358410675334674E-2</v>
      </c>
      <c r="K2028" s="249">
        <f t="shared" si="538"/>
        <v>2.9577818944404557</v>
      </c>
      <c r="L2028" s="336">
        <v>0.94449434250982511</v>
      </c>
      <c r="M2028" s="258">
        <f t="shared" si="539"/>
        <v>0.94449434250982511</v>
      </c>
      <c r="N2028" s="251">
        <f t="shared" si="540"/>
        <v>0.11000771708891038</v>
      </c>
      <c r="O2028" s="336">
        <v>3.5128238028028454E-2</v>
      </c>
      <c r="P2028" s="258">
        <f t="shared" si="541"/>
        <v>3.5128238028028454E-2</v>
      </c>
      <c r="Q2028" s="354">
        <v>3.058561046511628</v>
      </c>
      <c r="R2028" s="249">
        <f t="shared" si="542"/>
        <v>3.1316036119186044</v>
      </c>
      <c r="S2028" s="355">
        <v>0.1</v>
      </c>
      <c r="T2028" s="355"/>
      <c r="U2028" s="315">
        <f t="shared" si="543"/>
        <v>3.4447639731104647</v>
      </c>
      <c r="V2028" s="315">
        <f t="shared" si="544"/>
        <v>4</v>
      </c>
      <c r="W2028" s="316">
        <f t="shared" si="533"/>
        <v>0</v>
      </c>
    </row>
    <row r="2029" spans="1:23" x14ac:dyDescent="0.25">
      <c r="A2029" s="204" t="s">
        <v>17693</v>
      </c>
      <c r="B2029" s="351" t="s">
        <v>21730</v>
      </c>
      <c r="C2029" s="352"/>
      <c r="D2029" s="353" t="s">
        <v>14859</v>
      </c>
      <c r="E2029" s="249">
        <f t="shared" si="534"/>
        <v>0</v>
      </c>
      <c r="F2029" s="336">
        <v>0</v>
      </c>
      <c r="G2029" s="258">
        <f t="shared" si="535"/>
        <v>0</v>
      </c>
      <c r="H2029" s="249">
        <f t="shared" si="536"/>
        <v>10.966229953897734</v>
      </c>
      <c r="I2029" s="336">
        <v>1.9558535903883768E-2</v>
      </c>
      <c r="J2029" s="258">
        <f t="shared" si="537"/>
        <v>1.9558535903883768E-2</v>
      </c>
      <c r="K2029" s="249">
        <f t="shared" si="538"/>
        <v>530.79931927270991</v>
      </c>
      <c r="L2029" s="336">
        <v>0.94669340214431674</v>
      </c>
      <c r="M2029" s="258">
        <f t="shared" si="539"/>
        <v>0.94669340214431674</v>
      </c>
      <c r="N2029" s="251">
        <f t="shared" si="540"/>
        <v>18.922122273392169</v>
      </c>
      <c r="O2029" s="336">
        <v>3.3748061951799441E-2</v>
      </c>
      <c r="P2029" s="258">
        <f t="shared" si="541"/>
        <v>3.3748061951799441E-2</v>
      </c>
      <c r="Q2029" s="354">
        <v>547.58699999999999</v>
      </c>
      <c r="R2029" s="249">
        <f t="shared" si="542"/>
        <v>560.68767149999985</v>
      </c>
      <c r="S2029" s="355">
        <v>0.1</v>
      </c>
      <c r="T2029" s="355"/>
      <c r="U2029" s="315">
        <f t="shared" si="543"/>
        <v>616.75643864999984</v>
      </c>
      <c r="V2029" s="315">
        <f t="shared" si="544"/>
        <v>620</v>
      </c>
      <c r="W2029" s="316">
        <f t="shared" si="533"/>
        <v>0</v>
      </c>
    </row>
    <row r="2030" spans="1:23" x14ac:dyDescent="0.25">
      <c r="A2030" s="204" t="s">
        <v>17694</v>
      </c>
      <c r="B2030" s="351" t="s">
        <v>21731</v>
      </c>
      <c r="C2030" s="352"/>
      <c r="D2030" s="353" t="s">
        <v>5</v>
      </c>
      <c r="E2030" s="249">
        <f t="shared" si="534"/>
        <v>0</v>
      </c>
      <c r="F2030" s="336">
        <v>0</v>
      </c>
      <c r="G2030" s="258">
        <f t="shared" si="535"/>
        <v>0</v>
      </c>
      <c r="H2030" s="249">
        <f t="shared" si="536"/>
        <v>6.3755985911031404E-2</v>
      </c>
      <c r="I2030" s="336">
        <v>1.9558535903883768E-2</v>
      </c>
      <c r="J2030" s="258">
        <f t="shared" si="537"/>
        <v>1.9558535903883768E-2</v>
      </c>
      <c r="K2030" s="249">
        <f t="shared" si="538"/>
        <v>3.085926635710722</v>
      </c>
      <c r="L2030" s="336">
        <v>0.94667514020603116</v>
      </c>
      <c r="M2030" s="258">
        <f t="shared" si="539"/>
        <v>0.94667514020603116</v>
      </c>
      <c r="N2030" s="251">
        <f t="shared" si="540"/>
        <v>0.11001032863079928</v>
      </c>
      <c r="O2030" s="336">
        <v>3.3748061951799441E-2</v>
      </c>
      <c r="P2030" s="258">
        <f t="shared" si="541"/>
        <v>3.3748061951799441E-2</v>
      </c>
      <c r="Q2030" s="354">
        <v>3.1836453488372092</v>
      </c>
      <c r="R2030" s="249">
        <f t="shared" si="542"/>
        <v>3.2597524796511625</v>
      </c>
      <c r="S2030" s="355">
        <v>0.1</v>
      </c>
      <c r="T2030" s="355"/>
      <c r="U2030" s="315">
        <f t="shared" si="543"/>
        <v>3.5857277276162787</v>
      </c>
      <c r="V2030" s="315">
        <f t="shared" si="544"/>
        <v>4</v>
      </c>
      <c r="W2030" s="316">
        <f t="shared" si="533"/>
        <v>0</v>
      </c>
    </row>
    <row r="2031" spans="1:23" x14ac:dyDescent="0.25">
      <c r="A2031" s="204" t="s">
        <v>17695</v>
      </c>
      <c r="B2031" s="351" t="s">
        <v>21732</v>
      </c>
      <c r="C2031" s="352"/>
      <c r="D2031" s="353" t="s">
        <v>14859</v>
      </c>
      <c r="E2031" s="249">
        <f t="shared" si="534"/>
        <v>0</v>
      </c>
      <c r="F2031" s="336">
        <v>0</v>
      </c>
      <c r="G2031" s="258">
        <f t="shared" si="535"/>
        <v>0</v>
      </c>
      <c r="H2031" s="249">
        <f t="shared" si="536"/>
        <v>10.966229953897734</v>
      </c>
      <c r="I2031" s="336">
        <v>1.9558535903883768E-2</v>
      </c>
      <c r="J2031" s="258">
        <f t="shared" si="537"/>
        <v>1.9558535903883768E-2</v>
      </c>
      <c r="K2031" s="249">
        <f t="shared" si="538"/>
        <v>530.79931927270991</v>
      </c>
      <c r="L2031" s="336">
        <v>0.94669340214431674</v>
      </c>
      <c r="M2031" s="258">
        <f t="shared" si="539"/>
        <v>0.94669340214431674</v>
      </c>
      <c r="N2031" s="251">
        <f t="shared" si="540"/>
        <v>18.922122273392169</v>
      </c>
      <c r="O2031" s="336">
        <v>3.3748061951799441E-2</v>
      </c>
      <c r="P2031" s="258">
        <f t="shared" si="541"/>
        <v>3.3748061951799441E-2</v>
      </c>
      <c r="Q2031" s="354">
        <v>547.58699999999999</v>
      </c>
      <c r="R2031" s="249">
        <f t="shared" si="542"/>
        <v>560.68767149999985</v>
      </c>
      <c r="S2031" s="355">
        <v>0.1</v>
      </c>
      <c r="T2031" s="355"/>
      <c r="U2031" s="315">
        <f t="shared" si="543"/>
        <v>616.75643864999984</v>
      </c>
      <c r="V2031" s="315">
        <f t="shared" si="544"/>
        <v>620</v>
      </c>
      <c r="W2031" s="316">
        <f t="shared" si="533"/>
        <v>0</v>
      </c>
    </row>
    <row r="2032" spans="1:23" x14ac:dyDescent="0.25">
      <c r="A2032" s="204" t="s">
        <v>17696</v>
      </c>
      <c r="B2032" s="351" t="s">
        <v>21733</v>
      </c>
      <c r="C2032" s="352"/>
      <c r="D2032" s="353" t="s">
        <v>5</v>
      </c>
      <c r="E2032" s="249">
        <f t="shared" si="534"/>
        <v>0</v>
      </c>
      <c r="F2032" s="336">
        <v>0</v>
      </c>
      <c r="G2032" s="258">
        <f t="shared" si="535"/>
        <v>0</v>
      </c>
      <c r="H2032" s="249">
        <f t="shared" si="536"/>
        <v>6.3755985911031404E-2</v>
      </c>
      <c r="I2032" s="336">
        <v>1.9558535903883768E-2</v>
      </c>
      <c r="J2032" s="258">
        <f t="shared" si="537"/>
        <v>1.9558535903883768E-2</v>
      </c>
      <c r="K2032" s="249">
        <f t="shared" si="538"/>
        <v>3.085926635710722</v>
      </c>
      <c r="L2032" s="336">
        <v>0.94667514020603116</v>
      </c>
      <c r="M2032" s="258">
        <f t="shared" si="539"/>
        <v>0.94667514020603116</v>
      </c>
      <c r="N2032" s="251">
        <f t="shared" si="540"/>
        <v>0.11001032863079928</v>
      </c>
      <c r="O2032" s="336">
        <v>3.3748061951799441E-2</v>
      </c>
      <c r="P2032" s="258">
        <f t="shared" si="541"/>
        <v>3.3748061951799441E-2</v>
      </c>
      <c r="Q2032" s="354">
        <v>3.1836453488372092</v>
      </c>
      <c r="R2032" s="249">
        <f t="shared" si="542"/>
        <v>3.2597524796511625</v>
      </c>
      <c r="S2032" s="355">
        <v>0.1</v>
      </c>
      <c r="T2032" s="355"/>
      <c r="U2032" s="315">
        <f t="shared" si="543"/>
        <v>3.5857277276162787</v>
      </c>
      <c r="V2032" s="315">
        <f t="shared" si="544"/>
        <v>4</v>
      </c>
      <c r="W2032" s="316">
        <f t="shared" si="533"/>
        <v>0</v>
      </c>
    </row>
    <row r="2033" spans="1:23" x14ac:dyDescent="0.25">
      <c r="A2033" s="204" t="s">
        <v>17697</v>
      </c>
      <c r="B2033" s="351" t="s">
        <v>21734</v>
      </c>
      <c r="C2033" s="352"/>
      <c r="D2033" s="353" t="s">
        <v>14859</v>
      </c>
      <c r="E2033" s="249">
        <f t="shared" si="534"/>
        <v>0</v>
      </c>
      <c r="F2033" s="336">
        <v>0</v>
      </c>
      <c r="G2033" s="258">
        <f t="shared" si="535"/>
        <v>0</v>
      </c>
      <c r="H2033" s="249">
        <f t="shared" si="536"/>
        <v>10.966229953897734</v>
      </c>
      <c r="I2033" s="336">
        <v>1.9558535903883768E-2</v>
      </c>
      <c r="J2033" s="258">
        <f t="shared" si="537"/>
        <v>1.9558535903883768E-2</v>
      </c>
      <c r="K2033" s="249">
        <f t="shared" si="538"/>
        <v>530.79931927270991</v>
      </c>
      <c r="L2033" s="336">
        <v>0.94669340214431674</v>
      </c>
      <c r="M2033" s="258">
        <f t="shared" si="539"/>
        <v>0.94669340214431674</v>
      </c>
      <c r="N2033" s="251">
        <f t="shared" si="540"/>
        <v>18.922122273392169</v>
      </c>
      <c r="O2033" s="336">
        <v>3.3748061951799441E-2</v>
      </c>
      <c r="P2033" s="258">
        <f t="shared" si="541"/>
        <v>3.3748061951799441E-2</v>
      </c>
      <c r="Q2033" s="354">
        <v>547.58699999999999</v>
      </c>
      <c r="R2033" s="249">
        <f t="shared" si="542"/>
        <v>560.68767149999985</v>
      </c>
      <c r="S2033" s="355">
        <v>0.1</v>
      </c>
      <c r="T2033" s="355"/>
      <c r="U2033" s="315">
        <f t="shared" si="543"/>
        <v>616.75643864999984</v>
      </c>
      <c r="V2033" s="315">
        <f t="shared" si="544"/>
        <v>620</v>
      </c>
      <c r="W2033" s="316">
        <f t="shared" si="533"/>
        <v>0</v>
      </c>
    </row>
    <row r="2034" spans="1:23" x14ac:dyDescent="0.25">
      <c r="A2034" s="204" t="s">
        <v>17698</v>
      </c>
      <c r="B2034" s="351" t="s">
        <v>21735</v>
      </c>
      <c r="C2034" s="352"/>
      <c r="D2034" s="353" t="s">
        <v>5</v>
      </c>
      <c r="E2034" s="249">
        <f t="shared" si="534"/>
        <v>0</v>
      </c>
      <c r="F2034" s="336">
        <v>0</v>
      </c>
      <c r="G2034" s="258">
        <f t="shared" si="535"/>
        <v>0</v>
      </c>
      <c r="H2034" s="249">
        <f t="shared" si="536"/>
        <v>6.3755985911031404E-2</v>
      </c>
      <c r="I2034" s="336">
        <v>1.9558535903883768E-2</v>
      </c>
      <c r="J2034" s="258">
        <f t="shared" si="537"/>
        <v>1.9558535903883768E-2</v>
      </c>
      <c r="K2034" s="249">
        <f t="shared" si="538"/>
        <v>3.085926635710722</v>
      </c>
      <c r="L2034" s="336">
        <v>0.94667514020603116</v>
      </c>
      <c r="M2034" s="258">
        <f t="shared" si="539"/>
        <v>0.94667514020603116</v>
      </c>
      <c r="N2034" s="251">
        <f t="shared" si="540"/>
        <v>0.11001032863079928</v>
      </c>
      <c r="O2034" s="336">
        <v>3.3748061951799441E-2</v>
      </c>
      <c r="P2034" s="258">
        <f t="shared" si="541"/>
        <v>3.3748061951799441E-2</v>
      </c>
      <c r="Q2034" s="354">
        <v>3.1836453488372092</v>
      </c>
      <c r="R2034" s="249">
        <f t="shared" si="542"/>
        <v>3.2597524796511625</v>
      </c>
      <c r="S2034" s="355">
        <v>0.1</v>
      </c>
      <c r="T2034" s="355"/>
      <c r="U2034" s="315">
        <f t="shared" si="543"/>
        <v>3.5857277276162787</v>
      </c>
      <c r="V2034" s="315">
        <f t="shared" si="544"/>
        <v>4</v>
      </c>
      <c r="W2034" s="316">
        <f t="shared" si="533"/>
        <v>0</v>
      </c>
    </row>
    <row r="2035" spans="1:23" x14ac:dyDescent="0.25">
      <c r="A2035" s="204" t="s">
        <v>17699</v>
      </c>
      <c r="B2035" s="351" t="s">
        <v>21736</v>
      </c>
      <c r="C2035" s="352"/>
      <c r="D2035" s="353" t="s">
        <v>14859</v>
      </c>
      <c r="E2035" s="249">
        <f t="shared" si="534"/>
        <v>0</v>
      </c>
      <c r="F2035" s="336">
        <v>0</v>
      </c>
      <c r="G2035" s="258">
        <f t="shared" si="535"/>
        <v>0</v>
      </c>
      <c r="H2035" s="249">
        <f t="shared" si="536"/>
        <v>10.966264363972902</v>
      </c>
      <c r="I2035" s="336">
        <v>1.9449370347065023E-2</v>
      </c>
      <c r="J2035" s="258">
        <f t="shared" si="537"/>
        <v>1.9449370347065023E-2</v>
      </c>
      <c r="K2035" s="249">
        <f t="shared" si="538"/>
        <v>533.94802623838757</v>
      </c>
      <c r="L2035" s="336">
        <v>0.94699093179917559</v>
      </c>
      <c r="M2035" s="258">
        <f t="shared" si="539"/>
        <v>0.94699093179917559</v>
      </c>
      <c r="N2035" s="251">
        <f t="shared" si="540"/>
        <v>18.922181647639519</v>
      </c>
      <c r="O2035" s="336">
        <v>3.3559697853759257E-2</v>
      </c>
      <c r="P2035" s="258">
        <f t="shared" si="541"/>
        <v>3.3559697853759257E-2</v>
      </c>
      <c r="Q2035" s="354">
        <v>550.66050000000007</v>
      </c>
      <c r="R2035" s="249">
        <f t="shared" si="542"/>
        <v>563.83647225000004</v>
      </c>
      <c r="S2035" s="355">
        <v>0.1</v>
      </c>
      <c r="T2035" s="355"/>
      <c r="U2035" s="315">
        <f t="shared" si="543"/>
        <v>620.22011947500005</v>
      </c>
      <c r="V2035" s="315">
        <f t="shared" si="544"/>
        <v>625</v>
      </c>
      <c r="W2035" s="316">
        <f t="shared" si="533"/>
        <v>0</v>
      </c>
    </row>
    <row r="2036" spans="1:23" x14ac:dyDescent="0.25">
      <c r="A2036" s="204" t="s">
        <v>17700</v>
      </c>
      <c r="B2036" s="351" t="s">
        <v>21737</v>
      </c>
      <c r="C2036" s="352"/>
      <c r="D2036" s="353" t="s">
        <v>5</v>
      </c>
      <c r="E2036" s="249">
        <f t="shared" si="534"/>
        <v>0</v>
      </c>
      <c r="F2036" s="336">
        <v>0</v>
      </c>
      <c r="G2036" s="258">
        <f t="shared" si="535"/>
        <v>0</v>
      </c>
      <c r="H2036" s="249">
        <f t="shared" si="536"/>
        <v>6.3756192471940087E-2</v>
      </c>
      <c r="I2036" s="336">
        <v>1.9449370347065023E-2</v>
      </c>
      <c r="J2036" s="258">
        <f t="shared" si="537"/>
        <v>1.9449370347065023E-2</v>
      </c>
      <c r="K2036" s="249">
        <f t="shared" si="538"/>
        <v>3.1042330536427745</v>
      </c>
      <c r="L2036" s="336">
        <v>0.94697277178951456</v>
      </c>
      <c r="M2036" s="258">
        <f t="shared" si="539"/>
        <v>0.94697277178951456</v>
      </c>
      <c r="N2036" s="251">
        <f t="shared" si="540"/>
        <v>0.11001068504962211</v>
      </c>
      <c r="O2036" s="336">
        <v>3.3559697853759257E-2</v>
      </c>
      <c r="P2036" s="258">
        <f t="shared" si="541"/>
        <v>3.3559697853759257E-2</v>
      </c>
      <c r="Q2036" s="354">
        <v>3.2015145348837213</v>
      </c>
      <c r="R2036" s="249">
        <f t="shared" si="542"/>
        <v>3.2780594607558138</v>
      </c>
      <c r="S2036" s="355">
        <v>0.1</v>
      </c>
      <c r="T2036" s="355"/>
      <c r="U2036" s="315">
        <f t="shared" si="543"/>
        <v>3.6058654068313953</v>
      </c>
      <c r="V2036" s="315">
        <f t="shared" si="544"/>
        <v>4</v>
      </c>
      <c r="W2036" s="316">
        <f t="shared" si="533"/>
        <v>0</v>
      </c>
    </row>
    <row r="2037" spans="1:23" x14ac:dyDescent="0.25">
      <c r="A2037" s="204" t="s">
        <v>17701</v>
      </c>
      <c r="B2037" s="351" t="s">
        <v>21738</v>
      </c>
      <c r="C2037" s="352"/>
      <c r="D2037" s="353" t="s">
        <v>14859</v>
      </c>
      <c r="E2037" s="249">
        <f t="shared" si="534"/>
        <v>0</v>
      </c>
      <c r="F2037" s="336">
        <v>0</v>
      </c>
      <c r="G2037" s="258">
        <f t="shared" si="535"/>
        <v>0</v>
      </c>
      <c r="H2037" s="249">
        <f t="shared" si="536"/>
        <v>10.966275748796866</v>
      </c>
      <c r="I2037" s="336">
        <v>1.9413252127572798E-2</v>
      </c>
      <c r="J2037" s="258">
        <f t="shared" si="537"/>
        <v>1.9413252127572798E-2</v>
      </c>
      <c r="K2037" s="249">
        <f t="shared" si="538"/>
        <v>534.9975954591614</v>
      </c>
      <c r="L2037" s="336">
        <v>0.94708937165230145</v>
      </c>
      <c r="M2037" s="258">
        <f t="shared" si="539"/>
        <v>0.94708937165230145</v>
      </c>
      <c r="N2037" s="251">
        <f t="shared" si="540"/>
        <v>18.922201292041652</v>
      </c>
      <c r="O2037" s="336">
        <v>3.3497376220125614E-2</v>
      </c>
      <c r="P2037" s="258">
        <f t="shared" si="541"/>
        <v>3.3497376220125614E-2</v>
      </c>
      <c r="Q2037" s="354">
        <v>551.68500000000006</v>
      </c>
      <c r="R2037" s="249">
        <f t="shared" si="542"/>
        <v>564.88607249999995</v>
      </c>
      <c r="S2037" s="355">
        <v>0.1</v>
      </c>
      <c r="T2037" s="355"/>
      <c r="U2037" s="315">
        <f t="shared" si="543"/>
        <v>621.37467974999993</v>
      </c>
      <c r="V2037" s="315">
        <f t="shared" si="544"/>
        <v>625</v>
      </c>
      <c r="W2037" s="316">
        <f t="shared" si="533"/>
        <v>0</v>
      </c>
    </row>
    <row r="2038" spans="1:23" x14ac:dyDescent="0.25">
      <c r="A2038" s="204" t="s">
        <v>17702</v>
      </c>
      <c r="B2038" s="351" t="s">
        <v>21739</v>
      </c>
      <c r="C2038" s="352"/>
      <c r="D2038" s="353" t="s">
        <v>5</v>
      </c>
      <c r="E2038" s="249">
        <f t="shared" si="534"/>
        <v>0</v>
      </c>
      <c r="F2038" s="336">
        <v>0</v>
      </c>
      <c r="G2038" s="258">
        <f t="shared" si="535"/>
        <v>0</v>
      </c>
      <c r="H2038" s="249">
        <f t="shared" si="536"/>
        <v>6.3756260814121057E-2</v>
      </c>
      <c r="I2038" s="336">
        <v>1.9413252127572802E-2</v>
      </c>
      <c r="J2038" s="258">
        <f t="shared" si="537"/>
        <v>1.9413252127572802E-2</v>
      </c>
      <c r="K2038" s="249">
        <f t="shared" si="538"/>
        <v>3.1103351943479023</v>
      </c>
      <c r="L2038" s="336">
        <v>0.94707124536646814</v>
      </c>
      <c r="M2038" s="258">
        <f t="shared" si="539"/>
        <v>0.94707124536646814</v>
      </c>
      <c r="N2038" s="251">
        <f t="shared" si="540"/>
        <v>0.11001080297338534</v>
      </c>
      <c r="O2038" s="336">
        <v>3.3497376220125614E-2</v>
      </c>
      <c r="P2038" s="258">
        <f t="shared" si="541"/>
        <v>3.3497376220125614E-2</v>
      </c>
      <c r="Q2038" s="354">
        <v>3.2074709302325584</v>
      </c>
      <c r="R2038" s="249">
        <f t="shared" si="542"/>
        <v>3.2841617877906977</v>
      </c>
      <c r="S2038" s="355">
        <v>0.1</v>
      </c>
      <c r="T2038" s="355"/>
      <c r="U2038" s="315">
        <f t="shared" si="543"/>
        <v>3.6125779665697673</v>
      </c>
      <c r="V2038" s="315">
        <f t="shared" si="544"/>
        <v>4</v>
      </c>
      <c r="W2038" s="316">
        <f t="shared" si="533"/>
        <v>0</v>
      </c>
    </row>
    <row r="2039" spans="1:23" x14ac:dyDescent="0.25">
      <c r="A2039" s="204" t="s">
        <v>17703</v>
      </c>
      <c r="B2039" s="351" t="s">
        <v>21740</v>
      </c>
      <c r="C2039" s="352"/>
      <c r="D2039" s="353" t="s">
        <v>14859</v>
      </c>
      <c r="E2039" s="249">
        <f t="shared" si="534"/>
        <v>0</v>
      </c>
      <c r="F2039" s="336">
        <v>0</v>
      </c>
      <c r="G2039" s="258">
        <f t="shared" si="535"/>
        <v>0</v>
      </c>
      <c r="H2039" s="249">
        <f t="shared" si="536"/>
        <v>10.966441584575502</v>
      </c>
      <c r="I2039" s="336">
        <v>1.8887140079622257E-2</v>
      </c>
      <c r="J2039" s="258">
        <f t="shared" si="537"/>
        <v>1.8887140079622257E-2</v>
      </c>
      <c r="K2039" s="249">
        <f t="shared" si="538"/>
        <v>550.74114722537263</v>
      </c>
      <c r="L2039" s="336">
        <v>0.94852328488102944</v>
      </c>
      <c r="M2039" s="258">
        <f t="shared" si="539"/>
        <v>0.94852328488102944</v>
      </c>
      <c r="N2039" s="251">
        <f t="shared" si="540"/>
        <v>18.922487440051846</v>
      </c>
      <c r="O2039" s="336">
        <v>3.2589575039348208E-2</v>
      </c>
      <c r="P2039" s="258">
        <f t="shared" si="541"/>
        <v>3.2589575039348208E-2</v>
      </c>
      <c r="Q2039" s="354">
        <v>567.05250000000001</v>
      </c>
      <c r="R2039" s="249">
        <f t="shared" si="542"/>
        <v>580.63007625</v>
      </c>
      <c r="S2039" s="355">
        <v>0.1</v>
      </c>
      <c r="T2039" s="355"/>
      <c r="U2039" s="315">
        <f t="shared" si="543"/>
        <v>638.69308387499996</v>
      </c>
      <c r="V2039" s="315">
        <f t="shared" si="544"/>
        <v>640</v>
      </c>
      <c r="W2039" s="316">
        <f t="shared" si="533"/>
        <v>0</v>
      </c>
    </row>
    <row r="2040" spans="1:23" x14ac:dyDescent="0.25">
      <c r="A2040" s="204" t="s">
        <v>17704</v>
      </c>
      <c r="B2040" s="351" t="s">
        <v>21741</v>
      </c>
      <c r="C2040" s="352"/>
      <c r="D2040" s="353" t="s">
        <v>5</v>
      </c>
      <c r="E2040" s="249">
        <f t="shared" si="534"/>
        <v>0</v>
      </c>
      <c r="F2040" s="336">
        <v>0</v>
      </c>
      <c r="G2040" s="258">
        <f t="shared" si="535"/>
        <v>0</v>
      </c>
      <c r="H2040" s="249">
        <f t="shared" si="536"/>
        <v>6.3757256312938299E-2</v>
      </c>
      <c r="I2040" s="336">
        <v>1.888714007962226E-2</v>
      </c>
      <c r="J2040" s="258">
        <f t="shared" si="537"/>
        <v>1.888714007962226E-2</v>
      </c>
      <c r="K2040" s="249">
        <f t="shared" si="538"/>
        <v>3.2018673857193871</v>
      </c>
      <c r="L2040" s="336">
        <v>0.94850564982960128</v>
      </c>
      <c r="M2040" s="258">
        <f t="shared" si="539"/>
        <v>0.94850564982960128</v>
      </c>
      <c r="N2040" s="251">
        <f t="shared" si="540"/>
        <v>0.11001252069683469</v>
      </c>
      <c r="O2040" s="336">
        <v>3.2589575039348208E-2</v>
      </c>
      <c r="P2040" s="258">
        <f t="shared" si="541"/>
        <v>3.2589575039348208E-2</v>
      </c>
      <c r="Q2040" s="354">
        <v>3.2968168604651162</v>
      </c>
      <c r="R2040" s="249">
        <f t="shared" si="542"/>
        <v>3.3756966933139529</v>
      </c>
      <c r="S2040" s="355">
        <v>0.1</v>
      </c>
      <c r="T2040" s="355"/>
      <c r="U2040" s="315">
        <f t="shared" si="543"/>
        <v>3.7132663626453484</v>
      </c>
      <c r="V2040" s="315">
        <f t="shared" si="544"/>
        <v>4</v>
      </c>
      <c r="W2040" s="316">
        <f t="shared" ref="W2040:W2103" si="545">C2040*V2040</f>
        <v>0</v>
      </c>
    </row>
    <row r="2041" spans="1:23" ht="14.4" thickBot="1" x14ac:dyDescent="0.3">
      <c r="A2041" s="356" t="s">
        <v>17705</v>
      </c>
      <c r="B2041" s="357" t="s">
        <v>21742</v>
      </c>
      <c r="C2041" s="358"/>
      <c r="D2041" s="359" t="s">
        <v>14859</v>
      </c>
      <c r="E2041" s="266">
        <f t="shared" si="534"/>
        <v>0</v>
      </c>
      <c r="F2041" s="360">
        <v>0</v>
      </c>
      <c r="G2041" s="322">
        <f t="shared" si="535"/>
        <v>0</v>
      </c>
      <c r="H2041" s="266">
        <f t="shared" si="536"/>
        <v>10.966441584575502</v>
      </c>
      <c r="I2041" s="360">
        <v>1.8887140079622257E-2</v>
      </c>
      <c r="J2041" s="322">
        <f t="shared" si="537"/>
        <v>1.8887140079622257E-2</v>
      </c>
      <c r="K2041" s="266">
        <f t="shared" si="538"/>
        <v>550.74114722537263</v>
      </c>
      <c r="L2041" s="360">
        <v>0.94852328488102944</v>
      </c>
      <c r="M2041" s="322">
        <f t="shared" si="539"/>
        <v>0.94852328488102944</v>
      </c>
      <c r="N2041" s="270">
        <f t="shared" si="540"/>
        <v>18.922487440051846</v>
      </c>
      <c r="O2041" s="360">
        <v>3.2589575039348208E-2</v>
      </c>
      <c r="P2041" s="322">
        <f t="shared" si="541"/>
        <v>3.2589575039348208E-2</v>
      </c>
      <c r="Q2041" s="361">
        <v>567.05250000000001</v>
      </c>
      <c r="R2041" s="266">
        <f t="shared" si="542"/>
        <v>580.63007625</v>
      </c>
      <c r="S2041" s="362">
        <v>0.1</v>
      </c>
      <c r="T2041" s="362"/>
      <c r="U2041" s="324">
        <f t="shared" si="543"/>
        <v>638.69308387499996</v>
      </c>
      <c r="V2041" s="324">
        <f t="shared" si="544"/>
        <v>640</v>
      </c>
      <c r="W2041" s="325">
        <f t="shared" si="545"/>
        <v>0</v>
      </c>
    </row>
    <row r="2042" spans="1:23" x14ac:dyDescent="0.25">
      <c r="A2042" s="204" t="s">
        <v>17706</v>
      </c>
      <c r="B2042" s="351" t="s">
        <v>21743</v>
      </c>
      <c r="C2042" s="352"/>
      <c r="D2042" s="353" t="s">
        <v>5</v>
      </c>
      <c r="E2042" s="249">
        <f t="shared" si="534"/>
        <v>0</v>
      </c>
      <c r="F2042" s="336">
        <v>0</v>
      </c>
      <c r="G2042" s="258">
        <f t="shared" si="535"/>
        <v>0</v>
      </c>
      <c r="H2042" s="249">
        <f t="shared" si="536"/>
        <v>6.3757256312938299E-2</v>
      </c>
      <c r="I2042" s="336">
        <v>1.888714007962226E-2</v>
      </c>
      <c r="J2042" s="258">
        <f t="shared" si="537"/>
        <v>1.888714007962226E-2</v>
      </c>
      <c r="K2042" s="249">
        <f t="shared" si="538"/>
        <v>3.2018673857193871</v>
      </c>
      <c r="L2042" s="336">
        <v>0.94850564982960128</v>
      </c>
      <c r="M2042" s="258">
        <f t="shared" si="539"/>
        <v>0.94850564982960128</v>
      </c>
      <c r="N2042" s="251">
        <f t="shared" si="540"/>
        <v>0.11001252069683469</v>
      </c>
      <c r="O2042" s="336">
        <v>3.2589575039348208E-2</v>
      </c>
      <c r="P2042" s="258">
        <f t="shared" si="541"/>
        <v>3.2589575039348208E-2</v>
      </c>
      <c r="Q2042" s="354">
        <v>3.2968168604651162</v>
      </c>
      <c r="R2042" s="249">
        <f t="shared" si="542"/>
        <v>3.3756966933139529</v>
      </c>
      <c r="S2042" s="355">
        <v>0.1</v>
      </c>
      <c r="T2042" s="355"/>
      <c r="U2042" s="315">
        <f t="shared" si="543"/>
        <v>3.7132663626453484</v>
      </c>
      <c r="V2042" s="315">
        <f t="shared" si="544"/>
        <v>4</v>
      </c>
      <c r="W2042" s="316">
        <f t="shared" si="545"/>
        <v>0</v>
      </c>
    </row>
    <row r="2043" spans="1:23" x14ac:dyDescent="0.25">
      <c r="A2043" s="204" t="s">
        <v>17707</v>
      </c>
      <c r="B2043" s="351" t="s">
        <v>21744</v>
      </c>
      <c r="C2043" s="352"/>
      <c r="D2043" s="353" t="s">
        <v>14859</v>
      </c>
      <c r="E2043" s="249">
        <f t="shared" si="534"/>
        <v>0</v>
      </c>
      <c r="F2043" s="336">
        <v>0</v>
      </c>
      <c r="G2043" s="258">
        <f t="shared" si="535"/>
        <v>0</v>
      </c>
      <c r="H2043" s="249">
        <f t="shared" si="536"/>
        <v>10.966463019325197</v>
      </c>
      <c r="I2043" s="336">
        <v>1.8819138589513472E-2</v>
      </c>
      <c r="J2043" s="258">
        <f t="shared" si="537"/>
        <v>1.8819138589513472E-2</v>
      </c>
      <c r="K2043" s="249">
        <f t="shared" si="538"/>
        <v>552.84028930517229</v>
      </c>
      <c r="L2043" s="336">
        <v>0.94870862227563968</v>
      </c>
      <c r="M2043" s="258">
        <f t="shared" si="539"/>
        <v>0.94870862227563968</v>
      </c>
      <c r="N2043" s="251">
        <f t="shared" si="540"/>
        <v>18.922524425502299</v>
      </c>
      <c r="O2043" s="336">
        <v>3.2472239134846773E-2</v>
      </c>
      <c r="P2043" s="258">
        <f t="shared" si="541"/>
        <v>3.2472239134846773E-2</v>
      </c>
      <c r="Q2043" s="354">
        <v>569.10149999999999</v>
      </c>
      <c r="R2043" s="249">
        <f t="shared" si="542"/>
        <v>582.72927674999983</v>
      </c>
      <c r="S2043" s="355">
        <v>0.1</v>
      </c>
      <c r="T2043" s="355"/>
      <c r="U2043" s="315">
        <f t="shared" si="543"/>
        <v>641.00220442499983</v>
      </c>
      <c r="V2043" s="315">
        <f t="shared" si="544"/>
        <v>645</v>
      </c>
      <c r="W2043" s="316">
        <f t="shared" si="545"/>
        <v>0</v>
      </c>
    </row>
    <row r="2044" spans="1:23" x14ac:dyDescent="0.25">
      <c r="A2044" s="204" t="s">
        <v>17708</v>
      </c>
      <c r="B2044" s="351" t="s">
        <v>21745</v>
      </c>
      <c r="C2044" s="352"/>
      <c r="D2044" s="353" t="s">
        <v>5</v>
      </c>
      <c r="E2044" s="249">
        <f t="shared" si="534"/>
        <v>0</v>
      </c>
      <c r="F2044" s="336">
        <v>0</v>
      </c>
      <c r="G2044" s="258">
        <f t="shared" si="535"/>
        <v>0</v>
      </c>
      <c r="H2044" s="249">
        <f t="shared" si="536"/>
        <v>6.3757384984013662E-2</v>
      </c>
      <c r="I2044" s="336">
        <v>1.8819138589513472E-2</v>
      </c>
      <c r="J2044" s="258">
        <f t="shared" si="537"/>
        <v>1.8819138589513472E-2</v>
      </c>
      <c r="K2044" s="249">
        <f t="shared" si="538"/>
        <v>3.2140716889772585</v>
      </c>
      <c r="L2044" s="336">
        <v>0.94869105071766613</v>
      </c>
      <c r="M2044" s="258">
        <f t="shared" si="539"/>
        <v>0.94869105071766613</v>
      </c>
      <c r="N2044" s="251">
        <f t="shared" si="540"/>
        <v>0.11001274271751375</v>
      </c>
      <c r="O2044" s="336">
        <v>3.2472239134846773E-2</v>
      </c>
      <c r="P2044" s="258">
        <f t="shared" si="541"/>
        <v>3.2472239134846773E-2</v>
      </c>
      <c r="Q2044" s="354">
        <v>3.3087296511627908</v>
      </c>
      <c r="R2044" s="249">
        <f t="shared" si="542"/>
        <v>3.3879013473837203</v>
      </c>
      <c r="S2044" s="355">
        <v>0.1</v>
      </c>
      <c r="T2044" s="355"/>
      <c r="U2044" s="315">
        <f t="shared" si="543"/>
        <v>3.7266914821220922</v>
      </c>
      <c r="V2044" s="315">
        <f t="shared" si="544"/>
        <v>4</v>
      </c>
      <c r="W2044" s="316">
        <f t="shared" si="545"/>
        <v>0</v>
      </c>
    </row>
    <row r="2045" spans="1:23" x14ac:dyDescent="0.25">
      <c r="A2045" s="204" t="s">
        <v>17709</v>
      </c>
      <c r="B2045" s="351" t="s">
        <v>21746</v>
      </c>
      <c r="C2045" s="352"/>
      <c r="D2045" s="353" t="s">
        <v>14859</v>
      </c>
      <c r="E2045" s="249">
        <f t="shared" si="534"/>
        <v>0</v>
      </c>
      <c r="F2045" s="336">
        <v>0</v>
      </c>
      <c r="G2045" s="258">
        <f t="shared" si="535"/>
        <v>0</v>
      </c>
      <c r="H2045" s="249">
        <f t="shared" si="536"/>
        <v>10.966463019325197</v>
      </c>
      <c r="I2045" s="336">
        <v>1.8819138589513472E-2</v>
      </c>
      <c r="J2045" s="258">
        <f t="shared" si="537"/>
        <v>1.8819138589513472E-2</v>
      </c>
      <c r="K2045" s="249">
        <f t="shared" si="538"/>
        <v>552.84028930517229</v>
      </c>
      <c r="L2045" s="336">
        <v>0.94870862227563968</v>
      </c>
      <c r="M2045" s="258">
        <f t="shared" si="539"/>
        <v>0.94870862227563968</v>
      </c>
      <c r="N2045" s="251">
        <f t="shared" si="540"/>
        <v>18.922524425502299</v>
      </c>
      <c r="O2045" s="336">
        <v>3.2472239134846773E-2</v>
      </c>
      <c r="P2045" s="258">
        <f t="shared" si="541"/>
        <v>3.2472239134846773E-2</v>
      </c>
      <c r="Q2045" s="354">
        <v>569.10149999999999</v>
      </c>
      <c r="R2045" s="249">
        <f t="shared" si="542"/>
        <v>582.72927674999983</v>
      </c>
      <c r="S2045" s="355">
        <v>0.1</v>
      </c>
      <c r="T2045" s="355"/>
      <c r="U2045" s="315">
        <f t="shared" si="543"/>
        <v>641.00220442499983</v>
      </c>
      <c r="V2045" s="315">
        <f t="shared" si="544"/>
        <v>645</v>
      </c>
      <c r="W2045" s="316">
        <f t="shared" si="545"/>
        <v>0</v>
      </c>
    </row>
    <row r="2046" spans="1:23" x14ac:dyDescent="0.25">
      <c r="A2046" s="204" t="s">
        <v>17710</v>
      </c>
      <c r="B2046" s="351" t="s">
        <v>21747</v>
      </c>
      <c r="C2046" s="352"/>
      <c r="D2046" s="353" t="s">
        <v>5</v>
      </c>
      <c r="E2046" s="249">
        <f t="shared" si="534"/>
        <v>0</v>
      </c>
      <c r="F2046" s="336">
        <v>0</v>
      </c>
      <c r="G2046" s="258">
        <f t="shared" si="535"/>
        <v>0</v>
      </c>
      <c r="H2046" s="249">
        <f t="shared" si="536"/>
        <v>6.3757384984013662E-2</v>
      </c>
      <c r="I2046" s="336">
        <v>1.8819138589513472E-2</v>
      </c>
      <c r="J2046" s="258">
        <f t="shared" si="537"/>
        <v>1.8819138589513472E-2</v>
      </c>
      <c r="K2046" s="249">
        <f t="shared" si="538"/>
        <v>3.2140716889772585</v>
      </c>
      <c r="L2046" s="336">
        <v>0.94869105071766613</v>
      </c>
      <c r="M2046" s="258">
        <f t="shared" si="539"/>
        <v>0.94869105071766613</v>
      </c>
      <c r="N2046" s="251">
        <f t="shared" si="540"/>
        <v>0.11001274271751375</v>
      </c>
      <c r="O2046" s="336">
        <v>3.2472239134846773E-2</v>
      </c>
      <c r="P2046" s="258">
        <f t="shared" si="541"/>
        <v>3.2472239134846773E-2</v>
      </c>
      <c r="Q2046" s="354">
        <v>3.3087296511627908</v>
      </c>
      <c r="R2046" s="249">
        <f t="shared" si="542"/>
        <v>3.3879013473837203</v>
      </c>
      <c r="S2046" s="355">
        <v>0.1</v>
      </c>
      <c r="T2046" s="355"/>
      <c r="U2046" s="315">
        <f t="shared" si="543"/>
        <v>3.7266914821220922</v>
      </c>
      <c r="V2046" s="315">
        <f t="shared" si="544"/>
        <v>4</v>
      </c>
      <c r="W2046" s="316">
        <f t="shared" si="545"/>
        <v>0</v>
      </c>
    </row>
    <row r="2047" spans="1:23" x14ac:dyDescent="0.25">
      <c r="A2047" s="204" t="s">
        <v>17711</v>
      </c>
      <c r="B2047" s="351" t="s">
        <v>21748</v>
      </c>
      <c r="C2047" s="352"/>
      <c r="D2047" s="353" t="s">
        <v>14859</v>
      </c>
      <c r="E2047" s="249">
        <f t="shared" si="534"/>
        <v>0</v>
      </c>
      <c r="F2047" s="336">
        <v>0</v>
      </c>
      <c r="G2047" s="258">
        <f t="shared" si="535"/>
        <v>0</v>
      </c>
      <c r="H2047" s="249">
        <f t="shared" si="536"/>
        <v>10.966861478495085</v>
      </c>
      <c r="I2047" s="336">
        <v>1.7555031581846032E-2</v>
      </c>
      <c r="J2047" s="258">
        <f t="shared" si="537"/>
        <v>1.7555031581846032E-2</v>
      </c>
      <c r="K2047" s="249">
        <f t="shared" si="538"/>
        <v>594.82321330861134</v>
      </c>
      <c r="L2047" s="336">
        <v>0.95215393353183131</v>
      </c>
      <c r="M2047" s="258">
        <f t="shared" si="539"/>
        <v>0.95215393353183131</v>
      </c>
      <c r="N2047" s="251">
        <f t="shared" si="540"/>
        <v>18.923211962893483</v>
      </c>
      <c r="O2047" s="336">
        <v>3.0291034886322565E-2</v>
      </c>
      <c r="P2047" s="258">
        <f t="shared" si="541"/>
        <v>3.0291034886322565E-2</v>
      </c>
      <c r="Q2047" s="354">
        <v>610.08150000000001</v>
      </c>
      <c r="R2047" s="249">
        <f t="shared" si="542"/>
        <v>624.71328674999995</v>
      </c>
      <c r="S2047" s="355">
        <v>0.1</v>
      </c>
      <c r="T2047" s="355"/>
      <c r="U2047" s="315">
        <f t="shared" si="543"/>
        <v>687.18461542499995</v>
      </c>
      <c r="V2047" s="315">
        <f t="shared" si="544"/>
        <v>690</v>
      </c>
      <c r="W2047" s="316">
        <f t="shared" si="545"/>
        <v>0</v>
      </c>
    </row>
    <row r="2048" spans="1:23" x14ac:dyDescent="0.25">
      <c r="A2048" s="204" t="s">
        <v>17712</v>
      </c>
      <c r="B2048" s="351" t="s">
        <v>21749</v>
      </c>
      <c r="C2048" s="352"/>
      <c r="D2048" s="353" t="s">
        <v>5</v>
      </c>
      <c r="E2048" s="249">
        <f t="shared" si="534"/>
        <v>0</v>
      </c>
      <c r="F2048" s="336">
        <v>0</v>
      </c>
      <c r="G2048" s="258">
        <f t="shared" si="535"/>
        <v>0</v>
      </c>
      <c r="H2048" s="249">
        <f t="shared" si="536"/>
        <v>6.3759776902305415E-2</v>
      </c>
      <c r="I2048" s="336">
        <v>1.7555031581846035E-2</v>
      </c>
      <c r="J2048" s="258">
        <f t="shared" si="537"/>
        <v>1.7555031581846035E-2</v>
      </c>
      <c r="K2048" s="249">
        <f t="shared" si="538"/>
        <v>3.4581582489894034</v>
      </c>
      <c r="L2048" s="336">
        <v>0.95213754227918723</v>
      </c>
      <c r="M2048" s="258">
        <f t="shared" si="539"/>
        <v>0.95213754227918723</v>
      </c>
      <c r="N2048" s="251">
        <f t="shared" si="540"/>
        <v>0.11001686994907599</v>
      </c>
      <c r="O2048" s="336">
        <v>3.0291034886322565E-2</v>
      </c>
      <c r="P2048" s="258">
        <f t="shared" si="541"/>
        <v>3.0291034886322565E-2</v>
      </c>
      <c r="Q2048" s="354">
        <v>3.5469854651162791</v>
      </c>
      <c r="R2048" s="249">
        <f t="shared" si="542"/>
        <v>3.6319944287790693</v>
      </c>
      <c r="S2048" s="355">
        <v>0.1</v>
      </c>
      <c r="T2048" s="355"/>
      <c r="U2048" s="315">
        <f t="shared" si="543"/>
        <v>3.9951938716569764</v>
      </c>
      <c r="V2048" s="315">
        <f t="shared" si="544"/>
        <v>4</v>
      </c>
      <c r="W2048" s="316">
        <f t="shared" si="545"/>
        <v>0</v>
      </c>
    </row>
    <row r="2049" spans="1:23" x14ac:dyDescent="0.25">
      <c r="A2049" s="204" t="s">
        <v>17713</v>
      </c>
      <c r="B2049" s="351" t="s">
        <v>21750</v>
      </c>
      <c r="C2049" s="352"/>
      <c r="D2049" s="353" t="s">
        <v>14859</v>
      </c>
      <c r="E2049" s="249">
        <f t="shared" si="534"/>
        <v>0</v>
      </c>
      <c r="F2049" s="336">
        <v>0</v>
      </c>
      <c r="G2049" s="258">
        <f t="shared" si="535"/>
        <v>0</v>
      </c>
      <c r="H2049" s="249">
        <f t="shared" si="536"/>
        <v>10.966898399901821</v>
      </c>
      <c r="I2049" s="336">
        <v>1.7437898855302073E-2</v>
      </c>
      <c r="J2049" s="258">
        <f t="shared" si="537"/>
        <v>1.7437898855302073E-2</v>
      </c>
      <c r="K2049" s="249">
        <f t="shared" si="538"/>
        <v>599.02151367967929</v>
      </c>
      <c r="L2049" s="336">
        <v>0.95247317762966677</v>
      </c>
      <c r="M2049" s="258">
        <f t="shared" si="539"/>
        <v>0.95247317762966677</v>
      </c>
      <c r="N2049" s="251">
        <f t="shared" si="540"/>
        <v>18.923275670418825</v>
      </c>
      <c r="O2049" s="336">
        <v>3.0088923515031025E-2</v>
      </c>
      <c r="P2049" s="258">
        <f t="shared" si="541"/>
        <v>3.0088923515031025E-2</v>
      </c>
      <c r="Q2049" s="354">
        <v>614.17950000000008</v>
      </c>
      <c r="R2049" s="249">
        <f t="shared" si="542"/>
        <v>628.91168775000006</v>
      </c>
      <c r="S2049" s="355">
        <v>0.1</v>
      </c>
      <c r="T2049" s="355"/>
      <c r="U2049" s="315">
        <f t="shared" si="543"/>
        <v>691.80285652500004</v>
      </c>
      <c r="V2049" s="315">
        <f t="shared" si="544"/>
        <v>695</v>
      </c>
      <c r="W2049" s="316">
        <f t="shared" si="545"/>
        <v>0</v>
      </c>
    </row>
    <row r="2050" spans="1:23" x14ac:dyDescent="0.25">
      <c r="A2050" s="204" t="s">
        <v>17714</v>
      </c>
      <c r="B2050" s="351" t="s">
        <v>21751</v>
      </c>
      <c r="C2050" s="352"/>
      <c r="D2050" s="353" t="s">
        <v>5</v>
      </c>
      <c r="E2050" s="249">
        <f t="shared" ref="E2050:E2113" si="546">R2050*G2050</f>
        <v>0</v>
      </c>
      <c r="F2050" s="336">
        <v>0</v>
      </c>
      <c r="G2050" s="258">
        <f t="shared" ref="G2050:G2113" si="547">F2050</f>
        <v>0</v>
      </c>
      <c r="H2050" s="249">
        <f t="shared" ref="H2050:H2113" si="548">R2050*J2050</f>
        <v>6.3759998538535159E-2</v>
      </c>
      <c r="I2050" s="336">
        <v>1.7437898855302073E-2</v>
      </c>
      <c r="J2050" s="258">
        <f t="shared" ref="J2050:J2113" si="549">I2050</f>
        <v>1.7437898855302073E-2</v>
      </c>
      <c r="K2050" s="249">
        <f t="shared" ref="K2050:K2113" si="550">R2050*M2050</f>
        <v>3.4825669528546244</v>
      </c>
      <c r="L2050" s="336">
        <v>0.95245689574464787</v>
      </c>
      <c r="M2050" s="258">
        <f t="shared" ref="M2050:M2113" si="551">L2050</f>
        <v>0.95245689574464787</v>
      </c>
      <c r="N2050" s="251">
        <f t="shared" ref="N2050:N2113" si="552">P2050*R2050</f>
        <v>0.11001725238021752</v>
      </c>
      <c r="O2050" s="336">
        <v>3.0088923515031025E-2</v>
      </c>
      <c r="P2050" s="258">
        <f t="shared" ref="P2050:P2113" si="553">O2050</f>
        <v>3.0088923515031025E-2</v>
      </c>
      <c r="Q2050" s="354">
        <v>3.5708110465116283</v>
      </c>
      <c r="R2050" s="249">
        <f t="shared" ref="R2050:R2113" si="554">SUM(F2050*Q2050*1.0235,I2050*Q2050*1.0175,L2050*Q2050*1.0245,O2050*Q2050*1.0115)</f>
        <v>3.6564037369186049</v>
      </c>
      <c r="S2050" s="355">
        <v>0.1</v>
      </c>
      <c r="T2050" s="355"/>
      <c r="U2050" s="315">
        <f t="shared" si="543"/>
        <v>4.0220441106104659</v>
      </c>
      <c r="V2050" s="315">
        <f t="shared" si="544"/>
        <v>5</v>
      </c>
      <c r="W2050" s="316">
        <f t="shared" si="545"/>
        <v>0</v>
      </c>
    </row>
    <row r="2051" spans="1:23" x14ac:dyDescent="0.25">
      <c r="A2051" s="204" t="s">
        <v>17715</v>
      </c>
      <c r="B2051" s="351" t="s">
        <v>21752</v>
      </c>
      <c r="C2051" s="352"/>
      <c r="D2051" s="353" t="s">
        <v>14859</v>
      </c>
      <c r="E2051" s="249">
        <f t="shared" si="546"/>
        <v>0</v>
      </c>
      <c r="F2051" s="336">
        <v>0</v>
      </c>
      <c r="G2051" s="258">
        <f t="shared" si="547"/>
        <v>0</v>
      </c>
      <c r="H2051" s="249">
        <f t="shared" si="548"/>
        <v>10.96690755339692</v>
      </c>
      <c r="I2051" s="336">
        <v>1.7408859500263326E-2</v>
      </c>
      <c r="J2051" s="258">
        <f t="shared" si="549"/>
        <v>1.7408859500263326E-2</v>
      </c>
      <c r="K2051" s="249">
        <f t="shared" si="550"/>
        <v>600.07108898191814</v>
      </c>
      <c r="L2051" s="336">
        <v>0.95255232410712531</v>
      </c>
      <c r="M2051" s="258">
        <f t="shared" si="551"/>
        <v>0.95255232410712531</v>
      </c>
      <c r="N2051" s="251">
        <f t="shared" si="552"/>
        <v>18.923291464684883</v>
      </c>
      <c r="O2051" s="336">
        <v>3.0038816392611228E-2</v>
      </c>
      <c r="P2051" s="258">
        <f t="shared" si="553"/>
        <v>3.0038816392611228E-2</v>
      </c>
      <c r="Q2051" s="354">
        <v>615.20400000000006</v>
      </c>
      <c r="R2051" s="249">
        <f t="shared" si="554"/>
        <v>629.96128799999997</v>
      </c>
      <c r="S2051" s="355">
        <v>0.1</v>
      </c>
      <c r="T2051" s="355"/>
      <c r="U2051" s="315">
        <f t="shared" si="543"/>
        <v>692.95741679999992</v>
      </c>
      <c r="V2051" s="315">
        <f t="shared" si="544"/>
        <v>695</v>
      </c>
      <c r="W2051" s="316">
        <f t="shared" si="545"/>
        <v>0</v>
      </c>
    </row>
    <row r="2052" spans="1:23" x14ac:dyDescent="0.25">
      <c r="A2052" s="204" t="s">
        <v>17716</v>
      </c>
      <c r="B2052" s="351" t="s">
        <v>21753</v>
      </c>
      <c r="C2052" s="352"/>
      <c r="D2052" s="353" t="s">
        <v>5</v>
      </c>
      <c r="E2052" s="249">
        <f t="shared" si="546"/>
        <v>0</v>
      </c>
      <c r="F2052" s="336">
        <v>0</v>
      </c>
      <c r="G2052" s="258">
        <f t="shared" si="547"/>
        <v>0</v>
      </c>
      <c r="H2052" s="249">
        <f t="shared" si="548"/>
        <v>6.3760053486228735E-2</v>
      </c>
      <c r="I2052" s="336">
        <v>1.740885950026333E-2</v>
      </c>
      <c r="J2052" s="258">
        <f t="shared" si="549"/>
        <v>1.740885950026333E-2</v>
      </c>
      <c r="K2052" s="249">
        <f t="shared" si="550"/>
        <v>3.4886691300788026</v>
      </c>
      <c r="L2052" s="336">
        <v>0.95253606933635016</v>
      </c>
      <c r="M2052" s="258">
        <f t="shared" si="551"/>
        <v>0.95253606933635016</v>
      </c>
      <c r="N2052" s="251">
        <f t="shared" si="552"/>
        <v>0.11001734719192408</v>
      </c>
      <c r="O2052" s="336">
        <v>3.0038816392611228E-2</v>
      </c>
      <c r="P2052" s="258">
        <f t="shared" si="553"/>
        <v>3.0038816392611228E-2</v>
      </c>
      <c r="Q2052" s="354">
        <v>3.5767674418604654</v>
      </c>
      <c r="R2052" s="249">
        <f t="shared" si="554"/>
        <v>3.6625060639534883</v>
      </c>
      <c r="S2052" s="355">
        <v>0.1</v>
      </c>
      <c r="T2052" s="355"/>
      <c r="U2052" s="315">
        <f t="shared" si="543"/>
        <v>4.0287566703488373</v>
      </c>
      <c r="V2052" s="315">
        <f t="shared" si="544"/>
        <v>5</v>
      </c>
      <c r="W2052" s="316">
        <f t="shared" si="545"/>
        <v>0</v>
      </c>
    </row>
    <row r="2053" spans="1:23" x14ac:dyDescent="0.25">
      <c r="A2053" s="204" t="s">
        <v>17717</v>
      </c>
      <c r="B2053" s="351" t="s">
        <v>21754</v>
      </c>
      <c r="C2053" s="352"/>
      <c r="D2053" s="353" t="s">
        <v>14859</v>
      </c>
      <c r="E2053" s="249">
        <f t="shared" si="546"/>
        <v>0</v>
      </c>
      <c r="F2053" s="336">
        <v>0</v>
      </c>
      <c r="G2053" s="258">
        <f t="shared" si="547"/>
        <v>0</v>
      </c>
      <c r="H2053" s="249">
        <f t="shared" si="548"/>
        <v>10.96690755339692</v>
      </c>
      <c r="I2053" s="336">
        <v>1.7408859500263326E-2</v>
      </c>
      <c r="J2053" s="258">
        <f t="shared" si="549"/>
        <v>1.7408859500263326E-2</v>
      </c>
      <c r="K2053" s="249">
        <f t="shared" si="550"/>
        <v>600.07108898191814</v>
      </c>
      <c r="L2053" s="336">
        <v>0.95255232410712531</v>
      </c>
      <c r="M2053" s="258">
        <f t="shared" si="551"/>
        <v>0.95255232410712531</v>
      </c>
      <c r="N2053" s="251">
        <f t="shared" si="552"/>
        <v>18.923291464684883</v>
      </c>
      <c r="O2053" s="336">
        <v>3.0038816392611228E-2</v>
      </c>
      <c r="P2053" s="258">
        <f t="shared" si="553"/>
        <v>3.0038816392611228E-2</v>
      </c>
      <c r="Q2053" s="354">
        <v>615.20400000000006</v>
      </c>
      <c r="R2053" s="249">
        <f t="shared" si="554"/>
        <v>629.96128799999997</v>
      </c>
      <c r="S2053" s="355">
        <v>0.1</v>
      </c>
      <c r="T2053" s="355"/>
      <c r="U2053" s="315">
        <f t="shared" si="543"/>
        <v>692.95741679999992</v>
      </c>
      <c r="V2053" s="315">
        <f t="shared" si="544"/>
        <v>695</v>
      </c>
      <c r="W2053" s="316">
        <f t="shared" si="545"/>
        <v>0</v>
      </c>
    </row>
    <row r="2054" spans="1:23" x14ac:dyDescent="0.25">
      <c r="A2054" s="204" t="s">
        <v>17718</v>
      </c>
      <c r="B2054" s="351" t="s">
        <v>21755</v>
      </c>
      <c r="C2054" s="352"/>
      <c r="D2054" s="353" t="s">
        <v>5</v>
      </c>
      <c r="E2054" s="249">
        <f t="shared" si="546"/>
        <v>0</v>
      </c>
      <c r="F2054" s="336">
        <v>0</v>
      </c>
      <c r="G2054" s="258">
        <f t="shared" si="547"/>
        <v>0</v>
      </c>
      <c r="H2054" s="249">
        <f t="shared" si="548"/>
        <v>6.3760053486228735E-2</v>
      </c>
      <c r="I2054" s="336">
        <v>1.740885950026333E-2</v>
      </c>
      <c r="J2054" s="258">
        <f t="shared" si="549"/>
        <v>1.740885950026333E-2</v>
      </c>
      <c r="K2054" s="249">
        <f t="shared" si="550"/>
        <v>3.4886691300788026</v>
      </c>
      <c r="L2054" s="336">
        <v>0.95253606933635016</v>
      </c>
      <c r="M2054" s="258">
        <f t="shared" si="551"/>
        <v>0.95253606933635016</v>
      </c>
      <c r="N2054" s="251">
        <f t="shared" si="552"/>
        <v>0.11001734719192408</v>
      </c>
      <c r="O2054" s="336">
        <v>3.0038816392611228E-2</v>
      </c>
      <c r="P2054" s="258">
        <f t="shared" si="553"/>
        <v>3.0038816392611228E-2</v>
      </c>
      <c r="Q2054" s="354">
        <v>3.5767674418604654</v>
      </c>
      <c r="R2054" s="249">
        <f t="shared" si="554"/>
        <v>3.6625060639534883</v>
      </c>
      <c r="S2054" s="355">
        <v>0.1</v>
      </c>
      <c r="T2054" s="355"/>
      <c r="U2054" s="315">
        <f t="shared" si="543"/>
        <v>4.0287566703488373</v>
      </c>
      <c r="V2054" s="315">
        <f t="shared" si="544"/>
        <v>5</v>
      </c>
      <c r="W2054" s="316">
        <f t="shared" si="545"/>
        <v>0</v>
      </c>
    </row>
    <row r="2055" spans="1:23" x14ac:dyDescent="0.25">
      <c r="A2055" s="204" t="s">
        <v>17719</v>
      </c>
      <c r="B2055" s="351" t="s">
        <v>21756</v>
      </c>
      <c r="C2055" s="352"/>
      <c r="D2055" s="353" t="s">
        <v>14859</v>
      </c>
      <c r="E2055" s="249">
        <f t="shared" si="546"/>
        <v>0</v>
      </c>
      <c r="F2055" s="336">
        <v>0</v>
      </c>
      <c r="G2055" s="258">
        <f t="shared" si="547"/>
        <v>0</v>
      </c>
      <c r="H2055" s="249">
        <f t="shared" si="548"/>
        <v>10.96690755339692</v>
      </c>
      <c r="I2055" s="336">
        <v>1.7408859500263326E-2</v>
      </c>
      <c r="J2055" s="258">
        <f t="shared" si="549"/>
        <v>1.7408859500263326E-2</v>
      </c>
      <c r="K2055" s="249">
        <f t="shared" si="550"/>
        <v>600.07108898191814</v>
      </c>
      <c r="L2055" s="336">
        <v>0.95255232410712531</v>
      </c>
      <c r="M2055" s="258">
        <f t="shared" si="551"/>
        <v>0.95255232410712531</v>
      </c>
      <c r="N2055" s="251">
        <f t="shared" si="552"/>
        <v>18.923291464684883</v>
      </c>
      <c r="O2055" s="336">
        <v>3.0038816392611228E-2</v>
      </c>
      <c r="P2055" s="258">
        <f t="shared" si="553"/>
        <v>3.0038816392611228E-2</v>
      </c>
      <c r="Q2055" s="354">
        <v>615.20400000000006</v>
      </c>
      <c r="R2055" s="249">
        <f t="shared" si="554"/>
        <v>629.96128799999997</v>
      </c>
      <c r="S2055" s="355">
        <v>0.1</v>
      </c>
      <c r="T2055" s="355"/>
      <c r="U2055" s="315">
        <f t="shared" si="543"/>
        <v>692.95741679999992</v>
      </c>
      <c r="V2055" s="315">
        <f t="shared" si="544"/>
        <v>695</v>
      </c>
      <c r="W2055" s="316">
        <f t="shared" si="545"/>
        <v>0</v>
      </c>
    </row>
    <row r="2056" spans="1:23" x14ac:dyDescent="0.25">
      <c r="A2056" s="204" t="s">
        <v>17720</v>
      </c>
      <c r="B2056" s="351" t="s">
        <v>21757</v>
      </c>
      <c r="C2056" s="352"/>
      <c r="D2056" s="353" t="s">
        <v>5</v>
      </c>
      <c r="E2056" s="249">
        <f t="shared" si="546"/>
        <v>0</v>
      </c>
      <c r="F2056" s="336">
        <v>0</v>
      </c>
      <c r="G2056" s="258">
        <f t="shared" si="547"/>
        <v>0</v>
      </c>
      <c r="H2056" s="249">
        <f t="shared" si="548"/>
        <v>6.3760053486228735E-2</v>
      </c>
      <c r="I2056" s="336">
        <v>1.740885950026333E-2</v>
      </c>
      <c r="J2056" s="258">
        <f t="shared" si="549"/>
        <v>1.740885950026333E-2</v>
      </c>
      <c r="K2056" s="249">
        <f t="shared" si="550"/>
        <v>3.4886691300788026</v>
      </c>
      <c r="L2056" s="336">
        <v>0.95253606933635016</v>
      </c>
      <c r="M2056" s="258">
        <f t="shared" si="551"/>
        <v>0.95253606933635016</v>
      </c>
      <c r="N2056" s="251">
        <f t="shared" si="552"/>
        <v>0.11001734719192408</v>
      </c>
      <c r="O2056" s="336">
        <v>3.0038816392611228E-2</v>
      </c>
      <c r="P2056" s="258">
        <f t="shared" si="553"/>
        <v>3.0038816392611228E-2</v>
      </c>
      <c r="Q2056" s="354">
        <v>3.5767674418604654</v>
      </c>
      <c r="R2056" s="249">
        <f t="shared" si="554"/>
        <v>3.6625060639534883</v>
      </c>
      <c r="S2056" s="355">
        <v>0.1</v>
      </c>
      <c r="T2056" s="355"/>
      <c r="U2056" s="315">
        <f t="shared" si="543"/>
        <v>4.0287566703488373</v>
      </c>
      <c r="V2056" s="315">
        <f t="shared" si="544"/>
        <v>5</v>
      </c>
      <c r="W2056" s="316">
        <f t="shared" si="545"/>
        <v>0</v>
      </c>
    </row>
    <row r="2057" spans="1:23" x14ac:dyDescent="0.25">
      <c r="A2057" s="204" t="s">
        <v>17721</v>
      </c>
      <c r="B2057" s="351" t="s">
        <v>21758</v>
      </c>
      <c r="C2057" s="352"/>
      <c r="D2057" s="353" t="s">
        <v>14859</v>
      </c>
      <c r="E2057" s="249">
        <f t="shared" si="546"/>
        <v>0</v>
      </c>
      <c r="F2057" s="336">
        <v>0</v>
      </c>
      <c r="G2057" s="258">
        <f t="shared" si="547"/>
        <v>0</v>
      </c>
      <c r="H2057" s="249">
        <f t="shared" si="548"/>
        <v>10.96690755339692</v>
      </c>
      <c r="I2057" s="336">
        <v>1.7408859500263326E-2</v>
      </c>
      <c r="J2057" s="258">
        <f t="shared" si="549"/>
        <v>1.7408859500263326E-2</v>
      </c>
      <c r="K2057" s="249">
        <f t="shared" si="550"/>
        <v>600.07108898191814</v>
      </c>
      <c r="L2057" s="336">
        <v>0.95255232410712531</v>
      </c>
      <c r="M2057" s="258">
        <f t="shared" si="551"/>
        <v>0.95255232410712531</v>
      </c>
      <c r="N2057" s="251">
        <f t="shared" si="552"/>
        <v>18.923291464684883</v>
      </c>
      <c r="O2057" s="336">
        <v>3.0038816392611228E-2</v>
      </c>
      <c r="P2057" s="258">
        <f t="shared" si="553"/>
        <v>3.0038816392611228E-2</v>
      </c>
      <c r="Q2057" s="354">
        <v>615.20400000000006</v>
      </c>
      <c r="R2057" s="249">
        <f t="shared" si="554"/>
        <v>629.96128799999997</v>
      </c>
      <c r="S2057" s="355">
        <v>0.1</v>
      </c>
      <c r="T2057" s="355"/>
      <c r="U2057" s="315">
        <f t="shared" si="543"/>
        <v>692.95741679999992</v>
      </c>
      <c r="V2057" s="315">
        <f t="shared" si="544"/>
        <v>695</v>
      </c>
      <c r="W2057" s="316">
        <f t="shared" si="545"/>
        <v>0</v>
      </c>
    </row>
    <row r="2058" spans="1:23" x14ac:dyDescent="0.25">
      <c r="A2058" s="204" t="s">
        <v>17722</v>
      </c>
      <c r="B2058" s="351" t="s">
        <v>21759</v>
      </c>
      <c r="C2058" s="352"/>
      <c r="D2058" s="353" t="s">
        <v>5</v>
      </c>
      <c r="E2058" s="249">
        <f t="shared" si="546"/>
        <v>0</v>
      </c>
      <c r="F2058" s="336">
        <v>0</v>
      </c>
      <c r="G2058" s="258">
        <f t="shared" si="547"/>
        <v>0</v>
      </c>
      <c r="H2058" s="249">
        <f t="shared" si="548"/>
        <v>6.3760053486228735E-2</v>
      </c>
      <c r="I2058" s="336">
        <v>1.740885950026333E-2</v>
      </c>
      <c r="J2058" s="258">
        <f t="shared" si="549"/>
        <v>1.740885950026333E-2</v>
      </c>
      <c r="K2058" s="249">
        <f t="shared" si="550"/>
        <v>3.4886691300788026</v>
      </c>
      <c r="L2058" s="336">
        <v>0.95253606933635016</v>
      </c>
      <c r="M2058" s="258">
        <f t="shared" si="551"/>
        <v>0.95253606933635016</v>
      </c>
      <c r="N2058" s="251">
        <f t="shared" si="552"/>
        <v>0.11001734719192408</v>
      </c>
      <c r="O2058" s="336">
        <v>3.0038816392611228E-2</v>
      </c>
      <c r="P2058" s="258">
        <f t="shared" si="553"/>
        <v>3.0038816392611228E-2</v>
      </c>
      <c r="Q2058" s="354">
        <v>3.5767674418604654</v>
      </c>
      <c r="R2058" s="249">
        <f t="shared" si="554"/>
        <v>3.6625060639534883</v>
      </c>
      <c r="S2058" s="355">
        <v>0.1</v>
      </c>
      <c r="T2058" s="355"/>
      <c r="U2058" s="315">
        <f t="shared" si="543"/>
        <v>4.0287566703488373</v>
      </c>
      <c r="V2058" s="315">
        <f t="shared" si="544"/>
        <v>5</v>
      </c>
      <c r="W2058" s="316">
        <f t="shared" si="545"/>
        <v>0</v>
      </c>
    </row>
    <row r="2059" spans="1:23" x14ac:dyDescent="0.25">
      <c r="A2059" s="204" t="s">
        <v>17723</v>
      </c>
      <c r="B2059" s="351" t="s">
        <v>21760</v>
      </c>
      <c r="C2059" s="352"/>
      <c r="D2059" s="353" t="s">
        <v>14859</v>
      </c>
      <c r="E2059" s="249">
        <f t="shared" si="546"/>
        <v>0</v>
      </c>
      <c r="F2059" s="336">
        <v>0</v>
      </c>
      <c r="G2059" s="258">
        <f t="shared" si="547"/>
        <v>0</v>
      </c>
      <c r="H2059" s="249">
        <f t="shared" si="548"/>
        <v>10.966988583211421</v>
      </c>
      <c r="I2059" s="336">
        <v>1.7151793371336325E-2</v>
      </c>
      <c r="J2059" s="258">
        <f t="shared" si="549"/>
        <v>1.7151793371336325E-2</v>
      </c>
      <c r="K2059" s="249">
        <f t="shared" si="550"/>
        <v>609.51727038595322</v>
      </c>
      <c r="L2059" s="336">
        <v>0.95325295532125975</v>
      </c>
      <c r="M2059" s="258">
        <f t="shared" si="551"/>
        <v>0.95325295532125975</v>
      </c>
      <c r="N2059" s="251">
        <f t="shared" si="552"/>
        <v>18.923431280835395</v>
      </c>
      <c r="O2059" s="336">
        <v>2.9595251307403855E-2</v>
      </c>
      <c r="P2059" s="258">
        <f t="shared" si="553"/>
        <v>2.9595251307403855E-2</v>
      </c>
      <c r="Q2059" s="354">
        <v>624.42450000000008</v>
      </c>
      <c r="R2059" s="249">
        <f t="shared" si="554"/>
        <v>639.40769025000009</v>
      </c>
      <c r="S2059" s="355">
        <v>0.1</v>
      </c>
      <c r="T2059" s="355"/>
      <c r="U2059" s="315">
        <f t="shared" si="543"/>
        <v>703.3484592750001</v>
      </c>
      <c r="V2059" s="315">
        <f t="shared" si="544"/>
        <v>705</v>
      </c>
      <c r="W2059" s="316">
        <f t="shared" si="545"/>
        <v>0</v>
      </c>
    </row>
    <row r="2060" spans="1:23" x14ac:dyDescent="0.25">
      <c r="A2060" s="204" t="s">
        <v>17724</v>
      </c>
      <c r="B2060" s="351" t="s">
        <v>21761</v>
      </c>
      <c r="C2060" s="352"/>
      <c r="D2060" s="353" t="s">
        <v>5</v>
      </c>
      <c r="E2060" s="249">
        <f t="shared" si="546"/>
        <v>0</v>
      </c>
      <c r="F2060" s="336">
        <v>0</v>
      </c>
      <c r="G2060" s="258">
        <f t="shared" si="547"/>
        <v>0</v>
      </c>
      <c r="H2060" s="249">
        <f t="shared" si="548"/>
        <v>6.376053990167635E-2</v>
      </c>
      <c r="I2060" s="336">
        <v>1.7151793371336328E-2</v>
      </c>
      <c r="J2060" s="258">
        <f t="shared" si="549"/>
        <v>1.7151793371336328E-2</v>
      </c>
      <c r="K2060" s="249">
        <f t="shared" si="550"/>
        <v>3.5435887472180534</v>
      </c>
      <c r="L2060" s="336">
        <v>0.95323694057488129</v>
      </c>
      <c r="M2060" s="258">
        <f t="shared" si="551"/>
        <v>0.95323694057488129</v>
      </c>
      <c r="N2060" s="251">
        <f t="shared" si="552"/>
        <v>0.11001818649701016</v>
      </c>
      <c r="O2060" s="336">
        <v>2.9595251307403855E-2</v>
      </c>
      <c r="P2060" s="258">
        <f t="shared" si="553"/>
        <v>2.9595251307403855E-2</v>
      </c>
      <c r="Q2060" s="354">
        <v>3.6303750000000004</v>
      </c>
      <c r="R2060" s="249">
        <f t="shared" si="554"/>
        <v>3.717427007267442</v>
      </c>
      <c r="S2060" s="355">
        <v>0.1</v>
      </c>
      <c r="T2060" s="355"/>
      <c r="U2060" s="315">
        <f t="shared" si="543"/>
        <v>4.089169707994186</v>
      </c>
      <c r="V2060" s="315">
        <f t="shared" si="544"/>
        <v>5</v>
      </c>
      <c r="W2060" s="316">
        <f t="shared" si="545"/>
        <v>0</v>
      </c>
    </row>
    <row r="2061" spans="1:23" x14ac:dyDescent="0.25">
      <c r="A2061" s="204" t="s">
        <v>17725</v>
      </c>
      <c r="B2061" s="351" t="s">
        <v>21762</v>
      </c>
      <c r="C2061" s="352"/>
      <c r="D2061" s="353" t="s">
        <v>14859</v>
      </c>
      <c r="E2061" s="249">
        <f t="shared" si="546"/>
        <v>0</v>
      </c>
      <c r="F2061" s="336">
        <v>0</v>
      </c>
      <c r="G2061" s="258">
        <f t="shared" si="547"/>
        <v>0</v>
      </c>
      <c r="H2061" s="249">
        <f t="shared" si="548"/>
        <v>10.966988583211421</v>
      </c>
      <c r="I2061" s="336">
        <v>1.7151793371336325E-2</v>
      </c>
      <c r="J2061" s="258">
        <f t="shared" si="549"/>
        <v>1.7151793371336325E-2</v>
      </c>
      <c r="K2061" s="249">
        <f t="shared" si="550"/>
        <v>609.51727038595322</v>
      </c>
      <c r="L2061" s="336">
        <v>0.95325295532125975</v>
      </c>
      <c r="M2061" s="258">
        <f t="shared" si="551"/>
        <v>0.95325295532125975</v>
      </c>
      <c r="N2061" s="251">
        <f t="shared" si="552"/>
        <v>18.923431280835395</v>
      </c>
      <c r="O2061" s="336">
        <v>2.9595251307403855E-2</v>
      </c>
      <c r="P2061" s="258">
        <f t="shared" si="553"/>
        <v>2.9595251307403855E-2</v>
      </c>
      <c r="Q2061" s="354">
        <v>624.42450000000008</v>
      </c>
      <c r="R2061" s="249">
        <f t="shared" si="554"/>
        <v>639.40769025000009</v>
      </c>
      <c r="S2061" s="355">
        <v>0.1</v>
      </c>
      <c r="T2061" s="355"/>
      <c r="U2061" s="315">
        <f t="shared" si="543"/>
        <v>703.3484592750001</v>
      </c>
      <c r="V2061" s="315">
        <f t="shared" si="544"/>
        <v>705</v>
      </c>
      <c r="W2061" s="316">
        <f t="shared" si="545"/>
        <v>0</v>
      </c>
    </row>
    <row r="2062" spans="1:23" x14ac:dyDescent="0.25">
      <c r="A2062" s="204" t="s">
        <v>17726</v>
      </c>
      <c r="B2062" s="351" t="s">
        <v>21763</v>
      </c>
      <c r="C2062" s="352"/>
      <c r="D2062" s="353" t="s">
        <v>5</v>
      </c>
      <c r="E2062" s="249">
        <f t="shared" si="546"/>
        <v>0</v>
      </c>
      <c r="F2062" s="336">
        <v>0</v>
      </c>
      <c r="G2062" s="258">
        <f t="shared" si="547"/>
        <v>0</v>
      </c>
      <c r="H2062" s="249">
        <f t="shared" si="548"/>
        <v>6.376053990167635E-2</v>
      </c>
      <c r="I2062" s="336">
        <v>1.7151793371336328E-2</v>
      </c>
      <c r="J2062" s="258">
        <f t="shared" si="549"/>
        <v>1.7151793371336328E-2</v>
      </c>
      <c r="K2062" s="249">
        <f t="shared" si="550"/>
        <v>3.5435887472180534</v>
      </c>
      <c r="L2062" s="336">
        <v>0.95323694057488129</v>
      </c>
      <c r="M2062" s="258">
        <f t="shared" si="551"/>
        <v>0.95323694057488129</v>
      </c>
      <c r="N2062" s="251">
        <f t="shared" si="552"/>
        <v>0.11001818649701016</v>
      </c>
      <c r="O2062" s="336">
        <v>2.9595251307403855E-2</v>
      </c>
      <c r="P2062" s="258">
        <f t="shared" si="553"/>
        <v>2.9595251307403855E-2</v>
      </c>
      <c r="Q2062" s="354">
        <v>3.6303750000000004</v>
      </c>
      <c r="R2062" s="249">
        <f t="shared" si="554"/>
        <v>3.717427007267442</v>
      </c>
      <c r="S2062" s="355">
        <v>0.1</v>
      </c>
      <c r="T2062" s="355"/>
      <c r="U2062" s="315">
        <f t="shared" si="543"/>
        <v>4.089169707994186</v>
      </c>
      <c r="V2062" s="315">
        <f t="shared" si="544"/>
        <v>5</v>
      </c>
      <c r="W2062" s="316">
        <f t="shared" si="545"/>
        <v>0</v>
      </c>
    </row>
    <row r="2063" spans="1:23" x14ac:dyDescent="0.25">
      <c r="A2063" s="204" t="s">
        <v>17727</v>
      </c>
      <c r="B2063" s="351" t="s">
        <v>21764</v>
      </c>
      <c r="C2063" s="352"/>
      <c r="D2063" s="353" t="s">
        <v>14859</v>
      </c>
      <c r="E2063" s="249">
        <f t="shared" si="546"/>
        <v>0</v>
      </c>
      <c r="F2063" s="336">
        <v>0</v>
      </c>
      <c r="G2063" s="258">
        <f t="shared" si="547"/>
        <v>0</v>
      </c>
      <c r="H2063" s="249">
        <f t="shared" si="548"/>
        <v>10.967193406656266</v>
      </c>
      <c r="I2063" s="336">
        <v>1.6501993413069856E-2</v>
      </c>
      <c r="J2063" s="258">
        <f t="shared" si="549"/>
        <v>1.6501993413069856E-2</v>
      </c>
      <c r="K2063" s="249">
        <f t="shared" si="550"/>
        <v>634.70711814166225</v>
      </c>
      <c r="L2063" s="336">
        <v>0.95502397873692713</v>
      </c>
      <c r="M2063" s="258">
        <f t="shared" si="551"/>
        <v>0.95502397873692713</v>
      </c>
      <c r="N2063" s="251">
        <f t="shared" si="552"/>
        <v>18.923784701681399</v>
      </c>
      <c r="O2063" s="336">
        <v>2.8474027850002886E-2</v>
      </c>
      <c r="P2063" s="258">
        <f t="shared" si="553"/>
        <v>2.8474027850002886E-2</v>
      </c>
      <c r="Q2063" s="354">
        <v>649.01250000000005</v>
      </c>
      <c r="R2063" s="249">
        <f t="shared" si="554"/>
        <v>664.59809625000003</v>
      </c>
      <c r="S2063" s="355">
        <v>0.1</v>
      </c>
      <c r="T2063" s="355"/>
      <c r="U2063" s="315">
        <f t="shared" si="543"/>
        <v>731.05790587500007</v>
      </c>
      <c r="V2063" s="315">
        <f t="shared" si="544"/>
        <v>735</v>
      </c>
      <c r="W2063" s="316">
        <f t="shared" si="545"/>
        <v>0</v>
      </c>
    </row>
    <row r="2064" spans="1:23" x14ac:dyDescent="0.25">
      <c r="A2064" s="204" t="s">
        <v>17728</v>
      </c>
      <c r="B2064" s="351" t="s">
        <v>21765</v>
      </c>
      <c r="C2064" s="352"/>
      <c r="D2064" s="353" t="s">
        <v>5</v>
      </c>
      <c r="E2064" s="249">
        <f t="shared" si="546"/>
        <v>0</v>
      </c>
      <c r="F2064" s="336">
        <v>0</v>
      </c>
      <c r="G2064" s="258">
        <f t="shared" si="547"/>
        <v>0</v>
      </c>
      <c r="H2064" s="249">
        <f t="shared" si="548"/>
        <v>6.3761769440312491E-2</v>
      </c>
      <c r="I2064" s="336">
        <v>1.6501993413069856E-2</v>
      </c>
      <c r="J2064" s="258">
        <f t="shared" si="549"/>
        <v>1.6501993413069856E-2</v>
      </c>
      <c r="K2064" s="249">
        <f t="shared" si="550"/>
        <v>3.6900412438117356</v>
      </c>
      <c r="L2064" s="336">
        <v>0.95500857071319889</v>
      </c>
      <c r="M2064" s="258">
        <f t="shared" si="551"/>
        <v>0.95500857071319889</v>
      </c>
      <c r="N2064" s="251">
        <f t="shared" si="552"/>
        <v>0.11002030805387253</v>
      </c>
      <c r="O2064" s="336">
        <v>2.8474027850002886E-2</v>
      </c>
      <c r="P2064" s="258">
        <f t="shared" si="553"/>
        <v>2.8474027850002886E-2</v>
      </c>
      <c r="Q2064" s="354">
        <v>3.7733284883720932</v>
      </c>
      <c r="R2064" s="249">
        <f t="shared" si="554"/>
        <v>3.863882856104651</v>
      </c>
      <c r="S2064" s="355">
        <v>0.1</v>
      </c>
      <c r="T2064" s="355"/>
      <c r="U2064" s="315">
        <f t="shared" si="543"/>
        <v>4.2502711417151158</v>
      </c>
      <c r="V2064" s="315">
        <f t="shared" si="544"/>
        <v>5</v>
      </c>
      <c r="W2064" s="316">
        <f t="shared" si="545"/>
        <v>0</v>
      </c>
    </row>
    <row r="2065" spans="1:23" x14ac:dyDescent="0.25">
      <c r="A2065" s="204" t="s">
        <v>17729</v>
      </c>
      <c r="B2065" s="351" t="s">
        <v>21766</v>
      </c>
      <c r="C2065" s="352"/>
      <c r="D2065" s="353" t="s">
        <v>14859</v>
      </c>
      <c r="E2065" s="249">
        <f t="shared" si="546"/>
        <v>0</v>
      </c>
      <c r="F2065" s="336">
        <v>0</v>
      </c>
      <c r="G2065" s="258">
        <f t="shared" si="547"/>
        <v>0</v>
      </c>
      <c r="H2065" s="249">
        <f t="shared" si="548"/>
        <v>10.967088567802069</v>
      </c>
      <c r="I2065" s="336">
        <v>1.6834593439066944E-2</v>
      </c>
      <c r="J2065" s="258">
        <f t="shared" si="549"/>
        <v>1.6834593439066944E-2</v>
      </c>
      <c r="K2065" s="249">
        <f t="shared" si="550"/>
        <v>621.57075262893147</v>
      </c>
      <c r="L2065" s="336">
        <v>0.95411748062685664</v>
      </c>
      <c r="M2065" s="258">
        <f t="shared" si="551"/>
        <v>0.95411748062685664</v>
      </c>
      <c r="N2065" s="251">
        <f t="shared" si="552"/>
        <v>18.923603803266317</v>
      </c>
      <c r="O2065" s="336">
        <v>2.9047925934076298E-2</v>
      </c>
      <c r="P2065" s="258">
        <f t="shared" si="553"/>
        <v>2.9047925934076298E-2</v>
      </c>
      <c r="Q2065" s="354">
        <v>636.19000000000005</v>
      </c>
      <c r="R2065" s="249">
        <f t="shared" si="554"/>
        <v>651.46144499999991</v>
      </c>
      <c r="S2065" s="355">
        <v>0.1</v>
      </c>
      <c r="T2065" s="355"/>
      <c r="U2065" s="315">
        <f t="shared" si="543"/>
        <v>716.6075894999999</v>
      </c>
      <c r="V2065" s="315">
        <f t="shared" si="544"/>
        <v>720</v>
      </c>
      <c r="W2065" s="316">
        <f t="shared" si="545"/>
        <v>0</v>
      </c>
    </row>
    <row r="2066" spans="1:23" x14ac:dyDescent="0.25">
      <c r="A2066" s="204" t="s">
        <v>17730</v>
      </c>
      <c r="B2066" s="351" t="s">
        <v>21767</v>
      </c>
      <c r="C2066" s="352"/>
      <c r="D2066" s="353" t="s">
        <v>5</v>
      </c>
      <c r="E2066" s="249">
        <f t="shared" si="546"/>
        <v>0</v>
      </c>
      <c r="F2066" s="336">
        <v>0</v>
      </c>
      <c r="G2066" s="258">
        <f t="shared" si="547"/>
        <v>0</v>
      </c>
      <c r="H2066" s="249">
        <f t="shared" si="548"/>
        <v>6.3761140101117955E-2</v>
      </c>
      <c r="I2066" s="336">
        <v>1.6834593439066944E-2</v>
      </c>
      <c r="J2066" s="258">
        <f t="shared" si="549"/>
        <v>1.6834593439066944E-2</v>
      </c>
      <c r="K2066" s="249">
        <f t="shared" si="550"/>
        <v>3.6136670802966933</v>
      </c>
      <c r="L2066" s="336">
        <v>0.95410176205221708</v>
      </c>
      <c r="M2066" s="258">
        <f t="shared" si="551"/>
        <v>0.95410176205221708</v>
      </c>
      <c r="N2066" s="251">
        <f t="shared" si="552"/>
        <v>0.11001922213526236</v>
      </c>
      <c r="O2066" s="336">
        <v>2.9047925934076298E-2</v>
      </c>
      <c r="P2066" s="258">
        <f t="shared" si="553"/>
        <v>2.9047925934076298E-2</v>
      </c>
      <c r="Q2066" s="354">
        <v>3.6987790697674421</v>
      </c>
      <c r="R2066" s="249">
        <f t="shared" si="554"/>
        <v>3.787506976744186</v>
      </c>
      <c r="S2066" s="355">
        <v>0.1</v>
      </c>
      <c r="T2066" s="355"/>
      <c r="U2066" s="315">
        <f t="shared" si="543"/>
        <v>4.1662576744186044</v>
      </c>
      <c r="V2066" s="315">
        <f t="shared" si="544"/>
        <v>5</v>
      </c>
      <c r="W2066" s="316">
        <f t="shared" si="545"/>
        <v>0</v>
      </c>
    </row>
    <row r="2067" spans="1:23" x14ac:dyDescent="0.25">
      <c r="A2067" s="204" t="s">
        <v>17731</v>
      </c>
      <c r="B2067" s="351" t="s">
        <v>21768</v>
      </c>
      <c r="C2067" s="352"/>
      <c r="D2067" s="353" t="s">
        <v>14859</v>
      </c>
      <c r="E2067" s="249">
        <f t="shared" si="546"/>
        <v>0</v>
      </c>
      <c r="F2067" s="336">
        <v>0</v>
      </c>
      <c r="G2067" s="258">
        <f t="shared" si="547"/>
        <v>0</v>
      </c>
      <c r="H2067" s="249">
        <f t="shared" si="548"/>
        <v>10.967274240509209</v>
      </c>
      <c r="I2067" s="336">
        <v>1.6245548969863823E-2</v>
      </c>
      <c r="J2067" s="258">
        <f t="shared" si="549"/>
        <v>1.6245548969863823E-2</v>
      </c>
      <c r="K2067" s="249">
        <f t="shared" si="550"/>
        <v>645.20290032978869</v>
      </c>
      <c r="L2067" s="336">
        <v>0.95572291555272404</v>
      </c>
      <c r="M2067" s="258">
        <f t="shared" si="551"/>
        <v>0.95572291555272404</v>
      </c>
      <c r="N2067" s="251">
        <f t="shared" si="552"/>
        <v>18.923924179702166</v>
      </c>
      <c r="O2067" s="336">
        <v>2.8031535477412089E-2</v>
      </c>
      <c r="P2067" s="258">
        <f t="shared" si="553"/>
        <v>2.8031535477412089E-2</v>
      </c>
      <c r="Q2067" s="354">
        <v>659.25750000000005</v>
      </c>
      <c r="R2067" s="249">
        <f t="shared" si="554"/>
        <v>675.09409875000006</v>
      </c>
      <c r="S2067" s="355">
        <v>0.1</v>
      </c>
      <c r="T2067" s="355"/>
      <c r="U2067" s="315">
        <f t="shared" si="543"/>
        <v>742.60350862500002</v>
      </c>
      <c r="V2067" s="315">
        <f t="shared" si="544"/>
        <v>745</v>
      </c>
      <c r="W2067" s="316">
        <f t="shared" si="545"/>
        <v>0</v>
      </c>
    </row>
    <row r="2068" spans="1:23" x14ac:dyDescent="0.25">
      <c r="A2068" s="204" t="s">
        <v>17732</v>
      </c>
      <c r="B2068" s="351" t="s">
        <v>21769</v>
      </c>
      <c r="C2068" s="352"/>
      <c r="D2068" s="353" t="s">
        <v>5</v>
      </c>
      <c r="E2068" s="249">
        <f t="shared" si="546"/>
        <v>0</v>
      </c>
      <c r="F2068" s="336">
        <v>0</v>
      </c>
      <c r="G2068" s="258">
        <f t="shared" si="547"/>
        <v>0</v>
      </c>
      <c r="H2068" s="249">
        <f t="shared" si="548"/>
        <v>6.3762254679418692E-2</v>
      </c>
      <c r="I2068" s="336">
        <v>1.6245548969863827E-2</v>
      </c>
      <c r="J2068" s="258">
        <f t="shared" si="549"/>
        <v>1.6245548969863827E-2</v>
      </c>
      <c r="K2068" s="249">
        <f t="shared" si="550"/>
        <v>3.751063191193075</v>
      </c>
      <c r="L2068" s="336">
        <v>0.95570774697292027</v>
      </c>
      <c r="M2068" s="258">
        <f t="shared" si="551"/>
        <v>0.95570774697292027</v>
      </c>
      <c r="N2068" s="251">
        <f t="shared" si="552"/>
        <v>0.11002114532919301</v>
      </c>
      <c r="O2068" s="336">
        <v>2.8031535477412089E-2</v>
      </c>
      <c r="P2068" s="258">
        <f t="shared" si="553"/>
        <v>2.8031535477412089E-2</v>
      </c>
      <c r="Q2068" s="354">
        <v>3.8328924418604653</v>
      </c>
      <c r="R2068" s="249">
        <f t="shared" si="554"/>
        <v>3.9249061264534881</v>
      </c>
      <c r="S2068" s="355">
        <v>0.1</v>
      </c>
      <c r="T2068" s="355"/>
      <c r="U2068" s="315">
        <f t="shared" si="543"/>
        <v>4.3173967390988368</v>
      </c>
      <c r="V2068" s="315">
        <f t="shared" si="544"/>
        <v>5</v>
      </c>
      <c r="W2068" s="316">
        <f t="shared" si="545"/>
        <v>0</v>
      </c>
    </row>
    <row r="2069" spans="1:23" x14ac:dyDescent="0.25">
      <c r="A2069" s="204" t="s">
        <v>17733</v>
      </c>
      <c r="B2069" s="351" t="s">
        <v>21770</v>
      </c>
      <c r="C2069" s="352"/>
      <c r="D2069" s="353" t="s">
        <v>14859</v>
      </c>
      <c r="E2069" s="249">
        <f t="shared" si="546"/>
        <v>0</v>
      </c>
      <c r="F2069" s="336">
        <v>0</v>
      </c>
      <c r="G2069" s="258">
        <f t="shared" si="547"/>
        <v>0</v>
      </c>
      <c r="H2069" s="249">
        <f t="shared" si="548"/>
        <v>10.967274240509209</v>
      </c>
      <c r="I2069" s="336">
        <v>1.6245548969863823E-2</v>
      </c>
      <c r="J2069" s="258">
        <f t="shared" si="549"/>
        <v>1.6245548969863823E-2</v>
      </c>
      <c r="K2069" s="249">
        <f t="shared" si="550"/>
        <v>645.20290032978869</v>
      </c>
      <c r="L2069" s="336">
        <v>0.95572291555272404</v>
      </c>
      <c r="M2069" s="258">
        <f t="shared" si="551"/>
        <v>0.95572291555272404</v>
      </c>
      <c r="N2069" s="251">
        <f t="shared" si="552"/>
        <v>18.923924179702166</v>
      </c>
      <c r="O2069" s="336">
        <v>2.8031535477412089E-2</v>
      </c>
      <c r="P2069" s="258">
        <f t="shared" si="553"/>
        <v>2.8031535477412089E-2</v>
      </c>
      <c r="Q2069" s="354">
        <v>659.25750000000005</v>
      </c>
      <c r="R2069" s="249">
        <f t="shared" si="554"/>
        <v>675.09409875000006</v>
      </c>
      <c r="S2069" s="355">
        <v>0.1</v>
      </c>
      <c r="T2069" s="355"/>
      <c r="U2069" s="315">
        <f t="shared" si="543"/>
        <v>742.60350862500002</v>
      </c>
      <c r="V2069" s="315">
        <f t="shared" si="544"/>
        <v>745</v>
      </c>
      <c r="W2069" s="316">
        <f t="shared" si="545"/>
        <v>0</v>
      </c>
    </row>
    <row r="2070" spans="1:23" x14ac:dyDescent="0.25">
      <c r="A2070" s="204" t="s">
        <v>17734</v>
      </c>
      <c r="B2070" s="351" t="s">
        <v>21771</v>
      </c>
      <c r="C2070" s="352"/>
      <c r="D2070" s="353" t="s">
        <v>5</v>
      </c>
      <c r="E2070" s="249">
        <f t="shared" si="546"/>
        <v>0</v>
      </c>
      <c r="F2070" s="336">
        <v>0</v>
      </c>
      <c r="G2070" s="258">
        <f t="shared" si="547"/>
        <v>0</v>
      </c>
      <c r="H2070" s="249">
        <f t="shared" si="548"/>
        <v>6.3762254679418692E-2</v>
      </c>
      <c r="I2070" s="336">
        <v>1.6245548969863827E-2</v>
      </c>
      <c r="J2070" s="258">
        <f t="shared" si="549"/>
        <v>1.6245548969863827E-2</v>
      </c>
      <c r="K2070" s="249">
        <f t="shared" si="550"/>
        <v>3.751063191193075</v>
      </c>
      <c r="L2070" s="336">
        <v>0.95570774697292027</v>
      </c>
      <c r="M2070" s="258">
        <f t="shared" si="551"/>
        <v>0.95570774697292027</v>
      </c>
      <c r="N2070" s="251">
        <f t="shared" si="552"/>
        <v>0.11002114532919301</v>
      </c>
      <c r="O2070" s="336">
        <v>2.8031535477412089E-2</v>
      </c>
      <c r="P2070" s="258">
        <f t="shared" si="553"/>
        <v>2.8031535477412089E-2</v>
      </c>
      <c r="Q2070" s="354">
        <v>3.8328924418604653</v>
      </c>
      <c r="R2070" s="249">
        <f t="shared" si="554"/>
        <v>3.9249061264534881</v>
      </c>
      <c r="S2070" s="355">
        <v>0.1</v>
      </c>
      <c r="T2070" s="355"/>
      <c r="U2070" s="315">
        <f t="shared" si="543"/>
        <v>4.3173967390988368</v>
      </c>
      <c r="V2070" s="315">
        <f t="shared" si="544"/>
        <v>5</v>
      </c>
      <c r="W2070" s="316">
        <f t="shared" si="545"/>
        <v>0</v>
      </c>
    </row>
    <row r="2071" spans="1:23" x14ac:dyDescent="0.25">
      <c r="A2071" s="204" t="s">
        <v>17735</v>
      </c>
      <c r="B2071" s="351" t="s">
        <v>21772</v>
      </c>
      <c r="C2071" s="352"/>
      <c r="D2071" s="353" t="s">
        <v>14859</v>
      </c>
      <c r="E2071" s="249">
        <f t="shared" si="546"/>
        <v>0</v>
      </c>
      <c r="F2071" s="336">
        <v>0</v>
      </c>
      <c r="G2071" s="258">
        <f t="shared" si="547"/>
        <v>0</v>
      </c>
      <c r="H2071" s="249">
        <f t="shared" si="548"/>
        <v>10.967473107347411</v>
      </c>
      <c r="I2071" s="336">
        <v>1.561464627577565E-2</v>
      </c>
      <c r="J2071" s="258">
        <f t="shared" si="549"/>
        <v>1.561464627577565E-2</v>
      </c>
      <c r="K2071" s="249">
        <f t="shared" si="550"/>
        <v>672.49196482017055</v>
      </c>
      <c r="L2071" s="336">
        <v>0.95744243466014078</v>
      </c>
      <c r="M2071" s="258">
        <f t="shared" si="551"/>
        <v>0.95744243466014078</v>
      </c>
      <c r="N2071" s="251">
        <f t="shared" si="552"/>
        <v>18.924267322481807</v>
      </c>
      <c r="O2071" s="336">
        <v>2.694291906408347E-2</v>
      </c>
      <c r="P2071" s="258">
        <f t="shared" si="553"/>
        <v>2.694291906408347E-2</v>
      </c>
      <c r="Q2071" s="354">
        <v>685.89449999999999</v>
      </c>
      <c r="R2071" s="249">
        <f t="shared" si="554"/>
        <v>702.38370524999982</v>
      </c>
      <c r="S2071" s="355">
        <v>0.1</v>
      </c>
      <c r="T2071" s="355"/>
      <c r="U2071" s="315">
        <f t="shared" si="543"/>
        <v>772.62207577499976</v>
      </c>
      <c r="V2071" s="315">
        <f t="shared" si="544"/>
        <v>775</v>
      </c>
      <c r="W2071" s="316">
        <f t="shared" si="545"/>
        <v>0</v>
      </c>
    </row>
    <row r="2072" spans="1:23" x14ac:dyDescent="0.25">
      <c r="A2072" s="204" t="s">
        <v>17736</v>
      </c>
      <c r="B2072" s="351" t="s">
        <v>21773</v>
      </c>
      <c r="C2072" s="352"/>
      <c r="D2072" s="353" t="s">
        <v>5</v>
      </c>
      <c r="E2072" s="249">
        <f t="shared" si="546"/>
        <v>0</v>
      </c>
      <c r="F2072" s="336">
        <v>0</v>
      </c>
      <c r="G2072" s="258">
        <f t="shared" si="547"/>
        <v>0</v>
      </c>
      <c r="H2072" s="249">
        <f t="shared" si="548"/>
        <v>6.3763448461025093E-2</v>
      </c>
      <c r="I2072" s="336">
        <v>1.561464627577565E-2</v>
      </c>
      <c r="J2072" s="258">
        <f t="shared" si="549"/>
        <v>1.561464627577565E-2</v>
      </c>
      <c r="K2072" s="249">
        <f t="shared" si="550"/>
        <v>3.9097204393453442</v>
      </c>
      <c r="L2072" s="336">
        <v>0.95742785515848272</v>
      </c>
      <c r="M2072" s="258">
        <f t="shared" si="551"/>
        <v>0.95742785515848272</v>
      </c>
      <c r="N2072" s="251">
        <f t="shared" si="552"/>
        <v>0.11002320518765114</v>
      </c>
      <c r="O2072" s="336">
        <v>2.6942919064083474E-2</v>
      </c>
      <c r="P2072" s="258">
        <f t="shared" si="553"/>
        <v>2.6942919064083474E-2</v>
      </c>
      <c r="Q2072" s="354">
        <v>3.9877587209302323</v>
      </c>
      <c r="R2072" s="249">
        <f t="shared" si="554"/>
        <v>4.0835666293604644</v>
      </c>
      <c r="S2072" s="355">
        <v>0.1</v>
      </c>
      <c r="T2072" s="355"/>
      <c r="U2072" s="315">
        <f t="shared" si="543"/>
        <v>4.4919232922965104</v>
      </c>
      <c r="V2072" s="315">
        <f t="shared" si="544"/>
        <v>5</v>
      </c>
      <c r="W2072" s="316">
        <f t="shared" si="545"/>
        <v>0</v>
      </c>
    </row>
    <row r="2073" spans="1:23" x14ac:dyDescent="0.25">
      <c r="A2073" s="204" t="s">
        <v>17737</v>
      </c>
      <c r="B2073" s="351" t="s">
        <v>21774</v>
      </c>
      <c r="C2073" s="352"/>
      <c r="D2073" s="353" t="s">
        <v>14859</v>
      </c>
      <c r="E2073" s="249">
        <f t="shared" si="546"/>
        <v>0</v>
      </c>
      <c r="F2073" s="336">
        <v>0</v>
      </c>
      <c r="G2073" s="258">
        <f t="shared" si="547"/>
        <v>0</v>
      </c>
      <c r="H2073" s="249">
        <f t="shared" si="548"/>
        <v>10.967608934586593</v>
      </c>
      <c r="I2073" s="336">
        <v>1.5183735964613814E-2</v>
      </c>
      <c r="J2073" s="258">
        <f t="shared" si="549"/>
        <v>1.5183735964613814E-2</v>
      </c>
      <c r="K2073" s="249">
        <f t="shared" si="550"/>
        <v>692.43399937436197</v>
      </c>
      <c r="L2073" s="336">
        <v>0.9586168764886015</v>
      </c>
      <c r="M2073" s="258">
        <f t="shared" si="551"/>
        <v>0.9586168764886015</v>
      </c>
      <c r="N2073" s="251">
        <f t="shared" si="552"/>
        <v>18.924501691051379</v>
      </c>
      <c r="O2073" s="336">
        <v>2.6199387546784622E-2</v>
      </c>
      <c r="P2073" s="258">
        <f t="shared" si="553"/>
        <v>2.6199387546784622E-2</v>
      </c>
      <c r="Q2073" s="354">
        <v>705.36</v>
      </c>
      <c r="R2073" s="249">
        <f t="shared" si="554"/>
        <v>722.32610999999997</v>
      </c>
      <c r="S2073" s="355">
        <v>0.1</v>
      </c>
      <c r="T2073" s="355"/>
      <c r="U2073" s="315">
        <f t="shared" si="543"/>
        <v>794.55872099999999</v>
      </c>
      <c r="V2073" s="315">
        <f t="shared" si="544"/>
        <v>795</v>
      </c>
      <c r="W2073" s="316">
        <f t="shared" si="545"/>
        <v>0</v>
      </c>
    </row>
    <row r="2074" spans="1:23" x14ac:dyDescent="0.25">
      <c r="A2074" s="204" t="s">
        <v>17738</v>
      </c>
      <c r="B2074" s="351" t="s">
        <v>21775</v>
      </c>
      <c r="C2074" s="352"/>
      <c r="D2074" s="353" t="s">
        <v>5</v>
      </c>
      <c r="E2074" s="249">
        <f t="shared" si="546"/>
        <v>0</v>
      </c>
      <c r="F2074" s="336">
        <v>0</v>
      </c>
      <c r="G2074" s="258">
        <f t="shared" si="547"/>
        <v>0</v>
      </c>
      <c r="H2074" s="249">
        <f t="shared" si="548"/>
        <v>6.3764263820997882E-2</v>
      </c>
      <c r="I2074" s="336">
        <v>1.5183735964613814E-2</v>
      </c>
      <c r="J2074" s="258">
        <f t="shared" si="549"/>
        <v>1.5183735964613814E-2</v>
      </c>
      <c r="K2074" s="249">
        <f t="shared" si="550"/>
        <v>4.0256624299912156</v>
      </c>
      <c r="L2074" s="336">
        <v>0.95860269933083797</v>
      </c>
      <c r="M2074" s="258">
        <f t="shared" si="551"/>
        <v>0.95860269933083797</v>
      </c>
      <c r="N2074" s="251">
        <f t="shared" si="552"/>
        <v>0.11002461208329047</v>
      </c>
      <c r="O2074" s="336">
        <v>2.6199387546784619E-2</v>
      </c>
      <c r="P2074" s="258">
        <f t="shared" si="553"/>
        <v>2.6199387546784619E-2</v>
      </c>
      <c r="Q2074" s="354">
        <v>4.1009302325581398</v>
      </c>
      <c r="R2074" s="249">
        <f t="shared" si="554"/>
        <v>4.1995108430232557</v>
      </c>
      <c r="S2074" s="355">
        <v>0.1</v>
      </c>
      <c r="T2074" s="355"/>
      <c r="U2074" s="315">
        <f t="shared" si="543"/>
        <v>4.619461927325581</v>
      </c>
      <c r="V2074" s="315">
        <f t="shared" si="544"/>
        <v>5</v>
      </c>
      <c r="W2074" s="316">
        <f t="shared" si="545"/>
        <v>0</v>
      </c>
    </row>
    <row r="2075" spans="1:23" x14ac:dyDescent="0.25">
      <c r="A2075" s="204" t="s">
        <v>17739</v>
      </c>
      <c r="B2075" s="351" t="s">
        <v>21776</v>
      </c>
      <c r="C2075" s="352"/>
      <c r="D2075" s="353" t="s">
        <v>14859</v>
      </c>
      <c r="E2075" s="249">
        <f t="shared" si="546"/>
        <v>0</v>
      </c>
      <c r="F2075" s="336">
        <v>0</v>
      </c>
      <c r="G2075" s="258">
        <f t="shared" si="547"/>
        <v>0</v>
      </c>
      <c r="H2075" s="249">
        <f t="shared" si="548"/>
        <v>10.967608934586593</v>
      </c>
      <c r="I2075" s="336">
        <v>1.5183735964613814E-2</v>
      </c>
      <c r="J2075" s="258">
        <f t="shared" si="549"/>
        <v>1.5183735964613814E-2</v>
      </c>
      <c r="K2075" s="249">
        <f t="shared" si="550"/>
        <v>692.43399937436197</v>
      </c>
      <c r="L2075" s="336">
        <v>0.9586168764886015</v>
      </c>
      <c r="M2075" s="258">
        <f t="shared" si="551"/>
        <v>0.9586168764886015</v>
      </c>
      <c r="N2075" s="251">
        <f t="shared" si="552"/>
        <v>18.924501691051379</v>
      </c>
      <c r="O2075" s="336">
        <v>2.6199387546784622E-2</v>
      </c>
      <c r="P2075" s="258">
        <f t="shared" si="553"/>
        <v>2.6199387546784622E-2</v>
      </c>
      <c r="Q2075" s="354">
        <v>705.36</v>
      </c>
      <c r="R2075" s="249">
        <f t="shared" si="554"/>
        <v>722.32610999999997</v>
      </c>
      <c r="S2075" s="355">
        <v>0.1</v>
      </c>
      <c r="T2075" s="355"/>
      <c r="U2075" s="315">
        <f t="shared" si="543"/>
        <v>794.55872099999999</v>
      </c>
      <c r="V2075" s="315">
        <f t="shared" si="544"/>
        <v>795</v>
      </c>
      <c r="W2075" s="316">
        <f t="shared" si="545"/>
        <v>0</v>
      </c>
    </row>
    <row r="2076" spans="1:23" x14ac:dyDescent="0.25">
      <c r="A2076" s="204" t="s">
        <v>17740</v>
      </c>
      <c r="B2076" s="351" t="s">
        <v>21777</v>
      </c>
      <c r="C2076" s="352"/>
      <c r="D2076" s="353" t="s">
        <v>5</v>
      </c>
      <c r="E2076" s="249">
        <f t="shared" si="546"/>
        <v>0</v>
      </c>
      <c r="F2076" s="336">
        <v>0</v>
      </c>
      <c r="G2076" s="258">
        <f t="shared" si="547"/>
        <v>0</v>
      </c>
      <c r="H2076" s="249">
        <f t="shared" si="548"/>
        <v>6.3764263820997882E-2</v>
      </c>
      <c r="I2076" s="336">
        <v>1.5183735964613814E-2</v>
      </c>
      <c r="J2076" s="258">
        <f t="shared" si="549"/>
        <v>1.5183735964613814E-2</v>
      </c>
      <c r="K2076" s="249">
        <f t="shared" si="550"/>
        <v>4.0256624299912156</v>
      </c>
      <c r="L2076" s="336">
        <v>0.95860269933083797</v>
      </c>
      <c r="M2076" s="258">
        <f t="shared" si="551"/>
        <v>0.95860269933083797</v>
      </c>
      <c r="N2076" s="251">
        <f t="shared" si="552"/>
        <v>0.11002461208329047</v>
      </c>
      <c r="O2076" s="336">
        <v>2.6199387546784619E-2</v>
      </c>
      <c r="P2076" s="258">
        <f t="shared" si="553"/>
        <v>2.6199387546784619E-2</v>
      </c>
      <c r="Q2076" s="354">
        <v>4.1009302325581398</v>
      </c>
      <c r="R2076" s="249">
        <f t="shared" si="554"/>
        <v>4.1995108430232557</v>
      </c>
      <c r="S2076" s="355">
        <v>0.1</v>
      </c>
      <c r="T2076" s="355"/>
      <c r="U2076" s="315">
        <f t="shared" si="543"/>
        <v>4.619461927325581</v>
      </c>
      <c r="V2076" s="315">
        <f t="shared" si="544"/>
        <v>5</v>
      </c>
      <c r="W2076" s="316">
        <f t="shared" si="545"/>
        <v>0</v>
      </c>
    </row>
    <row r="2077" spans="1:23" x14ac:dyDescent="0.25">
      <c r="A2077" s="204" t="s">
        <v>17741</v>
      </c>
      <c r="B2077" s="351" t="s">
        <v>21778</v>
      </c>
      <c r="C2077" s="352"/>
      <c r="D2077" s="353" t="s">
        <v>14859</v>
      </c>
      <c r="E2077" s="249">
        <f t="shared" si="546"/>
        <v>0</v>
      </c>
      <c r="F2077" s="336">
        <v>0</v>
      </c>
      <c r="G2077" s="258">
        <f t="shared" si="547"/>
        <v>0</v>
      </c>
      <c r="H2077" s="249">
        <f t="shared" si="548"/>
        <v>10.967608934586593</v>
      </c>
      <c r="I2077" s="336">
        <v>1.5183735964613814E-2</v>
      </c>
      <c r="J2077" s="258">
        <f t="shared" si="549"/>
        <v>1.5183735964613814E-2</v>
      </c>
      <c r="K2077" s="249">
        <f t="shared" si="550"/>
        <v>692.43399937436197</v>
      </c>
      <c r="L2077" s="336">
        <v>0.9586168764886015</v>
      </c>
      <c r="M2077" s="258">
        <f t="shared" si="551"/>
        <v>0.9586168764886015</v>
      </c>
      <c r="N2077" s="251">
        <f t="shared" si="552"/>
        <v>18.924501691051379</v>
      </c>
      <c r="O2077" s="336">
        <v>2.6199387546784622E-2</v>
      </c>
      <c r="P2077" s="258">
        <f t="shared" si="553"/>
        <v>2.6199387546784622E-2</v>
      </c>
      <c r="Q2077" s="354">
        <v>705.36</v>
      </c>
      <c r="R2077" s="249">
        <f t="shared" si="554"/>
        <v>722.32610999999997</v>
      </c>
      <c r="S2077" s="355">
        <v>0.1</v>
      </c>
      <c r="T2077" s="355"/>
      <c r="U2077" s="315">
        <f t="shared" si="543"/>
        <v>794.55872099999999</v>
      </c>
      <c r="V2077" s="315">
        <f t="shared" si="544"/>
        <v>795</v>
      </c>
      <c r="W2077" s="316">
        <f t="shared" si="545"/>
        <v>0</v>
      </c>
    </row>
    <row r="2078" spans="1:23" x14ac:dyDescent="0.25">
      <c r="A2078" s="204" t="s">
        <v>17742</v>
      </c>
      <c r="B2078" s="351" t="s">
        <v>21779</v>
      </c>
      <c r="C2078" s="352"/>
      <c r="D2078" s="353" t="s">
        <v>5</v>
      </c>
      <c r="E2078" s="249">
        <f t="shared" si="546"/>
        <v>0</v>
      </c>
      <c r="F2078" s="336">
        <v>0</v>
      </c>
      <c r="G2078" s="258">
        <f t="shared" si="547"/>
        <v>0</v>
      </c>
      <c r="H2078" s="249">
        <f t="shared" si="548"/>
        <v>6.3764263820997882E-2</v>
      </c>
      <c r="I2078" s="336">
        <v>1.5183735964613814E-2</v>
      </c>
      <c r="J2078" s="258">
        <f t="shared" si="549"/>
        <v>1.5183735964613814E-2</v>
      </c>
      <c r="K2078" s="249">
        <f t="shared" si="550"/>
        <v>4.0256624299912156</v>
      </c>
      <c r="L2078" s="336">
        <v>0.95860269933083797</v>
      </c>
      <c r="M2078" s="258">
        <f t="shared" si="551"/>
        <v>0.95860269933083797</v>
      </c>
      <c r="N2078" s="251">
        <f t="shared" si="552"/>
        <v>0.11002461208329047</v>
      </c>
      <c r="O2078" s="336">
        <v>2.6199387546784619E-2</v>
      </c>
      <c r="P2078" s="258">
        <f t="shared" si="553"/>
        <v>2.6199387546784619E-2</v>
      </c>
      <c r="Q2078" s="354">
        <v>4.1009302325581398</v>
      </c>
      <c r="R2078" s="249">
        <f t="shared" si="554"/>
        <v>4.1995108430232557</v>
      </c>
      <c r="S2078" s="355">
        <v>0.1</v>
      </c>
      <c r="T2078" s="355"/>
      <c r="U2078" s="315">
        <f t="shared" si="543"/>
        <v>4.619461927325581</v>
      </c>
      <c r="V2078" s="315">
        <f t="shared" si="544"/>
        <v>5</v>
      </c>
      <c r="W2078" s="316">
        <f t="shared" si="545"/>
        <v>0</v>
      </c>
    </row>
    <row r="2079" spans="1:23" x14ac:dyDescent="0.25">
      <c r="A2079" s="204" t="s">
        <v>17743</v>
      </c>
      <c r="B2079" s="351" t="s">
        <v>21780</v>
      </c>
      <c r="C2079" s="352"/>
      <c r="D2079" s="353" t="s">
        <v>14859</v>
      </c>
      <c r="E2079" s="249">
        <f t="shared" si="546"/>
        <v>0</v>
      </c>
      <c r="F2079" s="336">
        <v>0</v>
      </c>
      <c r="G2079" s="258">
        <f t="shared" si="547"/>
        <v>0</v>
      </c>
      <c r="H2079" s="249">
        <f t="shared" si="548"/>
        <v>10.967757132521132</v>
      </c>
      <c r="I2079" s="336">
        <v>1.4713579768621747E-2</v>
      </c>
      <c r="J2079" s="258">
        <f t="shared" si="549"/>
        <v>1.4713579768621747E-2</v>
      </c>
      <c r="K2079" s="249">
        <f t="shared" si="550"/>
        <v>715.52480096234422</v>
      </c>
      <c r="L2079" s="336">
        <v>0.95989828259140342</v>
      </c>
      <c r="M2079" s="258">
        <f t="shared" si="551"/>
        <v>0.95989828259140342</v>
      </c>
      <c r="N2079" s="251">
        <f t="shared" si="552"/>
        <v>18.9247574051345</v>
      </c>
      <c r="O2079" s="336">
        <v>2.5388137639974776E-2</v>
      </c>
      <c r="P2079" s="258">
        <f t="shared" si="553"/>
        <v>2.5388137639974776E-2</v>
      </c>
      <c r="Q2079" s="354">
        <v>727.899</v>
      </c>
      <c r="R2079" s="249">
        <f t="shared" si="554"/>
        <v>745.41731549999986</v>
      </c>
      <c r="S2079" s="355">
        <v>0.1</v>
      </c>
      <c r="T2079" s="355"/>
      <c r="U2079" s="315">
        <f t="shared" si="543"/>
        <v>819.95904704999987</v>
      </c>
      <c r="V2079" s="315">
        <f t="shared" si="544"/>
        <v>820</v>
      </c>
      <c r="W2079" s="316">
        <f t="shared" si="545"/>
        <v>0</v>
      </c>
    </row>
    <row r="2080" spans="1:23" x14ac:dyDescent="0.25">
      <c r="A2080" s="204" t="s">
        <v>17744</v>
      </c>
      <c r="B2080" s="351" t="s">
        <v>21781</v>
      </c>
      <c r="C2080" s="352"/>
      <c r="D2080" s="353" t="s">
        <v>5</v>
      </c>
      <c r="E2080" s="249">
        <f t="shared" si="546"/>
        <v>0</v>
      </c>
      <c r="F2080" s="336">
        <v>0</v>
      </c>
      <c r="G2080" s="258">
        <f t="shared" si="547"/>
        <v>0</v>
      </c>
      <c r="H2080" s="249">
        <f t="shared" si="548"/>
        <v>6.376515344125816E-2</v>
      </c>
      <c r="I2080" s="336">
        <v>1.4713579768621747E-2</v>
      </c>
      <c r="J2080" s="258">
        <f t="shared" si="549"/>
        <v>1.4713579768621747E-2</v>
      </c>
      <c r="K2080" s="249">
        <f t="shared" si="550"/>
        <v>4.1599111992767153</v>
      </c>
      <c r="L2080" s="336">
        <v>0.95988454442168469</v>
      </c>
      <c r="M2080" s="258">
        <f t="shared" si="551"/>
        <v>0.95988454442168469</v>
      </c>
      <c r="N2080" s="251">
        <f t="shared" si="552"/>
        <v>0.11002614711432777</v>
      </c>
      <c r="O2080" s="336">
        <v>2.5388137639974776E-2</v>
      </c>
      <c r="P2080" s="258">
        <f t="shared" si="553"/>
        <v>2.5388137639974776E-2</v>
      </c>
      <c r="Q2080" s="354">
        <v>4.2319709302325581</v>
      </c>
      <c r="R2080" s="249">
        <f t="shared" si="554"/>
        <v>4.3337620377906969</v>
      </c>
      <c r="S2080" s="355">
        <v>0.1</v>
      </c>
      <c r="T2080" s="355"/>
      <c r="U2080" s="315">
        <f t="shared" si="543"/>
        <v>4.767138241569767</v>
      </c>
      <c r="V2080" s="315">
        <f t="shared" si="544"/>
        <v>5</v>
      </c>
      <c r="W2080" s="316">
        <f t="shared" si="545"/>
        <v>0</v>
      </c>
    </row>
    <row r="2081" spans="1:23" x14ac:dyDescent="0.25">
      <c r="A2081" s="204" t="s">
        <v>17745</v>
      </c>
      <c r="B2081" s="351" t="s">
        <v>21782</v>
      </c>
      <c r="C2081" s="352"/>
      <c r="D2081" s="353" t="s">
        <v>14859</v>
      </c>
      <c r="E2081" s="249">
        <f t="shared" si="546"/>
        <v>0</v>
      </c>
      <c r="F2081" s="336">
        <v>0</v>
      </c>
      <c r="G2081" s="258">
        <f t="shared" si="547"/>
        <v>0</v>
      </c>
      <c r="H2081" s="249">
        <f t="shared" si="548"/>
        <v>10.967890278507792</v>
      </c>
      <c r="I2081" s="336">
        <v>1.4291175699396929E-2</v>
      </c>
      <c r="J2081" s="258">
        <f t="shared" si="549"/>
        <v>1.4291175699396929E-2</v>
      </c>
      <c r="K2081" s="249">
        <f t="shared" si="550"/>
        <v>737.56604332426286</v>
      </c>
      <c r="L2081" s="336">
        <v>0.96104954074085924</v>
      </c>
      <c r="M2081" s="258">
        <f t="shared" si="551"/>
        <v>0.96104954074085924</v>
      </c>
      <c r="N2081" s="251">
        <f t="shared" si="552"/>
        <v>18.924987147229128</v>
      </c>
      <c r="O2081" s="336">
        <v>2.4659283559743721E-2</v>
      </c>
      <c r="P2081" s="258">
        <f t="shared" si="553"/>
        <v>2.4659283559743721E-2</v>
      </c>
      <c r="Q2081" s="354">
        <v>749.4135</v>
      </c>
      <c r="R2081" s="249">
        <f t="shared" si="554"/>
        <v>767.45892074999983</v>
      </c>
      <c r="S2081" s="355">
        <v>0.1</v>
      </c>
      <c r="T2081" s="355"/>
      <c r="U2081" s="315">
        <f t="shared" si="543"/>
        <v>844.20481282499986</v>
      </c>
      <c r="V2081" s="315">
        <f t="shared" si="544"/>
        <v>845</v>
      </c>
      <c r="W2081" s="316">
        <f t="shared" si="545"/>
        <v>0</v>
      </c>
    </row>
    <row r="2082" spans="1:23" x14ac:dyDescent="0.25">
      <c r="A2082" s="204" t="s">
        <v>17746</v>
      </c>
      <c r="B2082" s="351" t="s">
        <v>21783</v>
      </c>
      <c r="C2082" s="352"/>
      <c r="D2082" s="353" t="s">
        <v>5</v>
      </c>
      <c r="E2082" s="249">
        <f t="shared" si="546"/>
        <v>0</v>
      </c>
      <c r="F2082" s="336">
        <v>0</v>
      </c>
      <c r="G2082" s="258">
        <f t="shared" si="547"/>
        <v>0</v>
      </c>
      <c r="H2082" s="249">
        <f t="shared" si="548"/>
        <v>6.3765952705888085E-2</v>
      </c>
      <c r="I2082" s="336">
        <v>1.4291175699396929E-2</v>
      </c>
      <c r="J2082" s="258">
        <f t="shared" si="549"/>
        <v>1.4291175699396929E-2</v>
      </c>
      <c r="K2082" s="249">
        <f t="shared" si="550"/>
        <v>4.2880578878750812</v>
      </c>
      <c r="L2082" s="336">
        <v>0.96103619697269915</v>
      </c>
      <c r="M2082" s="258">
        <f t="shared" si="551"/>
        <v>0.96103619697269915</v>
      </c>
      <c r="N2082" s="251">
        <f t="shared" si="552"/>
        <v>0.11002752623761081</v>
      </c>
      <c r="O2082" s="336">
        <v>2.4659283559743717E-2</v>
      </c>
      <c r="P2082" s="258">
        <f t="shared" si="553"/>
        <v>2.4659283559743717E-2</v>
      </c>
      <c r="Q2082" s="354">
        <v>4.3570552325581398</v>
      </c>
      <c r="R2082" s="249">
        <f t="shared" si="554"/>
        <v>4.4619109055232551</v>
      </c>
      <c r="S2082" s="355">
        <v>0.1</v>
      </c>
      <c r="T2082" s="355"/>
      <c r="U2082" s="315">
        <f t="shared" si="543"/>
        <v>4.9081019960755805</v>
      </c>
      <c r="V2082" s="315">
        <f t="shared" si="544"/>
        <v>5</v>
      </c>
      <c r="W2082" s="316">
        <f t="shared" si="545"/>
        <v>0</v>
      </c>
    </row>
    <row r="2083" spans="1:23" x14ac:dyDescent="0.25">
      <c r="A2083" s="204" t="s">
        <v>17747</v>
      </c>
      <c r="B2083" s="351" t="s">
        <v>21784</v>
      </c>
      <c r="C2083" s="352"/>
      <c r="D2083" s="353" t="s">
        <v>14859</v>
      </c>
      <c r="E2083" s="249">
        <f t="shared" si="546"/>
        <v>0</v>
      </c>
      <c r="F2083" s="336">
        <v>0</v>
      </c>
      <c r="G2083" s="258">
        <f t="shared" si="547"/>
        <v>0</v>
      </c>
      <c r="H2083" s="249">
        <f t="shared" si="548"/>
        <v>10.968118294048793</v>
      </c>
      <c r="I2083" s="336">
        <v>1.3567799090159356E-2</v>
      </c>
      <c r="J2083" s="258">
        <f t="shared" si="549"/>
        <v>1.3567799090159356E-2</v>
      </c>
      <c r="K2083" s="249">
        <f t="shared" si="550"/>
        <v>778.49983162014155</v>
      </c>
      <c r="L2083" s="336">
        <v>0.96302109659740875</v>
      </c>
      <c r="M2083" s="258">
        <f t="shared" si="551"/>
        <v>0.96302109659740875</v>
      </c>
      <c r="N2083" s="251">
        <f t="shared" si="552"/>
        <v>18.92538058580968</v>
      </c>
      <c r="O2083" s="336">
        <v>2.3411104312431829E-2</v>
      </c>
      <c r="P2083" s="258">
        <f t="shared" si="553"/>
        <v>2.3411104312431829E-2</v>
      </c>
      <c r="Q2083" s="354">
        <v>789.36900000000003</v>
      </c>
      <c r="R2083" s="249">
        <f t="shared" si="554"/>
        <v>808.39333050000005</v>
      </c>
      <c r="S2083" s="355">
        <v>0.1</v>
      </c>
      <c r="T2083" s="355"/>
      <c r="U2083" s="315">
        <f t="shared" si="543"/>
        <v>889.2326635500001</v>
      </c>
      <c r="V2083" s="315">
        <f t="shared" si="544"/>
        <v>890</v>
      </c>
      <c r="W2083" s="316">
        <f t="shared" si="545"/>
        <v>0</v>
      </c>
    </row>
    <row r="2084" spans="1:23" x14ac:dyDescent="0.25">
      <c r="A2084" s="204" t="s">
        <v>17748</v>
      </c>
      <c r="B2084" s="351" t="s">
        <v>21785</v>
      </c>
      <c r="C2084" s="352"/>
      <c r="D2084" s="353" t="s">
        <v>5</v>
      </c>
      <c r="E2084" s="249">
        <f t="shared" si="546"/>
        <v>0</v>
      </c>
      <c r="F2084" s="336">
        <v>0</v>
      </c>
      <c r="G2084" s="258">
        <f t="shared" si="547"/>
        <v>0</v>
      </c>
      <c r="H2084" s="249">
        <f t="shared" si="548"/>
        <v>6.376732146480879E-2</v>
      </c>
      <c r="I2084" s="336">
        <v>1.3567799090159358E-2</v>
      </c>
      <c r="J2084" s="258">
        <f t="shared" si="549"/>
        <v>1.3567799090159358E-2</v>
      </c>
      <c r="K2084" s="249">
        <f t="shared" si="550"/>
        <v>4.5260449104185074</v>
      </c>
      <c r="L2084" s="336">
        <v>0.96300842825091926</v>
      </c>
      <c r="M2084" s="258">
        <f t="shared" si="551"/>
        <v>0.96300842825091926</v>
      </c>
      <c r="N2084" s="251">
        <f t="shared" si="552"/>
        <v>0.11002988801770926</v>
      </c>
      <c r="O2084" s="336">
        <v>2.3411104312431829E-2</v>
      </c>
      <c r="P2084" s="258">
        <f t="shared" si="553"/>
        <v>2.3411104312431829E-2</v>
      </c>
      <c r="Q2084" s="354">
        <v>4.5893546511627905</v>
      </c>
      <c r="R2084" s="249">
        <f t="shared" si="554"/>
        <v>4.6999016598837198</v>
      </c>
      <c r="S2084" s="355">
        <v>0.1</v>
      </c>
      <c r="T2084" s="355"/>
      <c r="U2084" s="315">
        <f t="shared" si="543"/>
        <v>5.1698918258720914</v>
      </c>
      <c r="V2084" s="315">
        <f t="shared" si="544"/>
        <v>6</v>
      </c>
      <c r="W2084" s="316">
        <f t="shared" si="545"/>
        <v>0</v>
      </c>
    </row>
    <row r="2085" spans="1:23" x14ac:dyDescent="0.25">
      <c r="A2085" s="204" t="s">
        <v>17749</v>
      </c>
      <c r="B2085" s="351" t="s">
        <v>21786</v>
      </c>
      <c r="C2085" s="352"/>
      <c r="D2085" s="353" t="s">
        <v>14859</v>
      </c>
      <c r="E2085" s="249">
        <f t="shared" si="546"/>
        <v>0</v>
      </c>
      <c r="F2085" s="336">
        <v>0</v>
      </c>
      <c r="G2085" s="258">
        <f t="shared" si="547"/>
        <v>0</v>
      </c>
      <c r="H2085" s="249">
        <f t="shared" si="548"/>
        <v>10.968374011743519</v>
      </c>
      <c r="I2085" s="336">
        <v>1.2756537725584362E-2</v>
      </c>
      <c r="J2085" s="258">
        <f t="shared" si="549"/>
        <v>1.2756537725584362E-2</v>
      </c>
      <c r="K2085" s="249">
        <f t="shared" si="550"/>
        <v>829.92954691407158</v>
      </c>
      <c r="L2085" s="336">
        <v>0.96523218149301515</v>
      </c>
      <c r="M2085" s="258">
        <f t="shared" si="551"/>
        <v>0.96523218149301515</v>
      </c>
      <c r="N2085" s="251">
        <f t="shared" si="552"/>
        <v>18.925821824184894</v>
      </c>
      <c r="O2085" s="336">
        <v>2.2011280781400466E-2</v>
      </c>
      <c r="P2085" s="258">
        <f t="shared" si="553"/>
        <v>2.2011280781400466E-2</v>
      </c>
      <c r="Q2085" s="354">
        <v>839.56950000000006</v>
      </c>
      <c r="R2085" s="249">
        <f t="shared" si="554"/>
        <v>859.82374275000006</v>
      </c>
      <c r="S2085" s="355">
        <v>0.1</v>
      </c>
      <c r="T2085" s="355"/>
      <c r="U2085" s="315">
        <f t="shared" ref="U2085:U2148" si="555">(R2085*S2085)+R2085</f>
        <v>945.80611702500005</v>
      </c>
      <c r="V2085" s="315">
        <f t="shared" ref="V2085:V2148" si="556">IF(U2085=0, 0, IF(U2085&lt;10, _xlfn.CEILING.MATH(U2085,1), IF(U2085&lt;100, _xlfn.CEILING.MATH(U2085,1),IF(U2085&lt;1000, _xlfn.CEILING.MATH(U2085,5), IF(U2085&lt;10000, _xlfn.CEILING.MATH(U2085, 25), IF(U2085&lt;100000, _xlfn.CEILING.MATH(U2085,250), IF(U2085&lt;1000000, _xlfn.CEILING.MATH(U2085,500), 0)))))))</f>
        <v>950</v>
      </c>
      <c r="W2085" s="316">
        <f t="shared" si="545"/>
        <v>0</v>
      </c>
    </row>
    <row r="2086" spans="1:23" x14ac:dyDescent="0.25">
      <c r="A2086" s="204" t="s">
        <v>17750</v>
      </c>
      <c r="B2086" s="351" t="s">
        <v>21787</v>
      </c>
      <c r="C2086" s="352"/>
      <c r="D2086" s="353" t="s">
        <v>5</v>
      </c>
      <c r="E2086" s="249">
        <f t="shared" si="546"/>
        <v>0</v>
      </c>
      <c r="F2086" s="336">
        <v>0</v>
      </c>
      <c r="G2086" s="258">
        <f t="shared" si="547"/>
        <v>0</v>
      </c>
      <c r="H2086" s="249">
        <f t="shared" si="548"/>
        <v>6.3768856517526284E-2</v>
      </c>
      <c r="I2086" s="336">
        <v>1.2756537725584362E-2</v>
      </c>
      <c r="J2086" s="258">
        <f t="shared" si="549"/>
        <v>1.2756537725584362E-2</v>
      </c>
      <c r="K2086" s="249">
        <f t="shared" si="550"/>
        <v>4.8250547499233916</v>
      </c>
      <c r="L2086" s="336">
        <v>0.9652202706267915</v>
      </c>
      <c r="M2086" s="258">
        <f t="shared" si="551"/>
        <v>0.9652202706267915</v>
      </c>
      <c r="N2086" s="251">
        <f t="shared" si="552"/>
        <v>0.11003253673612377</v>
      </c>
      <c r="O2086" s="336">
        <v>2.2011280781400463E-2</v>
      </c>
      <c r="P2086" s="258">
        <f t="shared" si="553"/>
        <v>2.2011280781400463E-2</v>
      </c>
      <c r="Q2086" s="354">
        <v>4.8812180232558147</v>
      </c>
      <c r="R2086" s="249">
        <f t="shared" si="554"/>
        <v>4.9989156845930243</v>
      </c>
      <c r="S2086" s="355">
        <v>0.1</v>
      </c>
      <c r="T2086" s="355"/>
      <c r="U2086" s="315">
        <f t="shared" si="555"/>
        <v>5.4988072530523269</v>
      </c>
      <c r="V2086" s="315">
        <f t="shared" si="556"/>
        <v>6</v>
      </c>
      <c r="W2086" s="316">
        <f t="shared" si="545"/>
        <v>0</v>
      </c>
    </row>
    <row r="2087" spans="1:23" x14ac:dyDescent="0.25">
      <c r="A2087" s="204" t="s">
        <v>17751</v>
      </c>
      <c r="B2087" s="351" t="s">
        <v>21788</v>
      </c>
      <c r="C2087" s="352"/>
      <c r="D2087" s="353" t="s">
        <v>14859</v>
      </c>
      <c r="E2087" s="249">
        <f t="shared" si="546"/>
        <v>0</v>
      </c>
      <c r="F2087" s="336">
        <v>0</v>
      </c>
      <c r="G2087" s="258">
        <f t="shared" si="547"/>
        <v>0</v>
      </c>
      <c r="H2087" s="249">
        <f t="shared" si="548"/>
        <v>10.96846043381462</v>
      </c>
      <c r="I2087" s="336">
        <v>1.2482364726305798E-2</v>
      </c>
      <c r="J2087" s="258">
        <f t="shared" si="549"/>
        <v>1.2482364726305798E-2</v>
      </c>
      <c r="K2087" s="249">
        <f t="shared" si="550"/>
        <v>848.82211587156382</v>
      </c>
      <c r="L2087" s="336">
        <v>0.96597943731457825</v>
      </c>
      <c r="M2087" s="258">
        <f t="shared" si="551"/>
        <v>0.96597943731457825</v>
      </c>
      <c r="N2087" s="251">
        <f t="shared" si="552"/>
        <v>18.925970944621305</v>
      </c>
      <c r="O2087" s="336">
        <v>2.1538197959115886E-2</v>
      </c>
      <c r="P2087" s="258">
        <f t="shared" si="553"/>
        <v>2.1538197959115886E-2</v>
      </c>
      <c r="Q2087" s="354">
        <v>858.01049999999998</v>
      </c>
      <c r="R2087" s="249">
        <f t="shared" si="554"/>
        <v>878.71654724999985</v>
      </c>
      <c r="S2087" s="355">
        <v>0.1</v>
      </c>
      <c r="T2087" s="355"/>
      <c r="U2087" s="315">
        <f t="shared" si="555"/>
        <v>966.58820197499983</v>
      </c>
      <c r="V2087" s="315">
        <f t="shared" si="556"/>
        <v>970</v>
      </c>
      <c r="W2087" s="316">
        <f t="shared" si="545"/>
        <v>0</v>
      </c>
    </row>
    <row r="2088" spans="1:23" ht="14.4" thickBot="1" x14ac:dyDescent="0.3">
      <c r="A2088" s="356" t="s">
        <v>17752</v>
      </c>
      <c r="B2088" s="357" t="s">
        <v>21789</v>
      </c>
      <c r="C2088" s="358"/>
      <c r="D2088" s="359" t="s">
        <v>5</v>
      </c>
      <c r="E2088" s="266">
        <f t="shared" si="546"/>
        <v>0</v>
      </c>
      <c r="F2088" s="360">
        <v>0</v>
      </c>
      <c r="G2088" s="322">
        <f t="shared" si="547"/>
        <v>0</v>
      </c>
      <c r="H2088" s="266">
        <f t="shared" si="548"/>
        <v>6.3769375302255821E-2</v>
      </c>
      <c r="I2088" s="360">
        <v>1.2482364726305798E-2</v>
      </c>
      <c r="J2088" s="322">
        <f t="shared" si="549"/>
        <v>1.2482364726305798E-2</v>
      </c>
      <c r="K2088" s="266">
        <f t="shared" si="550"/>
        <v>4.9348952221242097</v>
      </c>
      <c r="L2088" s="360">
        <v>0.9659677824455527</v>
      </c>
      <c r="M2088" s="322">
        <f t="shared" si="551"/>
        <v>0.9659677824455527</v>
      </c>
      <c r="N2088" s="270">
        <f t="shared" si="552"/>
        <v>0.11003343189408846</v>
      </c>
      <c r="O2088" s="360">
        <v>2.1538197959115886E-2</v>
      </c>
      <c r="P2088" s="322">
        <f t="shared" si="553"/>
        <v>2.1538197959115886E-2</v>
      </c>
      <c r="Q2088" s="361">
        <v>4.9884331395348838</v>
      </c>
      <c r="R2088" s="266">
        <f t="shared" si="554"/>
        <v>5.1087575712209299</v>
      </c>
      <c r="S2088" s="362">
        <v>0.1</v>
      </c>
      <c r="T2088" s="362"/>
      <c r="U2088" s="324">
        <f t="shared" si="555"/>
        <v>5.6196333283430224</v>
      </c>
      <c r="V2088" s="324">
        <f t="shared" si="556"/>
        <v>6</v>
      </c>
      <c r="W2088" s="325">
        <f t="shared" si="545"/>
        <v>0</v>
      </c>
    </row>
    <row r="2089" spans="1:23" x14ac:dyDescent="0.25">
      <c r="A2089" s="204" t="s">
        <v>17753</v>
      </c>
      <c r="B2089" s="351" t="s">
        <v>21790</v>
      </c>
      <c r="C2089" s="352"/>
      <c r="D2089" s="353" t="s">
        <v>14859</v>
      </c>
      <c r="E2089" s="249">
        <f t="shared" si="546"/>
        <v>0</v>
      </c>
      <c r="F2089" s="336">
        <v>0</v>
      </c>
      <c r="G2089" s="258">
        <f t="shared" si="547"/>
        <v>0</v>
      </c>
      <c r="H2089" s="249">
        <f t="shared" si="548"/>
        <v>10.96848378457897</v>
      </c>
      <c r="I2089" s="336">
        <v>1.2408284702357575E-2</v>
      </c>
      <c r="J2089" s="258">
        <f t="shared" si="549"/>
        <v>1.2408284702357575E-2</v>
      </c>
      <c r="K2089" s="249">
        <f t="shared" si="550"/>
        <v>854.07005347928452</v>
      </c>
      <c r="L2089" s="336">
        <v>0.96618134169357439</v>
      </c>
      <c r="M2089" s="258">
        <f t="shared" si="551"/>
        <v>0.96618134169357439</v>
      </c>
      <c r="N2089" s="251">
        <f t="shared" si="552"/>
        <v>18.926011236136258</v>
      </c>
      <c r="O2089" s="336">
        <v>2.1410373604067969E-2</v>
      </c>
      <c r="P2089" s="258">
        <f t="shared" si="553"/>
        <v>2.1410373604067969E-2</v>
      </c>
      <c r="Q2089" s="354">
        <v>863.13300000000004</v>
      </c>
      <c r="R2089" s="249">
        <f t="shared" si="554"/>
        <v>883.96454849999986</v>
      </c>
      <c r="S2089" s="355">
        <v>0.1</v>
      </c>
      <c r="T2089" s="355"/>
      <c r="U2089" s="315">
        <f t="shared" si="555"/>
        <v>972.36100334999992</v>
      </c>
      <c r="V2089" s="315">
        <f t="shared" si="556"/>
        <v>975</v>
      </c>
      <c r="W2089" s="316">
        <f t="shared" si="545"/>
        <v>0</v>
      </c>
    </row>
    <row r="2090" spans="1:23" x14ac:dyDescent="0.25">
      <c r="A2090" s="204" t="s">
        <v>17754</v>
      </c>
      <c r="B2090" s="351" t="s">
        <v>21791</v>
      </c>
      <c r="C2090" s="352"/>
      <c r="D2090" s="353" t="s">
        <v>5</v>
      </c>
      <c r="E2090" s="249">
        <f t="shared" si="546"/>
        <v>0</v>
      </c>
      <c r="F2090" s="336">
        <v>0</v>
      </c>
      <c r="G2090" s="258">
        <f t="shared" si="547"/>
        <v>0</v>
      </c>
      <c r="H2090" s="249">
        <f t="shared" si="548"/>
        <v>6.376951547501275E-2</v>
      </c>
      <c r="I2090" s="336">
        <v>1.2408284702357575E-2</v>
      </c>
      <c r="J2090" s="258">
        <f t="shared" si="549"/>
        <v>1.2408284702357575E-2</v>
      </c>
      <c r="K2090" s="249">
        <f t="shared" si="550"/>
        <v>4.9654064751282725</v>
      </c>
      <c r="L2090" s="336">
        <v>0.96616975599357213</v>
      </c>
      <c r="M2090" s="258">
        <f t="shared" si="551"/>
        <v>0.96616975599357213</v>
      </c>
      <c r="N2090" s="251">
        <f t="shared" si="552"/>
        <v>0.11003367376080631</v>
      </c>
      <c r="O2090" s="336">
        <v>2.1410373604067973E-2</v>
      </c>
      <c r="P2090" s="258">
        <f t="shared" si="553"/>
        <v>2.1410373604067973E-2</v>
      </c>
      <c r="Q2090" s="354">
        <v>5.0182151162790696</v>
      </c>
      <c r="R2090" s="249">
        <f t="shared" si="554"/>
        <v>5.1392692063953476</v>
      </c>
      <c r="S2090" s="355">
        <v>0.1</v>
      </c>
      <c r="T2090" s="355"/>
      <c r="U2090" s="315">
        <f t="shared" si="555"/>
        <v>5.6531961270348825</v>
      </c>
      <c r="V2090" s="315">
        <f t="shared" si="556"/>
        <v>6</v>
      </c>
      <c r="W2090" s="316">
        <f t="shared" si="545"/>
        <v>0</v>
      </c>
    </row>
    <row r="2091" spans="1:23" x14ac:dyDescent="0.25">
      <c r="A2091" s="204" t="s">
        <v>17755</v>
      </c>
      <c r="B2091" s="351" t="s">
        <v>21792</v>
      </c>
      <c r="C2091" s="352"/>
      <c r="D2091" s="353" t="s">
        <v>14859</v>
      </c>
      <c r="E2091" s="249">
        <f t="shared" si="546"/>
        <v>0</v>
      </c>
      <c r="F2091" s="336">
        <v>0</v>
      </c>
      <c r="G2091" s="258">
        <f t="shared" si="547"/>
        <v>0</v>
      </c>
      <c r="H2091" s="249">
        <f t="shared" si="548"/>
        <v>10.968731634801165</v>
      </c>
      <c r="I2091" s="336">
        <v>1.1621982801418729E-2</v>
      </c>
      <c r="J2091" s="258">
        <f t="shared" si="549"/>
        <v>1.1621982801418729E-2</v>
      </c>
      <c r="K2091" s="249">
        <f t="shared" si="550"/>
        <v>913.89659221593388</v>
      </c>
      <c r="L2091" s="336">
        <v>0.96832439981574103</v>
      </c>
      <c r="M2091" s="258">
        <f t="shared" si="551"/>
        <v>0.96832439981574103</v>
      </c>
      <c r="N2091" s="251">
        <f t="shared" si="552"/>
        <v>18.926438899264753</v>
      </c>
      <c r="O2091" s="336">
        <v>2.0053617382840158E-2</v>
      </c>
      <c r="P2091" s="258">
        <f t="shared" si="553"/>
        <v>2.0053617382840158E-2</v>
      </c>
      <c r="Q2091" s="354">
        <v>921.52949999999998</v>
      </c>
      <c r="R2091" s="249">
        <f t="shared" si="554"/>
        <v>943.79176274999986</v>
      </c>
      <c r="S2091" s="355">
        <v>0.1</v>
      </c>
      <c r="T2091" s="355"/>
      <c r="U2091" s="315">
        <f t="shared" si="555"/>
        <v>1038.1709390249998</v>
      </c>
      <c r="V2091" s="315">
        <f t="shared" si="556"/>
        <v>1050</v>
      </c>
      <c r="W2091" s="316">
        <f t="shared" si="545"/>
        <v>0</v>
      </c>
    </row>
    <row r="2092" spans="1:23" x14ac:dyDescent="0.25">
      <c r="A2092" s="204" t="s">
        <v>17756</v>
      </c>
      <c r="B2092" s="351" t="s">
        <v>21793</v>
      </c>
      <c r="C2092" s="352"/>
      <c r="D2092" s="353" t="s">
        <v>5</v>
      </c>
      <c r="E2092" s="249">
        <f t="shared" si="546"/>
        <v>0</v>
      </c>
      <c r="F2092" s="336">
        <v>0</v>
      </c>
      <c r="G2092" s="258">
        <f t="shared" si="547"/>
        <v>0</v>
      </c>
      <c r="H2092" s="249">
        <f t="shared" si="548"/>
        <v>6.3771003299926535E-2</v>
      </c>
      <c r="I2092" s="336">
        <v>1.1621982801418729E-2</v>
      </c>
      <c r="J2092" s="258">
        <f t="shared" si="549"/>
        <v>1.1621982801418729E-2</v>
      </c>
      <c r="K2092" s="249">
        <f t="shared" si="550"/>
        <v>5.3132350596752378</v>
      </c>
      <c r="L2092" s="336">
        <v>0.96831354829118332</v>
      </c>
      <c r="M2092" s="258">
        <f t="shared" si="551"/>
        <v>0.96831354829118332</v>
      </c>
      <c r="N2092" s="251">
        <f t="shared" si="552"/>
        <v>0.11003624098810855</v>
      </c>
      <c r="O2092" s="336">
        <v>2.0053617382840162E-2</v>
      </c>
      <c r="P2092" s="258">
        <f t="shared" si="553"/>
        <v>2.0053617382840162E-2</v>
      </c>
      <c r="Q2092" s="354">
        <v>5.3577296511627903</v>
      </c>
      <c r="R2092" s="249">
        <f t="shared" si="554"/>
        <v>5.4871018473837205</v>
      </c>
      <c r="S2092" s="355">
        <v>0.1</v>
      </c>
      <c r="T2092" s="355"/>
      <c r="U2092" s="315">
        <f t="shared" si="555"/>
        <v>6.0358120321220925</v>
      </c>
      <c r="V2092" s="315">
        <f t="shared" si="556"/>
        <v>7</v>
      </c>
      <c r="W2092" s="316">
        <f t="shared" si="545"/>
        <v>0</v>
      </c>
    </row>
    <row r="2093" spans="1:23" x14ac:dyDescent="0.25">
      <c r="A2093" s="204" t="s">
        <v>17757</v>
      </c>
      <c r="B2093" s="351" t="s">
        <v>21794</v>
      </c>
      <c r="C2093" s="352"/>
      <c r="D2093" s="353" t="s">
        <v>14859</v>
      </c>
      <c r="E2093" s="249">
        <f t="shared" si="546"/>
        <v>0</v>
      </c>
      <c r="F2093" s="336">
        <v>0</v>
      </c>
      <c r="G2093" s="258">
        <f t="shared" si="547"/>
        <v>0</v>
      </c>
      <c r="H2093" s="249">
        <f t="shared" si="548"/>
        <v>10.968763929216204</v>
      </c>
      <c r="I2093" s="336">
        <v>1.1519529151346285E-2</v>
      </c>
      <c r="J2093" s="258">
        <f t="shared" si="549"/>
        <v>1.1519529151346285E-2</v>
      </c>
      <c r="K2093" s="249">
        <f t="shared" si="550"/>
        <v>922.29330619782229</v>
      </c>
      <c r="L2093" s="336">
        <v>0.96860363623456591</v>
      </c>
      <c r="M2093" s="258">
        <f t="shared" si="551"/>
        <v>0.96860363623456591</v>
      </c>
      <c r="N2093" s="251">
        <f t="shared" si="552"/>
        <v>18.92649462296129</v>
      </c>
      <c r="O2093" s="336">
        <v>1.9876834614087707E-2</v>
      </c>
      <c r="P2093" s="258">
        <f t="shared" si="553"/>
        <v>1.9876834614087707E-2</v>
      </c>
      <c r="Q2093" s="354">
        <v>929.72550000000001</v>
      </c>
      <c r="R2093" s="249">
        <f t="shared" si="554"/>
        <v>952.18856474999984</v>
      </c>
      <c r="S2093" s="355">
        <v>0.1</v>
      </c>
      <c r="T2093" s="355"/>
      <c r="U2093" s="315">
        <f t="shared" si="555"/>
        <v>1047.4074212249998</v>
      </c>
      <c r="V2093" s="315">
        <f t="shared" si="556"/>
        <v>1050</v>
      </c>
      <c r="W2093" s="316">
        <f t="shared" si="545"/>
        <v>0</v>
      </c>
    </row>
    <row r="2094" spans="1:23" x14ac:dyDescent="0.25">
      <c r="A2094" s="204" t="s">
        <v>17758</v>
      </c>
      <c r="B2094" s="351" t="s">
        <v>21795</v>
      </c>
      <c r="C2094" s="352"/>
      <c r="D2094" s="353" t="s">
        <v>5</v>
      </c>
      <c r="E2094" s="249">
        <f t="shared" si="546"/>
        <v>0</v>
      </c>
      <c r="F2094" s="336">
        <v>0</v>
      </c>
      <c r="G2094" s="258">
        <f t="shared" si="547"/>
        <v>0</v>
      </c>
      <c r="H2094" s="249">
        <f t="shared" si="548"/>
        <v>6.3771197160697957E-2</v>
      </c>
      <c r="I2094" s="336">
        <v>1.1519529151346285E-2</v>
      </c>
      <c r="J2094" s="258">
        <f t="shared" si="549"/>
        <v>1.1519529151346285E-2</v>
      </c>
      <c r="K2094" s="249">
        <f t="shared" si="550"/>
        <v>5.3620531474076651</v>
      </c>
      <c r="L2094" s="336">
        <v>0.96859288037167945</v>
      </c>
      <c r="M2094" s="258">
        <f t="shared" si="551"/>
        <v>0.96859288037167945</v>
      </c>
      <c r="N2094" s="251">
        <f t="shared" si="552"/>
        <v>0.110036575492969</v>
      </c>
      <c r="O2094" s="336">
        <v>1.9876834614087704E-2</v>
      </c>
      <c r="P2094" s="258">
        <f t="shared" si="553"/>
        <v>1.9876834614087704E-2</v>
      </c>
      <c r="Q2094" s="354">
        <v>5.4053808139534887</v>
      </c>
      <c r="R2094" s="249">
        <f t="shared" si="554"/>
        <v>5.5359204636627899</v>
      </c>
      <c r="S2094" s="355">
        <v>0.1</v>
      </c>
      <c r="T2094" s="355"/>
      <c r="U2094" s="315">
        <f t="shared" si="555"/>
        <v>6.0895125100290688</v>
      </c>
      <c r="V2094" s="315">
        <f t="shared" si="556"/>
        <v>7</v>
      </c>
      <c r="W2094" s="316">
        <f t="shared" si="545"/>
        <v>0</v>
      </c>
    </row>
    <row r="2095" spans="1:23" x14ac:dyDescent="0.25">
      <c r="A2095" s="204" t="s">
        <v>17759</v>
      </c>
      <c r="B2095" s="351" t="s">
        <v>21796</v>
      </c>
      <c r="C2095" s="352"/>
      <c r="D2095" s="353" t="s">
        <v>14859</v>
      </c>
      <c r="E2095" s="249">
        <f t="shared" si="546"/>
        <v>0</v>
      </c>
      <c r="F2095" s="336">
        <v>0</v>
      </c>
      <c r="G2095" s="258">
        <f t="shared" si="547"/>
        <v>0</v>
      </c>
      <c r="H2095" s="249">
        <f t="shared" si="548"/>
        <v>10.968763929216204</v>
      </c>
      <c r="I2095" s="336">
        <v>1.1519529151346285E-2</v>
      </c>
      <c r="J2095" s="258">
        <f t="shared" si="549"/>
        <v>1.1519529151346285E-2</v>
      </c>
      <c r="K2095" s="249">
        <f t="shared" si="550"/>
        <v>922.29330619782229</v>
      </c>
      <c r="L2095" s="336">
        <v>0.96860363623456591</v>
      </c>
      <c r="M2095" s="258">
        <f t="shared" si="551"/>
        <v>0.96860363623456591</v>
      </c>
      <c r="N2095" s="251">
        <f t="shared" si="552"/>
        <v>18.92649462296129</v>
      </c>
      <c r="O2095" s="336">
        <v>1.9876834614087707E-2</v>
      </c>
      <c r="P2095" s="258">
        <f t="shared" si="553"/>
        <v>1.9876834614087707E-2</v>
      </c>
      <c r="Q2095" s="354">
        <v>929.72550000000001</v>
      </c>
      <c r="R2095" s="249">
        <f t="shared" si="554"/>
        <v>952.18856474999984</v>
      </c>
      <c r="S2095" s="355">
        <v>0.1</v>
      </c>
      <c r="T2095" s="355"/>
      <c r="U2095" s="315">
        <f t="shared" si="555"/>
        <v>1047.4074212249998</v>
      </c>
      <c r="V2095" s="315">
        <f t="shared" si="556"/>
        <v>1050</v>
      </c>
      <c r="W2095" s="316">
        <f t="shared" si="545"/>
        <v>0</v>
      </c>
    </row>
    <row r="2096" spans="1:23" x14ac:dyDescent="0.25">
      <c r="A2096" s="204" t="s">
        <v>17760</v>
      </c>
      <c r="B2096" s="351" t="s">
        <v>21797</v>
      </c>
      <c r="C2096" s="352"/>
      <c r="D2096" s="353" t="s">
        <v>5</v>
      </c>
      <c r="E2096" s="249">
        <f t="shared" si="546"/>
        <v>0</v>
      </c>
      <c r="F2096" s="336">
        <v>0</v>
      </c>
      <c r="G2096" s="258">
        <f t="shared" si="547"/>
        <v>0</v>
      </c>
      <c r="H2096" s="249">
        <f t="shared" si="548"/>
        <v>6.3771197160697957E-2</v>
      </c>
      <c r="I2096" s="336">
        <v>1.1519529151346285E-2</v>
      </c>
      <c r="J2096" s="258">
        <f t="shared" si="549"/>
        <v>1.1519529151346285E-2</v>
      </c>
      <c r="K2096" s="249">
        <f t="shared" si="550"/>
        <v>5.3620531474076651</v>
      </c>
      <c r="L2096" s="336">
        <v>0.96859288037167945</v>
      </c>
      <c r="M2096" s="258">
        <f t="shared" si="551"/>
        <v>0.96859288037167945</v>
      </c>
      <c r="N2096" s="251">
        <f t="shared" si="552"/>
        <v>0.110036575492969</v>
      </c>
      <c r="O2096" s="336">
        <v>1.9876834614087704E-2</v>
      </c>
      <c r="P2096" s="258">
        <f t="shared" si="553"/>
        <v>1.9876834614087704E-2</v>
      </c>
      <c r="Q2096" s="354">
        <v>5.4053808139534887</v>
      </c>
      <c r="R2096" s="249">
        <f t="shared" si="554"/>
        <v>5.5359204636627899</v>
      </c>
      <c r="S2096" s="355">
        <v>0.1</v>
      </c>
      <c r="T2096" s="355"/>
      <c r="U2096" s="315">
        <f t="shared" si="555"/>
        <v>6.0895125100290688</v>
      </c>
      <c r="V2096" s="315">
        <f t="shared" si="556"/>
        <v>7</v>
      </c>
      <c r="W2096" s="316">
        <f t="shared" si="545"/>
        <v>0</v>
      </c>
    </row>
    <row r="2097" spans="1:23" x14ac:dyDescent="0.25">
      <c r="A2097" s="204" t="s">
        <v>17761</v>
      </c>
      <c r="B2097" s="351" t="s">
        <v>21798</v>
      </c>
      <c r="C2097" s="352"/>
      <c r="D2097" s="353" t="s">
        <v>14859</v>
      </c>
      <c r="E2097" s="249">
        <f t="shared" si="546"/>
        <v>0</v>
      </c>
      <c r="F2097" s="336">
        <v>0</v>
      </c>
      <c r="G2097" s="258">
        <f t="shared" si="547"/>
        <v>0</v>
      </c>
      <c r="H2097" s="249">
        <f t="shared" si="548"/>
        <v>10.968763929216204</v>
      </c>
      <c r="I2097" s="336">
        <v>1.1519529151346285E-2</v>
      </c>
      <c r="J2097" s="258">
        <f t="shared" si="549"/>
        <v>1.1519529151346285E-2</v>
      </c>
      <c r="K2097" s="249">
        <f t="shared" si="550"/>
        <v>922.29330619782229</v>
      </c>
      <c r="L2097" s="336">
        <v>0.96860363623456591</v>
      </c>
      <c r="M2097" s="258">
        <f t="shared" si="551"/>
        <v>0.96860363623456591</v>
      </c>
      <c r="N2097" s="251">
        <f t="shared" si="552"/>
        <v>18.92649462296129</v>
      </c>
      <c r="O2097" s="336">
        <v>1.9876834614087707E-2</v>
      </c>
      <c r="P2097" s="258">
        <f t="shared" si="553"/>
        <v>1.9876834614087707E-2</v>
      </c>
      <c r="Q2097" s="354">
        <v>929.72550000000001</v>
      </c>
      <c r="R2097" s="249">
        <f t="shared" si="554"/>
        <v>952.18856474999984</v>
      </c>
      <c r="S2097" s="355">
        <v>0.1</v>
      </c>
      <c r="T2097" s="355"/>
      <c r="U2097" s="315">
        <f t="shared" si="555"/>
        <v>1047.4074212249998</v>
      </c>
      <c r="V2097" s="315">
        <f t="shared" si="556"/>
        <v>1050</v>
      </c>
      <c r="W2097" s="316">
        <f t="shared" si="545"/>
        <v>0</v>
      </c>
    </row>
    <row r="2098" spans="1:23" x14ac:dyDescent="0.25">
      <c r="A2098" s="204" t="s">
        <v>17762</v>
      </c>
      <c r="B2098" s="351" t="s">
        <v>21799</v>
      </c>
      <c r="C2098" s="352"/>
      <c r="D2098" s="353" t="s">
        <v>5</v>
      </c>
      <c r="E2098" s="249">
        <f t="shared" si="546"/>
        <v>0</v>
      </c>
      <c r="F2098" s="336">
        <v>0</v>
      </c>
      <c r="G2098" s="258">
        <f t="shared" si="547"/>
        <v>0</v>
      </c>
      <c r="H2098" s="249">
        <f t="shared" si="548"/>
        <v>6.3771197160697957E-2</v>
      </c>
      <c r="I2098" s="336">
        <v>1.1519529151346285E-2</v>
      </c>
      <c r="J2098" s="258">
        <f t="shared" si="549"/>
        <v>1.1519529151346285E-2</v>
      </c>
      <c r="K2098" s="249">
        <f t="shared" si="550"/>
        <v>5.3620531474076651</v>
      </c>
      <c r="L2098" s="336">
        <v>0.96859288037167945</v>
      </c>
      <c r="M2098" s="258">
        <f t="shared" si="551"/>
        <v>0.96859288037167945</v>
      </c>
      <c r="N2098" s="251">
        <f t="shared" si="552"/>
        <v>0.110036575492969</v>
      </c>
      <c r="O2098" s="336">
        <v>1.9876834614087704E-2</v>
      </c>
      <c r="P2098" s="258">
        <f t="shared" si="553"/>
        <v>1.9876834614087704E-2</v>
      </c>
      <c r="Q2098" s="354">
        <v>5.4053808139534887</v>
      </c>
      <c r="R2098" s="249">
        <f t="shared" si="554"/>
        <v>5.5359204636627899</v>
      </c>
      <c r="S2098" s="355">
        <v>0.1</v>
      </c>
      <c r="T2098" s="355"/>
      <c r="U2098" s="315">
        <f t="shared" si="555"/>
        <v>6.0895125100290688</v>
      </c>
      <c r="V2098" s="315">
        <f t="shared" si="556"/>
        <v>7</v>
      </c>
      <c r="W2098" s="316">
        <f t="shared" si="545"/>
        <v>0</v>
      </c>
    </row>
    <row r="2099" spans="1:23" x14ac:dyDescent="0.25">
      <c r="A2099" s="204" t="s">
        <v>17763</v>
      </c>
      <c r="B2099" s="351" t="s">
        <v>21800</v>
      </c>
      <c r="C2099" s="352"/>
      <c r="D2099" s="353" t="s">
        <v>14859</v>
      </c>
      <c r="E2099" s="249">
        <f t="shared" si="546"/>
        <v>0</v>
      </c>
      <c r="F2099" s="336">
        <v>0</v>
      </c>
      <c r="G2099" s="258">
        <f t="shared" si="547"/>
        <v>0</v>
      </c>
      <c r="H2099" s="249">
        <f t="shared" si="548"/>
        <v>10.969200435558667</v>
      </c>
      <c r="I2099" s="336">
        <v>1.0134717938308809E-2</v>
      </c>
      <c r="J2099" s="258">
        <f t="shared" si="549"/>
        <v>1.0134717938308809E-2</v>
      </c>
      <c r="K2099" s="249">
        <f t="shared" si="550"/>
        <v>1052.4425475040657</v>
      </c>
      <c r="L2099" s="336">
        <v>0.97237792561911907</v>
      </c>
      <c r="M2099" s="258">
        <f t="shared" si="551"/>
        <v>0.97237792561911907</v>
      </c>
      <c r="N2099" s="251">
        <f t="shared" si="552"/>
        <v>18.927247810375739</v>
      </c>
      <c r="O2099" s="336">
        <v>1.7487356442572061E-2</v>
      </c>
      <c r="P2099" s="258">
        <f t="shared" si="553"/>
        <v>1.7487356442572061E-2</v>
      </c>
      <c r="Q2099" s="354">
        <v>1056.7635</v>
      </c>
      <c r="R2099" s="249">
        <f t="shared" si="554"/>
        <v>1082.3389957500001</v>
      </c>
      <c r="S2099" s="355">
        <v>0.1</v>
      </c>
      <c r="T2099" s="355"/>
      <c r="U2099" s="315">
        <f t="shared" si="555"/>
        <v>1190.572895325</v>
      </c>
      <c r="V2099" s="315">
        <f t="shared" si="556"/>
        <v>1200</v>
      </c>
      <c r="W2099" s="316">
        <f t="shared" si="545"/>
        <v>0</v>
      </c>
    </row>
    <row r="2100" spans="1:23" x14ac:dyDescent="0.25">
      <c r="A2100" s="204" t="s">
        <v>17764</v>
      </c>
      <c r="B2100" s="351" t="s">
        <v>21801</v>
      </c>
      <c r="C2100" s="352"/>
      <c r="D2100" s="353" t="s">
        <v>5</v>
      </c>
      <c r="E2100" s="249">
        <f t="shared" si="546"/>
        <v>0</v>
      </c>
      <c r="F2100" s="336">
        <v>0</v>
      </c>
      <c r="G2100" s="258">
        <f t="shared" si="547"/>
        <v>0</v>
      </c>
      <c r="H2100" s="249">
        <f t="shared" si="548"/>
        <v>6.3773817473101083E-2</v>
      </c>
      <c r="I2100" s="336">
        <v>1.0134717938308809E-2</v>
      </c>
      <c r="J2100" s="258">
        <f t="shared" si="549"/>
        <v>1.0134717938308809E-2</v>
      </c>
      <c r="K2100" s="249">
        <f t="shared" si="550"/>
        <v>6.1187345556508772</v>
      </c>
      <c r="L2100" s="336">
        <v>0.97236846276390121</v>
      </c>
      <c r="M2100" s="258">
        <f t="shared" si="551"/>
        <v>0.97236846276390121</v>
      </c>
      <c r="N2100" s="251">
        <f t="shared" si="552"/>
        <v>0.11004109681633129</v>
      </c>
      <c r="O2100" s="336">
        <v>1.7487356442572061E-2</v>
      </c>
      <c r="P2100" s="258">
        <f t="shared" si="553"/>
        <v>1.7487356442572061E-2</v>
      </c>
      <c r="Q2100" s="354">
        <v>6.1439738372093027</v>
      </c>
      <c r="R2100" s="249">
        <f t="shared" si="554"/>
        <v>6.2926090159883712</v>
      </c>
      <c r="S2100" s="355">
        <v>0.1</v>
      </c>
      <c r="T2100" s="355"/>
      <c r="U2100" s="315">
        <f t="shared" si="555"/>
        <v>6.921869917587208</v>
      </c>
      <c r="V2100" s="315">
        <f t="shared" si="556"/>
        <v>7</v>
      </c>
      <c r="W2100" s="316">
        <f t="shared" si="545"/>
        <v>0</v>
      </c>
    </row>
    <row r="2101" spans="1:23" x14ac:dyDescent="0.25">
      <c r="A2101" s="204" t="s">
        <v>17765</v>
      </c>
      <c r="B2101" s="351" t="s">
        <v>21802</v>
      </c>
      <c r="C2101" s="352"/>
      <c r="D2101" s="353" t="s">
        <v>14859</v>
      </c>
      <c r="E2101" s="249">
        <f t="shared" si="546"/>
        <v>0</v>
      </c>
      <c r="F2101" s="336">
        <v>0</v>
      </c>
      <c r="G2101" s="258">
        <f t="shared" si="547"/>
        <v>0</v>
      </c>
      <c r="H2101" s="249">
        <f t="shared" si="548"/>
        <v>10.969200435558667</v>
      </c>
      <c r="I2101" s="336">
        <v>1.0134717938308809E-2</v>
      </c>
      <c r="J2101" s="258">
        <f t="shared" si="549"/>
        <v>1.0134717938308809E-2</v>
      </c>
      <c r="K2101" s="249">
        <f t="shared" si="550"/>
        <v>1052.4425475040657</v>
      </c>
      <c r="L2101" s="336">
        <v>0.97237792561911907</v>
      </c>
      <c r="M2101" s="258">
        <f t="shared" si="551"/>
        <v>0.97237792561911907</v>
      </c>
      <c r="N2101" s="251">
        <f t="shared" si="552"/>
        <v>18.927247810375739</v>
      </c>
      <c r="O2101" s="336">
        <v>1.7487356442572061E-2</v>
      </c>
      <c r="P2101" s="258">
        <f t="shared" si="553"/>
        <v>1.7487356442572061E-2</v>
      </c>
      <c r="Q2101" s="354">
        <v>1056.7635</v>
      </c>
      <c r="R2101" s="249">
        <f t="shared" si="554"/>
        <v>1082.3389957500001</v>
      </c>
      <c r="S2101" s="355">
        <v>0.1</v>
      </c>
      <c r="T2101" s="355"/>
      <c r="U2101" s="315">
        <f t="shared" si="555"/>
        <v>1190.572895325</v>
      </c>
      <c r="V2101" s="315">
        <f t="shared" si="556"/>
        <v>1200</v>
      </c>
      <c r="W2101" s="316">
        <f t="shared" si="545"/>
        <v>0</v>
      </c>
    </row>
    <row r="2102" spans="1:23" x14ac:dyDescent="0.25">
      <c r="A2102" s="204" t="s">
        <v>17766</v>
      </c>
      <c r="B2102" s="351" t="s">
        <v>21803</v>
      </c>
      <c r="C2102" s="352"/>
      <c r="D2102" s="353" t="s">
        <v>5</v>
      </c>
      <c r="E2102" s="249">
        <f t="shared" si="546"/>
        <v>0</v>
      </c>
      <c r="F2102" s="336">
        <v>0</v>
      </c>
      <c r="G2102" s="258">
        <f t="shared" si="547"/>
        <v>0</v>
      </c>
      <c r="H2102" s="249">
        <f t="shared" si="548"/>
        <v>6.3773817473101083E-2</v>
      </c>
      <c r="I2102" s="336">
        <v>1.0134717938308809E-2</v>
      </c>
      <c r="J2102" s="258">
        <f t="shared" si="549"/>
        <v>1.0134717938308809E-2</v>
      </c>
      <c r="K2102" s="249">
        <f t="shared" si="550"/>
        <v>6.1187345556508772</v>
      </c>
      <c r="L2102" s="336">
        <v>0.97236846276390121</v>
      </c>
      <c r="M2102" s="258">
        <f t="shared" si="551"/>
        <v>0.97236846276390121</v>
      </c>
      <c r="N2102" s="251">
        <f t="shared" si="552"/>
        <v>0.11004109681633129</v>
      </c>
      <c r="O2102" s="336">
        <v>1.7487356442572061E-2</v>
      </c>
      <c r="P2102" s="258">
        <f t="shared" si="553"/>
        <v>1.7487356442572061E-2</v>
      </c>
      <c r="Q2102" s="354">
        <v>6.1439738372093027</v>
      </c>
      <c r="R2102" s="249">
        <f t="shared" si="554"/>
        <v>6.2926090159883712</v>
      </c>
      <c r="S2102" s="355">
        <v>0.1</v>
      </c>
      <c r="T2102" s="355"/>
      <c r="U2102" s="315">
        <f t="shared" si="555"/>
        <v>6.921869917587208</v>
      </c>
      <c r="V2102" s="315">
        <f t="shared" si="556"/>
        <v>7</v>
      </c>
      <c r="W2102" s="316">
        <f t="shared" si="545"/>
        <v>0</v>
      </c>
    </row>
    <row r="2103" spans="1:23" x14ac:dyDescent="0.25">
      <c r="A2103" s="204" t="s">
        <v>17767</v>
      </c>
      <c r="B2103" s="351" t="s">
        <v>21804</v>
      </c>
      <c r="C2103" s="352"/>
      <c r="D2103" s="353" t="s">
        <v>14859</v>
      </c>
      <c r="E2103" s="249">
        <f t="shared" si="546"/>
        <v>0</v>
      </c>
      <c r="F2103" s="336">
        <v>0</v>
      </c>
      <c r="G2103" s="258">
        <f t="shared" si="547"/>
        <v>0</v>
      </c>
      <c r="H2103" s="249">
        <f t="shared" si="548"/>
        <v>10.969228067757117</v>
      </c>
      <c r="I2103" s="336">
        <v>1.0047055115273778E-2</v>
      </c>
      <c r="J2103" s="258">
        <f t="shared" si="549"/>
        <v>1.0047055115273778E-2</v>
      </c>
      <c r="K2103" s="249">
        <f t="shared" si="550"/>
        <v>1061.8888744427795</v>
      </c>
      <c r="L2103" s="336">
        <v>0.97261684978386165</v>
      </c>
      <c r="M2103" s="258">
        <f t="shared" si="551"/>
        <v>0.97261684978386165</v>
      </c>
      <c r="N2103" s="251">
        <f t="shared" si="552"/>
        <v>18.927295489463258</v>
      </c>
      <c r="O2103" s="336">
        <v>1.7336095100864556E-2</v>
      </c>
      <c r="P2103" s="258">
        <f t="shared" si="553"/>
        <v>1.7336095100864556E-2</v>
      </c>
      <c r="Q2103" s="354">
        <v>1065.9839999999999</v>
      </c>
      <c r="R2103" s="249">
        <f t="shared" si="554"/>
        <v>1091.785398</v>
      </c>
      <c r="S2103" s="355">
        <v>0.1</v>
      </c>
      <c r="T2103" s="355"/>
      <c r="U2103" s="315">
        <f t="shared" si="555"/>
        <v>1200.9639377999999</v>
      </c>
      <c r="V2103" s="315">
        <f t="shared" si="556"/>
        <v>1225</v>
      </c>
      <c r="W2103" s="316">
        <f t="shared" si="545"/>
        <v>0</v>
      </c>
    </row>
    <row r="2104" spans="1:23" x14ac:dyDescent="0.25">
      <c r="A2104" s="204" t="s">
        <v>17768</v>
      </c>
      <c r="B2104" s="351" t="s">
        <v>21805</v>
      </c>
      <c r="C2104" s="352"/>
      <c r="D2104" s="353" t="s">
        <v>5</v>
      </c>
      <c r="E2104" s="249">
        <f t="shared" si="546"/>
        <v>0</v>
      </c>
      <c r="F2104" s="336">
        <v>0</v>
      </c>
      <c r="G2104" s="258">
        <f t="shared" si="547"/>
        <v>0</v>
      </c>
      <c r="H2104" s="249">
        <f t="shared" si="548"/>
        <v>6.3773983346961965E-2</v>
      </c>
      <c r="I2104" s="336">
        <v>1.0047055115273778E-2</v>
      </c>
      <c r="J2104" s="258">
        <f t="shared" si="549"/>
        <v>1.0047055115273778E-2</v>
      </c>
      <c r="K2104" s="249">
        <f t="shared" si="550"/>
        <v>6.1736550467223719</v>
      </c>
      <c r="L2104" s="336">
        <v>0.97260746878001914</v>
      </c>
      <c r="M2104" s="258">
        <f t="shared" si="551"/>
        <v>0.97260746878001914</v>
      </c>
      <c r="N2104" s="251">
        <f t="shared" si="552"/>
        <v>0.11004138303005202</v>
      </c>
      <c r="O2104" s="336">
        <v>1.7336095100864556E-2</v>
      </c>
      <c r="P2104" s="258">
        <f t="shared" si="553"/>
        <v>1.7336095100864556E-2</v>
      </c>
      <c r="Q2104" s="354">
        <v>6.1975813953488368</v>
      </c>
      <c r="R2104" s="249">
        <f t="shared" si="554"/>
        <v>6.3475299593023244</v>
      </c>
      <c r="S2104" s="355">
        <v>0.1</v>
      </c>
      <c r="T2104" s="355"/>
      <c r="U2104" s="315">
        <f t="shared" si="555"/>
        <v>6.9822829552325567</v>
      </c>
      <c r="V2104" s="315">
        <f t="shared" si="556"/>
        <v>7</v>
      </c>
      <c r="W2104" s="316">
        <f t="shared" ref="W2104:W2167" si="557">C2104*V2104</f>
        <v>0</v>
      </c>
    </row>
    <row r="2105" spans="1:23" x14ac:dyDescent="0.25">
      <c r="A2105" s="204" t="s">
        <v>17769</v>
      </c>
      <c r="B2105" s="351" t="s">
        <v>21806</v>
      </c>
      <c r="C2105" s="352"/>
      <c r="D2105" s="353" t="s">
        <v>14859</v>
      </c>
      <c r="E2105" s="249">
        <f t="shared" si="546"/>
        <v>0</v>
      </c>
      <c r="F2105" s="336">
        <v>0</v>
      </c>
      <c r="G2105" s="258">
        <f t="shared" si="547"/>
        <v>0</v>
      </c>
      <c r="H2105" s="249">
        <f t="shared" si="548"/>
        <v>10.969293642380551</v>
      </c>
      <c r="I2105" s="336">
        <v>9.8390203973641368E-3</v>
      </c>
      <c r="J2105" s="258">
        <f t="shared" si="549"/>
        <v>9.8390203973641368E-3</v>
      </c>
      <c r="K2105" s="249">
        <f t="shared" si="550"/>
        <v>1084.9799012197864</v>
      </c>
      <c r="L2105" s="336">
        <v>0.97318384636796829</v>
      </c>
      <c r="M2105" s="258">
        <f t="shared" si="551"/>
        <v>0.97318384636796829</v>
      </c>
      <c r="N2105" s="251">
        <f t="shared" si="552"/>
        <v>18.927408637833103</v>
      </c>
      <c r="O2105" s="336">
        <v>1.6977133234667527E-2</v>
      </c>
      <c r="P2105" s="258">
        <f t="shared" si="553"/>
        <v>1.6977133234667527E-2</v>
      </c>
      <c r="Q2105" s="354">
        <v>1088.5229999999999</v>
      </c>
      <c r="R2105" s="249">
        <f t="shared" si="554"/>
        <v>1114.8766035000001</v>
      </c>
      <c r="S2105" s="355">
        <v>0.1</v>
      </c>
      <c r="T2105" s="355"/>
      <c r="U2105" s="315">
        <f t="shared" si="555"/>
        <v>1226.36426385</v>
      </c>
      <c r="V2105" s="315">
        <f t="shared" si="556"/>
        <v>1250</v>
      </c>
      <c r="W2105" s="316">
        <f t="shared" si="557"/>
        <v>0</v>
      </c>
    </row>
    <row r="2106" spans="1:23" x14ac:dyDescent="0.25">
      <c r="A2106" s="204" t="s">
        <v>17770</v>
      </c>
      <c r="B2106" s="351" t="s">
        <v>21807</v>
      </c>
      <c r="C2106" s="352"/>
      <c r="D2106" s="353" t="s">
        <v>5</v>
      </c>
      <c r="E2106" s="249">
        <f t="shared" si="546"/>
        <v>0</v>
      </c>
      <c r="F2106" s="336">
        <v>0</v>
      </c>
      <c r="G2106" s="258">
        <f t="shared" si="547"/>
        <v>0</v>
      </c>
      <c r="H2106" s="249">
        <f t="shared" si="548"/>
        <v>6.3774376986142883E-2</v>
      </c>
      <c r="I2106" s="336">
        <v>9.8390203973641368E-3</v>
      </c>
      <c r="J2106" s="258">
        <f t="shared" si="549"/>
        <v>9.8390203973641368E-3</v>
      </c>
      <c r="K2106" s="249">
        <f t="shared" si="550"/>
        <v>6.3079051682625424</v>
      </c>
      <c r="L2106" s="336">
        <v>0.97317465960756</v>
      </c>
      <c r="M2106" s="258">
        <f t="shared" si="551"/>
        <v>0.97317465960756</v>
      </c>
      <c r="N2106" s="251">
        <f t="shared" si="552"/>
        <v>0.11004206225059947</v>
      </c>
      <c r="O2106" s="336">
        <v>1.6977133234667527E-2</v>
      </c>
      <c r="P2106" s="258">
        <f t="shared" si="553"/>
        <v>1.6977133234667527E-2</v>
      </c>
      <c r="Q2106" s="354">
        <v>6.3286220930232551</v>
      </c>
      <c r="R2106" s="249">
        <f t="shared" si="554"/>
        <v>6.4817811540697665</v>
      </c>
      <c r="S2106" s="355">
        <v>0.1</v>
      </c>
      <c r="T2106" s="355"/>
      <c r="U2106" s="315">
        <f t="shared" si="555"/>
        <v>7.1299592694767435</v>
      </c>
      <c r="V2106" s="315">
        <f t="shared" si="556"/>
        <v>8</v>
      </c>
      <c r="W2106" s="316">
        <f t="shared" si="557"/>
        <v>0</v>
      </c>
    </row>
    <row r="2107" spans="1:23" x14ac:dyDescent="0.25">
      <c r="A2107" s="204" t="s">
        <v>17771</v>
      </c>
      <c r="B2107" s="351" t="s">
        <v>21808</v>
      </c>
      <c r="C2107" s="352"/>
      <c r="D2107" s="353" t="s">
        <v>14859</v>
      </c>
      <c r="E2107" s="249">
        <f t="shared" si="546"/>
        <v>0</v>
      </c>
      <c r="F2107" s="336">
        <v>0</v>
      </c>
      <c r="G2107" s="258">
        <f t="shared" si="547"/>
        <v>0</v>
      </c>
      <c r="H2107" s="249">
        <f t="shared" si="548"/>
        <v>10.969345308140104</v>
      </c>
      <c r="I2107" s="336">
        <v>9.675111385736122E-3</v>
      </c>
      <c r="J2107" s="258">
        <f t="shared" si="549"/>
        <v>9.675111385736122E-3</v>
      </c>
      <c r="K2107" s="249">
        <f t="shared" si="550"/>
        <v>1103.8725649052653</v>
      </c>
      <c r="L2107" s="336">
        <v>0.97363057877220938</v>
      </c>
      <c r="M2107" s="258">
        <f t="shared" si="551"/>
        <v>0.97363057877220938</v>
      </c>
      <c r="N2107" s="251">
        <f t="shared" si="552"/>
        <v>18.927497786594689</v>
      </c>
      <c r="O2107" s="336">
        <v>1.6694309842054486E-2</v>
      </c>
      <c r="P2107" s="258">
        <f t="shared" si="553"/>
        <v>1.6694309842054486E-2</v>
      </c>
      <c r="Q2107" s="354">
        <v>1106.9639999999999</v>
      </c>
      <c r="R2107" s="249">
        <f t="shared" si="554"/>
        <v>1133.7694080000001</v>
      </c>
      <c r="S2107" s="355">
        <v>0.1</v>
      </c>
      <c r="T2107" s="355"/>
      <c r="U2107" s="315">
        <f t="shared" si="555"/>
        <v>1247.1463488000002</v>
      </c>
      <c r="V2107" s="315">
        <f t="shared" si="556"/>
        <v>1250</v>
      </c>
      <c r="W2107" s="316">
        <f t="shared" si="557"/>
        <v>0</v>
      </c>
    </row>
    <row r="2108" spans="1:23" x14ac:dyDescent="0.25">
      <c r="A2108" s="204" t="s">
        <v>17772</v>
      </c>
      <c r="B2108" s="351" t="s">
        <v>21809</v>
      </c>
      <c r="C2108" s="352"/>
      <c r="D2108" s="353" t="s">
        <v>5</v>
      </c>
      <c r="E2108" s="249">
        <f t="shared" si="546"/>
        <v>0</v>
      </c>
      <c r="F2108" s="336">
        <v>0</v>
      </c>
      <c r="G2108" s="258">
        <f t="shared" si="547"/>
        <v>0</v>
      </c>
      <c r="H2108" s="249">
        <f t="shared" si="548"/>
        <v>6.3774687131534627E-2</v>
      </c>
      <c r="I2108" s="336">
        <v>9.6751113857361237E-3</v>
      </c>
      <c r="J2108" s="258">
        <f t="shared" si="549"/>
        <v>9.6751113857361237E-3</v>
      </c>
      <c r="K2108" s="249">
        <f t="shared" si="550"/>
        <v>6.4177462093026403</v>
      </c>
      <c r="L2108" s="336">
        <v>0.97362154505476239</v>
      </c>
      <c r="M2108" s="258">
        <f t="shared" si="551"/>
        <v>0.97362154505476239</v>
      </c>
      <c r="N2108" s="251">
        <f t="shared" si="552"/>
        <v>0.11004259740343229</v>
      </c>
      <c r="O2108" s="336">
        <v>1.6694309842054486E-2</v>
      </c>
      <c r="P2108" s="258">
        <f t="shared" si="553"/>
        <v>1.6694309842054486E-2</v>
      </c>
      <c r="Q2108" s="354">
        <v>6.4358372093023251</v>
      </c>
      <c r="R2108" s="249">
        <f t="shared" si="554"/>
        <v>6.5916230406976739</v>
      </c>
      <c r="S2108" s="355">
        <v>0.1</v>
      </c>
      <c r="T2108" s="355"/>
      <c r="U2108" s="315">
        <f t="shared" si="555"/>
        <v>7.2507853447674417</v>
      </c>
      <c r="V2108" s="315">
        <f t="shared" si="556"/>
        <v>8</v>
      </c>
      <c r="W2108" s="316">
        <f t="shared" si="557"/>
        <v>0</v>
      </c>
    </row>
    <row r="2109" spans="1:23" x14ac:dyDescent="0.25">
      <c r="A2109" s="204" t="s">
        <v>17773</v>
      </c>
      <c r="B2109" s="351" t="s">
        <v>21810</v>
      </c>
      <c r="C2109" s="352"/>
      <c r="D2109" s="353" t="s">
        <v>14859</v>
      </c>
      <c r="E2109" s="249">
        <f t="shared" si="546"/>
        <v>0</v>
      </c>
      <c r="F2109" s="336">
        <v>0</v>
      </c>
      <c r="G2109" s="258">
        <f t="shared" si="547"/>
        <v>0</v>
      </c>
      <c r="H2109" s="249">
        <f t="shared" si="548"/>
        <v>10.969530862181308</v>
      </c>
      <c r="I2109" s="336">
        <v>9.0864433828039704E-3</v>
      </c>
      <c r="J2109" s="258">
        <f t="shared" si="549"/>
        <v>9.0864433828039704E-3</v>
      </c>
      <c r="K2109" s="249">
        <f t="shared" si="550"/>
        <v>1177.3440766795452</v>
      </c>
      <c r="L2109" s="336">
        <v>0.97523498764294603</v>
      </c>
      <c r="M2109" s="258">
        <f t="shared" si="551"/>
        <v>0.97523498764294603</v>
      </c>
      <c r="N2109" s="251">
        <f t="shared" si="552"/>
        <v>18.927817958273629</v>
      </c>
      <c r="O2109" s="336">
        <v>1.5678568974249987E-2</v>
      </c>
      <c r="P2109" s="258">
        <f t="shared" si="553"/>
        <v>1.5678568974249987E-2</v>
      </c>
      <c r="Q2109" s="354">
        <v>1178.6790000000001</v>
      </c>
      <c r="R2109" s="249">
        <f t="shared" si="554"/>
        <v>1207.2414255000001</v>
      </c>
      <c r="S2109" s="355">
        <v>0.1</v>
      </c>
      <c r="T2109" s="355"/>
      <c r="U2109" s="315">
        <f t="shared" si="555"/>
        <v>1327.96556805</v>
      </c>
      <c r="V2109" s="315">
        <f t="shared" si="556"/>
        <v>1350</v>
      </c>
      <c r="W2109" s="316">
        <f t="shared" si="557"/>
        <v>0</v>
      </c>
    </row>
    <row r="2110" spans="1:23" x14ac:dyDescent="0.25">
      <c r="A2110" s="204" t="s">
        <v>17774</v>
      </c>
      <c r="B2110" s="351" t="s">
        <v>21811</v>
      </c>
      <c r="C2110" s="352"/>
      <c r="D2110" s="353" t="s">
        <v>5</v>
      </c>
      <c r="E2110" s="249">
        <f t="shared" si="546"/>
        <v>0</v>
      </c>
      <c r="F2110" s="336">
        <v>0</v>
      </c>
      <c r="G2110" s="258">
        <f t="shared" si="547"/>
        <v>0</v>
      </c>
      <c r="H2110" s="249">
        <f t="shared" si="548"/>
        <v>6.3775800997493318E-2</v>
      </c>
      <c r="I2110" s="336">
        <v>9.0864433828039704E-3</v>
      </c>
      <c r="J2110" s="258">
        <f t="shared" si="549"/>
        <v>9.0864433828039704E-3</v>
      </c>
      <c r="K2110" s="249">
        <f t="shared" si="550"/>
        <v>6.8449060648737259</v>
      </c>
      <c r="L2110" s="336">
        <v>0.97522650356882568</v>
      </c>
      <c r="M2110" s="258">
        <f t="shared" si="551"/>
        <v>0.97522650356882568</v>
      </c>
      <c r="N2110" s="251">
        <f t="shared" si="552"/>
        <v>0.11004451936822375</v>
      </c>
      <c r="O2110" s="336">
        <v>1.5678568974249987E-2</v>
      </c>
      <c r="P2110" s="258">
        <f t="shared" si="553"/>
        <v>1.5678568974249987E-2</v>
      </c>
      <c r="Q2110" s="354">
        <v>6.8527848837209309</v>
      </c>
      <c r="R2110" s="249">
        <f t="shared" si="554"/>
        <v>7.0187859331395348</v>
      </c>
      <c r="S2110" s="355">
        <v>0.1</v>
      </c>
      <c r="T2110" s="355"/>
      <c r="U2110" s="315">
        <f t="shared" si="555"/>
        <v>7.7206645264534881</v>
      </c>
      <c r="V2110" s="315">
        <f t="shared" si="556"/>
        <v>8</v>
      </c>
      <c r="W2110" s="316">
        <f t="shared" si="557"/>
        <v>0</v>
      </c>
    </row>
    <row r="2111" spans="1:23" x14ac:dyDescent="0.25">
      <c r="A2111" s="204" t="s">
        <v>17775</v>
      </c>
      <c r="B2111" s="351" t="s">
        <v>21812</v>
      </c>
      <c r="C2111" s="352"/>
      <c r="D2111" s="353" t="s">
        <v>14859</v>
      </c>
      <c r="E2111" s="249">
        <f t="shared" si="546"/>
        <v>0</v>
      </c>
      <c r="F2111" s="336">
        <v>0</v>
      </c>
      <c r="G2111" s="258">
        <f t="shared" si="547"/>
        <v>0</v>
      </c>
      <c r="H2111" s="249">
        <f t="shared" si="548"/>
        <v>10.969530862181308</v>
      </c>
      <c r="I2111" s="336">
        <v>9.0864433828039704E-3</v>
      </c>
      <c r="J2111" s="258">
        <f t="shared" si="549"/>
        <v>9.0864433828039704E-3</v>
      </c>
      <c r="K2111" s="249">
        <f t="shared" si="550"/>
        <v>1177.3440766795452</v>
      </c>
      <c r="L2111" s="336">
        <v>0.97523498764294603</v>
      </c>
      <c r="M2111" s="258">
        <f t="shared" si="551"/>
        <v>0.97523498764294603</v>
      </c>
      <c r="N2111" s="251">
        <f t="shared" si="552"/>
        <v>18.927817958273629</v>
      </c>
      <c r="O2111" s="336">
        <v>1.5678568974249987E-2</v>
      </c>
      <c r="P2111" s="258">
        <f t="shared" si="553"/>
        <v>1.5678568974249987E-2</v>
      </c>
      <c r="Q2111" s="354">
        <v>1178.6790000000001</v>
      </c>
      <c r="R2111" s="249">
        <f t="shared" si="554"/>
        <v>1207.2414255000001</v>
      </c>
      <c r="S2111" s="355">
        <v>0.1</v>
      </c>
      <c r="T2111" s="355"/>
      <c r="U2111" s="315">
        <f t="shared" si="555"/>
        <v>1327.96556805</v>
      </c>
      <c r="V2111" s="315">
        <f t="shared" si="556"/>
        <v>1350</v>
      </c>
      <c r="W2111" s="316">
        <f t="shared" si="557"/>
        <v>0</v>
      </c>
    </row>
    <row r="2112" spans="1:23" x14ac:dyDescent="0.25">
      <c r="A2112" s="204" t="s">
        <v>17776</v>
      </c>
      <c r="B2112" s="351" t="s">
        <v>21813</v>
      </c>
      <c r="C2112" s="352"/>
      <c r="D2112" s="353" t="s">
        <v>5</v>
      </c>
      <c r="E2112" s="249">
        <f t="shared" si="546"/>
        <v>0</v>
      </c>
      <c r="F2112" s="336">
        <v>0</v>
      </c>
      <c r="G2112" s="258">
        <f t="shared" si="547"/>
        <v>0</v>
      </c>
      <c r="H2112" s="249">
        <f t="shared" si="548"/>
        <v>6.3775800997493318E-2</v>
      </c>
      <c r="I2112" s="336">
        <v>9.0864433828039704E-3</v>
      </c>
      <c r="J2112" s="258">
        <f t="shared" si="549"/>
        <v>9.0864433828039704E-3</v>
      </c>
      <c r="K2112" s="249">
        <f t="shared" si="550"/>
        <v>6.8449060648737259</v>
      </c>
      <c r="L2112" s="336">
        <v>0.97522650356882568</v>
      </c>
      <c r="M2112" s="258">
        <f t="shared" si="551"/>
        <v>0.97522650356882568</v>
      </c>
      <c r="N2112" s="251">
        <f t="shared" si="552"/>
        <v>0.11004451936822375</v>
      </c>
      <c r="O2112" s="336">
        <v>1.5678568974249987E-2</v>
      </c>
      <c r="P2112" s="258">
        <f t="shared" si="553"/>
        <v>1.5678568974249987E-2</v>
      </c>
      <c r="Q2112" s="354">
        <v>6.8527848837209309</v>
      </c>
      <c r="R2112" s="249">
        <f t="shared" si="554"/>
        <v>7.0187859331395348</v>
      </c>
      <c r="S2112" s="355">
        <v>0.1</v>
      </c>
      <c r="T2112" s="355"/>
      <c r="U2112" s="315">
        <f t="shared" si="555"/>
        <v>7.7206645264534881</v>
      </c>
      <c r="V2112" s="315">
        <f t="shared" si="556"/>
        <v>8</v>
      </c>
      <c r="W2112" s="316">
        <f t="shared" si="557"/>
        <v>0</v>
      </c>
    </row>
    <row r="2113" spans="1:23" x14ac:dyDescent="0.25">
      <c r="A2113" s="204" t="s">
        <v>17777</v>
      </c>
      <c r="B2113" s="351" t="s">
        <v>21814</v>
      </c>
      <c r="C2113" s="352"/>
      <c r="D2113" s="353" t="s">
        <v>14859</v>
      </c>
      <c r="E2113" s="249">
        <f t="shared" si="546"/>
        <v>0</v>
      </c>
      <c r="F2113" s="336">
        <v>0</v>
      </c>
      <c r="G2113" s="258">
        <f t="shared" si="547"/>
        <v>0</v>
      </c>
      <c r="H2113" s="249">
        <f t="shared" si="548"/>
        <v>10.969582204313305</v>
      </c>
      <c r="I2113" s="336">
        <v>8.9235610757765309E-3</v>
      </c>
      <c r="J2113" s="258">
        <f t="shared" si="549"/>
        <v>8.9235610757765309E-3</v>
      </c>
      <c r="K2113" s="249">
        <f t="shared" si="550"/>
        <v>1199.3855419970678</v>
      </c>
      <c r="L2113" s="336">
        <v>0.97567892177386395</v>
      </c>
      <c r="M2113" s="258">
        <f t="shared" si="551"/>
        <v>0.97567892177386395</v>
      </c>
      <c r="N2113" s="251">
        <f t="shared" si="552"/>
        <v>18.927906548619035</v>
      </c>
      <c r="O2113" s="336">
        <v>1.5397517150359504E-2</v>
      </c>
      <c r="P2113" s="258">
        <f t="shared" si="553"/>
        <v>1.5397517150359504E-2</v>
      </c>
      <c r="Q2113" s="354">
        <v>1200.1935000000001</v>
      </c>
      <c r="R2113" s="249">
        <f t="shared" si="554"/>
        <v>1229.2830307500001</v>
      </c>
      <c r="S2113" s="355">
        <v>0.1</v>
      </c>
      <c r="T2113" s="355"/>
      <c r="U2113" s="315">
        <f t="shared" si="555"/>
        <v>1352.2113338250001</v>
      </c>
      <c r="V2113" s="315">
        <f t="shared" si="556"/>
        <v>1375</v>
      </c>
      <c r="W2113" s="316">
        <f t="shared" si="557"/>
        <v>0</v>
      </c>
    </row>
    <row r="2114" spans="1:23" x14ac:dyDescent="0.25">
      <c r="A2114" s="204" t="s">
        <v>17778</v>
      </c>
      <c r="B2114" s="351" t="s">
        <v>21815</v>
      </c>
      <c r="C2114" s="352"/>
      <c r="D2114" s="353" t="s">
        <v>5</v>
      </c>
      <c r="E2114" s="249">
        <f t="shared" ref="E2114:E2177" si="558">R2114*G2114</f>
        <v>0</v>
      </c>
      <c r="F2114" s="336">
        <v>0</v>
      </c>
      <c r="G2114" s="258">
        <f t="shared" ref="G2114:G2177" si="559">F2114</f>
        <v>0</v>
      </c>
      <c r="H2114" s="249">
        <f t="shared" ref="H2114:H2177" si="560">R2114*J2114</f>
        <v>6.3776109200174902E-2</v>
      </c>
      <c r="I2114" s="336">
        <v>8.9235610757765309E-3</v>
      </c>
      <c r="J2114" s="258">
        <f t="shared" ref="J2114:J2177" si="561">I2114</f>
        <v>8.9235610757765309E-3</v>
      </c>
      <c r="K2114" s="249">
        <f t="shared" ref="K2114:K2177" si="562">R2114*M2114</f>
        <v>6.9730540923151256</v>
      </c>
      <c r="L2114" s="336">
        <v>0.97567058978406385</v>
      </c>
      <c r="M2114" s="258">
        <f t="shared" ref="M2114:M2177" si="563">L2114</f>
        <v>0.97567058978406385</v>
      </c>
      <c r="N2114" s="251">
        <f t="shared" ref="N2114:N2177" si="564">P2114*R2114</f>
        <v>0.11004505116892922</v>
      </c>
      <c r="O2114" s="336">
        <v>1.5397517150359502E-2</v>
      </c>
      <c r="P2114" s="258">
        <f t="shared" ref="P2114:P2177" si="565">O2114</f>
        <v>1.5397517150359502E-2</v>
      </c>
      <c r="Q2114" s="354">
        <v>6.9778691860465125</v>
      </c>
      <c r="R2114" s="249">
        <f t="shared" ref="R2114:R2177" si="566">SUM(F2114*Q2114*1.0235,I2114*Q2114*1.0175,L2114*Q2114*1.0245,O2114*Q2114*1.0115)</f>
        <v>7.146934800872093</v>
      </c>
      <c r="S2114" s="355">
        <v>0.1</v>
      </c>
      <c r="T2114" s="355"/>
      <c r="U2114" s="315">
        <f t="shared" si="555"/>
        <v>7.8616282809593026</v>
      </c>
      <c r="V2114" s="315">
        <f t="shared" si="556"/>
        <v>8</v>
      </c>
      <c r="W2114" s="316">
        <f t="shared" si="557"/>
        <v>0</v>
      </c>
    </row>
    <row r="2115" spans="1:23" x14ac:dyDescent="0.25">
      <c r="A2115" s="204" t="s">
        <v>17779</v>
      </c>
      <c r="B2115" s="351" t="s">
        <v>21816</v>
      </c>
      <c r="C2115" s="352"/>
      <c r="D2115" s="353" t="s">
        <v>14859</v>
      </c>
      <c r="E2115" s="249">
        <f t="shared" si="558"/>
        <v>0</v>
      </c>
      <c r="F2115" s="336">
        <v>0</v>
      </c>
      <c r="G2115" s="258">
        <f t="shared" si="559"/>
        <v>0</v>
      </c>
      <c r="H2115" s="249">
        <f t="shared" si="560"/>
        <v>10.969582204313305</v>
      </c>
      <c r="I2115" s="336">
        <v>8.9235610757765309E-3</v>
      </c>
      <c r="J2115" s="258">
        <f t="shared" si="561"/>
        <v>8.9235610757765309E-3</v>
      </c>
      <c r="K2115" s="249">
        <f t="shared" si="562"/>
        <v>1199.3855419970678</v>
      </c>
      <c r="L2115" s="336">
        <v>0.97567892177386395</v>
      </c>
      <c r="M2115" s="258">
        <f t="shared" si="563"/>
        <v>0.97567892177386395</v>
      </c>
      <c r="N2115" s="251">
        <f t="shared" si="564"/>
        <v>18.927906548619035</v>
      </c>
      <c r="O2115" s="336">
        <v>1.5397517150359504E-2</v>
      </c>
      <c r="P2115" s="258">
        <f t="shared" si="565"/>
        <v>1.5397517150359504E-2</v>
      </c>
      <c r="Q2115" s="354">
        <v>1200.1935000000001</v>
      </c>
      <c r="R2115" s="249">
        <f t="shared" si="566"/>
        <v>1229.2830307500001</v>
      </c>
      <c r="S2115" s="355">
        <v>0.1</v>
      </c>
      <c r="T2115" s="355"/>
      <c r="U2115" s="315">
        <f t="shared" si="555"/>
        <v>1352.2113338250001</v>
      </c>
      <c r="V2115" s="315">
        <f t="shared" si="556"/>
        <v>1375</v>
      </c>
      <c r="W2115" s="316">
        <f t="shared" si="557"/>
        <v>0</v>
      </c>
    </row>
    <row r="2116" spans="1:23" x14ac:dyDescent="0.25">
      <c r="A2116" s="204" t="s">
        <v>17780</v>
      </c>
      <c r="B2116" s="351" t="s">
        <v>21817</v>
      </c>
      <c r="C2116" s="352"/>
      <c r="D2116" s="353" t="s">
        <v>5</v>
      </c>
      <c r="E2116" s="249">
        <f t="shared" si="558"/>
        <v>0</v>
      </c>
      <c r="F2116" s="336">
        <v>0</v>
      </c>
      <c r="G2116" s="258">
        <f t="shared" si="559"/>
        <v>0</v>
      </c>
      <c r="H2116" s="249">
        <f t="shared" si="560"/>
        <v>6.3776109200174902E-2</v>
      </c>
      <c r="I2116" s="336">
        <v>8.9235610757765309E-3</v>
      </c>
      <c r="J2116" s="258">
        <f t="shared" si="561"/>
        <v>8.9235610757765309E-3</v>
      </c>
      <c r="K2116" s="249">
        <f t="shared" si="562"/>
        <v>6.9730540923151256</v>
      </c>
      <c r="L2116" s="336">
        <v>0.97567058978406385</v>
      </c>
      <c r="M2116" s="258">
        <f t="shared" si="563"/>
        <v>0.97567058978406385</v>
      </c>
      <c r="N2116" s="251">
        <f t="shared" si="564"/>
        <v>0.11004505116892922</v>
      </c>
      <c r="O2116" s="336">
        <v>1.5397517150359502E-2</v>
      </c>
      <c r="P2116" s="258">
        <f t="shared" si="565"/>
        <v>1.5397517150359502E-2</v>
      </c>
      <c r="Q2116" s="354">
        <v>6.9778691860465125</v>
      </c>
      <c r="R2116" s="249">
        <f t="shared" si="566"/>
        <v>7.146934800872093</v>
      </c>
      <c r="S2116" s="355">
        <v>0.1</v>
      </c>
      <c r="T2116" s="355"/>
      <c r="U2116" s="315">
        <f t="shared" si="555"/>
        <v>7.8616282809593026</v>
      </c>
      <c r="V2116" s="315">
        <f t="shared" si="556"/>
        <v>8</v>
      </c>
      <c r="W2116" s="316">
        <f t="shared" si="557"/>
        <v>0</v>
      </c>
    </row>
    <row r="2117" spans="1:23" x14ac:dyDescent="0.25">
      <c r="A2117" s="204" t="s">
        <v>17781</v>
      </c>
      <c r="B2117" s="351" t="s">
        <v>21818</v>
      </c>
      <c r="C2117" s="352"/>
      <c r="D2117" s="353" t="s">
        <v>14859</v>
      </c>
      <c r="E2117" s="249">
        <f t="shared" si="558"/>
        <v>0</v>
      </c>
      <c r="F2117" s="336">
        <v>0</v>
      </c>
      <c r="G2117" s="258">
        <f t="shared" si="559"/>
        <v>0</v>
      </c>
      <c r="H2117" s="249">
        <f t="shared" si="560"/>
        <v>10.96965926772404</v>
      </c>
      <c r="I2117" s="336">
        <v>8.6790783159184509E-3</v>
      </c>
      <c r="J2117" s="258">
        <f t="shared" si="561"/>
        <v>8.6790783159184509E-3</v>
      </c>
      <c r="K2117" s="249">
        <f t="shared" si="562"/>
        <v>1234.0221402114973</v>
      </c>
      <c r="L2117" s="336">
        <v>0.97634525713896736</v>
      </c>
      <c r="M2117" s="258">
        <f t="shared" si="563"/>
        <v>0.97634525713896736</v>
      </c>
      <c r="N2117" s="251">
        <f t="shared" si="564"/>
        <v>18.928039520778736</v>
      </c>
      <c r="O2117" s="336">
        <v>1.497566454511419E-2</v>
      </c>
      <c r="P2117" s="258">
        <f t="shared" si="565"/>
        <v>1.497566454511419E-2</v>
      </c>
      <c r="Q2117" s="354">
        <v>1234.002</v>
      </c>
      <c r="R2117" s="249">
        <f t="shared" si="566"/>
        <v>1263.9198390000001</v>
      </c>
      <c r="S2117" s="355">
        <v>0.1</v>
      </c>
      <c r="T2117" s="355"/>
      <c r="U2117" s="315">
        <f t="shared" si="555"/>
        <v>1390.3118229000002</v>
      </c>
      <c r="V2117" s="315">
        <f t="shared" si="556"/>
        <v>1400</v>
      </c>
      <c r="W2117" s="316">
        <f t="shared" si="557"/>
        <v>0</v>
      </c>
    </row>
    <row r="2118" spans="1:23" x14ac:dyDescent="0.25">
      <c r="A2118" s="204" t="s">
        <v>17782</v>
      </c>
      <c r="B2118" s="351" t="s">
        <v>21819</v>
      </c>
      <c r="C2118" s="352"/>
      <c r="D2118" s="353" t="s">
        <v>5</v>
      </c>
      <c r="E2118" s="249">
        <f t="shared" si="558"/>
        <v>0</v>
      </c>
      <c r="F2118" s="336">
        <v>0</v>
      </c>
      <c r="G2118" s="258">
        <f t="shared" si="559"/>
        <v>0</v>
      </c>
      <c r="H2118" s="249">
        <f t="shared" si="560"/>
        <v>6.3776571805620311E-2</v>
      </c>
      <c r="I2118" s="336">
        <v>8.6790783159184526E-3</v>
      </c>
      <c r="J2118" s="258">
        <f t="shared" si="561"/>
        <v>8.6790783159184526E-3</v>
      </c>
      <c r="K2118" s="249">
        <f t="shared" si="562"/>
        <v>7.1744296232077449</v>
      </c>
      <c r="L2118" s="336">
        <v>0.97633715342438665</v>
      </c>
      <c r="M2118" s="258">
        <f t="shared" si="563"/>
        <v>0.97633715342438665</v>
      </c>
      <c r="N2118" s="251">
        <f t="shared" si="564"/>
        <v>0.11004584939008995</v>
      </c>
      <c r="O2118" s="336">
        <v>1.4975664545114191E-2</v>
      </c>
      <c r="P2118" s="258">
        <f t="shared" si="565"/>
        <v>1.4975664545114191E-2</v>
      </c>
      <c r="Q2118" s="354">
        <v>7.1744302325581391</v>
      </c>
      <c r="R2118" s="249">
        <f t="shared" si="566"/>
        <v>7.3483115930232552</v>
      </c>
      <c r="S2118" s="355">
        <v>0.1</v>
      </c>
      <c r="T2118" s="355"/>
      <c r="U2118" s="315">
        <f t="shared" si="555"/>
        <v>8.0831427523255801</v>
      </c>
      <c r="V2118" s="315">
        <f t="shared" si="556"/>
        <v>9</v>
      </c>
      <c r="W2118" s="316">
        <f t="shared" si="557"/>
        <v>0</v>
      </c>
    </row>
    <row r="2119" spans="1:23" x14ac:dyDescent="0.25">
      <c r="A2119" s="204" t="s">
        <v>17783</v>
      </c>
      <c r="B2119" s="351" t="s">
        <v>21820</v>
      </c>
      <c r="C2119" s="352"/>
      <c r="D2119" s="353" t="s">
        <v>14859</v>
      </c>
      <c r="E2119" s="249">
        <f t="shared" si="558"/>
        <v>0</v>
      </c>
      <c r="F2119" s="336">
        <v>0</v>
      </c>
      <c r="G2119" s="258">
        <f t="shared" si="559"/>
        <v>0</v>
      </c>
      <c r="H2119" s="249">
        <f t="shared" si="560"/>
        <v>10.969686254164341</v>
      </c>
      <c r="I2119" s="336">
        <v>8.5934641529781045E-3</v>
      </c>
      <c r="J2119" s="258">
        <f t="shared" si="561"/>
        <v>8.5934641529781045E-3</v>
      </c>
      <c r="K2119" s="249">
        <f t="shared" si="562"/>
        <v>1246.6172696602189</v>
      </c>
      <c r="L2119" s="336">
        <v>0.97657859770070665</v>
      </c>
      <c r="M2119" s="258">
        <f t="shared" si="563"/>
        <v>0.97657859770070665</v>
      </c>
      <c r="N2119" s="251">
        <f t="shared" si="564"/>
        <v>18.928086085616901</v>
      </c>
      <c r="O2119" s="336">
        <v>1.482793814631516E-2</v>
      </c>
      <c r="P2119" s="258">
        <f t="shared" si="565"/>
        <v>1.482793814631516E-2</v>
      </c>
      <c r="Q2119" s="354">
        <v>1246.296</v>
      </c>
      <c r="R2119" s="249">
        <f t="shared" si="566"/>
        <v>1276.5150420000002</v>
      </c>
      <c r="S2119" s="355">
        <v>0.1</v>
      </c>
      <c r="T2119" s="355"/>
      <c r="U2119" s="315">
        <f t="shared" si="555"/>
        <v>1404.1665462000003</v>
      </c>
      <c r="V2119" s="315">
        <f t="shared" si="556"/>
        <v>1425</v>
      </c>
      <c r="W2119" s="316">
        <f t="shared" si="557"/>
        <v>0</v>
      </c>
    </row>
    <row r="2120" spans="1:23" x14ac:dyDescent="0.25">
      <c r="A2120" s="204" t="s">
        <v>17784</v>
      </c>
      <c r="B2120" s="351" t="s">
        <v>21821</v>
      </c>
      <c r="C2120" s="352"/>
      <c r="D2120" s="353" t="s">
        <v>5</v>
      </c>
      <c r="E2120" s="249">
        <f t="shared" si="558"/>
        <v>0</v>
      </c>
      <c r="F2120" s="336">
        <v>0</v>
      </c>
      <c r="G2120" s="258">
        <f t="shared" si="559"/>
        <v>0</v>
      </c>
      <c r="H2120" s="249">
        <f t="shared" si="560"/>
        <v>6.3776733803047048E-2</v>
      </c>
      <c r="I2120" s="336">
        <v>8.5934641529781045E-3</v>
      </c>
      <c r="J2120" s="258">
        <f t="shared" si="561"/>
        <v>8.5934641529781045E-3</v>
      </c>
      <c r="K2120" s="249">
        <f t="shared" si="562"/>
        <v>7.2476571059526931</v>
      </c>
      <c r="L2120" s="336">
        <v>0.97657057392465341</v>
      </c>
      <c r="M2120" s="258">
        <f t="shared" si="563"/>
        <v>0.97657057392465341</v>
      </c>
      <c r="N2120" s="251">
        <f t="shared" si="564"/>
        <v>0.11004612891506156</v>
      </c>
      <c r="O2120" s="336">
        <v>1.482793814631516E-2</v>
      </c>
      <c r="P2120" s="258">
        <f t="shared" si="565"/>
        <v>1.482793814631516E-2</v>
      </c>
      <c r="Q2120" s="354">
        <v>7.2459069767441866</v>
      </c>
      <c r="R2120" s="249">
        <f t="shared" si="566"/>
        <v>7.4215395174418601</v>
      </c>
      <c r="S2120" s="355">
        <v>0.1</v>
      </c>
      <c r="T2120" s="355"/>
      <c r="U2120" s="315">
        <f t="shared" si="555"/>
        <v>8.1636934691860468</v>
      </c>
      <c r="V2120" s="315">
        <f t="shared" si="556"/>
        <v>9</v>
      </c>
      <c r="W2120" s="316">
        <f t="shared" si="557"/>
        <v>0</v>
      </c>
    </row>
    <row r="2121" spans="1:23" x14ac:dyDescent="0.25">
      <c r="A2121" s="204" t="s">
        <v>17785</v>
      </c>
      <c r="B2121" s="351" t="s">
        <v>21822</v>
      </c>
      <c r="C2121" s="352"/>
      <c r="D2121" s="353" t="s">
        <v>14859</v>
      </c>
      <c r="E2121" s="249">
        <f t="shared" si="558"/>
        <v>0</v>
      </c>
      <c r="F2121" s="336">
        <v>0</v>
      </c>
      <c r="G2121" s="258">
        <f t="shared" si="559"/>
        <v>0</v>
      </c>
      <c r="H2121" s="249">
        <f t="shared" si="560"/>
        <v>10.9697148950155</v>
      </c>
      <c r="I2121" s="336">
        <v>8.5026013911399089E-3</v>
      </c>
      <c r="J2121" s="258">
        <f t="shared" si="561"/>
        <v>8.5026013911399089E-3</v>
      </c>
      <c r="K2121" s="249">
        <f t="shared" si="562"/>
        <v>1260.2619948498595</v>
      </c>
      <c r="L2121" s="336">
        <v>0.97682624326728529</v>
      </c>
      <c r="M2121" s="258">
        <f t="shared" si="563"/>
        <v>0.97682624326728529</v>
      </c>
      <c r="N2121" s="251">
        <f t="shared" si="564"/>
        <v>18.928135505124786</v>
      </c>
      <c r="O2121" s="336">
        <v>1.4671155341574746E-2</v>
      </c>
      <c r="P2121" s="258">
        <f t="shared" si="565"/>
        <v>1.4671155341574746E-2</v>
      </c>
      <c r="Q2121" s="354">
        <v>1259.6144999999999</v>
      </c>
      <c r="R2121" s="249">
        <f t="shared" si="566"/>
        <v>1290.15984525</v>
      </c>
      <c r="S2121" s="355">
        <v>0.1</v>
      </c>
      <c r="T2121" s="355"/>
      <c r="U2121" s="315">
        <f t="shared" si="555"/>
        <v>1419.175829775</v>
      </c>
      <c r="V2121" s="315">
        <f t="shared" si="556"/>
        <v>1425</v>
      </c>
      <c r="W2121" s="316">
        <f t="shared" si="557"/>
        <v>0</v>
      </c>
    </row>
    <row r="2122" spans="1:23" x14ac:dyDescent="0.25">
      <c r="A2122" s="204" t="s">
        <v>17786</v>
      </c>
      <c r="B2122" s="351" t="s">
        <v>21823</v>
      </c>
      <c r="C2122" s="352"/>
      <c r="D2122" s="353" t="s">
        <v>5</v>
      </c>
      <c r="E2122" s="249">
        <f t="shared" si="558"/>
        <v>0</v>
      </c>
      <c r="F2122" s="336">
        <v>0</v>
      </c>
      <c r="G2122" s="258">
        <f t="shared" si="559"/>
        <v>0</v>
      </c>
      <c r="H2122" s="249">
        <f t="shared" si="560"/>
        <v>6.377690573176889E-2</v>
      </c>
      <c r="I2122" s="336">
        <v>8.5026013911399106E-3</v>
      </c>
      <c r="J2122" s="258">
        <f t="shared" si="561"/>
        <v>8.5026013911399106E-3</v>
      </c>
      <c r="K2122" s="249">
        <f t="shared" si="562"/>
        <v>7.3269868886556058</v>
      </c>
      <c r="L2122" s="336">
        <v>0.97681830433041228</v>
      </c>
      <c r="M2122" s="258">
        <f t="shared" si="563"/>
        <v>0.97681830433041228</v>
      </c>
      <c r="N2122" s="251">
        <f t="shared" si="564"/>
        <v>0.11004642557638551</v>
      </c>
      <c r="O2122" s="336">
        <v>1.4671155341574746E-2</v>
      </c>
      <c r="P2122" s="258">
        <f t="shared" si="565"/>
        <v>1.4671155341574746E-2</v>
      </c>
      <c r="Q2122" s="354">
        <v>7.323340116279069</v>
      </c>
      <c r="R2122" s="249">
        <f t="shared" si="566"/>
        <v>7.5008697688953481</v>
      </c>
      <c r="S2122" s="355">
        <v>0.1</v>
      </c>
      <c r="T2122" s="355"/>
      <c r="U2122" s="315">
        <f t="shared" si="555"/>
        <v>8.2509567457848831</v>
      </c>
      <c r="V2122" s="315">
        <f t="shared" si="556"/>
        <v>9</v>
      </c>
      <c r="W2122" s="316">
        <f t="shared" si="557"/>
        <v>0</v>
      </c>
    </row>
    <row r="2123" spans="1:23" x14ac:dyDescent="0.25">
      <c r="A2123" s="204" t="s">
        <v>17787</v>
      </c>
      <c r="B2123" s="351" t="s">
        <v>21824</v>
      </c>
      <c r="C2123" s="352"/>
      <c r="D2123" s="353" t="s">
        <v>14859</v>
      </c>
      <c r="E2123" s="249">
        <f t="shared" si="558"/>
        <v>0</v>
      </c>
      <c r="F2123" s="336">
        <v>0</v>
      </c>
      <c r="G2123" s="258">
        <f t="shared" si="559"/>
        <v>0</v>
      </c>
      <c r="H2123" s="249">
        <f t="shared" si="560"/>
        <v>10.9697148950155</v>
      </c>
      <c r="I2123" s="336">
        <v>8.5026013911399089E-3</v>
      </c>
      <c r="J2123" s="258">
        <f t="shared" si="561"/>
        <v>8.5026013911399089E-3</v>
      </c>
      <c r="K2123" s="249">
        <f t="shared" si="562"/>
        <v>1260.2619948498595</v>
      </c>
      <c r="L2123" s="336">
        <v>0.97682624326728529</v>
      </c>
      <c r="M2123" s="258">
        <f t="shared" si="563"/>
        <v>0.97682624326728529</v>
      </c>
      <c r="N2123" s="251">
        <f t="shared" si="564"/>
        <v>18.928135505124786</v>
      </c>
      <c r="O2123" s="336">
        <v>1.4671155341574746E-2</v>
      </c>
      <c r="P2123" s="258">
        <f t="shared" si="565"/>
        <v>1.4671155341574746E-2</v>
      </c>
      <c r="Q2123" s="354">
        <v>1259.6144999999999</v>
      </c>
      <c r="R2123" s="249">
        <f t="shared" si="566"/>
        <v>1290.15984525</v>
      </c>
      <c r="S2123" s="355">
        <v>0.1</v>
      </c>
      <c r="T2123" s="355"/>
      <c r="U2123" s="315">
        <f t="shared" si="555"/>
        <v>1419.175829775</v>
      </c>
      <c r="V2123" s="315">
        <f t="shared" si="556"/>
        <v>1425</v>
      </c>
      <c r="W2123" s="316">
        <f t="shared" si="557"/>
        <v>0</v>
      </c>
    </row>
    <row r="2124" spans="1:23" x14ac:dyDescent="0.25">
      <c r="A2124" s="204" t="s">
        <v>17788</v>
      </c>
      <c r="B2124" s="351" t="s">
        <v>21825</v>
      </c>
      <c r="C2124" s="352"/>
      <c r="D2124" s="353" t="s">
        <v>5</v>
      </c>
      <c r="E2124" s="249">
        <f t="shared" si="558"/>
        <v>0</v>
      </c>
      <c r="F2124" s="336">
        <v>0</v>
      </c>
      <c r="G2124" s="258">
        <f t="shared" si="559"/>
        <v>0</v>
      </c>
      <c r="H2124" s="249">
        <f t="shared" si="560"/>
        <v>6.377690573176889E-2</v>
      </c>
      <c r="I2124" s="336">
        <v>8.5026013911399106E-3</v>
      </c>
      <c r="J2124" s="258">
        <f t="shared" si="561"/>
        <v>8.5026013911399106E-3</v>
      </c>
      <c r="K2124" s="249">
        <f t="shared" si="562"/>
        <v>7.3269868886556058</v>
      </c>
      <c r="L2124" s="336">
        <v>0.97681830433041228</v>
      </c>
      <c r="M2124" s="258">
        <f t="shared" si="563"/>
        <v>0.97681830433041228</v>
      </c>
      <c r="N2124" s="251">
        <f t="shared" si="564"/>
        <v>0.11004642557638551</v>
      </c>
      <c r="O2124" s="336">
        <v>1.4671155341574746E-2</v>
      </c>
      <c r="P2124" s="258">
        <f t="shared" si="565"/>
        <v>1.4671155341574746E-2</v>
      </c>
      <c r="Q2124" s="354">
        <v>7.323340116279069</v>
      </c>
      <c r="R2124" s="249">
        <f t="shared" si="566"/>
        <v>7.5008697688953481</v>
      </c>
      <c r="S2124" s="355">
        <v>0.1</v>
      </c>
      <c r="T2124" s="355"/>
      <c r="U2124" s="315">
        <f t="shared" si="555"/>
        <v>8.2509567457848831</v>
      </c>
      <c r="V2124" s="315">
        <f t="shared" si="556"/>
        <v>9</v>
      </c>
      <c r="W2124" s="316">
        <f t="shared" si="557"/>
        <v>0</v>
      </c>
    </row>
    <row r="2125" spans="1:23" x14ac:dyDescent="0.25">
      <c r="A2125" s="204" t="s">
        <v>17789</v>
      </c>
      <c r="B2125" s="351" t="s">
        <v>21826</v>
      </c>
      <c r="C2125" s="352"/>
      <c r="D2125" s="353" t="s">
        <v>14859</v>
      </c>
      <c r="E2125" s="249">
        <f t="shared" si="558"/>
        <v>0</v>
      </c>
      <c r="F2125" s="336">
        <v>0</v>
      </c>
      <c r="G2125" s="258">
        <f t="shared" si="559"/>
        <v>0</v>
      </c>
      <c r="H2125" s="249">
        <f t="shared" si="560"/>
        <v>10.969742936537116</v>
      </c>
      <c r="I2125" s="336">
        <v>8.413639995192207E-3</v>
      </c>
      <c r="J2125" s="258">
        <f t="shared" si="561"/>
        <v>8.413639995192207E-3</v>
      </c>
      <c r="K2125" s="249">
        <f t="shared" si="562"/>
        <v>1273.9067216729673</v>
      </c>
      <c r="L2125" s="336">
        <v>0.97706870667977019</v>
      </c>
      <c r="M2125" s="258">
        <f t="shared" si="563"/>
        <v>0.97706870667977019</v>
      </c>
      <c r="N2125" s="251">
        <f t="shared" si="564"/>
        <v>18.928183890495415</v>
      </c>
      <c r="O2125" s="336">
        <v>1.4517653325037532E-2</v>
      </c>
      <c r="P2125" s="258">
        <f t="shared" si="565"/>
        <v>1.4517653325037532E-2</v>
      </c>
      <c r="Q2125" s="354">
        <v>1272.933</v>
      </c>
      <c r="R2125" s="249">
        <f t="shared" si="566"/>
        <v>1303.8046485</v>
      </c>
      <c r="S2125" s="355">
        <v>0.1</v>
      </c>
      <c r="T2125" s="355"/>
      <c r="U2125" s="315">
        <f t="shared" si="555"/>
        <v>1434.1851133499999</v>
      </c>
      <c r="V2125" s="315">
        <f t="shared" si="556"/>
        <v>1450</v>
      </c>
      <c r="W2125" s="316">
        <f t="shared" si="557"/>
        <v>0</v>
      </c>
    </row>
    <row r="2126" spans="1:23" x14ac:dyDescent="0.25">
      <c r="A2126" s="204" t="s">
        <v>17790</v>
      </c>
      <c r="B2126" s="351" t="s">
        <v>21827</v>
      </c>
      <c r="C2126" s="352"/>
      <c r="D2126" s="353" t="s">
        <v>5</v>
      </c>
      <c r="E2126" s="249">
        <f t="shared" si="558"/>
        <v>0</v>
      </c>
      <c r="F2126" s="336">
        <v>0</v>
      </c>
      <c r="G2126" s="258">
        <f t="shared" si="559"/>
        <v>0</v>
      </c>
      <c r="H2126" s="249">
        <f t="shared" si="560"/>
        <v>6.3777074062763756E-2</v>
      </c>
      <c r="I2126" s="336">
        <v>8.413639995192207E-3</v>
      </c>
      <c r="J2126" s="258">
        <f t="shared" si="561"/>
        <v>8.413639995192207E-3</v>
      </c>
      <c r="K2126" s="249">
        <f t="shared" si="562"/>
        <v>7.4063166811674455</v>
      </c>
      <c r="L2126" s="336">
        <v>0.97706085080675886</v>
      </c>
      <c r="M2126" s="258">
        <f t="shared" si="563"/>
        <v>0.97706085080675886</v>
      </c>
      <c r="N2126" s="251">
        <f t="shared" si="564"/>
        <v>0.11004671602986686</v>
      </c>
      <c r="O2126" s="336">
        <v>1.4517653325037532E-2</v>
      </c>
      <c r="P2126" s="258">
        <f t="shared" si="565"/>
        <v>1.4517653325037532E-2</v>
      </c>
      <c r="Q2126" s="354">
        <v>7.4007732558139532</v>
      </c>
      <c r="R2126" s="249">
        <f t="shared" si="566"/>
        <v>7.5802000203488369</v>
      </c>
      <c r="S2126" s="355">
        <v>0.1</v>
      </c>
      <c r="T2126" s="355"/>
      <c r="U2126" s="315">
        <f t="shared" si="555"/>
        <v>8.3382200223837213</v>
      </c>
      <c r="V2126" s="315">
        <f t="shared" si="556"/>
        <v>9</v>
      </c>
      <c r="W2126" s="316">
        <f t="shared" si="557"/>
        <v>0</v>
      </c>
    </row>
    <row r="2127" spans="1:23" x14ac:dyDescent="0.25">
      <c r="A2127" s="204" t="s">
        <v>17791</v>
      </c>
      <c r="B2127" s="351" t="s">
        <v>21828</v>
      </c>
      <c r="C2127" s="352"/>
      <c r="D2127" s="353" t="s">
        <v>14859</v>
      </c>
      <c r="E2127" s="249">
        <f t="shared" si="558"/>
        <v>0</v>
      </c>
      <c r="F2127" s="336">
        <v>0</v>
      </c>
      <c r="G2127" s="258">
        <f t="shared" si="559"/>
        <v>0</v>
      </c>
      <c r="H2127" s="249">
        <f t="shared" si="560"/>
        <v>10.969681669158248</v>
      </c>
      <c r="I2127" s="336">
        <v>8.6080100306223321E-3</v>
      </c>
      <c r="J2127" s="258">
        <f t="shared" si="561"/>
        <v>8.6080100306223321E-3</v>
      </c>
      <c r="K2127" s="249">
        <f t="shared" si="562"/>
        <v>1244.459685156608</v>
      </c>
      <c r="L2127" s="336">
        <v>0.97653895305379401</v>
      </c>
      <c r="M2127" s="258">
        <f t="shared" si="563"/>
        <v>0.97653895305379401</v>
      </c>
      <c r="N2127" s="251">
        <f t="shared" si="564"/>
        <v>18.928078174233843</v>
      </c>
      <c r="O2127" s="336">
        <v>1.4853036915583633E-2</v>
      </c>
      <c r="P2127" s="258">
        <f t="shared" si="565"/>
        <v>1.4853036915583633E-2</v>
      </c>
      <c r="Q2127" s="354">
        <v>1244.19</v>
      </c>
      <c r="R2127" s="249">
        <f t="shared" si="566"/>
        <v>1274.3574450000001</v>
      </c>
      <c r="S2127" s="355">
        <v>0.1</v>
      </c>
      <c r="T2127" s="355"/>
      <c r="U2127" s="315">
        <f t="shared" si="555"/>
        <v>1401.7931895000002</v>
      </c>
      <c r="V2127" s="315">
        <f t="shared" si="556"/>
        <v>1425</v>
      </c>
      <c r="W2127" s="316">
        <f t="shared" si="557"/>
        <v>0</v>
      </c>
    </row>
    <row r="2128" spans="1:23" x14ac:dyDescent="0.25">
      <c r="A2128" s="204" t="s">
        <v>17792</v>
      </c>
      <c r="B2128" s="351" t="s">
        <v>21829</v>
      </c>
      <c r="C2128" s="352"/>
      <c r="D2128" s="353" t="s">
        <v>5</v>
      </c>
      <c r="E2128" s="249">
        <f t="shared" si="558"/>
        <v>0</v>
      </c>
      <c r="F2128" s="336">
        <v>0</v>
      </c>
      <c r="G2128" s="258">
        <f t="shared" si="559"/>
        <v>0</v>
      </c>
      <c r="H2128" s="249">
        <f t="shared" si="560"/>
        <v>6.3776706279624895E-2</v>
      </c>
      <c r="I2128" s="336">
        <v>8.6080100306223321E-3</v>
      </c>
      <c r="J2128" s="258">
        <f t="shared" si="561"/>
        <v>8.6080100306223321E-3</v>
      </c>
      <c r="K2128" s="249">
        <f t="shared" si="562"/>
        <v>7.2351130123885579</v>
      </c>
      <c r="L2128" s="336">
        <v>0.97653091569615569</v>
      </c>
      <c r="M2128" s="258">
        <f t="shared" si="563"/>
        <v>0.97653091569615569</v>
      </c>
      <c r="N2128" s="251">
        <f t="shared" si="564"/>
        <v>0.11004608142366649</v>
      </c>
      <c r="O2128" s="336">
        <v>1.4853036915583631E-2</v>
      </c>
      <c r="P2128" s="258">
        <f t="shared" si="565"/>
        <v>1.4853036915583631E-2</v>
      </c>
      <c r="Q2128" s="354">
        <v>7.2336627906976751</v>
      </c>
      <c r="R2128" s="249">
        <f t="shared" si="566"/>
        <v>7.4089953488372089</v>
      </c>
      <c r="S2128" s="355">
        <v>0.1</v>
      </c>
      <c r="T2128" s="355"/>
      <c r="U2128" s="315">
        <f t="shared" si="555"/>
        <v>8.1498948837209291</v>
      </c>
      <c r="V2128" s="315">
        <f t="shared" si="556"/>
        <v>9</v>
      </c>
      <c r="W2128" s="316">
        <f t="shared" si="557"/>
        <v>0</v>
      </c>
    </row>
    <row r="2129" spans="1:23" x14ac:dyDescent="0.25">
      <c r="A2129" s="204" t="s">
        <v>17793</v>
      </c>
      <c r="B2129" s="351" t="s">
        <v>21830</v>
      </c>
      <c r="C2129" s="352"/>
      <c r="D2129" s="353" t="s">
        <v>14859</v>
      </c>
      <c r="E2129" s="249">
        <f t="shared" si="558"/>
        <v>0</v>
      </c>
      <c r="F2129" s="336">
        <v>0</v>
      </c>
      <c r="G2129" s="258">
        <f t="shared" si="559"/>
        <v>0</v>
      </c>
      <c r="H2129" s="249">
        <f t="shared" si="560"/>
        <v>10.969778732779377</v>
      </c>
      <c r="I2129" s="336">
        <v>8.3000768396469336E-3</v>
      </c>
      <c r="J2129" s="258">
        <f t="shared" si="561"/>
        <v>8.3000768396469336E-3</v>
      </c>
      <c r="K2129" s="249">
        <f t="shared" si="562"/>
        <v>1291.7498283606601</v>
      </c>
      <c r="L2129" s="336">
        <v>0.97737822194684454</v>
      </c>
      <c r="M2129" s="258">
        <f t="shared" si="563"/>
        <v>0.97737822194684454</v>
      </c>
      <c r="N2129" s="251">
        <f t="shared" si="564"/>
        <v>18.928245656560492</v>
      </c>
      <c r="O2129" s="336">
        <v>1.4321701213508432E-2</v>
      </c>
      <c r="P2129" s="258">
        <f t="shared" si="565"/>
        <v>1.4321701213508432E-2</v>
      </c>
      <c r="Q2129" s="354">
        <v>1290.3495</v>
      </c>
      <c r="R2129" s="249">
        <f t="shared" si="566"/>
        <v>1321.6478527500001</v>
      </c>
      <c r="S2129" s="355">
        <v>0.1</v>
      </c>
      <c r="T2129" s="355"/>
      <c r="U2129" s="315">
        <f t="shared" si="555"/>
        <v>1453.8126380250001</v>
      </c>
      <c r="V2129" s="315">
        <f t="shared" si="556"/>
        <v>1475</v>
      </c>
      <c r="W2129" s="316">
        <f t="shared" si="557"/>
        <v>0</v>
      </c>
    </row>
    <row r="2130" spans="1:23" x14ac:dyDescent="0.25">
      <c r="A2130" s="204" t="s">
        <v>17794</v>
      </c>
      <c r="B2130" s="351" t="s">
        <v>21831</v>
      </c>
      <c r="C2130" s="352"/>
      <c r="D2130" s="353" t="s">
        <v>5</v>
      </c>
      <c r="E2130" s="249">
        <f t="shared" si="558"/>
        <v>0</v>
      </c>
      <c r="F2130" s="336">
        <v>0</v>
      </c>
      <c r="G2130" s="258">
        <f t="shared" si="559"/>
        <v>0</v>
      </c>
      <c r="H2130" s="249">
        <f t="shared" si="560"/>
        <v>6.3777288944721816E-2</v>
      </c>
      <c r="I2130" s="336">
        <v>8.3000768396469336E-3</v>
      </c>
      <c r="J2130" s="258">
        <f t="shared" si="561"/>
        <v>8.3000768396469336E-3</v>
      </c>
      <c r="K2130" s="249">
        <f t="shared" si="562"/>
        <v>7.5100556549011621</v>
      </c>
      <c r="L2130" s="336">
        <v>0.97737047210852557</v>
      </c>
      <c r="M2130" s="258">
        <f t="shared" si="563"/>
        <v>0.97737047210852557</v>
      </c>
      <c r="N2130" s="251">
        <f t="shared" si="564"/>
        <v>0.11004708680657882</v>
      </c>
      <c r="O2130" s="336">
        <v>1.4321701213508432E-2</v>
      </c>
      <c r="P2130" s="258">
        <f t="shared" si="565"/>
        <v>1.4321701213508432E-2</v>
      </c>
      <c r="Q2130" s="354">
        <v>7.5020319767441865</v>
      </c>
      <c r="R2130" s="249">
        <f t="shared" si="566"/>
        <v>7.6839395799418604</v>
      </c>
      <c r="S2130" s="355">
        <v>0.1</v>
      </c>
      <c r="T2130" s="355"/>
      <c r="U2130" s="315">
        <f t="shared" si="555"/>
        <v>8.4523335379360471</v>
      </c>
      <c r="V2130" s="315">
        <f t="shared" si="556"/>
        <v>9</v>
      </c>
      <c r="W2130" s="316">
        <f t="shared" si="557"/>
        <v>0</v>
      </c>
    </row>
    <row r="2131" spans="1:23" x14ac:dyDescent="0.25">
      <c r="A2131" s="204" t="s">
        <v>17795</v>
      </c>
      <c r="B2131" s="351" t="s">
        <v>21832</v>
      </c>
      <c r="C2131" s="352"/>
      <c r="D2131" s="353" t="s">
        <v>14859</v>
      </c>
      <c r="E2131" s="249">
        <f t="shared" si="558"/>
        <v>0</v>
      </c>
      <c r="F2131" s="336">
        <v>0</v>
      </c>
      <c r="G2131" s="258">
        <f t="shared" si="559"/>
        <v>0</v>
      </c>
      <c r="H2131" s="249">
        <f t="shared" si="560"/>
        <v>10.969817613804242</v>
      </c>
      <c r="I2131" s="336">
        <v>8.1767272477410932E-3</v>
      </c>
      <c r="J2131" s="258">
        <f t="shared" si="561"/>
        <v>8.1767272477410932E-3</v>
      </c>
      <c r="K2131" s="249">
        <f t="shared" si="562"/>
        <v>1311.6921271408082</v>
      </c>
      <c r="L2131" s="336">
        <v>0.97771441005027426</v>
      </c>
      <c r="M2131" s="258">
        <f t="shared" si="563"/>
        <v>0.97771441005027426</v>
      </c>
      <c r="N2131" s="251">
        <f t="shared" si="564"/>
        <v>18.928312745387711</v>
      </c>
      <c r="O2131" s="336">
        <v>1.4108862701984632E-2</v>
      </c>
      <c r="P2131" s="258">
        <f t="shared" si="565"/>
        <v>1.4108862701984632E-2</v>
      </c>
      <c r="Q2131" s="354">
        <v>1309.8150000000001</v>
      </c>
      <c r="R2131" s="249">
        <f t="shared" si="566"/>
        <v>1341.5902575000002</v>
      </c>
      <c r="S2131" s="355">
        <v>0.1</v>
      </c>
      <c r="T2131" s="355"/>
      <c r="U2131" s="315">
        <f t="shared" si="555"/>
        <v>1475.7492832500002</v>
      </c>
      <c r="V2131" s="315">
        <f t="shared" si="556"/>
        <v>1500</v>
      </c>
      <c r="W2131" s="316">
        <f t="shared" si="557"/>
        <v>0</v>
      </c>
    </row>
    <row r="2132" spans="1:23" x14ac:dyDescent="0.25">
      <c r="A2132" s="204" t="s">
        <v>17796</v>
      </c>
      <c r="B2132" s="351" t="s">
        <v>21833</v>
      </c>
      <c r="C2132" s="352"/>
      <c r="D2132" s="353" t="s">
        <v>5</v>
      </c>
      <c r="E2132" s="249">
        <f t="shared" si="558"/>
        <v>0</v>
      </c>
      <c r="F2132" s="336">
        <v>0</v>
      </c>
      <c r="G2132" s="258">
        <f t="shared" si="559"/>
        <v>0</v>
      </c>
      <c r="H2132" s="249">
        <f t="shared" si="560"/>
        <v>6.3777522344381318E-2</v>
      </c>
      <c r="I2132" s="336">
        <v>8.1767272477410932E-3</v>
      </c>
      <c r="J2132" s="258">
        <f t="shared" si="561"/>
        <v>8.1767272477410932E-3</v>
      </c>
      <c r="K2132" s="249">
        <f t="shared" si="562"/>
        <v>7.6259992322175432</v>
      </c>
      <c r="L2132" s="336">
        <v>0.97770677538431006</v>
      </c>
      <c r="M2132" s="258">
        <f t="shared" si="563"/>
        <v>0.97770677538431006</v>
      </c>
      <c r="N2132" s="251">
        <f t="shared" si="564"/>
        <v>0.11004748953540307</v>
      </c>
      <c r="O2132" s="336">
        <v>1.4108862701984632E-2</v>
      </c>
      <c r="P2132" s="258">
        <f t="shared" si="565"/>
        <v>1.4108862701984632E-2</v>
      </c>
      <c r="Q2132" s="354">
        <v>7.6152034883720932</v>
      </c>
      <c r="R2132" s="249">
        <f t="shared" si="566"/>
        <v>7.7998837936046517</v>
      </c>
      <c r="S2132" s="355">
        <v>0.1</v>
      </c>
      <c r="T2132" s="355"/>
      <c r="U2132" s="315">
        <f t="shared" si="555"/>
        <v>8.5798721729651177</v>
      </c>
      <c r="V2132" s="315">
        <f t="shared" si="556"/>
        <v>9</v>
      </c>
      <c r="W2132" s="316">
        <f t="shared" si="557"/>
        <v>0</v>
      </c>
    </row>
    <row r="2133" spans="1:23" x14ac:dyDescent="0.25">
      <c r="A2133" s="204" t="s">
        <v>17797</v>
      </c>
      <c r="B2133" s="351" t="s">
        <v>21834</v>
      </c>
      <c r="C2133" s="352"/>
      <c r="D2133" s="353" t="s">
        <v>14859</v>
      </c>
      <c r="E2133" s="249">
        <f t="shared" si="558"/>
        <v>0</v>
      </c>
      <c r="F2133" s="336">
        <v>0</v>
      </c>
      <c r="G2133" s="258">
        <f t="shared" si="559"/>
        <v>0</v>
      </c>
      <c r="H2133" s="249">
        <f t="shared" si="560"/>
        <v>10.969878629049301</v>
      </c>
      <c r="I2133" s="336">
        <v>7.98315710383583E-3</v>
      </c>
      <c r="J2133" s="258">
        <f t="shared" si="561"/>
        <v>7.98315710383583E-3</v>
      </c>
      <c r="K2133" s="249">
        <f t="shared" si="562"/>
        <v>1344.2295685943559</v>
      </c>
      <c r="L2133" s="336">
        <v>0.97824198357974157</v>
      </c>
      <c r="M2133" s="258">
        <f t="shared" si="563"/>
        <v>0.97824198357974157</v>
      </c>
      <c r="N2133" s="251">
        <f t="shared" si="564"/>
        <v>18.928418026594873</v>
      </c>
      <c r="O2133" s="336">
        <v>1.3774859316422607E-2</v>
      </c>
      <c r="P2133" s="258">
        <f t="shared" si="565"/>
        <v>1.3774859316422607E-2</v>
      </c>
      <c r="Q2133" s="354">
        <v>1341.5744999999999</v>
      </c>
      <c r="R2133" s="249">
        <f t="shared" si="566"/>
        <v>1374.12786525</v>
      </c>
      <c r="S2133" s="355">
        <v>0.1</v>
      </c>
      <c r="T2133" s="355"/>
      <c r="U2133" s="315">
        <f t="shared" si="555"/>
        <v>1511.540651775</v>
      </c>
      <c r="V2133" s="315">
        <f t="shared" si="556"/>
        <v>1525</v>
      </c>
      <c r="W2133" s="316">
        <f t="shared" si="557"/>
        <v>0</v>
      </c>
    </row>
    <row r="2134" spans="1:23" x14ac:dyDescent="0.25">
      <c r="A2134" s="204" t="s">
        <v>17798</v>
      </c>
      <c r="B2134" s="351" t="s">
        <v>21835</v>
      </c>
      <c r="C2134" s="352"/>
      <c r="D2134" s="353" t="s">
        <v>5</v>
      </c>
      <c r="E2134" s="249">
        <f t="shared" si="558"/>
        <v>0</v>
      </c>
      <c r="F2134" s="336">
        <v>0</v>
      </c>
      <c r="G2134" s="258">
        <f t="shared" si="559"/>
        <v>0</v>
      </c>
      <c r="H2134" s="249">
        <f t="shared" si="560"/>
        <v>6.3777888613981232E-2</v>
      </c>
      <c r="I2134" s="336">
        <v>7.98315710383583E-3</v>
      </c>
      <c r="J2134" s="258">
        <f t="shared" si="561"/>
        <v>7.98315710383583E-3</v>
      </c>
      <c r="K2134" s="249">
        <f t="shared" si="562"/>
        <v>7.8151703716927443</v>
      </c>
      <c r="L2134" s="336">
        <v>0.97823452965154001</v>
      </c>
      <c r="M2134" s="258">
        <f t="shared" si="563"/>
        <v>0.97823452965154001</v>
      </c>
      <c r="N2134" s="251">
        <f t="shared" si="564"/>
        <v>0.11004812153000681</v>
      </c>
      <c r="O2134" s="336">
        <v>1.3774859316422607E-2</v>
      </c>
      <c r="P2134" s="258">
        <f t="shared" si="565"/>
        <v>1.3774859316422607E-2</v>
      </c>
      <c r="Q2134" s="354">
        <v>7.7998517441860464</v>
      </c>
      <c r="R2134" s="249">
        <f t="shared" si="566"/>
        <v>7.9890559316860452</v>
      </c>
      <c r="S2134" s="355">
        <v>0.1</v>
      </c>
      <c r="T2134" s="355"/>
      <c r="U2134" s="315">
        <f t="shared" si="555"/>
        <v>8.7879615248546497</v>
      </c>
      <c r="V2134" s="315">
        <f t="shared" si="556"/>
        <v>9</v>
      </c>
      <c r="W2134" s="316">
        <f t="shared" si="557"/>
        <v>0</v>
      </c>
    </row>
    <row r="2135" spans="1:23" ht="14.4" thickBot="1" x14ac:dyDescent="0.3">
      <c r="A2135" s="356" t="s">
        <v>17799</v>
      </c>
      <c r="B2135" s="357" t="s">
        <v>21836</v>
      </c>
      <c r="C2135" s="358"/>
      <c r="D2135" s="359" t="s">
        <v>14859</v>
      </c>
      <c r="E2135" s="266">
        <f t="shared" si="558"/>
        <v>0</v>
      </c>
      <c r="F2135" s="360">
        <v>0</v>
      </c>
      <c r="G2135" s="322">
        <f t="shared" si="559"/>
        <v>0</v>
      </c>
      <c r="H2135" s="266">
        <f t="shared" si="560"/>
        <v>10.969934987080174</v>
      </c>
      <c r="I2135" s="360">
        <v>7.8043619168999415E-3</v>
      </c>
      <c r="J2135" s="322">
        <f t="shared" si="561"/>
        <v>7.8043619168999415E-3</v>
      </c>
      <c r="K2135" s="266">
        <f t="shared" si="562"/>
        <v>1375.7174224910952</v>
      </c>
      <c r="L2135" s="360">
        <v>0.9787292881088413</v>
      </c>
      <c r="M2135" s="322">
        <f t="shared" si="563"/>
        <v>0.9787292881088413</v>
      </c>
      <c r="N2135" s="270">
        <f t="shared" si="564"/>
        <v>18.928515271824615</v>
      </c>
      <c r="O2135" s="360">
        <v>1.3466349974258721E-2</v>
      </c>
      <c r="P2135" s="322">
        <f t="shared" si="565"/>
        <v>1.3466349974258721E-2</v>
      </c>
      <c r="Q2135" s="361">
        <v>1372.3095000000001</v>
      </c>
      <c r="R2135" s="266">
        <f t="shared" si="566"/>
        <v>1405.6158727500001</v>
      </c>
      <c r="S2135" s="362">
        <v>0.1</v>
      </c>
      <c r="T2135" s="362"/>
      <c r="U2135" s="324">
        <f t="shared" si="555"/>
        <v>1546.1774600250001</v>
      </c>
      <c r="V2135" s="324">
        <f t="shared" si="556"/>
        <v>1550</v>
      </c>
      <c r="W2135" s="325">
        <f t="shared" si="557"/>
        <v>0</v>
      </c>
    </row>
    <row r="2136" spans="1:23" x14ac:dyDescent="0.25">
      <c r="A2136" s="204" t="s">
        <v>17800</v>
      </c>
      <c r="B2136" s="351" t="s">
        <v>21837</v>
      </c>
      <c r="C2136" s="352"/>
      <c r="D2136" s="353" t="s">
        <v>5</v>
      </c>
      <c r="E2136" s="249">
        <f t="shared" si="558"/>
        <v>0</v>
      </c>
      <c r="F2136" s="336">
        <v>0</v>
      </c>
      <c r="G2136" s="258">
        <f t="shared" si="559"/>
        <v>0</v>
      </c>
      <c r="H2136" s="249">
        <f t="shared" si="560"/>
        <v>6.3778226926699627E-2</v>
      </c>
      <c r="I2136" s="336">
        <v>7.8043619168999415E-3</v>
      </c>
      <c r="J2136" s="258">
        <f t="shared" si="561"/>
        <v>7.8043619168999415E-3</v>
      </c>
      <c r="K2136" s="249">
        <f t="shared" si="562"/>
        <v>7.9982392603553745</v>
      </c>
      <c r="L2136" s="336">
        <v>0.97872200112292451</v>
      </c>
      <c r="M2136" s="258">
        <f t="shared" si="563"/>
        <v>0.97872200112292451</v>
      </c>
      <c r="N2136" s="251">
        <f t="shared" si="564"/>
        <v>0.11004870528528561</v>
      </c>
      <c r="O2136" s="336">
        <v>1.3466349974258721E-2</v>
      </c>
      <c r="P2136" s="258">
        <f t="shared" si="565"/>
        <v>1.3466349974258721E-2</v>
      </c>
      <c r="Q2136" s="354">
        <v>7.9785436046511631</v>
      </c>
      <c r="R2136" s="249">
        <f t="shared" si="566"/>
        <v>8.1721257427325575</v>
      </c>
      <c r="S2136" s="355">
        <v>0.1</v>
      </c>
      <c r="T2136" s="355"/>
      <c r="U2136" s="315">
        <f t="shared" si="555"/>
        <v>8.9893383170058136</v>
      </c>
      <c r="V2136" s="315">
        <f t="shared" si="556"/>
        <v>9</v>
      </c>
      <c r="W2136" s="316">
        <f t="shared" si="557"/>
        <v>0</v>
      </c>
    </row>
    <row r="2137" spans="1:23" x14ac:dyDescent="0.25">
      <c r="A2137" s="204" t="s">
        <v>17801</v>
      </c>
      <c r="B2137" s="351" t="s">
        <v>21838</v>
      </c>
      <c r="C2137" s="352"/>
      <c r="D2137" s="353" t="s">
        <v>14859</v>
      </c>
      <c r="E2137" s="249">
        <f t="shared" si="558"/>
        <v>0</v>
      </c>
      <c r="F2137" s="336">
        <v>0</v>
      </c>
      <c r="G2137" s="258">
        <f t="shared" si="559"/>
        <v>0</v>
      </c>
      <c r="H2137" s="249">
        <f t="shared" si="560"/>
        <v>10.969944135565315</v>
      </c>
      <c r="I2137" s="336">
        <v>7.775338455909258E-3</v>
      </c>
      <c r="J2137" s="258">
        <f t="shared" si="561"/>
        <v>7.775338455909258E-3</v>
      </c>
      <c r="K2137" s="249">
        <f t="shared" si="562"/>
        <v>1380.9653988069886</v>
      </c>
      <c r="L2137" s="336">
        <v>0.97880839126722763</v>
      </c>
      <c r="M2137" s="258">
        <f t="shared" si="563"/>
        <v>0.97880839126722763</v>
      </c>
      <c r="N2137" s="251">
        <f t="shared" si="564"/>
        <v>18.92853105744603</v>
      </c>
      <c r="O2137" s="336">
        <v>1.3416270276863032E-2</v>
      </c>
      <c r="P2137" s="258">
        <f t="shared" si="565"/>
        <v>1.3416270276863032E-2</v>
      </c>
      <c r="Q2137" s="354">
        <v>1377.432</v>
      </c>
      <c r="R2137" s="249">
        <f t="shared" si="566"/>
        <v>1410.8638740000001</v>
      </c>
      <c r="S2137" s="355">
        <v>0.1</v>
      </c>
      <c r="T2137" s="355"/>
      <c r="U2137" s="315">
        <f t="shared" si="555"/>
        <v>1551.9502614</v>
      </c>
      <c r="V2137" s="315">
        <f t="shared" si="556"/>
        <v>1575</v>
      </c>
      <c r="W2137" s="316">
        <f t="shared" si="557"/>
        <v>0</v>
      </c>
    </row>
    <row r="2138" spans="1:23" x14ac:dyDescent="0.25">
      <c r="A2138" s="204" t="s">
        <v>17802</v>
      </c>
      <c r="B2138" s="351" t="s">
        <v>21839</v>
      </c>
      <c r="C2138" s="352"/>
      <c r="D2138" s="353" t="s">
        <v>5</v>
      </c>
      <c r="E2138" s="249">
        <f t="shared" si="558"/>
        <v>0</v>
      </c>
      <c r="F2138" s="336">
        <v>0</v>
      </c>
      <c r="G2138" s="258">
        <f t="shared" si="559"/>
        <v>0</v>
      </c>
      <c r="H2138" s="249">
        <f t="shared" si="560"/>
        <v>6.3778281844318788E-2</v>
      </c>
      <c r="I2138" s="336">
        <v>7.775338455909258E-3</v>
      </c>
      <c r="J2138" s="258">
        <f t="shared" si="561"/>
        <v>7.775338455909258E-3</v>
      </c>
      <c r="K2138" s="249">
        <f t="shared" si="562"/>
        <v>8.0287507458010836</v>
      </c>
      <c r="L2138" s="336">
        <v>0.97880113138071423</v>
      </c>
      <c r="M2138" s="258">
        <f t="shared" si="563"/>
        <v>0.97880113138071423</v>
      </c>
      <c r="N2138" s="251">
        <f t="shared" si="564"/>
        <v>0.11004880004509908</v>
      </c>
      <c r="O2138" s="336">
        <v>1.3416270276863032E-2</v>
      </c>
      <c r="P2138" s="258">
        <f t="shared" si="565"/>
        <v>1.3416270276863032E-2</v>
      </c>
      <c r="Q2138" s="354">
        <v>8.0083255813953489</v>
      </c>
      <c r="R2138" s="249">
        <f t="shared" si="566"/>
        <v>8.2026373779069761</v>
      </c>
      <c r="S2138" s="355">
        <v>0.1</v>
      </c>
      <c r="T2138" s="355"/>
      <c r="U2138" s="315">
        <f t="shared" si="555"/>
        <v>9.0229011156976746</v>
      </c>
      <c r="V2138" s="315">
        <f t="shared" si="556"/>
        <v>10</v>
      </c>
      <c r="W2138" s="316">
        <f t="shared" si="557"/>
        <v>0</v>
      </c>
    </row>
    <row r="2139" spans="1:23" x14ac:dyDescent="0.25">
      <c r="A2139" s="204" t="s">
        <v>17803</v>
      </c>
      <c r="B2139" s="351" t="s">
        <v>21840</v>
      </c>
      <c r="C2139" s="352"/>
      <c r="D2139" s="353" t="s">
        <v>14859</v>
      </c>
      <c r="E2139" s="249">
        <f t="shared" si="558"/>
        <v>0</v>
      </c>
      <c r="F2139" s="336">
        <v>0</v>
      </c>
      <c r="G2139" s="258">
        <f t="shared" si="559"/>
        <v>0</v>
      </c>
      <c r="H2139" s="249">
        <f t="shared" si="560"/>
        <v>10.969949592067907</v>
      </c>
      <c r="I2139" s="336">
        <v>7.7580277659161818E-3</v>
      </c>
      <c r="J2139" s="258">
        <f t="shared" si="561"/>
        <v>7.7580277659161818E-3</v>
      </c>
      <c r="K2139" s="249">
        <f t="shared" si="562"/>
        <v>1384.1141846853445</v>
      </c>
      <c r="L2139" s="336">
        <v>0.97885557138309121</v>
      </c>
      <c r="M2139" s="258">
        <f t="shared" si="563"/>
        <v>0.97885557138309121</v>
      </c>
      <c r="N2139" s="251">
        <f t="shared" si="564"/>
        <v>18.928540472587763</v>
      </c>
      <c r="O2139" s="336">
        <v>1.3386400850992627E-2</v>
      </c>
      <c r="P2139" s="258">
        <f t="shared" si="565"/>
        <v>1.3386400850992627E-2</v>
      </c>
      <c r="Q2139" s="354">
        <v>1380.5055</v>
      </c>
      <c r="R2139" s="249">
        <f t="shared" si="566"/>
        <v>1414.0126747500001</v>
      </c>
      <c r="S2139" s="355">
        <v>0.1</v>
      </c>
      <c r="T2139" s="355"/>
      <c r="U2139" s="315">
        <f t="shared" si="555"/>
        <v>1555.413942225</v>
      </c>
      <c r="V2139" s="315">
        <f t="shared" si="556"/>
        <v>1575</v>
      </c>
      <c r="W2139" s="316">
        <f t="shared" si="557"/>
        <v>0</v>
      </c>
    </row>
    <row r="2140" spans="1:23" x14ac:dyDescent="0.25">
      <c r="A2140" s="204" t="s">
        <v>17804</v>
      </c>
      <c r="B2140" s="351" t="s">
        <v>21841</v>
      </c>
      <c r="C2140" s="352"/>
      <c r="D2140" s="353" t="s">
        <v>5</v>
      </c>
      <c r="E2140" s="249">
        <f t="shared" si="558"/>
        <v>0</v>
      </c>
      <c r="F2140" s="336">
        <v>0</v>
      </c>
      <c r="G2140" s="258">
        <f t="shared" si="559"/>
        <v>0</v>
      </c>
      <c r="H2140" s="249">
        <f t="shared" si="560"/>
        <v>6.377831459926421E-2</v>
      </c>
      <c r="I2140" s="336">
        <v>7.7580277659161818E-3</v>
      </c>
      <c r="J2140" s="258">
        <f t="shared" si="561"/>
        <v>7.7580277659161818E-3</v>
      </c>
      <c r="K2140" s="249">
        <f t="shared" si="562"/>
        <v>8.047057637601867</v>
      </c>
      <c r="L2140" s="336">
        <v>0.97884832765968688</v>
      </c>
      <c r="M2140" s="258">
        <f t="shared" si="563"/>
        <v>0.97884832765968688</v>
      </c>
      <c r="N2140" s="251">
        <f t="shared" si="564"/>
        <v>0.11004885656343627</v>
      </c>
      <c r="O2140" s="336">
        <v>1.3386400850992627E-2</v>
      </c>
      <c r="P2140" s="258">
        <f t="shared" si="565"/>
        <v>1.3386400850992627E-2</v>
      </c>
      <c r="Q2140" s="354">
        <v>8.0261947674418597</v>
      </c>
      <c r="R2140" s="249">
        <f t="shared" si="566"/>
        <v>8.2209443590116269</v>
      </c>
      <c r="S2140" s="355">
        <v>0.1</v>
      </c>
      <c r="T2140" s="355"/>
      <c r="U2140" s="315">
        <f t="shared" si="555"/>
        <v>9.0430387949127891</v>
      </c>
      <c r="V2140" s="315">
        <f t="shared" si="556"/>
        <v>10</v>
      </c>
      <c r="W2140" s="316">
        <f t="shared" si="557"/>
        <v>0</v>
      </c>
    </row>
    <row r="2141" spans="1:23" x14ac:dyDescent="0.25">
      <c r="A2141" s="204" t="s">
        <v>17805</v>
      </c>
      <c r="B2141" s="351" t="s">
        <v>21842</v>
      </c>
      <c r="C2141" s="352"/>
      <c r="D2141" s="353" t="s">
        <v>14859</v>
      </c>
      <c r="E2141" s="249">
        <f t="shared" si="558"/>
        <v>0</v>
      </c>
      <c r="F2141" s="336">
        <v>0</v>
      </c>
      <c r="G2141" s="258">
        <f t="shared" si="559"/>
        <v>0</v>
      </c>
      <c r="H2141" s="249">
        <f t="shared" si="560"/>
        <v>10.970002849902269</v>
      </c>
      <c r="I2141" s="336">
        <v>7.589067915780478E-3</v>
      </c>
      <c r="J2141" s="258">
        <f t="shared" si="561"/>
        <v>7.589067915780478E-3</v>
      </c>
      <c r="K2141" s="249">
        <f t="shared" si="562"/>
        <v>1415.6020470316391</v>
      </c>
      <c r="L2141" s="336">
        <v>0.97931606979816688</v>
      </c>
      <c r="M2141" s="258">
        <f t="shared" si="563"/>
        <v>0.97931606979816688</v>
      </c>
      <c r="N2141" s="251">
        <f t="shared" si="564"/>
        <v>18.928632368458814</v>
      </c>
      <c r="O2141" s="336">
        <v>1.3094862286052588E-2</v>
      </c>
      <c r="P2141" s="258">
        <f t="shared" si="565"/>
        <v>1.3094862286052588E-2</v>
      </c>
      <c r="Q2141" s="354">
        <v>1411.2405000000001</v>
      </c>
      <c r="R2141" s="249">
        <f t="shared" si="566"/>
        <v>1445.5006822500002</v>
      </c>
      <c r="S2141" s="355">
        <v>0.1</v>
      </c>
      <c r="T2141" s="355"/>
      <c r="U2141" s="315">
        <f t="shared" si="555"/>
        <v>1590.0507504750003</v>
      </c>
      <c r="V2141" s="315">
        <f t="shared" si="556"/>
        <v>1600</v>
      </c>
      <c r="W2141" s="316">
        <f t="shared" si="557"/>
        <v>0</v>
      </c>
    </row>
    <row r="2142" spans="1:23" x14ac:dyDescent="0.25">
      <c r="A2142" s="204" t="s">
        <v>17806</v>
      </c>
      <c r="B2142" s="351" t="s">
        <v>21843</v>
      </c>
      <c r="C2142" s="352"/>
      <c r="D2142" s="353" t="s">
        <v>5</v>
      </c>
      <c r="E2142" s="249">
        <f t="shared" si="558"/>
        <v>0</v>
      </c>
      <c r="F2142" s="336">
        <v>0</v>
      </c>
      <c r="G2142" s="258">
        <f t="shared" si="559"/>
        <v>0</v>
      </c>
      <c r="H2142" s="249">
        <f t="shared" si="560"/>
        <v>6.3778634301752735E-2</v>
      </c>
      <c r="I2142" s="336">
        <v>7.589067915780478E-3</v>
      </c>
      <c r="J2142" s="258">
        <f t="shared" si="561"/>
        <v>7.589067915780478E-3</v>
      </c>
      <c r="K2142" s="249">
        <f t="shared" si="562"/>
        <v>8.2301265770038743</v>
      </c>
      <c r="L2142" s="336">
        <v>0.97930898383372644</v>
      </c>
      <c r="M2142" s="258">
        <f t="shared" si="563"/>
        <v>0.97930898383372644</v>
      </c>
      <c r="N2142" s="251">
        <f t="shared" si="564"/>
        <v>0.11004940820694588</v>
      </c>
      <c r="O2142" s="336">
        <v>1.3094862286052588E-2</v>
      </c>
      <c r="P2142" s="258">
        <f t="shared" si="565"/>
        <v>1.3094862286052588E-2</v>
      </c>
      <c r="Q2142" s="354">
        <v>8.2048866279069781</v>
      </c>
      <c r="R2142" s="249">
        <f t="shared" si="566"/>
        <v>8.4040141700581401</v>
      </c>
      <c r="S2142" s="355">
        <v>0.1</v>
      </c>
      <c r="T2142" s="355"/>
      <c r="U2142" s="315">
        <f t="shared" si="555"/>
        <v>9.2444155870639548</v>
      </c>
      <c r="V2142" s="315">
        <f t="shared" si="556"/>
        <v>10</v>
      </c>
      <c r="W2142" s="316">
        <f t="shared" si="557"/>
        <v>0</v>
      </c>
    </row>
    <row r="2143" spans="1:23" x14ac:dyDescent="0.25">
      <c r="A2143" s="204" t="s">
        <v>17807</v>
      </c>
      <c r="B2143" s="351" t="s">
        <v>21844</v>
      </c>
      <c r="C2143" s="352"/>
      <c r="D2143" s="353" t="s">
        <v>14859</v>
      </c>
      <c r="E2143" s="249">
        <f t="shared" si="558"/>
        <v>0</v>
      </c>
      <c r="F2143" s="336">
        <v>0</v>
      </c>
      <c r="G2143" s="258">
        <f t="shared" si="559"/>
        <v>0</v>
      </c>
      <c r="H2143" s="249">
        <f t="shared" si="560"/>
        <v>10.970028618274959</v>
      </c>
      <c r="I2143" s="336">
        <v>7.5073180579388324E-3</v>
      </c>
      <c r="J2143" s="258">
        <f t="shared" si="561"/>
        <v>7.5073180579388324E-3</v>
      </c>
      <c r="K2143" s="249">
        <f t="shared" si="562"/>
        <v>1431.3459805501918</v>
      </c>
      <c r="L2143" s="336">
        <v>0.97953887823424513</v>
      </c>
      <c r="M2143" s="258">
        <f t="shared" si="563"/>
        <v>0.97953887823424513</v>
      </c>
      <c r="N2143" s="251">
        <f t="shared" si="564"/>
        <v>18.928676831533259</v>
      </c>
      <c r="O2143" s="336">
        <v>1.2953803707816023E-2</v>
      </c>
      <c r="P2143" s="258">
        <f t="shared" si="565"/>
        <v>1.2953803707816023E-2</v>
      </c>
      <c r="Q2143" s="354">
        <v>1426.6079999999999</v>
      </c>
      <c r="R2143" s="249">
        <f t="shared" si="566"/>
        <v>1461.244686</v>
      </c>
      <c r="S2143" s="355">
        <v>0.1</v>
      </c>
      <c r="T2143" s="355"/>
      <c r="U2143" s="315">
        <f t="shared" si="555"/>
        <v>1607.3691546</v>
      </c>
      <c r="V2143" s="315">
        <f t="shared" si="556"/>
        <v>1625</v>
      </c>
      <c r="W2143" s="316">
        <f t="shared" si="557"/>
        <v>0</v>
      </c>
    </row>
    <row r="2144" spans="1:23" x14ac:dyDescent="0.25">
      <c r="A2144" s="204" t="s">
        <v>17808</v>
      </c>
      <c r="B2144" s="351" t="s">
        <v>21845</v>
      </c>
      <c r="C2144" s="352"/>
      <c r="D2144" s="353" t="s">
        <v>5</v>
      </c>
      <c r="E2144" s="249">
        <f t="shared" si="558"/>
        <v>0</v>
      </c>
      <c r="F2144" s="336">
        <v>0</v>
      </c>
      <c r="G2144" s="258">
        <f t="shared" si="559"/>
        <v>0</v>
      </c>
      <c r="H2144" s="249">
        <f t="shared" si="560"/>
        <v>6.3778788987217741E-2</v>
      </c>
      <c r="I2144" s="336">
        <v>7.5073180579388332E-3</v>
      </c>
      <c r="J2144" s="258">
        <f t="shared" si="561"/>
        <v>7.5073180579388332E-3</v>
      </c>
      <c r="K2144" s="249">
        <f t="shared" si="562"/>
        <v>8.3216610607889763</v>
      </c>
      <c r="L2144" s="336">
        <v>0.97953186860020391</v>
      </c>
      <c r="M2144" s="258">
        <f t="shared" si="563"/>
        <v>0.97953186860020391</v>
      </c>
      <c r="N2144" s="251">
        <f t="shared" si="564"/>
        <v>0.11004967511519924</v>
      </c>
      <c r="O2144" s="336">
        <v>1.2953803707816024E-2</v>
      </c>
      <c r="P2144" s="258">
        <f t="shared" si="565"/>
        <v>1.2953803707816024E-2</v>
      </c>
      <c r="Q2144" s="354">
        <v>8.2942325581395338</v>
      </c>
      <c r="R2144" s="249">
        <f t="shared" si="566"/>
        <v>8.4955490755813923</v>
      </c>
      <c r="S2144" s="355">
        <v>0.1</v>
      </c>
      <c r="T2144" s="355"/>
      <c r="U2144" s="315">
        <f t="shared" si="555"/>
        <v>9.3451039831395306</v>
      </c>
      <c r="V2144" s="315">
        <f t="shared" si="556"/>
        <v>10</v>
      </c>
      <c r="W2144" s="316">
        <f t="shared" si="557"/>
        <v>0</v>
      </c>
    </row>
    <row r="2145" spans="1:23" x14ac:dyDescent="0.25">
      <c r="A2145" s="204" t="s">
        <v>17809</v>
      </c>
      <c r="B2145" s="351" t="s">
        <v>21846</v>
      </c>
      <c r="C2145" s="352"/>
      <c r="D2145" s="353" t="s">
        <v>14859</v>
      </c>
      <c r="E2145" s="249">
        <f t="shared" si="558"/>
        <v>0</v>
      </c>
      <c r="F2145" s="336">
        <v>0</v>
      </c>
      <c r="G2145" s="258">
        <f t="shared" si="559"/>
        <v>0</v>
      </c>
      <c r="H2145" s="249">
        <f t="shared" si="560"/>
        <v>10.970101100961756</v>
      </c>
      <c r="I2145" s="336">
        <v>7.2773675906409397E-3</v>
      </c>
      <c r="J2145" s="258">
        <f t="shared" si="561"/>
        <v>7.2773675906409397E-3</v>
      </c>
      <c r="K2145" s="249">
        <f t="shared" si="562"/>
        <v>1477.5281939993395</v>
      </c>
      <c r="L2145" s="336">
        <v>0.98016560597844915</v>
      </c>
      <c r="M2145" s="258">
        <f t="shared" si="563"/>
        <v>0.98016560597844915</v>
      </c>
      <c r="N2145" s="251">
        <f t="shared" si="564"/>
        <v>18.928801899698716</v>
      </c>
      <c r="O2145" s="336">
        <v>1.2557026430909855E-2</v>
      </c>
      <c r="P2145" s="258">
        <f t="shared" si="565"/>
        <v>1.2557026430909855E-2</v>
      </c>
      <c r="Q2145" s="354">
        <v>1471.6859999999999</v>
      </c>
      <c r="R2145" s="249">
        <f t="shared" si="566"/>
        <v>1507.427097</v>
      </c>
      <c r="S2145" s="355">
        <v>0.1</v>
      </c>
      <c r="T2145" s="355"/>
      <c r="U2145" s="315">
        <f t="shared" si="555"/>
        <v>1658.1698067</v>
      </c>
      <c r="V2145" s="315">
        <f t="shared" si="556"/>
        <v>1675</v>
      </c>
      <c r="W2145" s="316">
        <f t="shared" si="557"/>
        <v>0</v>
      </c>
    </row>
    <row r="2146" spans="1:23" x14ac:dyDescent="0.25">
      <c r="A2146" s="204" t="s">
        <v>17810</v>
      </c>
      <c r="B2146" s="351" t="s">
        <v>21847</v>
      </c>
      <c r="C2146" s="352"/>
      <c r="D2146" s="353" t="s">
        <v>5</v>
      </c>
      <c r="E2146" s="249">
        <f t="shared" si="558"/>
        <v>0</v>
      </c>
      <c r="F2146" s="336">
        <v>0</v>
      </c>
      <c r="G2146" s="258">
        <f t="shared" si="559"/>
        <v>0</v>
      </c>
      <c r="H2146" s="249">
        <f t="shared" si="560"/>
        <v>6.3779224094946421E-2</v>
      </c>
      <c r="I2146" s="336">
        <v>7.2773675906409388E-3</v>
      </c>
      <c r="J2146" s="258">
        <f t="shared" si="561"/>
        <v>7.2773675906409388E-3</v>
      </c>
      <c r="K2146" s="249">
        <f t="shared" si="562"/>
        <v>8.5901622640357491</v>
      </c>
      <c r="L2146" s="336">
        <v>0.98015881105072666</v>
      </c>
      <c r="M2146" s="258">
        <f t="shared" si="563"/>
        <v>0.98015881105072666</v>
      </c>
      <c r="N2146" s="251">
        <f t="shared" si="564"/>
        <v>0.11005042588931931</v>
      </c>
      <c r="O2146" s="336">
        <v>1.2557026430909854E-2</v>
      </c>
      <c r="P2146" s="258">
        <f t="shared" si="565"/>
        <v>1.2557026430909854E-2</v>
      </c>
      <c r="Q2146" s="354">
        <v>8.5563139534883721</v>
      </c>
      <c r="R2146" s="249">
        <f t="shared" si="566"/>
        <v>8.7640514651162764</v>
      </c>
      <c r="S2146" s="355">
        <v>0.1</v>
      </c>
      <c r="T2146" s="355"/>
      <c r="U2146" s="315">
        <f t="shared" si="555"/>
        <v>9.6404566116279042</v>
      </c>
      <c r="V2146" s="315">
        <f t="shared" si="556"/>
        <v>10</v>
      </c>
      <c r="W2146" s="316">
        <f t="shared" si="557"/>
        <v>0</v>
      </c>
    </row>
    <row r="2147" spans="1:23" x14ac:dyDescent="0.25">
      <c r="A2147" s="204" t="s">
        <v>17811</v>
      </c>
      <c r="B2147" s="351" t="s">
        <v>21848</v>
      </c>
      <c r="C2147" s="352"/>
      <c r="D2147" s="353" t="s">
        <v>14859</v>
      </c>
      <c r="E2147" s="249">
        <f t="shared" si="558"/>
        <v>0</v>
      </c>
      <c r="F2147" s="336">
        <v>0</v>
      </c>
      <c r="G2147" s="258">
        <f t="shared" si="559"/>
        <v>0</v>
      </c>
      <c r="H2147" s="249">
        <f t="shared" si="560"/>
        <v>10.970113805215554</v>
      </c>
      <c r="I2147" s="336">
        <v>7.2370634956030284E-3</v>
      </c>
      <c r="J2147" s="258">
        <f t="shared" si="561"/>
        <v>7.2370634956030284E-3</v>
      </c>
      <c r="K2147" s="249">
        <f t="shared" si="562"/>
        <v>1485.9249613740205</v>
      </c>
      <c r="L2147" s="336">
        <v>0.98027545439433683</v>
      </c>
      <c r="M2147" s="258">
        <f t="shared" si="563"/>
        <v>0.98027545439433683</v>
      </c>
      <c r="N2147" s="251">
        <f t="shared" si="564"/>
        <v>18.928823820764087</v>
      </c>
      <c r="O2147" s="336">
        <v>1.2487482110060125E-2</v>
      </c>
      <c r="P2147" s="258">
        <f t="shared" si="565"/>
        <v>1.2487482110060125E-2</v>
      </c>
      <c r="Q2147" s="354">
        <v>1479.8820000000001</v>
      </c>
      <c r="R2147" s="249">
        <f t="shared" si="566"/>
        <v>1515.8238990000002</v>
      </c>
      <c r="S2147" s="355">
        <v>0.1</v>
      </c>
      <c r="T2147" s="355"/>
      <c r="U2147" s="315">
        <f t="shared" si="555"/>
        <v>1667.4062889000002</v>
      </c>
      <c r="V2147" s="315">
        <f t="shared" si="556"/>
        <v>1675</v>
      </c>
      <c r="W2147" s="316">
        <f t="shared" si="557"/>
        <v>0</v>
      </c>
    </row>
    <row r="2148" spans="1:23" x14ac:dyDescent="0.25">
      <c r="A2148" s="204" t="s">
        <v>17812</v>
      </c>
      <c r="B2148" s="351" t="s">
        <v>21849</v>
      </c>
      <c r="C2148" s="352"/>
      <c r="D2148" s="353" t="s">
        <v>5</v>
      </c>
      <c r="E2148" s="249">
        <f t="shared" si="558"/>
        <v>0</v>
      </c>
      <c r="F2148" s="336">
        <v>0</v>
      </c>
      <c r="G2148" s="258">
        <f t="shared" si="559"/>
        <v>0</v>
      </c>
      <c r="H2148" s="249">
        <f t="shared" si="560"/>
        <v>6.3779300357558369E-2</v>
      </c>
      <c r="I2148" s="336">
        <v>7.2370634956030275E-3</v>
      </c>
      <c r="J2148" s="258">
        <f t="shared" si="561"/>
        <v>7.2370634956030275E-3</v>
      </c>
      <c r="K2148" s="249">
        <f t="shared" si="562"/>
        <v>8.6389806723906162</v>
      </c>
      <c r="L2148" s="336">
        <v>0.98026869709882281</v>
      </c>
      <c r="M2148" s="258">
        <f t="shared" si="563"/>
        <v>0.98026869709882281</v>
      </c>
      <c r="N2148" s="251">
        <f t="shared" si="564"/>
        <v>0.11005055747970854</v>
      </c>
      <c r="O2148" s="336">
        <v>1.2487482110060125E-2</v>
      </c>
      <c r="P2148" s="258">
        <f t="shared" si="565"/>
        <v>1.2487482110060125E-2</v>
      </c>
      <c r="Q2148" s="354">
        <v>8.6039651162790705</v>
      </c>
      <c r="R2148" s="249">
        <f t="shared" si="566"/>
        <v>8.8128700813953493</v>
      </c>
      <c r="S2148" s="355">
        <v>0.1</v>
      </c>
      <c r="T2148" s="355"/>
      <c r="U2148" s="315">
        <f t="shared" si="555"/>
        <v>9.694157089534885</v>
      </c>
      <c r="V2148" s="315">
        <f t="shared" si="556"/>
        <v>10</v>
      </c>
      <c r="W2148" s="316">
        <f t="shared" si="557"/>
        <v>0</v>
      </c>
    </row>
    <row r="2149" spans="1:23" x14ac:dyDescent="0.25">
      <c r="A2149" s="204" t="s">
        <v>17813</v>
      </c>
      <c r="B2149" s="351" t="s">
        <v>21850</v>
      </c>
      <c r="C2149" s="352"/>
      <c r="D2149" s="353" t="s">
        <v>14859</v>
      </c>
      <c r="E2149" s="249">
        <f t="shared" si="558"/>
        <v>0</v>
      </c>
      <c r="F2149" s="336">
        <v>0</v>
      </c>
      <c r="G2149" s="258">
        <f t="shared" si="559"/>
        <v>0</v>
      </c>
      <c r="H2149" s="249">
        <f t="shared" si="560"/>
        <v>10.970135702303869</v>
      </c>
      <c r="I2149" s="336">
        <v>7.1675952416804705E-3</v>
      </c>
      <c r="J2149" s="258">
        <f t="shared" si="561"/>
        <v>7.1675952416804705E-3</v>
      </c>
      <c r="K2149" s="249">
        <f t="shared" si="562"/>
        <v>1500.6193051937207</v>
      </c>
      <c r="L2149" s="336">
        <v>0.98046478943934146</v>
      </c>
      <c r="M2149" s="258">
        <f t="shared" si="563"/>
        <v>0.98046478943934146</v>
      </c>
      <c r="N2149" s="251">
        <f t="shared" si="564"/>
        <v>18.928861603975307</v>
      </c>
      <c r="O2149" s="336">
        <v>1.2367615318978066E-2</v>
      </c>
      <c r="P2149" s="258">
        <f t="shared" si="565"/>
        <v>1.2367615318978066E-2</v>
      </c>
      <c r="Q2149" s="354">
        <v>1494.2249999999999</v>
      </c>
      <c r="R2149" s="249">
        <f t="shared" si="566"/>
        <v>1530.5183024999999</v>
      </c>
      <c r="S2149" s="355">
        <v>0.1</v>
      </c>
      <c r="T2149" s="355"/>
      <c r="U2149" s="315">
        <f t="shared" ref="U2149:U2212" si="567">(R2149*S2149)+R2149</f>
        <v>1683.5701327499999</v>
      </c>
      <c r="V2149" s="315">
        <f t="shared" ref="V2149:V2212" si="568">IF(U2149=0, 0, IF(U2149&lt;10, _xlfn.CEILING.MATH(U2149,1), IF(U2149&lt;100, _xlfn.CEILING.MATH(U2149,1),IF(U2149&lt;1000, _xlfn.CEILING.MATH(U2149,5), IF(U2149&lt;10000, _xlfn.CEILING.MATH(U2149, 25), IF(U2149&lt;100000, _xlfn.CEILING.MATH(U2149,250), IF(U2149&lt;1000000, _xlfn.CEILING.MATH(U2149,500), 0)))))))</f>
        <v>1700</v>
      </c>
      <c r="W2149" s="316">
        <f t="shared" si="557"/>
        <v>0</v>
      </c>
    </row>
    <row r="2150" spans="1:23" x14ac:dyDescent="0.25">
      <c r="A2150" s="204" t="s">
        <v>17814</v>
      </c>
      <c r="B2150" s="351" t="s">
        <v>21851</v>
      </c>
      <c r="C2150" s="352"/>
      <c r="D2150" s="353" t="s">
        <v>5</v>
      </c>
      <c r="E2150" s="249">
        <f t="shared" si="558"/>
        <v>0</v>
      </c>
      <c r="F2150" s="336">
        <v>0</v>
      </c>
      <c r="G2150" s="258">
        <f t="shared" si="559"/>
        <v>0</v>
      </c>
      <c r="H2150" s="249">
        <f t="shared" si="560"/>
        <v>6.3779431804015227E-2</v>
      </c>
      <c r="I2150" s="336">
        <v>7.1675952416804705E-3</v>
      </c>
      <c r="J2150" s="258">
        <f t="shared" si="561"/>
        <v>7.1675952416804705E-3</v>
      </c>
      <c r="K2150" s="249">
        <f t="shared" si="562"/>
        <v>8.724412892500224</v>
      </c>
      <c r="L2150" s="336">
        <v>0.98045809700680953</v>
      </c>
      <c r="M2150" s="258">
        <f t="shared" si="563"/>
        <v>0.98045809700680953</v>
      </c>
      <c r="N2150" s="251">
        <f t="shared" si="564"/>
        <v>0.11005078428928117</v>
      </c>
      <c r="O2150" s="336">
        <v>1.2367615318978066E-2</v>
      </c>
      <c r="P2150" s="258">
        <f t="shared" si="565"/>
        <v>1.2367615318978066E-2</v>
      </c>
      <c r="Q2150" s="354">
        <v>8.6873546511627904</v>
      </c>
      <c r="R2150" s="249">
        <f t="shared" si="566"/>
        <v>8.8983026598837203</v>
      </c>
      <c r="S2150" s="355">
        <v>0.1</v>
      </c>
      <c r="T2150" s="355"/>
      <c r="U2150" s="315">
        <f t="shared" si="567"/>
        <v>9.7881329258720928</v>
      </c>
      <c r="V2150" s="315">
        <f t="shared" si="568"/>
        <v>10</v>
      </c>
      <c r="W2150" s="316">
        <f t="shared" si="557"/>
        <v>0</v>
      </c>
    </row>
    <row r="2151" spans="1:23" x14ac:dyDescent="0.25">
      <c r="A2151" s="204" t="s">
        <v>17815</v>
      </c>
      <c r="B2151" s="351" t="s">
        <v>21852</v>
      </c>
      <c r="C2151" s="352"/>
      <c r="D2151" s="353" t="s">
        <v>14859</v>
      </c>
      <c r="E2151" s="249">
        <f t="shared" si="558"/>
        <v>0</v>
      </c>
      <c r="F2151" s="336">
        <v>0</v>
      </c>
      <c r="G2151" s="258">
        <f t="shared" si="559"/>
        <v>0</v>
      </c>
      <c r="H2151" s="249">
        <f t="shared" si="560"/>
        <v>10.970196010874771</v>
      </c>
      <c r="I2151" s="336">
        <v>6.9762670132001922E-3</v>
      </c>
      <c r="J2151" s="258">
        <f t="shared" si="561"/>
        <v>6.9762670132001922E-3</v>
      </c>
      <c r="K2151" s="249">
        <f t="shared" si="562"/>
        <v>1542.603150823302</v>
      </c>
      <c r="L2151" s="336">
        <v>0.98098625265029749</v>
      </c>
      <c r="M2151" s="258">
        <f t="shared" si="563"/>
        <v>0.98098625265029749</v>
      </c>
      <c r="N2151" s="251">
        <f t="shared" si="564"/>
        <v>18.928965665823135</v>
      </c>
      <c r="O2151" s="336">
        <v>1.2037480336502293E-2</v>
      </c>
      <c r="P2151" s="258">
        <f t="shared" si="565"/>
        <v>1.2037480336502293E-2</v>
      </c>
      <c r="Q2151" s="354">
        <v>1535.2049999999999</v>
      </c>
      <c r="R2151" s="249">
        <f t="shared" si="566"/>
        <v>1572.5023125</v>
      </c>
      <c r="S2151" s="355">
        <v>0.1</v>
      </c>
      <c r="T2151" s="355"/>
      <c r="U2151" s="315">
        <f t="shared" si="567"/>
        <v>1729.7525437500001</v>
      </c>
      <c r="V2151" s="315">
        <f t="shared" si="568"/>
        <v>1750</v>
      </c>
      <c r="W2151" s="316">
        <f t="shared" si="557"/>
        <v>0</v>
      </c>
    </row>
    <row r="2152" spans="1:23" x14ac:dyDescent="0.25">
      <c r="A2152" s="204" t="s">
        <v>17816</v>
      </c>
      <c r="B2152" s="351" t="s">
        <v>21853</v>
      </c>
      <c r="C2152" s="352"/>
      <c r="D2152" s="353" t="s">
        <v>5</v>
      </c>
      <c r="E2152" s="249">
        <f t="shared" si="558"/>
        <v>0</v>
      </c>
      <c r="F2152" s="336">
        <v>0</v>
      </c>
      <c r="G2152" s="258">
        <f t="shared" si="559"/>
        <v>0</v>
      </c>
      <c r="H2152" s="249">
        <f t="shared" si="560"/>
        <v>6.3779793831507087E-2</v>
      </c>
      <c r="I2152" s="336">
        <v>6.9762670132001922E-3</v>
      </c>
      <c r="J2152" s="258">
        <f t="shared" si="561"/>
        <v>6.9762670132001922E-3</v>
      </c>
      <c r="K2152" s="249">
        <f t="shared" si="562"/>
        <v>8.9685049868551658</v>
      </c>
      <c r="L2152" s="336">
        <v>0.98097973886223666</v>
      </c>
      <c r="M2152" s="258">
        <f t="shared" si="563"/>
        <v>0.98097973886223666</v>
      </c>
      <c r="N2152" s="251">
        <f t="shared" si="564"/>
        <v>0.11005140896416908</v>
      </c>
      <c r="O2152" s="336">
        <v>1.2037480336502291E-2</v>
      </c>
      <c r="P2152" s="258">
        <f t="shared" si="565"/>
        <v>1.2037480336502291E-2</v>
      </c>
      <c r="Q2152" s="354">
        <v>8.9256104651162786</v>
      </c>
      <c r="R2152" s="249">
        <f t="shared" si="566"/>
        <v>9.1423957412790688</v>
      </c>
      <c r="S2152" s="355">
        <v>0.1</v>
      </c>
      <c r="T2152" s="355"/>
      <c r="U2152" s="315">
        <f t="shared" si="567"/>
        <v>10.056635315406975</v>
      </c>
      <c r="V2152" s="315">
        <f t="shared" si="568"/>
        <v>11</v>
      </c>
      <c r="W2152" s="316">
        <f t="shared" si="557"/>
        <v>0</v>
      </c>
    </row>
    <row r="2153" spans="1:23" x14ac:dyDescent="0.25">
      <c r="A2153" s="204" t="s">
        <v>17817</v>
      </c>
      <c r="B2153" s="351" t="s">
        <v>21854</v>
      </c>
      <c r="C2153" s="352"/>
      <c r="D2153" s="353" t="s">
        <v>14859</v>
      </c>
      <c r="E2153" s="249">
        <f t="shared" si="558"/>
        <v>0</v>
      </c>
      <c r="F2153" s="336">
        <v>0</v>
      </c>
      <c r="G2153" s="258">
        <f t="shared" si="559"/>
        <v>0</v>
      </c>
      <c r="H2153" s="249">
        <f t="shared" si="560"/>
        <v>10.970232095560501</v>
      </c>
      <c r="I2153" s="336">
        <v>6.861788774152007E-3</v>
      </c>
      <c r="J2153" s="258">
        <f t="shared" si="561"/>
        <v>6.861788774152007E-3</v>
      </c>
      <c r="K2153" s="249">
        <f t="shared" si="562"/>
        <v>1568.8430587248449</v>
      </c>
      <c r="L2153" s="336">
        <v>0.98129826196848768</v>
      </c>
      <c r="M2153" s="258">
        <f t="shared" si="563"/>
        <v>0.98129826196848768</v>
      </c>
      <c r="N2153" s="251">
        <f t="shared" si="564"/>
        <v>18.929027929594586</v>
      </c>
      <c r="O2153" s="336">
        <v>1.1839949257360325E-2</v>
      </c>
      <c r="P2153" s="258">
        <f t="shared" si="565"/>
        <v>1.1839949257360325E-2</v>
      </c>
      <c r="Q2153" s="354">
        <v>1560.8175000000001</v>
      </c>
      <c r="R2153" s="249">
        <f t="shared" si="566"/>
        <v>1598.7423187500001</v>
      </c>
      <c r="S2153" s="355">
        <v>0.1</v>
      </c>
      <c r="T2153" s="355"/>
      <c r="U2153" s="315">
        <f t="shared" si="567"/>
        <v>1758.6165506250002</v>
      </c>
      <c r="V2153" s="315">
        <f t="shared" si="568"/>
        <v>1775</v>
      </c>
      <c r="W2153" s="316">
        <f t="shared" si="557"/>
        <v>0</v>
      </c>
    </row>
    <row r="2154" spans="1:23" x14ac:dyDescent="0.25">
      <c r="A2154" s="204" t="s">
        <v>17818</v>
      </c>
      <c r="B2154" s="351" t="s">
        <v>21855</v>
      </c>
      <c r="C2154" s="352"/>
      <c r="D2154" s="353" t="s">
        <v>5</v>
      </c>
      <c r="E2154" s="249">
        <f t="shared" si="558"/>
        <v>0</v>
      </c>
      <c r="F2154" s="336">
        <v>0</v>
      </c>
      <c r="G2154" s="258">
        <f t="shared" si="559"/>
        <v>0</v>
      </c>
      <c r="H2154" s="249">
        <f t="shared" si="560"/>
        <v>6.3780010444968088E-2</v>
      </c>
      <c r="I2154" s="336">
        <v>6.8617887741520079E-3</v>
      </c>
      <c r="J2154" s="258">
        <f t="shared" si="561"/>
        <v>6.8617887741520079E-3</v>
      </c>
      <c r="K2154" s="249">
        <f t="shared" si="562"/>
        <v>9.1210625721471423</v>
      </c>
      <c r="L2154" s="336">
        <v>0.98129185506953887</v>
      </c>
      <c r="M2154" s="258">
        <f t="shared" si="563"/>
        <v>0.98129185506953887</v>
      </c>
      <c r="N2154" s="251">
        <f t="shared" si="564"/>
        <v>0.11005178272857236</v>
      </c>
      <c r="O2154" s="336">
        <v>1.1839949257360325E-2</v>
      </c>
      <c r="P2154" s="258">
        <f t="shared" si="565"/>
        <v>1.1839949257360325E-2</v>
      </c>
      <c r="Q2154" s="354">
        <v>9.0745203488372095</v>
      </c>
      <c r="R2154" s="249">
        <f t="shared" si="566"/>
        <v>9.2949539171511635</v>
      </c>
      <c r="S2154" s="355">
        <v>0.1</v>
      </c>
      <c r="T2154" s="355"/>
      <c r="U2154" s="315">
        <f t="shared" si="567"/>
        <v>10.22444930886628</v>
      </c>
      <c r="V2154" s="315">
        <f t="shared" si="568"/>
        <v>11</v>
      </c>
      <c r="W2154" s="316">
        <f t="shared" si="557"/>
        <v>0</v>
      </c>
    </row>
    <row r="2155" spans="1:23" x14ac:dyDescent="0.25">
      <c r="A2155" s="204" t="s">
        <v>17819</v>
      </c>
      <c r="B2155" s="351" t="s">
        <v>21856</v>
      </c>
      <c r="C2155" s="352"/>
      <c r="D2155" s="353" t="s">
        <v>14859</v>
      </c>
      <c r="E2155" s="249">
        <f t="shared" si="558"/>
        <v>0</v>
      </c>
      <c r="F2155" s="336">
        <v>0</v>
      </c>
      <c r="G2155" s="258">
        <f t="shared" si="559"/>
        <v>0</v>
      </c>
      <c r="H2155" s="249">
        <f t="shared" si="560"/>
        <v>10.97027386412795</v>
      </c>
      <c r="I2155" s="336">
        <v>6.7292784875145496E-3</v>
      </c>
      <c r="J2155" s="258">
        <f t="shared" si="561"/>
        <v>6.7292784875145496E-3</v>
      </c>
      <c r="K2155" s="249">
        <f t="shared" si="562"/>
        <v>1600.3309523850237</v>
      </c>
      <c r="L2155" s="336">
        <v>0.98165941745559759</v>
      </c>
      <c r="M2155" s="258">
        <f t="shared" si="563"/>
        <v>0.98165941745559759</v>
      </c>
      <c r="N2155" s="251">
        <f t="shared" si="564"/>
        <v>18.929100000848226</v>
      </c>
      <c r="O2155" s="336">
        <v>1.161130405688785E-2</v>
      </c>
      <c r="P2155" s="258">
        <f t="shared" si="565"/>
        <v>1.161130405688785E-2</v>
      </c>
      <c r="Q2155" s="354">
        <v>1591.5525</v>
      </c>
      <c r="R2155" s="249">
        <f t="shared" si="566"/>
        <v>1630.23032625</v>
      </c>
      <c r="S2155" s="355">
        <v>0.1</v>
      </c>
      <c r="T2155" s="355"/>
      <c r="U2155" s="315">
        <f t="shared" si="567"/>
        <v>1793.253358875</v>
      </c>
      <c r="V2155" s="315">
        <f t="shared" si="568"/>
        <v>1800</v>
      </c>
      <c r="W2155" s="316">
        <f t="shared" si="557"/>
        <v>0</v>
      </c>
    </row>
    <row r="2156" spans="1:23" x14ac:dyDescent="0.25">
      <c r="A2156" s="204" t="s">
        <v>17820</v>
      </c>
      <c r="B2156" s="351" t="s">
        <v>21857</v>
      </c>
      <c r="C2156" s="352"/>
      <c r="D2156" s="353" t="s">
        <v>5</v>
      </c>
      <c r="E2156" s="249">
        <f t="shared" si="558"/>
        <v>0</v>
      </c>
      <c r="F2156" s="336">
        <v>0</v>
      </c>
      <c r="G2156" s="258">
        <f t="shared" si="559"/>
        <v>0</v>
      </c>
      <c r="H2156" s="249">
        <f t="shared" si="560"/>
        <v>6.378026117831305E-2</v>
      </c>
      <c r="I2156" s="336">
        <v>6.7292784875145496E-3</v>
      </c>
      <c r="J2156" s="258">
        <f t="shared" si="561"/>
        <v>6.7292784875145496E-3</v>
      </c>
      <c r="K2156" s="249">
        <f t="shared" si="562"/>
        <v>9.3041316995882664</v>
      </c>
      <c r="L2156" s="336">
        <v>0.98165313428240653</v>
      </c>
      <c r="M2156" s="258">
        <f t="shared" si="563"/>
        <v>0.98165313428240653</v>
      </c>
      <c r="N2156" s="251">
        <f t="shared" si="564"/>
        <v>0.11005221536650095</v>
      </c>
      <c r="O2156" s="336">
        <v>1.161130405688785E-2</v>
      </c>
      <c r="P2156" s="258">
        <f t="shared" si="565"/>
        <v>1.161130405688785E-2</v>
      </c>
      <c r="Q2156" s="354">
        <v>9.2532122093023261</v>
      </c>
      <c r="R2156" s="249">
        <f t="shared" si="566"/>
        <v>9.4780237281976731</v>
      </c>
      <c r="S2156" s="355">
        <v>0.1</v>
      </c>
      <c r="T2156" s="355"/>
      <c r="U2156" s="315">
        <f t="shared" si="567"/>
        <v>10.42582610101744</v>
      </c>
      <c r="V2156" s="315">
        <f t="shared" si="568"/>
        <v>11</v>
      </c>
      <c r="W2156" s="316">
        <f t="shared" si="557"/>
        <v>0</v>
      </c>
    </row>
    <row r="2157" spans="1:23" x14ac:dyDescent="0.25">
      <c r="A2157" s="204" t="s">
        <v>17821</v>
      </c>
      <c r="B2157" s="351" t="s">
        <v>21858</v>
      </c>
      <c r="C2157" s="352"/>
      <c r="D2157" s="353" t="s">
        <v>14859</v>
      </c>
      <c r="E2157" s="249">
        <f t="shared" si="558"/>
        <v>0</v>
      </c>
      <c r="F2157" s="336">
        <v>0</v>
      </c>
      <c r="G2157" s="258">
        <f t="shared" si="559"/>
        <v>0</v>
      </c>
      <c r="H2157" s="249">
        <f t="shared" si="560"/>
        <v>10.970291467005762</v>
      </c>
      <c r="I2157" s="336">
        <v>6.6734335656884573E-3</v>
      </c>
      <c r="J2157" s="258">
        <f t="shared" si="561"/>
        <v>6.6734335656884573E-3</v>
      </c>
      <c r="K2157" s="249">
        <f t="shared" si="562"/>
        <v>1613.9757076585531</v>
      </c>
      <c r="L2157" s="336">
        <v>0.98181162224253538</v>
      </c>
      <c r="M2157" s="258">
        <f t="shared" si="563"/>
        <v>0.98181162224253538</v>
      </c>
      <c r="N2157" s="251">
        <f t="shared" si="564"/>
        <v>18.929130374441314</v>
      </c>
      <c r="O2157" s="336">
        <v>1.1514944191776162E-2</v>
      </c>
      <c r="P2157" s="258">
        <f t="shared" si="565"/>
        <v>1.1514944191776162E-2</v>
      </c>
      <c r="Q2157" s="354">
        <v>1604.8710000000001</v>
      </c>
      <c r="R2157" s="249">
        <f t="shared" si="566"/>
        <v>1643.8751295000002</v>
      </c>
      <c r="S2157" s="355">
        <v>0.1</v>
      </c>
      <c r="T2157" s="355"/>
      <c r="U2157" s="315">
        <f t="shared" si="567"/>
        <v>1808.2626424500002</v>
      </c>
      <c r="V2157" s="315">
        <f t="shared" si="568"/>
        <v>1825</v>
      </c>
      <c r="W2157" s="316">
        <f t="shared" si="557"/>
        <v>0</v>
      </c>
    </row>
    <row r="2158" spans="1:23" x14ac:dyDescent="0.25">
      <c r="A2158" s="204" t="s">
        <v>17822</v>
      </c>
      <c r="B2158" s="351" t="s">
        <v>21859</v>
      </c>
      <c r="C2158" s="352"/>
      <c r="D2158" s="353" t="s">
        <v>5</v>
      </c>
      <c r="E2158" s="249">
        <f t="shared" si="558"/>
        <v>0</v>
      </c>
      <c r="F2158" s="336">
        <v>0</v>
      </c>
      <c r="G2158" s="258">
        <f t="shared" si="559"/>
        <v>0</v>
      </c>
      <c r="H2158" s="249">
        <f t="shared" si="560"/>
        <v>6.3780366846970221E-2</v>
      </c>
      <c r="I2158" s="336">
        <v>6.6734335656884573E-3</v>
      </c>
      <c r="J2158" s="258">
        <f t="shared" si="561"/>
        <v>6.6734335656884573E-3</v>
      </c>
      <c r="K2158" s="249">
        <f t="shared" si="562"/>
        <v>9.3834616629441996</v>
      </c>
      <c r="L2158" s="336">
        <v>0.9818053912121284</v>
      </c>
      <c r="M2158" s="258">
        <f t="shared" si="563"/>
        <v>0.9818053912121284</v>
      </c>
      <c r="N2158" s="251">
        <f t="shared" si="564"/>
        <v>0.1100523976967329</v>
      </c>
      <c r="O2158" s="336">
        <v>1.151494419177616E-2</v>
      </c>
      <c r="P2158" s="258">
        <f t="shared" si="565"/>
        <v>1.151494419177616E-2</v>
      </c>
      <c r="Q2158" s="354">
        <v>9.3306453488372103</v>
      </c>
      <c r="R2158" s="249">
        <f t="shared" si="566"/>
        <v>9.5573539796511611</v>
      </c>
      <c r="S2158" s="355">
        <v>0.1</v>
      </c>
      <c r="T2158" s="355"/>
      <c r="U2158" s="315">
        <f t="shared" si="567"/>
        <v>10.513089377616277</v>
      </c>
      <c r="V2158" s="315">
        <f t="shared" si="568"/>
        <v>11</v>
      </c>
      <c r="W2158" s="316">
        <f t="shared" si="557"/>
        <v>0</v>
      </c>
    </row>
    <row r="2159" spans="1:23" x14ac:dyDescent="0.25">
      <c r="A2159" s="204" t="s">
        <v>17823</v>
      </c>
      <c r="B2159" s="351" t="s">
        <v>21860</v>
      </c>
      <c r="C2159" s="352"/>
      <c r="D2159" s="353" t="s">
        <v>14859</v>
      </c>
      <c r="E2159" s="249">
        <f t="shared" si="558"/>
        <v>0</v>
      </c>
      <c r="F2159" s="336">
        <v>0</v>
      </c>
      <c r="G2159" s="258">
        <f t="shared" si="559"/>
        <v>0</v>
      </c>
      <c r="H2159" s="249">
        <f t="shared" si="560"/>
        <v>10.970306135139552</v>
      </c>
      <c r="I2159" s="336">
        <v>6.6268990845783525E-3</v>
      </c>
      <c r="J2159" s="258">
        <f t="shared" si="561"/>
        <v>6.6268990845783525E-3</v>
      </c>
      <c r="K2159" s="249">
        <f t="shared" si="562"/>
        <v>1625.5212704306982</v>
      </c>
      <c r="L2159" s="336">
        <v>0.98193845151458059</v>
      </c>
      <c r="M2159" s="258">
        <f t="shared" si="563"/>
        <v>0.98193845151458059</v>
      </c>
      <c r="N2159" s="251">
        <f t="shared" si="564"/>
        <v>18.929155684162364</v>
      </c>
      <c r="O2159" s="336">
        <v>1.1434649400841079E-2</v>
      </c>
      <c r="P2159" s="258">
        <f t="shared" si="565"/>
        <v>1.1434649400841079E-2</v>
      </c>
      <c r="Q2159" s="354">
        <v>1616.1405</v>
      </c>
      <c r="R2159" s="249">
        <f t="shared" si="566"/>
        <v>1655.4207322500001</v>
      </c>
      <c r="S2159" s="355">
        <v>0.1</v>
      </c>
      <c r="T2159" s="355"/>
      <c r="U2159" s="315">
        <f t="shared" si="567"/>
        <v>1820.9628054750001</v>
      </c>
      <c r="V2159" s="315">
        <f t="shared" si="568"/>
        <v>1825</v>
      </c>
      <c r="W2159" s="316">
        <f t="shared" si="557"/>
        <v>0</v>
      </c>
    </row>
    <row r="2160" spans="1:23" x14ac:dyDescent="0.25">
      <c r="A2160" s="204" t="s">
        <v>17824</v>
      </c>
      <c r="B2160" s="351" t="s">
        <v>21861</v>
      </c>
      <c r="C2160" s="352"/>
      <c r="D2160" s="353" t="s">
        <v>5</v>
      </c>
      <c r="E2160" s="249">
        <f t="shared" si="558"/>
        <v>0</v>
      </c>
      <c r="F2160" s="336">
        <v>0</v>
      </c>
      <c r="G2160" s="258">
        <f t="shared" si="559"/>
        <v>0</v>
      </c>
      <c r="H2160" s="249">
        <f t="shared" si="560"/>
        <v>6.3780454898595518E-2</v>
      </c>
      <c r="I2160" s="336">
        <v>6.6268990845783533E-3</v>
      </c>
      <c r="J2160" s="258">
        <f t="shared" si="561"/>
        <v>6.6268990845783533E-3</v>
      </c>
      <c r="K2160" s="249">
        <f t="shared" si="562"/>
        <v>9.4505870202618656</v>
      </c>
      <c r="L2160" s="336">
        <v>0.98193226393373578</v>
      </c>
      <c r="M2160" s="258">
        <f t="shared" si="563"/>
        <v>0.98193226393373578</v>
      </c>
      <c r="N2160" s="251">
        <f t="shared" si="564"/>
        <v>0.1100525496289491</v>
      </c>
      <c r="O2160" s="336">
        <v>1.1434649400841079E-2</v>
      </c>
      <c r="P2160" s="258">
        <f t="shared" si="565"/>
        <v>1.1434649400841079E-2</v>
      </c>
      <c r="Q2160" s="354">
        <v>9.3961656976744177</v>
      </c>
      <c r="R2160" s="249">
        <f t="shared" si="566"/>
        <v>9.6244795770348812</v>
      </c>
      <c r="S2160" s="355">
        <v>0.1</v>
      </c>
      <c r="T2160" s="355"/>
      <c r="U2160" s="315">
        <f t="shared" si="567"/>
        <v>10.586927534738368</v>
      </c>
      <c r="V2160" s="315">
        <f t="shared" si="568"/>
        <v>11</v>
      </c>
      <c r="W2160" s="316">
        <f t="shared" si="557"/>
        <v>0</v>
      </c>
    </row>
    <row r="2161" spans="1:23" x14ac:dyDescent="0.25">
      <c r="A2161" s="204" t="s">
        <v>17825</v>
      </c>
      <c r="B2161" s="351" t="s">
        <v>21862</v>
      </c>
      <c r="C2161" s="352"/>
      <c r="D2161" s="353" t="s">
        <v>14859</v>
      </c>
      <c r="E2161" s="249">
        <f t="shared" si="558"/>
        <v>0</v>
      </c>
      <c r="F2161" s="336">
        <v>0</v>
      </c>
      <c r="G2161" s="258">
        <f t="shared" si="559"/>
        <v>0</v>
      </c>
      <c r="H2161" s="249">
        <f t="shared" si="560"/>
        <v>10.970350206973341</v>
      </c>
      <c r="I2161" s="336">
        <v>6.4870817126985994E-3</v>
      </c>
      <c r="J2161" s="258">
        <f t="shared" si="561"/>
        <v>6.4870817126985994E-3</v>
      </c>
      <c r="K2161" s="249">
        <f t="shared" si="562"/>
        <v>1661.2075588133473</v>
      </c>
      <c r="L2161" s="336">
        <v>0.98231952239088027</v>
      </c>
      <c r="M2161" s="258">
        <f t="shared" si="563"/>
        <v>0.98231952239088027</v>
      </c>
      <c r="N2161" s="251">
        <f t="shared" si="564"/>
        <v>18.92923172967949</v>
      </c>
      <c r="O2161" s="336">
        <v>1.1193395896421111E-2</v>
      </c>
      <c r="P2161" s="258">
        <f t="shared" si="565"/>
        <v>1.1193395896421111E-2</v>
      </c>
      <c r="Q2161" s="354">
        <v>1650.9735000000001</v>
      </c>
      <c r="R2161" s="249">
        <f t="shared" si="566"/>
        <v>1691.1071407500001</v>
      </c>
      <c r="S2161" s="355">
        <v>0.1</v>
      </c>
      <c r="T2161" s="355"/>
      <c r="U2161" s="315">
        <f t="shared" si="567"/>
        <v>1860.2178548250001</v>
      </c>
      <c r="V2161" s="315">
        <f t="shared" si="568"/>
        <v>1875</v>
      </c>
      <c r="W2161" s="316">
        <f t="shared" si="557"/>
        <v>0</v>
      </c>
    </row>
    <row r="2162" spans="1:23" x14ac:dyDescent="0.25">
      <c r="A2162" s="204" t="s">
        <v>17826</v>
      </c>
      <c r="B2162" s="351" t="s">
        <v>21863</v>
      </c>
      <c r="C2162" s="352"/>
      <c r="D2162" s="353" t="s">
        <v>5</v>
      </c>
      <c r="E2162" s="249">
        <f t="shared" si="558"/>
        <v>0</v>
      </c>
      <c r="F2162" s="336">
        <v>0</v>
      </c>
      <c r="G2162" s="258">
        <f t="shared" si="559"/>
        <v>0</v>
      </c>
      <c r="H2162" s="249">
        <f t="shared" si="560"/>
        <v>6.3780719458262761E-2</v>
      </c>
      <c r="I2162" s="336">
        <v>6.4870817126985994E-3</v>
      </c>
      <c r="J2162" s="258">
        <f t="shared" si="561"/>
        <v>6.4870817126985994E-3</v>
      </c>
      <c r="K2162" s="249">
        <f t="shared" si="562"/>
        <v>9.6580654181461156</v>
      </c>
      <c r="L2162" s="336">
        <v>0.98231346535846886</v>
      </c>
      <c r="M2162" s="258">
        <f t="shared" si="563"/>
        <v>0.98231346535846886</v>
      </c>
      <c r="N2162" s="251">
        <f t="shared" si="564"/>
        <v>0.11005300612406121</v>
      </c>
      <c r="O2162" s="336">
        <v>1.1193395896421111E-2</v>
      </c>
      <c r="P2162" s="258">
        <f t="shared" si="565"/>
        <v>1.1193395896421111E-2</v>
      </c>
      <c r="Q2162" s="354">
        <v>9.5986831395348844</v>
      </c>
      <c r="R2162" s="249">
        <f t="shared" si="566"/>
        <v>9.83195869622093</v>
      </c>
      <c r="S2162" s="355">
        <v>0.1</v>
      </c>
      <c r="T2162" s="355"/>
      <c r="U2162" s="315">
        <f t="shared" si="567"/>
        <v>10.815154565843024</v>
      </c>
      <c r="V2162" s="315">
        <f t="shared" si="568"/>
        <v>11</v>
      </c>
      <c r="W2162" s="316">
        <f t="shared" si="557"/>
        <v>0</v>
      </c>
    </row>
    <row r="2163" spans="1:23" x14ac:dyDescent="0.25">
      <c r="A2163" s="204" t="s">
        <v>17827</v>
      </c>
      <c r="B2163" s="351" t="s">
        <v>21864</v>
      </c>
      <c r="C2163" s="352"/>
      <c r="D2163" s="353" t="s">
        <v>14859</v>
      </c>
      <c r="E2163" s="249">
        <f t="shared" si="558"/>
        <v>0</v>
      </c>
      <c r="F2163" s="336">
        <v>0</v>
      </c>
      <c r="G2163" s="258">
        <f t="shared" si="559"/>
        <v>0</v>
      </c>
      <c r="H2163" s="249">
        <f t="shared" si="560"/>
        <v>10.970351475068371</v>
      </c>
      <c r="I2163" s="336">
        <v>6.4830586961969689E-3</v>
      </c>
      <c r="J2163" s="258">
        <f t="shared" si="561"/>
        <v>6.4830586961969689E-3</v>
      </c>
      <c r="K2163" s="249">
        <f t="shared" si="562"/>
        <v>1662.2571556071666</v>
      </c>
      <c r="L2163" s="336">
        <v>0.98233048708291415</v>
      </c>
      <c r="M2163" s="258">
        <f t="shared" si="563"/>
        <v>0.98233048708291415</v>
      </c>
      <c r="N2163" s="251">
        <f t="shared" si="564"/>
        <v>18.929233917765032</v>
      </c>
      <c r="O2163" s="336">
        <v>1.1186454220888887E-2</v>
      </c>
      <c r="P2163" s="258">
        <f t="shared" si="565"/>
        <v>1.1186454220888887E-2</v>
      </c>
      <c r="Q2163" s="354">
        <v>1651.998</v>
      </c>
      <c r="R2163" s="249">
        <f t="shared" si="566"/>
        <v>1692.156741</v>
      </c>
      <c r="S2163" s="355">
        <v>0.1</v>
      </c>
      <c r="T2163" s="355"/>
      <c r="U2163" s="315">
        <f t="shared" si="567"/>
        <v>1861.3724151000001</v>
      </c>
      <c r="V2163" s="315">
        <f t="shared" si="568"/>
        <v>1875</v>
      </c>
      <c r="W2163" s="316">
        <f t="shared" si="557"/>
        <v>0</v>
      </c>
    </row>
    <row r="2164" spans="1:23" x14ac:dyDescent="0.25">
      <c r="A2164" s="204" t="s">
        <v>17828</v>
      </c>
      <c r="B2164" s="351" t="s">
        <v>21865</v>
      </c>
      <c r="C2164" s="352"/>
      <c r="D2164" s="353" t="s">
        <v>5</v>
      </c>
      <c r="E2164" s="249">
        <f t="shared" si="558"/>
        <v>0</v>
      </c>
      <c r="F2164" s="336">
        <v>0</v>
      </c>
      <c r="G2164" s="258">
        <f t="shared" si="559"/>
        <v>0</v>
      </c>
      <c r="H2164" s="249">
        <f t="shared" si="560"/>
        <v>6.3780727070535059E-2</v>
      </c>
      <c r="I2164" s="336">
        <v>6.4830586961969689E-3</v>
      </c>
      <c r="J2164" s="258">
        <f t="shared" si="561"/>
        <v>6.4830586961969689E-3</v>
      </c>
      <c r="K2164" s="249">
        <f t="shared" si="562"/>
        <v>9.6641677244267186</v>
      </c>
      <c r="L2164" s="336">
        <v>0.98232443380682066</v>
      </c>
      <c r="M2164" s="258">
        <f t="shared" si="563"/>
        <v>0.98232443380682066</v>
      </c>
      <c r="N2164" s="251">
        <f t="shared" si="564"/>
        <v>0.11005301925896244</v>
      </c>
      <c r="O2164" s="336">
        <v>1.1186454220888885E-2</v>
      </c>
      <c r="P2164" s="258">
        <f t="shared" si="565"/>
        <v>1.1186454220888885E-2</v>
      </c>
      <c r="Q2164" s="354">
        <v>9.6046395348837219</v>
      </c>
      <c r="R2164" s="249">
        <f t="shared" si="566"/>
        <v>9.8380610232558148</v>
      </c>
      <c r="S2164" s="355">
        <v>0.1</v>
      </c>
      <c r="T2164" s="355"/>
      <c r="U2164" s="315">
        <f t="shared" si="567"/>
        <v>10.821867125581397</v>
      </c>
      <c r="V2164" s="315">
        <f t="shared" si="568"/>
        <v>11</v>
      </c>
      <c r="W2164" s="316">
        <f t="shared" si="557"/>
        <v>0</v>
      </c>
    </row>
    <row r="2165" spans="1:23" x14ac:dyDescent="0.25">
      <c r="A2165" s="204" t="s">
        <v>17829</v>
      </c>
      <c r="B2165" s="351" t="s">
        <v>21866</v>
      </c>
      <c r="C2165" s="352"/>
      <c r="D2165" s="353" t="s">
        <v>14859</v>
      </c>
      <c r="E2165" s="249">
        <f t="shared" si="558"/>
        <v>0</v>
      </c>
      <c r="F2165" s="336">
        <v>0</v>
      </c>
      <c r="G2165" s="258">
        <f t="shared" si="559"/>
        <v>0</v>
      </c>
      <c r="H2165" s="249">
        <f t="shared" si="560"/>
        <v>10.970351475068371</v>
      </c>
      <c r="I2165" s="336">
        <v>6.4830586961969689E-3</v>
      </c>
      <c r="J2165" s="258">
        <f t="shared" si="561"/>
        <v>6.4830586961969689E-3</v>
      </c>
      <c r="K2165" s="249">
        <f t="shared" si="562"/>
        <v>1662.2571556071666</v>
      </c>
      <c r="L2165" s="336">
        <v>0.98233048708291415</v>
      </c>
      <c r="M2165" s="258">
        <f t="shared" si="563"/>
        <v>0.98233048708291415</v>
      </c>
      <c r="N2165" s="251">
        <f t="shared" si="564"/>
        <v>18.929233917765032</v>
      </c>
      <c r="O2165" s="336">
        <v>1.1186454220888887E-2</v>
      </c>
      <c r="P2165" s="258">
        <f t="shared" si="565"/>
        <v>1.1186454220888887E-2</v>
      </c>
      <c r="Q2165" s="354">
        <v>1651.998</v>
      </c>
      <c r="R2165" s="249">
        <f t="shared" si="566"/>
        <v>1692.156741</v>
      </c>
      <c r="S2165" s="355">
        <v>0.1</v>
      </c>
      <c r="T2165" s="355"/>
      <c r="U2165" s="315">
        <f t="shared" si="567"/>
        <v>1861.3724151000001</v>
      </c>
      <c r="V2165" s="315">
        <f t="shared" si="568"/>
        <v>1875</v>
      </c>
      <c r="W2165" s="316">
        <f t="shared" si="557"/>
        <v>0</v>
      </c>
    </row>
    <row r="2166" spans="1:23" x14ac:dyDescent="0.25">
      <c r="A2166" s="204" t="s">
        <v>17830</v>
      </c>
      <c r="B2166" s="351" t="s">
        <v>21867</v>
      </c>
      <c r="C2166" s="352"/>
      <c r="D2166" s="353" t="s">
        <v>5</v>
      </c>
      <c r="E2166" s="249">
        <f t="shared" si="558"/>
        <v>0</v>
      </c>
      <c r="F2166" s="336">
        <v>0</v>
      </c>
      <c r="G2166" s="258">
        <f t="shared" si="559"/>
        <v>0</v>
      </c>
      <c r="H2166" s="249">
        <f t="shared" si="560"/>
        <v>6.3780727070535059E-2</v>
      </c>
      <c r="I2166" s="336">
        <v>6.4830586961969689E-3</v>
      </c>
      <c r="J2166" s="258">
        <f t="shared" si="561"/>
        <v>6.4830586961969689E-3</v>
      </c>
      <c r="K2166" s="249">
        <f t="shared" si="562"/>
        <v>9.6641677244267186</v>
      </c>
      <c r="L2166" s="336">
        <v>0.98232443380682066</v>
      </c>
      <c r="M2166" s="258">
        <f t="shared" si="563"/>
        <v>0.98232443380682066</v>
      </c>
      <c r="N2166" s="251">
        <f t="shared" si="564"/>
        <v>0.11005301925896244</v>
      </c>
      <c r="O2166" s="336">
        <v>1.1186454220888885E-2</v>
      </c>
      <c r="P2166" s="258">
        <f t="shared" si="565"/>
        <v>1.1186454220888885E-2</v>
      </c>
      <c r="Q2166" s="354">
        <v>9.6046395348837219</v>
      </c>
      <c r="R2166" s="249">
        <f t="shared" si="566"/>
        <v>9.8380610232558148</v>
      </c>
      <c r="S2166" s="355">
        <v>0.1</v>
      </c>
      <c r="T2166" s="355"/>
      <c r="U2166" s="315">
        <f t="shared" si="567"/>
        <v>10.821867125581397</v>
      </c>
      <c r="V2166" s="315">
        <f t="shared" si="568"/>
        <v>11</v>
      </c>
      <c r="W2166" s="316">
        <f t="shared" si="557"/>
        <v>0</v>
      </c>
    </row>
    <row r="2167" spans="1:23" x14ac:dyDescent="0.25">
      <c r="A2167" s="204" t="s">
        <v>17831</v>
      </c>
      <c r="B2167" s="351" t="s">
        <v>21868</v>
      </c>
      <c r="C2167" s="352"/>
      <c r="D2167" s="353" t="s">
        <v>14859</v>
      </c>
      <c r="E2167" s="249">
        <f t="shared" si="558"/>
        <v>0</v>
      </c>
      <c r="F2167" s="336">
        <v>0</v>
      </c>
      <c r="G2167" s="258">
        <f t="shared" si="559"/>
        <v>0</v>
      </c>
      <c r="H2167" s="249">
        <f t="shared" si="560"/>
        <v>10.970345510202224</v>
      </c>
      <c r="I2167" s="336">
        <v>6.5019821635634023E-3</v>
      </c>
      <c r="J2167" s="258">
        <f t="shared" si="561"/>
        <v>6.5019821635634023E-3</v>
      </c>
      <c r="K2167" s="249">
        <f t="shared" si="562"/>
        <v>1657.3313758643508</v>
      </c>
      <c r="L2167" s="336">
        <v>0.98227891135813106</v>
      </c>
      <c r="M2167" s="258">
        <f t="shared" si="563"/>
        <v>0.98227891135813106</v>
      </c>
      <c r="N2167" s="251">
        <f t="shared" si="564"/>
        <v>18.929223625446973</v>
      </c>
      <c r="O2167" s="336">
        <v>1.1219106478305478E-2</v>
      </c>
      <c r="P2167" s="258">
        <f t="shared" si="565"/>
        <v>1.1219106478305478E-2</v>
      </c>
      <c r="Q2167" s="354">
        <v>1647.19</v>
      </c>
      <c r="R2167" s="249">
        <f t="shared" si="566"/>
        <v>1687.230945</v>
      </c>
      <c r="S2167" s="355">
        <v>0.1</v>
      </c>
      <c r="T2167" s="355"/>
      <c r="U2167" s="315">
        <f t="shared" si="567"/>
        <v>1855.9540394999999</v>
      </c>
      <c r="V2167" s="315">
        <f t="shared" si="568"/>
        <v>1875</v>
      </c>
      <c r="W2167" s="316">
        <f t="shared" si="557"/>
        <v>0</v>
      </c>
    </row>
    <row r="2168" spans="1:23" x14ac:dyDescent="0.25">
      <c r="A2168" s="204" t="s">
        <v>17832</v>
      </c>
      <c r="B2168" s="351" t="s">
        <v>21869</v>
      </c>
      <c r="C2168" s="352"/>
      <c r="D2168" s="353" t="s">
        <v>5</v>
      </c>
      <c r="E2168" s="249">
        <f t="shared" si="558"/>
        <v>0</v>
      </c>
      <c r="F2168" s="336">
        <v>0</v>
      </c>
      <c r="G2168" s="258">
        <f t="shared" si="559"/>
        <v>0</v>
      </c>
      <c r="H2168" s="249">
        <f t="shared" si="560"/>
        <v>6.3780691263924175E-2</v>
      </c>
      <c r="I2168" s="336">
        <v>6.5019821635634023E-3</v>
      </c>
      <c r="J2168" s="258">
        <f t="shared" si="561"/>
        <v>6.5019821635634023E-3</v>
      </c>
      <c r="K2168" s="249">
        <f t="shared" si="562"/>
        <v>9.6355294732135057</v>
      </c>
      <c r="L2168" s="336">
        <v>0.98227284041306695</v>
      </c>
      <c r="M2168" s="258">
        <f t="shared" si="563"/>
        <v>0.98227284041306695</v>
      </c>
      <c r="N2168" s="251">
        <f t="shared" si="564"/>
        <v>0.11005295747500639</v>
      </c>
      <c r="O2168" s="336">
        <v>1.1219106478305476E-2</v>
      </c>
      <c r="P2168" s="258">
        <f t="shared" si="565"/>
        <v>1.1219106478305476E-2</v>
      </c>
      <c r="Q2168" s="354">
        <v>9.5766860465116288</v>
      </c>
      <c r="R2168" s="249">
        <f t="shared" si="566"/>
        <v>9.8094226744186042</v>
      </c>
      <c r="S2168" s="355">
        <v>0.1</v>
      </c>
      <c r="T2168" s="355"/>
      <c r="U2168" s="315">
        <f t="shared" si="567"/>
        <v>10.790364941860464</v>
      </c>
      <c r="V2168" s="315">
        <f t="shared" si="568"/>
        <v>11</v>
      </c>
      <c r="W2168" s="316">
        <f t="shared" ref="W2168:W2231" si="569">C2168*V2168</f>
        <v>0</v>
      </c>
    </row>
    <row r="2169" spans="1:23" x14ac:dyDescent="0.25">
      <c r="A2169" s="204" t="s">
        <v>17833</v>
      </c>
      <c r="B2169" s="351" t="s">
        <v>21870</v>
      </c>
      <c r="C2169" s="352"/>
      <c r="D2169" s="353" t="s">
        <v>14859</v>
      </c>
      <c r="E2169" s="249">
        <f t="shared" si="558"/>
        <v>0</v>
      </c>
      <c r="F2169" s="336">
        <v>0</v>
      </c>
      <c r="G2169" s="258">
        <f t="shared" si="559"/>
        <v>0</v>
      </c>
      <c r="H2169" s="249">
        <f t="shared" si="560"/>
        <v>10.970393673785342</v>
      </c>
      <c r="I2169" s="336">
        <v>6.3491837652971768E-3</v>
      </c>
      <c r="J2169" s="258">
        <f t="shared" si="561"/>
        <v>6.3491837652971768E-3</v>
      </c>
      <c r="K2169" s="249">
        <f t="shared" si="562"/>
        <v>1697.943449094977</v>
      </c>
      <c r="L2169" s="336">
        <v>0.98269536189458218</v>
      </c>
      <c r="M2169" s="258">
        <f t="shared" si="563"/>
        <v>0.98269536189458218</v>
      </c>
      <c r="N2169" s="251">
        <f t="shared" si="564"/>
        <v>18.92930673123745</v>
      </c>
      <c r="O2169" s="336">
        <v>1.0955454340120617E-2</v>
      </c>
      <c r="P2169" s="258">
        <f t="shared" si="565"/>
        <v>1.0955454340120617E-2</v>
      </c>
      <c r="Q2169" s="354">
        <v>1686.8309999999999</v>
      </c>
      <c r="R2169" s="249">
        <f t="shared" si="566"/>
        <v>1727.8431495</v>
      </c>
      <c r="S2169" s="355">
        <v>0.1</v>
      </c>
      <c r="T2169" s="355"/>
      <c r="U2169" s="315">
        <f t="shared" si="567"/>
        <v>1900.6274644499999</v>
      </c>
      <c r="V2169" s="315">
        <f t="shared" si="568"/>
        <v>1925</v>
      </c>
      <c r="W2169" s="316">
        <f t="shared" si="569"/>
        <v>0</v>
      </c>
    </row>
    <row r="2170" spans="1:23" x14ac:dyDescent="0.25">
      <c r="A2170" s="204" t="s">
        <v>17834</v>
      </c>
      <c r="B2170" s="351" t="s">
        <v>21871</v>
      </c>
      <c r="C2170" s="352"/>
      <c r="D2170" s="353" t="s">
        <v>5</v>
      </c>
      <c r="E2170" s="249">
        <f t="shared" si="558"/>
        <v>0</v>
      </c>
      <c r="F2170" s="336">
        <v>0</v>
      </c>
      <c r="G2170" s="258">
        <f t="shared" si="559"/>
        <v>0</v>
      </c>
      <c r="H2170" s="249">
        <f t="shared" si="560"/>
        <v>6.3780980386032943E-2</v>
      </c>
      <c r="I2170" s="336">
        <v>6.3491837652971768E-3</v>
      </c>
      <c r="J2170" s="258">
        <f t="shared" si="561"/>
        <v>6.3491837652971768E-3</v>
      </c>
      <c r="K2170" s="249">
        <f t="shared" si="562"/>
        <v>9.8716461529673349</v>
      </c>
      <c r="L2170" s="336">
        <v>0.9826894336184242</v>
      </c>
      <c r="M2170" s="258">
        <f t="shared" si="563"/>
        <v>0.9826894336184242</v>
      </c>
      <c r="N2170" s="251">
        <f t="shared" si="564"/>
        <v>0.11005345635237056</v>
      </c>
      <c r="O2170" s="336">
        <v>1.0955454340120617E-2</v>
      </c>
      <c r="P2170" s="258">
        <f t="shared" si="565"/>
        <v>1.0955454340120617E-2</v>
      </c>
      <c r="Q2170" s="354">
        <v>9.8071569767441851</v>
      </c>
      <c r="R2170" s="249">
        <f t="shared" si="566"/>
        <v>10.04554014244186</v>
      </c>
      <c r="S2170" s="355">
        <v>0.1</v>
      </c>
      <c r="T2170" s="355"/>
      <c r="U2170" s="315">
        <f t="shared" si="567"/>
        <v>11.050094156686047</v>
      </c>
      <c r="V2170" s="315">
        <f t="shared" si="568"/>
        <v>12</v>
      </c>
      <c r="W2170" s="316">
        <f t="shared" si="569"/>
        <v>0</v>
      </c>
    </row>
    <row r="2171" spans="1:23" x14ac:dyDescent="0.25">
      <c r="A2171" s="204" t="s">
        <v>17835</v>
      </c>
      <c r="B2171" s="351" t="s">
        <v>21872</v>
      </c>
      <c r="C2171" s="352"/>
      <c r="D2171" s="353" t="s">
        <v>14859</v>
      </c>
      <c r="E2171" s="249">
        <f t="shared" si="558"/>
        <v>0</v>
      </c>
      <c r="F2171" s="336">
        <v>0</v>
      </c>
      <c r="G2171" s="258">
        <f t="shared" si="559"/>
        <v>0</v>
      </c>
      <c r="H2171" s="249">
        <f t="shared" si="560"/>
        <v>10.970393673785342</v>
      </c>
      <c r="I2171" s="336">
        <v>6.3491837652971768E-3</v>
      </c>
      <c r="J2171" s="258">
        <f t="shared" si="561"/>
        <v>6.3491837652971768E-3</v>
      </c>
      <c r="K2171" s="249">
        <f t="shared" si="562"/>
        <v>1697.943449094977</v>
      </c>
      <c r="L2171" s="336">
        <v>0.98269536189458218</v>
      </c>
      <c r="M2171" s="258">
        <f t="shared" si="563"/>
        <v>0.98269536189458218</v>
      </c>
      <c r="N2171" s="251">
        <f t="shared" si="564"/>
        <v>18.92930673123745</v>
      </c>
      <c r="O2171" s="336">
        <v>1.0955454340120617E-2</v>
      </c>
      <c r="P2171" s="258">
        <f t="shared" si="565"/>
        <v>1.0955454340120617E-2</v>
      </c>
      <c r="Q2171" s="354">
        <v>1686.8309999999999</v>
      </c>
      <c r="R2171" s="249">
        <f t="shared" si="566"/>
        <v>1727.8431495</v>
      </c>
      <c r="S2171" s="355">
        <v>0.1</v>
      </c>
      <c r="T2171" s="355"/>
      <c r="U2171" s="315">
        <f t="shared" si="567"/>
        <v>1900.6274644499999</v>
      </c>
      <c r="V2171" s="315">
        <f t="shared" si="568"/>
        <v>1925</v>
      </c>
      <c r="W2171" s="316">
        <f t="shared" si="569"/>
        <v>0</v>
      </c>
    </row>
    <row r="2172" spans="1:23" x14ac:dyDescent="0.25">
      <c r="A2172" s="204" t="s">
        <v>17836</v>
      </c>
      <c r="B2172" s="351" t="s">
        <v>21873</v>
      </c>
      <c r="C2172" s="352"/>
      <c r="D2172" s="353" t="s">
        <v>5</v>
      </c>
      <c r="E2172" s="249">
        <f t="shared" si="558"/>
        <v>0</v>
      </c>
      <c r="F2172" s="336">
        <v>0</v>
      </c>
      <c r="G2172" s="258">
        <f t="shared" si="559"/>
        <v>0</v>
      </c>
      <c r="H2172" s="249">
        <f t="shared" si="560"/>
        <v>6.3780980386032943E-2</v>
      </c>
      <c r="I2172" s="336">
        <v>6.3491837652971768E-3</v>
      </c>
      <c r="J2172" s="258">
        <f t="shared" si="561"/>
        <v>6.3491837652971768E-3</v>
      </c>
      <c r="K2172" s="249">
        <f t="shared" si="562"/>
        <v>9.8716461529673349</v>
      </c>
      <c r="L2172" s="336">
        <v>0.9826894336184242</v>
      </c>
      <c r="M2172" s="258">
        <f t="shared" si="563"/>
        <v>0.9826894336184242</v>
      </c>
      <c r="N2172" s="251">
        <f t="shared" si="564"/>
        <v>0.11005345635237056</v>
      </c>
      <c r="O2172" s="336">
        <v>1.0955454340120617E-2</v>
      </c>
      <c r="P2172" s="258">
        <f t="shared" si="565"/>
        <v>1.0955454340120617E-2</v>
      </c>
      <c r="Q2172" s="354">
        <v>9.8071569767441851</v>
      </c>
      <c r="R2172" s="249">
        <f t="shared" si="566"/>
        <v>10.04554014244186</v>
      </c>
      <c r="S2172" s="355">
        <v>0.1</v>
      </c>
      <c r="T2172" s="355"/>
      <c r="U2172" s="315">
        <f t="shared" si="567"/>
        <v>11.050094156686047</v>
      </c>
      <c r="V2172" s="315">
        <f t="shared" si="568"/>
        <v>12</v>
      </c>
      <c r="W2172" s="316">
        <f t="shared" si="569"/>
        <v>0</v>
      </c>
    </row>
    <row r="2173" spans="1:23" x14ac:dyDescent="0.25">
      <c r="A2173" s="204" t="s">
        <v>17837</v>
      </c>
      <c r="B2173" s="351" t="s">
        <v>21874</v>
      </c>
      <c r="C2173" s="352"/>
      <c r="D2173" s="353" t="s">
        <v>14859</v>
      </c>
      <c r="E2173" s="249">
        <f t="shared" si="558"/>
        <v>0</v>
      </c>
      <c r="F2173" s="336">
        <v>0</v>
      </c>
      <c r="G2173" s="258">
        <f t="shared" si="559"/>
        <v>0</v>
      </c>
      <c r="H2173" s="249">
        <f t="shared" si="560"/>
        <v>10.970436495829063</v>
      </c>
      <c r="I2173" s="336">
        <v>6.2133313376414754E-3</v>
      </c>
      <c r="J2173" s="258">
        <f t="shared" si="561"/>
        <v>6.2133313376414754E-3</v>
      </c>
      <c r="K2173" s="249">
        <f t="shared" si="562"/>
        <v>1735.7289413839167</v>
      </c>
      <c r="L2173" s="336">
        <v>0.98306562635427119</v>
      </c>
      <c r="M2173" s="258">
        <f t="shared" si="563"/>
        <v>0.98306562635427119</v>
      </c>
      <c r="N2173" s="251">
        <f t="shared" si="564"/>
        <v>18.929380620254069</v>
      </c>
      <c r="O2173" s="336">
        <v>1.0721042308087252E-2</v>
      </c>
      <c r="P2173" s="258">
        <f t="shared" si="565"/>
        <v>1.0721042308087252E-2</v>
      </c>
      <c r="Q2173" s="354">
        <v>1723.713</v>
      </c>
      <c r="R2173" s="249">
        <f t="shared" si="566"/>
        <v>1765.6287585</v>
      </c>
      <c r="S2173" s="355">
        <v>0.1</v>
      </c>
      <c r="T2173" s="355"/>
      <c r="U2173" s="315">
        <f t="shared" si="567"/>
        <v>1942.19163435</v>
      </c>
      <c r="V2173" s="315">
        <f t="shared" si="568"/>
        <v>1950</v>
      </c>
      <c r="W2173" s="316">
        <f t="shared" si="569"/>
        <v>0</v>
      </c>
    </row>
    <row r="2174" spans="1:23" x14ac:dyDescent="0.25">
      <c r="A2174" s="204" t="s">
        <v>17838</v>
      </c>
      <c r="B2174" s="351" t="s">
        <v>21875</v>
      </c>
      <c r="C2174" s="352"/>
      <c r="D2174" s="353" t="s">
        <v>5</v>
      </c>
      <c r="E2174" s="249">
        <f t="shared" si="558"/>
        <v>0</v>
      </c>
      <c r="F2174" s="336">
        <v>0</v>
      </c>
      <c r="G2174" s="258">
        <f t="shared" si="559"/>
        <v>0</v>
      </c>
      <c r="H2174" s="249">
        <f t="shared" si="560"/>
        <v>6.3781237443311101E-2</v>
      </c>
      <c r="I2174" s="336">
        <v>6.2133313376414763E-3</v>
      </c>
      <c r="J2174" s="258">
        <f t="shared" si="561"/>
        <v>6.2133313376414763E-3</v>
      </c>
      <c r="K2174" s="249">
        <f t="shared" si="562"/>
        <v>10.091329225376041</v>
      </c>
      <c r="L2174" s="336">
        <v>0.98305982492445088</v>
      </c>
      <c r="M2174" s="258">
        <f t="shared" si="563"/>
        <v>0.98305982492445088</v>
      </c>
      <c r="N2174" s="251">
        <f t="shared" si="564"/>
        <v>0.11005389990218384</v>
      </c>
      <c r="O2174" s="336">
        <v>1.0721042308087252E-2</v>
      </c>
      <c r="P2174" s="258">
        <f t="shared" si="565"/>
        <v>1.0721042308087252E-2</v>
      </c>
      <c r="Q2174" s="354">
        <v>10.021587209302325</v>
      </c>
      <c r="R2174" s="249">
        <f t="shared" si="566"/>
        <v>10.265223915697673</v>
      </c>
      <c r="S2174" s="355">
        <v>0.1</v>
      </c>
      <c r="T2174" s="355"/>
      <c r="U2174" s="315">
        <f t="shared" si="567"/>
        <v>11.29174630726744</v>
      </c>
      <c r="V2174" s="315">
        <f t="shared" si="568"/>
        <v>12</v>
      </c>
      <c r="W2174" s="316">
        <f t="shared" si="569"/>
        <v>0</v>
      </c>
    </row>
    <row r="2175" spans="1:23" x14ac:dyDescent="0.25">
      <c r="A2175" s="204" t="s">
        <v>17839</v>
      </c>
      <c r="B2175" s="351" t="s">
        <v>21876</v>
      </c>
      <c r="C2175" s="352"/>
      <c r="D2175" s="353" t="s">
        <v>14859</v>
      </c>
      <c r="E2175" s="249">
        <f t="shared" si="558"/>
        <v>0</v>
      </c>
      <c r="F2175" s="336">
        <v>0</v>
      </c>
      <c r="G2175" s="258">
        <f t="shared" si="559"/>
        <v>0</v>
      </c>
      <c r="H2175" s="249">
        <f t="shared" si="560"/>
        <v>10.97044691653344</v>
      </c>
      <c r="I2175" s="336">
        <v>6.1802717761529798E-3</v>
      </c>
      <c r="J2175" s="258">
        <f t="shared" si="561"/>
        <v>6.1802717761529798E-3</v>
      </c>
      <c r="K2175" s="249">
        <f t="shared" si="562"/>
        <v>1745.1753152323893</v>
      </c>
      <c r="L2175" s="336">
        <v>0.98315572986499478</v>
      </c>
      <c r="M2175" s="258">
        <f t="shared" si="563"/>
        <v>0.98315572986499478</v>
      </c>
      <c r="N2175" s="251">
        <f t="shared" si="564"/>
        <v>18.929398601077306</v>
      </c>
      <c r="O2175" s="336">
        <v>1.0663998358852201E-2</v>
      </c>
      <c r="P2175" s="258">
        <f t="shared" si="565"/>
        <v>1.0663998358852201E-2</v>
      </c>
      <c r="Q2175" s="354">
        <v>1732.9335000000001</v>
      </c>
      <c r="R2175" s="249">
        <f t="shared" si="566"/>
        <v>1775.0751607500001</v>
      </c>
      <c r="S2175" s="355">
        <v>0.1</v>
      </c>
      <c r="T2175" s="355"/>
      <c r="U2175" s="315">
        <f t="shared" si="567"/>
        <v>1952.5826768250001</v>
      </c>
      <c r="V2175" s="315">
        <f t="shared" si="568"/>
        <v>1975</v>
      </c>
      <c r="W2175" s="316">
        <f t="shared" si="569"/>
        <v>0</v>
      </c>
    </row>
    <row r="2176" spans="1:23" x14ac:dyDescent="0.25">
      <c r="A2176" s="204" t="s">
        <v>17840</v>
      </c>
      <c r="B2176" s="351" t="s">
        <v>21877</v>
      </c>
      <c r="C2176" s="352"/>
      <c r="D2176" s="353" t="s">
        <v>5</v>
      </c>
      <c r="E2176" s="249">
        <f t="shared" si="558"/>
        <v>0</v>
      </c>
      <c r="F2176" s="336">
        <v>0</v>
      </c>
      <c r="G2176" s="258">
        <f t="shared" si="559"/>
        <v>0</v>
      </c>
      <c r="H2176" s="249">
        <f t="shared" si="560"/>
        <v>6.3781299997959853E-2</v>
      </c>
      <c r="I2176" s="336">
        <v>6.1802717761529806E-3</v>
      </c>
      <c r="J2176" s="258">
        <f t="shared" si="561"/>
        <v>6.1802717761529806E-3</v>
      </c>
      <c r="K2176" s="249">
        <f t="shared" si="562"/>
        <v>10.146249998139506</v>
      </c>
      <c r="L2176" s="336">
        <v>0.98314995930311233</v>
      </c>
      <c r="M2176" s="258">
        <f t="shared" si="563"/>
        <v>0.98314995930311233</v>
      </c>
      <c r="N2176" s="251">
        <f t="shared" si="564"/>
        <v>0.11005400783961698</v>
      </c>
      <c r="O2176" s="336">
        <v>1.0663998358852201E-2</v>
      </c>
      <c r="P2176" s="258">
        <f t="shared" si="565"/>
        <v>1.0663998358852201E-2</v>
      </c>
      <c r="Q2176" s="354">
        <v>10.075194767441861</v>
      </c>
      <c r="R2176" s="249">
        <f t="shared" si="566"/>
        <v>10.320144859011629</v>
      </c>
      <c r="S2176" s="355">
        <v>0.1</v>
      </c>
      <c r="T2176" s="355"/>
      <c r="U2176" s="315">
        <f t="shared" si="567"/>
        <v>11.352159344912792</v>
      </c>
      <c r="V2176" s="315">
        <f t="shared" si="568"/>
        <v>12</v>
      </c>
      <c r="W2176" s="316">
        <f t="shared" si="569"/>
        <v>0</v>
      </c>
    </row>
    <row r="2177" spans="1:23" x14ac:dyDescent="0.25">
      <c r="A2177" s="204" t="s">
        <v>17841</v>
      </c>
      <c r="B2177" s="351" t="s">
        <v>21878</v>
      </c>
      <c r="C2177" s="352"/>
      <c r="D2177" s="353" t="s">
        <v>14859</v>
      </c>
      <c r="E2177" s="249">
        <f t="shared" si="558"/>
        <v>0</v>
      </c>
      <c r="F2177" s="336">
        <v>0</v>
      </c>
      <c r="G2177" s="258">
        <f t="shared" si="559"/>
        <v>0</v>
      </c>
      <c r="H2177" s="249">
        <f t="shared" si="560"/>
        <v>10.970488617096972</v>
      </c>
      <c r="I2177" s="336">
        <v>6.0479772311445423E-3</v>
      </c>
      <c r="J2177" s="258">
        <f t="shared" si="561"/>
        <v>6.0479772311445423E-3</v>
      </c>
      <c r="K2177" s="249">
        <f t="shared" si="562"/>
        <v>1784.0104108279122</v>
      </c>
      <c r="L2177" s="336">
        <v>0.98351629735040991</v>
      </c>
      <c r="M2177" s="258">
        <f t="shared" si="563"/>
        <v>0.98351629735040991</v>
      </c>
      <c r="N2177" s="251">
        <f t="shared" si="564"/>
        <v>18.929470554990854</v>
      </c>
      <c r="O2177" s="336">
        <v>1.0435725418445485E-2</v>
      </c>
      <c r="P2177" s="258">
        <f t="shared" si="565"/>
        <v>1.0435725418445485E-2</v>
      </c>
      <c r="Q2177" s="354">
        <v>1770.84</v>
      </c>
      <c r="R2177" s="249">
        <f t="shared" si="566"/>
        <v>1813.9103700000001</v>
      </c>
      <c r="S2177" s="355">
        <v>0.1</v>
      </c>
      <c r="T2177" s="355"/>
      <c r="U2177" s="315">
        <f t="shared" si="567"/>
        <v>1995.3014070000002</v>
      </c>
      <c r="V2177" s="315">
        <f t="shared" si="568"/>
        <v>2000</v>
      </c>
      <c r="W2177" s="316">
        <f t="shared" si="569"/>
        <v>0</v>
      </c>
    </row>
    <row r="2178" spans="1:23" x14ac:dyDescent="0.25">
      <c r="A2178" s="204" t="s">
        <v>17842</v>
      </c>
      <c r="B2178" s="351" t="s">
        <v>21879</v>
      </c>
      <c r="C2178" s="352"/>
      <c r="D2178" s="353" t="s">
        <v>5</v>
      </c>
      <c r="E2178" s="249">
        <f t="shared" ref="E2178:E2241" si="570">R2178*G2178</f>
        <v>0</v>
      </c>
      <c r="F2178" s="336">
        <v>0</v>
      </c>
      <c r="G2178" s="258">
        <f t="shared" ref="G2178:G2241" si="571">F2178</f>
        <v>0</v>
      </c>
      <c r="H2178" s="249">
        <f t="shared" ref="H2178:H2241" si="572">R2178*J2178</f>
        <v>6.3781550323082775E-2</v>
      </c>
      <c r="I2178" s="336">
        <v>6.0479772311445423E-3</v>
      </c>
      <c r="J2178" s="258">
        <f t="shared" ref="J2178:J2241" si="573">I2178</f>
        <v>6.0479772311445423E-3</v>
      </c>
      <c r="K2178" s="249">
        <f t="shared" ref="K2178:K2241" si="574">R2178*M2178</f>
        <v>10.372035415937804</v>
      </c>
      <c r="L2178" s="336">
        <v>0.9835106503128459</v>
      </c>
      <c r="M2178" s="258">
        <f t="shared" ref="M2178:M2241" si="575">L2178</f>
        <v>0.9835106503128459</v>
      </c>
      <c r="N2178" s="251">
        <f t="shared" ref="N2178:N2241" si="576">P2178*R2178</f>
        <v>0.11005443977316244</v>
      </c>
      <c r="O2178" s="336">
        <v>1.0435725418445485E-2</v>
      </c>
      <c r="P2178" s="258">
        <f t="shared" ref="P2178:P2241" si="577">O2178</f>
        <v>1.0435725418445485E-2</v>
      </c>
      <c r="Q2178" s="354">
        <v>10.295581395348837</v>
      </c>
      <c r="R2178" s="249">
        <f t="shared" ref="R2178:R2241" si="578">SUM(F2178*Q2178*1.0235,I2178*Q2178*1.0175,L2178*Q2178*1.0245,O2178*Q2178*1.0115)</f>
        <v>10.545930959302325</v>
      </c>
      <c r="S2178" s="355">
        <v>0.1</v>
      </c>
      <c r="T2178" s="355"/>
      <c r="U2178" s="315">
        <f t="shared" si="567"/>
        <v>11.600524055232558</v>
      </c>
      <c r="V2178" s="315">
        <f t="shared" si="568"/>
        <v>12</v>
      </c>
      <c r="W2178" s="316">
        <f t="shared" si="569"/>
        <v>0</v>
      </c>
    </row>
    <row r="2179" spans="1:23" x14ac:dyDescent="0.25">
      <c r="A2179" s="204" t="s">
        <v>17843</v>
      </c>
      <c r="B2179" s="351" t="s">
        <v>21880</v>
      </c>
      <c r="C2179" s="352"/>
      <c r="D2179" s="353" t="s">
        <v>14859</v>
      </c>
      <c r="E2179" s="249">
        <f t="shared" si="570"/>
        <v>0</v>
      </c>
      <c r="F2179" s="336">
        <v>0</v>
      </c>
      <c r="G2179" s="258">
        <f t="shared" si="571"/>
        <v>0</v>
      </c>
      <c r="H2179" s="249">
        <f t="shared" si="572"/>
        <v>10.970533840732161</v>
      </c>
      <c r="I2179" s="336">
        <v>5.9045057829424296E-3</v>
      </c>
      <c r="J2179" s="258">
        <f t="shared" si="573"/>
        <v>5.9045057829424296E-3</v>
      </c>
      <c r="K2179" s="249">
        <f t="shared" si="574"/>
        <v>1828.093498071338</v>
      </c>
      <c r="L2179" s="336">
        <v>0.98390732737590203</v>
      </c>
      <c r="M2179" s="258">
        <f t="shared" si="575"/>
        <v>0.98390732737590203</v>
      </c>
      <c r="N2179" s="251">
        <f t="shared" si="576"/>
        <v>18.92954858793</v>
      </c>
      <c r="O2179" s="336">
        <v>1.0188166841155564E-2</v>
      </c>
      <c r="P2179" s="258">
        <f t="shared" si="577"/>
        <v>1.0188166841155564E-2</v>
      </c>
      <c r="Q2179" s="354">
        <v>1813.8689999999999</v>
      </c>
      <c r="R2179" s="249">
        <f t="shared" si="578"/>
        <v>1857.9935805</v>
      </c>
      <c r="S2179" s="355">
        <v>0.1</v>
      </c>
      <c r="T2179" s="355"/>
      <c r="U2179" s="315">
        <f t="shared" si="567"/>
        <v>2043.7929385500001</v>
      </c>
      <c r="V2179" s="315">
        <f t="shared" si="568"/>
        <v>2050</v>
      </c>
      <c r="W2179" s="316">
        <f t="shared" si="569"/>
        <v>0</v>
      </c>
    </row>
    <row r="2180" spans="1:23" x14ac:dyDescent="0.25">
      <c r="A2180" s="204" t="s">
        <v>17844</v>
      </c>
      <c r="B2180" s="351" t="s">
        <v>21881</v>
      </c>
      <c r="C2180" s="352"/>
      <c r="D2180" s="353" t="s">
        <v>5</v>
      </c>
      <c r="E2180" s="249">
        <f t="shared" si="570"/>
        <v>0</v>
      </c>
      <c r="F2180" s="336">
        <v>0</v>
      </c>
      <c r="G2180" s="258">
        <f t="shared" si="571"/>
        <v>0</v>
      </c>
      <c r="H2180" s="249">
        <f t="shared" si="572"/>
        <v>6.3781821796921004E-2</v>
      </c>
      <c r="I2180" s="336">
        <v>5.9045057829424296E-3</v>
      </c>
      <c r="J2180" s="258">
        <f t="shared" si="573"/>
        <v>5.9045057829424296E-3</v>
      </c>
      <c r="K2180" s="249">
        <f t="shared" si="574"/>
        <v>10.628332411250156</v>
      </c>
      <c r="L2180" s="336">
        <v>0.9839018142986069</v>
      </c>
      <c r="M2180" s="258">
        <f t="shared" si="575"/>
        <v>0.9839018142986069</v>
      </c>
      <c r="N2180" s="251">
        <f t="shared" si="576"/>
        <v>0.11005490819860878</v>
      </c>
      <c r="O2180" s="336">
        <v>1.0188166841155564E-2</v>
      </c>
      <c r="P2180" s="258">
        <f t="shared" si="577"/>
        <v>1.0188166841155564E-2</v>
      </c>
      <c r="Q2180" s="354">
        <v>10.54575</v>
      </c>
      <c r="R2180" s="249">
        <f t="shared" si="578"/>
        <v>10.80222869476744</v>
      </c>
      <c r="S2180" s="355">
        <v>0.1</v>
      </c>
      <c r="T2180" s="355"/>
      <c r="U2180" s="315">
        <f t="shared" si="567"/>
        <v>11.882451564244183</v>
      </c>
      <c r="V2180" s="315">
        <f t="shared" si="568"/>
        <v>12</v>
      </c>
      <c r="W2180" s="316">
        <f t="shared" si="569"/>
        <v>0</v>
      </c>
    </row>
    <row r="2181" spans="1:23" x14ac:dyDescent="0.25">
      <c r="A2181" s="204" t="s">
        <v>17845</v>
      </c>
      <c r="B2181" s="351" t="s">
        <v>21882</v>
      </c>
      <c r="C2181" s="352"/>
      <c r="D2181" s="353" t="s">
        <v>14859</v>
      </c>
      <c r="E2181" s="249">
        <f t="shared" si="570"/>
        <v>0</v>
      </c>
      <c r="F2181" s="336">
        <v>0</v>
      </c>
      <c r="G2181" s="258">
        <f t="shared" si="571"/>
        <v>0</v>
      </c>
      <c r="H2181" s="249">
        <f t="shared" si="572"/>
        <v>10.970533840732161</v>
      </c>
      <c r="I2181" s="336">
        <v>5.9045057829424296E-3</v>
      </c>
      <c r="J2181" s="258">
        <f t="shared" si="573"/>
        <v>5.9045057829424296E-3</v>
      </c>
      <c r="K2181" s="249">
        <f t="shared" si="574"/>
        <v>1828.093498071338</v>
      </c>
      <c r="L2181" s="336">
        <v>0.98390732737590203</v>
      </c>
      <c r="M2181" s="258">
        <f t="shared" si="575"/>
        <v>0.98390732737590203</v>
      </c>
      <c r="N2181" s="251">
        <f t="shared" si="576"/>
        <v>18.92954858793</v>
      </c>
      <c r="O2181" s="336">
        <v>1.0188166841155564E-2</v>
      </c>
      <c r="P2181" s="258">
        <f t="shared" si="577"/>
        <v>1.0188166841155564E-2</v>
      </c>
      <c r="Q2181" s="354">
        <v>1813.8689999999999</v>
      </c>
      <c r="R2181" s="249">
        <f t="shared" si="578"/>
        <v>1857.9935805</v>
      </c>
      <c r="S2181" s="355">
        <v>0.1</v>
      </c>
      <c r="T2181" s="355"/>
      <c r="U2181" s="315">
        <f t="shared" si="567"/>
        <v>2043.7929385500001</v>
      </c>
      <c r="V2181" s="315">
        <f t="shared" si="568"/>
        <v>2050</v>
      </c>
      <c r="W2181" s="316">
        <f t="shared" si="569"/>
        <v>0</v>
      </c>
    </row>
    <row r="2182" spans="1:23" ht="14.4" thickBot="1" x14ac:dyDescent="0.3">
      <c r="A2182" s="356" t="s">
        <v>17846</v>
      </c>
      <c r="B2182" s="357" t="s">
        <v>21883</v>
      </c>
      <c r="C2182" s="358"/>
      <c r="D2182" s="359" t="s">
        <v>5</v>
      </c>
      <c r="E2182" s="266">
        <f t="shared" si="570"/>
        <v>0</v>
      </c>
      <c r="F2182" s="360">
        <v>0</v>
      </c>
      <c r="G2182" s="322">
        <f t="shared" si="571"/>
        <v>0</v>
      </c>
      <c r="H2182" s="266">
        <f t="shared" si="572"/>
        <v>6.3781821796921004E-2</v>
      </c>
      <c r="I2182" s="360">
        <v>5.9045057829424296E-3</v>
      </c>
      <c r="J2182" s="322">
        <f t="shared" si="573"/>
        <v>5.9045057829424296E-3</v>
      </c>
      <c r="K2182" s="266">
        <f t="shared" si="574"/>
        <v>10.628332411250156</v>
      </c>
      <c r="L2182" s="360">
        <v>0.9839018142986069</v>
      </c>
      <c r="M2182" s="322">
        <f t="shared" si="575"/>
        <v>0.9839018142986069</v>
      </c>
      <c r="N2182" s="270">
        <f t="shared" si="576"/>
        <v>0.11005490819860878</v>
      </c>
      <c r="O2182" s="360">
        <v>1.0188166841155564E-2</v>
      </c>
      <c r="P2182" s="322">
        <f t="shared" si="577"/>
        <v>1.0188166841155564E-2</v>
      </c>
      <c r="Q2182" s="361">
        <v>10.54575</v>
      </c>
      <c r="R2182" s="266">
        <f t="shared" si="578"/>
        <v>10.80222869476744</v>
      </c>
      <c r="S2182" s="362">
        <v>0.1</v>
      </c>
      <c r="T2182" s="362"/>
      <c r="U2182" s="324">
        <f t="shared" si="567"/>
        <v>11.882451564244183</v>
      </c>
      <c r="V2182" s="324">
        <f t="shared" si="568"/>
        <v>12</v>
      </c>
      <c r="W2182" s="325">
        <f t="shared" si="569"/>
        <v>0</v>
      </c>
    </row>
    <row r="2183" spans="1:23" x14ac:dyDescent="0.25">
      <c r="A2183" s="204" t="s">
        <v>17847</v>
      </c>
      <c r="B2183" s="351" t="s">
        <v>21884</v>
      </c>
      <c r="C2183" s="352"/>
      <c r="D2183" s="353" t="s">
        <v>14859</v>
      </c>
      <c r="E2183" s="249">
        <f t="shared" si="570"/>
        <v>0</v>
      </c>
      <c r="F2183" s="336">
        <v>0</v>
      </c>
      <c r="G2183" s="258">
        <f t="shared" si="571"/>
        <v>0</v>
      </c>
      <c r="H2183" s="249">
        <f t="shared" si="572"/>
        <v>10.970551541347596</v>
      </c>
      <c r="I2183" s="336">
        <v>5.8483507896502215E-3</v>
      </c>
      <c r="J2183" s="258">
        <f t="shared" si="573"/>
        <v>5.8483507896502215E-3</v>
      </c>
      <c r="K2183" s="249">
        <f t="shared" si="574"/>
        <v>1845.936654078484</v>
      </c>
      <c r="L2183" s="336">
        <v>0.98406037725958073</v>
      </c>
      <c r="M2183" s="258">
        <f t="shared" si="575"/>
        <v>0.98406037725958073</v>
      </c>
      <c r="N2183" s="251">
        <f t="shared" si="576"/>
        <v>18.929579130168399</v>
      </c>
      <c r="O2183" s="336">
        <v>1.0091271950769009E-2</v>
      </c>
      <c r="P2183" s="258">
        <f t="shared" si="577"/>
        <v>1.0091271950769009E-2</v>
      </c>
      <c r="Q2183" s="354">
        <v>1831.2855</v>
      </c>
      <c r="R2183" s="249">
        <f t="shared" si="578"/>
        <v>1875.8367847500001</v>
      </c>
      <c r="S2183" s="355">
        <v>0.1</v>
      </c>
      <c r="T2183" s="355"/>
      <c r="U2183" s="315">
        <f t="shared" si="567"/>
        <v>2063.4204632250003</v>
      </c>
      <c r="V2183" s="315">
        <f t="shared" si="568"/>
        <v>2075</v>
      </c>
      <c r="W2183" s="316">
        <f t="shared" si="569"/>
        <v>0</v>
      </c>
    </row>
    <row r="2184" spans="1:23" x14ac:dyDescent="0.25">
      <c r="A2184" s="204" t="s">
        <v>17848</v>
      </c>
      <c r="B2184" s="351" t="s">
        <v>21885</v>
      </c>
      <c r="C2184" s="352"/>
      <c r="D2184" s="353" t="s">
        <v>5</v>
      </c>
      <c r="E2184" s="249">
        <f t="shared" si="570"/>
        <v>0</v>
      </c>
      <c r="F2184" s="336">
        <v>0</v>
      </c>
      <c r="G2184" s="258">
        <f t="shared" si="571"/>
        <v>0</v>
      </c>
      <c r="H2184" s="249">
        <f t="shared" si="572"/>
        <v>6.3781928052289272E-2</v>
      </c>
      <c r="I2184" s="336">
        <v>5.8483507896502215E-3</v>
      </c>
      <c r="J2184" s="258">
        <f t="shared" si="573"/>
        <v>5.8483507896502215E-3</v>
      </c>
      <c r="K2184" s="249">
        <f t="shared" si="574"/>
        <v>10.732071681146007</v>
      </c>
      <c r="L2184" s="336">
        <v>0.98405491661458577</v>
      </c>
      <c r="M2184" s="258">
        <f t="shared" si="575"/>
        <v>0.98405491661458577</v>
      </c>
      <c r="N2184" s="251">
        <f t="shared" si="576"/>
        <v>0.11005509154120502</v>
      </c>
      <c r="O2184" s="336">
        <v>1.0091271950769009E-2</v>
      </c>
      <c r="P2184" s="258">
        <f t="shared" si="577"/>
        <v>1.0091271950769009E-2</v>
      </c>
      <c r="Q2184" s="354">
        <v>10.647008720930232</v>
      </c>
      <c r="R2184" s="249">
        <f t="shared" si="578"/>
        <v>10.905968254360465</v>
      </c>
      <c r="S2184" s="355">
        <v>0.1</v>
      </c>
      <c r="T2184" s="355"/>
      <c r="U2184" s="315">
        <f t="shared" si="567"/>
        <v>11.996565079796511</v>
      </c>
      <c r="V2184" s="315">
        <f t="shared" si="568"/>
        <v>12</v>
      </c>
      <c r="W2184" s="316">
        <f t="shared" si="569"/>
        <v>0</v>
      </c>
    </row>
    <row r="2185" spans="1:23" x14ac:dyDescent="0.25">
      <c r="A2185" s="204" t="s">
        <v>17849</v>
      </c>
      <c r="B2185" s="351" t="s">
        <v>21886</v>
      </c>
      <c r="C2185" s="352"/>
      <c r="D2185" s="353" t="s">
        <v>14859</v>
      </c>
      <c r="E2185" s="249">
        <f t="shared" si="570"/>
        <v>0</v>
      </c>
      <c r="F2185" s="336">
        <v>0</v>
      </c>
      <c r="G2185" s="258">
        <f t="shared" si="571"/>
        <v>0</v>
      </c>
      <c r="H2185" s="249">
        <f t="shared" si="572"/>
        <v>10.970551541347596</v>
      </c>
      <c r="I2185" s="336">
        <v>5.8483507896502215E-3</v>
      </c>
      <c r="J2185" s="258">
        <f t="shared" si="573"/>
        <v>5.8483507896502215E-3</v>
      </c>
      <c r="K2185" s="249">
        <f t="shared" si="574"/>
        <v>1845.936654078484</v>
      </c>
      <c r="L2185" s="336">
        <v>0.98406037725958073</v>
      </c>
      <c r="M2185" s="258">
        <f t="shared" si="575"/>
        <v>0.98406037725958073</v>
      </c>
      <c r="N2185" s="251">
        <f t="shared" si="576"/>
        <v>18.929579130168399</v>
      </c>
      <c r="O2185" s="336">
        <v>1.0091271950769009E-2</v>
      </c>
      <c r="P2185" s="258">
        <f t="shared" si="577"/>
        <v>1.0091271950769009E-2</v>
      </c>
      <c r="Q2185" s="354">
        <v>1831.2855</v>
      </c>
      <c r="R2185" s="249">
        <f t="shared" si="578"/>
        <v>1875.8367847500001</v>
      </c>
      <c r="S2185" s="355">
        <v>0.1</v>
      </c>
      <c r="T2185" s="355"/>
      <c r="U2185" s="315">
        <f t="shared" si="567"/>
        <v>2063.4204632250003</v>
      </c>
      <c r="V2185" s="315">
        <f t="shared" si="568"/>
        <v>2075</v>
      </c>
      <c r="W2185" s="316">
        <f t="shared" si="569"/>
        <v>0</v>
      </c>
    </row>
    <row r="2186" spans="1:23" x14ac:dyDescent="0.25">
      <c r="A2186" s="204" t="s">
        <v>17850</v>
      </c>
      <c r="B2186" s="351" t="s">
        <v>21887</v>
      </c>
      <c r="C2186" s="352"/>
      <c r="D2186" s="353" t="s">
        <v>5</v>
      </c>
      <c r="E2186" s="249">
        <f t="shared" si="570"/>
        <v>0</v>
      </c>
      <c r="F2186" s="336">
        <v>0</v>
      </c>
      <c r="G2186" s="258">
        <f t="shared" si="571"/>
        <v>0</v>
      </c>
      <c r="H2186" s="249">
        <f t="shared" si="572"/>
        <v>6.3781928052289272E-2</v>
      </c>
      <c r="I2186" s="336">
        <v>5.8483507896502215E-3</v>
      </c>
      <c r="J2186" s="258">
        <f t="shared" si="573"/>
        <v>5.8483507896502215E-3</v>
      </c>
      <c r="K2186" s="249">
        <f t="shared" si="574"/>
        <v>10.732071681146007</v>
      </c>
      <c r="L2186" s="336">
        <v>0.98405491661458577</v>
      </c>
      <c r="M2186" s="258">
        <f t="shared" si="575"/>
        <v>0.98405491661458577</v>
      </c>
      <c r="N2186" s="251">
        <f t="shared" si="576"/>
        <v>0.11005509154120502</v>
      </c>
      <c r="O2186" s="336">
        <v>1.0091271950769009E-2</v>
      </c>
      <c r="P2186" s="258">
        <f t="shared" si="577"/>
        <v>1.0091271950769009E-2</v>
      </c>
      <c r="Q2186" s="354">
        <v>10.647008720930232</v>
      </c>
      <c r="R2186" s="249">
        <f t="shared" si="578"/>
        <v>10.905968254360465</v>
      </c>
      <c r="S2186" s="355">
        <v>0.1</v>
      </c>
      <c r="T2186" s="355"/>
      <c r="U2186" s="315">
        <f t="shared" si="567"/>
        <v>11.996565079796511</v>
      </c>
      <c r="V2186" s="315">
        <f t="shared" si="568"/>
        <v>12</v>
      </c>
      <c r="W2186" s="316">
        <f t="shared" si="569"/>
        <v>0</v>
      </c>
    </row>
    <row r="2187" spans="1:23" x14ac:dyDescent="0.25">
      <c r="A2187" s="204" t="s">
        <v>17851</v>
      </c>
      <c r="B2187" s="351" t="s">
        <v>21888</v>
      </c>
      <c r="C2187" s="352"/>
      <c r="D2187" s="353" t="s">
        <v>14859</v>
      </c>
      <c r="E2187" s="249">
        <f t="shared" si="570"/>
        <v>0</v>
      </c>
      <c r="F2187" s="336">
        <v>0</v>
      </c>
      <c r="G2187" s="258">
        <f t="shared" si="571"/>
        <v>0</v>
      </c>
      <c r="H2187" s="249">
        <f t="shared" si="572"/>
        <v>10.970551541347596</v>
      </c>
      <c r="I2187" s="336">
        <v>5.8483507896502215E-3</v>
      </c>
      <c r="J2187" s="258">
        <f t="shared" si="573"/>
        <v>5.8483507896502215E-3</v>
      </c>
      <c r="K2187" s="249">
        <f t="shared" si="574"/>
        <v>1845.936654078484</v>
      </c>
      <c r="L2187" s="336">
        <v>0.98406037725958073</v>
      </c>
      <c r="M2187" s="258">
        <f t="shared" si="575"/>
        <v>0.98406037725958073</v>
      </c>
      <c r="N2187" s="251">
        <f t="shared" si="576"/>
        <v>18.929579130168399</v>
      </c>
      <c r="O2187" s="336">
        <v>1.0091271950769009E-2</v>
      </c>
      <c r="P2187" s="258">
        <f t="shared" si="577"/>
        <v>1.0091271950769009E-2</v>
      </c>
      <c r="Q2187" s="354">
        <v>1831.2855</v>
      </c>
      <c r="R2187" s="249">
        <f t="shared" si="578"/>
        <v>1875.8367847500001</v>
      </c>
      <c r="S2187" s="355">
        <v>0.1</v>
      </c>
      <c r="T2187" s="355"/>
      <c r="U2187" s="315">
        <f t="shared" si="567"/>
        <v>2063.4204632250003</v>
      </c>
      <c r="V2187" s="315">
        <f t="shared" si="568"/>
        <v>2075</v>
      </c>
      <c r="W2187" s="316">
        <f t="shared" si="569"/>
        <v>0</v>
      </c>
    </row>
    <row r="2188" spans="1:23" x14ac:dyDescent="0.25">
      <c r="A2188" s="204" t="s">
        <v>17852</v>
      </c>
      <c r="B2188" s="351" t="s">
        <v>21889</v>
      </c>
      <c r="C2188" s="352"/>
      <c r="D2188" s="353" t="s">
        <v>5</v>
      </c>
      <c r="E2188" s="249">
        <f t="shared" si="570"/>
        <v>0</v>
      </c>
      <c r="F2188" s="336">
        <v>0</v>
      </c>
      <c r="G2188" s="258">
        <f t="shared" si="571"/>
        <v>0</v>
      </c>
      <c r="H2188" s="249">
        <f t="shared" si="572"/>
        <v>6.3781928052289272E-2</v>
      </c>
      <c r="I2188" s="336">
        <v>5.8483507896502215E-3</v>
      </c>
      <c r="J2188" s="258">
        <f t="shared" si="573"/>
        <v>5.8483507896502215E-3</v>
      </c>
      <c r="K2188" s="249">
        <f t="shared" si="574"/>
        <v>10.732071681146007</v>
      </c>
      <c r="L2188" s="336">
        <v>0.98405491661458577</v>
      </c>
      <c r="M2188" s="258">
        <f t="shared" si="575"/>
        <v>0.98405491661458577</v>
      </c>
      <c r="N2188" s="251">
        <f t="shared" si="576"/>
        <v>0.11005509154120502</v>
      </c>
      <c r="O2188" s="336">
        <v>1.0091271950769009E-2</v>
      </c>
      <c r="P2188" s="258">
        <f t="shared" si="577"/>
        <v>1.0091271950769009E-2</v>
      </c>
      <c r="Q2188" s="354">
        <v>10.647008720930232</v>
      </c>
      <c r="R2188" s="249">
        <f t="shared" si="578"/>
        <v>10.905968254360465</v>
      </c>
      <c r="S2188" s="355">
        <v>0.1</v>
      </c>
      <c r="T2188" s="355"/>
      <c r="U2188" s="315">
        <f t="shared" si="567"/>
        <v>11.996565079796511</v>
      </c>
      <c r="V2188" s="315">
        <f t="shared" si="568"/>
        <v>12</v>
      </c>
      <c r="W2188" s="316">
        <f t="shared" si="569"/>
        <v>0</v>
      </c>
    </row>
    <row r="2189" spans="1:23" x14ac:dyDescent="0.25">
      <c r="A2189" s="204" t="s">
        <v>17853</v>
      </c>
      <c r="B2189" s="351" t="s">
        <v>21890</v>
      </c>
      <c r="C2189" s="352"/>
      <c r="D2189" s="353" t="s">
        <v>14859</v>
      </c>
      <c r="E2189" s="249">
        <f t="shared" si="570"/>
        <v>0</v>
      </c>
      <c r="F2189" s="336">
        <v>0</v>
      </c>
      <c r="G2189" s="258">
        <f t="shared" si="571"/>
        <v>0</v>
      </c>
      <c r="H2189" s="249">
        <f t="shared" si="572"/>
        <v>10.970551541347596</v>
      </c>
      <c r="I2189" s="336">
        <v>5.8483507896502215E-3</v>
      </c>
      <c r="J2189" s="258">
        <f t="shared" si="573"/>
        <v>5.8483507896502215E-3</v>
      </c>
      <c r="K2189" s="249">
        <f t="shared" si="574"/>
        <v>1845.936654078484</v>
      </c>
      <c r="L2189" s="336">
        <v>0.98406037725958073</v>
      </c>
      <c r="M2189" s="258">
        <f t="shared" si="575"/>
        <v>0.98406037725958073</v>
      </c>
      <c r="N2189" s="251">
        <f t="shared" si="576"/>
        <v>18.929579130168399</v>
      </c>
      <c r="O2189" s="336">
        <v>1.0091271950769009E-2</v>
      </c>
      <c r="P2189" s="258">
        <f t="shared" si="577"/>
        <v>1.0091271950769009E-2</v>
      </c>
      <c r="Q2189" s="354">
        <v>1831.2855</v>
      </c>
      <c r="R2189" s="249">
        <f t="shared" si="578"/>
        <v>1875.8367847500001</v>
      </c>
      <c r="S2189" s="355">
        <v>0.1</v>
      </c>
      <c r="T2189" s="355"/>
      <c r="U2189" s="315">
        <f t="shared" si="567"/>
        <v>2063.4204632250003</v>
      </c>
      <c r="V2189" s="315">
        <f t="shared" si="568"/>
        <v>2075</v>
      </c>
      <c r="W2189" s="316">
        <f t="shared" si="569"/>
        <v>0</v>
      </c>
    </row>
    <row r="2190" spans="1:23" x14ac:dyDescent="0.25">
      <c r="A2190" s="204" t="s">
        <v>17854</v>
      </c>
      <c r="B2190" s="351" t="s">
        <v>21891</v>
      </c>
      <c r="C2190" s="352"/>
      <c r="D2190" s="353" t="s">
        <v>5</v>
      </c>
      <c r="E2190" s="249">
        <f t="shared" si="570"/>
        <v>0</v>
      </c>
      <c r="F2190" s="336">
        <v>0</v>
      </c>
      <c r="G2190" s="258">
        <f t="shared" si="571"/>
        <v>0</v>
      </c>
      <c r="H2190" s="249">
        <f t="shared" si="572"/>
        <v>6.3781928052289272E-2</v>
      </c>
      <c r="I2190" s="336">
        <v>5.8483507896502215E-3</v>
      </c>
      <c r="J2190" s="258">
        <f t="shared" si="573"/>
        <v>5.8483507896502215E-3</v>
      </c>
      <c r="K2190" s="249">
        <f t="shared" si="574"/>
        <v>10.732071681146007</v>
      </c>
      <c r="L2190" s="336">
        <v>0.98405491661458577</v>
      </c>
      <c r="M2190" s="258">
        <f t="shared" si="575"/>
        <v>0.98405491661458577</v>
      </c>
      <c r="N2190" s="251">
        <f t="shared" si="576"/>
        <v>0.11005509154120502</v>
      </c>
      <c r="O2190" s="336">
        <v>1.0091271950769009E-2</v>
      </c>
      <c r="P2190" s="258">
        <f t="shared" si="577"/>
        <v>1.0091271950769009E-2</v>
      </c>
      <c r="Q2190" s="354">
        <v>10.647008720930232</v>
      </c>
      <c r="R2190" s="249">
        <f t="shared" si="578"/>
        <v>10.905968254360465</v>
      </c>
      <c r="S2190" s="355">
        <v>0.1</v>
      </c>
      <c r="T2190" s="355"/>
      <c r="U2190" s="315">
        <f t="shared" si="567"/>
        <v>11.996565079796511</v>
      </c>
      <c r="V2190" s="315">
        <f t="shared" si="568"/>
        <v>12</v>
      </c>
      <c r="W2190" s="316">
        <f t="shared" si="569"/>
        <v>0</v>
      </c>
    </row>
    <row r="2191" spans="1:23" x14ac:dyDescent="0.25">
      <c r="A2191" s="204" t="s">
        <v>17855</v>
      </c>
      <c r="B2191" s="351" t="s">
        <v>21892</v>
      </c>
      <c r="C2191" s="352"/>
      <c r="D2191" s="353" t="s">
        <v>14859</v>
      </c>
      <c r="E2191" s="249">
        <f t="shared" si="570"/>
        <v>0</v>
      </c>
      <c r="F2191" s="336">
        <v>0</v>
      </c>
      <c r="G2191" s="258">
        <f t="shared" si="571"/>
        <v>0</v>
      </c>
      <c r="H2191" s="249">
        <f t="shared" si="572"/>
        <v>10.970635223408648</v>
      </c>
      <c r="I2191" s="336">
        <v>5.5828704398738936E-3</v>
      </c>
      <c r="J2191" s="258">
        <f t="shared" si="573"/>
        <v>5.5828704398738936E-3</v>
      </c>
      <c r="K2191" s="249">
        <f t="shared" si="574"/>
        <v>1935.1524472538467</v>
      </c>
      <c r="L2191" s="336">
        <v>0.98478394135014757</v>
      </c>
      <c r="M2191" s="258">
        <f t="shared" si="575"/>
        <v>0.98478394135014757</v>
      </c>
      <c r="N2191" s="251">
        <f t="shared" si="576"/>
        <v>18.929723522744332</v>
      </c>
      <c r="O2191" s="336">
        <v>9.6331882099784816E-3</v>
      </c>
      <c r="P2191" s="258">
        <f t="shared" si="577"/>
        <v>9.6331882099784816E-3</v>
      </c>
      <c r="Q2191" s="354">
        <v>1918.3679999999999</v>
      </c>
      <c r="R2191" s="249">
        <f t="shared" si="578"/>
        <v>1965.0528059999999</v>
      </c>
      <c r="S2191" s="355">
        <v>0.1</v>
      </c>
      <c r="T2191" s="355"/>
      <c r="U2191" s="315">
        <f t="shared" si="567"/>
        <v>2161.5580866</v>
      </c>
      <c r="V2191" s="315">
        <f t="shared" si="568"/>
        <v>2175</v>
      </c>
      <c r="W2191" s="316">
        <f t="shared" si="569"/>
        <v>0</v>
      </c>
    </row>
    <row r="2192" spans="1:23" x14ac:dyDescent="0.25">
      <c r="A2192" s="204" t="s">
        <v>17856</v>
      </c>
      <c r="B2192" s="351" t="s">
        <v>21893</v>
      </c>
      <c r="C2192" s="352"/>
      <c r="D2192" s="353" t="s">
        <v>5</v>
      </c>
      <c r="E2192" s="249">
        <f t="shared" si="570"/>
        <v>0</v>
      </c>
      <c r="F2192" s="336">
        <v>0</v>
      </c>
      <c r="G2192" s="258">
        <f t="shared" si="571"/>
        <v>0</v>
      </c>
      <c r="H2192" s="249">
        <f t="shared" si="572"/>
        <v>6.3782430388959255E-2</v>
      </c>
      <c r="I2192" s="336">
        <v>5.5828704398738936E-3</v>
      </c>
      <c r="J2192" s="258">
        <f t="shared" si="573"/>
        <v>5.5828704398738936E-3</v>
      </c>
      <c r="K2192" s="249">
        <f t="shared" si="574"/>
        <v>11.250768109528417</v>
      </c>
      <c r="L2192" s="336">
        <v>0.98477872858596471</v>
      </c>
      <c r="M2192" s="258">
        <f t="shared" si="575"/>
        <v>0.98477872858596471</v>
      </c>
      <c r="N2192" s="251">
        <f t="shared" si="576"/>
        <v>0.11005595831820418</v>
      </c>
      <c r="O2192" s="336">
        <v>9.6331882099784816E-3</v>
      </c>
      <c r="P2192" s="258">
        <f t="shared" si="577"/>
        <v>9.6331882099784816E-3</v>
      </c>
      <c r="Q2192" s="354">
        <v>11.153302325581395</v>
      </c>
      <c r="R2192" s="249">
        <f t="shared" si="578"/>
        <v>11.424666052325581</v>
      </c>
      <c r="S2192" s="355">
        <v>0.1</v>
      </c>
      <c r="T2192" s="355"/>
      <c r="U2192" s="315">
        <f t="shared" si="567"/>
        <v>12.567132657558139</v>
      </c>
      <c r="V2192" s="315">
        <f t="shared" si="568"/>
        <v>13</v>
      </c>
      <c r="W2192" s="316">
        <f t="shared" si="569"/>
        <v>0</v>
      </c>
    </row>
    <row r="2193" spans="1:23" x14ac:dyDescent="0.25">
      <c r="A2193" s="204" t="s">
        <v>17857</v>
      </c>
      <c r="B2193" s="351" t="s">
        <v>21894</v>
      </c>
      <c r="C2193" s="352"/>
      <c r="D2193" s="353" t="s">
        <v>14859</v>
      </c>
      <c r="E2193" s="249">
        <f t="shared" si="570"/>
        <v>0</v>
      </c>
      <c r="F2193" s="336">
        <v>0</v>
      </c>
      <c r="G2193" s="258">
        <f t="shared" si="571"/>
        <v>0</v>
      </c>
      <c r="H2193" s="249">
        <f t="shared" si="572"/>
        <v>10.970638038312643</v>
      </c>
      <c r="I2193" s="336">
        <v>5.573940190216565E-3</v>
      </c>
      <c r="J2193" s="258">
        <f t="shared" si="573"/>
        <v>5.573940190216565E-3</v>
      </c>
      <c r="K2193" s="249">
        <f t="shared" si="574"/>
        <v>1938.3012403318535</v>
      </c>
      <c r="L2193" s="336">
        <v>0.98480828065803716</v>
      </c>
      <c r="M2193" s="258">
        <f t="shared" si="575"/>
        <v>0.98480828065803716</v>
      </c>
      <c r="N2193" s="251">
        <f t="shared" si="576"/>
        <v>18.929728379833577</v>
      </c>
      <c r="O2193" s="336">
        <v>9.6177791517462283E-3</v>
      </c>
      <c r="P2193" s="258">
        <f t="shared" si="577"/>
        <v>9.6177791517462283E-3</v>
      </c>
      <c r="Q2193" s="354">
        <v>1921.4414999999999</v>
      </c>
      <c r="R2193" s="249">
        <f t="shared" si="578"/>
        <v>1968.2016067499999</v>
      </c>
      <c r="S2193" s="355">
        <v>0.1</v>
      </c>
      <c r="T2193" s="355"/>
      <c r="U2193" s="315">
        <f t="shared" si="567"/>
        <v>2165.0217674249998</v>
      </c>
      <c r="V2193" s="315">
        <f t="shared" si="568"/>
        <v>2175</v>
      </c>
      <c r="W2193" s="316">
        <f t="shared" si="569"/>
        <v>0</v>
      </c>
    </row>
    <row r="2194" spans="1:23" x14ac:dyDescent="0.25">
      <c r="A2194" s="204" t="s">
        <v>17858</v>
      </c>
      <c r="B2194" s="351" t="s">
        <v>21895</v>
      </c>
      <c r="C2194" s="352"/>
      <c r="D2194" s="353" t="s">
        <v>5</v>
      </c>
      <c r="E2194" s="249">
        <f t="shared" si="570"/>
        <v>0</v>
      </c>
      <c r="F2194" s="336">
        <v>0</v>
      </c>
      <c r="G2194" s="258">
        <f t="shared" si="571"/>
        <v>0</v>
      </c>
      <c r="H2194" s="249">
        <f t="shared" si="572"/>
        <v>6.3782447286601124E-2</v>
      </c>
      <c r="I2194" s="336">
        <v>5.573940190216565E-3</v>
      </c>
      <c r="J2194" s="258">
        <f t="shared" si="573"/>
        <v>5.573940190216565E-3</v>
      </c>
      <c r="K2194" s="249">
        <f t="shared" si="574"/>
        <v>11.269075044562932</v>
      </c>
      <c r="L2194" s="336">
        <v>0.98480307623208918</v>
      </c>
      <c r="M2194" s="258">
        <f t="shared" si="575"/>
        <v>0.98480307623208918</v>
      </c>
      <c r="N2194" s="251">
        <f t="shared" si="576"/>
        <v>0.11005598747491958</v>
      </c>
      <c r="O2194" s="336">
        <v>9.6177791517462301E-3</v>
      </c>
      <c r="P2194" s="258">
        <f t="shared" si="577"/>
        <v>9.6177791517462301E-3</v>
      </c>
      <c r="Q2194" s="354">
        <v>11.171171511627906</v>
      </c>
      <c r="R2194" s="249">
        <f t="shared" si="578"/>
        <v>11.44297303343023</v>
      </c>
      <c r="S2194" s="355">
        <v>0.1</v>
      </c>
      <c r="T2194" s="355"/>
      <c r="U2194" s="315">
        <f t="shared" si="567"/>
        <v>12.587270336773253</v>
      </c>
      <c r="V2194" s="315">
        <f t="shared" si="568"/>
        <v>13</v>
      </c>
      <c r="W2194" s="316">
        <f t="shared" si="569"/>
        <v>0</v>
      </c>
    </row>
    <row r="2195" spans="1:23" x14ac:dyDescent="0.25">
      <c r="A2195" s="204" t="s">
        <v>17859</v>
      </c>
      <c r="B2195" s="351" t="s">
        <v>21896</v>
      </c>
      <c r="C2195" s="352"/>
      <c r="D2195" s="353" t="s">
        <v>14859</v>
      </c>
      <c r="E2195" s="249">
        <f t="shared" si="570"/>
        <v>0</v>
      </c>
      <c r="F2195" s="336">
        <v>0</v>
      </c>
      <c r="G2195" s="258">
        <f t="shared" si="571"/>
        <v>0</v>
      </c>
      <c r="H2195" s="249">
        <f t="shared" si="572"/>
        <v>10.970698639044201</v>
      </c>
      <c r="I2195" s="336">
        <v>5.3816850854964344E-3</v>
      </c>
      <c r="J2195" s="258">
        <f t="shared" si="573"/>
        <v>5.3816850854964344E-3</v>
      </c>
      <c r="K2195" s="249">
        <f t="shared" si="574"/>
        <v>2008.6242919151541</v>
      </c>
      <c r="L2195" s="336">
        <v>0.98533227006109791</v>
      </c>
      <c r="M2195" s="258">
        <f t="shared" si="575"/>
        <v>0.98533227006109791</v>
      </c>
      <c r="N2195" s="251">
        <f t="shared" si="576"/>
        <v>18.92983294580176</v>
      </c>
      <c r="O2195" s="336">
        <v>9.286044853405612E-3</v>
      </c>
      <c r="P2195" s="258">
        <f t="shared" si="577"/>
        <v>9.286044853405612E-3</v>
      </c>
      <c r="Q2195" s="354">
        <v>1990.0830000000001</v>
      </c>
      <c r="R2195" s="249">
        <f t="shared" si="578"/>
        <v>2038.5248235000001</v>
      </c>
      <c r="S2195" s="355">
        <v>0.1</v>
      </c>
      <c r="T2195" s="355"/>
      <c r="U2195" s="315">
        <f t="shared" si="567"/>
        <v>2242.3773058500001</v>
      </c>
      <c r="V2195" s="315">
        <f t="shared" si="568"/>
        <v>2250</v>
      </c>
      <c r="W2195" s="316">
        <f t="shared" si="569"/>
        <v>0</v>
      </c>
    </row>
    <row r="2196" spans="1:23" x14ac:dyDescent="0.25">
      <c r="A2196" s="204" t="s">
        <v>17860</v>
      </c>
      <c r="B2196" s="351" t="s">
        <v>21897</v>
      </c>
      <c r="C2196" s="352"/>
      <c r="D2196" s="353" t="s">
        <v>5</v>
      </c>
      <c r="E2196" s="249">
        <f t="shared" si="570"/>
        <v>0</v>
      </c>
      <c r="F2196" s="336">
        <v>0</v>
      </c>
      <c r="G2196" s="258">
        <f t="shared" si="571"/>
        <v>0</v>
      </c>
      <c r="H2196" s="249">
        <f t="shared" si="572"/>
        <v>6.3782811067909867E-2</v>
      </c>
      <c r="I2196" s="336">
        <v>5.3816850854964344E-3</v>
      </c>
      <c r="J2196" s="258">
        <f t="shared" si="573"/>
        <v>5.3816850854964344E-3</v>
      </c>
      <c r="K2196" s="249">
        <f t="shared" si="574"/>
        <v>11.677929964078086</v>
      </c>
      <c r="L2196" s="336">
        <v>0.98532724514505166</v>
      </c>
      <c r="M2196" s="258">
        <f t="shared" si="575"/>
        <v>0.98532724514505166</v>
      </c>
      <c r="N2196" s="251">
        <f t="shared" si="576"/>
        <v>0.11005661517600134</v>
      </c>
      <c r="O2196" s="336">
        <v>9.286044853405612E-3</v>
      </c>
      <c r="P2196" s="258">
        <f t="shared" si="577"/>
        <v>9.286044853405612E-3</v>
      </c>
      <c r="Q2196" s="354">
        <v>11.57025</v>
      </c>
      <c r="R2196" s="249">
        <f t="shared" si="578"/>
        <v>11.851828944767439</v>
      </c>
      <c r="S2196" s="355">
        <v>0.1</v>
      </c>
      <c r="T2196" s="355"/>
      <c r="U2196" s="315">
        <f t="shared" si="567"/>
        <v>13.037011839244183</v>
      </c>
      <c r="V2196" s="315">
        <f t="shared" si="568"/>
        <v>14</v>
      </c>
      <c r="W2196" s="316">
        <f t="shared" si="569"/>
        <v>0</v>
      </c>
    </row>
    <row r="2197" spans="1:23" x14ac:dyDescent="0.25">
      <c r="A2197" s="204" t="s">
        <v>17861</v>
      </c>
      <c r="B2197" s="351" t="s">
        <v>21898</v>
      </c>
      <c r="C2197" s="352"/>
      <c r="D2197" s="353" t="s">
        <v>14859</v>
      </c>
      <c r="E2197" s="249">
        <f t="shared" si="570"/>
        <v>0</v>
      </c>
      <c r="F2197" s="336">
        <v>0</v>
      </c>
      <c r="G2197" s="258">
        <f t="shared" si="571"/>
        <v>0</v>
      </c>
      <c r="H2197" s="249">
        <f t="shared" si="572"/>
        <v>10.970702125030277</v>
      </c>
      <c r="I2197" s="336">
        <v>5.3706258358694626E-3</v>
      </c>
      <c r="J2197" s="258">
        <f t="shared" si="573"/>
        <v>5.3706258358694626E-3</v>
      </c>
      <c r="K2197" s="249">
        <f t="shared" si="574"/>
        <v>2012.8226834141333</v>
      </c>
      <c r="L2197" s="336">
        <v>0.98536241193753227</v>
      </c>
      <c r="M2197" s="258">
        <f t="shared" si="575"/>
        <v>0.98536241193753227</v>
      </c>
      <c r="N2197" s="251">
        <f t="shared" si="576"/>
        <v>18.929838960836552</v>
      </c>
      <c r="O2197" s="336">
        <v>9.2669622265982871E-3</v>
      </c>
      <c r="P2197" s="258">
        <f t="shared" si="577"/>
        <v>9.2669622265982871E-3</v>
      </c>
      <c r="Q2197" s="354">
        <v>1994.181</v>
      </c>
      <c r="R2197" s="249">
        <f t="shared" si="578"/>
        <v>2042.7232245</v>
      </c>
      <c r="S2197" s="355">
        <v>0.1</v>
      </c>
      <c r="T2197" s="355"/>
      <c r="U2197" s="315">
        <f t="shared" si="567"/>
        <v>2246.9955469500001</v>
      </c>
      <c r="V2197" s="315">
        <f t="shared" si="568"/>
        <v>2250</v>
      </c>
      <c r="W2197" s="316">
        <f t="shared" si="569"/>
        <v>0</v>
      </c>
    </row>
    <row r="2198" spans="1:23" x14ac:dyDescent="0.25">
      <c r="A2198" s="204" t="s">
        <v>17862</v>
      </c>
      <c r="B2198" s="351" t="s">
        <v>21899</v>
      </c>
      <c r="C2198" s="352"/>
      <c r="D2198" s="353" t="s">
        <v>5</v>
      </c>
      <c r="E2198" s="249">
        <f t="shared" si="570"/>
        <v>0</v>
      </c>
      <c r="F2198" s="336">
        <v>0</v>
      </c>
      <c r="G2198" s="258">
        <f t="shared" si="571"/>
        <v>0</v>
      </c>
      <c r="H2198" s="249">
        <f t="shared" si="572"/>
        <v>6.3782831994003419E-2</v>
      </c>
      <c r="I2198" s="336">
        <v>5.3706258358694626E-3</v>
      </c>
      <c r="J2198" s="258">
        <f t="shared" si="573"/>
        <v>5.3706258358694626E-3</v>
      </c>
      <c r="K2198" s="249">
        <f t="shared" si="574"/>
        <v>11.702339215164223</v>
      </c>
      <c r="L2198" s="336">
        <v>0.98535739734758276</v>
      </c>
      <c r="M2198" s="258">
        <f t="shared" si="575"/>
        <v>0.98535739734758276</v>
      </c>
      <c r="N2198" s="251">
        <f t="shared" si="576"/>
        <v>0.1100566512837706</v>
      </c>
      <c r="O2198" s="336">
        <v>9.2669622265982871E-3</v>
      </c>
      <c r="P2198" s="258">
        <f t="shared" si="577"/>
        <v>9.2669622265982871E-3</v>
      </c>
      <c r="Q2198" s="354">
        <v>11.59407558139535</v>
      </c>
      <c r="R2198" s="249">
        <f t="shared" si="578"/>
        <v>11.876238252906978</v>
      </c>
      <c r="S2198" s="355">
        <v>0.1</v>
      </c>
      <c r="T2198" s="355"/>
      <c r="U2198" s="315">
        <f t="shared" si="567"/>
        <v>13.063862078197676</v>
      </c>
      <c r="V2198" s="315">
        <f t="shared" si="568"/>
        <v>14</v>
      </c>
      <c r="W2198" s="316">
        <f t="shared" si="569"/>
        <v>0</v>
      </c>
    </row>
    <row r="2199" spans="1:23" x14ac:dyDescent="0.25">
      <c r="A2199" s="204" t="s">
        <v>17863</v>
      </c>
      <c r="B2199" s="351" t="s">
        <v>21900</v>
      </c>
      <c r="C2199" s="352"/>
      <c r="D2199" s="353" t="s">
        <v>14859</v>
      </c>
      <c r="E2199" s="249">
        <f t="shared" si="570"/>
        <v>0</v>
      </c>
      <c r="F2199" s="336">
        <v>0</v>
      </c>
      <c r="G2199" s="258">
        <f t="shared" si="571"/>
        <v>0</v>
      </c>
      <c r="H2199" s="249">
        <f t="shared" si="572"/>
        <v>10.970715926870103</v>
      </c>
      <c r="I2199" s="336">
        <v>5.3268396621261706E-3</v>
      </c>
      <c r="J2199" s="258">
        <f t="shared" si="573"/>
        <v>5.3268396621261706E-3</v>
      </c>
      <c r="K2199" s="249">
        <f t="shared" si="574"/>
        <v>2029.6162497973539</v>
      </c>
      <c r="L2199" s="336">
        <v>0.98548175072479338</v>
      </c>
      <c r="M2199" s="258">
        <f t="shared" si="575"/>
        <v>0.98548175072479338</v>
      </c>
      <c r="N2199" s="251">
        <f t="shared" si="576"/>
        <v>18.92986277577586</v>
      </c>
      <c r="O2199" s="336">
        <v>9.1914096130804503E-3</v>
      </c>
      <c r="P2199" s="258">
        <f t="shared" si="577"/>
        <v>9.1914096130804503E-3</v>
      </c>
      <c r="Q2199" s="354">
        <v>2010.5730000000001</v>
      </c>
      <c r="R2199" s="249">
        <f t="shared" si="578"/>
        <v>2059.5168285</v>
      </c>
      <c r="S2199" s="355">
        <v>0.1</v>
      </c>
      <c r="T2199" s="355"/>
      <c r="U2199" s="315">
        <f t="shared" si="567"/>
        <v>2265.46851135</v>
      </c>
      <c r="V2199" s="315">
        <f t="shared" si="568"/>
        <v>2275</v>
      </c>
      <c r="W2199" s="316">
        <f t="shared" si="569"/>
        <v>0</v>
      </c>
    </row>
    <row r="2200" spans="1:23" x14ac:dyDescent="0.25">
      <c r="A2200" s="204" t="s">
        <v>17864</v>
      </c>
      <c r="B2200" s="351" t="s">
        <v>21901</v>
      </c>
      <c r="C2200" s="352"/>
      <c r="D2200" s="353" t="s">
        <v>5</v>
      </c>
      <c r="E2200" s="249">
        <f t="shared" si="570"/>
        <v>0</v>
      </c>
      <c r="F2200" s="336">
        <v>0</v>
      </c>
      <c r="G2200" s="258">
        <f t="shared" si="571"/>
        <v>0</v>
      </c>
      <c r="H2200" s="249">
        <f t="shared" si="572"/>
        <v>6.3782914845335839E-2</v>
      </c>
      <c r="I2200" s="336">
        <v>5.3268396621261706E-3</v>
      </c>
      <c r="J2200" s="258">
        <f t="shared" si="573"/>
        <v>5.3268396621261706E-3</v>
      </c>
      <c r="K2200" s="249">
        <f t="shared" si="574"/>
        <v>11.799976221834509</v>
      </c>
      <c r="L2200" s="336">
        <v>0.98547677701829284</v>
      </c>
      <c r="M2200" s="258">
        <f t="shared" si="575"/>
        <v>0.98547677701829284</v>
      </c>
      <c r="N2200" s="251">
        <f t="shared" si="576"/>
        <v>0.11005679424293242</v>
      </c>
      <c r="O2200" s="336">
        <v>9.1914096130804503E-3</v>
      </c>
      <c r="P2200" s="258">
        <f t="shared" si="577"/>
        <v>9.1914096130804503E-3</v>
      </c>
      <c r="Q2200" s="354">
        <v>11.689377906976745</v>
      </c>
      <c r="R2200" s="249">
        <f t="shared" si="578"/>
        <v>11.973875485465117</v>
      </c>
      <c r="S2200" s="355">
        <v>0.1</v>
      </c>
      <c r="T2200" s="355"/>
      <c r="U2200" s="315">
        <f t="shared" si="567"/>
        <v>13.171263034011629</v>
      </c>
      <c r="V2200" s="315">
        <f t="shared" si="568"/>
        <v>14</v>
      </c>
      <c r="W2200" s="316">
        <f t="shared" si="569"/>
        <v>0</v>
      </c>
    </row>
    <row r="2201" spans="1:23" x14ac:dyDescent="0.25">
      <c r="A2201" s="204" t="s">
        <v>17865</v>
      </c>
      <c r="B2201" s="351" t="s">
        <v>21902</v>
      </c>
      <c r="C2201" s="352"/>
      <c r="D2201" s="353" t="s">
        <v>14859</v>
      </c>
      <c r="E2201" s="249">
        <f t="shared" si="570"/>
        <v>0</v>
      </c>
      <c r="F2201" s="336">
        <v>0</v>
      </c>
      <c r="G2201" s="258">
        <f t="shared" si="571"/>
        <v>0</v>
      </c>
      <c r="H2201" s="249">
        <f t="shared" si="572"/>
        <v>10.970716782016531</v>
      </c>
      <c r="I2201" s="336">
        <v>5.3241267201813488E-3</v>
      </c>
      <c r="J2201" s="258">
        <f t="shared" si="573"/>
        <v>5.3241267201813488E-3</v>
      </c>
      <c r="K2201" s="249">
        <f t="shared" si="574"/>
        <v>2030.6658477166607</v>
      </c>
      <c r="L2201" s="336">
        <v>0.98548914482146655</v>
      </c>
      <c r="M2201" s="258">
        <f t="shared" si="575"/>
        <v>0.98548914482146655</v>
      </c>
      <c r="N2201" s="251">
        <f t="shared" si="576"/>
        <v>18.929864251322641</v>
      </c>
      <c r="O2201" s="336">
        <v>9.1867284583521305E-3</v>
      </c>
      <c r="P2201" s="258">
        <f t="shared" si="577"/>
        <v>9.1867284583521305E-3</v>
      </c>
      <c r="Q2201" s="354">
        <v>2011.5975000000001</v>
      </c>
      <c r="R2201" s="249">
        <f t="shared" si="578"/>
        <v>2060.5664287499999</v>
      </c>
      <c r="S2201" s="355">
        <v>0.1</v>
      </c>
      <c r="T2201" s="355"/>
      <c r="U2201" s="315">
        <f t="shared" si="567"/>
        <v>2266.6230716249997</v>
      </c>
      <c r="V2201" s="315">
        <f t="shared" si="568"/>
        <v>2275</v>
      </c>
      <c r="W2201" s="316">
        <f t="shared" si="569"/>
        <v>0</v>
      </c>
    </row>
    <row r="2202" spans="1:23" x14ac:dyDescent="0.25">
      <c r="A2202" s="204" t="s">
        <v>17866</v>
      </c>
      <c r="B2202" s="351" t="s">
        <v>21903</v>
      </c>
      <c r="C2202" s="352"/>
      <c r="D2202" s="353" t="s">
        <v>5</v>
      </c>
      <c r="E2202" s="249">
        <f t="shared" si="570"/>
        <v>0</v>
      </c>
      <c r="F2202" s="336">
        <v>0</v>
      </c>
      <c r="G2202" s="258">
        <f t="shared" si="571"/>
        <v>0</v>
      </c>
      <c r="H2202" s="249">
        <f t="shared" si="572"/>
        <v>6.3782919978710967E-2</v>
      </c>
      <c r="I2202" s="336">
        <v>5.3241267201813488E-3</v>
      </c>
      <c r="J2202" s="258">
        <f t="shared" si="573"/>
        <v>5.3241267201813488E-3</v>
      </c>
      <c r="K2202" s="249">
        <f t="shared" si="574"/>
        <v>11.806078534873636</v>
      </c>
      <c r="L2202" s="336">
        <v>0.98548417364805829</v>
      </c>
      <c r="M2202" s="258">
        <f t="shared" si="575"/>
        <v>0.98548417364805829</v>
      </c>
      <c r="N2202" s="251">
        <f t="shared" si="576"/>
        <v>0.11005680310052086</v>
      </c>
      <c r="O2202" s="336">
        <v>9.1867284583521305E-3</v>
      </c>
      <c r="P2202" s="258">
        <f t="shared" si="577"/>
        <v>9.1867284583521305E-3</v>
      </c>
      <c r="Q2202" s="354">
        <v>11.695334302325582</v>
      </c>
      <c r="R2202" s="249">
        <f t="shared" si="578"/>
        <v>11.979977812500001</v>
      </c>
      <c r="S2202" s="355">
        <v>0.1</v>
      </c>
      <c r="T2202" s="355"/>
      <c r="U2202" s="315">
        <f t="shared" si="567"/>
        <v>13.177975593750002</v>
      </c>
      <c r="V2202" s="315">
        <f t="shared" si="568"/>
        <v>14</v>
      </c>
      <c r="W2202" s="316">
        <f t="shared" si="569"/>
        <v>0</v>
      </c>
    </row>
    <row r="2203" spans="1:23" x14ac:dyDescent="0.25">
      <c r="A2203" s="204" t="s">
        <v>17867</v>
      </c>
      <c r="B2203" s="351" t="s">
        <v>21904</v>
      </c>
      <c r="C2203" s="352"/>
      <c r="D2203" s="353" t="s">
        <v>14859</v>
      </c>
      <c r="E2203" s="249">
        <f t="shared" si="570"/>
        <v>0</v>
      </c>
      <c r="F2203" s="336">
        <v>0</v>
      </c>
      <c r="G2203" s="258">
        <f t="shared" si="571"/>
        <v>0</v>
      </c>
      <c r="H2203" s="249">
        <f t="shared" si="572"/>
        <v>10.970729505479868</v>
      </c>
      <c r="I2203" s="336">
        <v>5.2837616831075034E-3</v>
      </c>
      <c r="J2203" s="258">
        <f t="shared" si="573"/>
        <v>5.2837616831075034E-3</v>
      </c>
      <c r="K2203" s="249">
        <f t="shared" si="574"/>
        <v>2046.4098167889861</v>
      </c>
      <c r="L2203" s="336">
        <v>0.98559915933427555</v>
      </c>
      <c r="M2203" s="258">
        <f t="shared" si="575"/>
        <v>0.98559915933427555</v>
      </c>
      <c r="N2203" s="251">
        <f t="shared" si="576"/>
        <v>18.92988620553389</v>
      </c>
      <c r="O2203" s="336">
        <v>9.1170789826168688E-3</v>
      </c>
      <c r="P2203" s="258">
        <f t="shared" si="577"/>
        <v>9.1170789826168688E-3</v>
      </c>
      <c r="Q2203" s="354">
        <v>2026.9649999999999</v>
      </c>
      <c r="R2203" s="249">
        <f t="shared" si="578"/>
        <v>2076.3104324999999</v>
      </c>
      <c r="S2203" s="355">
        <v>0.1</v>
      </c>
      <c r="T2203" s="355"/>
      <c r="U2203" s="315">
        <f t="shared" si="567"/>
        <v>2283.9414757499999</v>
      </c>
      <c r="V2203" s="315">
        <f t="shared" si="568"/>
        <v>2300</v>
      </c>
      <c r="W2203" s="316">
        <f t="shared" si="569"/>
        <v>0</v>
      </c>
    </row>
    <row r="2204" spans="1:23" x14ac:dyDescent="0.25">
      <c r="A2204" s="204" t="s">
        <v>17868</v>
      </c>
      <c r="B2204" s="351" t="s">
        <v>21905</v>
      </c>
      <c r="C2204" s="352"/>
      <c r="D2204" s="353" t="s">
        <v>5</v>
      </c>
      <c r="E2204" s="249">
        <f t="shared" si="570"/>
        <v>0</v>
      </c>
      <c r="F2204" s="336">
        <v>0</v>
      </c>
      <c r="G2204" s="258">
        <f t="shared" si="571"/>
        <v>0</v>
      </c>
      <c r="H2204" s="249">
        <f t="shared" si="572"/>
        <v>6.3782996356636174E-2</v>
      </c>
      <c r="I2204" s="336">
        <v>5.2837616831075034E-3</v>
      </c>
      <c r="J2204" s="258">
        <f t="shared" si="573"/>
        <v>5.2837616831075034E-3</v>
      </c>
      <c r="K2204" s="249">
        <f t="shared" si="574"/>
        <v>11.897613232158287</v>
      </c>
      <c r="L2204" s="336">
        <v>0.98559422584997758</v>
      </c>
      <c r="M2204" s="258">
        <f t="shared" si="575"/>
        <v>0.98559422584997758</v>
      </c>
      <c r="N2204" s="251">
        <f t="shared" si="576"/>
        <v>0.11005693488988204</v>
      </c>
      <c r="O2204" s="336">
        <v>9.1170789826168688E-3</v>
      </c>
      <c r="P2204" s="258">
        <f t="shared" si="577"/>
        <v>9.1170789826168688E-3</v>
      </c>
      <c r="Q2204" s="354">
        <v>11.78468023255814</v>
      </c>
      <c r="R2204" s="249">
        <f t="shared" si="578"/>
        <v>12.071512718023254</v>
      </c>
      <c r="S2204" s="355">
        <v>0.1</v>
      </c>
      <c r="T2204" s="355"/>
      <c r="U2204" s="315">
        <f t="shared" si="567"/>
        <v>13.27866398982558</v>
      </c>
      <c r="V2204" s="315">
        <f t="shared" si="568"/>
        <v>14</v>
      </c>
      <c r="W2204" s="316">
        <f t="shared" si="569"/>
        <v>0</v>
      </c>
    </row>
    <row r="2205" spans="1:23" x14ac:dyDescent="0.25">
      <c r="A2205" s="204" t="s">
        <v>17869</v>
      </c>
      <c r="B2205" s="351" t="s">
        <v>21906</v>
      </c>
      <c r="C2205" s="352"/>
      <c r="D2205" s="353" t="s">
        <v>14859</v>
      </c>
      <c r="E2205" s="249">
        <f t="shared" si="570"/>
        <v>0</v>
      </c>
      <c r="F2205" s="336">
        <v>0</v>
      </c>
      <c r="G2205" s="258">
        <f t="shared" si="571"/>
        <v>0</v>
      </c>
      <c r="H2205" s="249">
        <f t="shared" si="572"/>
        <v>10.970854836457665</v>
      </c>
      <c r="I2205" s="336">
        <v>4.8861506371499367E-3</v>
      </c>
      <c r="J2205" s="258">
        <f t="shared" si="573"/>
        <v>4.8861506371499367E-3</v>
      </c>
      <c r="K2205" s="249">
        <f t="shared" si="574"/>
        <v>2215.3951154506353</v>
      </c>
      <c r="L2205" s="336">
        <v>0.98668284434188547</v>
      </c>
      <c r="M2205" s="258">
        <f t="shared" si="575"/>
        <v>0.98668284434188547</v>
      </c>
      <c r="N2205" s="251">
        <f t="shared" si="576"/>
        <v>18.930102462907342</v>
      </c>
      <c r="O2205" s="336">
        <v>8.4310050209645965E-3</v>
      </c>
      <c r="P2205" s="258">
        <f t="shared" si="577"/>
        <v>8.4310050209645965E-3</v>
      </c>
      <c r="Q2205" s="354">
        <v>2191.9095000000002</v>
      </c>
      <c r="R2205" s="249">
        <f t="shared" si="578"/>
        <v>2245.2960727500003</v>
      </c>
      <c r="S2205" s="355">
        <v>0.1</v>
      </c>
      <c r="T2205" s="355"/>
      <c r="U2205" s="315">
        <f t="shared" si="567"/>
        <v>2469.8256800250006</v>
      </c>
      <c r="V2205" s="315">
        <f t="shared" si="568"/>
        <v>2475</v>
      </c>
      <c r="W2205" s="316">
        <f t="shared" si="569"/>
        <v>0</v>
      </c>
    </row>
    <row r="2206" spans="1:23" x14ac:dyDescent="0.25">
      <c r="A2206" s="204" t="s">
        <v>17870</v>
      </c>
      <c r="B2206" s="351" t="s">
        <v>21907</v>
      </c>
      <c r="C2206" s="352"/>
      <c r="D2206" s="353" t="s">
        <v>5</v>
      </c>
      <c r="E2206" s="249">
        <f t="shared" si="570"/>
        <v>0</v>
      </c>
      <c r="F2206" s="336">
        <v>0</v>
      </c>
      <c r="G2206" s="258">
        <f t="shared" si="571"/>
        <v>0</v>
      </c>
      <c r="H2206" s="249">
        <f t="shared" si="572"/>
        <v>6.3783748708397592E-2</v>
      </c>
      <c r="I2206" s="336">
        <v>4.8861506371499367E-3</v>
      </c>
      <c r="J2206" s="258">
        <f t="shared" si="573"/>
        <v>4.8861506371499367E-3</v>
      </c>
      <c r="K2206" s="249">
        <f t="shared" si="574"/>
        <v>12.880085833544745</v>
      </c>
      <c r="L2206" s="336">
        <v>0.9866782821097313</v>
      </c>
      <c r="M2206" s="258">
        <f t="shared" si="575"/>
        <v>0.9866782821097313</v>
      </c>
      <c r="N2206" s="251">
        <f t="shared" si="576"/>
        <v>0.11005823306547036</v>
      </c>
      <c r="O2206" s="336">
        <v>8.4310050209645965E-3</v>
      </c>
      <c r="P2206" s="258">
        <f t="shared" si="577"/>
        <v>8.4310050209645965E-3</v>
      </c>
      <c r="Q2206" s="354">
        <v>12.743659883720932</v>
      </c>
      <c r="R2206" s="249">
        <f t="shared" si="578"/>
        <v>13.053987370639536</v>
      </c>
      <c r="S2206" s="355">
        <v>0.1</v>
      </c>
      <c r="T2206" s="355"/>
      <c r="U2206" s="315">
        <f t="shared" si="567"/>
        <v>14.359386107703489</v>
      </c>
      <c r="V2206" s="315">
        <f t="shared" si="568"/>
        <v>15</v>
      </c>
      <c r="W2206" s="316">
        <f t="shared" si="569"/>
        <v>0</v>
      </c>
    </row>
    <row r="2207" spans="1:23" x14ac:dyDescent="0.25">
      <c r="A2207" s="204" t="s">
        <v>17871</v>
      </c>
      <c r="B2207" s="351" t="s">
        <v>21908</v>
      </c>
      <c r="C2207" s="352"/>
      <c r="D2207" s="353" t="s">
        <v>14859</v>
      </c>
      <c r="E2207" s="249">
        <f t="shared" si="570"/>
        <v>0</v>
      </c>
      <c r="F2207" s="336">
        <v>0</v>
      </c>
      <c r="G2207" s="258">
        <f t="shared" si="571"/>
        <v>0</v>
      </c>
      <c r="H2207" s="249">
        <f t="shared" si="572"/>
        <v>10.970854836457665</v>
      </c>
      <c r="I2207" s="336">
        <v>4.8861506371499367E-3</v>
      </c>
      <c r="J2207" s="258">
        <f t="shared" si="573"/>
        <v>4.8861506371499367E-3</v>
      </c>
      <c r="K2207" s="249">
        <f t="shared" si="574"/>
        <v>2215.3951154506353</v>
      </c>
      <c r="L2207" s="336">
        <v>0.98668284434188547</v>
      </c>
      <c r="M2207" s="258">
        <f t="shared" si="575"/>
        <v>0.98668284434188547</v>
      </c>
      <c r="N2207" s="251">
        <f t="shared" si="576"/>
        <v>18.930102462907342</v>
      </c>
      <c r="O2207" s="336">
        <v>8.4310050209645965E-3</v>
      </c>
      <c r="P2207" s="258">
        <f t="shared" si="577"/>
        <v>8.4310050209645965E-3</v>
      </c>
      <c r="Q2207" s="354">
        <v>2191.9095000000002</v>
      </c>
      <c r="R2207" s="249">
        <f t="shared" si="578"/>
        <v>2245.2960727500003</v>
      </c>
      <c r="S2207" s="355">
        <v>0.1</v>
      </c>
      <c r="T2207" s="355"/>
      <c r="U2207" s="315">
        <f t="shared" si="567"/>
        <v>2469.8256800250006</v>
      </c>
      <c r="V2207" s="315">
        <f t="shared" si="568"/>
        <v>2475</v>
      </c>
      <c r="W2207" s="316">
        <f t="shared" si="569"/>
        <v>0</v>
      </c>
    </row>
    <row r="2208" spans="1:23" x14ac:dyDescent="0.25">
      <c r="A2208" s="204" t="s">
        <v>17872</v>
      </c>
      <c r="B2208" s="351" t="s">
        <v>21909</v>
      </c>
      <c r="C2208" s="352"/>
      <c r="D2208" s="353" t="s">
        <v>5</v>
      </c>
      <c r="E2208" s="249">
        <f t="shared" si="570"/>
        <v>0</v>
      </c>
      <c r="F2208" s="336">
        <v>0</v>
      </c>
      <c r="G2208" s="258">
        <f t="shared" si="571"/>
        <v>0</v>
      </c>
      <c r="H2208" s="249">
        <f t="shared" si="572"/>
        <v>6.3783748708397592E-2</v>
      </c>
      <c r="I2208" s="336">
        <v>4.8861506371499367E-3</v>
      </c>
      <c r="J2208" s="258">
        <f t="shared" si="573"/>
        <v>4.8861506371499367E-3</v>
      </c>
      <c r="K2208" s="249">
        <f t="shared" si="574"/>
        <v>12.880085833544745</v>
      </c>
      <c r="L2208" s="336">
        <v>0.9866782821097313</v>
      </c>
      <c r="M2208" s="258">
        <f t="shared" si="575"/>
        <v>0.9866782821097313</v>
      </c>
      <c r="N2208" s="251">
        <f t="shared" si="576"/>
        <v>0.11005823306547036</v>
      </c>
      <c r="O2208" s="336">
        <v>8.4310050209645965E-3</v>
      </c>
      <c r="P2208" s="258">
        <f t="shared" si="577"/>
        <v>8.4310050209645965E-3</v>
      </c>
      <c r="Q2208" s="354">
        <v>12.743659883720932</v>
      </c>
      <c r="R2208" s="249">
        <f t="shared" si="578"/>
        <v>13.053987370639536</v>
      </c>
      <c r="S2208" s="355">
        <v>0.1</v>
      </c>
      <c r="T2208" s="355"/>
      <c r="U2208" s="315">
        <f t="shared" si="567"/>
        <v>14.359386107703489</v>
      </c>
      <c r="V2208" s="315">
        <f t="shared" si="568"/>
        <v>15</v>
      </c>
      <c r="W2208" s="316">
        <f t="shared" si="569"/>
        <v>0</v>
      </c>
    </row>
    <row r="2209" spans="1:23" x14ac:dyDescent="0.25">
      <c r="A2209" s="204" t="s">
        <v>17873</v>
      </c>
      <c r="B2209" s="351" t="s">
        <v>21910</v>
      </c>
      <c r="C2209" s="352"/>
      <c r="D2209" s="353" t="s">
        <v>14859</v>
      </c>
      <c r="E2209" s="249">
        <f t="shared" si="570"/>
        <v>0</v>
      </c>
      <c r="F2209" s="336">
        <v>0</v>
      </c>
      <c r="G2209" s="258">
        <f t="shared" si="571"/>
        <v>0</v>
      </c>
      <c r="H2209" s="249">
        <f t="shared" si="572"/>
        <v>10.970896169176264</v>
      </c>
      <c r="I2209" s="336">
        <v>4.7550230758472804E-3</v>
      </c>
      <c r="J2209" s="258">
        <f t="shared" si="573"/>
        <v>4.7550230758472804E-3</v>
      </c>
      <c r="K2209" s="249">
        <f t="shared" si="574"/>
        <v>2277.3214175487155</v>
      </c>
      <c r="L2209" s="336">
        <v>0.98704023122465145</v>
      </c>
      <c r="M2209" s="258">
        <f t="shared" si="575"/>
        <v>0.98704023122465145</v>
      </c>
      <c r="N2209" s="251">
        <f t="shared" si="576"/>
        <v>18.930173782108064</v>
      </c>
      <c r="O2209" s="336">
        <v>8.204745699501189E-3</v>
      </c>
      <c r="P2209" s="258">
        <f t="shared" si="577"/>
        <v>8.204745699501189E-3</v>
      </c>
      <c r="Q2209" s="354">
        <v>2252.355</v>
      </c>
      <c r="R2209" s="249">
        <f t="shared" si="578"/>
        <v>2307.2224875000002</v>
      </c>
      <c r="S2209" s="355">
        <v>0.1</v>
      </c>
      <c r="T2209" s="355"/>
      <c r="U2209" s="315">
        <f t="shared" si="567"/>
        <v>2537.94473625</v>
      </c>
      <c r="V2209" s="315">
        <f t="shared" si="568"/>
        <v>2550</v>
      </c>
      <c r="W2209" s="316">
        <f t="shared" si="569"/>
        <v>0</v>
      </c>
    </row>
    <row r="2210" spans="1:23" x14ac:dyDescent="0.25">
      <c r="A2210" s="204" t="s">
        <v>17874</v>
      </c>
      <c r="B2210" s="351" t="s">
        <v>21911</v>
      </c>
      <c r="C2210" s="352"/>
      <c r="D2210" s="353" t="s">
        <v>5</v>
      </c>
      <c r="E2210" s="249">
        <f t="shared" si="570"/>
        <v>0</v>
      </c>
      <c r="F2210" s="336">
        <v>0</v>
      </c>
      <c r="G2210" s="258">
        <f t="shared" si="571"/>
        <v>0</v>
      </c>
      <c r="H2210" s="249">
        <f t="shared" si="572"/>
        <v>6.378399682537704E-2</v>
      </c>
      <c r="I2210" s="336">
        <v>4.7550230758472804E-3</v>
      </c>
      <c r="J2210" s="258">
        <f t="shared" si="573"/>
        <v>4.7550230758472804E-3</v>
      </c>
      <c r="K2210" s="249">
        <f t="shared" si="574"/>
        <v>13.240122452130819</v>
      </c>
      <c r="L2210" s="336">
        <v>0.98703579142719511</v>
      </c>
      <c r="M2210" s="258">
        <f t="shared" si="575"/>
        <v>0.98703579142719511</v>
      </c>
      <c r="N2210" s="251">
        <f t="shared" si="576"/>
        <v>0.11005866118888587</v>
      </c>
      <c r="O2210" s="336">
        <v>8.204745699501189E-3</v>
      </c>
      <c r="P2210" s="258">
        <f t="shared" si="577"/>
        <v>8.204745699501189E-3</v>
      </c>
      <c r="Q2210" s="354">
        <v>13.095087209302326</v>
      </c>
      <c r="R2210" s="249">
        <f t="shared" si="578"/>
        <v>13.414024665697674</v>
      </c>
      <c r="S2210" s="355">
        <v>0.1</v>
      </c>
      <c r="T2210" s="355"/>
      <c r="U2210" s="315">
        <f t="shared" si="567"/>
        <v>14.755427132267442</v>
      </c>
      <c r="V2210" s="315">
        <f t="shared" si="568"/>
        <v>15</v>
      </c>
      <c r="W2210" s="316">
        <f t="shared" si="569"/>
        <v>0</v>
      </c>
    </row>
    <row r="2211" spans="1:23" x14ac:dyDescent="0.25">
      <c r="A2211" s="204" t="s">
        <v>17875</v>
      </c>
      <c r="B2211" s="351" t="s">
        <v>21912</v>
      </c>
      <c r="C2211" s="352"/>
      <c r="D2211" s="353" t="s">
        <v>14859</v>
      </c>
      <c r="E2211" s="249">
        <f t="shared" si="570"/>
        <v>0</v>
      </c>
      <c r="F2211" s="336">
        <v>0</v>
      </c>
      <c r="G2211" s="258">
        <f t="shared" si="571"/>
        <v>0</v>
      </c>
      <c r="H2211" s="249">
        <f t="shared" si="572"/>
        <v>10.970901603434298</v>
      </c>
      <c r="I2211" s="336">
        <v>4.7377829564561923E-3</v>
      </c>
      <c r="J2211" s="258">
        <f t="shared" si="573"/>
        <v>4.7377829564561923E-3</v>
      </c>
      <c r="K2211" s="249">
        <f t="shared" si="574"/>
        <v>2285.7182047376987</v>
      </c>
      <c r="L2211" s="336">
        <v>0.98708721900103114</v>
      </c>
      <c r="M2211" s="258">
        <f t="shared" si="575"/>
        <v>0.98708721900103114</v>
      </c>
      <c r="N2211" s="251">
        <f t="shared" si="576"/>
        <v>18.930183158867017</v>
      </c>
      <c r="O2211" s="336">
        <v>8.1749980425126437E-3</v>
      </c>
      <c r="P2211" s="258">
        <f t="shared" si="577"/>
        <v>8.1749980425126437E-3</v>
      </c>
      <c r="Q2211" s="354">
        <v>2260.5509999999999</v>
      </c>
      <c r="R2211" s="249">
        <f t="shared" si="578"/>
        <v>2315.6192894999999</v>
      </c>
      <c r="S2211" s="355">
        <v>0.1</v>
      </c>
      <c r="T2211" s="355"/>
      <c r="U2211" s="315">
        <f t="shared" si="567"/>
        <v>2547.18121845</v>
      </c>
      <c r="V2211" s="315">
        <f t="shared" si="568"/>
        <v>2550</v>
      </c>
      <c r="W2211" s="316">
        <f t="shared" si="569"/>
        <v>0</v>
      </c>
    </row>
    <row r="2212" spans="1:23" x14ac:dyDescent="0.25">
      <c r="A2212" s="204" t="s">
        <v>17876</v>
      </c>
      <c r="B2212" s="351" t="s">
        <v>21913</v>
      </c>
      <c r="C2212" s="352"/>
      <c r="D2212" s="353" t="s">
        <v>5</v>
      </c>
      <c r="E2212" s="249">
        <f t="shared" si="570"/>
        <v>0</v>
      </c>
      <c r="F2212" s="336">
        <v>0</v>
      </c>
      <c r="G2212" s="258">
        <f t="shared" si="571"/>
        <v>0</v>
      </c>
      <c r="H2212" s="249">
        <f t="shared" si="572"/>
        <v>6.3784029446790166E-2</v>
      </c>
      <c r="I2212" s="336">
        <v>4.7377829564561923E-3</v>
      </c>
      <c r="J2212" s="258">
        <f t="shared" si="573"/>
        <v>4.7377829564561923E-3</v>
      </c>
      <c r="K2212" s="249">
        <f t="shared" si="574"/>
        <v>13.288940979470093</v>
      </c>
      <c r="L2212" s="336">
        <v>0.9870827953007919</v>
      </c>
      <c r="M2212" s="258">
        <f t="shared" si="575"/>
        <v>0.9870827953007919</v>
      </c>
      <c r="N2212" s="251">
        <f t="shared" si="576"/>
        <v>0.11005871747681439</v>
      </c>
      <c r="O2212" s="336">
        <v>8.1749980425126437E-3</v>
      </c>
      <c r="P2212" s="258">
        <f t="shared" si="577"/>
        <v>8.1749980425126437E-3</v>
      </c>
      <c r="Q2212" s="354">
        <v>13.142738372093023</v>
      </c>
      <c r="R2212" s="249">
        <f t="shared" si="578"/>
        <v>13.462843281976745</v>
      </c>
      <c r="S2212" s="355">
        <v>0.1</v>
      </c>
      <c r="T2212" s="355"/>
      <c r="U2212" s="315">
        <f t="shared" si="567"/>
        <v>14.80912761017442</v>
      </c>
      <c r="V2212" s="315">
        <f t="shared" si="568"/>
        <v>15</v>
      </c>
      <c r="W2212" s="316">
        <f t="shared" si="569"/>
        <v>0</v>
      </c>
    </row>
    <row r="2213" spans="1:23" x14ac:dyDescent="0.25">
      <c r="A2213" s="204" t="s">
        <v>17877</v>
      </c>
      <c r="B2213" s="351" t="s">
        <v>21914</v>
      </c>
      <c r="C2213" s="352"/>
      <c r="D2213" s="353" t="s">
        <v>14859</v>
      </c>
      <c r="E2213" s="249">
        <f t="shared" si="570"/>
        <v>0</v>
      </c>
      <c r="F2213" s="336">
        <v>0</v>
      </c>
      <c r="G2213" s="258">
        <f t="shared" si="571"/>
        <v>0</v>
      </c>
      <c r="H2213" s="249">
        <f t="shared" si="572"/>
        <v>10.970944976161514</v>
      </c>
      <c r="I2213" s="336">
        <v>4.6001834919129547E-3</v>
      </c>
      <c r="J2213" s="258">
        <f t="shared" si="573"/>
        <v>4.6001834919129547E-3</v>
      </c>
      <c r="K2213" s="249">
        <f t="shared" si="574"/>
        <v>2354.9917030257557</v>
      </c>
      <c r="L2213" s="336">
        <v>0.98746224499262936</v>
      </c>
      <c r="M2213" s="258">
        <f t="shared" si="575"/>
        <v>0.98746224499262936</v>
      </c>
      <c r="N2213" s="251">
        <f t="shared" si="576"/>
        <v>18.930257998082613</v>
      </c>
      <c r="O2213" s="336">
        <v>7.937571515457648E-3</v>
      </c>
      <c r="P2213" s="258">
        <f t="shared" si="577"/>
        <v>7.937571515457648E-3</v>
      </c>
      <c r="Q2213" s="354">
        <v>2328.1680000000001</v>
      </c>
      <c r="R2213" s="249">
        <f t="shared" si="578"/>
        <v>2384.892906</v>
      </c>
      <c r="S2213" s="355">
        <v>0.1</v>
      </c>
      <c r="T2213" s="355"/>
      <c r="U2213" s="315">
        <f t="shared" ref="U2213:U2276" si="579">(R2213*S2213)+R2213</f>
        <v>2623.3821966</v>
      </c>
      <c r="V2213" s="315">
        <f t="shared" ref="V2213:V2276" si="580">IF(U2213=0, 0, IF(U2213&lt;10, _xlfn.CEILING.MATH(U2213,1), IF(U2213&lt;100, _xlfn.CEILING.MATH(U2213,1),IF(U2213&lt;1000, _xlfn.CEILING.MATH(U2213,5), IF(U2213&lt;10000, _xlfn.CEILING.MATH(U2213, 25), IF(U2213&lt;100000, _xlfn.CEILING.MATH(U2213,250), IF(U2213&lt;1000000, _xlfn.CEILING.MATH(U2213,500), 0)))))))</f>
        <v>2625</v>
      </c>
      <c r="W2213" s="316">
        <f t="shared" si="569"/>
        <v>0</v>
      </c>
    </row>
    <row r="2214" spans="1:23" x14ac:dyDescent="0.25">
      <c r="A2214" s="204" t="s">
        <v>17878</v>
      </c>
      <c r="B2214" s="351" t="s">
        <v>21915</v>
      </c>
      <c r="C2214" s="352"/>
      <c r="D2214" s="353" t="s">
        <v>5</v>
      </c>
      <c r="E2214" s="249">
        <f t="shared" si="570"/>
        <v>0</v>
      </c>
      <c r="F2214" s="336">
        <v>0</v>
      </c>
      <c r="G2214" s="258">
        <f t="shared" si="571"/>
        <v>0</v>
      </c>
      <c r="H2214" s="249">
        <f t="shared" si="572"/>
        <v>6.3784289809776989E-2</v>
      </c>
      <c r="I2214" s="336">
        <v>4.6001834919129556E-3</v>
      </c>
      <c r="J2214" s="258">
        <f t="shared" si="573"/>
        <v>4.6001834919129556E-3</v>
      </c>
      <c r="K2214" s="249">
        <f t="shared" si="574"/>
        <v>13.691693853912549</v>
      </c>
      <c r="L2214" s="336">
        <v>0.98745794976994805</v>
      </c>
      <c r="M2214" s="258">
        <f t="shared" si="575"/>
        <v>0.98745794976994805</v>
      </c>
      <c r="N2214" s="251">
        <f t="shared" si="576"/>
        <v>0.11005916673059558</v>
      </c>
      <c r="O2214" s="336">
        <v>7.937571515457648E-3</v>
      </c>
      <c r="P2214" s="258">
        <f t="shared" si="577"/>
        <v>7.937571515457648E-3</v>
      </c>
      <c r="Q2214" s="354">
        <v>13.535860465116279</v>
      </c>
      <c r="R2214" s="249">
        <f t="shared" si="578"/>
        <v>13.865596866279072</v>
      </c>
      <c r="S2214" s="355">
        <v>0.1</v>
      </c>
      <c r="T2214" s="355"/>
      <c r="U2214" s="315">
        <f t="shared" si="579"/>
        <v>15.252156552906978</v>
      </c>
      <c r="V2214" s="315">
        <f t="shared" si="580"/>
        <v>16</v>
      </c>
      <c r="W2214" s="316">
        <f t="shared" si="569"/>
        <v>0</v>
      </c>
    </row>
    <row r="2215" spans="1:23" x14ac:dyDescent="0.25">
      <c r="A2215" s="204" t="s">
        <v>17879</v>
      </c>
      <c r="B2215" s="351" t="s">
        <v>21916</v>
      </c>
      <c r="C2215" s="352"/>
      <c r="D2215" s="353" t="s">
        <v>14859</v>
      </c>
      <c r="E2215" s="249">
        <f t="shared" si="570"/>
        <v>0</v>
      </c>
      <c r="F2215" s="336">
        <v>0</v>
      </c>
      <c r="G2215" s="258">
        <f t="shared" si="571"/>
        <v>0</v>
      </c>
      <c r="H2215" s="249">
        <f t="shared" si="572"/>
        <v>10.970944976161514</v>
      </c>
      <c r="I2215" s="336">
        <v>4.6001834919129547E-3</v>
      </c>
      <c r="J2215" s="258">
        <f t="shared" si="573"/>
        <v>4.6001834919129547E-3</v>
      </c>
      <c r="K2215" s="249">
        <f t="shared" si="574"/>
        <v>2354.9917030257557</v>
      </c>
      <c r="L2215" s="336">
        <v>0.98746224499262936</v>
      </c>
      <c r="M2215" s="258">
        <f t="shared" si="575"/>
        <v>0.98746224499262936</v>
      </c>
      <c r="N2215" s="251">
        <f t="shared" si="576"/>
        <v>18.930257998082613</v>
      </c>
      <c r="O2215" s="336">
        <v>7.937571515457648E-3</v>
      </c>
      <c r="P2215" s="258">
        <f t="shared" si="577"/>
        <v>7.937571515457648E-3</v>
      </c>
      <c r="Q2215" s="354">
        <v>2328.1680000000001</v>
      </c>
      <c r="R2215" s="249">
        <f t="shared" si="578"/>
        <v>2384.892906</v>
      </c>
      <c r="S2215" s="355">
        <v>0.1</v>
      </c>
      <c r="T2215" s="355"/>
      <c r="U2215" s="315">
        <f t="shared" si="579"/>
        <v>2623.3821966</v>
      </c>
      <c r="V2215" s="315">
        <f t="shared" si="580"/>
        <v>2625</v>
      </c>
      <c r="W2215" s="316">
        <f t="shared" si="569"/>
        <v>0</v>
      </c>
    </row>
    <row r="2216" spans="1:23" x14ac:dyDescent="0.25">
      <c r="A2216" s="204" t="s">
        <v>17880</v>
      </c>
      <c r="B2216" s="351" t="s">
        <v>21917</v>
      </c>
      <c r="C2216" s="352"/>
      <c r="D2216" s="353" t="s">
        <v>5</v>
      </c>
      <c r="E2216" s="249">
        <f t="shared" si="570"/>
        <v>0</v>
      </c>
      <c r="F2216" s="336">
        <v>0</v>
      </c>
      <c r="G2216" s="258">
        <f t="shared" si="571"/>
        <v>0</v>
      </c>
      <c r="H2216" s="249">
        <f t="shared" si="572"/>
        <v>6.3784289809776989E-2</v>
      </c>
      <c r="I2216" s="336">
        <v>4.6001834919129556E-3</v>
      </c>
      <c r="J2216" s="258">
        <f t="shared" si="573"/>
        <v>4.6001834919129556E-3</v>
      </c>
      <c r="K2216" s="249">
        <f t="shared" si="574"/>
        <v>13.691693853912549</v>
      </c>
      <c r="L2216" s="336">
        <v>0.98745794976994805</v>
      </c>
      <c r="M2216" s="258">
        <f t="shared" si="575"/>
        <v>0.98745794976994805</v>
      </c>
      <c r="N2216" s="251">
        <f t="shared" si="576"/>
        <v>0.11005916673059558</v>
      </c>
      <c r="O2216" s="336">
        <v>7.937571515457648E-3</v>
      </c>
      <c r="P2216" s="258">
        <f t="shared" si="577"/>
        <v>7.937571515457648E-3</v>
      </c>
      <c r="Q2216" s="354">
        <v>13.535860465116279</v>
      </c>
      <c r="R2216" s="249">
        <f t="shared" si="578"/>
        <v>13.865596866279072</v>
      </c>
      <c r="S2216" s="355">
        <v>0.1</v>
      </c>
      <c r="T2216" s="355"/>
      <c r="U2216" s="315">
        <f t="shared" si="579"/>
        <v>15.252156552906978</v>
      </c>
      <c r="V2216" s="315">
        <f t="shared" si="580"/>
        <v>16</v>
      </c>
      <c r="W2216" s="316">
        <f t="shared" si="569"/>
        <v>0</v>
      </c>
    </row>
    <row r="2217" spans="1:23" x14ac:dyDescent="0.25">
      <c r="A2217" s="204" t="s">
        <v>17881</v>
      </c>
      <c r="B2217" s="351" t="s">
        <v>21918</v>
      </c>
      <c r="C2217" s="352"/>
      <c r="D2217" s="353" t="s">
        <v>14859</v>
      </c>
      <c r="E2217" s="249">
        <f t="shared" si="570"/>
        <v>0</v>
      </c>
      <c r="F2217" s="336">
        <v>0</v>
      </c>
      <c r="G2217" s="258">
        <f t="shared" si="571"/>
        <v>0</v>
      </c>
      <c r="H2217" s="249">
        <f t="shared" si="572"/>
        <v>10.970944976161514</v>
      </c>
      <c r="I2217" s="336">
        <v>4.6001834919129547E-3</v>
      </c>
      <c r="J2217" s="258">
        <f t="shared" si="573"/>
        <v>4.6001834919129547E-3</v>
      </c>
      <c r="K2217" s="249">
        <f t="shared" si="574"/>
        <v>2354.9917030257557</v>
      </c>
      <c r="L2217" s="336">
        <v>0.98746224499262936</v>
      </c>
      <c r="M2217" s="258">
        <f t="shared" si="575"/>
        <v>0.98746224499262936</v>
      </c>
      <c r="N2217" s="251">
        <f t="shared" si="576"/>
        <v>18.930257998082613</v>
      </c>
      <c r="O2217" s="336">
        <v>7.937571515457648E-3</v>
      </c>
      <c r="P2217" s="258">
        <f t="shared" si="577"/>
        <v>7.937571515457648E-3</v>
      </c>
      <c r="Q2217" s="354">
        <v>2328.1680000000001</v>
      </c>
      <c r="R2217" s="249">
        <f t="shared" si="578"/>
        <v>2384.892906</v>
      </c>
      <c r="S2217" s="355">
        <v>0.1</v>
      </c>
      <c r="T2217" s="355"/>
      <c r="U2217" s="315">
        <f t="shared" si="579"/>
        <v>2623.3821966</v>
      </c>
      <c r="V2217" s="315">
        <f t="shared" si="580"/>
        <v>2625</v>
      </c>
      <c r="W2217" s="316">
        <f t="shared" si="569"/>
        <v>0</v>
      </c>
    </row>
    <row r="2218" spans="1:23" x14ac:dyDescent="0.25">
      <c r="A2218" s="204" t="s">
        <v>17882</v>
      </c>
      <c r="B2218" s="351" t="s">
        <v>21919</v>
      </c>
      <c r="C2218" s="352"/>
      <c r="D2218" s="353" t="s">
        <v>5</v>
      </c>
      <c r="E2218" s="249">
        <f t="shared" si="570"/>
        <v>0</v>
      </c>
      <c r="F2218" s="336">
        <v>0</v>
      </c>
      <c r="G2218" s="258">
        <f t="shared" si="571"/>
        <v>0</v>
      </c>
      <c r="H2218" s="249">
        <f t="shared" si="572"/>
        <v>6.3784289809776989E-2</v>
      </c>
      <c r="I2218" s="336">
        <v>4.6001834919129556E-3</v>
      </c>
      <c r="J2218" s="258">
        <f t="shared" si="573"/>
        <v>4.6001834919129556E-3</v>
      </c>
      <c r="K2218" s="249">
        <f t="shared" si="574"/>
        <v>13.691693853912549</v>
      </c>
      <c r="L2218" s="336">
        <v>0.98745794976994805</v>
      </c>
      <c r="M2218" s="258">
        <f t="shared" si="575"/>
        <v>0.98745794976994805</v>
      </c>
      <c r="N2218" s="251">
        <f t="shared" si="576"/>
        <v>0.11005916673059558</v>
      </c>
      <c r="O2218" s="336">
        <v>7.937571515457648E-3</v>
      </c>
      <c r="P2218" s="258">
        <f t="shared" si="577"/>
        <v>7.937571515457648E-3</v>
      </c>
      <c r="Q2218" s="354">
        <v>13.535860465116279</v>
      </c>
      <c r="R2218" s="249">
        <f t="shared" si="578"/>
        <v>13.865596866279072</v>
      </c>
      <c r="S2218" s="355">
        <v>0.1</v>
      </c>
      <c r="T2218" s="355"/>
      <c r="U2218" s="315">
        <f t="shared" si="579"/>
        <v>15.252156552906978</v>
      </c>
      <c r="V2218" s="315">
        <f t="shared" si="580"/>
        <v>16</v>
      </c>
      <c r="W2218" s="316">
        <f t="shared" si="569"/>
        <v>0</v>
      </c>
    </row>
    <row r="2219" spans="1:23" x14ac:dyDescent="0.25">
      <c r="A2219" s="204" t="s">
        <v>17883</v>
      </c>
      <c r="B2219" s="351" t="s">
        <v>21920</v>
      </c>
      <c r="C2219" s="352"/>
      <c r="D2219" s="353" t="s">
        <v>14859</v>
      </c>
      <c r="E2219" s="249">
        <f t="shared" si="570"/>
        <v>0</v>
      </c>
      <c r="F2219" s="336">
        <v>0</v>
      </c>
      <c r="G2219" s="258">
        <f t="shared" si="571"/>
        <v>0</v>
      </c>
      <c r="H2219" s="249">
        <f t="shared" si="572"/>
        <v>10.970944976161514</v>
      </c>
      <c r="I2219" s="336">
        <v>4.6001834919129547E-3</v>
      </c>
      <c r="J2219" s="258">
        <f t="shared" si="573"/>
        <v>4.6001834919129547E-3</v>
      </c>
      <c r="K2219" s="249">
        <f t="shared" si="574"/>
        <v>2354.9917030257557</v>
      </c>
      <c r="L2219" s="336">
        <v>0.98746224499262936</v>
      </c>
      <c r="M2219" s="258">
        <f t="shared" si="575"/>
        <v>0.98746224499262936</v>
      </c>
      <c r="N2219" s="251">
        <f t="shared" si="576"/>
        <v>18.930257998082613</v>
      </c>
      <c r="O2219" s="336">
        <v>7.937571515457648E-3</v>
      </c>
      <c r="P2219" s="258">
        <f t="shared" si="577"/>
        <v>7.937571515457648E-3</v>
      </c>
      <c r="Q2219" s="354">
        <v>2328.1680000000001</v>
      </c>
      <c r="R2219" s="249">
        <f t="shared" si="578"/>
        <v>2384.892906</v>
      </c>
      <c r="S2219" s="355">
        <v>0.1</v>
      </c>
      <c r="T2219" s="355"/>
      <c r="U2219" s="315">
        <f t="shared" si="579"/>
        <v>2623.3821966</v>
      </c>
      <c r="V2219" s="315">
        <f t="shared" si="580"/>
        <v>2625</v>
      </c>
      <c r="W2219" s="316">
        <f t="shared" si="569"/>
        <v>0</v>
      </c>
    </row>
    <row r="2220" spans="1:23" x14ac:dyDescent="0.25">
      <c r="A2220" s="204" t="s">
        <v>17884</v>
      </c>
      <c r="B2220" s="351" t="s">
        <v>21921</v>
      </c>
      <c r="C2220" s="352"/>
      <c r="D2220" s="353" t="s">
        <v>5</v>
      </c>
      <c r="E2220" s="249">
        <f t="shared" si="570"/>
        <v>0</v>
      </c>
      <c r="F2220" s="336">
        <v>0</v>
      </c>
      <c r="G2220" s="258">
        <f t="shared" si="571"/>
        <v>0</v>
      </c>
      <c r="H2220" s="249">
        <f t="shared" si="572"/>
        <v>6.3784289809776989E-2</v>
      </c>
      <c r="I2220" s="336">
        <v>4.6001834919129556E-3</v>
      </c>
      <c r="J2220" s="258">
        <f t="shared" si="573"/>
        <v>4.6001834919129556E-3</v>
      </c>
      <c r="K2220" s="249">
        <f t="shared" si="574"/>
        <v>13.691693853912549</v>
      </c>
      <c r="L2220" s="336">
        <v>0.98745794976994805</v>
      </c>
      <c r="M2220" s="258">
        <f t="shared" si="575"/>
        <v>0.98745794976994805</v>
      </c>
      <c r="N2220" s="251">
        <f t="shared" si="576"/>
        <v>0.11005916673059558</v>
      </c>
      <c r="O2220" s="336">
        <v>7.937571515457648E-3</v>
      </c>
      <c r="P2220" s="258">
        <f t="shared" si="577"/>
        <v>7.937571515457648E-3</v>
      </c>
      <c r="Q2220" s="354">
        <v>13.535860465116279</v>
      </c>
      <c r="R2220" s="249">
        <f t="shared" si="578"/>
        <v>13.865596866279072</v>
      </c>
      <c r="S2220" s="355">
        <v>0.1</v>
      </c>
      <c r="T2220" s="355"/>
      <c r="U2220" s="315">
        <f t="shared" si="579"/>
        <v>15.252156552906978</v>
      </c>
      <c r="V2220" s="315">
        <f t="shared" si="580"/>
        <v>16</v>
      </c>
      <c r="W2220" s="316">
        <f t="shared" si="569"/>
        <v>0</v>
      </c>
    </row>
    <row r="2221" spans="1:23" x14ac:dyDescent="0.25">
      <c r="A2221" s="204" t="s">
        <v>17885</v>
      </c>
      <c r="B2221" s="351" t="s">
        <v>21922</v>
      </c>
      <c r="C2221" s="352"/>
      <c r="D2221" s="353" t="s">
        <v>14859</v>
      </c>
      <c r="E2221" s="249">
        <f t="shared" si="570"/>
        <v>0</v>
      </c>
      <c r="F2221" s="336">
        <v>0</v>
      </c>
      <c r="G2221" s="258">
        <f t="shared" si="571"/>
        <v>0</v>
      </c>
      <c r="H2221" s="249">
        <f t="shared" si="572"/>
        <v>10.970944976161514</v>
      </c>
      <c r="I2221" s="336">
        <v>4.6001834919129547E-3</v>
      </c>
      <c r="J2221" s="258">
        <f t="shared" si="573"/>
        <v>4.6001834919129547E-3</v>
      </c>
      <c r="K2221" s="249">
        <f t="shared" si="574"/>
        <v>2354.9917030257557</v>
      </c>
      <c r="L2221" s="336">
        <v>0.98746224499262936</v>
      </c>
      <c r="M2221" s="258">
        <f t="shared" si="575"/>
        <v>0.98746224499262936</v>
      </c>
      <c r="N2221" s="251">
        <f t="shared" si="576"/>
        <v>18.930257998082613</v>
      </c>
      <c r="O2221" s="336">
        <v>7.937571515457648E-3</v>
      </c>
      <c r="P2221" s="258">
        <f t="shared" si="577"/>
        <v>7.937571515457648E-3</v>
      </c>
      <c r="Q2221" s="354">
        <v>2328.1680000000001</v>
      </c>
      <c r="R2221" s="249">
        <f t="shared" si="578"/>
        <v>2384.892906</v>
      </c>
      <c r="S2221" s="355">
        <v>0.1</v>
      </c>
      <c r="T2221" s="355"/>
      <c r="U2221" s="315">
        <f t="shared" si="579"/>
        <v>2623.3821966</v>
      </c>
      <c r="V2221" s="315">
        <f t="shared" si="580"/>
        <v>2625</v>
      </c>
      <c r="W2221" s="316">
        <f t="shared" si="569"/>
        <v>0</v>
      </c>
    </row>
    <row r="2222" spans="1:23" x14ac:dyDescent="0.25">
      <c r="A2222" s="204" t="s">
        <v>17886</v>
      </c>
      <c r="B2222" s="351" t="s">
        <v>21923</v>
      </c>
      <c r="C2222" s="352"/>
      <c r="D2222" s="353" t="s">
        <v>5</v>
      </c>
      <c r="E2222" s="249">
        <f t="shared" si="570"/>
        <v>0</v>
      </c>
      <c r="F2222" s="336">
        <v>0</v>
      </c>
      <c r="G2222" s="258">
        <f t="shared" si="571"/>
        <v>0</v>
      </c>
      <c r="H2222" s="249">
        <f t="shared" si="572"/>
        <v>6.3784289809776989E-2</v>
      </c>
      <c r="I2222" s="336">
        <v>4.6001834919129556E-3</v>
      </c>
      <c r="J2222" s="258">
        <f t="shared" si="573"/>
        <v>4.6001834919129556E-3</v>
      </c>
      <c r="K2222" s="249">
        <f t="shared" si="574"/>
        <v>13.691693853912549</v>
      </c>
      <c r="L2222" s="336">
        <v>0.98745794976994805</v>
      </c>
      <c r="M2222" s="258">
        <f t="shared" si="575"/>
        <v>0.98745794976994805</v>
      </c>
      <c r="N2222" s="251">
        <f t="shared" si="576"/>
        <v>0.11005916673059558</v>
      </c>
      <c r="O2222" s="336">
        <v>7.937571515457648E-3</v>
      </c>
      <c r="P2222" s="258">
        <f t="shared" si="577"/>
        <v>7.937571515457648E-3</v>
      </c>
      <c r="Q2222" s="354">
        <v>13.535860465116279</v>
      </c>
      <c r="R2222" s="249">
        <f t="shared" si="578"/>
        <v>13.865596866279072</v>
      </c>
      <c r="S2222" s="355">
        <v>0.1</v>
      </c>
      <c r="T2222" s="355"/>
      <c r="U2222" s="315">
        <f t="shared" si="579"/>
        <v>15.252156552906978</v>
      </c>
      <c r="V2222" s="315">
        <f t="shared" si="580"/>
        <v>16</v>
      </c>
      <c r="W2222" s="316">
        <f t="shared" si="569"/>
        <v>0</v>
      </c>
    </row>
    <row r="2223" spans="1:23" x14ac:dyDescent="0.25">
      <c r="A2223" s="204" t="s">
        <v>17887</v>
      </c>
      <c r="B2223" s="351" t="s">
        <v>21924</v>
      </c>
      <c r="C2223" s="352"/>
      <c r="D2223" s="353" t="s">
        <v>14859</v>
      </c>
      <c r="E2223" s="249">
        <f t="shared" si="570"/>
        <v>0</v>
      </c>
      <c r="F2223" s="336">
        <v>0</v>
      </c>
      <c r="G2223" s="258">
        <f t="shared" si="571"/>
        <v>0</v>
      </c>
      <c r="H2223" s="249">
        <f t="shared" si="572"/>
        <v>10.970971903927397</v>
      </c>
      <c r="I2223" s="336">
        <v>4.514755472876374E-3</v>
      </c>
      <c r="J2223" s="258">
        <f t="shared" si="573"/>
        <v>4.514755472876374E-3</v>
      </c>
      <c r="K2223" s="249">
        <f t="shared" si="574"/>
        <v>2400.1244403843943</v>
      </c>
      <c r="L2223" s="336">
        <v>0.98769507822098401</v>
      </c>
      <c r="M2223" s="258">
        <f t="shared" si="575"/>
        <v>0.98769507822098401</v>
      </c>
      <c r="N2223" s="251">
        <f t="shared" si="576"/>
        <v>18.930304461678645</v>
      </c>
      <c r="O2223" s="336">
        <v>7.7901663061396243E-3</v>
      </c>
      <c r="P2223" s="258">
        <f t="shared" si="577"/>
        <v>7.7901663061396243E-3</v>
      </c>
      <c r="Q2223" s="354">
        <v>2372.2215000000001</v>
      </c>
      <c r="R2223" s="249">
        <f t="shared" si="578"/>
        <v>2430.0257167500004</v>
      </c>
      <c r="S2223" s="355">
        <v>0.1</v>
      </c>
      <c r="T2223" s="355"/>
      <c r="U2223" s="315">
        <f t="shared" si="579"/>
        <v>2673.0282884250005</v>
      </c>
      <c r="V2223" s="315">
        <f t="shared" si="580"/>
        <v>2675</v>
      </c>
      <c r="W2223" s="316">
        <f t="shared" si="569"/>
        <v>0</v>
      </c>
    </row>
    <row r="2224" spans="1:23" x14ac:dyDescent="0.25">
      <c r="A2224" s="204" t="s">
        <v>17888</v>
      </c>
      <c r="B2224" s="351" t="s">
        <v>21925</v>
      </c>
      <c r="C2224" s="352"/>
      <c r="D2224" s="353" t="s">
        <v>5</v>
      </c>
      <c r="E2224" s="249">
        <f t="shared" si="570"/>
        <v>0</v>
      </c>
      <c r="F2224" s="336">
        <v>0</v>
      </c>
      <c r="G2224" s="258">
        <f t="shared" si="571"/>
        <v>0</v>
      </c>
      <c r="H2224" s="249">
        <f t="shared" si="572"/>
        <v>6.3784451454985916E-2</v>
      </c>
      <c r="I2224" s="336">
        <v>4.514755472876374E-3</v>
      </c>
      <c r="J2224" s="258">
        <f t="shared" si="573"/>
        <v>4.514755472876374E-3</v>
      </c>
      <c r="K2224" s="249">
        <f t="shared" si="574"/>
        <v>13.954093475699185</v>
      </c>
      <c r="L2224" s="336">
        <v>0.9876908627630262</v>
      </c>
      <c r="M2224" s="258">
        <f t="shared" si="575"/>
        <v>0.9876908627630262</v>
      </c>
      <c r="N2224" s="251">
        <f t="shared" si="576"/>
        <v>0.11005944564781882</v>
      </c>
      <c r="O2224" s="336">
        <v>7.7901663061396243E-3</v>
      </c>
      <c r="P2224" s="258">
        <f t="shared" si="577"/>
        <v>7.7901663061396243E-3</v>
      </c>
      <c r="Q2224" s="354">
        <v>13.79198546511628</v>
      </c>
      <c r="R2224" s="249">
        <f t="shared" si="578"/>
        <v>14.127996928779071</v>
      </c>
      <c r="S2224" s="355">
        <v>0.1</v>
      </c>
      <c r="T2224" s="355"/>
      <c r="U2224" s="315">
        <f t="shared" si="579"/>
        <v>15.540796621656979</v>
      </c>
      <c r="V2224" s="315">
        <f t="shared" si="580"/>
        <v>16</v>
      </c>
      <c r="W2224" s="316">
        <f t="shared" si="569"/>
        <v>0</v>
      </c>
    </row>
    <row r="2225" spans="1:23" x14ac:dyDescent="0.25">
      <c r="A2225" s="204" t="s">
        <v>17889</v>
      </c>
      <c r="B2225" s="351" t="s">
        <v>21926</v>
      </c>
      <c r="C2225" s="352"/>
      <c r="D2225" s="353" t="s">
        <v>14859</v>
      </c>
      <c r="E2225" s="249">
        <f t="shared" si="570"/>
        <v>0</v>
      </c>
      <c r="F2225" s="336">
        <v>0</v>
      </c>
      <c r="G2225" s="258">
        <f t="shared" si="571"/>
        <v>0</v>
      </c>
      <c r="H2225" s="249">
        <f t="shared" si="572"/>
        <v>10.971023437651976</v>
      </c>
      <c r="I2225" s="336">
        <v>4.3512653406480098E-3</v>
      </c>
      <c r="J2225" s="258">
        <f t="shared" si="573"/>
        <v>4.3512653406480098E-3</v>
      </c>
      <c r="K2225" s="249">
        <f t="shared" si="574"/>
        <v>2491.4395216797329</v>
      </c>
      <c r="L2225" s="336">
        <v>0.98814066897352792</v>
      </c>
      <c r="M2225" s="258">
        <f t="shared" si="575"/>
        <v>0.98814066897352792</v>
      </c>
      <c r="N2225" s="251">
        <f t="shared" si="576"/>
        <v>18.930393382615172</v>
      </c>
      <c r="O2225" s="336">
        <v>7.508065685824016E-3</v>
      </c>
      <c r="P2225" s="258">
        <f t="shared" si="577"/>
        <v>7.508065685824016E-3</v>
      </c>
      <c r="Q2225" s="354">
        <v>2461.3530000000001</v>
      </c>
      <c r="R2225" s="249">
        <f t="shared" si="578"/>
        <v>2521.3409385</v>
      </c>
      <c r="S2225" s="355">
        <v>0.1</v>
      </c>
      <c r="T2225" s="355"/>
      <c r="U2225" s="315">
        <f t="shared" si="579"/>
        <v>2773.4750323500002</v>
      </c>
      <c r="V2225" s="315">
        <f t="shared" si="580"/>
        <v>2775</v>
      </c>
      <c r="W2225" s="316">
        <f t="shared" si="569"/>
        <v>0</v>
      </c>
    </row>
    <row r="2226" spans="1:23" x14ac:dyDescent="0.25">
      <c r="A2226" s="204" t="s">
        <v>17890</v>
      </c>
      <c r="B2226" s="351" t="s">
        <v>21927</v>
      </c>
      <c r="C2226" s="352"/>
      <c r="D2226" s="353" t="s">
        <v>5</v>
      </c>
      <c r="E2226" s="249">
        <f t="shared" si="570"/>
        <v>0</v>
      </c>
      <c r="F2226" s="336">
        <v>0</v>
      </c>
      <c r="G2226" s="258">
        <f t="shared" si="571"/>
        <v>0</v>
      </c>
      <c r="H2226" s="249">
        <f t="shared" si="572"/>
        <v>6.3784760807782337E-2</v>
      </c>
      <c r="I2226" s="336">
        <v>4.3512653406480098E-3</v>
      </c>
      <c r="J2226" s="258">
        <f t="shared" si="573"/>
        <v>4.3512653406480098E-3</v>
      </c>
      <c r="K2226" s="249">
        <f t="shared" si="574"/>
        <v>14.48499508430721</v>
      </c>
      <c r="L2226" s="336">
        <v>0.98813660616742094</v>
      </c>
      <c r="M2226" s="258">
        <f t="shared" si="575"/>
        <v>0.98813660616742094</v>
      </c>
      <c r="N2226" s="251">
        <f t="shared" si="576"/>
        <v>0.11005997943303616</v>
      </c>
      <c r="O2226" s="336">
        <v>7.508065685824016E-3</v>
      </c>
      <c r="P2226" s="258">
        <f t="shared" si="577"/>
        <v>7.508065685824016E-3</v>
      </c>
      <c r="Q2226" s="354">
        <v>14.310191860465117</v>
      </c>
      <c r="R2226" s="249">
        <f t="shared" si="578"/>
        <v>14.658899380813954</v>
      </c>
      <c r="S2226" s="355">
        <v>0.1</v>
      </c>
      <c r="T2226" s="355"/>
      <c r="U2226" s="315">
        <f t="shared" si="579"/>
        <v>16.124789318895349</v>
      </c>
      <c r="V2226" s="315">
        <f t="shared" si="580"/>
        <v>17</v>
      </c>
      <c r="W2226" s="316">
        <f t="shared" si="569"/>
        <v>0</v>
      </c>
    </row>
    <row r="2227" spans="1:23" x14ac:dyDescent="0.25">
      <c r="A2227" s="204" t="s">
        <v>17891</v>
      </c>
      <c r="B2227" s="351" t="s">
        <v>21928</v>
      </c>
      <c r="C2227" s="352"/>
      <c r="D2227" s="353" t="s">
        <v>14859</v>
      </c>
      <c r="E2227" s="249">
        <f t="shared" si="570"/>
        <v>0</v>
      </c>
      <c r="F2227" s="336">
        <v>0</v>
      </c>
      <c r="G2227" s="258">
        <f t="shared" si="571"/>
        <v>0</v>
      </c>
      <c r="H2227" s="249">
        <f t="shared" si="572"/>
        <v>10.971053041823362</v>
      </c>
      <c r="I2227" s="336">
        <v>4.2573464567727294E-3</v>
      </c>
      <c r="J2227" s="258">
        <f t="shared" si="573"/>
        <v>4.2573464567727294E-3</v>
      </c>
      <c r="K2227" s="249">
        <f t="shared" si="574"/>
        <v>2547.068254243854</v>
      </c>
      <c r="L2227" s="336">
        <v>0.98839664397075666</v>
      </c>
      <c r="M2227" s="258">
        <f t="shared" si="575"/>
        <v>0.98839664397075666</v>
      </c>
      <c r="N2227" s="251">
        <f t="shared" si="576"/>
        <v>18.930444464322662</v>
      </c>
      <c r="O2227" s="336">
        <v>7.3460095724705906E-3</v>
      </c>
      <c r="P2227" s="258">
        <f t="shared" si="577"/>
        <v>7.3460095724705906E-3</v>
      </c>
      <c r="Q2227" s="354">
        <v>2515.6514999999999</v>
      </c>
      <c r="R2227" s="249">
        <f t="shared" si="578"/>
        <v>2576.9697517499999</v>
      </c>
      <c r="S2227" s="355">
        <v>0.1</v>
      </c>
      <c r="T2227" s="355"/>
      <c r="U2227" s="315">
        <f t="shared" si="579"/>
        <v>2834.6667269249997</v>
      </c>
      <c r="V2227" s="315">
        <f t="shared" si="580"/>
        <v>2850</v>
      </c>
      <c r="W2227" s="316">
        <f t="shared" si="569"/>
        <v>0</v>
      </c>
    </row>
    <row r="2228" spans="1:23" x14ac:dyDescent="0.25">
      <c r="A2228" s="204" t="s">
        <v>17892</v>
      </c>
      <c r="B2228" s="351" t="s">
        <v>21929</v>
      </c>
      <c r="C2228" s="352"/>
      <c r="D2228" s="353" t="s">
        <v>5</v>
      </c>
      <c r="E2228" s="249">
        <f t="shared" si="570"/>
        <v>0</v>
      </c>
      <c r="F2228" s="336">
        <v>0</v>
      </c>
      <c r="G2228" s="258">
        <f t="shared" si="571"/>
        <v>0</v>
      </c>
      <c r="H2228" s="249">
        <f t="shared" si="572"/>
        <v>6.3784938519237874E-2</v>
      </c>
      <c r="I2228" s="336">
        <v>4.2573464567727294E-3</v>
      </c>
      <c r="J2228" s="258">
        <f t="shared" si="573"/>
        <v>4.2573464567727294E-3</v>
      </c>
      <c r="K2228" s="249">
        <f t="shared" si="574"/>
        <v>14.808417932639285</v>
      </c>
      <c r="L2228" s="336">
        <v>0.98839266885735166</v>
      </c>
      <c r="M2228" s="258">
        <f t="shared" si="575"/>
        <v>0.98839266885735166</v>
      </c>
      <c r="N2228" s="251">
        <f t="shared" si="576"/>
        <v>0.11006028607241042</v>
      </c>
      <c r="O2228" s="336">
        <v>7.3460095724705906E-3</v>
      </c>
      <c r="P2228" s="258">
        <f t="shared" si="577"/>
        <v>7.3460095724705906E-3</v>
      </c>
      <c r="Q2228" s="354">
        <v>14.625880813953488</v>
      </c>
      <c r="R2228" s="249">
        <f t="shared" si="578"/>
        <v>14.982322713662791</v>
      </c>
      <c r="S2228" s="355">
        <v>0.1</v>
      </c>
      <c r="T2228" s="355"/>
      <c r="U2228" s="315">
        <f t="shared" si="579"/>
        <v>16.48055498502907</v>
      </c>
      <c r="V2228" s="315">
        <f t="shared" si="580"/>
        <v>17</v>
      </c>
      <c r="W2228" s="316">
        <f t="shared" si="569"/>
        <v>0</v>
      </c>
    </row>
    <row r="2229" spans="1:23" ht="14.4" thickBot="1" x14ac:dyDescent="0.3">
      <c r="A2229" s="356" t="s">
        <v>17893</v>
      </c>
      <c r="B2229" s="357" t="s">
        <v>21930</v>
      </c>
      <c r="C2229" s="358"/>
      <c r="D2229" s="359" t="s">
        <v>14859</v>
      </c>
      <c r="E2229" s="266">
        <f t="shared" si="570"/>
        <v>0</v>
      </c>
      <c r="F2229" s="360">
        <v>0</v>
      </c>
      <c r="G2229" s="322">
        <f t="shared" si="571"/>
        <v>0</v>
      </c>
      <c r="H2229" s="266">
        <f t="shared" si="572"/>
        <v>10.971089203284512</v>
      </c>
      <c r="I2229" s="360">
        <v>4.1426246486166596E-3</v>
      </c>
      <c r="J2229" s="322">
        <f t="shared" si="573"/>
        <v>4.1426246486166596E-3</v>
      </c>
      <c r="K2229" s="266">
        <f t="shared" si="574"/>
        <v>2618.4409726861463</v>
      </c>
      <c r="L2229" s="360">
        <v>0.98870931713416244</v>
      </c>
      <c r="M2229" s="322">
        <f t="shared" si="575"/>
        <v>0.98870931713416244</v>
      </c>
      <c r="N2229" s="270">
        <f t="shared" si="576"/>
        <v>18.930506860569352</v>
      </c>
      <c r="O2229" s="360">
        <v>7.1480582172209024E-3</v>
      </c>
      <c r="P2229" s="322">
        <f t="shared" si="577"/>
        <v>7.1480582172209024E-3</v>
      </c>
      <c r="Q2229" s="361">
        <v>2585.3175000000001</v>
      </c>
      <c r="R2229" s="266">
        <f t="shared" si="578"/>
        <v>2648.3425687500003</v>
      </c>
      <c r="S2229" s="362">
        <v>0.1</v>
      </c>
      <c r="T2229" s="362"/>
      <c r="U2229" s="324">
        <f t="shared" si="579"/>
        <v>2913.1768256250002</v>
      </c>
      <c r="V2229" s="324">
        <f t="shared" si="580"/>
        <v>2925</v>
      </c>
      <c r="W2229" s="325">
        <f t="shared" si="569"/>
        <v>0</v>
      </c>
    </row>
    <row r="2230" spans="1:23" x14ac:dyDescent="0.25">
      <c r="A2230" s="204" t="s">
        <v>17894</v>
      </c>
      <c r="B2230" s="351" t="s">
        <v>21931</v>
      </c>
      <c r="C2230" s="352"/>
      <c r="D2230" s="353" t="s">
        <v>5</v>
      </c>
      <c r="E2230" s="249">
        <f t="shared" si="570"/>
        <v>0</v>
      </c>
      <c r="F2230" s="336">
        <v>0</v>
      </c>
      <c r="G2230" s="258">
        <f t="shared" si="571"/>
        <v>0</v>
      </c>
      <c r="H2230" s="249">
        <f t="shared" si="572"/>
        <v>6.3785155593575504E-2</v>
      </c>
      <c r="I2230" s="336">
        <v>4.1426246486166596E-3</v>
      </c>
      <c r="J2230" s="258">
        <f t="shared" si="573"/>
        <v>4.1426246486166596E-3</v>
      </c>
      <c r="K2230" s="249">
        <f t="shared" si="574"/>
        <v>15.223375579174716</v>
      </c>
      <c r="L2230" s="336">
        <v>0.98870544913729164</v>
      </c>
      <c r="M2230" s="258">
        <f t="shared" si="575"/>
        <v>0.98870544913729164</v>
      </c>
      <c r="N2230" s="251">
        <f t="shared" si="576"/>
        <v>0.11006066063205183</v>
      </c>
      <c r="O2230" s="336">
        <v>7.1480582172209015E-3</v>
      </c>
      <c r="P2230" s="258">
        <f t="shared" si="577"/>
        <v>7.1480582172209015E-3</v>
      </c>
      <c r="Q2230" s="354">
        <v>15.03091569767442</v>
      </c>
      <c r="R2230" s="249">
        <f t="shared" si="578"/>
        <v>15.397280952034885</v>
      </c>
      <c r="S2230" s="355">
        <v>0.1</v>
      </c>
      <c r="T2230" s="355"/>
      <c r="U2230" s="315">
        <f t="shared" si="579"/>
        <v>16.937009047238373</v>
      </c>
      <c r="V2230" s="315">
        <f t="shared" si="580"/>
        <v>17</v>
      </c>
      <c r="W2230" s="316">
        <f t="shared" si="569"/>
        <v>0</v>
      </c>
    </row>
    <row r="2231" spans="1:23" x14ac:dyDescent="0.25">
      <c r="A2231" s="204" t="s">
        <v>17895</v>
      </c>
      <c r="B2231" s="351" t="s">
        <v>21932</v>
      </c>
      <c r="C2231" s="352"/>
      <c r="D2231" s="353" t="s">
        <v>14859</v>
      </c>
      <c r="E2231" s="249">
        <f t="shared" si="570"/>
        <v>0</v>
      </c>
      <c r="F2231" s="336">
        <v>0</v>
      </c>
      <c r="G2231" s="258">
        <f t="shared" si="571"/>
        <v>0</v>
      </c>
      <c r="H2231" s="249">
        <f t="shared" si="572"/>
        <v>10.971089203284512</v>
      </c>
      <c r="I2231" s="336">
        <v>4.1426246486166596E-3</v>
      </c>
      <c r="J2231" s="258">
        <f t="shared" si="573"/>
        <v>4.1426246486166596E-3</v>
      </c>
      <c r="K2231" s="249">
        <f t="shared" si="574"/>
        <v>2618.4409726861463</v>
      </c>
      <c r="L2231" s="336">
        <v>0.98870931713416244</v>
      </c>
      <c r="M2231" s="258">
        <f t="shared" si="575"/>
        <v>0.98870931713416244</v>
      </c>
      <c r="N2231" s="251">
        <f t="shared" si="576"/>
        <v>18.930506860569352</v>
      </c>
      <c r="O2231" s="336">
        <v>7.1480582172209024E-3</v>
      </c>
      <c r="P2231" s="258">
        <f t="shared" si="577"/>
        <v>7.1480582172209024E-3</v>
      </c>
      <c r="Q2231" s="354">
        <v>2585.3175000000001</v>
      </c>
      <c r="R2231" s="249">
        <f t="shared" si="578"/>
        <v>2648.3425687500003</v>
      </c>
      <c r="S2231" s="355">
        <v>0.1</v>
      </c>
      <c r="T2231" s="355"/>
      <c r="U2231" s="315">
        <f t="shared" si="579"/>
        <v>2913.1768256250002</v>
      </c>
      <c r="V2231" s="315">
        <f t="shared" si="580"/>
        <v>2925</v>
      </c>
      <c r="W2231" s="316">
        <f t="shared" si="569"/>
        <v>0</v>
      </c>
    </row>
    <row r="2232" spans="1:23" x14ac:dyDescent="0.25">
      <c r="A2232" s="204" t="s">
        <v>17896</v>
      </c>
      <c r="B2232" s="351" t="s">
        <v>21933</v>
      </c>
      <c r="C2232" s="352"/>
      <c r="D2232" s="353" t="s">
        <v>5</v>
      </c>
      <c r="E2232" s="249">
        <f t="shared" si="570"/>
        <v>0</v>
      </c>
      <c r="F2232" s="336">
        <v>0</v>
      </c>
      <c r="G2232" s="258">
        <f t="shared" si="571"/>
        <v>0</v>
      </c>
      <c r="H2232" s="249">
        <f t="shared" si="572"/>
        <v>6.3785155593575504E-2</v>
      </c>
      <c r="I2232" s="336">
        <v>4.1426246486166596E-3</v>
      </c>
      <c r="J2232" s="258">
        <f t="shared" si="573"/>
        <v>4.1426246486166596E-3</v>
      </c>
      <c r="K2232" s="249">
        <f t="shared" si="574"/>
        <v>15.223375579174716</v>
      </c>
      <c r="L2232" s="336">
        <v>0.98870544913729164</v>
      </c>
      <c r="M2232" s="258">
        <f t="shared" si="575"/>
        <v>0.98870544913729164</v>
      </c>
      <c r="N2232" s="251">
        <f t="shared" si="576"/>
        <v>0.11006066063205183</v>
      </c>
      <c r="O2232" s="336">
        <v>7.1480582172209015E-3</v>
      </c>
      <c r="P2232" s="258">
        <f t="shared" si="577"/>
        <v>7.1480582172209015E-3</v>
      </c>
      <c r="Q2232" s="354">
        <v>15.03091569767442</v>
      </c>
      <c r="R2232" s="249">
        <f t="shared" si="578"/>
        <v>15.397280952034885</v>
      </c>
      <c r="S2232" s="355">
        <v>0.1</v>
      </c>
      <c r="T2232" s="355"/>
      <c r="U2232" s="315">
        <f t="shared" si="579"/>
        <v>16.937009047238373</v>
      </c>
      <c r="V2232" s="315">
        <f t="shared" si="580"/>
        <v>17</v>
      </c>
      <c r="W2232" s="316">
        <f t="shared" ref="W2232:W2295" si="581">C2232*V2232</f>
        <v>0</v>
      </c>
    </row>
    <row r="2233" spans="1:23" x14ac:dyDescent="0.25">
      <c r="A2233" s="204" t="s">
        <v>17897</v>
      </c>
      <c r="B2233" s="351" t="s">
        <v>21934</v>
      </c>
      <c r="C2233" s="352"/>
      <c r="D2233" s="353" t="s">
        <v>14859</v>
      </c>
      <c r="E2233" s="249">
        <f t="shared" si="570"/>
        <v>0</v>
      </c>
      <c r="F2233" s="336">
        <v>0</v>
      </c>
      <c r="G2233" s="258">
        <f t="shared" si="571"/>
        <v>0</v>
      </c>
      <c r="H2233" s="249">
        <f t="shared" si="572"/>
        <v>10.971118046781914</v>
      </c>
      <c r="I2233" s="336">
        <v>4.051118993960769E-3</v>
      </c>
      <c r="J2233" s="258">
        <f t="shared" si="573"/>
        <v>4.051118993960769E-3</v>
      </c>
      <c r="K2233" s="249">
        <f t="shared" si="574"/>
        <v>2678.2681083234766</v>
      </c>
      <c r="L2233" s="336">
        <v>0.98895871489881282</v>
      </c>
      <c r="M2233" s="258">
        <f t="shared" si="575"/>
        <v>0.98895871489881282</v>
      </c>
      <c r="N2233" s="251">
        <f t="shared" si="576"/>
        <v>18.930556629741339</v>
      </c>
      <c r="O2233" s="336">
        <v>6.9901661072264247E-3</v>
      </c>
      <c r="P2233" s="258">
        <f t="shared" si="577"/>
        <v>6.9901661072264247E-3</v>
      </c>
      <c r="Q2233" s="354">
        <v>2643.7139999999999</v>
      </c>
      <c r="R2233" s="249">
        <f t="shared" si="578"/>
        <v>2708.1697829999998</v>
      </c>
      <c r="S2233" s="355">
        <v>0.1</v>
      </c>
      <c r="T2233" s="355"/>
      <c r="U2233" s="315">
        <f t="shared" si="579"/>
        <v>2978.9867612999997</v>
      </c>
      <c r="V2233" s="315">
        <f t="shared" si="580"/>
        <v>3000</v>
      </c>
      <c r="W2233" s="316">
        <f t="shared" si="581"/>
        <v>0</v>
      </c>
    </row>
    <row r="2234" spans="1:23" x14ac:dyDescent="0.25">
      <c r="A2234" s="204" t="s">
        <v>17898</v>
      </c>
      <c r="B2234" s="351" t="s">
        <v>21935</v>
      </c>
      <c r="C2234" s="352"/>
      <c r="D2234" s="353" t="s">
        <v>5</v>
      </c>
      <c r="E2234" s="249">
        <f t="shared" si="570"/>
        <v>0</v>
      </c>
      <c r="F2234" s="336">
        <v>0</v>
      </c>
      <c r="G2234" s="258">
        <f t="shared" si="571"/>
        <v>0</v>
      </c>
      <c r="H2234" s="249">
        <f t="shared" si="572"/>
        <v>6.3785328738766425E-2</v>
      </c>
      <c r="I2234" s="336">
        <v>4.0511189939607698E-3</v>
      </c>
      <c r="J2234" s="258">
        <f t="shared" si="573"/>
        <v>4.0511189939607698E-3</v>
      </c>
      <c r="K2234" s="249">
        <f t="shared" si="574"/>
        <v>15.571207748095905</v>
      </c>
      <c r="L2234" s="336">
        <v>0.98895493234139564</v>
      </c>
      <c r="M2234" s="258">
        <f t="shared" si="575"/>
        <v>0.98895493234139564</v>
      </c>
      <c r="N2234" s="251">
        <f t="shared" si="576"/>
        <v>0.11006095939238125</v>
      </c>
      <c r="O2234" s="336">
        <v>6.9901661072264247E-3</v>
      </c>
      <c r="P2234" s="258">
        <f t="shared" si="577"/>
        <v>6.9901661072264247E-3</v>
      </c>
      <c r="Q2234" s="354">
        <v>15.370430232558139</v>
      </c>
      <c r="R2234" s="249">
        <f t="shared" si="578"/>
        <v>15.745113593023257</v>
      </c>
      <c r="S2234" s="355">
        <v>0.1</v>
      </c>
      <c r="T2234" s="355"/>
      <c r="U2234" s="315">
        <f t="shared" si="579"/>
        <v>17.319624952325583</v>
      </c>
      <c r="V2234" s="315">
        <f t="shared" si="580"/>
        <v>18</v>
      </c>
      <c r="W2234" s="316">
        <f t="shared" si="581"/>
        <v>0</v>
      </c>
    </row>
    <row r="2235" spans="1:23" x14ac:dyDescent="0.25">
      <c r="A2235" s="204" t="s">
        <v>17899</v>
      </c>
      <c r="B2235" s="351" t="s">
        <v>21936</v>
      </c>
      <c r="C2235" s="352"/>
      <c r="D2235" s="353" t="s">
        <v>14859</v>
      </c>
      <c r="E2235" s="249">
        <f t="shared" si="570"/>
        <v>0</v>
      </c>
      <c r="F2235" s="336">
        <v>0</v>
      </c>
      <c r="G2235" s="258">
        <f t="shared" si="571"/>
        <v>0</v>
      </c>
      <c r="H2235" s="249">
        <f t="shared" si="572"/>
        <v>10.971159694491512</v>
      </c>
      <c r="I2235" s="336">
        <v>3.9189921274364031E-3</v>
      </c>
      <c r="J2235" s="258">
        <f t="shared" si="573"/>
        <v>3.9189921274364031E-3</v>
      </c>
      <c r="K2235" s="249">
        <f t="shared" si="574"/>
        <v>2769.5832165630522</v>
      </c>
      <c r="L2235" s="336">
        <v>0.98931882537816351</v>
      </c>
      <c r="M2235" s="258">
        <f t="shared" si="575"/>
        <v>0.98931882537816351</v>
      </c>
      <c r="N2235" s="251">
        <f t="shared" si="576"/>
        <v>18.930628492455941</v>
      </c>
      <c r="O2235" s="336">
        <v>6.762182494400068E-3</v>
      </c>
      <c r="P2235" s="258">
        <f t="shared" si="577"/>
        <v>6.762182494400068E-3</v>
      </c>
      <c r="Q2235" s="354">
        <v>2732.8454999999999</v>
      </c>
      <c r="R2235" s="249">
        <f t="shared" si="578"/>
        <v>2799.4850047499999</v>
      </c>
      <c r="S2235" s="355">
        <v>0.1</v>
      </c>
      <c r="T2235" s="355"/>
      <c r="U2235" s="315">
        <f t="shared" si="579"/>
        <v>3079.4335052249999</v>
      </c>
      <c r="V2235" s="315">
        <f t="shared" si="580"/>
        <v>3100</v>
      </c>
      <c r="W2235" s="316">
        <f t="shared" si="581"/>
        <v>0</v>
      </c>
    </row>
    <row r="2236" spans="1:23" x14ac:dyDescent="0.25">
      <c r="A2236" s="204" t="s">
        <v>17900</v>
      </c>
      <c r="B2236" s="351" t="s">
        <v>21937</v>
      </c>
      <c r="C2236" s="352"/>
      <c r="D2236" s="353" t="s">
        <v>5</v>
      </c>
      <c r="E2236" s="249">
        <f t="shared" si="570"/>
        <v>0</v>
      </c>
      <c r="F2236" s="336">
        <v>0</v>
      </c>
      <c r="G2236" s="258">
        <f t="shared" si="571"/>
        <v>0</v>
      </c>
      <c r="H2236" s="249">
        <f t="shared" si="572"/>
        <v>6.3785578746611421E-2</v>
      </c>
      <c r="I2236" s="336">
        <v>3.9189921274364031E-3</v>
      </c>
      <c r="J2236" s="258">
        <f t="shared" si="573"/>
        <v>3.9189921274364031E-3</v>
      </c>
      <c r="K2236" s="249">
        <f t="shared" si="574"/>
        <v>16.102109518503418</v>
      </c>
      <c r="L2236" s="336">
        <v>0.98931516618850213</v>
      </c>
      <c r="M2236" s="258">
        <f t="shared" si="575"/>
        <v>0.98931516618850213</v>
      </c>
      <c r="N2236" s="251">
        <f t="shared" si="576"/>
        <v>0.11006139077846677</v>
      </c>
      <c r="O2236" s="336">
        <v>6.762182494400068E-3</v>
      </c>
      <c r="P2236" s="258">
        <f t="shared" si="577"/>
        <v>6.762182494400068E-3</v>
      </c>
      <c r="Q2236" s="354">
        <v>15.888636627906976</v>
      </c>
      <c r="R2236" s="249">
        <f t="shared" si="578"/>
        <v>16.276016045058139</v>
      </c>
      <c r="S2236" s="355">
        <v>0.1</v>
      </c>
      <c r="T2236" s="355"/>
      <c r="U2236" s="315">
        <f t="shared" si="579"/>
        <v>17.903617649563952</v>
      </c>
      <c r="V2236" s="315">
        <f t="shared" si="580"/>
        <v>18</v>
      </c>
      <c r="W2236" s="316">
        <f t="shared" si="581"/>
        <v>0</v>
      </c>
    </row>
    <row r="2237" spans="1:23" x14ac:dyDescent="0.25">
      <c r="A2237" s="204" t="s">
        <v>17901</v>
      </c>
      <c r="B2237" s="351" t="s">
        <v>21938</v>
      </c>
      <c r="C2237" s="352"/>
      <c r="D2237" s="353" t="s">
        <v>14859</v>
      </c>
      <c r="E2237" s="249">
        <f t="shared" si="570"/>
        <v>0</v>
      </c>
      <c r="F2237" s="336">
        <v>0</v>
      </c>
      <c r="G2237" s="258">
        <f t="shared" si="571"/>
        <v>0</v>
      </c>
      <c r="H2237" s="249">
        <f t="shared" si="572"/>
        <v>10.971186425920179</v>
      </c>
      <c r="I2237" s="336">
        <v>3.8341869858886882E-3</v>
      </c>
      <c r="J2237" s="258">
        <f t="shared" si="573"/>
        <v>3.8341869858886882E-3</v>
      </c>
      <c r="K2237" s="249">
        <f t="shared" si="574"/>
        <v>2831.5095584568062</v>
      </c>
      <c r="L2237" s="336">
        <v>0.9895499609600289</v>
      </c>
      <c r="M2237" s="258">
        <f t="shared" si="575"/>
        <v>0.9895499609600289</v>
      </c>
      <c r="N2237" s="251">
        <f t="shared" si="576"/>
        <v>18.930674617274036</v>
      </c>
      <c r="O2237" s="336">
        <v>6.6158520540824427E-3</v>
      </c>
      <c r="P2237" s="258">
        <f t="shared" si="577"/>
        <v>6.6158520540824427E-3</v>
      </c>
      <c r="Q2237" s="354">
        <v>2793.2910000000002</v>
      </c>
      <c r="R2237" s="249">
        <f t="shared" si="578"/>
        <v>2861.4114195000002</v>
      </c>
      <c r="S2237" s="355">
        <v>0.1</v>
      </c>
      <c r="T2237" s="355"/>
      <c r="U2237" s="315">
        <f t="shared" si="579"/>
        <v>3147.5525614500002</v>
      </c>
      <c r="V2237" s="315">
        <f t="shared" si="580"/>
        <v>3150</v>
      </c>
      <c r="W2237" s="316">
        <f t="shared" si="581"/>
        <v>0</v>
      </c>
    </row>
    <row r="2238" spans="1:23" x14ac:dyDescent="0.25">
      <c r="A2238" s="204" t="s">
        <v>17902</v>
      </c>
      <c r="B2238" s="351" t="s">
        <v>21939</v>
      </c>
      <c r="C2238" s="352"/>
      <c r="D2238" s="353" t="s">
        <v>5</v>
      </c>
      <c r="E2238" s="249">
        <f t="shared" si="570"/>
        <v>0</v>
      </c>
      <c r="F2238" s="336">
        <v>0</v>
      </c>
      <c r="G2238" s="258">
        <f t="shared" si="571"/>
        <v>0</v>
      </c>
      <c r="H2238" s="249">
        <f t="shared" si="572"/>
        <v>6.3785739213223891E-2</v>
      </c>
      <c r="I2238" s="336">
        <v>3.8341869858886882E-3</v>
      </c>
      <c r="J2238" s="258">
        <f t="shared" si="573"/>
        <v>3.8341869858886882E-3</v>
      </c>
      <c r="K2238" s="249">
        <f t="shared" si="574"/>
        <v>16.462146376061554</v>
      </c>
      <c r="L2238" s="336">
        <v>0.98954638095350611</v>
      </c>
      <c r="M2238" s="258">
        <f t="shared" si="575"/>
        <v>0.98954638095350611</v>
      </c>
      <c r="N2238" s="251">
        <f t="shared" si="576"/>
        <v>0.11006166766203336</v>
      </c>
      <c r="O2238" s="336">
        <v>6.6158520540824418E-3</v>
      </c>
      <c r="P2238" s="258">
        <f t="shared" si="577"/>
        <v>6.6158520540824418E-3</v>
      </c>
      <c r="Q2238" s="354">
        <v>16.240063953488374</v>
      </c>
      <c r="R2238" s="249">
        <f t="shared" si="578"/>
        <v>16.63605334011628</v>
      </c>
      <c r="S2238" s="355">
        <v>0.1</v>
      </c>
      <c r="T2238" s="355"/>
      <c r="U2238" s="315">
        <f t="shared" si="579"/>
        <v>18.299658674127908</v>
      </c>
      <c r="V2238" s="315">
        <f t="shared" si="580"/>
        <v>19</v>
      </c>
      <c r="W2238" s="316">
        <f t="shared" si="581"/>
        <v>0</v>
      </c>
    </row>
    <row r="2239" spans="1:23" x14ac:dyDescent="0.25">
      <c r="A2239" s="204" t="s">
        <v>17903</v>
      </c>
      <c r="B2239" s="351" t="s">
        <v>21940</v>
      </c>
      <c r="C2239" s="352"/>
      <c r="D2239" s="353" t="s">
        <v>14859</v>
      </c>
      <c r="E2239" s="249">
        <f t="shared" si="570"/>
        <v>0</v>
      </c>
      <c r="F2239" s="336">
        <v>0</v>
      </c>
      <c r="G2239" s="258">
        <f t="shared" si="571"/>
        <v>0</v>
      </c>
      <c r="H2239" s="249">
        <f t="shared" si="572"/>
        <v>10.971254208349386</v>
      </c>
      <c r="I2239" s="336">
        <v>3.6191480302508066E-3</v>
      </c>
      <c r="J2239" s="258">
        <f t="shared" si="573"/>
        <v>3.6191480302508066E-3</v>
      </c>
      <c r="K2239" s="249">
        <f t="shared" si="574"/>
        <v>3001.5446142164592</v>
      </c>
      <c r="L2239" s="336">
        <v>0.99013604752539486</v>
      </c>
      <c r="M2239" s="258">
        <f t="shared" si="575"/>
        <v>0.99013604752539486</v>
      </c>
      <c r="N2239" s="251">
        <f t="shared" si="576"/>
        <v>18.930791575191094</v>
      </c>
      <c r="O2239" s="336">
        <v>6.2448044443543325E-3</v>
      </c>
      <c r="P2239" s="258">
        <f t="shared" si="577"/>
        <v>6.2448044443543325E-3</v>
      </c>
      <c r="Q2239" s="354">
        <v>2959.2599999999998</v>
      </c>
      <c r="R2239" s="249">
        <f t="shared" si="578"/>
        <v>3031.4466599999996</v>
      </c>
      <c r="S2239" s="355">
        <v>0.1</v>
      </c>
      <c r="T2239" s="355"/>
      <c r="U2239" s="315">
        <f t="shared" si="579"/>
        <v>3334.5913259999998</v>
      </c>
      <c r="V2239" s="315">
        <f t="shared" si="580"/>
        <v>3350</v>
      </c>
      <c r="W2239" s="316">
        <f t="shared" si="581"/>
        <v>0</v>
      </c>
    </row>
    <row r="2240" spans="1:23" x14ac:dyDescent="0.25">
      <c r="A2240" s="204" t="s">
        <v>17904</v>
      </c>
      <c r="B2240" s="351" t="s">
        <v>21941</v>
      </c>
      <c r="C2240" s="352"/>
      <c r="D2240" s="353" t="s">
        <v>5</v>
      </c>
      <c r="E2240" s="249">
        <f t="shared" si="570"/>
        <v>0</v>
      </c>
      <c r="F2240" s="336">
        <v>0</v>
      </c>
      <c r="G2240" s="258">
        <f t="shared" si="571"/>
        <v>0</v>
      </c>
      <c r="H2240" s="249">
        <f t="shared" si="572"/>
        <v>6.3786146105684977E-2</v>
      </c>
      <c r="I2240" s="336">
        <v>3.6191480302508066E-3</v>
      </c>
      <c r="J2240" s="258">
        <f t="shared" si="573"/>
        <v>3.6191480302508066E-3</v>
      </c>
      <c r="K2240" s="249">
        <f t="shared" si="574"/>
        <v>17.450722246351383</v>
      </c>
      <c r="L2240" s="336">
        <v>0.99013266830221069</v>
      </c>
      <c r="M2240" s="258">
        <f t="shared" si="575"/>
        <v>0.99013266830221069</v>
      </c>
      <c r="N2240" s="251">
        <f t="shared" si="576"/>
        <v>0.11006236975098584</v>
      </c>
      <c r="O2240" s="336">
        <v>6.2448044443543325E-3</v>
      </c>
      <c r="P2240" s="258">
        <f t="shared" si="577"/>
        <v>6.2448044443543325E-3</v>
      </c>
      <c r="Q2240" s="354">
        <v>17.204999999999998</v>
      </c>
      <c r="R2240" s="249">
        <f t="shared" si="578"/>
        <v>17.624630319767441</v>
      </c>
      <c r="S2240" s="355">
        <v>0.1</v>
      </c>
      <c r="T2240" s="355"/>
      <c r="U2240" s="315">
        <f t="shared" si="579"/>
        <v>19.387093351744184</v>
      </c>
      <c r="V2240" s="315">
        <f t="shared" si="580"/>
        <v>20</v>
      </c>
      <c r="W2240" s="316">
        <f t="shared" si="581"/>
        <v>0</v>
      </c>
    </row>
    <row r="2241" spans="1:23" x14ac:dyDescent="0.25">
      <c r="A2241" s="204" t="s">
        <v>17905</v>
      </c>
      <c r="B2241" s="351" t="s">
        <v>21942</v>
      </c>
      <c r="C2241" s="352"/>
      <c r="D2241" s="353" t="s">
        <v>14859</v>
      </c>
      <c r="E2241" s="249">
        <f t="shared" si="570"/>
        <v>0</v>
      </c>
      <c r="F2241" s="336">
        <v>0</v>
      </c>
      <c r="G2241" s="258">
        <f t="shared" si="571"/>
        <v>0</v>
      </c>
      <c r="H2241" s="249">
        <f t="shared" si="572"/>
        <v>10.971363807447901</v>
      </c>
      <c r="I2241" s="336">
        <v>3.2714461853975288E-3</v>
      </c>
      <c r="J2241" s="258">
        <f t="shared" si="573"/>
        <v>3.2714461853975288E-3</v>
      </c>
      <c r="K2241" s="249">
        <f t="shared" si="574"/>
        <v>3323.7715922551906</v>
      </c>
      <c r="L2241" s="336">
        <v>0.99108370549470082</v>
      </c>
      <c r="M2241" s="258">
        <f t="shared" si="575"/>
        <v>0.99108370549470082</v>
      </c>
      <c r="N2241" s="251">
        <f t="shared" si="576"/>
        <v>18.930980687361082</v>
      </c>
      <c r="O2241" s="336">
        <v>5.6448483199016183E-3</v>
      </c>
      <c r="P2241" s="258">
        <f t="shared" si="577"/>
        <v>5.6448483199016183E-3</v>
      </c>
      <c r="Q2241" s="354">
        <v>3273.7815000000001</v>
      </c>
      <c r="R2241" s="249">
        <f t="shared" si="578"/>
        <v>3353.6739367499999</v>
      </c>
      <c r="S2241" s="355">
        <v>0.1</v>
      </c>
      <c r="T2241" s="355"/>
      <c r="U2241" s="315">
        <f t="shared" si="579"/>
        <v>3689.0413304250001</v>
      </c>
      <c r="V2241" s="315">
        <f t="shared" si="580"/>
        <v>3700</v>
      </c>
      <c r="W2241" s="316">
        <f t="shared" si="581"/>
        <v>0</v>
      </c>
    </row>
    <row r="2242" spans="1:23" x14ac:dyDescent="0.25">
      <c r="A2242" s="204" t="s">
        <v>17906</v>
      </c>
      <c r="B2242" s="351" t="s">
        <v>21943</v>
      </c>
      <c r="C2242" s="352"/>
      <c r="D2242" s="353" t="s">
        <v>5</v>
      </c>
      <c r="E2242" s="249">
        <f t="shared" ref="E2242:E2304" si="582">R2242*G2242</f>
        <v>0</v>
      </c>
      <c r="F2242" s="336">
        <v>0</v>
      </c>
      <c r="G2242" s="258">
        <f t="shared" ref="G2242:G2304" si="583">F2242</f>
        <v>0</v>
      </c>
      <c r="H2242" s="249">
        <f t="shared" ref="H2242:H2304" si="584">R2242*J2242</f>
        <v>6.378680402024263E-2</v>
      </c>
      <c r="I2242" s="336">
        <v>3.2714461853975293E-3</v>
      </c>
      <c r="J2242" s="258">
        <f t="shared" ref="J2242:J2304" si="585">I2242</f>
        <v>3.2714461853975293E-3</v>
      </c>
      <c r="K2242" s="249">
        <f t="shared" ref="K2242:K2304" si="586">R2242*M2242</f>
        <v>19.324134852306706</v>
      </c>
      <c r="L2242" s="336">
        <v>0.99108065092309916</v>
      </c>
      <c r="M2242" s="258">
        <f t="shared" ref="M2242:M2304" si="587">L2242</f>
        <v>0.99108065092309916</v>
      </c>
      <c r="N2242" s="251">
        <f t="shared" ref="N2242:N2304" si="588">P2242*R2242</f>
        <v>0.11006350497610493</v>
      </c>
      <c r="O2242" s="336">
        <v>5.6448483199016191E-3</v>
      </c>
      <c r="P2242" s="258">
        <f t="shared" ref="P2242:P2304" si="589">O2242</f>
        <v>5.6448483199016191E-3</v>
      </c>
      <c r="Q2242" s="354">
        <v>19.033613372093022</v>
      </c>
      <c r="R2242" s="249">
        <f t="shared" ref="R2242:R2304" si="590">SUM(F2242*Q2242*1.0235,I2242*Q2242*1.0175,L2242*Q2242*1.0245,O2242*Q2242*1.0115)</f>
        <v>19.498044719476741</v>
      </c>
      <c r="S2242" s="355">
        <v>0.1</v>
      </c>
      <c r="T2242" s="355"/>
      <c r="U2242" s="315">
        <f t="shared" si="579"/>
        <v>21.447849191424417</v>
      </c>
      <c r="V2242" s="315">
        <f t="shared" si="580"/>
        <v>22</v>
      </c>
      <c r="W2242" s="316">
        <f t="shared" si="581"/>
        <v>0</v>
      </c>
    </row>
    <row r="2243" spans="1:23" x14ac:dyDescent="0.25">
      <c r="A2243" s="204" t="s">
        <v>17907</v>
      </c>
      <c r="B2243" s="351" t="s">
        <v>21944</v>
      </c>
      <c r="C2243" s="352"/>
      <c r="D2243" s="353" t="s">
        <v>14859</v>
      </c>
      <c r="E2243" s="249">
        <f t="shared" si="582"/>
        <v>0</v>
      </c>
      <c r="F2243" s="336">
        <v>0</v>
      </c>
      <c r="G2243" s="258">
        <f t="shared" si="583"/>
        <v>0</v>
      </c>
      <c r="H2243" s="249">
        <f t="shared" si="584"/>
        <v>10.97136413004923</v>
      </c>
      <c r="I2243" s="336">
        <v>3.2704227364918717E-3</v>
      </c>
      <c r="J2243" s="258">
        <f t="shared" si="585"/>
        <v>3.2704227364918717E-3</v>
      </c>
      <c r="K2243" s="249">
        <f t="shared" si="586"/>
        <v>3324.8211916259438</v>
      </c>
      <c r="L2243" s="336">
        <v>0.99108649489465939</v>
      </c>
      <c r="M2243" s="258">
        <f t="shared" si="587"/>
        <v>0.99108649489465939</v>
      </c>
      <c r="N2243" s="251">
        <f t="shared" si="588"/>
        <v>18.930981244006514</v>
      </c>
      <c r="O2243" s="336">
        <v>5.6430823688487196E-3</v>
      </c>
      <c r="P2243" s="258">
        <f t="shared" si="589"/>
        <v>5.6430823688487196E-3</v>
      </c>
      <c r="Q2243" s="354">
        <v>3274.806</v>
      </c>
      <c r="R2243" s="249">
        <f t="shared" si="590"/>
        <v>3354.7235369999999</v>
      </c>
      <c r="S2243" s="355">
        <v>0.1</v>
      </c>
      <c r="T2243" s="355"/>
      <c r="U2243" s="315">
        <f t="shared" si="579"/>
        <v>3690.1958906999998</v>
      </c>
      <c r="V2243" s="315">
        <f t="shared" si="580"/>
        <v>3700</v>
      </c>
      <c r="W2243" s="316">
        <f t="shared" si="581"/>
        <v>0</v>
      </c>
    </row>
    <row r="2244" spans="1:23" x14ac:dyDescent="0.25">
      <c r="A2244" s="204" t="s">
        <v>17908</v>
      </c>
      <c r="B2244" s="351" t="s">
        <v>21945</v>
      </c>
      <c r="C2244" s="352"/>
      <c r="D2244" s="353" t="s">
        <v>5</v>
      </c>
      <c r="E2244" s="249">
        <f t="shared" si="582"/>
        <v>0</v>
      </c>
      <c r="F2244" s="336">
        <v>0</v>
      </c>
      <c r="G2244" s="258">
        <f t="shared" si="583"/>
        <v>0</v>
      </c>
      <c r="H2244" s="249">
        <f t="shared" si="584"/>
        <v>6.3786805956792425E-2</v>
      </c>
      <c r="I2244" s="336">
        <v>3.2704227364918717E-3</v>
      </c>
      <c r="J2244" s="258">
        <f t="shared" si="585"/>
        <v>3.2704227364918717E-3</v>
      </c>
      <c r="K2244" s="249">
        <f t="shared" si="586"/>
        <v>19.33023717406174</v>
      </c>
      <c r="L2244" s="336">
        <v>0.99108344127865899</v>
      </c>
      <c r="M2244" s="258">
        <f t="shared" si="587"/>
        <v>0.99108344127865899</v>
      </c>
      <c r="N2244" s="251">
        <f t="shared" si="588"/>
        <v>0.1100635083176026</v>
      </c>
      <c r="O2244" s="336">
        <v>5.6430823688487196E-3</v>
      </c>
      <c r="P2244" s="258">
        <f t="shared" si="589"/>
        <v>5.6430823688487196E-3</v>
      </c>
      <c r="Q2244" s="354">
        <v>19.039569767441861</v>
      </c>
      <c r="R2244" s="249">
        <f t="shared" si="590"/>
        <v>19.50414704651163</v>
      </c>
      <c r="S2244" s="355">
        <v>0.1</v>
      </c>
      <c r="T2244" s="355"/>
      <c r="U2244" s="315">
        <f t="shared" si="579"/>
        <v>21.454561751162792</v>
      </c>
      <c r="V2244" s="315">
        <f t="shared" si="580"/>
        <v>22</v>
      </c>
      <c r="W2244" s="316">
        <f t="shared" si="581"/>
        <v>0</v>
      </c>
    </row>
    <row r="2245" spans="1:23" x14ac:dyDescent="0.25">
      <c r="A2245" s="204" t="s">
        <v>17909</v>
      </c>
      <c r="B2245" s="351" t="s">
        <v>21946</v>
      </c>
      <c r="C2245" s="352"/>
      <c r="D2245" s="353" t="s">
        <v>14859</v>
      </c>
      <c r="E2245" s="249">
        <f t="shared" si="582"/>
        <v>0</v>
      </c>
      <c r="F2245" s="336">
        <v>0</v>
      </c>
      <c r="G2245" s="258">
        <f t="shared" si="583"/>
        <v>0</v>
      </c>
      <c r="H2245" s="249">
        <f t="shared" si="584"/>
        <v>10.971378127392404</v>
      </c>
      <c r="I2245" s="336">
        <v>3.2260163306910726E-3</v>
      </c>
      <c r="J2245" s="258">
        <f t="shared" si="585"/>
        <v>3.2260163306910726E-3</v>
      </c>
      <c r="K2245" s="249">
        <f t="shared" si="586"/>
        <v>3371.0035644763229</v>
      </c>
      <c r="L2245" s="336">
        <v>0.99120752411831259</v>
      </c>
      <c r="M2245" s="258">
        <f t="shared" si="587"/>
        <v>0.99120752411831259</v>
      </c>
      <c r="N2245" s="251">
        <f t="shared" si="588"/>
        <v>18.931005396284931</v>
      </c>
      <c r="O2245" s="336">
        <v>5.5664595509963598E-3</v>
      </c>
      <c r="P2245" s="258">
        <f t="shared" si="589"/>
        <v>5.5664595509963598E-3</v>
      </c>
      <c r="Q2245" s="354">
        <v>3319.884</v>
      </c>
      <c r="R2245" s="249">
        <f t="shared" si="590"/>
        <v>3400.9059480000001</v>
      </c>
      <c r="S2245" s="355">
        <v>0.1</v>
      </c>
      <c r="T2245" s="355"/>
      <c r="U2245" s="315">
        <f t="shared" si="579"/>
        <v>3740.9965428</v>
      </c>
      <c r="V2245" s="315">
        <f t="shared" si="580"/>
        <v>3750</v>
      </c>
      <c r="W2245" s="316">
        <f t="shared" si="581"/>
        <v>0</v>
      </c>
    </row>
    <row r="2246" spans="1:23" x14ac:dyDescent="0.25">
      <c r="A2246" s="204" t="s">
        <v>17910</v>
      </c>
      <c r="B2246" s="351" t="s">
        <v>21947</v>
      </c>
      <c r="C2246" s="352"/>
      <c r="D2246" s="353" t="s">
        <v>5</v>
      </c>
      <c r="E2246" s="249">
        <f t="shared" si="582"/>
        <v>0</v>
      </c>
      <c r="F2246" s="336">
        <v>0</v>
      </c>
      <c r="G2246" s="258">
        <f t="shared" si="583"/>
        <v>0</v>
      </c>
      <c r="H2246" s="249">
        <f t="shared" si="584"/>
        <v>6.3786889981715666E-2</v>
      </c>
      <c r="I2246" s="336">
        <v>3.2260163306910726E-3</v>
      </c>
      <c r="J2246" s="258">
        <f t="shared" si="585"/>
        <v>3.2260163306910726E-3</v>
      </c>
      <c r="K2246" s="249">
        <f t="shared" si="586"/>
        <v>19.598739334509059</v>
      </c>
      <c r="L2246" s="336">
        <v>0.99120451196487591</v>
      </c>
      <c r="M2246" s="258">
        <f t="shared" si="587"/>
        <v>0.99120451196487591</v>
      </c>
      <c r="N2246" s="251">
        <f t="shared" si="588"/>
        <v>0.11006365330178389</v>
      </c>
      <c r="O2246" s="336">
        <v>5.5664595509963598E-3</v>
      </c>
      <c r="P2246" s="258">
        <f t="shared" si="589"/>
        <v>5.5664595509963598E-3</v>
      </c>
      <c r="Q2246" s="354">
        <v>19.301651162790698</v>
      </c>
      <c r="R2246" s="249">
        <f t="shared" si="590"/>
        <v>19.77264943604651</v>
      </c>
      <c r="S2246" s="355">
        <v>0.1</v>
      </c>
      <c r="T2246" s="355"/>
      <c r="U2246" s="315">
        <f t="shared" si="579"/>
        <v>21.749914379651162</v>
      </c>
      <c r="V2246" s="315">
        <f t="shared" si="580"/>
        <v>22</v>
      </c>
      <c r="W2246" s="316">
        <f t="shared" si="581"/>
        <v>0</v>
      </c>
    </row>
    <row r="2247" spans="1:23" x14ac:dyDescent="0.25">
      <c r="A2247" s="204" t="s">
        <v>17911</v>
      </c>
      <c r="B2247" s="351" t="s">
        <v>21948</v>
      </c>
      <c r="C2247" s="352"/>
      <c r="D2247" s="353" t="s">
        <v>14859</v>
      </c>
      <c r="E2247" s="249">
        <f t="shared" si="582"/>
        <v>0</v>
      </c>
      <c r="F2247" s="336">
        <v>0</v>
      </c>
      <c r="G2247" s="258">
        <f t="shared" si="583"/>
        <v>0</v>
      </c>
      <c r="H2247" s="249">
        <f t="shared" si="584"/>
        <v>10.971385912380271</v>
      </c>
      <c r="I2247" s="336">
        <v>3.2013185486817882E-3</v>
      </c>
      <c r="J2247" s="258">
        <f t="shared" si="585"/>
        <v>3.2013185486817882E-3</v>
      </c>
      <c r="K2247" s="249">
        <f t="shared" si="586"/>
        <v>3397.2435495084142</v>
      </c>
      <c r="L2247" s="336">
        <v>0.99127483768104374</v>
      </c>
      <c r="M2247" s="258">
        <f t="shared" si="587"/>
        <v>0.99127483768104374</v>
      </c>
      <c r="N2247" s="251">
        <f t="shared" si="588"/>
        <v>18.931018829205172</v>
      </c>
      <c r="O2247" s="336">
        <v>5.5238437702744576E-3</v>
      </c>
      <c r="P2247" s="258">
        <f t="shared" si="589"/>
        <v>5.5238437702744576E-3</v>
      </c>
      <c r="Q2247" s="354">
        <v>3345.4964999999997</v>
      </c>
      <c r="R2247" s="249">
        <f t="shared" si="590"/>
        <v>3427.1459542499997</v>
      </c>
      <c r="S2247" s="355">
        <v>0.1</v>
      </c>
      <c r="T2247" s="355"/>
      <c r="U2247" s="315">
        <f t="shared" si="579"/>
        <v>3769.8605496749997</v>
      </c>
      <c r="V2247" s="315">
        <f t="shared" si="580"/>
        <v>3775</v>
      </c>
      <c r="W2247" s="316">
        <f t="shared" si="581"/>
        <v>0</v>
      </c>
    </row>
    <row r="2248" spans="1:23" x14ac:dyDescent="0.25">
      <c r="A2248" s="204" t="s">
        <v>17912</v>
      </c>
      <c r="B2248" s="351" t="s">
        <v>21949</v>
      </c>
      <c r="C2248" s="352"/>
      <c r="D2248" s="353" t="s">
        <v>5</v>
      </c>
      <c r="E2248" s="249">
        <f t="shared" si="582"/>
        <v>0</v>
      </c>
      <c r="F2248" s="336">
        <v>0</v>
      </c>
      <c r="G2248" s="258">
        <f t="shared" si="583"/>
        <v>0</v>
      </c>
      <c r="H2248" s="249">
        <f t="shared" si="584"/>
        <v>6.3786936714370593E-2</v>
      </c>
      <c r="I2248" s="336">
        <v>3.2013185486817882E-3</v>
      </c>
      <c r="J2248" s="258">
        <f t="shared" si="585"/>
        <v>3.2013185486817882E-3</v>
      </c>
      <c r="K2248" s="249">
        <f t="shared" si="586"/>
        <v>19.751297382968126</v>
      </c>
      <c r="L2248" s="336">
        <v>0.99127184858809447</v>
      </c>
      <c r="M2248" s="258">
        <f t="shared" si="587"/>
        <v>0.99127184858809447</v>
      </c>
      <c r="N2248" s="251">
        <f t="shared" si="588"/>
        <v>0.11006373393852178</v>
      </c>
      <c r="O2248" s="336">
        <v>5.5238437702744576E-3</v>
      </c>
      <c r="P2248" s="258">
        <f t="shared" si="589"/>
        <v>5.5238437702744576E-3</v>
      </c>
      <c r="Q2248" s="354">
        <v>19.450561046511627</v>
      </c>
      <c r="R2248" s="249">
        <f t="shared" si="590"/>
        <v>19.925207611918605</v>
      </c>
      <c r="S2248" s="355">
        <v>0.1</v>
      </c>
      <c r="T2248" s="355"/>
      <c r="U2248" s="315">
        <f t="shared" si="579"/>
        <v>21.917728373110464</v>
      </c>
      <c r="V2248" s="315">
        <f t="shared" si="580"/>
        <v>22</v>
      </c>
      <c r="W2248" s="316">
        <f t="shared" si="581"/>
        <v>0</v>
      </c>
    </row>
    <row r="2249" spans="1:23" x14ac:dyDescent="0.25">
      <c r="A2249" s="204" t="s">
        <v>17913</v>
      </c>
      <c r="B2249" s="351" t="s">
        <v>21950</v>
      </c>
      <c r="C2249" s="352"/>
      <c r="D2249" s="353" t="s">
        <v>14859</v>
      </c>
      <c r="E2249" s="249">
        <f t="shared" si="582"/>
        <v>0</v>
      </c>
      <c r="F2249" s="336">
        <v>0</v>
      </c>
      <c r="G2249" s="258">
        <f t="shared" si="583"/>
        <v>0</v>
      </c>
      <c r="H2249" s="249">
        <f t="shared" si="584"/>
        <v>10.971385912380271</v>
      </c>
      <c r="I2249" s="336">
        <v>3.2013185486817882E-3</v>
      </c>
      <c r="J2249" s="258">
        <f t="shared" si="585"/>
        <v>3.2013185486817882E-3</v>
      </c>
      <c r="K2249" s="249">
        <f t="shared" si="586"/>
        <v>3397.2435495084142</v>
      </c>
      <c r="L2249" s="336">
        <v>0.99127483768104374</v>
      </c>
      <c r="M2249" s="258">
        <f t="shared" si="587"/>
        <v>0.99127483768104374</v>
      </c>
      <c r="N2249" s="251">
        <f t="shared" si="588"/>
        <v>18.931018829205172</v>
      </c>
      <c r="O2249" s="336">
        <v>5.5238437702744576E-3</v>
      </c>
      <c r="P2249" s="258">
        <f t="shared" si="589"/>
        <v>5.5238437702744576E-3</v>
      </c>
      <c r="Q2249" s="354">
        <v>3345.4964999999997</v>
      </c>
      <c r="R2249" s="249">
        <f t="shared" si="590"/>
        <v>3427.1459542499997</v>
      </c>
      <c r="S2249" s="355">
        <v>0.1</v>
      </c>
      <c r="T2249" s="355"/>
      <c r="U2249" s="315">
        <f t="shared" si="579"/>
        <v>3769.8605496749997</v>
      </c>
      <c r="V2249" s="315">
        <f t="shared" si="580"/>
        <v>3775</v>
      </c>
      <c r="W2249" s="316">
        <f t="shared" si="581"/>
        <v>0</v>
      </c>
    </row>
    <row r="2250" spans="1:23" x14ac:dyDescent="0.25">
      <c r="A2250" s="204" t="s">
        <v>17914</v>
      </c>
      <c r="B2250" s="351" t="s">
        <v>21951</v>
      </c>
      <c r="C2250" s="352"/>
      <c r="D2250" s="353" t="s">
        <v>5</v>
      </c>
      <c r="E2250" s="249">
        <f t="shared" si="582"/>
        <v>0</v>
      </c>
      <c r="F2250" s="336">
        <v>0</v>
      </c>
      <c r="G2250" s="258">
        <f t="shared" si="583"/>
        <v>0</v>
      </c>
      <c r="H2250" s="249">
        <f t="shared" si="584"/>
        <v>6.3786936714370593E-2</v>
      </c>
      <c r="I2250" s="336">
        <v>3.2013185486817882E-3</v>
      </c>
      <c r="J2250" s="258">
        <f t="shared" si="585"/>
        <v>3.2013185486817882E-3</v>
      </c>
      <c r="K2250" s="249">
        <f t="shared" si="586"/>
        <v>19.751297382968126</v>
      </c>
      <c r="L2250" s="336">
        <v>0.99127184858809447</v>
      </c>
      <c r="M2250" s="258">
        <f t="shared" si="587"/>
        <v>0.99127184858809447</v>
      </c>
      <c r="N2250" s="251">
        <f t="shared" si="588"/>
        <v>0.11006373393852178</v>
      </c>
      <c r="O2250" s="336">
        <v>5.5238437702744576E-3</v>
      </c>
      <c r="P2250" s="258">
        <f t="shared" si="589"/>
        <v>5.5238437702744576E-3</v>
      </c>
      <c r="Q2250" s="354">
        <v>19.450561046511627</v>
      </c>
      <c r="R2250" s="249">
        <f t="shared" si="590"/>
        <v>19.925207611918605</v>
      </c>
      <c r="S2250" s="355">
        <v>0.1</v>
      </c>
      <c r="T2250" s="355"/>
      <c r="U2250" s="315">
        <f t="shared" si="579"/>
        <v>21.917728373110464</v>
      </c>
      <c r="V2250" s="315">
        <f t="shared" si="580"/>
        <v>22</v>
      </c>
      <c r="W2250" s="316">
        <f t="shared" si="581"/>
        <v>0</v>
      </c>
    </row>
    <row r="2251" spans="1:23" x14ac:dyDescent="0.25">
      <c r="A2251" s="204" t="s">
        <v>17915</v>
      </c>
      <c r="B2251" s="351" t="s">
        <v>21952</v>
      </c>
      <c r="C2251" s="352"/>
      <c r="D2251" s="353" t="s">
        <v>14859</v>
      </c>
      <c r="E2251" s="249">
        <f t="shared" si="582"/>
        <v>0</v>
      </c>
      <c r="F2251" s="336">
        <v>0</v>
      </c>
      <c r="G2251" s="258">
        <f t="shared" si="583"/>
        <v>0</v>
      </c>
      <c r="H2251" s="249">
        <f t="shared" si="584"/>
        <v>10.971385912380271</v>
      </c>
      <c r="I2251" s="336">
        <v>3.2013185486817882E-3</v>
      </c>
      <c r="J2251" s="258">
        <f t="shared" si="585"/>
        <v>3.2013185486817882E-3</v>
      </c>
      <c r="K2251" s="249">
        <f t="shared" si="586"/>
        <v>3397.2435495084142</v>
      </c>
      <c r="L2251" s="336">
        <v>0.99127483768104374</v>
      </c>
      <c r="M2251" s="258">
        <f t="shared" si="587"/>
        <v>0.99127483768104374</v>
      </c>
      <c r="N2251" s="251">
        <f t="shared" si="588"/>
        <v>18.931018829205172</v>
      </c>
      <c r="O2251" s="336">
        <v>5.5238437702744576E-3</v>
      </c>
      <c r="P2251" s="258">
        <f t="shared" si="589"/>
        <v>5.5238437702744576E-3</v>
      </c>
      <c r="Q2251" s="354">
        <v>3345.4964999999997</v>
      </c>
      <c r="R2251" s="249">
        <f t="shared" si="590"/>
        <v>3427.1459542499997</v>
      </c>
      <c r="S2251" s="355">
        <v>0.1</v>
      </c>
      <c r="T2251" s="355"/>
      <c r="U2251" s="315">
        <f t="shared" si="579"/>
        <v>3769.8605496749997</v>
      </c>
      <c r="V2251" s="315">
        <f t="shared" si="580"/>
        <v>3775</v>
      </c>
      <c r="W2251" s="316">
        <f t="shared" si="581"/>
        <v>0</v>
      </c>
    </row>
    <row r="2252" spans="1:23" x14ac:dyDescent="0.25">
      <c r="A2252" s="204" t="s">
        <v>17916</v>
      </c>
      <c r="B2252" s="351" t="s">
        <v>21953</v>
      </c>
      <c r="C2252" s="352"/>
      <c r="D2252" s="353" t="s">
        <v>5</v>
      </c>
      <c r="E2252" s="249">
        <f t="shared" si="582"/>
        <v>0</v>
      </c>
      <c r="F2252" s="336">
        <v>0</v>
      </c>
      <c r="G2252" s="258">
        <f t="shared" si="583"/>
        <v>0</v>
      </c>
      <c r="H2252" s="249">
        <f t="shared" si="584"/>
        <v>6.3786936714370593E-2</v>
      </c>
      <c r="I2252" s="336">
        <v>3.2013185486817882E-3</v>
      </c>
      <c r="J2252" s="258">
        <f t="shared" si="585"/>
        <v>3.2013185486817882E-3</v>
      </c>
      <c r="K2252" s="249">
        <f t="shared" si="586"/>
        <v>19.751297382968126</v>
      </c>
      <c r="L2252" s="336">
        <v>0.99127184858809447</v>
      </c>
      <c r="M2252" s="258">
        <f t="shared" si="587"/>
        <v>0.99127184858809447</v>
      </c>
      <c r="N2252" s="251">
        <f t="shared" si="588"/>
        <v>0.11006373393852178</v>
      </c>
      <c r="O2252" s="336">
        <v>5.5238437702744576E-3</v>
      </c>
      <c r="P2252" s="258">
        <f t="shared" si="589"/>
        <v>5.5238437702744576E-3</v>
      </c>
      <c r="Q2252" s="354">
        <v>19.450561046511627</v>
      </c>
      <c r="R2252" s="249">
        <f t="shared" si="590"/>
        <v>19.925207611918605</v>
      </c>
      <c r="S2252" s="355">
        <v>0.1</v>
      </c>
      <c r="T2252" s="355"/>
      <c r="U2252" s="315">
        <f t="shared" si="579"/>
        <v>21.917728373110464</v>
      </c>
      <c r="V2252" s="315">
        <f t="shared" si="580"/>
        <v>22</v>
      </c>
      <c r="W2252" s="316">
        <f t="shared" si="581"/>
        <v>0</v>
      </c>
    </row>
    <row r="2253" spans="1:23" x14ac:dyDescent="0.25">
      <c r="A2253" s="204" t="s">
        <v>17917</v>
      </c>
      <c r="B2253" s="351" t="s">
        <v>21954</v>
      </c>
      <c r="C2253" s="352"/>
      <c r="D2253" s="353" t="s">
        <v>14859</v>
      </c>
      <c r="E2253" s="249">
        <f t="shared" si="582"/>
        <v>0</v>
      </c>
      <c r="F2253" s="336">
        <v>0</v>
      </c>
      <c r="G2253" s="258">
        <f t="shared" si="583"/>
        <v>0</v>
      </c>
      <c r="H2253" s="249">
        <f t="shared" si="584"/>
        <v>10.971412685077766</v>
      </c>
      <c r="I2253" s="336">
        <v>3.1163824822641175E-3</v>
      </c>
      <c r="J2253" s="258">
        <f t="shared" si="585"/>
        <v>3.1163824822641175E-3</v>
      </c>
      <c r="K2253" s="249">
        <f t="shared" si="586"/>
        <v>3490.6578987896901</v>
      </c>
      <c r="L2253" s="336">
        <v>0.99150633009735856</v>
      </c>
      <c r="M2253" s="258">
        <f t="shared" si="587"/>
        <v>0.99150633009735856</v>
      </c>
      <c r="N2253" s="251">
        <f t="shared" si="588"/>
        <v>18.931065025232222</v>
      </c>
      <c r="O2253" s="336">
        <v>5.3772874203773004E-3</v>
      </c>
      <c r="P2253" s="258">
        <f t="shared" si="589"/>
        <v>5.3772874203773004E-3</v>
      </c>
      <c r="Q2253" s="354">
        <v>3436.6770000000001</v>
      </c>
      <c r="R2253" s="249">
        <f t="shared" si="590"/>
        <v>3520.5603765000001</v>
      </c>
      <c r="S2253" s="355">
        <v>0.1</v>
      </c>
      <c r="T2253" s="355"/>
      <c r="U2253" s="315">
        <f t="shared" si="579"/>
        <v>3872.6164141500003</v>
      </c>
      <c r="V2253" s="315">
        <f t="shared" si="580"/>
        <v>3875</v>
      </c>
      <c r="W2253" s="316">
        <f t="shared" si="581"/>
        <v>0</v>
      </c>
    </row>
    <row r="2254" spans="1:23" x14ac:dyDescent="0.25">
      <c r="A2254" s="204" t="s">
        <v>17918</v>
      </c>
      <c r="B2254" s="351" t="s">
        <v>21955</v>
      </c>
      <c r="C2254" s="352"/>
      <c r="D2254" s="353" t="s">
        <v>5</v>
      </c>
      <c r="E2254" s="249">
        <f t="shared" si="582"/>
        <v>0</v>
      </c>
      <c r="F2254" s="336">
        <v>0</v>
      </c>
      <c r="G2254" s="258">
        <f t="shared" si="583"/>
        <v>0</v>
      </c>
      <c r="H2254" s="249">
        <f t="shared" si="584"/>
        <v>6.378709742871648E-2</v>
      </c>
      <c r="I2254" s="336">
        <v>3.1163824822641175E-3</v>
      </c>
      <c r="J2254" s="258">
        <f t="shared" si="585"/>
        <v>3.1163824822641175E-3</v>
      </c>
      <c r="K2254" s="249">
        <f t="shared" si="586"/>
        <v>20.294404050897342</v>
      </c>
      <c r="L2254" s="336">
        <v>0.99150342030979344</v>
      </c>
      <c r="M2254" s="258">
        <f t="shared" si="587"/>
        <v>0.99150342030979344</v>
      </c>
      <c r="N2254" s="251">
        <f t="shared" si="588"/>
        <v>0.11006401124955</v>
      </c>
      <c r="O2254" s="336">
        <v>5.3772874203773004E-3</v>
      </c>
      <c r="P2254" s="258">
        <f t="shared" si="589"/>
        <v>5.3772874203773004E-3</v>
      </c>
      <c r="Q2254" s="354">
        <v>19.980680232558139</v>
      </c>
      <c r="R2254" s="249">
        <f t="shared" si="590"/>
        <v>20.468314718023255</v>
      </c>
      <c r="S2254" s="355">
        <v>0.1</v>
      </c>
      <c r="T2254" s="355"/>
      <c r="U2254" s="315">
        <f t="shared" si="579"/>
        <v>22.515146189825579</v>
      </c>
      <c r="V2254" s="315">
        <f t="shared" si="580"/>
        <v>23</v>
      </c>
      <c r="W2254" s="316">
        <f t="shared" si="581"/>
        <v>0</v>
      </c>
    </row>
    <row r="2255" spans="1:23" x14ac:dyDescent="0.25">
      <c r="A2255" s="204" t="s">
        <v>17919</v>
      </c>
      <c r="B2255" s="351" t="s">
        <v>21956</v>
      </c>
      <c r="C2255" s="352"/>
      <c r="D2255" s="353" t="s">
        <v>14859</v>
      </c>
      <c r="E2255" s="249">
        <f t="shared" si="582"/>
        <v>0</v>
      </c>
      <c r="F2255" s="336">
        <v>0</v>
      </c>
      <c r="G2255" s="258">
        <f t="shared" si="583"/>
        <v>0</v>
      </c>
      <c r="H2255" s="249">
        <f t="shared" si="584"/>
        <v>10.971424260476235</v>
      </c>
      <c r="I2255" s="336">
        <v>3.0796596674140088E-3</v>
      </c>
      <c r="J2255" s="258">
        <f t="shared" si="585"/>
        <v>3.0796596674140088E-3</v>
      </c>
      <c r="K2255" s="249">
        <f t="shared" si="586"/>
        <v>3532.6418772410552</v>
      </c>
      <c r="L2255" s="336">
        <v>0.991606417769205</v>
      </c>
      <c r="M2255" s="258">
        <f t="shared" si="587"/>
        <v>0.991606417769205</v>
      </c>
      <c r="N2255" s="251">
        <f t="shared" si="588"/>
        <v>18.931084998468798</v>
      </c>
      <c r="O2255" s="336">
        <v>5.313922563381035E-3</v>
      </c>
      <c r="P2255" s="258">
        <f t="shared" si="589"/>
        <v>5.313922563381035E-3</v>
      </c>
      <c r="Q2255" s="354">
        <v>3477.6570000000002</v>
      </c>
      <c r="R2255" s="249">
        <f t="shared" si="590"/>
        <v>3562.5443865000002</v>
      </c>
      <c r="S2255" s="355">
        <v>0.1</v>
      </c>
      <c r="T2255" s="355"/>
      <c r="U2255" s="315">
        <f t="shared" si="579"/>
        <v>3918.7988251500001</v>
      </c>
      <c r="V2255" s="315">
        <f t="shared" si="580"/>
        <v>3925</v>
      </c>
      <c r="W2255" s="316">
        <f t="shared" si="581"/>
        <v>0</v>
      </c>
    </row>
    <row r="2256" spans="1:23" x14ac:dyDescent="0.25">
      <c r="A2256" s="204" t="s">
        <v>17920</v>
      </c>
      <c r="B2256" s="351" t="s">
        <v>21957</v>
      </c>
      <c r="C2256" s="352"/>
      <c r="D2256" s="353" t="s">
        <v>5</v>
      </c>
      <c r="E2256" s="249">
        <f t="shared" si="582"/>
        <v>0</v>
      </c>
      <c r="F2256" s="336">
        <v>0</v>
      </c>
      <c r="G2256" s="258">
        <f t="shared" si="583"/>
        <v>0</v>
      </c>
      <c r="H2256" s="249">
        <f t="shared" si="584"/>
        <v>6.3787166914900828E-2</v>
      </c>
      <c r="I2256" s="336">
        <v>3.0796596674140088E-3</v>
      </c>
      <c r="J2256" s="258">
        <f t="shared" si="585"/>
        <v>3.0796596674140088E-3</v>
      </c>
      <c r="K2256" s="249">
        <f t="shared" si="586"/>
        <v>20.538496942843899</v>
      </c>
      <c r="L2256" s="336">
        <v>0.99160354226998237</v>
      </c>
      <c r="M2256" s="258">
        <f t="shared" si="587"/>
        <v>0.99160354226998237</v>
      </c>
      <c r="N2256" s="251">
        <f t="shared" si="588"/>
        <v>0.11006413114727986</v>
      </c>
      <c r="O2256" s="336">
        <v>5.313922563381035E-3</v>
      </c>
      <c r="P2256" s="258">
        <f t="shared" si="589"/>
        <v>5.313922563381035E-3</v>
      </c>
      <c r="Q2256" s="354">
        <v>20.218936046511629</v>
      </c>
      <c r="R2256" s="249">
        <f t="shared" si="590"/>
        <v>20.712407799418607</v>
      </c>
      <c r="S2256" s="355">
        <v>0.1</v>
      </c>
      <c r="T2256" s="355"/>
      <c r="U2256" s="315">
        <f t="shared" si="579"/>
        <v>22.783648579360467</v>
      </c>
      <c r="V2256" s="315">
        <f t="shared" si="580"/>
        <v>23</v>
      </c>
      <c r="W2256" s="316">
        <f t="shared" si="581"/>
        <v>0</v>
      </c>
    </row>
    <row r="2257" spans="1:23" x14ac:dyDescent="0.25">
      <c r="A2257" s="204" t="s">
        <v>17921</v>
      </c>
      <c r="B2257" s="351" t="s">
        <v>21958</v>
      </c>
      <c r="C2257" s="352"/>
      <c r="D2257" s="353" t="s">
        <v>14859</v>
      </c>
      <c r="E2257" s="249">
        <f t="shared" si="582"/>
        <v>0</v>
      </c>
      <c r="F2257" s="336">
        <v>0</v>
      </c>
      <c r="G2257" s="258">
        <f t="shared" si="583"/>
        <v>0</v>
      </c>
      <c r="H2257" s="249">
        <f t="shared" si="584"/>
        <v>10.97143388719968</v>
      </c>
      <c r="I2257" s="336">
        <v>3.0491190010505371E-3</v>
      </c>
      <c r="J2257" s="258">
        <f t="shared" si="585"/>
        <v>3.0491190010505371E-3</v>
      </c>
      <c r="K2257" s="249">
        <f t="shared" si="586"/>
        <v>3568.3282595035143</v>
      </c>
      <c r="L2257" s="336">
        <v>0.99168965605596027</v>
      </c>
      <c r="M2257" s="258">
        <f t="shared" si="587"/>
        <v>0.99168965605596027</v>
      </c>
      <c r="N2257" s="251">
        <f t="shared" si="588"/>
        <v>18.931101609285722</v>
      </c>
      <c r="O2257" s="336">
        <v>5.2612249429891617E-3</v>
      </c>
      <c r="P2257" s="258">
        <f t="shared" si="589"/>
        <v>5.2612249429891617E-3</v>
      </c>
      <c r="Q2257" s="354">
        <v>3512.49</v>
      </c>
      <c r="R2257" s="249">
        <f t="shared" si="590"/>
        <v>3598.2307949999999</v>
      </c>
      <c r="S2257" s="355">
        <v>0.1</v>
      </c>
      <c r="T2257" s="355"/>
      <c r="U2257" s="315">
        <f t="shared" si="579"/>
        <v>3958.0538744999999</v>
      </c>
      <c r="V2257" s="315">
        <f t="shared" si="580"/>
        <v>3975</v>
      </c>
      <c r="W2257" s="316">
        <f t="shared" si="581"/>
        <v>0</v>
      </c>
    </row>
    <row r="2258" spans="1:23" x14ac:dyDescent="0.25">
      <c r="A2258" s="204" t="s">
        <v>17922</v>
      </c>
      <c r="B2258" s="351" t="s">
        <v>21959</v>
      </c>
      <c r="C2258" s="352"/>
      <c r="D2258" s="353" t="s">
        <v>5</v>
      </c>
      <c r="E2258" s="249">
        <f t="shared" si="582"/>
        <v>0</v>
      </c>
      <c r="F2258" s="336">
        <v>0</v>
      </c>
      <c r="G2258" s="258">
        <f t="shared" si="583"/>
        <v>0</v>
      </c>
      <c r="H2258" s="249">
        <f t="shared" si="584"/>
        <v>6.3787224703346024E-2</v>
      </c>
      <c r="I2258" s="336">
        <v>3.0491190010505376E-3</v>
      </c>
      <c r="J2258" s="258">
        <f t="shared" si="585"/>
        <v>3.0491190010505376E-3</v>
      </c>
      <c r="K2258" s="249">
        <f t="shared" si="586"/>
        <v>20.745975904474147</v>
      </c>
      <c r="L2258" s="336">
        <v>0.99168680907276607</v>
      </c>
      <c r="M2258" s="258">
        <f t="shared" si="587"/>
        <v>0.99168680907276607</v>
      </c>
      <c r="N2258" s="251">
        <f t="shared" si="588"/>
        <v>0.11006423086067546</v>
      </c>
      <c r="O2258" s="336">
        <v>5.2612249429891617E-3</v>
      </c>
      <c r="P2258" s="258">
        <f t="shared" si="589"/>
        <v>5.2612249429891617E-3</v>
      </c>
      <c r="Q2258" s="354">
        <v>20.421453488372091</v>
      </c>
      <c r="R2258" s="249">
        <f t="shared" si="590"/>
        <v>20.91988691860465</v>
      </c>
      <c r="S2258" s="355">
        <v>0.1</v>
      </c>
      <c r="T2258" s="355"/>
      <c r="U2258" s="315">
        <f t="shared" si="579"/>
        <v>23.011875610465115</v>
      </c>
      <c r="V2258" s="315">
        <f t="shared" si="580"/>
        <v>24</v>
      </c>
      <c r="W2258" s="316">
        <f t="shared" si="581"/>
        <v>0</v>
      </c>
    </row>
    <row r="2259" spans="1:23" x14ac:dyDescent="0.25">
      <c r="A2259" s="204" t="s">
        <v>17923</v>
      </c>
      <c r="B2259" s="351" t="s">
        <v>21960</v>
      </c>
      <c r="C2259" s="352"/>
      <c r="D2259" s="353" t="s">
        <v>14859</v>
      </c>
      <c r="E2259" s="249">
        <f t="shared" si="582"/>
        <v>0</v>
      </c>
      <c r="F2259" s="336">
        <v>0</v>
      </c>
      <c r="G2259" s="258">
        <f t="shared" si="583"/>
        <v>0</v>
      </c>
      <c r="H2259" s="249">
        <f t="shared" si="584"/>
        <v>10.971442774840535</v>
      </c>
      <c r="I2259" s="336">
        <v>3.0209230654668724E-3</v>
      </c>
      <c r="J2259" s="258">
        <f t="shared" si="585"/>
        <v>3.0209230654668724E-3</v>
      </c>
      <c r="K2259" s="249">
        <f t="shared" si="586"/>
        <v>3601.9154432803366</v>
      </c>
      <c r="L2259" s="336">
        <v>0.99176650380196285</v>
      </c>
      <c r="M2259" s="258">
        <f t="shared" si="587"/>
        <v>0.99176650380196285</v>
      </c>
      <c r="N2259" s="251">
        <f t="shared" si="588"/>
        <v>18.931116944822882</v>
      </c>
      <c r="O2259" s="336">
        <v>5.2125731325702897E-3</v>
      </c>
      <c r="P2259" s="258">
        <f t="shared" si="589"/>
        <v>5.2125731325702897E-3</v>
      </c>
      <c r="Q2259" s="354">
        <v>3545.2739999999999</v>
      </c>
      <c r="R2259" s="249">
        <f t="shared" si="590"/>
        <v>3631.8180029999999</v>
      </c>
      <c r="S2259" s="355">
        <v>0.1</v>
      </c>
      <c r="T2259" s="355"/>
      <c r="U2259" s="315">
        <f t="shared" si="579"/>
        <v>3994.9998032999997</v>
      </c>
      <c r="V2259" s="315">
        <f t="shared" si="580"/>
        <v>4000</v>
      </c>
      <c r="W2259" s="316">
        <f t="shared" si="581"/>
        <v>0</v>
      </c>
    </row>
    <row r="2260" spans="1:23" x14ac:dyDescent="0.25">
      <c r="A2260" s="204" t="s">
        <v>17924</v>
      </c>
      <c r="B2260" s="351" t="s">
        <v>21961</v>
      </c>
      <c r="C2260" s="352"/>
      <c r="D2260" s="353" t="s">
        <v>5</v>
      </c>
      <c r="E2260" s="249">
        <f t="shared" si="582"/>
        <v>0</v>
      </c>
      <c r="F2260" s="336">
        <v>0</v>
      </c>
      <c r="G2260" s="258">
        <f t="shared" si="583"/>
        <v>0</v>
      </c>
      <c r="H2260" s="249">
        <f t="shared" si="584"/>
        <v>6.3787278055137966E-2</v>
      </c>
      <c r="I2260" s="336">
        <v>3.0209230654668724E-3</v>
      </c>
      <c r="J2260" s="258">
        <f t="shared" si="585"/>
        <v>3.0209230654668724E-3</v>
      </c>
      <c r="K2260" s="249">
        <f t="shared" si="586"/>
        <v>20.941250224130826</v>
      </c>
      <c r="L2260" s="336">
        <v>0.99176368314550578</v>
      </c>
      <c r="M2260" s="258">
        <f t="shared" si="587"/>
        <v>0.99176368314550578</v>
      </c>
      <c r="N2260" s="251">
        <f t="shared" si="588"/>
        <v>0.11006432291866941</v>
      </c>
      <c r="O2260" s="336">
        <v>5.2125731325702888E-3</v>
      </c>
      <c r="P2260" s="258">
        <f t="shared" si="589"/>
        <v>5.2125731325702888E-3</v>
      </c>
      <c r="Q2260" s="354">
        <v>20.612058139534884</v>
      </c>
      <c r="R2260" s="249">
        <f t="shared" si="590"/>
        <v>21.115161383720931</v>
      </c>
      <c r="S2260" s="355">
        <v>0.1</v>
      </c>
      <c r="T2260" s="355"/>
      <c r="U2260" s="315">
        <f t="shared" si="579"/>
        <v>23.226677522093023</v>
      </c>
      <c r="V2260" s="315">
        <f t="shared" si="580"/>
        <v>24</v>
      </c>
      <c r="W2260" s="316">
        <f t="shared" si="581"/>
        <v>0</v>
      </c>
    </row>
    <row r="2261" spans="1:23" x14ac:dyDescent="0.25">
      <c r="A2261" s="204" t="s">
        <v>17925</v>
      </c>
      <c r="B2261" s="351" t="s">
        <v>21962</v>
      </c>
      <c r="C2261" s="352"/>
      <c r="D2261" s="353" t="s">
        <v>14859</v>
      </c>
      <c r="E2261" s="249">
        <f t="shared" si="582"/>
        <v>0</v>
      </c>
      <c r="F2261" s="336">
        <v>0</v>
      </c>
      <c r="G2261" s="258">
        <f t="shared" si="583"/>
        <v>0</v>
      </c>
      <c r="H2261" s="249">
        <f t="shared" si="584"/>
        <v>10.971445518616271</v>
      </c>
      <c r="I2261" s="336">
        <v>3.0122184693711388E-3</v>
      </c>
      <c r="J2261" s="258">
        <f t="shared" si="585"/>
        <v>3.0122184693711388E-3</v>
      </c>
      <c r="K2261" s="249">
        <f t="shared" si="586"/>
        <v>3612.4114383022024</v>
      </c>
      <c r="L2261" s="336">
        <v>0.99179022809328254</v>
      </c>
      <c r="M2261" s="258">
        <f t="shared" si="587"/>
        <v>0.99179022809328254</v>
      </c>
      <c r="N2261" s="251">
        <f t="shared" si="588"/>
        <v>18.931121679181015</v>
      </c>
      <c r="O2261" s="336">
        <v>5.1975534373462778E-3</v>
      </c>
      <c r="P2261" s="258">
        <f t="shared" si="589"/>
        <v>5.1975534373462778E-3</v>
      </c>
      <c r="Q2261" s="354">
        <v>3555.5189999999998</v>
      </c>
      <c r="R2261" s="249">
        <f t="shared" si="590"/>
        <v>3642.3140054999999</v>
      </c>
      <c r="S2261" s="355">
        <v>0.1</v>
      </c>
      <c r="T2261" s="355"/>
      <c r="U2261" s="315">
        <f t="shared" si="579"/>
        <v>4006.5454060499997</v>
      </c>
      <c r="V2261" s="315">
        <f t="shared" si="580"/>
        <v>4025</v>
      </c>
      <c r="W2261" s="316">
        <f t="shared" si="581"/>
        <v>0</v>
      </c>
    </row>
    <row r="2262" spans="1:23" x14ac:dyDescent="0.25">
      <c r="A2262" s="204" t="s">
        <v>17926</v>
      </c>
      <c r="B2262" s="351" t="s">
        <v>21963</v>
      </c>
      <c r="C2262" s="352"/>
      <c r="D2262" s="353" t="s">
        <v>5</v>
      </c>
      <c r="E2262" s="249">
        <f t="shared" si="582"/>
        <v>0</v>
      </c>
      <c r="F2262" s="336">
        <v>0</v>
      </c>
      <c r="G2262" s="258">
        <f t="shared" si="583"/>
        <v>0</v>
      </c>
      <c r="H2262" s="249">
        <f t="shared" si="584"/>
        <v>6.3787294525802632E-2</v>
      </c>
      <c r="I2262" s="336">
        <v>3.0122184693711384E-3</v>
      </c>
      <c r="J2262" s="258">
        <f t="shared" si="585"/>
        <v>3.0122184693711384E-3</v>
      </c>
      <c r="K2262" s="249">
        <f t="shared" si="586"/>
        <v>21.002273449573657</v>
      </c>
      <c r="L2262" s="336">
        <v>0.99178741556436645</v>
      </c>
      <c r="M2262" s="258">
        <f t="shared" si="587"/>
        <v>0.99178741556436645</v>
      </c>
      <c r="N2262" s="251">
        <f t="shared" si="588"/>
        <v>0.11006435133863984</v>
      </c>
      <c r="O2262" s="336">
        <v>5.1975534373462778E-3</v>
      </c>
      <c r="P2262" s="258">
        <f t="shared" si="589"/>
        <v>5.1975534373462778E-3</v>
      </c>
      <c r="Q2262" s="354">
        <v>20.671622093023256</v>
      </c>
      <c r="R2262" s="249">
        <f t="shared" si="590"/>
        <v>21.176184654069772</v>
      </c>
      <c r="S2262" s="355">
        <v>0.1</v>
      </c>
      <c r="T2262" s="355"/>
      <c r="U2262" s="315">
        <f t="shared" si="579"/>
        <v>23.293803119476749</v>
      </c>
      <c r="V2262" s="315">
        <f t="shared" si="580"/>
        <v>24</v>
      </c>
      <c r="W2262" s="316">
        <f t="shared" si="581"/>
        <v>0</v>
      </c>
    </row>
    <row r="2263" spans="1:23" x14ac:dyDescent="0.25">
      <c r="A2263" s="204" t="s">
        <v>17927</v>
      </c>
      <c r="B2263" s="351" t="s">
        <v>21964</v>
      </c>
      <c r="C2263" s="352"/>
      <c r="D2263" s="353" t="s">
        <v>14859</v>
      </c>
      <c r="E2263" s="249">
        <f t="shared" si="582"/>
        <v>0</v>
      </c>
      <c r="F2263" s="336">
        <v>0</v>
      </c>
      <c r="G2263" s="258">
        <f t="shared" si="583"/>
        <v>0</v>
      </c>
      <c r="H2263" s="249">
        <f t="shared" si="584"/>
        <v>10.971497254535999</v>
      </c>
      <c r="I2263" s="336">
        <v>2.8480868754253187E-3</v>
      </c>
      <c r="J2263" s="258">
        <f t="shared" si="585"/>
        <v>2.8480868754253187E-3</v>
      </c>
      <c r="K2263" s="249">
        <f t="shared" si="586"/>
        <v>3822.3313472964605</v>
      </c>
      <c r="L2263" s="336">
        <v>0.99223756714344857</v>
      </c>
      <c r="M2263" s="258">
        <f t="shared" si="587"/>
        <v>0.99223756714344857</v>
      </c>
      <c r="N2263" s="251">
        <f t="shared" si="588"/>
        <v>18.93121094900329</v>
      </c>
      <c r="O2263" s="336">
        <v>4.9143459811260394E-3</v>
      </c>
      <c r="P2263" s="258">
        <f t="shared" si="589"/>
        <v>4.9143459811260394E-3</v>
      </c>
      <c r="Q2263" s="354">
        <v>3760.4189999999999</v>
      </c>
      <c r="R2263" s="249">
        <f t="shared" si="590"/>
        <v>3852.2340555000001</v>
      </c>
      <c r="S2263" s="355">
        <v>0.1</v>
      </c>
      <c r="T2263" s="355"/>
      <c r="U2263" s="315">
        <f t="shared" si="579"/>
        <v>4237.4574610500003</v>
      </c>
      <c r="V2263" s="315">
        <f t="shared" si="580"/>
        <v>4250</v>
      </c>
      <c r="W2263" s="316">
        <f t="shared" si="581"/>
        <v>0</v>
      </c>
    </row>
    <row r="2264" spans="1:23" x14ac:dyDescent="0.25">
      <c r="A2264" s="204" t="s">
        <v>17928</v>
      </c>
      <c r="B2264" s="351" t="s">
        <v>21965</v>
      </c>
      <c r="C2264" s="352"/>
      <c r="D2264" s="353" t="s">
        <v>5</v>
      </c>
      <c r="E2264" s="249">
        <f t="shared" si="582"/>
        <v>0</v>
      </c>
      <c r="F2264" s="336">
        <v>0</v>
      </c>
      <c r="G2264" s="258">
        <f t="shared" si="583"/>
        <v>0</v>
      </c>
      <c r="H2264" s="249">
        <f t="shared" si="584"/>
        <v>6.3787605092360228E-2</v>
      </c>
      <c r="I2264" s="336">
        <v>2.8480868754253187E-3</v>
      </c>
      <c r="J2264" s="258">
        <f t="shared" si="585"/>
        <v>2.8480868754253187E-3</v>
      </c>
      <c r="K2264" s="249">
        <f t="shared" si="586"/>
        <v>22.222738009814304</v>
      </c>
      <c r="L2264" s="336">
        <v>0.99223490786532031</v>
      </c>
      <c r="M2264" s="258">
        <f t="shared" si="587"/>
        <v>0.99223490786532031</v>
      </c>
      <c r="N2264" s="251">
        <f t="shared" si="588"/>
        <v>0.11006488721819019</v>
      </c>
      <c r="O2264" s="336">
        <v>4.9143459811260403E-3</v>
      </c>
      <c r="P2264" s="258">
        <f t="shared" si="589"/>
        <v>4.9143459811260403E-3</v>
      </c>
      <c r="Q2264" s="354">
        <v>21.862901162790696</v>
      </c>
      <c r="R2264" s="249">
        <f t="shared" si="590"/>
        <v>22.396650061046508</v>
      </c>
      <c r="S2264" s="355">
        <v>0.1</v>
      </c>
      <c r="T2264" s="355"/>
      <c r="U2264" s="315">
        <f t="shared" si="579"/>
        <v>24.636315067151159</v>
      </c>
      <c r="V2264" s="315">
        <f t="shared" si="580"/>
        <v>25</v>
      </c>
      <c r="W2264" s="316">
        <f t="shared" si="581"/>
        <v>0</v>
      </c>
    </row>
    <row r="2265" spans="1:23" x14ac:dyDescent="0.25">
      <c r="A2265" s="204" t="s">
        <v>17929</v>
      </c>
      <c r="B2265" s="351" t="s">
        <v>21966</v>
      </c>
      <c r="C2265" s="352"/>
      <c r="D2265" s="353" t="s">
        <v>14859</v>
      </c>
      <c r="E2265" s="249">
        <f t="shared" si="582"/>
        <v>0</v>
      </c>
      <c r="F2265" s="336">
        <v>0</v>
      </c>
      <c r="G2265" s="258">
        <f t="shared" si="583"/>
        <v>0</v>
      </c>
      <c r="H2265" s="249">
        <f t="shared" si="584"/>
        <v>10.971507817204923</v>
      </c>
      <c r="I2265" s="336">
        <v>2.8145769330834994E-3</v>
      </c>
      <c r="J2265" s="258">
        <f t="shared" si="585"/>
        <v>2.8145769330834994E-3</v>
      </c>
      <c r="K2265" s="249">
        <f t="shared" si="586"/>
        <v>3868.1992080080099</v>
      </c>
      <c r="L2265" s="336">
        <v>0.99232889816277237</v>
      </c>
      <c r="M2265" s="258">
        <f t="shared" si="587"/>
        <v>0.99232889816277237</v>
      </c>
      <c r="N2265" s="251">
        <f t="shared" si="588"/>
        <v>18.931229174784963</v>
      </c>
      <c r="O2265" s="336">
        <v>4.8565249041440765E-3</v>
      </c>
      <c r="P2265" s="258">
        <f t="shared" si="589"/>
        <v>4.8565249041440765E-3</v>
      </c>
      <c r="Q2265" s="354">
        <v>3805.19</v>
      </c>
      <c r="R2265" s="249">
        <f t="shared" si="590"/>
        <v>3898.1019449999999</v>
      </c>
      <c r="S2265" s="355">
        <v>0.1</v>
      </c>
      <c r="T2265" s="355"/>
      <c r="U2265" s="315">
        <f t="shared" si="579"/>
        <v>4287.9121395000002</v>
      </c>
      <c r="V2265" s="315">
        <f t="shared" si="580"/>
        <v>4300</v>
      </c>
      <c r="W2265" s="316">
        <f t="shared" si="581"/>
        <v>0</v>
      </c>
    </row>
    <row r="2266" spans="1:23" x14ac:dyDescent="0.25">
      <c r="A2266" s="204" t="s">
        <v>17930</v>
      </c>
      <c r="B2266" s="351" t="s">
        <v>21967</v>
      </c>
      <c r="C2266" s="352"/>
      <c r="D2266" s="353" t="s">
        <v>5</v>
      </c>
      <c r="E2266" s="249">
        <f t="shared" si="582"/>
        <v>0</v>
      </c>
      <c r="F2266" s="336">
        <v>0</v>
      </c>
      <c r="G2266" s="258">
        <f t="shared" si="583"/>
        <v>0</v>
      </c>
      <c r="H2266" s="249">
        <f t="shared" si="584"/>
        <v>6.378766849921072E-2</v>
      </c>
      <c r="I2266" s="336">
        <v>2.8145769330834994E-3</v>
      </c>
      <c r="J2266" s="258">
        <f t="shared" si="585"/>
        <v>2.8145769330834994E-3</v>
      </c>
      <c r="K2266" s="249">
        <f t="shared" si="586"/>
        <v>22.489411613103144</v>
      </c>
      <c r="L2266" s="336">
        <v>0.99232627017310571</v>
      </c>
      <c r="M2266" s="258">
        <f t="shared" si="587"/>
        <v>0.99232627017310571</v>
      </c>
      <c r="N2266" s="251">
        <f t="shared" si="588"/>
        <v>0.11006499662608907</v>
      </c>
      <c r="O2266" s="336">
        <v>4.8565249041440765E-3</v>
      </c>
      <c r="P2266" s="258">
        <f t="shared" si="589"/>
        <v>4.8565249041440765E-3</v>
      </c>
      <c r="Q2266" s="354">
        <v>22.123197674418606</v>
      </c>
      <c r="R2266" s="249">
        <f t="shared" si="590"/>
        <v>22.663323837209301</v>
      </c>
      <c r="S2266" s="355">
        <v>0.1</v>
      </c>
      <c r="T2266" s="355"/>
      <c r="U2266" s="315">
        <f t="shared" si="579"/>
        <v>24.92965622093023</v>
      </c>
      <c r="V2266" s="315">
        <f t="shared" si="580"/>
        <v>25</v>
      </c>
      <c r="W2266" s="316">
        <f t="shared" si="581"/>
        <v>0</v>
      </c>
    </row>
    <row r="2267" spans="1:23" x14ac:dyDescent="0.25">
      <c r="A2267" s="204" t="s">
        <v>17931</v>
      </c>
      <c r="B2267" s="351" t="s">
        <v>21968</v>
      </c>
      <c r="C2267" s="352"/>
      <c r="D2267" s="353" t="s">
        <v>14859</v>
      </c>
      <c r="E2267" s="249">
        <f t="shared" si="582"/>
        <v>0</v>
      </c>
      <c r="F2267" s="336">
        <v>0</v>
      </c>
      <c r="G2267" s="258">
        <f t="shared" si="583"/>
        <v>0</v>
      </c>
      <c r="H2267" s="249">
        <f t="shared" si="584"/>
        <v>10.971568209345314</v>
      </c>
      <c r="I2267" s="336">
        <v>2.6229835813718206E-3</v>
      </c>
      <c r="J2267" s="258">
        <f t="shared" si="585"/>
        <v>2.6229835813718206E-3</v>
      </c>
      <c r="K2267" s="249">
        <f t="shared" si="586"/>
        <v>4152.9552326598223</v>
      </c>
      <c r="L2267" s="336">
        <v>0.99285108396449639</v>
      </c>
      <c r="M2267" s="258">
        <f t="shared" si="587"/>
        <v>0.99285108396449639</v>
      </c>
      <c r="N2267" s="251">
        <f t="shared" si="588"/>
        <v>18.931333380831131</v>
      </c>
      <c r="O2267" s="336">
        <v>4.5259324541317685E-3</v>
      </c>
      <c r="P2267" s="258">
        <f t="shared" si="589"/>
        <v>4.5259324541317685E-3</v>
      </c>
      <c r="Q2267" s="354">
        <v>4083.1365000000001</v>
      </c>
      <c r="R2267" s="249">
        <f t="shared" si="590"/>
        <v>4182.8581342499992</v>
      </c>
      <c r="S2267" s="355">
        <v>0.1</v>
      </c>
      <c r="T2267" s="355"/>
      <c r="U2267" s="315">
        <f t="shared" si="579"/>
        <v>4601.1439476749993</v>
      </c>
      <c r="V2267" s="315">
        <f t="shared" si="580"/>
        <v>4625</v>
      </c>
      <c r="W2267" s="316">
        <f t="shared" si="581"/>
        <v>0</v>
      </c>
    </row>
    <row r="2268" spans="1:23" x14ac:dyDescent="0.25">
      <c r="A2268" s="204" t="s">
        <v>17932</v>
      </c>
      <c r="B2268" s="351" t="s">
        <v>21969</v>
      </c>
      <c r="C2268" s="352"/>
      <c r="D2268" s="353" t="s">
        <v>5</v>
      </c>
      <c r="E2268" s="249">
        <f t="shared" si="582"/>
        <v>0</v>
      </c>
      <c r="F2268" s="336">
        <v>0</v>
      </c>
      <c r="G2268" s="258">
        <f t="shared" si="583"/>
        <v>0</v>
      </c>
      <c r="H2268" s="249">
        <f t="shared" si="584"/>
        <v>6.3788031028363515E-2</v>
      </c>
      <c r="I2268" s="336">
        <v>2.6229835813718206E-3</v>
      </c>
      <c r="J2268" s="258">
        <f t="shared" si="585"/>
        <v>2.6229835813718206E-3</v>
      </c>
      <c r="K2268" s="249">
        <f t="shared" si="586"/>
        <v>24.144969864520576</v>
      </c>
      <c r="L2268" s="336">
        <v>0.99284863486684805</v>
      </c>
      <c r="M2268" s="258">
        <f t="shared" si="587"/>
        <v>0.99284863486684805</v>
      </c>
      <c r="N2268" s="251">
        <f t="shared" si="588"/>
        <v>0.11006562216658802</v>
      </c>
      <c r="O2268" s="336">
        <v>4.5259324541317685E-3</v>
      </c>
      <c r="P2268" s="258">
        <f t="shared" si="589"/>
        <v>4.5259324541317685E-3</v>
      </c>
      <c r="Q2268" s="354">
        <v>23.739165697674419</v>
      </c>
      <c r="R2268" s="249">
        <f t="shared" si="590"/>
        <v>24.318883077034883</v>
      </c>
      <c r="S2268" s="355">
        <v>0.1</v>
      </c>
      <c r="T2268" s="355"/>
      <c r="U2268" s="315">
        <f t="shared" si="579"/>
        <v>26.750771384738371</v>
      </c>
      <c r="V2268" s="315">
        <f t="shared" si="580"/>
        <v>27</v>
      </c>
      <c r="W2268" s="316">
        <f t="shared" si="581"/>
        <v>0</v>
      </c>
    </row>
    <row r="2269" spans="1:23" x14ac:dyDescent="0.25">
      <c r="A2269" s="204" t="s">
        <v>17933</v>
      </c>
      <c r="B2269" s="351" t="s">
        <v>21970</v>
      </c>
      <c r="C2269" s="352"/>
      <c r="D2269" s="353" t="s">
        <v>14859</v>
      </c>
      <c r="E2269" s="249">
        <f t="shared" si="582"/>
        <v>0</v>
      </c>
      <c r="F2269" s="336">
        <v>0</v>
      </c>
      <c r="G2269" s="258">
        <f t="shared" si="583"/>
        <v>0</v>
      </c>
      <c r="H2269" s="249">
        <f t="shared" si="584"/>
        <v>10.971568831227469</v>
      </c>
      <c r="I2269" s="336">
        <v>2.6210106675868348E-3</v>
      </c>
      <c r="J2269" s="258">
        <f t="shared" si="585"/>
        <v>2.6210106675868348E-3</v>
      </c>
      <c r="K2269" s="249">
        <f t="shared" si="586"/>
        <v>4156.1040317148891</v>
      </c>
      <c r="L2269" s="336">
        <v>0.99285646112167514</v>
      </c>
      <c r="M2269" s="258">
        <f t="shared" si="587"/>
        <v>0.99285646112167514</v>
      </c>
      <c r="N2269" s="251">
        <f t="shared" si="588"/>
        <v>18.931334453882691</v>
      </c>
      <c r="O2269" s="336">
        <v>4.5225282107380681E-3</v>
      </c>
      <c r="P2269" s="258">
        <f t="shared" si="589"/>
        <v>4.5225282107380681E-3</v>
      </c>
      <c r="Q2269" s="354">
        <v>4086.21</v>
      </c>
      <c r="R2269" s="249">
        <f t="shared" si="590"/>
        <v>4186.0069349999994</v>
      </c>
      <c r="S2269" s="355">
        <v>0.1</v>
      </c>
      <c r="T2269" s="355"/>
      <c r="U2269" s="315">
        <f t="shared" si="579"/>
        <v>4604.607628499999</v>
      </c>
      <c r="V2269" s="315">
        <f t="shared" si="580"/>
        <v>4625</v>
      </c>
      <c r="W2269" s="316">
        <f t="shared" si="581"/>
        <v>0</v>
      </c>
    </row>
    <row r="2270" spans="1:23" x14ac:dyDescent="0.25">
      <c r="A2270" s="204" t="s">
        <v>17934</v>
      </c>
      <c r="B2270" s="351" t="s">
        <v>21971</v>
      </c>
      <c r="C2270" s="352"/>
      <c r="D2270" s="353" t="s">
        <v>5</v>
      </c>
      <c r="E2270" s="249">
        <f t="shared" si="582"/>
        <v>0</v>
      </c>
      <c r="F2270" s="336">
        <v>0</v>
      </c>
      <c r="G2270" s="258">
        <f t="shared" si="583"/>
        <v>0</v>
      </c>
      <c r="H2270" s="249">
        <f t="shared" si="584"/>
        <v>6.378803476147199E-2</v>
      </c>
      <c r="I2270" s="336">
        <v>2.6210106675868352E-3</v>
      </c>
      <c r="J2270" s="258">
        <f t="shared" si="585"/>
        <v>2.6210106675868352E-3</v>
      </c>
      <c r="K2270" s="249">
        <f t="shared" si="586"/>
        <v>24.163276835447192</v>
      </c>
      <c r="L2270" s="336">
        <v>0.9928540138661498</v>
      </c>
      <c r="M2270" s="258">
        <f t="shared" si="587"/>
        <v>0.9928540138661498</v>
      </c>
      <c r="N2270" s="251">
        <f t="shared" si="588"/>
        <v>0.11006562860803008</v>
      </c>
      <c r="O2270" s="336">
        <v>4.5225282107380681E-3</v>
      </c>
      <c r="P2270" s="258">
        <f t="shared" si="589"/>
        <v>4.5225282107380681E-3</v>
      </c>
      <c r="Q2270" s="354">
        <v>23.75703488372093</v>
      </c>
      <c r="R2270" s="249">
        <f t="shared" si="590"/>
        <v>24.337190058139534</v>
      </c>
      <c r="S2270" s="355">
        <v>0.1</v>
      </c>
      <c r="T2270" s="355"/>
      <c r="U2270" s="315">
        <f t="shared" si="579"/>
        <v>26.770909063953489</v>
      </c>
      <c r="V2270" s="315">
        <f t="shared" si="580"/>
        <v>27</v>
      </c>
      <c r="W2270" s="316">
        <f t="shared" si="581"/>
        <v>0</v>
      </c>
    </row>
    <row r="2271" spans="1:23" x14ac:dyDescent="0.25">
      <c r="A2271" s="204" t="s">
        <v>17935</v>
      </c>
      <c r="B2271" s="351" t="s">
        <v>21972</v>
      </c>
      <c r="C2271" s="352"/>
      <c r="D2271" s="353" t="s">
        <v>14859</v>
      </c>
      <c r="E2271" s="249">
        <f t="shared" si="582"/>
        <v>0</v>
      </c>
      <c r="F2271" s="336">
        <v>0</v>
      </c>
      <c r="G2271" s="258">
        <f t="shared" si="583"/>
        <v>0</v>
      </c>
      <c r="H2271" s="249">
        <f t="shared" si="584"/>
        <v>10.971586665888479</v>
      </c>
      <c r="I2271" s="336">
        <v>2.5644304162997216E-3</v>
      </c>
      <c r="J2271" s="258">
        <f t="shared" si="585"/>
        <v>2.5644304162997216E-3</v>
      </c>
      <c r="K2271" s="249">
        <f t="shared" si="586"/>
        <v>4248.4688051066951</v>
      </c>
      <c r="L2271" s="336">
        <v>0.99301067004184984</v>
      </c>
      <c r="M2271" s="258">
        <f t="shared" si="587"/>
        <v>0.99301067004184984</v>
      </c>
      <c r="N2271" s="251">
        <f t="shared" si="588"/>
        <v>18.931365227415412</v>
      </c>
      <c r="O2271" s="336">
        <v>4.4248995418504997E-3</v>
      </c>
      <c r="P2271" s="258">
        <f t="shared" si="589"/>
        <v>4.4248995418504997E-3</v>
      </c>
      <c r="Q2271" s="354">
        <v>4176.3659999999991</v>
      </c>
      <c r="R2271" s="249">
        <f t="shared" si="590"/>
        <v>4278.371756999999</v>
      </c>
      <c r="S2271" s="355">
        <v>0.1</v>
      </c>
      <c r="T2271" s="355"/>
      <c r="U2271" s="315">
        <f t="shared" si="579"/>
        <v>4706.2089326999985</v>
      </c>
      <c r="V2271" s="315">
        <f t="shared" si="580"/>
        <v>4725</v>
      </c>
      <c r="W2271" s="316">
        <f t="shared" si="581"/>
        <v>0</v>
      </c>
    </row>
    <row r="2272" spans="1:23" x14ac:dyDescent="0.25">
      <c r="A2272" s="204" t="s">
        <v>17936</v>
      </c>
      <c r="B2272" s="351" t="s">
        <v>21973</v>
      </c>
      <c r="C2272" s="352"/>
      <c r="D2272" s="353" t="s">
        <v>5</v>
      </c>
      <c r="E2272" s="249">
        <f t="shared" si="582"/>
        <v>0</v>
      </c>
      <c r="F2272" s="336">
        <v>0</v>
      </c>
      <c r="G2272" s="258">
        <f t="shared" si="583"/>
        <v>0</v>
      </c>
      <c r="H2272" s="249">
        <f t="shared" si="584"/>
        <v>6.3788141821505023E-2</v>
      </c>
      <c r="I2272" s="336">
        <v>2.5644304162997216E-3</v>
      </c>
      <c r="J2272" s="258">
        <f t="shared" si="585"/>
        <v>2.5644304162997216E-3</v>
      </c>
      <c r="K2272" s="249">
        <f t="shared" si="586"/>
        <v>24.700281322625926</v>
      </c>
      <c r="L2272" s="336">
        <v>0.99300827561569083</v>
      </c>
      <c r="M2272" s="258">
        <f t="shared" si="587"/>
        <v>0.99300827561569083</v>
      </c>
      <c r="N2272" s="251">
        <f t="shared" si="588"/>
        <v>0.11006581333906749</v>
      </c>
      <c r="O2272" s="336">
        <v>4.4248995418504997E-3</v>
      </c>
      <c r="P2272" s="258">
        <f t="shared" si="589"/>
        <v>4.4248995418504997E-3</v>
      </c>
      <c r="Q2272" s="354">
        <v>24.2811976744186</v>
      </c>
      <c r="R2272" s="249">
        <f t="shared" si="590"/>
        <v>24.874194837209298</v>
      </c>
      <c r="S2272" s="355">
        <v>0.1</v>
      </c>
      <c r="T2272" s="355"/>
      <c r="U2272" s="315">
        <f t="shared" si="579"/>
        <v>27.361614320930229</v>
      </c>
      <c r="V2272" s="315">
        <f t="shared" si="580"/>
        <v>28</v>
      </c>
      <c r="W2272" s="316">
        <f t="shared" si="581"/>
        <v>0</v>
      </c>
    </row>
    <row r="2273" spans="1:23" x14ac:dyDescent="0.25">
      <c r="A2273" s="204" t="s">
        <v>17937</v>
      </c>
      <c r="B2273" s="351" t="s">
        <v>21974</v>
      </c>
      <c r="C2273" s="352"/>
      <c r="D2273" s="353" t="s">
        <v>14859</v>
      </c>
      <c r="E2273" s="249">
        <f t="shared" si="582"/>
        <v>0</v>
      </c>
      <c r="F2273" s="336">
        <v>0</v>
      </c>
      <c r="G2273" s="258">
        <f t="shared" si="583"/>
        <v>0</v>
      </c>
      <c r="H2273" s="249">
        <f t="shared" si="584"/>
        <v>10.971687349791724</v>
      </c>
      <c r="I2273" s="336">
        <v>2.2450119230885334E-3</v>
      </c>
      <c r="J2273" s="258">
        <f t="shared" si="585"/>
        <v>2.2450119230885334E-3</v>
      </c>
      <c r="K2273" s="249">
        <f t="shared" si="586"/>
        <v>4857.2366756937045</v>
      </c>
      <c r="L2273" s="336">
        <v>0.99388124201354311</v>
      </c>
      <c r="M2273" s="258">
        <f t="shared" si="587"/>
        <v>0.99388124201354311</v>
      </c>
      <c r="N2273" s="251">
        <f t="shared" si="588"/>
        <v>18.931538956503367</v>
      </c>
      <c r="O2273" s="336">
        <v>3.8737460633684493E-3</v>
      </c>
      <c r="P2273" s="258">
        <f t="shared" si="589"/>
        <v>3.8737460633684493E-3</v>
      </c>
      <c r="Q2273" s="354">
        <v>4770.5759999999991</v>
      </c>
      <c r="R2273" s="249">
        <f t="shared" si="590"/>
        <v>4887.139901999999</v>
      </c>
      <c r="S2273" s="355">
        <v>0.1</v>
      </c>
      <c r="T2273" s="355"/>
      <c r="U2273" s="315">
        <f t="shared" si="579"/>
        <v>5375.8538921999989</v>
      </c>
      <c r="V2273" s="315">
        <f t="shared" si="580"/>
        <v>5400</v>
      </c>
      <c r="W2273" s="316">
        <f t="shared" si="581"/>
        <v>0</v>
      </c>
    </row>
    <row r="2274" spans="1:23" x14ac:dyDescent="0.25">
      <c r="A2274" s="204" t="s">
        <v>17938</v>
      </c>
      <c r="B2274" s="351" t="s">
        <v>21975</v>
      </c>
      <c r="C2274" s="352"/>
      <c r="D2274" s="353" t="s">
        <v>5</v>
      </c>
      <c r="E2274" s="249">
        <f t="shared" si="582"/>
        <v>0</v>
      </c>
      <c r="F2274" s="336">
        <v>0</v>
      </c>
      <c r="G2274" s="258">
        <f t="shared" si="583"/>
        <v>0</v>
      </c>
      <c r="H2274" s="249">
        <f t="shared" si="584"/>
        <v>6.3788746218863795E-2</v>
      </c>
      <c r="I2274" s="336">
        <v>2.2450119230885334E-3</v>
      </c>
      <c r="J2274" s="258">
        <f t="shared" si="585"/>
        <v>2.2450119230885334E-3</v>
      </c>
      <c r="K2274" s="249">
        <f t="shared" si="586"/>
        <v>28.239629355015076</v>
      </c>
      <c r="L2274" s="336">
        <v>0.99387914583060832</v>
      </c>
      <c r="M2274" s="258">
        <f t="shared" si="587"/>
        <v>0.99387914583060832</v>
      </c>
      <c r="N2274" s="251">
        <f t="shared" si="588"/>
        <v>0.11006685622078456</v>
      </c>
      <c r="O2274" s="336">
        <v>3.8737460633684489E-3</v>
      </c>
      <c r="P2274" s="258">
        <f t="shared" si="589"/>
        <v>3.8737460633684489E-3</v>
      </c>
      <c r="Q2274" s="354">
        <v>27.735906976744182</v>
      </c>
      <c r="R2274" s="249">
        <f t="shared" si="590"/>
        <v>28.413544517441856</v>
      </c>
      <c r="S2274" s="355">
        <v>0.1</v>
      </c>
      <c r="T2274" s="355"/>
      <c r="U2274" s="315">
        <f t="shared" si="579"/>
        <v>31.254898969186044</v>
      </c>
      <c r="V2274" s="315">
        <f t="shared" si="580"/>
        <v>32</v>
      </c>
      <c r="W2274" s="316">
        <f t="shared" si="581"/>
        <v>0</v>
      </c>
    </row>
    <row r="2275" spans="1:23" x14ac:dyDescent="0.25">
      <c r="A2275" s="204" t="s">
        <v>17939</v>
      </c>
      <c r="B2275" s="351" t="s">
        <v>21976</v>
      </c>
      <c r="C2275" s="352"/>
      <c r="D2275" s="353" t="s">
        <v>14859</v>
      </c>
      <c r="E2275" s="249">
        <f t="shared" si="582"/>
        <v>0</v>
      </c>
      <c r="F2275" s="336">
        <v>0</v>
      </c>
      <c r="G2275" s="258">
        <f t="shared" si="583"/>
        <v>0</v>
      </c>
      <c r="H2275" s="249">
        <f t="shared" si="584"/>
        <v>10.971694718810861</v>
      </c>
      <c r="I2275" s="336">
        <v>2.2216337969619632E-3</v>
      </c>
      <c r="J2275" s="258">
        <f t="shared" si="585"/>
        <v>2.2216337969619632E-3</v>
      </c>
      <c r="K2275" s="249">
        <f t="shared" si="586"/>
        <v>4908.6670678595146</v>
      </c>
      <c r="L2275" s="336">
        <v>0.99394495886710377</v>
      </c>
      <c r="M2275" s="258">
        <f t="shared" si="587"/>
        <v>0.99394495886710377</v>
      </c>
      <c r="N2275" s="251">
        <f t="shared" si="588"/>
        <v>18.931551671673642</v>
      </c>
      <c r="O2275" s="336">
        <v>3.8334073359343676E-3</v>
      </c>
      <c r="P2275" s="258">
        <f t="shared" si="589"/>
        <v>3.8334073359343676E-3</v>
      </c>
      <c r="Q2275" s="354">
        <v>4820.776499999999</v>
      </c>
      <c r="R2275" s="249">
        <f t="shared" si="590"/>
        <v>4938.5703142499988</v>
      </c>
      <c r="S2275" s="355">
        <v>0.1</v>
      </c>
      <c r="T2275" s="355"/>
      <c r="U2275" s="315">
        <f t="shared" si="579"/>
        <v>5432.4273456749988</v>
      </c>
      <c r="V2275" s="315">
        <f t="shared" si="580"/>
        <v>5450</v>
      </c>
      <c r="W2275" s="316">
        <f t="shared" si="581"/>
        <v>0</v>
      </c>
    </row>
    <row r="2276" spans="1:23" ht="14.4" thickBot="1" x14ac:dyDescent="0.3">
      <c r="A2276" s="356" t="s">
        <v>17940</v>
      </c>
      <c r="B2276" s="357" t="s">
        <v>21977</v>
      </c>
      <c r="C2276" s="358"/>
      <c r="D2276" s="359" t="s">
        <v>5</v>
      </c>
      <c r="E2276" s="266">
        <f t="shared" si="582"/>
        <v>0</v>
      </c>
      <c r="F2276" s="360">
        <v>0</v>
      </c>
      <c r="G2276" s="322">
        <f t="shared" si="583"/>
        <v>0</v>
      </c>
      <c r="H2276" s="266">
        <f t="shared" si="584"/>
        <v>6.3788790454491928E-2</v>
      </c>
      <c r="I2276" s="360">
        <v>2.2216337969619632E-3</v>
      </c>
      <c r="J2276" s="322">
        <f t="shared" si="585"/>
        <v>2.2216337969619632E-3</v>
      </c>
      <c r="K2276" s="266">
        <f t="shared" si="586"/>
        <v>28.538643259119304</v>
      </c>
      <c r="L2276" s="360">
        <v>0.99394288451248469</v>
      </c>
      <c r="M2276" s="322">
        <f t="shared" si="587"/>
        <v>0.99394288451248469</v>
      </c>
      <c r="N2276" s="270">
        <f t="shared" si="588"/>
        <v>0.11006693254892723</v>
      </c>
      <c r="O2276" s="360">
        <v>3.8334073359343672E-3</v>
      </c>
      <c r="P2276" s="322">
        <f t="shared" si="589"/>
        <v>3.8334073359343672E-3</v>
      </c>
      <c r="Q2276" s="361">
        <v>28.027770348837205</v>
      </c>
      <c r="R2276" s="266">
        <f t="shared" si="590"/>
        <v>28.712558542151157</v>
      </c>
      <c r="S2276" s="362">
        <v>0.1</v>
      </c>
      <c r="T2276" s="362"/>
      <c r="U2276" s="324">
        <f t="shared" si="579"/>
        <v>31.583814396366272</v>
      </c>
      <c r="V2276" s="324">
        <f t="shared" si="580"/>
        <v>32</v>
      </c>
      <c r="W2276" s="325">
        <f t="shared" si="581"/>
        <v>0</v>
      </c>
    </row>
    <row r="2277" spans="1:23" x14ac:dyDescent="0.25">
      <c r="A2277" s="204" t="s">
        <v>17941</v>
      </c>
      <c r="B2277" s="351" t="s">
        <v>21978</v>
      </c>
      <c r="C2277" s="352"/>
      <c r="D2277" s="353" t="s">
        <v>14859</v>
      </c>
      <c r="E2277" s="249">
        <f t="shared" si="582"/>
        <v>0</v>
      </c>
      <c r="F2277" s="336">
        <v>0</v>
      </c>
      <c r="G2277" s="258">
        <f t="shared" si="583"/>
        <v>0</v>
      </c>
      <c r="H2277" s="249">
        <f t="shared" si="584"/>
        <v>10.971720381732247</v>
      </c>
      <c r="I2277" s="336">
        <v>2.140218482135471E-3</v>
      </c>
      <c r="J2277" s="258">
        <f t="shared" si="585"/>
        <v>2.140218482135471E-3</v>
      </c>
      <c r="K2277" s="249">
        <f t="shared" si="586"/>
        <v>5096.5454426654742</v>
      </c>
      <c r="L2277" s="336">
        <v>0.99416685550947403</v>
      </c>
      <c r="M2277" s="258">
        <f t="shared" si="587"/>
        <v>0.99416685550947403</v>
      </c>
      <c r="N2277" s="251">
        <f t="shared" si="588"/>
        <v>18.931595952792893</v>
      </c>
      <c r="O2277" s="336">
        <v>3.6929260083906163E-3</v>
      </c>
      <c r="P2277" s="258">
        <f t="shared" si="589"/>
        <v>3.6929260083906163E-3</v>
      </c>
      <c r="Q2277" s="354">
        <v>5004.1619999999994</v>
      </c>
      <c r="R2277" s="249">
        <f t="shared" si="590"/>
        <v>5126.448758999999</v>
      </c>
      <c r="S2277" s="355">
        <v>0.1</v>
      </c>
      <c r="T2277" s="355"/>
      <c r="U2277" s="315">
        <f t="shared" ref="U2277:U2340" si="591">(R2277*S2277)+R2277</f>
        <v>5639.0936348999985</v>
      </c>
      <c r="V2277" s="315">
        <f t="shared" ref="V2277:V2340" si="592">IF(U2277=0, 0, IF(U2277&lt;10, _xlfn.CEILING.MATH(U2277,1), IF(U2277&lt;100, _xlfn.CEILING.MATH(U2277,1),IF(U2277&lt;1000, _xlfn.CEILING.MATH(U2277,5), IF(U2277&lt;10000, _xlfn.CEILING.MATH(U2277, 25), IF(U2277&lt;100000, _xlfn.CEILING.MATH(U2277,250), IF(U2277&lt;1000000, _xlfn.CEILING.MATH(U2277,500), 0)))))))</f>
        <v>5650</v>
      </c>
      <c r="W2277" s="316">
        <f t="shared" si="581"/>
        <v>0</v>
      </c>
    </row>
    <row r="2278" spans="1:23" x14ac:dyDescent="0.25">
      <c r="A2278" s="204" t="s">
        <v>17942</v>
      </c>
      <c r="B2278" s="351" t="s">
        <v>21979</v>
      </c>
      <c r="C2278" s="352"/>
      <c r="D2278" s="353" t="s">
        <v>5</v>
      </c>
      <c r="E2278" s="249">
        <f t="shared" si="582"/>
        <v>0</v>
      </c>
      <c r="F2278" s="336">
        <v>0</v>
      </c>
      <c r="G2278" s="258">
        <f t="shared" si="583"/>
        <v>0</v>
      </c>
      <c r="H2278" s="249">
        <f t="shared" si="584"/>
        <v>6.3788944506941267E-2</v>
      </c>
      <c r="I2278" s="336">
        <v>2.140218482135471E-3</v>
      </c>
      <c r="J2278" s="258">
        <f t="shared" si="585"/>
        <v>2.140218482135471E-3</v>
      </c>
      <c r="K2278" s="249">
        <f t="shared" si="586"/>
        <v>29.630959378351211</v>
      </c>
      <c r="L2278" s="336">
        <v>0.99416485717288927</v>
      </c>
      <c r="M2278" s="258">
        <f t="shared" si="587"/>
        <v>0.99416485717288927</v>
      </c>
      <c r="N2278" s="251">
        <f t="shared" si="588"/>
        <v>0.11006719836491825</v>
      </c>
      <c r="O2278" s="336">
        <v>3.6929260083906163E-3</v>
      </c>
      <c r="P2278" s="258">
        <f t="shared" si="589"/>
        <v>3.6929260083906163E-3</v>
      </c>
      <c r="Q2278" s="354">
        <v>29.093965116279065</v>
      </c>
      <c r="R2278" s="249">
        <f t="shared" si="590"/>
        <v>29.804875081395345</v>
      </c>
      <c r="S2278" s="355">
        <v>0.1</v>
      </c>
      <c r="T2278" s="355"/>
      <c r="U2278" s="315">
        <f t="shared" si="591"/>
        <v>32.785362589534877</v>
      </c>
      <c r="V2278" s="315">
        <f t="shared" si="592"/>
        <v>33</v>
      </c>
      <c r="W2278" s="316">
        <f t="shared" si="581"/>
        <v>0</v>
      </c>
    </row>
    <row r="2279" spans="1:23" x14ac:dyDescent="0.25">
      <c r="A2279" s="204" t="s">
        <v>17943</v>
      </c>
      <c r="B2279" s="351" t="s">
        <v>21980</v>
      </c>
      <c r="C2279" s="352"/>
      <c r="D2279" s="353" t="s">
        <v>14859</v>
      </c>
      <c r="E2279" s="249">
        <f t="shared" si="582"/>
        <v>0</v>
      </c>
      <c r="F2279" s="336">
        <v>0</v>
      </c>
      <c r="G2279" s="258">
        <f t="shared" si="583"/>
        <v>0</v>
      </c>
      <c r="H2279" s="249">
        <f t="shared" si="584"/>
        <v>10.971774147904686</v>
      </c>
      <c r="I2279" s="336">
        <v>1.9696459354535444E-3</v>
      </c>
      <c r="J2279" s="258">
        <f t="shared" si="585"/>
        <v>1.9696459354535444E-3</v>
      </c>
      <c r="K2279" s="249">
        <f t="shared" si="586"/>
        <v>5540.5262018762987</v>
      </c>
      <c r="L2279" s="336">
        <v>0.99463174931317566</v>
      </c>
      <c r="M2279" s="258">
        <f t="shared" si="587"/>
        <v>0.99463174931317566</v>
      </c>
      <c r="N2279" s="251">
        <f t="shared" si="588"/>
        <v>18.93168872579632</v>
      </c>
      <c r="O2279" s="336">
        <v>3.3986047513708214E-3</v>
      </c>
      <c r="P2279" s="258">
        <f t="shared" si="589"/>
        <v>3.3986047513708214E-3</v>
      </c>
      <c r="Q2279" s="354">
        <v>5437.5254999999997</v>
      </c>
      <c r="R2279" s="249">
        <f t="shared" si="590"/>
        <v>5570.4296647499996</v>
      </c>
      <c r="S2279" s="355">
        <v>0.1</v>
      </c>
      <c r="T2279" s="355"/>
      <c r="U2279" s="315">
        <f t="shared" si="591"/>
        <v>6127.4726312249995</v>
      </c>
      <c r="V2279" s="315">
        <f t="shared" si="592"/>
        <v>6150</v>
      </c>
      <c r="W2279" s="316">
        <f t="shared" si="581"/>
        <v>0</v>
      </c>
    </row>
    <row r="2280" spans="1:23" x14ac:dyDescent="0.25">
      <c r="A2280" s="204" t="s">
        <v>17944</v>
      </c>
      <c r="B2280" s="351" t="s">
        <v>21981</v>
      </c>
      <c r="C2280" s="352"/>
      <c r="D2280" s="353" t="s">
        <v>5</v>
      </c>
      <c r="E2280" s="249">
        <f t="shared" si="582"/>
        <v>0</v>
      </c>
      <c r="F2280" s="336">
        <v>0</v>
      </c>
      <c r="G2280" s="258">
        <f t="shared" si="583"/>
        <v>0</v>
      </c>
      <c r="H2280" s="249">
        <f t="shared" si="584"/>
        <v>6.378926726094232E-2</v>
      </c>
      <c r="I2280" s="336">
        <v>1.9696459354535444E-3</v>
      </c>
      <c r="J2280" s="258">
        <f t="shared" si="585"/>
        <v>1.9696459354535444E-3</v>
      </c>
      <c r="K2280" s="249">
        <f t="shared" si="586"/>
        <v>32.212242834142806</v>
      </c>
      <c r="L2280" s="336">
        <v>0.99462991024134051</v>
      </c>
      <c r="M2280" s="258">
        <f t="shared" si="587"/>
        <v>0.99462991024134051</v>
      </c>
      <c r="N2280" s="251">
        <f t="shared" si="588"/>
        <v>0.11006775527378281</v>
      </c>
      <c r="O2280" s="336">
        <v>3.398604751370821E-3</v>
      </c>
      <c r="P2280" s="258">
        <f t="shared" si="589"/>
        <v>3.398604751370821E-3</v>
      </c>
      <c r="Q2280" s="354">
        <v>31.613520348837209</v>
      </c>
      <c r="R2280" s="249">
        <f t="shared" si="590"/>
        <v>32.386159417151163</v>
      </c>
      <c r="S2280" s="355">
        <v>0.1</v>
      </c>
      <c r="T2280" s="355"/>
      <c r="U2280" s="315">
        <f t="shared" si="591"/>
        <v>35.62477535886628</v>
      </c>
      <c r="V2280" s="315">
        <f t="shared" si="592"/>
        <v>36</v>
      </c>
      <c r="W2280" s="316">
        <f t="shared" si="581"/>
        <v>0</v>
      </c>
    </row>
    <row r="2281" spans="1:23" x14ac:dyDescent="0.25">
      <c r="A2281" s="204" t="s">
        <v>17945</v>
      </c>
      <c r="B2281" s="351" t="s">
        <v>21982</v>
      </c>
      <c r="C2281" s="352"/>
      <c r="D2281" s="353" t="s">
        <v>14859</v>
      </c>
      <c r="E2281" s="249">
        <f t="shared" si="582"/>
        <v>0</v>
      </c>
      <c r="F2281" s="336">
        <v>0</v>
      </c>
      <c r="G2281" s="258">
        <f t="shared" si="583"/>
        <v>0</v>
      </c>
      <c r="H2281" s="249">
        <f t="shared" si="584"/>
        <v>10.971789325452869</v>
      </c>
      <c r="I2281" s="336">
        <v>1.9214953431995214E-3</v>
      </c>
      <c r="J2281" s="258">
        <f t="shared" si="585"/>
        <v>1.9214953431995214E-3</v>
      </c>
      <c r="K2281" s="249">
        <f t="shared" si="586"/>
        <v>5680.1229937600401</v>
      </c>
      <c r="L2281" s="336">
        <v>0.99476298328029944</v>
      </c>
      <c r="M2281" s="258">
        <f t="shared" si="587"/>
        <v>0.99476298328029944</v>
      </c>
      <c r="N2281" s="251">
        <f t="shared" si="588"/>
        <v>18.931714914506912</v>
      </c>
      <c r="O2281" s="336">
        <v>3.315521376501135E-3</v>
      </c>
      <c r="P2281" s="258">
        <f t="shared" si="589"/>
        <v>3.315521376501135E-3</v>
      </c>
      <c r="Q2281" s="354">
        <v>5573.7839999999997</v>
      </c>
      <c r="R2281" s="249">
        <f t="shared" si="590"/>
        <v>5710.0264979999993</v>
      </c>
      <c r="S2281" s="355">
        <v>0.1</v>
      </c>
      <c r="T2281" s="355"/>
      <c r="U2281" s="315">
        <f t="shared" si="591"/>
        <v>6281.029147799999</v>
      </c>
      <c r="V2281" s="315">
        <f t="shared" si="592"/>
        <v>6300</v>
      </c>
      <c r="W2281" s="316">
        <f t="shared" si="581"/>
        <v>0</v>
      </c>
    </row>
    <row r="2282" spans="1:23" x14ac:dyDescent="0.25">
      <c r="A2282" s="204" t="s">
        <v>17946</v>
      </c>
      <c r="B2282" s="351" t="s">
        <v>21983</v>
      </c>
      <c r="C2282" s="352"/>
      <c r="D2282" s="353" t="s">
        <v>5</v>
      </c>
      <c r="E2282" s="249">
        <f t="shared" si="582"/>
        <v>0</v>
      </c>
      <c r="F2282" s="336">
        <v>0</v>
      </c>
      <c r="G2282" s="258">
        <f t="shared" si="583"/>
        <v>0</v>
      </c>
      <c r="H2282" s="249">
        <f t="shared" si="584"/>
        <v>6.3789358370541158E-2</v>
      </c>
      <c r="I2282" s="336">
        <v>1.9214953431995216E-3</v>
      </c>
      <c r="J2282" s="258">
        <f t="shared" si="585"/>
        <v>1.9214953431995216E-3</v>
      </c>
      <c r="K2282" s="249">
        <f t="shared" si="586"/>
        <v>33.023852081378948</v>
      </c>
      <c r="L2282" s="336">
        <v>0.9947611891670004</v>
      </c>
      <c r="M2282" s="258">
        <f t="shared" si="587"/>
        <v>0.9947611891670004</v>
      </c>
      <c r="N2282" s="251">
        <f t="shared" si="588"/>
        <v>0.11006791248250239</v>
      </c>
      <c r="O2282" s="336">
        <v>3.315521376501135E-3</v>
      </c>
      <c r="P2282" s="258">
        <f t="shared" si="589"/>
        <v>3.315521376501135E-3</v>
      </c>
      <c r="Q2282" s="354">
        <v>32.405720930232555</v>
      </c>
      <c r="R2282" s="249">
        <f t="shared" si="590"/>
        <v>33.197768912790693</v>
      </c>
      <c r="S2282" s="355">
        <v>0.1</v>
      </c>
      <c r="T2282" s="355"/>
      <c r="U2282" s="315">
        <f t="shared" si="591"/>
        <v>36.517545804069762</v>
      </c>
      <c r="V2282" s="315">
        <f t="shared" si="592"/>
        <v>37</v>
      </c>
      <c r="W2282" s="316">
        <f t="shared" si="581"/>
        <v>0</v>
      </c>
    </row>
    <row r="2283" spans="1:23" x14ac:dyDescent="0.25">
      <c r="A2283" s="204" t="s">
        <v>17947</v>
      </c>
      <c r="B2283" s="351" t="s">
        <v>21984</v>
      </c>
      <c r="C2283" s="352"/>
      <c r="D2283" s="353" t="s">
        <v>14859</v>
      </c>
      <c r="E2283" s="249">
        <f t="shared" si="582"/>
        <v>0</v>
      </c>
      <c r="F2283" s="336">
        <v>0</v>
      </c>
      <c r="G2283" s="258">
        <f t="shared" si="583"/>
        <v>0</v>
      </c>
      <c r="H2283" s="249">
        <f t="shared" si="584"/>
        <v>10.971794184550182</v>
      </c>
      <c r="I2283" s="336">
        <v>1.9060799144025966E-3</v>
      </c>
      <c r="J2283" s="258">
        <f t="shared" si="585"/>
        <v>1.9060799144025966E-3</v>
      </c>
      <c r="K2283" s="249">
        <f t="shared" si="586"/>
        <v>5726.3053915166174</v>
      </c>
      <c r="L2283" s="336">
        <v>0.99480499788035381</v>
      </c>
      <c r="M2283" s="258">
        <f t="shared" si="587"/>
        <v>0.99480499788035381</v>
      </c>
      <c r="N2283" s="251">
        <f t="shared" si="588"/>
        <v>18.931723298831685</v>
      </c>
      <c r="O2283" s="336">
        <v>3.2889222052436958E-3</v>
      </c>
      <c r="P2283" s="258">
        <f t="shared" si="589"/>
        <v>3.2889222052436958E-3</v>
      </c>
      <c r="Q2283" s="354">
        <v>5618.8619999999992</v>
      </c>
      <c r="R2283" s="249">
        <f t="shared" si="590"/>
        <v>5756.208908999999</v>
      </c>
      <c r="S2283" s="355">
        <v>0.1</v>
      </c>
      <c r="T2283" s="355"/>
      <c r="U2283" s="315">
        <f t="shared" si="591"/>
        <v>6331.8297998999988</v>
      </c>
      <c r="V2283" s="315">
        <f t="shared" si="592"/>
        <v>6350</v>
      </c>
      <c r="W2283" s="316">
        <f t="shared" si="581"/>
        <v>0</v>
      </c>
    </row>
    <row r="2284" spans="1:23" x14ac:dyDescent="0.25">
      <c r="A2284" s="204" t="s">
        <v>17948</v>
      </c>
      <c r="B2284" s="351" t="s">
        <v>21985</v>
      </c>
      <c r="C2284" s="352"/>
      <c r="D2284" s="353" t="s">
        <v>5</v>
      </c>
      <c r="E2284" s="249">
        <f t="shared" si="582"/>
        <v>0</v>
      </c>
      <c r="F2284" s="336">
        <v>0</v>
      </c>
      <c r="G2284" s="258">
        <f t="shared" si="583"/>
        <v>0</v>
      </c>
      <c r="H2284" s="249">
        <f t="shared" si="584"/>
        <v>6.3789387539310807E-2</v>
      </c>
      <c r="I2284" s="336">
        <v>1.9060799144025966E-3</v>
      </c>
      <c r="J2284" s="258">
        <f t="shared" si="585"/>
        <v>1.9060799144025966E-3</v>
      </c>
      <c r="K2284" s="249">
        <f t="shared" si="586"/>
        <v>33.292354391387398</v>
      </c>
      <c r="L2284" s="336">
        <v>0.99480321816054573</v>
      </c>
      <c r="M2284" s="258">
        <f t="shared" si="587"/>
        <v>0.99480321816054573</v>
      </c>
      <c r="N2284" s="251">
        <f t="shared" si="588"/>
        <v>0.11006796281292844</v>
      </c>
      <c r="O2284" s="336">
        <v>3.2889222052436958E-3</v>
      </c>
      <c r="P2284" s="258">
        <f t="shared" si="589"/>
        <v>3.2889222052436958E-3</v>
      </c>
      <c r="Q2284" s="354">
        <v>32.667802325581391</v>
      </c>
      <c r="R2284" s="249">
        <f t="shared" si="590"/>
        <v>33.466271302325573</v>
      </c>
      <c r="S2284" s="355">
        <v>0.1</v>
      </c>
      <c r="T2284" s="355"/>
      <c r="U2284" s="315">
        <f t="shared" si="591"/>
        <v>36.812898432558129</v>
      </c>
      <c r="V2284" s="315">
        <f t="shared" si="592"/>
        <v>37</v>
      </c>
      <c r="W2284" s="316">
        <f t="shared" si="581"/>
        <v>0</v>
      </c>
    </row>
    <row r="2285" spans="1:23" x14ac:dyDescent="0.25">
      <c r="A2285" s="204" t="s">
        <v>17949</v>
      </c>
      <c r="B2285" s="351" t="s">
        <v>21986</v>
      </c>
      <c r="C2285" s="352"/>
      <c r="D2285" s="353" t="s">
        <v>14859</v>
      </c>
      <c r="E2285" s="249">
        <f t="shared" si="582"/>
        <v>0</v>
      </c>
      <c r="F2285" s="336">
        <v>0</v>
      </c>
      <c r="G2285" s="258">
        <f t="shared" si="583"/>
        <v>0</v>
      </c>
      <c r="H2285" s="249">
        <f t="shared" si="584"/>
        <v>10.9718162396317</v>
      </c>
      <c r="I2285" s="336">
        <v>1.8361104289272259E-3</v>
      </c>
      <c r="J2285" s="258">
        <f t="shared" si="585"/>
        <v>1.8361104289272259E-3</v>
      </c>
      <c r="K2285" s="249">
        <f t="shared" si="586"/>
        <v>5945.6717836557091</v>
      </c>
      <c r="L2285" s="336">
        <v>0.99499569902704155</v>
      </c>
      <c r="M2285" s="258">
        <f t="shared" si="587"/>
        <v>0.99499569902704155</v>
      </c>
      <c r="N2285" s="251">
        <f t="shared" si="588"/>
        <v>18.931761354658615</v>
      </c>
      <c r="O2285" s="336">
        <v>3.1681905440312914E-3</v>
      </c>
      <c r="P2285" s="258">
        <f t="shared" si="589"/>
        <v>3.1681905440312914E-3</v>
      </c>
      <c r="Q2285" s="354">
        <v>5832.9824999999992</v>
      </c>
      <c r="R2285" s="249">
        <f t="shared" si="590"/>
        <v>5975.5753612499993</v>
      </c>
      <c r="S2285" s="355">
        <v>0.1</v>
      </c>
      <c r="T2285" s="355"/>
      <c r="U2285" s="315">
        <f t="shared" si="591"/>
        <v>6573.1328973749996</v>
      </c>
      <c r="V2285" s="315">
        <f t="shared" si="592"/>
        <v>6575</v>
      </c>
      <c r="W2285" s="316">
        <f t="shared" si="581"/>
        <v>0</v>
      </c>
    </row>
    <row r="2286" spans="1:23" x14ac:dyDescent="0.25">
      <c r="A2286" s="204" t="s">
        <v>17950</v>
      </c>
      <c r="B2286" s="351" t="s">
        <v>21987</v>
      </c>
      <c r="C2286" s="352"/>
      <c r="D2286" s="353" t="s">
        <v>5</v>
      </c>
      <c r="E2286" s="249">
        <f t="shared" si="582"/>
        <v>0</v>
      </c>
      <c r="F2286" s="336">
        <v>0</v>
      </c>
      <c r="G2286" s="258">
        <f t="shared" si="583"/>
        <v>0</v>
      </c>
      <c r="H2286" s="249">
        <f t="shared" si="584"/>
        <v>6.3789519934188105E-2</v>
      </c>
      <c r="I2286" s="336">
        <v>1.8361104289272257E-3</v>
      </c>
      <c r="J2286" s="258">
        <f t="shared" si="585"/>
        <v>1.8361104289272257E-3</v>
      </c>
      <c r="K2286" s="249">
        <f t="shared" si="586"/>
        <v>34.567740380713545</v>
      </c>
      <c r="L2286" s="336">
        <v>0.99499398463821898</v>
      </c>
      <c r="M2286" s="258">
        <f t="shared" si="587"/>
        <v>0.99499398463821898</v>
      </c>
      <c r="N2286" s="251">
        <f t="shared" si="588"/>
        <v>0.11006819125899124</v>
      </c>
      <c r="O2286" s="336">
        <v>3.1681905440312914E-3</v>
      </c>
      <c r="P2286" s="258">
        <f t="shared" si="589"/>
        <v>3.1681905440312914E-3</v>
      </c>
      <c r="Q2286" s="354">
        <v>33.91268895348837</v>
      </c>
      <c r="R2286" s="249">
        <f t="shared" si="590"/>
        <v>34.741657652616276</v>
      </c>
      <c r="S2286" s="355">
        <v>0.1</v>
      </c>
      <c r="T2286" s="355"/>
      <c r="U2286" s="315">
        <f t="shared" si="591"/>
        <v>38.2158234178779</v>
      </c>
      <c r="V2286" s="315">
        <f t="shared" si="592"/>
        <v>39</v>
      </c>
      <c r="W2286" s="316">
        <f t="shared" si="581"/>
        <v>0</v>
      </c>
    </row>
    <row r="2287" spans="1:23" x14ac:dyDescent="0.25">
      <c r="A2287" s="204" t="s">
        <v>17951</v>
      </c>
      <c r="B2287" s="351" t="s">
        <v>21988</v>
      </c>
      <c r="C2287" s="352"/>
      <c r="D2287" s="353" t="s">
        <v>14859</v>
      </c>
      <c r="E2287" s="249">
        <f t="shared" si="582"/>
        <v>0</v>
      </c>
      <c r="F2287" s="336">
        <v>0</v>
      </c>
      <c r="G2287" s="258">
        <f t="shared" si="583"/>
        <v>0</v>
      </c>
      <c r="H2287" s="249">
        <f t="shared" si="584"/>
        <v>10.971835880292058</v>
      </c>
      <c r="I2287" s="336">
        <v>1.7738006660447602E-3</v>
      </c>
      <c r="J2287" s="258">
        <f t="shared" si="585"/>
        <v>1.7738006660447602E-3</v>
      </c>
      <c r="K2287" s="249">
        <f t="shared" si="586"/>
        <v>6155.5917801252826</v>
      </c>
      <c r="L2287" s="336">
        <v>0.99516552367489763</v>
      </c>
      <c r="M2287" s="258">
        <f t="shared" si="587"/>
        <v>0.99516552367489763</v>
      </c>
      <c r="N2287" s="251">
        <f t="shared" si="588"/>
        <v>18.931795244425508</v>
      </c>
      <c r="O2287" s="336">
        <v>3.060675659057625E-3</v>
      </c>
      <c r="P2287" s="258">
        <f t="shared" si="589"/>
        <v>3.060675659057625E-3</v>
      </c>
      <c r="Q2287" s="354">
        <v>6037.8824999999997</v>
      </c>
      <c r="R2287" s="249">
        <f t="shared" si="590"/>
        <v>6185.49541125</v>
      </c>
      <c r="S2287" s="355">
        <v>0.1</v>
      </c>
      <c r="T2287" s="355"/>
      <c r="U2287" s="315">
        <f t="shared" si="591"/>
        <v>6804.0449523750003</v>
      </c>
      <c r="V2287" s="315">
        <f t="shared" si="592"/>
        <v>6825</v>
      </c>
      <c r="W2287" s="316">
        <f t="shared" si="581"/>
        <v>0</v>
      </c>
    </row>
    <row r="2288" spans="1:23" x14ac:dyDescent="0.25">
      <c r="A2288" s="204" t="s">
        <v>17952</v>
      </c>
      <c r="B2288" s="351" t="s">
        <v>21989</v>
      </c>
      <c r="C2288" s="352"/>
      <c r="D2288" s="353" t="s">
        <v>5</v>
      </c>
      <c r="E2288" s="249">
        <f t="shared" si="582"/>
        <v>0</v>
      </c>
      <c r="F2288" s="336">
        <v>0</v>
      </c>
      <c r="G2288" s="258">
        <f t="shared" si="583"/>
        <v>0</v>
      </c>
      <c r="H2288" s="249">
        <f t="shared" si="584"/>
        <v>6.3789637835489729E-2</v>
      </c>
      <c r="I2288" s="336">
        <v>1.7738006660447602E-3</v>
      </c>
      <c r="J2288" s="258">
        <f t="shared" si="585"/>
        <v>1.7738006660447602E-3</v>
      </c>
      <c r="K2288" s="249">
        <f t="shared" si="586"/>
        <v>35.788205466241358</v>
      </c>
      <c r="L2288" s="336">
        <v>0.99516386746512542</v>
      </c>
      <c r="M2288" s="258">
        <f t="shared" si="587"/>
        <v>0.99516386746512542</v>
      </c>
      <c r="N2288" s="251">
        <f t="shared" si="588"/>
        <v>0.11006839469653129</v>
      </c>
      <c r="O2288" s="336">
        <v>3.0606756590576254E-3</v>
      </c>
      <c r="P2288" s="258">
        <f t="shared" si="589"/>
        <v>3.0606756590576254E-3</v>
      </c>
      <c r="Q2288" s="354">
        <v>35.10396802325581</v>
      </c>
      <c r="R2288" s="249">
        <f t="shared" si="590"/>
        <v>35.962123059593019</v>
      </c>
      <c r="S2288" s="355">
        <v>0.1</v>
      </c>
      <c r="T2288" s="355"/>
      <c r="U2288" s="315">
        <f t="shared" si="591"/>
        <v>39.558335365552324</v>
      </c>
      <c r="V2288" s="315">
        <f t="shared" si="592"/>
        <v>40</v>
      </c>
      <c r="W2288" s="316">
        <f t="shared" si="581"/>
        <v>0</v>
      </c>
    </row>
    <row r="2289" spans="1:23" x14ac:dyDescent="0.25">
      <c r="A2289" s="204" t="s">
        <v>17953</v>
      </c>
      <c r="B2289" s="351" t="s">
        <v>21990</v>
      </c>
      <c r="C2289" s="352"/>
      <c r="D2289" s="353" t="s">
        <v>14859</v>
      </c>
      <c r="E2289" s="249">
        <f t="shared" si="582"/>
        <v>0</v>
      </c>
      <c r="F2289" s="336">
        <v>0</v>
      </c>
      <c r="G2289" s="258">
        <f t="shared" si="583"/>
        <v>0</v>
      </c>
      <c r="H2289" s="249">
        <f t="shared" si="584"/>
        <v>10.971846124857789</v>
      </c>
      <c r="I2289" s="336">
        <v>1.7412999023262454E-3</v>
      </c>
      <c r="J2289" s="258">
        <f t="shared" si="585"/>
        <v>1.7412999023262454E-3</v>
      </c>
      <c r="K2289" s="249">
        <f t="shared" si="586"/>
        <v>6271.0477797038193</v>
      </c>
      <c r="L2289" s="336">
        <v>0.9952541041877776</v>
      </c>
      <c r="M2289" s="258">
        <f t="shared" si="587"/>
        <v>0.9952541041877776</v>
      </c>
      <c r="N2289" s="251">
        <f t="shared" si="588"/>
        <v>18.931812921323242</v>
      </c>
      <c r="O2289" s="336">
        <v>3.0045959098962661E-3</v>
      </c>
      <c r="P2289" s="258">
        <f t="shared" si="589"/>
        <v>3.0045959098962661E-3</v>
      </c>
      <c r="Q2289" s="354">
        <v>6150.5774999999994</v>
      </c>
      <c r="R2289" s="249">
        <f t="shared" si="590"/>
        <v>6300.9514387499994</v>
      </c>
      <c r="S2289" s="355">
        <v>0.1</v>
      </c>
      <c r="T2289" s="355"/>
      <c r="U2289" s="315">
        <f t="shared" si="591"/>
        <v>6931.0465826249992</v>
      </c>
      <c r="V2289" s="315">
        <f t="shared" si="592"/>
        <v>6950</v>
      </c>
      <c r="W2289" s="316">
        <f t="shared" si="581"/>
        <v>0</v>
      </c>
    </row>
    <row r="2290" spans="1:23" x14ac:dyDescent="0.25">
      <c r="A2290" s="204" t="s">
        <v>17954</v>
      </c>
      <c r="B2290" s="351" t="s">
        <v>21991</v>
      </c>
      <c r="C2290" s="352"/>
      <c r="D2290" s="353" t="s">
        <v>5</v>
      </c>
      <c r="E2290" s="249">
        <f t="shared" si="582"/>
        <v>0</v>
      </c>
      <c r="F2290" s="336">
        <v>0</v>
      </c>
      <c r="G2290" s="258">
        <f t="shared" si="583"/>
        <v>0</v>
      </c>
      <c r="H2290" s="249">
        <f t="shared" si="584"/>
        <v>6.3789699332792382E-2</v>
      </c>
      <c r="I2290" s="336">
        <v>1.7412999023262452E-3</v>
      </c>
      <c r="J2290" s="258">
        <f t="shared" si="585"/>
        <v>1.7412999023262452E-3</v>
      </c>
      <c r="K2290" s="249">
        <f t="shared" si="586"/>
        <v>36.459461272410849</v>
      </c>
      <c r="L2290" s="336">
        <v>0.99525247832418984</v>
      </c>
      <c r="M2290" s="258">
        <f t="shared" si="587"/>
        <v>0.99525247832418984</v>
      </c>
      <c r="N2290" s="251">
        <f t="shared" si="588"/>
        <v>0.1100685008095241</v>
      </c>
      <c r="O2290" s="336">
        <v>3.0045959098962661E-3</v>
      </c>
      <c r="P2290" s="258">
        <f t="shared" si="589"/>
        <v>3.0045959098962661E-3</v>
      </c>
      <c r="Q2290" s="354">
        <v>35.759171511627905</v>
      </c>
      <c r="R2290" s="249">
        <f t="shared" si="590"/>
        <v>36.633379033430231</v>
      </c>
      <c r="S2290" s="355">
        <v>0.1</v>
      </c>
      <c r="T2290" s="355"/>
      <c r="U2290" s="315">
        <f t="shared" si="591"/>
        <v>40.296716936773251</v>
      </c>
      <c r="V2290" s="315">
        <f t="shared" si="592"/>
        <v>41</v>
      </c>
      <c r="W2290" s="316">
        <f t="shared" si="581"/>
        <v>0</v>
      </c>
    </row>
    <row r="2291" spans="1:23" x14ac:dyDescent="0.25">
      <c r="A2291" s="204" t="s">
        <v>17955</v>
      </c>
      <c r="B2291" s="351" t="s">
        <v>21992</v>
      </c>
      <c r="C2291" s="352"/>
      <c r="D2291" s="353" t="s">
        <v>14859</v>
      </c>
      <c r="E2291" s="249">
        <f t="shared" si="582"/>
        <v>0</v>
      </c>
      <c r="F2291" s="336">
        <v>0</v>
      </c>
      <c r="G2291" s="258">
        <f t="shared" si="583"/>
        <v>0</v>
      </c>
      <c r="H2291" s="249">
        <f t="shared" si="584"/>
        <v>10.971908376443185</v>
      </c>
      <c r="I2291" s="336">
        <v>1.5438074833148793E-3</v>
      </c>
      <c r="J2291" s="258">
        <f t="shared" si="585"/>
        <v>1.5438074833148793E-3</v>
      </c>
      <c r="K2291" s="249">
        <f t="shared" si="586"/>
        <v>7077.1406020377326</v>
      </c>
      <c r="L2291" s="336">
        <v>0.9957923678395928</v>
      </c>
      <c r="M2291" s="258">
        <f t="shared" si="587"/>
        <v>0.9957923678395928</v>
      </c>
      <c r="N2291" s="251">
        <f t="shared" si="588"/>
        <v>18.931920335823534</v>
      </c>
      <c r="O2291" s="336">
        <v>2.6638246770923405E-3</v>
      </c>
      <c r="P2291" s="258">
        <f t="shared" si="589"/>
        <v>2.6638246770923405E-3</v>
      </c>
      <c r="Q2291" s="354">
        <v>6937.3934999999992</v>
      </c>
      <c r="R2291" s="249">
        <f t="shared" si="590"/>
        <v>7107.0444307499993</v>
      </c>
      <c r="S2291" s="355">
        <v>0.1</v>
      </c>
      <c r="T2291" s="355"/>
      <c r="U2291" s="315">
        <f t="shared" si="591"/>
        <v>7817.7488738249995</v>
      </c>
      <c r="V2291" s="315">
        <f t="shared" si="592"/>
        <v>7825</v>
      </c>
      <c r="W2291" s="316">
        <f t="shared" si="581"/>
        <v>0</v>
      </c>
    </row>
    <row r="2292" spans="1:23" x14ac:dyDescent="0.25">
      <c r="A2292" s="204" t="s">
        <v>17956</v>
      </c>
      <c r="B2292" s="351" t="s">
        <v>21993</v>
      </c>
      <c r="C2292" s="352"/>
      <c r="D2292" s="353" t="s">
        <v>5</v>
      </c>
      <c r="E2292" s="249">
        <f t="shared" si="582"/>
        <v>0</v>
      </c>
      <c r="F2292" s="336">
        <v>0</v>
      </c>
      <c r="G2292" s="258">
        <f t="shared" si="583"/>
        <v>0</v>
      </c>
      <c r="H2292" s="249">
        <f t="shared" si="584"/>
        <v>6.3790073024043714E-2</v>
      </c>
      <c r="I2292" s="336">
        <v>1.5438074833148793E-3</v>
      </c>
      <c r="J2292" s="258">
        <f t="shared" si="585"/>
        <v>1.5438074833148793E-3</v>
      </c>
      <c r="K2292" s="249">
        <f t="shared" si="586"/>
        <v>41.146047416360787</v>
      </c>
      <c r="L2292" s="336">
        <v>0.99579092637602296</v>
      </c>
      <c r="M2292" s="258">
        <f t="shared" si="587"/>
        <v>0.99579092637602296</v>
      </c>
      <c r="N2292" s="251">
        <f t="shared" si="588"/>
        <v>0.11006914561011463</v>
      </c>
      <c r="O2292" s="336">
        <v>2.6638246770923405E-3</v>
      </c>
      <c r="P2292" s="258">
        <f t="shared" si="589"/>
        <v>2.6638246770923405E-3</v>
      </c>
      <c r="Q2292" s="354">
        <v>40.333683139534877</v>
      </c>
      <c r="R2292" s="249">
        <f t="shared" si="590"/>
        <v>41.319966196220925</v>
      </c>
      <c r="S2292" s="355">
        <v>0.1</v>
      </c>
      <c r="T2292" s="355"/>
      <c r="U2292" s="315">
        <f t="shared" si="591"/>
        <v>45.451962815843018</v>
      </c>
      <c r="V2292" s="315">
        <f t="shared" si="592"/>
        <v>46</v>
      </c>
      <c r="W2292" s="316">
        <f t="shared" si="581"/>
        <v>0</v>
      </c>
    </row>
    <row r="2293" spans="1:23" x14ac:dyDescent="0.25">
      <c r="A2293" s="204" t="s">
        <v>17957</v>
      </c>
      <c r="B2293" s="351" t="s">
        <v>21994</v>
      </c>
      <c r="C2293" s="352"/>
      <c r="D2293" s="353" t="s">
        <v>14859</v>
      </c>
      <c r="E2293" s="249">
        <f t="shared" si="582"/>
        <v>0</v>
      </c>
      <c r="F2293" s="336">
        <v>0</v>
      </c>
      <c r="G2293" s="258">
        <f t="shared" si="583"/>
        <v>0</v>
      </c>
      <c r="H2293" s="249">
        <f t="shared" si="584"/>
        <v>10.971927035608221</v>
      </c>
      <c r="I2293" s="336">
        <v>1.4846115027449722E-3</v>
      </c>
      <c r="J2293" s="258">
        <f t="shared" si="585"/>
        <v>1.4846115027449722E-3</v>
      </c>
      <c r="K2293" s="249">
        <f t="shared" si="586"/>
        <v>7360.5326186823613</v>
      </c>
      <c r="L2293" s="336">
        <v>0.99595370590428334</v>
      </c>
      <c r="M2293" s="258">
        <f t="shared" si="587"/>
        <v>0.99595370590428334</v>
      </c>
      <c r="N2293" s="251">
        <f t="shared" si="588"/>
        <v>18.931952532029872</v>
      </c>
      <c r="O2293" s="336">
        <v>2.5616825929717165E-3</v>
      </c>
      <c r="P2293" s="258">
        <f t="shared" si="589"/>
        <v>2.5616825929717165E-3</v>
      </c>
      <c r="Q2293" s="354">
        <v>7214.008499999999</v>
      </c>
      <c r="R2293" s="249">
        <f t="shared" si="590"/>
        <v>7390.4364982499992</v>
      </c>
      <c r="S2293" s="355">
        <v>0.1</v>
      </c>
      <c r="T2293" s="355"/>
      <c r="U2293" s="315">
        <f t="shared" si="591"/>
        <v>8129.4801480749993</v>
      </c>
      <c r="V2293" s="315">
        <f t="shared" si="592"/>
        <v>8150</v>
      </c>
      <c r="W2293" s="316">
        <f t="shared" si="581"/>
        <v>0</v>
      </c>
    </row>
    <row r="2294" spans="1:23" x14ac:dyDescent="0.25">
      <c r="A2294" s="204" t="s">
        <v>17958</v>
      </c>
      <c r="B2294" s="351" t="s">
        <v>21995</v>
      </c>
      <c r="C2294" s="352"/>
      <c r="D2294" s="353" t="s">
        <v>5</v>
      </c>
      <c r="E2294" s="249">
        <f t="shared" si="582"/>
        <v>0</v>
      </c>
      <c r="F2294" s="336">
        <v>0</v>
      </c>
      <c r="G2294" s="258">
        <f t="shared" si="583"/>
        <v>0</v>
      </c>
      <c r="H2294" s="249">
        <f t="shared" si="584"/>
        <v>6.3790185033508001E-2</v>
      </c>
      <c r="I2294" s="336">
        <v>1.4846115027449722E-3</v>
      </c>
      <c r="J2294" s="258">
        <f t="shared" si="585"/>
        <v>1.4846115027449722E-3</v>
      </c>
      <c r="K2294" s="249">
        <f t="shared" si="586"/>
        <v>42.793675410394115</v>
      </c>
      <c r="L2294" s="336">
        <v>0.99595231971240405</v>
      </c>
      <c r="M2294" s="258">
        <f t="shared" si="587"/>
        <v>0.99595231971240405</v>
      </c>
      <c r="N2294" s="251">
        <f t="shared" si="588"/>
        <v>0.11006933888134712</v>
      </c>
      <c r="O2294" s="336">
        <v>2.5616825929717165E-3</v>
      </c>
      <c r="P2294" s="258">
        <f t="shared" si="589"/>
        <v>2.5616825929717165E-3</v>
      </c>
      <c r="Q2294" s="354">
        <v>41.941909883720925</v>
      </c>
      <c r="R2294" s="249">
        <f t="shared" si="590"/>
        <v>42.967594495639531</v>
      </c>
      <c r="S2294" s="355">
        <v>0.1</v>
      </c>
      <c r="T2294" s="355"/>
      <c r="U2294" s="315">
        <f t="shared" si="591"/>
        <v>47.264353945203482</v>
      </c>
      <c r="V2294" s="315">
        <f t="shared" si="592"/>
        <v>48</v>
      </c>
      <c r="W2294" s="316">
        <f t="shared" si="581"/>
        <v>0</v>
      </c>
    </row>
    <row r="2295" spans="1:23" x14ac:dyDescent="0.25">
      <c r="A2295" s="204" t="s">
        <v>17959</v>
      </c>
      <c r="B2295" s="351" t="s">
        <v>21996</v>
      </c>
      <c r="C2295" s="352"/>
      <c r="D2295" s="353" t="s">
        <v>14859</v>
      </c>
      <c r="E2295" s="249">
        <f t="shared" si="582"/>
        <v>0</v>
      </c>
      <c r="F2295" s="336">
        <v>0</v>
      </c>
      <c r="G2295" s="258">
        <f t="shared" si="583"/>
        <v>0</v>
      </c>
      <c r="H2295" s="249">
        <f t="shared" si="584"/>
        <v>10.971927035608221</v>
      </c>
      <c r="I2295" s="336">
        <v>1.4846115027449722E-3</v>
      </c>
      <c r="J2295" s="258">
        <f t="shared" si="585"/>
        <v>1.4846115027449722E-3</v>
      </c>
      <c r="K2295" s="249">
        <f t="shared" si="586"/>
        <v>7360.5326186823613</v>
      </c>
      <c r="L2295" s="336">
        <v>0.99595370590428334</v>
      </c>
      <c r="M2295" s="258">
        <f t="shared" si="587"/>
        <v>0.99595370590428334</v>
      </c>
      <c r="N2295" s="251">
        <f t="shared" si="588"/>
        <v>18.931952532029872</v>
      </c>
      <c r="O2295" s="336">
        <v>2.5616825929717165E-3</v>
      </c>
      <c r="P2295" s="258">
        <f t="shared" si="589"/>
        <v>2.5616825929717165E-3</v>
      </c>
      <c r="Q2295" s="354">
        <v>7214.008499999999</v>
      </c>
      <c r="R2295" s="249">
        <f t="shared" si="590"/>
        <v>7390.4364982499992</v>
      </c>
      <c r="S2295" s="355">
        <v>0.1</v>
      </c>
      <c r="T2295" s="355"/>
      <c r="U2295" s="315">
        <f t="shared" si="591"/>
        <v>8129.4801480749993</v>
      </c>
      <c r="V2295" s="315">
        <f t="shared" si="592"/>
        <v>8150</v>
      </c>
      <c r="W2295" s="316">
        <f t="shared" si="581"/>
        <v>0</v>
      </c>
    </row>
    <row r="2296" spans="1:23" x14ac:dyDescent="0.25">
      <c r="A2296" s="204" t="s">
        <v>17960</v>
      </c>
      <c r="B2296" s="351" t="s">
        <v>21997</v>
      </c>
      <c r="C2296" s="352"/>
      <c r="D2296" s="353" t="s">
        <v>5</v>
      </c>
      <c r="E2296" s="249">
        <f t="shared" si="582"/>
        <v>0</v>
      </c>
      <c r="F2296" s="336">
        <v>0</v>
      </c>
      <c r="G2296" s="258">
        <f t="shared" si="583"/>
        <v>0</v>
      </c>
      <c r="H2296" s="249">
        <f t="shared" si="584"/>
        <v>6.3790185033508001E-2</v>
      </c>
      <c r="I2296" s="336">
        <v>1.4846115027449722E-3</v>
      </c>
      <c r="J2296" s="258">
        <f t="shared" si="585"/>
        <v>1.4846115027449722E-3</v>
      </c>
      <c r="K2296" s="249">
        <f t="shared" si="586"/>
        <v>42.793675410394115</v>
      </c>
      <c r="L2296" s="336">
        <v>0.99595231971240405</v>
      </c>
      <c r="M2296" s="258">
        <f t="shared" si="587"/>
        <v>0.99595231971240405</v>
      </c>
      <c r="N2296" s="251">
        <f t="shared" si="588"/>
        <v>0.11006933888134712</v>
      </c>
      <c r="O2296" s="336">
        <v>2.5616825929717165E-3</v>
      </c>
      <c r="P2296" s="258">
        <f t="shared" si="589"/>
        <v>2.5616825929717165E-3</v>
      </c>
      <c r="Q2296" s="354">
        <v>41.941909883720925</v>
      </c>
      <c r="R2296" s="249">
        <f t="shared" si="590"/>
        <v>42.967594495639531</v>
      </c>
      <c r="S2296" s="355">
        <v>0.1</v>
      </c>
      <c r="T2296" s="355"/>
      <c r="U2296" s="315">
        <f t="shared" si="591"/>
        <v>47.264353945203482</v>
      </c>
      <c r="V2296" s="315">
        <f t="shared" si="592"/>
        <v>48</v>
      </c>
      <c r="W2296" s="316">
        <f t="shared" ref="W2296:W2304" si="593">C2296*V2296</f>
        <v>0</v>
      </c>
    </row>
    <row r="2297" spans="1:23" x14ac:dyDescent="0.25">
      <c r="A2297" s="204" t="s">
        <v>17961</v>
      </c>
      <c r="B2297" s="351" t="s">
        <v>21998</v>
      </c>
      <c r="C2297" s="352"/>
      <c r="D2297" s="353" t="s">
        <v>14859</v>
      </c>
      <c r="E2297" s="249">
        <f t="shared" si="582"/>
        <v>0</v>
      </c>
      <c r="F2297" s="336">
        <v>0</v>
      </c>
      <c r="G2297" s="258">
        <f t="shared" si="583"/>
        <v>0</v>
      </c>
      <c r="H2297" s="249">
        <f t="shared" si="584"/>
        <v>10.971927035608221</v>
      </c>
      <c r="I2297" s="336">
        <v>1.4846115027449722E-3</v>
      </c>
      <c r="J2297" s="258">
        <f t="shared" si="585"/>
        <v>1.4846115027449722E-3</v>
      </c>
      <c r="K2297" s="249">
        <f t="shared" si="586"/>
        <v>7360.5326186823613</v>
      </c>
      <c r="L2297" s="336">
        <v>0.99595370590428334</v>
      </c>
      <c r="M2297" s="258">
        <f t="shared" si="587"/>
        <v>0.99595370590428334</v>
      </c>
      <c r="N2297" s="251">
        <f t="shared" si="588"/>
        <v>18.931952532029872</v>
      </c>
      <c r="O2297" s="336">
        <v>2.5616825929717165E-3</v>
      </c>
      <c r="P2297" s="258">
        <f t="shared" si="589"/>
        <v>2.5616825929717165E-3</v>
      </c>
      <c r="Q2297" s="354">
        <v>7214.008499999999</v>
      </c>
      <c r="R2297" s="249">
        <f t="shared" si="590"/>
        <v>7390.4364982499992</v>
      </c>
      <c r="S2297" s="355">
        <v>0.1</v>
      </c>
      <c r="T2297" s="355"/>
      <c r="U2297" s="315">
        <f t="shared" si="591"/>
        <v>8129.4801480749993</v>
      </c>
      <c r="V2297" s="315">
        <f t="shared" si="592"/>
        <v>8150</v>
      </c>
      <c r="W2297" s="316">
        <f t="shared" si="593"/>
        <v>0</v>
      </c>
    </row>
    <row r="2298" spans="1:23" x14ac:dyDescent="0.25">
      <c r="A2298" s="204" t="s">
        <v>17962</v>
      </c>
      <c r="B2298" s="351" t="s">
        <v>21999</v>
      </c>
      <c r="C2298" s="352"/>
      <c r="D2298" s="353" t="s">
        <v>5</v>
      </c>
      <c r="E2298" s="249">
        <f t="shared" si="582"/>
        <v>0</v>
      </c>
      <c r="F2298" s="336">
        <v>0</v>
      </c>
      <c r="G2298" s="258">
        <f t="shared" si="583"/>
        <v>0</v>
      </c>
      <c r="H2298" s="249">
        <f t="shared" si="584"/>
        <v>6.3790185033508001E-2</v>
      </c>
      <c r="I2298" s="336">
        <v>1.4846115027449722E-3</v>
      </c>
      <c r="J2298" s="258">
        <f t="shared" si="585"/>
        <v>1.4846115027449722E-3</v>
      </c>
      <c r="K2298" s="249">
        <f t="shared" si="586"/>
        <v>42.793675410394115</v>
      </c>
      <c r="L2298" s="336">
        <v>0.99595231971240405</v>
      </c>
      <c r="M2298" s="258">
        <f t="shared" si="587"/>
        <v>0.99595231971240405</v>
      </c>
      <c r="N2298" s="251">
        <f t="shared" si="588"/>
        <v>0.11006933888134712</v>
      </c>
      <c r="O2298" s="336">
        <v>2.5616825929717165E-3</v>
      </c>
      <c r="P2298" s="258">
        <f t="shared" si="589"/>
        <v>2.5616825929717165E-3</v>
      </c>
      <c r="Q2298" s="354">
        <v>41.941909883720925</v>
      </c>
      <c r="R2298" s="249">
        <f t="shared" si="590"/>
        <v>42.967594495639531</v>
      </c>
      <c r="S2298" s="355">
        <v>0.1</v>
      </c>
      <c r="T2298" s="355"/>
      <c r="U2298" s="315">
        <f t="shared" si="591"/>
        <v>47.264353945203482</v>
      </c>
      <c r="V2298" s="315">
        <f t="shared" si="592"/>
        <v>48</v>
      </c>
      <c r="W2298" s="316">
        <f t="shared" si="593"/>
        <v>0</v>
      </c>
    </row>
    <row r="2299" spans="1:23" x14ac:dyDescent="0.25">
      <c r="A2299" s="204" t="s">
        <v>17963</v>
      </c>
      <c r="B2299" s="351" t="s">
        <v>22000</v>
      </c>
      <c r="C2299" s="352"/>
      <c r="D2299" s="353" t="s">
        <v>14859</v>
      </c>
      <c r="E2299" s="249">
        <f t="shared" si="582"/>
        <v>0</v>
      </c>
      <c r="F2299" s="336">
        <v>0</v>
      </c>
      <c r="G2299" s="258">
        <f t="shared" si="583"/>
        <v>0</v>
      </c>
      <c r="H2299" s="249">
        <f t="shared" si="584"/>
        <v>10.971956141235887</v>
      </c>
      <c r="I2299" s="336">
        <v>1.3922742429265062E-3</v>
      </c>
      <c r="J2299" s="258">
        <f t="shared" si="585"/>
        <v>1.3922742429265062E-3</v>
      </c>
      <c r="K2299" s="249">
        <f t="shared" si="586"/>
        <v>7850.6958561052579</v>
      </c>
      <c r="L2299" s="336">
        <v>0.99620537020065136</v>
      </c>
      <c r="M2299" s="258">
        <f t="shared" si="587"/>
        <v>0.99620537020065136</v>
      </c>
      <c r="N2299" s="251">
        <f t="shared" si="588"/>
        <v>18.93200275350506</v>
      </c>
      <c r="O2299" s="336">
        <v>2.4023555564222066E-3</v>
      </c>
      <c r="P2299" s="258">
        <f t="shared" si="589"/>
        <v>2.4023555564222066E-3</v>
      </c>
      <c r="Q2299" s="354">
        <v>7692.4499999999989</v>
      </c>
      <c r="R2299" s="249">
        <f t="shared" si="590"/>
        <v>7880.5998149999987</v>
      </c>
      <c r="S2299" s="355">
        <v>0.1</v>
      </c>
      <c r="T2299" s="355"/>
      <c r="U2299" s="315">
        <f t="shared" si="591"/>
        <v>8668.6597964999983</v>
      </c>
      <c r="V2299" s="315">
        <f t="shared" si="592"/>
        <v>8675</v>
      </c>
      <c r="W2299" s="316">
        <f t="shared" si="593"/>
        <v>0</v>
      </c>
    </row>
    <row r="2300" spans="1:23" x14ac:dyDescent="0.25">
      <c r="A2300" s="204" t="s">
        <v>17964</v>
      </c>
      <c r="B2300" s="351" t="s">
        <v>22001</v>
      </c>
      <c r="C2300" s="352"/>
      <c r="D2300" s="353" t="s">
        <v>5</v>
      </c>
      <c r="E2300" s="249">
        <f t="shared" si="582"/>
        <v>0</v>
      </c>
      <c r="F2300" s="336">
        <v>0</v>
      </c>
      <c r="G2300" s="258">
        <f t="shared" si="583"/>
        <v>0</v>
      </c>
      <c r="H2300" s="249">
        <f t="shared" si="584"/>
        <v>6.3790359752245743E-2</v>
      </c>
      <c r="I2300" s="336">
        <v>1.3922742429265062E-3</v>
      </c>
      <c r="J2300" s="258">
        <f t="shared" si="585"/>
        <v>1.3922742429265062E-3</v>
      </c>
      <c r="K2300" s="249">
        <f t="shared" si="586"/>
        <v>45.643461659327457</v>
      </c>
      <c r="L2300" s="336">
        <v>0.99620407022470081</v>
      </c>
      <c r="M2300" s="258">
        <f t="shared" si="587"/>
        <v>0.99620407022470081</v>
      </c>
      <c r="N2300" s="251">
        <f t="shared" si="588"/>
        <v>0.11006964035681618</v>
      </c>
      <c r="O2300" s="336">
        <v>2.4023555564222066E-3</v>
      </c>
      <c r="P2300" s="258">
        <f t="shared" si="589"/>
        <v>2.4023555564222066E-3</v>
      </c>
      <c r="Q2300" s="354">
        <v>44.723546511627902</v>
      </c>
      <c r="R2300" s="249">
        <f t="shared" si="590"/>
        <v>45.817381220930223</v>
      </c>
      <c r="S2300" s="355">
        <v>0.1</v>
      </c>
      <c r="T2300" s="355"/>
      <c r="U2300" s="315">
        <f t="shared" si="591"/>
        <v>50.399119343023244</v>
      </c>
      <c r="V2300" s="315">
        <f t="shared" si="592"/>
        <v>51</v>
      </c>
      <c r="W2300" s="316">
        <f t="shared" si="593"/>
        <v>0</v>
      </c>
    </row>
    <row r="2301" spans="1:23" x14ac:dyDescent="0.25">
      <c r="A2301" s="204" t="s">
        <v>17965</v>
      </c>
      <c r="B2301" s="351" t="s">
        <v>22002</v>
      </c>
      <c r="C2301" s="352"/>
      <c r="D2301" s="353" t="s">
        <v>14859</v>
      </c>
      <c r="E2301" s="249">
        <f t="shared" si="582"/>
        <v>0</v>
      </c>
      <c r="F2301" s="336">
        <v>0</v>
      </c>
      <c r="G2301" s="258">
        <f t="shared" si="583"/>
        <v>0</v>
      </c>
      <c r="H2301" s="249">
        <f t="shared" si="584"/>
        <v>10.97198022615188</v>
      </c>
      <c r="I2301" s="336">
        <v>1.3158651315643979E-3</v>
      </c>
      <c r="J2301" s="258">
        <f t="shared" si="585"/>
        <v>1.3158651315643979E-3</v>
      </c>
      <c r="K2301" s="249">
        <f t="shared" si="586"/>
        <v>8308.3214994620557</v>
      </c>
      <c r="L2301" s="336">
        <v>0.99641362248455978</v>
      </c>
      <c r="M2301" s="258">
        <f t="shared" si="587"/>
        <v>0.99641362248455978</v>
      </c>
      <c r="N2301" s="251">
        <f t="shared" si="588"/>
        <v>18.932044311791479</v>
      </c>
      <c r="O2301" s="336">
        <v>2.2705123838758236E-3</v>
      </c>
      <c r="P2301" s="258">
        <f t="shared" si="589"/>
        <v>2.2705123838758236E-3</v>
      </c>
      <c r="Q2301" s="354">
        <v>8139.1319999999996</v>
      </c>
      <c r="R2301" s="249">
        <f t="shared" si="590"/>
        <v>8338.2255239999995</v>
      </c>
      <c r="S2301" s="355">
        <v>0.1</v>
      </c>
      <c r="T2301" s="355"/>
      <c r="U2301" s="315">
        <f t="shared" si="591"/>
        <v>9172.0480763999985</v>
      </c>
      <c r="V2301" s="315">
        <f t="shared" si="592"/>
        <v>9175</v>
      </c>
      <c r="W2301" s="316">
        <f t="shared" si="593"/>
        <v>0</v>
      </c>
    </row>
    <row r="2302" spans="1:23" x14ac:dyDescent="0.25">
      <c r="A2302" s="204" t="s">
        <v>17966</v>
      </c>
      <c r="B2302" s="351" t="s">
        <v>22003</v>
      </c>
      <c r="C2302" s="352"/>
      <c r="D2302" s="353" t="s">
        <v>5</v>
      </c>
      <c r="E2302" s="249">
        <f t="shared" si="582"/>
        <v>0</v>
      </c>
      <c r="F2302" s="336">
        <v>0</v>
      </c>
      <c r="G2302" s="258">
        <f t="shared" si="583"/>
        <v>0</v>
      </c>
      <c r="H2302" s="249">
        <f t="shared" si="584"/>
        <v>6.3790504332055853E-2</v>
      </c>
      <c r="I2302" s="336">
        <v>1.3158651315643979E-3</v>
      </c>
      <c r="J2302" s="258">
        <f t="shared" si="585"/>
        <v>1.3158651315643979E-3</v>
      </c>
      <c r="K2302" s="249">
        <f t="shared" si="586"/>
        <v>48.30407585235092</v>
      </c>
      <c r="L2302" s="336">
        <v>0.99641239385231739</v>
      </c>
      <c r="M2302" s="258">
        <f t="shared" si="587"/>
        <v>0.99641239385231739</v>
      </c>
      <c r="N2302" s="251">
        <f t="shared" si="588"/>
        <v>0.11006988982786108</v>
      </c>
      <c r="O2302" s="336">
        <v>2.2705123838758236E-3</v>
      </c>
      <c r="P2302" s="258">
        <f t="shared" si="589"/>
        <v>2.2705123838758236E-3</v>
      </c>
      <c r="Q2302" s="354">
        <v>47.320534883720931</v>
      </c>
      <c r="R2302" s="249">
        <f t="shared" si="590"/>
        <v>48.477995808139532</v>
      </c>
      <c r="S2302" s="355">
        <v>0.1</v>
      </c>
      <c r="T2302" s="355"/>
      <c r="U2302" s="315">
        <f t="shared" si="591"/>
        <v>53.325795388953487</v>
      </c>
      <c r="V2302" s="315">
        <f t="shared" si="592"/>
        <v>54</v>
      </c>
      <c r="W2302" s="316">
        <f t="shared" si="593"/>
        <v>0</v>
      </c>
    </row>
    <row r="2303" spans="1:23" x14ac:dyDescent="0.25">
      <c r="A2303" s="204" t="s">
        <v>17967</v>
      </c>
      <c r="B2303" s="351" t="s">
        <v>22004</v>
      </c>
      <c r="C2303" s="352"/>
      <c r="D2303" s="353" t="s">
        <v>14859</v>
      </c>
      <c r="E2303" s="249">
        <f t="shared" si="582"/>
        <v>0</v>
      </c>
      <c r="F2303" s="336">
        <v>0</v>
      </c>
      <c r="G2303" s="258">
        <f t="shared" si="583"/>
        <v>0</v>
      </c>
      <c r="H2303" s="249">
        <f t="shared" si="584"/>
        <v>10.972021588418233</v>
      </c>
      <c r="I2303" s="336">
        <v>1.1846438303616583E-3</v>
      </c>
      <c r="J2303" s="258">
        <f t="shared" si="585"/>
        <v>1.1846438303616583E-3</v>
      </c>
      <c r="K2303" s="249">
        <f t="shared" si="586"/>
        <v>9231.9696067296063</v>
      </c>
      <c r="L2303" s="336">
        <v>0.99677126485450462</v>
      </c>
      <c r="M2303" s="258">
        <f t="shared" si="587"/>
        <v>0.99677126485450462</v>
      </c>
      <c r="N2303" s="251">
        <f t="shared" si="588"/>
        <v>18.932115681976562</v>
      </c>
      <c r="O2303" s="336">
        <v>2.0440913151338418E-3</v>
      </c>
      <c r="P2303" s="258">
        <f t="shared" si="589"/>
        <v>2.0440913151338418E-3</v>
      </c>
      <c r="Q2303" s="354">
        <v>9040.6919999999991</v>
      </c>
      <c r="R2303" s="249">
        <f t="shared" si="590"/>
        <v>9261.8737440000004</v>
      </c>
      <c r="S2303" s="355">
        <v>0.1</v>
      </c>
      <c r="T2303" s="355"/>
      <c r="U2303" s="315">
        <f t="shared" si="591"/>
        <v>10188.061118400001</v>
      </c>
      <c r="V2303" s="315">
        <f t="shared" si="592"/>
        <v>10250</v>
      </c>
      <c r="W2303" s="316">
        <f t="shared" si="593"/>
        <v>0</v>
      </c>
    </row>
    <row r="2304" spans="1:23" x14ac:dyDescent="0.25">
      <c r="A2304" s="204" t="s">
        <v>17968</v>
      </c>
      <c r="B2304" s="351" t="s">
        <v>22005</v>
      </c>
      <c r="C2304" s="352"/>
      <c r="D2304" s="353" t="s">
        <v>5</v>
      </c>
      <c r="E2304" s="249">
        <f t="shared" si="582"/>
        <v>0</v>
      </c>
      <c r="F2304" s="336">
        <v>0</v>
      </c>
      <c r="G2304" s="258">
        <f t="shared" si="583"/>
        <v>0</v>
      </c>
      <c r="H2304" s="249">
        <f t="shared" si="584"/>
        <v>6.3790752626408084E-2</v>
      </c>
      <c r="I2304" s="336">
        <v>1.1846438303616583E-3</v>
      </c>
      <c r="J2304" s="258">
        <f t="shared" si="585"/>
        <v>1.1846438303616583E-3</v>
      </c>
      <c r="K2304" s="249">
        <f t="shared" si="586"/>
        <v>53.674122966092945</v>
      </c>
      <c r="L2304" s="336">
        <v>0.9967701587444856</v>
      </c>
      <c r="M2304" s="258">
        <f t="shared" si="587"/>
        <v>0.9967701587444856</v>
      </c>
      <c r="N2304" s="251">
        <f t="shared" si="588"/>
        <v>0.1100703182573316</v>
      </c>
      <c r="O2304" s="336">
        <v>2.0440913151338418E-3</v>
      </c>
      <c r="P2304" s="258">
        <f t="shared" si="589"/>
        <v>2.0440913151338418E-3</v>
      </c>
      <c r="Q2304" s="354">
        <v>52.56216279069767</v>
      </c>
      <c r="R2304" s="249">
        <f t="shared" si="590"/>
        <v>53.848043598837208</v>
      </c>
      <c r="S2304" s="355">
        <v>0.1</v>
      </c>
      <c r="T2304" s="355"/>
      <c r="U2304" s="315">
        <f t="shared" si="591"/>
        <v>59.232847958720932</v>
      </c>
      <c r="V2304" s="315">
        <f t="shared" si="592"/>
        <v>60</v>
      </c>
      <c r="W2304" s="316">
        <f t="shared" si="593"/>
        <v>0</v>
      </c>
    </row>
    <row r="2305" spans="1:23" x14ac:dyDescent="0.25">
      <c r="A2305" s="203" t="s">
        <v>17969</v>
      </c>
      <c r="B2305" s="345" t="s">
        <v>17970</v>
      </c>
      <c r="C2305" s="346"/>
      <c r="D2305" s="347"/>
      <c r="E2305" s="347"/>
      <c r="F2305" s="347"/>
      <c r="G2305" s="347"/>
      <c r="H2305" s="347"/>
      <c r="I2305" s="347"/>
      <c r="J2305" s="347"/>
      <c r="K2305" s="347"/>
      <c r="L2305" s="347"/>
      <c r="M2305" s="347"/>
      <c r="N2305" s="347"/>
      <c r="O2305" s="347"/>
      <c r="P2305" s="347"/>
      <c r="Q2305" s="347"/>
      <c r="R2305" s="347"/>
      <c r="S2305" s="347"/>
      <c r="T2305" s="348"/>
      <c r="U2305" s="349"/>
      <c r="V2305" s="349"/>
      <c r="W2305" s="350"/>
    </row>
    <row r="2306" spans="1:23" x14ac:dyDescent="0.25">
      <c r="A2306" s="204" t="s">
        <v>17971</v>
      </c>
      <c r="B2306" s="351" t="s">
        <v>22006</v>
      </c>
      <c r="C2306" s="352"/>
      <c r="D2306" s="353" t="s">
        <v>14859</v>
      </c>
      <c r="E2306" s="249">
        <f t="shared" ref="E2306:E2369" si="594">R2306*G2306</f>
        <v>0</v>
      </c>
      <c r="F2306" s="336">
        <v>0</v>
      </c>
      <c r="G2306" s="258">
        <f t="shared" ref="G2306:G2369" si="595">F2306</f>
        <v>0</v>
      </c>
      <c r="H2306" s="249">
        <f t="shared" ref="H2306:H2369" si="596">R2306*J2306</f>
        <v>6.3790233646348157E-2</v>
      </c>
      <c r="I2306" s="336">
        <v>1.4589200599669273E-3</v>
      </c>
      <c r="J2306" s="258">
        <f t="shared" ref="J2306:J2369" si="597">I2306</f>
        <v>1.4589200599669273E-3</v>
      </c>
      <c r="K2306" s="249">
        <f t="shared" ref="K2306:K2369" si="598">R2306*M2306</f>
        <v>43.55036383018048</v>
      </c>
      <c r="L2306" s="336">
        <v>0.99602236547609391</v>
      </c>
      <c r="M2306" s="258">
        <f t="shared" ref="M2306:M2369" si="599">L2306</f>
        <v>0.99602236547609391</v>
      </c>
      <c r="N2306" s="251">
        <f t="shared" ref="N2306:N2369" si="600">P2306*R2306</f>
        <v>0.11006942276232622</v>
      </c>
      <c r="O2306" s="336">
        <v>2.5173522603350899E-3</v>
      </c>
      <c r="P2306" s="258">
        <f t="shared" ref="P2306:P2369" si="601">O2306</f>
        <v>2.5173522603350899E-3</v>
      </c>
      <c r="Q2306" s="354">
        <v>42.680502906976741</v>
      </c>
      <c r="R2306" s="249">
        <f t="shared" ref="R2306:R2369" si="602">SUM(F2306*Q2306*1.0235,I2306*Q2306*1.0175,L2306*Q2306*1.0245,O2306*Q2306*1.0115)</f>
        <v>43.724283047965109</v>
      </c>
      <c r="S2306" s="355">
        <v>0.1</v>
      </c>
      <c r="T2306" s="355"/>
      <c r="U2306" s="315">
        <f t="shared" si="591"/>
        <v>48.096711352761616</v>
      </c>
      <c r="V2306" s="315">
        <f t="shared" si="592"/>
        <v>49</v>
      </c>
      <c r="W2306" s="316">
        <f t="shared" ref="W2306:W2360" si="603">C2306*V2306</f>
        <v>0</v>
      </c>
    </row>
    <row r="2307" spans="1:23" x14ac:dyDescent="0.25">
      <c r="A2307" s="204" t="s">
        <v>17972</v>
      </c>
      <c r="B2307" s="351" t="s">
        <v>22007</v>
      </c>
      <c r="C2307" s="352"/>
      <c r="D2307" s="353" t="s">
        <v>5</v>
      </c>
      <c r="E2307" s="249">
        <f t="shared" si="594"/>
        <v>0</v>
      </c>
      <c r="F2307" s="336">
        <v>0</v>
      </c>
      <c r="G2307" s="258">
        <f t="shared" si="595"/>
        <v>0</v>
      </c>
      <c r="H2307" s="249">
        <f t="shared" si="596"/>
        <v>10.971935133807898</v>
      </c>
      <c r="I2307" s="336">
        <v>1.4589200599669273E-3</v>
      </c>
      <c r="J2307" s="258">
        <f t="shared" si="597"/>
        <v>1.4589200599669273E-3</v>
      </c>
      <c r="K2307" s="249">
        <f t="shared" si="598"/>
        <v>7490.6830276107976</v>
      </c>
      <c r="L2307" s="336">
        <v>0.99602372767969805</v>
      </c>
      <c r="M2307" s="258">
        <f t="shared" si="599"/>
        <v>0.99602372767969805</v>
      </c>
      <c r="N2307" s="251">
        <f t="shared" si="600"/>
        <v>18.931966505394019</v>
      </c>
      <c r="O2307" s="336">
        <v>2.5173522603350899E-3</v>
      </c>
      <c r="P2307" s="258">
        <f t="shared" si="601"/>
        <v>2.5173522603350899E-3</v>
      </c>
      <c r="Q2307" s="354">
        <v>7341.0464999999995</v>
      </c>
      <c r="R2307" s="249">
        <f t="shared" si="602"/>
        <v>7520.5869292499992</v>
      </c>
      <c r="S2307" s="355">
        <v>0.1</v>
      </c>
      <c r="T2307" s="355"/>
      <c r="U2307" s="315">
        <f t="shared" si="591"/>
        <v>8272.6456221749995</v>
      </c>
      <c r="V2307" s="315">
        <f t="shared" si="592"/>
        <v>8275</v>
      </c>
      <c r="W2307" s="316">
        <f t="shared" si="603"/>
        <v>0</v>
      </c>
    </row>
    <row r="2308" spans="1:23" x14ac:dyDescent="0.25">
      <c r="A2308" s="203" t="s">
        <v>17973</v>
      </c>
      <c r="B2308" s="345" t="s">
        <v>17974</v>
      </c>
      <c r="C2308" s="346"/>
      <c r="D2308" s="347"/>
      <c r="E2308" s="347"/>
      <c r="F2308" s="347"/>
      <c r="G2308" s="347"/>
      <c r="H2308" s="347"/>
      <c r="I2308" s="347"/>
      <c r="J2308" s="347"/>
      <c r="K2308" s="347"/>
      <c r="L2308" s="347"/>
      <c r="M2308" s="347"/>
      <c r="N2308" s="347"/>
      <c r="O2308" s="347"/>
      <c r="P2308" s="347"/>
      <c r="Q2308" s="347"/>
      <c r="R2308" s="347"/>
      <c r="S2308" s="347"/>
      <c r="T2308" s="348"/>
      <c r="U2308" s="349"/>
      <c r="V2308" s="349"/>
      <c r="W2308" s="350"/>
    </row>
    <row r="2309" spans="1:23" x14ac:dyDescent="0.25">
      <c r="A2309" s="204" t="s">
        <v>17975</v>
      </c>
      <c r="B2309" s="351" t="s">
        <v>22008</v>
      </c>
      <c r="C2309" s="352"/>
      <c r="D2309" s="353" t="s">
        <v>14859</v>
      </c>
      <c r="E2309" s="249">
        <f t="shared" si="594"/>
        <v>0</v>
      </c>
      <c r="F2309" s="336">
        <v>0</v>
      </c>
      <c r="G2309" s="258">
        <f t="shared" si="595"/>
        <v>0</v>
      </c>
      <c r="H2309" s="249">
        <f t="shared" si="596"/>
        <v>10.911924276156698</v>
      </c>
      <c r="I2309" s="336">
        <v>0.19184265677897791</v>
      </c>
      <c r="J2309" s="258">
        <f t="shared" si="597"/>
        <v>0.19184265677897791</v>
      </c>
      <c r="K2309" s="249">
        <f t="shared" si="598"/>
        <v>27.139208864984688</v>
      </c>
      <c r="L2309" s="336">
        <v>0.47713471975925631</v>
      </c>
      <c r="M2309" s="258">
        <f t="shared" si="599"/>
        <v>0.47713471975925631</v>
      </c>
      <c r="N2309" s="251">
        <f t="shared" si="600"/>
        <v>18.828418358858617</v>
      </c>
      <c r="O2309" s="336">
        <v>0.33102262346176581</v>
      </c>
      <c r="P2309" s="258">
        <f t="shared" si="601"/>
        <v>0.33102262346176581</v>
      </c>
      <c r="Q2309" s="354">
        <v>55.827000000000005</v>
      </c>
      <c r="R2309" s="249">
        <f t="shared" si="602"/>
        <v>56.879551500000005</v>
      </c>
      <c r="S2309" s="355">
        <v>0.1</v>
      </c>
      <c r="T2309" s="355"/>
      <c r="U2309" s="315">
        <f t="shared" si="591"/>
        <v>62.567506650000006</v>
      </c>
      <c r="V2309" s="315">
        <f t="shared" si="592"/>
        <v>63</v>
      </c>
      <c r="W2309" s="316">
        <f t="shared" si="603"/>
        <v>0</v>
      </c>
    </row>
    <row r="2310" spans="1:23" x14ac:dyDescent="0.25">
      <c r="A2310" s="204" t="s">
        <v>17976</v>
      </c>
      <c r="B2310" s="351" t="s">
        <v>22009</v>
      </c>
      <c r="C2310" s="352"/>
      <c r="D2310" s="353" t="s">
        <v>5</v>
      </c>
      <c r="E2310" s="249">
        <f t="shared" si="594"/>
        <v>0</v>
      </c>
      <c r="F2310" s="336">
        <v>0</v>
      </c>
      <c r="G2310" s="258">
        <f t="shared" si="595"/>
        <v>0</v>
      </c>
      <c r="H2310" s="249">
        <f t="shared" si="596"/>
        <v>6.3429993303127916E-2</v>
      </c>
      <c r="I2310" s="336">
        <v>0.19184265677897791</v>
      </c>
      <c r="J2310" s="258">
        <f t="shared" si="597"/>
        <v>0.19184265677897791</v>
      </c>
      <c r="K2310" s="249">
        <f t="shared" si="598"/>
        <v>0.15769845300489146</v>
      </c>
      <c r="L2310" s="336">
        <v>0.47695559496301088</v>
      </c>
      <c r="M2310" s="258">
        <f t="shared" si="599"/>
        <v>0.47695559496301088</v>
      </c>
      <c r="N2310" s="251">
        <f t="shared" si="600"/>
        <v>0.10944783158186777</v>
      </c>
      <c r="O2310" s="336">
        <v>0.33102262346176581</v>
      </c>
      <c r="P2310" s="258">
        <f t="shared" si="601"/>
        <v>0.33102262346176581</v>
      </c>
      <c r="Q2310" s="354">
        <v>0.32457558139534887</v>
      </c>
      <c r="R2310" s="249">
        <f t="shared" si="602"/>
        <v>0.33063550290697685</v>
      </c>
      <c r="S2310" s="355">
        <v>0.1</v>
      </c>
      <c r="T2310" s="355"/>
      <c r="U2310" s="315">
        <f t="shared" si="591"/>
        <v>0.36369905319767454</v>
      </c>
      <c r="V2310" s="315">
        <f t="shared" si="592"/>
        <v>1</v>
      </c>
      <c r="W2310" s="316">
        <f t="shared" si="603"/>
        <v>0</v>
      </c>
    </row>
    <row r="2311" spans="1:23" x14ac:dyDescent="0.25">
      <c r="A2311" s="204" t="s">
        <v>17977</v>
      </c>
      <c r="B2311" s="351" t="s">
        <v>22010</v>
      </c>
      <c r="C2311" s="352"/>
      <c r="D2311" s="353" t="s">
        <v>14859</v>
      </c>
      <c r="E2311" s="249">
        <f t="shared" si="594"/>
        <v>0</v>
      </c>
      <c r="F2311" s="336">
        <v>0</v>
      </c>
      <c r="G2311" s="258">
        <f t="shared" si="595"/>
        <v>0</v>
      </c>
      <c r="H2311" s="249">
        <f t="shared" si="596"/>
        <v>10.930814767212711</v>
      </c>
      <c r="I2311" s="336">
        <v>0.13191279714250526</v>
      </c>
      <c r="J2311" s="258">
        <f t="shared" si="597"/>
        <v>0.13191279714250526</v>
      </c>
      <c r="K2311" s="249">
        <f t="shared" si="598"/>
        <v>53.072116516812393</v>
      </c>
      <c r="L2311" s="336">
        <v>0.64047296465081893</v>
      </c>
      <c r="M2311" s="258">
        <f t="shared" si="599"/>
        <v>0.64047296465081893</v>
      </c>
      <c r="N2311" s="251">
        <f t="shared" si="600"/>
        <v>18.86101371597487</v>
      </c>
      <c r="O2311" s="336">
        <v>0.2276142382066757</v>
      </c>
      <c r="P2311" s="258">
        <f t="shared" si="601"/>
        <v>0.2276142382066757</v>
      </c>
      <c r="Q2311" s="354">
        <v>81.19</v>
      </c>
      <c r="R2311" s="249">
        <f t="shared" si="602"/>
        <v>82.863944999999987</v>
      </c>
      <c r="S2311" s="355">
        <v>0.1</v>
      </c>
      <c r="T2311" s="355"/>
      <c r="U2311" s="315">
        <f t="shared" si="591"/>
        <v>91.150339499999987</v>
      </c>
      <c r="V2311" s="315">
        <f t="shared" si="592"/>
        <v>92</v>
      </c>
      <c r="W2311" s="316">
        <f t="shared" si="603"/>
        <v>0</v>
      </c>
    </row>
    <row r="2312" spans="1:23" x14ac:dyDescent="0.25">
      <c r="A2312" s="204" t="s">
        <v>17978</v>
      </c>
      <c r="B2312" s="351" t="s">
        <v>22011</v>
      </c>
      <c r="C2312" s="352"/>
      <c r="D2312" s="353" t="s">
        <v>5</v>
      </c>
      <c r="E2312" s="249">
        <f t="shared" si="594"/>
        <v>0</v>
      </c>
      <c r="F2312" s="336">
        <v>0</v>
      </c>
      <c r="G2312" s="258">
        <f t="shared" si="595"/>
        <v>0</v>
      </c>
      <c r="H2312" s="249">
        <f t="shared" si="596"/>
        <v>6.3543391398872023E-2</v>
      </c>
      <c r="I2312" s="336">
        <v>0.13191279714250526</v>
      </c>
      <c r="J2312" s="258">
        <f t="shared" si="597"/>
        <v>0.13191279714250526</v>
      </c>
      <c r="K2312" s="249">
        <f t="shared" si="598"/>
        <v>0.30846133695867006</v>
      </c>
      <c r="L2312" s="336">
        <v>0.64034979677300163</v>
      </c>
      <c r="M2312" s="258">
        <f t="shared" si="599"/>
        <v>0.64034979677300163</v>
      </c>
      <c r="N2312" s="251">
        <f t="shared" si="600"/>
        <v>0.10964349888432819</v>
      </c>
      <c r="O2312" s="336">
        <v>0.2276142382066757</v>
      </c>
      <c r="P2312" s="258">
        <f t="shared" si="601"/>
        <v>0.2276142382066757</v>
      </c>
      <c r="Q2312" s="354">
        <v>0.47203488372093022</v>
      </c>
      <c r="R2312" s="249">
        <f t="shared" si="602"/>
        <v>0.48170755813953492</v>
      </c>
      <c r="S2312" s="355">
        <v>0.1</v>
      </c>
      <c r="T2312" s="355"/>
      <c r="U2312" s="315">
        <f t="shared" si="591"/>
        <v>0.52987831395348839</v>
      </c>
      <c r="V2312" s="315">
        <f t="shared" si="592"/>
        <v>1</v>
      </c>
      <c r="W2312" s="316">
        <f t="shared" si="603"/>
        <v>0</v>
      </c>
    </row>
    <row r="2313" spans="1:23" x14ac:dyDescent="0.25">
      <c r="A2313" s="204" t="s">
        <v>17979</v>
      </c>
      <c r="B2313" s="351" t="s">
        <v>22012</v>
      </c>
      <c r="C2313" s="352"/>
      <c r="D2313" s="353" t="s">
        <v>14859</v>
      </c>
      <c r="E2313" s="249">
        <f t="shared" si="594"/>
        <v>0</v>
      </c>
      <c r="F2313" s="336">
        <v>0</v>
      </c>
      <c r="G2313" s="258">
        <f t="shared" si="595"/>
        <v>0</v>
      </c>
      <c r="H2313" s="249">
        <f t="shared" si="596"/>
        <v>10.949614116674539</v>
      </c>
      <c r="I2313" s="336">
        <v>7.227208313651394E-2</v>
      </c>
      <c r="J2313" s="258">
        <f t="shared" si="597"/>
        <v>7.227208313651394E-2</v>
      </c>
      <c r="K2313" s="249">
        <f t="shared" si="598"/>
        <v>121.66237907416152</v>
      </c>
      <c r="L2313" s="336">
        <v>0.80302314596126589</v>
      </c>
      <c r="M2313" s="258">
        <f t="shared" si="599"/>
        <v>0.80302314596126589</v>
      </c>
      <c r="N2313" s="251">
        <f t="shared" si="600"/>
        <v>18.89345180916391</v>
      </c>
      <c r="O2313" s="336">
        <v>0.12470477090222012</v>
      </c>
      <c r="P2313" s="258">
        <f t="shared" si="601"/>
        <v>0.12470477090222012</v>
      </c>
      <c r="Q2313" s="354">
        <v>148.19</v>
      </c>
      <c r="R2313" s="249">
        <f t="shared" si="602"/>
        <v>151.50544499999998</v>
      </c>
      <c r="S2313" s="355">
        <v>0.1</v>
      </c>
      <c r="T2313" s="355"/>
      <c r="U2313" s="315">
        <f t="shared" si="591"/>
        <v>166.65598949999998</v>
      </c>
      <c r="V2313" s="315">
        <f t="shared" si="592"/>
        <v>170</v>
      </c>
      <c r="W2313" s="316">
        <f t="shared" si="603"/>
        <v>0</v>
      </c>
    </row>
    <row r="2314" spans="1:23" x14ac:dyDescent="0.25">
      <c r="A2314" s="204" t="s">
        <v>17980</v>
      </c>
      <c r="B2314" s="351" t="s">
        <v>22013</v>
      </c>
      <c r="C2314" s="352"/>
      <c r="D2314" s="353" t="s">
        <v>5</v>
      </c>
      <c r="E2314" s="249">
        <f t="shared" si="594"/>
        <v>0</v>
      </c>
      <c r="F2314" s="336">
        <v>0</v>
      </c>
      <c r="G2314" s="258">
        <f t="shared" si="595"/>
        <v>0</v>
      </c>
      <c r="H2314" s="249">
        <f t="shared" si="596"/>
        <v>6.3656242378969816E-2</v>
      </c>
      <c r="I2314" s="336">
        <v>7.227208313651394E-2</v>
      </c>
      <c r="J2314" s="258">
        <f t="shared" si="597"/>
        <v>7.227208313651394E-2</v>
      </c>
      <c r="K2314" s="249">
        <f t="shared" si="598"/>
        <v>0.70723214572115956</v>
      </c>
      <c r="L2314" s="336">
        <v>0.80295566502463067</v>
      </c>
      <c r="M2314" s="258">
        <f t="shared" si="599"/>
        <v>0.80295566502463067</v>
      </c>
      <c r="N2314" s="251">
        <f t="shared" si="600"/>
        <v>0.10983822214410477</v>
      </c>
      <c r="O2314" s="336">
        <v>0.12470477090222012</v>
      </c>
      <c r="P2314" s="258">
        <f t="shared" si="601"/>
        <v>0.12470477090222012</v>
      </c>
      <c r="Q2314" s="354">
        <v>0.86156976744186042</v>
      </c>
      <c r="R2314" s="249">
        <f t="shared" si="602"/>
        <v>0.88078604651162795</v>
      </c>
      <c r="S2314" s="355">
        <v>0.1</v>
      </c>
      <c r="T2314" s="355"/>
      <c r="U2314" s="315">
        <f t="shared" si="591"/>
        <v>0.96886465116279075</v>
      </c>
      <c r="V2314" s="315">
        <f t="shared" si="592"/>
        <v>1</v>
      </c>
      <c r="W2314" s="316">
        <f t="shared" si="603"/>
        <v>0</v>
      </c>
    </row>
    <row r="2315" spans="1:23" x14ac:dyDescent="0.25">
      <c r="A2315" s="204" t="s">
        <v>17981</v>
      </c>
      <c r="B2315" s="351" t="s">
        <v>22014</v>
      </c>
      <c r="C2315" s="352"/>
      <c r="D2315" s="353" t="s">
        <v>14859</v>
      </c>
      <c r="E2315" s="249">
        <f t="shared" si="594"/>
        <v>0</v>
      </c>
      <c r="F2315" s="336">
        <v>0</v>
      </c>
      <c r="G2315" s="258">
        <f t="shared" si="595"/>
        <v>0</v>
      </c>
      <c r="H2315" s="249">
        <f t="shared" si="596"/>
        <v>10.951708076168883</v>
      </c>
      <c r="I2315" s="336">
        <v>6.5629021386114345E-2</v>
      </c>
      <c r="J2315" s="258">
        <f t="shared" si="597"/>
        <v>6.5629021386114345E-2</v>
      </c>
      <c r="K2315" s="249">
        <f t="shared" si="598"/>
        <v>137.02417200808873</v>
      </c>
      <c r="L2315" s="336">
        <v>0.82112874563392368</v>
      </c>
      <c r="M2315" s="258">
        <f t="shared" si="599"/>
        <v>0.82112874563392368</v>
      </c>
      <c r="N2315" s="251">
        <f t="shared" si="600"/>
        <v>18.897064915742387</v>
      </c>
      <c r="O2315" s="336">
        <v>0.11324223297996201</v>
      </c>
      <c r="P2315" s="258">
        <f t="shared" si="601"/>
        <v>0.11324223297996201</v>
      </c>
      <c r="Q2315" s="354">
        <v>163.19</v>
      </c>
      <c r="R2315" s="249">
        <f t="shared" si="602"/>
        <v>166.87294499999999</v>
      </c>
      <c r="S2315" s="355">
        <v>0.1</v>
      </c>
      <c r="T2315" s="355"/>
      <c r="U2315" s="315">
        <f t="shared" si="591"/>
        <v>183.56023949999999</v>
      </c>
      <c r="V2315" s="315">
        <f t="shared" si="592"/>
        <v>185</v>
      </c>
      <c r="W2315" s="316">
        <f t="shared" si="603"/>
        <v>0</v>
      </c>
    </row>
    <row r="2316" spans="1:23" x14ac:dyDescent="0.25">
      <c r="A2316" s="204" t="s">
        <v>17982</v>
      </c>
      <c r="B2316" s="351" t="s">
        <v>22015</v>
      </c>
      <c r="C2316" s="352"/>
      <c r="D2316" s="353" t="s">
        <v>5</v>
      </c>
      <c r="E2316" s="249">
        <f t="shared" si="594"/>
        <v>0</v>
      </c>
      <c r="F2316" s="336">
        <v>0</v>
      </c>
      <c r="G2316" s="258">
        <f t="shared" si="595"/>
        <v>0</v>
      </c>
      <c r="H2316" s="249">
        <f t="shared" si="596"/>
        <v>6.3668812249097581E-2</v>
      </c>
      <c r="I2316" s="336">
        <v>6.5629021386114358E-2</v>
      </c>
      <c r="J2316" s="258">
        <f t="shared" si="597"/>
        <v>6.5629021386114358E-2</v>
      </c>
      <c r="K2316" s="249">
        <f t="shared" si="598"/>
        <v>0.79654380515934486</v>
      </c>
      <c r="L2316" s="336">
        <v>0.82106746736932412</v>
      </c>
      <c r="M2316" s="258">
        <f t="shared" si="599"/>
        <v>0.82106746736932412</v>
      </c>
      <c r="N2316" s="251">
        <f t="shared" si="600"/>
        <v>0.10985991133177621</v>
      </c>
      <c r="O2316" s="336">
        <v>0.11324223297996201</v>
      </c>
      <c r="P2316" s="258">
        <f t="shared" si="601"/>
        <v>0.11324223297996201</v>
      </c>
      <c r="Q2316" s="354">
        <v>0.94877906976744186</v>
      </c>
      <c r="R2316" s="249">
        <f t="shared" si="602"/>
        <v>0.97013197674418605</v>
      </c>
      <c r="S2316" s="355">
        <v>0.1</v>
      </c>
      <c r="T2316" s="355"/>
      <c r="U2316" s="315">
        <f t="shared" si="591"/>
        <v>1.0671451744186047</v>
      </c>
      <c r="V2316" s="315">
        <f t="shared" si="592"/>
        <v>2</v>
      </c>
      <c r="W2316" s="316">
        <f t="shared" si="603"/>
        <v>0</v>
      </c>
    </row>
    <row r="2317" spans="1:23" x14ac:dyDescent="0.25">
      <c r="A2317" s="204" t="s">
        <v>17983</v>
      </c>
      <c r="B2317" s="351" t="s">
        <v>22016</v>
      </c>
      <c r="C2317" s="352"/>
      <c r="D2317" s="353" t="s">
        <v>14859</v>
      </c>
      <c r="E2317" s="249">
        <f t="shared" si="594"/>
        <v>0</v>
      </c>
      <c r="F2317" s="336">
        <v>0</v>
      </c>
      <c r="G2317" s="258">
        <f t="shared" si="595"/>
        <v>0</v>
      </c>
      <c r="H2317" s="249">
        <f t="shared" si="596"/>
        <v>10.957032337028492</v>
      </c>
      <c r="I2317" s="336">
        <v>4.8737866728556026E-2</v>
      </c>
      <c r="J2317" s="258">
        <f t="shared" si="597"/>
        <v>4.8737866728556026E-2</v>
      </c>
      <c r="K2317" s="249">
        <f t="shared" si="598"/>
        <v>194.95230728731448</v>
      </c>
      <c r="L2317" s="336">
        <v>0.86716542205354341</v>
      </c>
      <c r="M2317" s="258">
        <f t="shared" si="599"/>
        <v>0.86716542205354341</v>
      </c>
      <c r="N2317" s="251">
        <f t="shared" si="600"/>
        <v>18.906251875657006</v>
      </c>
      <c r="O2317" s="336">
        <v>8.4096711217900591E-2</v>
      </c>
      <c r="P2317" s="258">
        <f t="shared" si="601"/>
        <v>8.4096711217900591E-2</v>
      </c>
      <c r="Q2317" s="354">
        <v>219.74699999999999</v>
      </c>
      <c r="R2317" s="249">
        <f t="shared" si="602"/>
        <v>224.81559149999998</v>
      </c>
      <c r="S2317" s="355">
        <v>0.1</v>
      </c>
      <c r="T2317" s="355"/>
      <c r="U2317" s="315">
        <f t="shared" si="591"/>
        <v>247.29715064999999</v>
      </c>
      <c r="V2317" s="315">
        <f t="shared" si="592"/>
        <v>250</v>
      </c>
      <c r="W2317" s="316">
        <f t="shared" si="603"/>
        <v>0</v>
      </c>
    </row>
    <row r="2318" spans="1:23" x14ac:dyDescent="0.25">
      <c r="A2318" s="204" t="s">
        <v>17984</v>
      </c>
      <c r="B2318" s="351" t="s">
        <v>22017</v>
      </c>
      <c r="C2318" s="352"/>
      <c r="D2318" s="353" t="s">
        <v>5</v>
      </c>
      <c r="E2318" s="249">
        <f t="shared" si="594"/>
        <v>0</v>
      </c>
      <c r="F2318" s="336">
        <v>0</v>
      </c>
      <c r="G2318" s="258">
        <f t="shared" si="595"/>
        <v>0</v>
      </c>
      <c r="H2318" s="249">
        <f t="shared" si="596"/>
        <v>6.370077335804572E-2</v>
      </c>
      <c r="I2318" s="336">
        <v>4.8737866728556026E-2</v>
      </c>
      <c r="J2318" s="258">
        <f t="shared" si="597"/>
        <v>4.8737866728556026E-2</v>
      </c>
      <c r="K2318" s="249">
        <f t="shared" si="598"/>
        <v>1.1333325173721325</v>
      </c>
      <c r="L2318" s="336">
        <v>0.86711991517517895</v>
      </c>
      <c r="M2318" s="258">
        <f t="shared" si="599"/>
        <v>0.86711991517517895</v>
      </c>
      <c r="N2318" s="251">
        <f t="shared" si="600"/>
        <v>0.10991505991192202</v>
      </c>
      <c r="O2318" s="336">
        <v>8.4096711217900591E-2</v>
      </c>
      <c r="P2318" s="258">
        <f t="shared" si="601"/>
        <v>8.4096711217900591E-2</v>
      </c>
      <c r="Q2318" s="354">
        <v>1.2775988372093023</v>
      </c>
      <c r="R2318" s="249">
        <f t="shared" si="602"/>
        <v>1.3070078284883726</v>
      </c>
      <c r="S2318" s="355">
        <v>0.1</v>
      </c>
      <c r="T2318" s="355"/>
      <c r="U2318" s="315">
        <f t="shared" si="591"/>
        <v>1.43770861133721</v>
      </c>
      <c r="V2318" s="315">
        <f t="shared" si="592"/>
        <v>2</v>
      </c>
      <c r="W2318" s="316">
        <f t="shared" si="603"/>
        <v>0</v>
      </c>
    </row>
    <row r="2319" spans="1:23" x14ac:dyDescent="0.25">
      <c r="A2319" s="204" t="s">
        <v>17985</v>
      </c>
      <c r="B2319" s="351" t="s">
        <v>22018</v>
      </c>
      <c r="C2319" s="352"/>
      <c r="D2319" s="353" t="s">
        <v>14859</v>
      </c>
      <c r="E2319" s="249">
        <f t="shared" si="594"/>
        <v>0</v>
      </c>
      <c r="F2319" s="336">
        <v>0</v>
      </c>
      <c r="G2319" s="258">
        <f t="shared" si="595"/>
        <v>0</v>
      </c>
      <c r="H2319" s="249">
        <f t="shared" si="596"/>
        <v>10.960477229776961</v>
      </c>
      <c r="I2319" s="336">
        <v>3.7808985194128494E-2</v>
      </c>
      <c r="J2319" s="258">
        <f t="shared" si="597"/>
        <v>3.7808985194128494E-2</v>
      </c>
      <c r="K2319" s="249">
        <f t="shared" si="598"/>
        <v>260.01813376590201</v>
      </c>
      <c r="L2319" s="336">
        <v>0.89695198152972833</v>
      </c>
      <c r="M2319" s="258">
        <f t="shared" si="599"/>
        <v>0.89695198152972833</v>
      </c>
      <c r="N2319" s="251">
        <f t="shared" si="600"/>
        <v>18.912196004321029</v>
      </c>
      <c r="O2319" s="336">
        <v>6.5239033276143277E-2</v>
      </c>
      <c r="P2319" s="258">
        <f t="shared" si="601"/>
        <v>6.5239033276143277E-2</v>
      </c>
      <c r="Q2319" s="354">
        <v>283.26599999999996</v>
      </c>
      <c r="R2319" s="249">
        <f t="shared" si="602"/>
        <v>289.890807</v>
      </c>
      <c r="S2319" s="355">
        <v>0.1</v>
      </c>
      <c r="T2319" s="355"/>
      <c r="U2319" s="315">
        <f t="shared" si="591"/>
        <v>318.87988769999998</v>
      </c>
      <c r="V2319" s="315">
        <f t="shared" si="592"/>
        <v>320</v>
      </c>
      <c r="W2319" s="316">
        <f t="shared" si="603"/>
        <v>0</v>
      </c>
    </row>
    <row r="2320" spans="1:23" x14ac:dyDescent="0.25">
      <c r="A2320" s="204" t="s">
        <v>17986</v>
      </c>
      <c r="B2320" s="351" t="s">
        <v>22019</v>
      </c>
      <c r="C2320" s="352"/>
      <c r="D2320" s="353" t="s">
        <v>5</v>
      </c>
      <c r="E2320" s="249">
        <f t="shared" si="594"/>
        <v>0</v>
      </c>
      <c r="F2320" s="336">
        <v>0</v>
      </c>
      <c r="G2320" s="258">
        <f t="shared" si="595"/>
        <v>0</v>
      </c>
      <c r="H2320" s="249">
        <f t="shared" si="596"/>
        <v>6.372145277164909E-2</v>
      </c>
      <c r="I2320" s="336">
        <v>3.7808985194128494E-2</v>
      </c>
      <c r="J2320" s="258">
        <f t="shared" si="597"/>
        <v>3.7808985194128494E-2</v>
      </c>
      <c r="K2320" s="249">
        <f t="shared" si="598"/>
        <v>1.5116204126873756</v>
      </c>
      <c r="L2320" s="336">
        <v>0.89691667902254402</v>
      </c>
      <c r="M2320" s="258">
        <f t="shared" si="599"/>
        <v>0.89691667902254402</v>
      </c>
      <c r="N2320" s="251">
        <f t="shared" si="600"/>
        <v>0.10995074203735529</v>
      </c>
      <c r="O2320" s="336">
        <v>6.5239033276143277E-2</v>
      </c>
      <c r="P2320" s="258">
        <f t="shared" si="601"/>
        <v>6.5239033276143277E-2</v>
      </c>
      <c r="Q2320" s="354">
        <v>1.6468953488372091</v>
      </c>
      <c r="R2320" s="249">
        <f t="shared" si="602"/>
        <v>1.6853521046511624</v>
      </c>
      <c r="S2320" s="355">
        <v>0.1</v>
      </c>
      <c r="T2320" s="355"/>
      <c r="U2320" s="315">
        <f t="shared" si="591"/>
        <v>1.8538873151162787</v>
      </c>
      <c r="V2320" s="315">
        <f t="shared" si="592"/>
        <v>2</v>
      </c>
      <c r="W2320" s="316">
        <f t="shared" si="603"/>
        <v>0</v>
      </c>
    </row>
    <row r="2321" spans="1:23" x14ac:dyDescent="0.25">
      <c r="A2321" s="204" t="s">
        <v>17987</v>
      </c>
      <c r="B2321" s="351" t="s">
        <v>22020</v>
      </c>
      <c r="C2321" s="352"/>
      <c r="D2321" s="353" t="s">
        <v>14859</v>
      </c>
      <c r="E2321" s="249">
        <f t="shared" si="594"/>
        <v>0</v>
      </c>
      <c r="F2321" s="336">
        <v>0</v>
      </c>
      <c r="G2321" s="258">
        <f t="shared" si="595"/>
        <v>0</v>
      </c>
      <c r="H2321" s="249">
        <f t="shared" si="596"/>
        <v>10.961223554551772</v>
      </c>
      <c r="I2321" s="336">
        <v>3.5441278665740102E-2</v>
      </c>
      <c r="J2321" s="258">
        <f t="shared" si="597"/>
        <v>3.5441278665740102E-2</v>
      </c>
      <c r="K2321" s="249">
        <f t="shared" si="598"/>
        <v>279.40373766504513</v>
      </c>
      <c r="L2321" s="336">
        <v>0.90340514246004167</v>
      </c>
      <c r="M2321" s="258">
        <f t="shared" si="599"/>
        <v>0.90340514246004167</v>
      </c>
      <c r="N2321" s="251">
        <f t="shared" si="600"/>
        <v>18.913483780403059</v>
      </c>
      <c r="O2321" s="336">
        <v>6.1153578874218212E-2</v>
      </c>
      <c r="P2321" s="258">
        <f t="shared" si="601"/>
        <v>6.1153578874218212E-2</v>
      </c>
      <c r="Q2321" s="354">
        <v>302.19</v>
      </c>
      <c r="R2321" s="249">
        <f t="shared" si="602"/>
        <v>309.27844499999998</v>
      </c>
      <c r="S2321" s="355">
        <v>0.1</v>
      </c>
      <c r="T2321" s="355"/>
      <c r="U2321" s="315">
        <f t="shared" si="591"/>
        <v>340.20628949999997</v>
      </c>
      <c r="V2321" s="315">
        <f t="shared" si="592"/>
        <v>345</v>
      </c>
      <c r="W2321" s="316">
        <f t="shared" si="603"/>
        <v>0</v>
      </c>
    </row>
    <row r="2322" spans="1:23" x14ac:dyDescent="0.25">
      <c r="A2322" s="204" t="s">
        <v>17988</v>
      </c>
      <c r="B2322" s="351" t="s">
        <v>22021</v>
      </c>
      <c r="C2322" s="352"/>
      <c r="D2322" s="353" t="s">
        <v>5</v>
      </c>
      <c r="E2322" s="249">
        <f t="shared" si="594"/>
        <v>0</v>
      </c>
      <c r="F2322" s="336">
        <v>0</v>
      </c>
      <c r="G2322" s="258">
        <f t="shared" si="595"/>
        <v>0</v>
      </c>
      <c r="H2322" s="249">
        <f t="shared" si="596"/>
        <v>6.372593289913861E-2</v>
      </c>
      <c r="I2322" s="336">
        <v>3.5441278665740102E-2</v>
      </c>
      <c r="J2322" s="258">
        <f t="shared" si="597"/>
        <v>3.5441278665740102E-2</v>
      </c>
      <c r="K2322" s="249">
        <f t="shared" si="598"/>
        <v>1.6243270235420955</v>
      </c>
      <c r="L2322" s="336">
        <v>0.90337205069658144</v>
      </c>
      <c r="M2322" s="258">
        <f t="shared" si="599"/>
        <v>0.90337205069658144</v>
      </c>
      <c r="N2322" s="251">
        <f t="shared" si="600"/>
        <v>0.10995847245341563</v>
      </c>
      <c r="O2322" s="336">
        <v>6.1153578874218212E-2</v>
      </c>
      <c r="P2322" s="258">
        <f t="shared" si="601"/>
        <v>6.1153578874218212E-2</v>
      </c>
      <c r="Q2322" s="354">
        <v>1.7569186046511627</v>
      </c>
      <c r="R2322" s="249">
        <f t="shared" si="602"/>
        <v>1.7980709302325577</v>
      </c>
      <c r="S2322" s="355">
        <v>0.1</v>
      </c>
      <c r="T2322" s="355"/>
      <c r="U2322" s="315">
        <f t="shared" si="591"/>
        <v>1.9778780232558135</v>
      </c>
      <c r="V2322" s="315">
        <f t="shared" si="592"/>
        <v>2</v>
      </c>
      <c r="W2322" s="316">
        <f t="shared" si="603"/>
        <v>0</v>
      </c>
    </row>
    <row r="2323" spans="1:23" ht="14.4" thickBot="1" x14ac:dyDescent="0.3">
      <c r="A2323" s="356" t="s">
        <v>17989</v>
      </c>
      <c r="B2323" s="357" t="s">
        <v>22022</v>
      </c>
      <c r="C2323" s="358"/>
      <c r="D2323" s="359" t="s">
        <v>14859</v>
      </c>
      <c r="E2323" s="266">
        <f t="shared" si="594"/>
        <v>0</v>
      </c>
      <c r="F2323" s="360">
        <v>0</v>
      </c>
      <c r="G2323" s="322">
        <f t="shared" si="595"/>
        <v>0</v>
      </c>
      <c r="H2323" s="266">
        <f t="shared" si="596"/>
        <v>10.961441045945683</v>
      </c>
      <c r="I2323" s="360">
        <v>3.4751289788766675E-2</v>
      </c>
      <c r="J2323" s="322">
        <f t="shared" si="597"/>
        <v>3.4751289788766675E-2</v>
      </c>
      <c r="K2323" s="266">
        <f t="shared" si="598"/>
        <v>285.55014489438332</v>
      </c>
      <c r="L2323" s="360">
        <v>0.90528570037963596</v>
      </c>
      <c r="M2323" s="322">
        <f t="shared" si="599"/>
        <v>0.90528570037963596</v>
      </c>
      <c r="N2323" s="270">
        <f t="shared" si="600"/>
        <v>18.91385905967098</v>
      </c>
      <c r="O2323" s="360">
        <v>5.9963009831597393E-2</v>
      </c>
      <c r="P2323" s="322">
        <f t="shared" si="601"/>
        <v>5.9963009831597393E-2</v>
      </c>
      <c r="Q2323" s="361">
        <v>308.19</v>
      </c>
      <c r="R2323" s="266">
        <f t="shared" si="602"/>
        <v>315.42544499999997</v>
      </c>
      <c r="S2323" s="362">
        <v>0.1</v>
      </c>
      <c r="T2323" s="362"/>
      <c r="U2323" s="324">
        <f t="shared" si="591"/>
        <v>346.96798949999999</v>
      </c>
      <c r="V2323" s="324">
        <f t="shared" si="592"/>
        <v>350</v>
      </c>
      <c r="W2323" s="325">
        <f t="shared" si="603"/>
        <v>0</v>
      </c>
    </row>
    <row r="2324" spans="1:23" x14ac:dyDescent="0.25">
      <c r="A2324" s="204" t="s">
        <v>17990</v>
      </c>
      <c r="B2324" s="351" t="s">
        <v>22023</v>
      </c>
      <c r="C2324" s="352"/>
      <c r="D2324" s="353" t="s">
        <v>5</v>
      </c>
      <c r="E2324" s="249">
        <f t="shared" si="594"/>
        <v>0</v>
      </c>
      <c r="F2324" s="336">
        <v>0</v>
      </c>
      <c r="G2324" s="258">
        <f t="shared" si="595"/>
        <v>0</v>
      </c>
      <c r="H2324" s="249">
        <f t="shared" si="596"/>
        <v>6.3727238482452306E-2</v>
      </c>
      <c r="I2324" s="336">
        <v>3.4751289788766675E-2</v>
      </c>
      <c r="J2324" s="258">
        <f t="shared" si="597"/>
        <v>3.4751289788766675E-2</v>
      </c>
      <c r="K2324" s="249">
        <f t="shared" si="598"/>
        <v>1.6600618360615653</v>
      </c>
      <c r="L2324" s="336">
        <v>0.90525325286349323</v>
      </c>
      <c r="M2324" s="258">
        <f t="shared" si="599"/>
        <v>0.90525325286349323</v>
      </c>
      <c r="N2324" s="251">
        <f t="shared" si="600"/>
        <v>0.10996072522462357</v>
      </c>
      <c r="O2324" s="336">
        <v>5.9963009831597393E-2</v>
      </c>
      <c r="P2324" s="258">
        <f t="shared" si="601"/>
        <v>5.9963009831597393E-2</v>
      </c>
      <c r="Q2324" s="354">
        <v>1.7918023255813953</v>
      </c>
      <c r="R2324" s="249">
        <f t="shared" si="602"/>
        <v>1.833809302325581</v>
      </c>
      <c r="S2324" s="355">
        <v>0.1</v>
      </c>
      <c r="T2324" s="355"/>
      <c r="U2324" s="315">
        <f t="shared" si="591"/>
        <v>2.0171902325581392</v>
      </c>
      <c r="V2324" s="315">
        <f t="shared" si="592"/>
        <v>3</v>
      </c>
      <c r="W2324" s="316">
        <f t="shared" si="603"/>
        <v>0</v>
      </c>
    </row>
    <row r="2325" spans="1:23" x14ac:dyDescent="0.25">
      <c r="A2325" s="204" t="s">
        <v>17991</v>
      </c>
      <c r="B2325" s="351" t="s">
        <v>22024</v>
      </c>
      <c r="C2325" s="352"/>
      <c r="D2325" s="353" t="s">
        <v>14859</v>
      </c>
      <c r="E2325" s="249">
        <f t="shared" si="594"/>
        <v>0</v>
      </c>
      <c r="F2325" s="336">
        <v>0</v>
      </c>
      <c r="G2325" s="258">
        <f t="shared" si="595"/>
        <v>0</v>
      </c>
      <c r="H2325" s="249">
        <f t="shared" si="596"/>
        <v>10.961441045945683</v>
      </c>
      <c r="I2325" s="336">
        <v>3.4751289788766675E-2</v>
      </c>
      <c r="J2325" s="258">
        <f t="shared" si="597"/>
        <v>3.4751289788766675E-2</v>
      </c>
      <c r="K2325" s="249">
        <f t="shared" si="598"/>
        <v>285.55014489438332</v>
      </c>
      <c r="L2325" s="336">
        <v>0.90528570037963596</v>
      </c>
      <c r="M2325" s="258">
        <f t="shared" si="599"/>
        <v>0.90528570037963596</v>
      </c>
      <c r="N2325" s="251">
        <f t="shared" si="600"/>
        <v>18.91385905967098</v>
      </c>
      <c r="O2325" s="336">
        <v>5.9963009831597393E-2</v>
      </c>
      <c r="P2325" s="258">
        <f t="shared" si="601"/>
        <v>5.9963009831597393E-2</v>
      </c>
      <c r="Q2325" s="354">
        <v>308.19</v>
      </c>
      <c r="R2325" s="249">
        <f t="shared" si="602"/>
        <v>315.42544499999997</v>
      </c>
      <c r="S2325" s="355">
        <v>0.1</v>
      </c>
      <c r="T2325" s="355"/>
      <c r="U2325" s="315">
        <f t="shared" si="591"/>
        <v>346.96798949999999</v>
      </c>
      <c r="V2325" s="315">
        <f t="shared" si="592"/>
        <v>350</v>
      </c>
      <c r="W2325" s="316">
        <f t="shared" si="603"/>
        <v>0</v>
      </c>
    </row>
    <row r="2326" spans="1:23" x14ac:dyDescent="0.25">
      <c r="A2326" s="204" t="s">
        <v>17992</v>
      </c>
      <c r="B2326" s="351" t="s">
        <v>22025</v>
      </c>
      <c r="C2326" s="352"/>
      <c r="D2326" s="353" t="s">
        <v>5</v>
      </c>
      <c r="E2326" s="249">
        <f t="shared" si="594"/>
        <v>0</v>
      </c>
      <c r="F2326" s="336">
        <v>0</v>
      </c>
      <c r="G2326" s="258">
        <f t="shared" si="595"/>
        <v>0</v>
      </c>
      <c r="H2326" s="249">
        <f t="shared" si="596"/>
        <v>6.3727238482452306E-2</v>
      </c>
      <c r="I2326" s="336">
        <v>3.4751289788766675E-2</v>
      </c>
      <c r="J2326" s="258">
        <f t="shared" si="597"/>
        <v>3.4751289788766675E-2</v>
      </c>
      <c r="K2326" s="249">
        <f t="shared" si="598"/>
        <v>1.6600618360615653</v>
      </c>
      <c r="L2326" s="336">
        <v>0.90525325286349323</v>
      </c>
      <c r="M2326" s="258">
        <f t="shared" si="599"/>
        <v>0.90525325286349323</v>
      </c>
      <c r="N2326" s="251">
        <f t="shared" si="600"/>
        <v>0.10996072522462357</v>
      </c>
      <c r="O2326" s="336">
        <v>5.9963009831597393E-2</v>
      </c>
      <c r="P2326" s="258">
        <f t="shared" si="601"/>
        <v>5.9963009831597393E-2</v>
      </c>
      <c r="Q2326" s="354">
        <v>1.7918023255813953</v>
      </c>
      <c r="R2326" s="249">
        <f t="shared" si="602"/>
        <v>1.833809302325581</v>
      </c>
      <c r="S2326" s="355">
        <v>0.1</v>
      </c>
      <c r="T2326" s="355"/>
      <c r="U2326" s="315">
        <f t="shared" si="591"/>
        <v>2.0171902325581392</v>
      </c>
      <c r="V2326" s="315">
        <f t="shared" si="592"/>
        <v>3</v>
      </c>
      <c r="W2326" s="316">
        <f t="shared" si="603"/>
        <v>0</v>
      </c>
    </row>
    <row r="2327" spans="1:23" x14ac:dyDescent="0.25">
      <c r="A2327" s="204" t="s">
        <v>17993</v>
      </c>
      <c r="B2327" s="351" t="s">
        <v>22026</v>
      </c>
      <c r="C2327" s="352"/>
      <c r="D2327" s="353" t="s">
        <v>14859</v>
      </c>
      <c r="E2327" s="249">
        <f t="shared" si="594"/>
        <v>0</v>
      </c>
      <c r="F2327" s="336">
        <v>0</v>
      </c>
      <c r="G2327" s="258">
        <f t="shared" si="595"/>
        <v>0</v>
      </c>
      <c r="H2327" s="249">
        <f t="shared" si="596"/>
        <v>10.962442173855361</v>
      </c>
      <c r="I2327" s="336">
        <v>3.1575223326159384E-2</v>
      </c>
      <c r="J2327" s="258">
        <f t="shared" si="597"/>
        <v>3.1575223326159384E-2</v>
      </c>
      <c r="K2327" s="249">
        <f t="shared" si="598"/>
        <v>317.30691633008047</v>
      </c>
      <c r="L2327" s="336">
        <v>0.91394203838556565</v>
      </c>
      <c r="M2327" s="258">
        <f t="shared" si="599"/>
        <v>0.91394203838556565</v>
      </c>
      <c r="N2327" s="251">
        <f t="shared" si="600"/>
        <v>18.915586496064151</v>
      </c>
      <c r="O2327" s="336">
        <v>5.4482738288275011E-2</v>
      </c>
      <c r="P2327" s="258">
        <f t="shared" si="601"/>
        <v>5.4482738288275011E-2</v>
      </c>
      <c r="Q2327" s="354">
        <v>339.19</v>
      </c>
      <c r="R2327" s="249">
        <f t="shared" si="602"/>
        <v>347.18494499999997</v>
      </c>
      <c r="S2327" s="355">
        <v>0.1</v>
      </c>
      <c r="T2327" s="355"/>
      <c r="U2327" s="315">
        <f t="shared" si="591"/>
        <v>381.90343949999999</v>
      </c>
      <c r="V2327" s="315">
        <f t="shared" si="592"/>
        <v>385</v>
      </c>
      <c r="W2327" s="316">
        <f t="shared" si="603"/>
        <v>0</v>
      </c>
    </row>
    <row r="2328" spans="1:23" x14ac:dyDescent="0.25">
      <c r="A2328" s="204" t="s">
        <v>17994</v>
      </c>
      <c r="B2328" s="351" t="s">
        <v>22027</v>
      </c>
      <c r="C2328" s="352"/>
      <c r="D2328" s="353" t="s">
        <v>5</v>
      </c>
      <c r="E2328" s="249">
        <f t="shared" si="594"/>
        <v>0</v>
      </c>
      <c r="F2328" s="336">
        <v>0</v>
      </c>
      <c r="G2328" s="258">
        <f t="shared" si="595"/>
        <v>0</v>
      </c>
      <c r="H2328" s="249">
        <f t="shared" si="596"/>
        <v>6.3733248172630153E-2</v>
      </c>
      <c r="I2328" s="336">
        <v>3.1575223326159384E-2</v>
      </c>
      <c r="J2328" s="258">
        <f t="shared" si="597"/>
        <v>3.1575223326159384E-2</v>
      </c>
      <c r="K2328" s="249">
        <f t="shared" si="598"/>
        <v>1.8446937069125691</v>
      </c>
      <c r="L2328" s="336">
        <v>0.91391255638432722</v>
      </c>
      <c r="M2328" s="258">
        <f t="shared" si="599"/>
        <v>0.91391255638432722</v>
      </c>
      <c r="N2328" s="251">
        <f t="shared" si="600"/>
        <v>0.1099710948861069</v>
      </c>
      <c r="O2328" s="336">
        <v>5.4482738288275004E-2</v>
      </c>
      <c r="P2328" s="258">
        <f t="shared" si="601"/>
        <v>5.4482738288275004E-2</v>
      </c>
      <c r="Q2328" s="354">
        <v>1.9720348837209303</v>
      </c>
      <c r="R2328" s="249">
        <f t="shared" si="602"/>
        <v>2.0184575581395348</v>
      </c>
      <c r="S2328" s="355">
        <v>0.1</v>
      </c>
      <c r="T2328" s="355"/>
      <c r="U2328" s="315">
        <f t="shared" si="591"/>
        <v>2.2203033139534885</v>
      </c>
      <c r="V2328" s="315">
        <f t="shared" si="592"/>
        <v>3</v>
      </c>
      <c r="W2328" s="316">
        <f t="shared" si="603"/>
        <v>0</v>
      </c>
    </row>
    <row r="2329" spans="1:23" x14ac:dyDescent="0.25">
      <c r="A2329" s="204" t="s">
        <v>17995</v>
      </c>
      <c r="B2329" s="351" t="s">
        <v>22028</v>
      </c>
      <c r="C2329" s="352"/>
      <c r="D2329" s="353" t="s">
        <v>14859</v>
      </c>
      <c r="E2329" s="249">
        <f t="shared" si="594"/>
        <v>0</v>
      </c>
      <c r="F2329" s="336">
        <v>0</v>
      </c>
      <c r="G2329" s="258">
        <f t="shared" si="595"/>
        <v>0</v>
      </c>
      <c r="H2329" s="249">
        <f t="shared" si="596"/>
        <v>10.962442173855361</v>
      </c>
      <c r="I2329" s="336">
        <v>3.1575223326159384E-2</v>
      </c>
      <c r="J2329" s="258">
        <f t="shared" si="597"/>
        <v>3.1575223326159384E-2</v>
      </c>
      <c r="K2329" s="249">
        <f t="shared" si="598"/>
        <v>317.30691633008047</v>
      </c>
      <c r="L2329" s="336">
        <v>0.91394203838556565</v>
      </c>
      <c r="M2329" s="258">
        <f t="shared" si="599"/>
        <v>0.91394203838556565</v>
      </c>
      <c r="N2329" s="251">
        <f t="shared" si="600"/>
        <v>18.915586496064151</v>
      </c>
      <c r="O2329" s="336">
        <v>5.4482738288275011E-2</v>
      </c>
      <c r="P2329" s="258">
        <f t="shared" si="601"/>
        <v>5.4482738288275011E-2</v>
      </c>
      <c r="Q2329" s="354">
        <v>339.19</v>
      </c>
      <c r="R2329" s="249">
        <f t="shared" si="602"/>
        <v>347.18494499999997</v>
      </c>
      <c r="S2329" s="355">
        <v>0.1</v>
      </c>
      <c r="T2329" s="355"/>
      <c r="U2329" s="315">
        <f t="shared" si="591"/>
        <v>381.90343949999999</v>
      </c>
      <c r="V2329" s="315">
        <f t="shared" si="592"/>
        <v>385</v>
      </c>
      <c r="W2329" s="316">
        <f t="shared" si="603"/>
        <v>0</v>
      </c>
    </row>
    <row r="2330" spans="1:23" x14ac:dyDescent="0.25">
      <c r="A2330" s="204" t="s">
        <v>17996</v>
      </c>
      <c r="B2330" s="351" t="s">
        <v>22029</v>
      </c>
      <c r="C2330" s="352"/>
      <c r="D2330" s="353" t="s">
        <v>5</v>
      </c>
      <c r="E2330" s="249">
        <f t="shared" si="594"/>
        <v>0</v>
      </c>
      <c r="F2330" s="336">
        <v>0</v>
      </c>
      <c r="G2330" s="258">
        <f t="shared" si="595"/>
        <v>0</v>
      </c>
      <c r="H2330" s="249">
        <f t="shared" si="596"/>
        <v>6.3733248172630153E-2</v>
      </c>
      <c r="I2330" s="336">
        <v>3.1575223326159384E-2</v>
      </c>
      <c r="J2330" s="258">
        <f t="shared" si="597"/>
        <v>3.1575223326159384E-2</v>
      </c>
      <c r="K2330" s="249">
        <f t="shared" si="598"/>
        <v>1.8446937069125691</v>
      </c>
      <c r="L2330" s="336">
        <v>0.91391255638432722</v>
      </c>
      <c r="M2330" s="258">
        <f t="shared" si="599"/>
        <v>0.91391255638432722</v>
      </c>
      <c r="N2330" s="251">
        <f t="shared" si="600"/>
        <v>0.1099710948861069</v>
      </c>
      <c r="O2330" s="336">
        <v>5.4482738288275004E-2</v>
      </c>
      <c r="P2330" s="258">
        <f t="shared" si="601"/>
        <v>5.4482738288275004E-2</v>
      </c>
      <c r="Q2330" s="354">
        <v>1.9720348837209303</v>
      </c>
      <c r="R2330" s="249">
        <f t="shared" si="602"/>
        <v>2.0184575581395348</v>
      </c>
      <c r="S2330" s="355">
        <v>0.1</v>
      </c>
      <c r="T2330" s="355"/>
      <c r="U2330" s="315">
        <f t="shared" si="591"/>
        <v>2.2203033139534885</v>
      </c>
      <c r="V2330" s="315">
        <f t="shared" si="592"/>
        <v>3</v>
      </c>
      <c r="W2330" s="316">
        <f t="shared" si="603"/>
        <v>0</v>
      </c>
    </row>
    <row r="2331" spans="1:23" x14ac:dyDescent="0.25">
      <c r="A2331" s="204" t="s">
        <v>17997</v>
      </c>
      <c r="B2331" s="351" t="s">
        <v>22030</v>
      </c>
      <c r="C2331" s="352"/>
      <c r="D2331" s="353" t="s">
        <v>14859</v>
      </c>
      <c r="E2331" s="249">
        <f t="shared" si="594"/>
        <v>0</v>
      </c>
      <c r="F2331" s="336">
        <v>0</v>
      </c>
      <c r="G2331" s="258">
        <f t="shared" si="595"/>
        <v>0</v>
      </c>
      <c r="H2331" s="249">
        <f t="shared" si="596"/>
        <v>10.962996355549988</v>
      </c>
      <c r="I2331" s="336">
        <v>2.9817088449010275E-2</v>
      </c>
      <c r="J2331" s="258">
        <f t="shared" si="597"/>
        <v>2.9817088449010275E-2</v>
      </c>
      <c r="K2331" s="249">
        <f t="shared" si="598"/>
        <v>337.79540591330493</v>
      </c>
      <c r="L2331" s="336">
        <v>0.91873381775661911</v>
      </c>
      <c r="M2331" s="258">
        <f t="shared" si="599"/>
        <v>0.91873381775661911</v>
      </c>
      <c r="N2331" s="251">
        <f t="shared" si="600"/>
        <v>18.916542731145075</v>
      </c>
      <c r="O2331" s="336">
        <v>5.1449093794370668E-2</v>
      </c>
      <c r="P2331" s="258">
        <f t="shared" si="601"/>
        <v>5.1449093794370668E-2</v>
      </c>
      <c r="Q2331" s="354">
        <v>359.19</v>
      </c>
      <c r="R2331" s="249">
        <f t="shared" si="602"/>
        <v>367.67494499999998</v>
      </c>
      <c r="S2331" s="355">
        <v>0.1</v>
      </c>
      <c r="T2331" s="355"/>
      <c r="U2331" s="315">
        <f t="shared" si="591"/>
        <v>404.44243949999998</v>
      </c>
      <c r="V2331" s="315">
        <f t="shared" si="592"/>
        <v>405</v>
      </c>
      <c r="W2331" s="316">
        <f t="shared" si="603"/>
        <v>0</v>
      </c>
    </row>
    <row r="2332" spans="1:23" x14ac:dyDescent="0.25">
      <c r="A2332" s="204" t="s">
        <v>17998</v>
      </c>
      <c r="B2332" s="351" t="s">
        <v>22031</v>
      </c>
      <c r="C2332" s="352"/>
      <c r="D2332" s="353" t="s">
        <v>5</v>
      </c>
      <c r="E2332" s="249">
        <f t="shared" si="594"/>
        <v>0</v>
      </c>
      <c r="F2332" s="336">
        <v>0</v>
      </c>
      <c r="G2332" s="258">
        <f t="shared" si="595"/>
        <v>0</v>
      </c>
      <c r="H2332" s="249">
        <f t="shared" si="596"/>
        <v>6.3736574880690858E-2</v>
      </c>
      <c r="I2332" s="336">
        <v>2.9817088449010275E-2</v>
      </c>
      <c r="J2332" s="258">
        <f t="shared" si="597"/>
        <v>2.9817088449010275E-2</v>
      </c>
      <c r="K2332" s="249">
        <f t="shared" si="598"/>
        <v>1.9638125438729386</v>
      </c>
      <c r="L2332" s="336">
        <v>0.91870597733789905</v>
      </c>
      <c r="M2332" s="258">
        <f t="shared" si="599"/>
        <v>0.91870597733789905</v>
      </c>
      <c r="N2332" s="251">
        <f t="shared" si="600"/>
        <v>0.10997683508825089</v>
      </c>
      <c r="O2332" s="336">
        <v>5.1449093794370668E-2</v>
      </c>
      <c r="P2332" s="258">
        <f t="shared" si="601"/>
        <v>5.1449093794370668E-2</v>
      </c>
      <c r="Q2332" s="354">
        <v>2.0883139534883721</v>
      </c>
      <c r="R2332" s="249">
        <f t="shared" si="602"/>
        <v>2.1375854651162789</v>
      </c>
      <c r="S2332" s="355">
        <v>0.1</v>
      </c>
      <c r="T2332" s="355"/>
      <c r="U2332" s="315">
        <f t="shared" si="591"/>
        <v>2.3513440116279067</v>
      </c>
      <c r="V2332" s="315">
        <f t="shared" si="592"/>
        <v>3</v>
      </c>
      <c r="W2332" s="316">
        <f t="shared" si="603"/>
        <v>0</v>
      </c>
    </row>
    <row r="2333" spans="1:23" x14ac:dyDescent="0.25">
      <c r="A2333" s="204" t="s">
        <v>17999</v>
      </c>
      <c r="B2333" s="351" t="s">
        <v>22032</v>
      </c>
      <c r="C2333" s="352"/>
      <c r="D2333" s="353" t="s">
        <v>14859</v>
      </c>
      <c r="E2333" s="249">
        <f t="shared" si="594"/>
        <v>0</v>
      </c>
      <c r="F2333" s="336">
        <v>0</v>
      </c>
      <c r="G2333" s="258">
        <f t="shared" si="595"/>
        <v>0</v>
      </c>
      <c r="H2333" s="249">
        <f t="shared" si="596"/>
        <v>10.963275631297442</v>
      </c>
      <c r="I2333" s="336">
        <v>2.8931089440557552E-2</v>
      </c>
      <c r="J2333" s="258">
        <f t="shared" si="597"/>
        <v>2.8931089440557552E-2</v>
      </c>
      <c r="K2333" s="249">
        <f t="shared" si="598"/>
        <v>349.0641447499932</v>
      </c>
      <c r="L2333" s="336">
        <v>0.92114859936789217</v>
      </c>
      <c r="M2333" s="258">
        <f t="shared" si="599"/>
        <v>0.92114859936789217</v>
      </c>
      <c r="N2333" s="251">
        <f t="shared" si="600"/>
        <v>18.917024618709309</v>
      </c>
      <c r="O2333" s="336">
        <v>4.9920311191550285E-2</v>
      </c>
      <c r="P2333" s="258">
        <f t="shared" si="601"/>
        <v>4.9920311191550285E-2</v>
      </c>
      <c r="Q2333" s="354">
        <v>370.19</v>
      </c>
      <c r="R2333" s="249">
        <f t="shared" si="602"/>
        <v>378.94444499999997</v>
      </c>
      <c r="S2333" s="355">
        <v>0.1</v>
      </c>
      <c r="T2333" s="355"/>
      <c r="U2333" s="315">
        <f t="shared" si="591"/>
        <v>416.83888949999999</v>
      </c>
      <c r="V2333" s="315">
        <f t="shared" si="592"/>
        <v>420</v>
      </c>
      <c r="W2333" s="316">
        <f t="shared" si="603"/>
        <v>0</v>
      </c>
    </row>
    <row r="2334" spans="1:23" x14ac:dyDescent="0.25">
      <c r="A2334" s="204" t="s">
        <v>18000</v>
      </c>
      <c r="B2334" s="351" t="s">
        <v>22033</v>
      </c>
      <c r="C2334" s="352"/>
      <c r="D2334" s="353" t="s">
        <v>5</v>
      </c>
      <c r="E2334" s="249">
        <f t="shared" si="594"/>
        <v>0</v>
      </c>
      <c r="F2334" s="336">
        <v>0</v>
      </c>
      <c r="G2334" s="258">
        <f t="shared" si="595"/>
        <v>0</v>
      </c>
      <c r="H2334" s="249">
        <f t="shared" si="596"/>
        <v>6.3738251350500708E-2</v>
      </c>
      <c r="I2334" s="336">
        <v>2.8931089440557552E-2</v>
      </c>
      <c r="J2334" s="258">
        <f t="shared" si="597"/>
        <v>2.8931089440557552E-2</v>
      </c>
      <c r="K2334" s="249">
        <f t="shared" si="598"/>
        <v>2.0293283219427853</v>
      </c>
      <c r="L2334" s="336">
        <v>0.9211215862124853</v>
      </c>
      <c r="M2334" s="258">
        <f t="shared" si="599"/>
        <v>0.9211215862124853</v>
      </c>
      <c r="N2334" s="251">
        <f t="shared" si="600"/>
        <v>0.1099797278204718</v>
      </c>
      <c r="O2334" s="336">
        <v>4.9920311191550285E-2</v>
      </c>
      <c r="P2334" s="258">
        <f t="shared" si="601"/>
        <v>4.9920311191550285E-2</v>
      </c>
      <c r="Q2334" s="354">
        <v>2.1522674418604653</v>
      </c>
      <c r="R2334" s="249">
        <f t="shared" si="602"/>
        <v>2.203105813953488</v>
      </c>
      <c r="S2334" s="355">
        <v>0.1</v>
      </c>
      <c r="T2334" s="355"/>
      <c r="U2334" s="315">
        <f t="shared" si="591"/>
        <v>2.4234163953488368</v>
      </c>
      <c r="V2334" s="315">
        <f t="shared" si="592"/>
        <v>3</v>
      </c>
      <c r="W2334" s="316">
        <f t="shared" si="603"/>
        <v>0</v>
      </c>
    </row>
    <row r="2335" spans="1:23" x14ac:dyDescent="0.25">
      <c r="A2335" s="204" t="s">
        <v>18001</v>
      </c>
      <c r="B2335" s="351" t="s">
        <v>22034</v>
      </c>
      <c r="C2335" s="352"/>
      <c r="D2335" s="353" t="s">
        <v>14859</v>
      </c>
      <c r="E2335" s="249">
        <f t="shared" si="594"/>
        <v>0</v>
      </c>
      <c r="F2335" s="336">
        <v>0</v>
      </c>
      <c r="G2335" s="258">
        <f t="shared" si="595"/>
        <v>0</v>
      </c>
      <c r="H2335" s="249">
        <f t="shared" si="596"/>
        <v>10.963711897447077</v>
      </c>
      <c r="I2335" s="336">
        <v>2.7547040236426141E-2</v>
      </c>
      <c r="J2335" s="258">
        <f t="shared" si="597"/>
        <v>2.7547040236426141E-2</v>
      </c>
      <c r="K2335" s="249">
        <f t="shared" si="598"/>
        <v>368.11814346087954</v>
      </c>
      <c r="L2335" s="336">
        <v>0.92492081190464248</v>
      </c>
      <c r="M2335" s="258">
        <f t="shared" si="599"/>
        <v>0.92492081190464248</v>
      </c>
      <c r="N2335" s="251">
        <f t="shared" si="600"/>
        <v>18.917777391673386</v>
      </c>
      <c r="O2335" s="336">
        <v>4.7532147858931381E-2</v>
      </c>
      <c r="P2335" s="258">
        <f t="shared" si="601"/>
        <v>4.7532147858931381E-2</v>
      </c>
      <c r="Q2335" s="354">
        <v>388.78949999999998</v>
      </c>
      <c r="R2335" s="249">
        <f t="shared" si="602"/>
        <v>397.99963274999999</v>
      </c>
      <c r="S2335" s="355">
        <v>0.1</v>
      </c>
      <c r="T2335" s="355"/>
      <c r="U2335" s="315">
        <f t="shared" si="591"/>
        <v>437.79959602499997</v>
      </c>
      <c r="V2335" s="315">
        <f t="shared" si="592"/>
        <v>440</v>
      </c>
      <c r="W2335" s="316">
        <f t="shared" si="603"/>
        <v>0</v>
      </c>
    </row>
    <row r="2336" spans="1:23" x14ac:dyDescent="0.25">
      <c r="A2336" s="204" t="s">
        <v>18002</v>
      </c>
      <c r="B2336" s="351" t="s">
        <v>22035</v>
      </c>
      <c r="C2336" s="352"/>
      <c r="D2336" s="353" t="s">
        <v>5</v>
      </c>
      <c r="E2336" s="249">
        <f t="shared" si="594"/>
        <v>0</v>
      </c>
      <c r="F2336" s="336">
        <v>0</v>
      </c>
      <c r="G2336" s="258">
        <f t="shared" si="595"/>
        <v>0</v>
      </c>
      <c r="H2336" s="249">
        <f t="shared" si="596"/>
        <v>6.3740870221045659E-2</v>
      </c>
      <c r="I2336" s="336">
        <v>2.7547040236426141E-2</v>
      </c>
      <c r="J2336" s="258">
        <f t="shared" si="597"/>
        <v>2.7547040236426141E-2</v>
      </c>
      <c r="K2336" s="249">
        <f t="shared" si="598"/>
        <v>2.1401071570822312</v>
      </c>
      <c r="L2336" s="336">
        <v>0.92489509104541134</v>
      </c>
      <c r="M2336" s="258">
        <f t="shared" si="599"/>
        <v>0.92489509104541134</v>
      </c>
      <c r="N2336" s="251">
        <f t="shared" si="600"/>
        <v>0.10998424665592192</v>
      </c>
      <c r="O2336" s="336">
        <v>4.7532147858931374E-2</v>
      </c>
      <c r="P2336" s="258">
        <f t="shared" si="601"/>
        <v>4.7532147858931374E-2</v>
      </c>
      <c r="Q2336" s="354">
        <v>2.2604040697674419</v>
      </c>
      <c r="R2336" s="249">
        <f t="shared" si="602"/>
        <v>2.3138917892441859</v>
      </c>
      <c r="S2336" s="355">
        <v>0.1</v>
      </c>
      <c r="T2336" s="355"/>
      <c r="U2336" s="315">
        <f t="shared" si="591"/>
        <v>2.5452809681686044</v>
      </c>
      <c r="V2336" s="315">
        <f t="shared" si="592"/>
        <v>3</v>
      </c>
      <c r="W2336" s="316">
        <f t="shared" si="603"/>
        <v>0</v>
      </c>
    </row>
    <row r="2337" spans="1:23" x14ac:dyDescent="0.25">
      <c r="A2337" s="204" t="s">
        <v>18003</v>
      </c>
      <c r="B2337" s="351" t="s">
        <v>22036</v>
      </c>
      <c r="C2337" s="352"/>
      <c r="D2337" s="353" t="s">
        <v>14859</v>
      </c>
      <c r="E2337" s="249">
        <f t="shared" si="594"/>
        <v>0</v>
      </c>
      <c r="F2337" s="336">
        <v>0</v>
      </c>
      <c r="G2337" s="258">
        <f t="shared" si="595"/>
        <v>0</v>
      </c>
      <c r="H2337" s="249">
        <f t="shared" si="596"/>
        <v>10.963711897447077</v>
      </c>
      <c r="I2337" s="336">
        <v>2.7547040236426141E-2</v>
      </c>
      <c r="J2337" s="258">
        <f t="shared" si="597"/>
        <v>2.7547040236426141E-2</v>
      </c>
      <c r="K2337" s="249">
        <f t="shared" si="598"/>
        <v>368.11814346087954</v>
      </c>
      <c r="L2337" s="336">
        <v>0.92492081190464248</v>
      </c>
      <c r="M2337" s="258">
        <f t="shared" si="599"/>
        <v>0.92492081190464248</v>
      </c>
      <c r="N2337" s="251">
        <f t="shared" si="600"/>
        <v>18.917777391673386</v>
      </c>
      <c r="O2337" s="336">
        <v>4.7532147858931381E-2</v>
      </c>
      <c r="P2337" s="258">
        <f t="shared" si="601"/>
        <v>4.7532147858931381E-2</v>
      </c>
      <c r="Q2337" s="354">
        <v>388.78949999999998</v>
      </c>
      <c r="R2337" s="249">
        <f t="shared" si="602"/>
        <v>397.99963274999999</v>
      </c>
      <c r="S2337" s="355">
        <v>0.1</v>
      </c>
      <c r="T2337" s="355"/>
      <c r="U2337" s="315">
        <f t="shared" si="591"/>
        <v>437.79959602499997</v>
      </c>
      <c r="V2337" s="315">
        <f t="shared" si="592"/>
        <v>440</v>
      </c>
      <c r="W2337" s="316">
        <f t="shared" si="603"/>
        <v>0</v>
      </c>
    </row>
    <row r="2338" spans="1:23" x14ac:dyDescent="0.25">
      <c r="A2338" s="204" t="s">
        <v>18004</v>
      </c>
      <c r="B2338" s="351" t="s">
        <v>22037</v>
      </c>
      <c r="C2338" s="352"/>
      <c r="D2338" s="353" t="s">
        <v>5</v>
      </c>
      <c r="E2338" s="249">
        <f t="shared" si="594"/>
        <v>0</v>
      </c>
      <c r="F2338" s="336">
        <v>0</v>
      </c>
      <c r="G2338" s="258">
        <f t="shared" si="595"/>
        <v>0</v>
      </c>
      <c r="H2338" s="249">
        <f t="shared" si="596"/>
        <v>6.3740870221045659E-2</v>
      </c>
      <c r="I2338" s="336">
        <v>2.7547040236426141E-2</v>
      </c>
      <c r="J2338" s="258">
        <f t="shared" si="597"/>
        <v>2.7547040236426141E-2</v>
      </c>
      <c r="K2338" s="249">
        <f t="shared" si="598"/>
        <v>2.1401071570822312</v>
      </c>
      <c r="L2338" s="336">
        <v>0.92489509104541134</v>
      </c>
      <c r="M2338" s="258">
        <f t="shared" si="599"/>
        <v>0.92489509104541134</v>
      </c>
      <c r="N2338" s="251">
        <f t="shared" si="600"/>
        <v>0.10998424665592192</v>
      </c>
      <c r="O2338" s="336">
        <v>4.7532147858931374E-2</v>
      </c>
      <c r="P2338" s="258">
        <f t="shared" si="601"/>
        <v>4.7532147858931374E-2</v>
      </c>
      <c r="Q2338" s="354">
        <v>2.2604040697674419</v>
      </c>
      <c r="R2338" s="249">
        <f t="shared" si="602"/>
        <v>2.3138917892441859</v>
      </c>
      <c r="S2338" s="355">
        <v>0.1</v>
      </c>
      <c r="T2338" s="355"/>
      <c r="U2338" s="315">
        <f t="shared" si="591"/>
        <v>2.5452809681686044</v>
      </c>
      <c r="V2338" s="315">
        <f t="shared" si="592"/>
        <v>3</v>
      </c>
      <c r="W2338" s="316">
        <f t="shared" si="603"/>
        <v>0</v>
      </c>
    </row>
    <row r="2339" spans="1:23" x14ac:dyDescent="0.25">
      <c r="A2339" s="204" t="s">
        <v>18005</v>
      </c>
      <c r="B2339" s="351" t="s">
        <v>22038</v>
      </c>
      <c r="C2339" s="352"/>
      <c r="D2339" s="353" t="s">
        <v>14859</v>
      </c>
      <c r="E2339" s="249">
        <f t="shared" si="594"/>
        <v>0</v>
      </c>
      <c r="F2339" s="336">
        <v>0</v>
      </c>
      <c r="G2339" s="258">
        <f t="shared" si="595"/>
        <v>0</v>
      </c>
      <c r="H2339" s="249">
        <f t="shared" si="596"/>
        <v>10.96404206017711</v>
      </c>
      <c r="I2339" s="336">
        <v>2.6499602877099744E-2</v>
      </c>
      <c r="J2339" s="258">
        <f t="shared" si="597"/>
        <v>2.6499602877099744E-2</v>
      </c>
      <c r="K2339" s="249">
        <f t="shared" si="598"/>
        <v>383.86124735559571</v>
      </c>
      <c r="L2339" s="336">
        <v>0.92777559215849281</v>
      </c>
      <c r="M2339" s="258">
        <f t="shared" si="599"/>
        <v>0.92777559215849281</v>
      </c>
      <c r="N2339" s="251">
        <f t="shared" si="600"/>
        <v>18.918347084227172</v>
      </c>
      <c r="O2339" s="336">
        <v>4.5724804964407402E-2</v>
      </c>
      <c r="P2339" s="258">
        <f t="shared" si="601"/>
        <v>4.5724804964407402E-2</v>
      </c>
      <c r="Q2339" s="354">
        <v>404.15699999999998</v>
      </c>
      <c r="R2339" s="249">
        <f t="shared" si="602"/>
        <v>413.74363649999998</v>
      </c>
      <c r="S2339" s="355">
        <v>0.1</v>
      </c>
      <c r="T2339" s="355"/>
      <c r="U2339" s="315">
        <f t="shared" si="591"/>
        <v>455.11800015</v>
      </c>
      <c r="V2339" s="315">
        <f t="shared" si="592"/>
        <v>460</v>
      </c>
      <c r="W2339" s="316">
        <f t="shared" si="603"/>
        <v>0</v>
      </c>
    </row>
    <row r="2340" spans="1:23" x14ac:dyDescent="0.25">
      <c r="A2340" s="204" t="s">
        <v>18006</v>
      </c>
      <c r="B2340" s="351" t="s">
        <v>22039</v>
      </c>
      <c r="C2340" s="352"/>
      <c r="D2340" s="353" t="s">
        <v>5</v>
      </c>
      <c r="E2340" s="249">
        <f t="shared" si="594"/>
        <v>0</v>
      </c>
      <c r="F2340" s="336">
        <v>0</v>
      </c>
      <c r="G2340" s="258">
        <f t="shared" si="595"/>
        <v>0</v>
      </c>
      <c r="H2340" s="249">
        <f t="shared" si="596"/>
        <v>6.3742852161311828E-2</v>
      </c>
      <c r="I2340" s="336">
        <v>2.6499602877099748E-2</v>
      </c>
      <c r="J2340" s="258">
        <f t="shared" si="597"/>
        <v>2.6499602877099748E-2</v>
      </c>
      <c r="K2340" s="249">
        <f t="shared" si="598"/>
        <v>2.2316366589961709</v>
      </c>
      <c r="L2340" s="336">
        <v>0.92775084929866358</v>
      </c>
      <c r="M2340" s="258">
        <f t="shared" si="599"/>
        <v>0.92775084929866358</v>
      </c>
      <c r="N2340" s="251">
        <f t="shared" si="600"/>
        <v>0.10998766647442039</v>
      </c>
      <c r="O2340" s="336">
        <v>4.5724804964407402E-2</v>
      </c>
      <c r="P2340" s="258">
        <f t="shared" si="601"/>
        <v>4.5724804964407402E-2</v>
      </c>
      <c r="Q2340" s="354">
        <v>2.3497499999999998</v>
      </c>
      <c r="R2340" s="249">
        <f t="shared" si="602"/>
        <v>2.4054266947674412</v>
      </c>
      <c r="S2340" s="355">
        <v>0.1</v>
      </c>
      <c r="T2340" s="355"/>
      <c r="U2340" s="315">
        <f t="shared" si="591"/>
        <v>2.6459693642441855</v>
      </c>
      <c r="V2340" s="315">
        <f t="shared" si="592"/>
        <v>3</v>
      </c>
      <c r="W2340" s="316">
        <f t="shared" si="603"/>
        <v>0</v>
      </c>
    </row>
    <row r="2341" spans="1:23" x14ac:dyDescent="0.25">
      <c r="A2341" s="204" t="s">
        <v>18007</v>
      </c>
      <c r="B2341" s="351" t="s">
        <v>22040</v>
      </c>
      <c r="C2341" s="352"/>
      <c r="D2341" s="353" t="s">
        <v>14859</v>
      </c>
      <c r="E2341" s="249">
        <f t="shared" si="594"/>
        <v>0</v>
      </c>
      <c r="F2341" s="336">
        <v>0</v>
      </c>
      <c r="G2341" s="258">
        <f t="shared" si="595"/>
        <v>0</v>
      </c>
      <c r="H2341" s="249">
        <f t="shared" si="596"/>
        <v>10.964125905683948</v>
      </c>
      <c r="I2341" s="336">
        <v>2.6233603997501565E-2</v>
      </c>
      <c r="J2341" s="258">
        <f t="shared" si="597"/>
        <v>2.6233603997501565E-2</v>
      </c>
      <c r="K2341" s="249">
        <f t="shared" si="598"/>
        <v>388.05941983548882</v>
      </c>
      <c r="L2341" s="336">
        <v>0.92850056949700555</v>
      </c>
      <c r="M2341" s="258">
        <f t="shared" si="599"/>
        <v>0.92850056949700555</v>
      </c>
      <c r="N2341" s="251">
        <f t="shared" si="600"/>
        <v>18.918491758827201</v>
      </c>
      <c r="O2341" s="336">
        <v>4.5265826505492893E-2</v>
      </c>
      <c r="P2341" s="258">
        <f t="shared" si="601"/>
        <v>4.5265826505492893E-2</v>
      </c>
      <c r="Q2341" s="354">
        <v>408.255</v>
      </c>
      <c r="R2341" s="249">
        <f t="shared" si="602"/>
        <v>417.94203749999997</v>
      </c>
      <c r="S2341" s="355">
        <v>0.1</v>
      </c>
      <c r="T2341" s="355"/>
      <c r="U2341" s="315">
        <f t="shared" ref="U2341:U2404" si="604">(R2341*S2341)+R2341</f>
        <v>459.73624124999998</v>
      </c>
      <c r="V2341" s="315">
        <f t="shared" ref="V2341:V2404" si="605">IF(U2341=0, 0, IF(U2341&lt;10, _xlfn.CEILING.MATH(U2341,1), IF(U2341&lt;100, _xlfn.CEILING.MATH(U2341,1),IF(U2341&lt;1000, _xlfn.CEILING.MATH(U2341,5), IF(U2341&lt;10000, _xlfn.CEILING.MATH(U2341, 25), IF(U2341&lt;100000, _xlfn.CEILING.MATH(U2341,250), IF(U2341&lt;1000000, _xlfn.CEILING.MATH(U2341,500), 0)))))))</f>
        <v>460</v>
      </c>
      <c r="W2341" s="316">
        <f t="shared" si="603"/>
        <v>0</v>
      </c>
    </row>
    <row r="2342" spans="1:23" x14ac:dyDescent="0.25">
      <c r="A2342" s="204" t="s">
        <v>18008</v>
      </c>
      <c r="B2342" s="351" t="s">
        <v>22041</v>
      </c>
      <c r="C2342" s="352"/>
      <c r="D2342" s="353" t="s">
        <v>5</v>
      </c>
      <c r="E2342" s="249">
        <f t="shared" si="594"/>
        <v>0</v>
      </c>
      <c r="F2342" s="336">
        <v>0</v>
      </c>
      <c r="G2342" s="258">
        <f t="shared" si="595"/>
        <v>0</v>
      </c>
      <c r="H2342" s="249">
        <f t="shared" si="596"/>
        <v>6.3743355479133679E-2</v>
      </c>
      <c r="I2342" s="336">
        <v>2.6233603997501562E-2</v>
      </c>
      <c r="J2342" s="258">
        <f t="shared" si="597"/>
        <v>2.6233603997501562E-2</v>
      </c>
      <c r="K2342" s="249">
        <f t="shared" si="598"/>
        <v>2.2560445948779657</v>
      </c>
      <c r="L2342" s="336">
        <v>0.92847607500214313</v>
      </c>
      <c r="M2342" s="258">
        <f t="shared" si="599"/>
        <v>0.92847607500214313</v>
      </c>
      <c r="N2342" s="251">
        <f t="shared" si="600"/>
        <v>0.10998853494438751</v>
      </c>
      <c r="O2342" s="336">
        <v>4.5265826505492886E-2</v>
      </c>
      <c r="P2342" s="258">
        <f t="shared" si="601"/>
        <v>4.5265826505492886E-2</v>
      </c>
      <c r="Q2342" s="354">
        <v>2.373575581395349</v>
      </c>
      <c r="R2342" s="249">
        <f t="shared" si="602"/>
        <v>2.4298360029069768</v>
      </c>
      <c r="S2342" s="355">
        <v>0.1</v>
      </c>
      <c r="T2342" s="355"/>
      <c r="U2342" s="315">
        <f t="shared" si="604"/>
        <v>2.6728196031976745</v>
      </c>
      <c r="V2342" s="315">
        <f t="shared" si="605"/>
        <v>3</v>
      </c>
      <c r="W2342" s="316">
        <f t="shared" si="603"/>
        <v>0</v>
      </c>
    </row>
    <row r="2343" spans="1:23" x14ac:dyDescent="0.25">
      <c r="A2343" s="204" t="s">
        <v>18009</v>
      </c>
      <c r="B2343" s="351" t="s">
        <v>22042</v>
      </c>
      <c r="C2343" s="352"/>
      <c r="D2343" s="353" t="s">
        <v>14859</v>
      </c>
      <c r="E2343" s="249">
        <f t="shared" si="594"/>
        <v>0</v>
      </c>
      <c r="F2343" s="336">
        <v>0</v>
      </c>
      <c r="G2343" s="258">
        <f t="shared" si="595"/>
        <v>0</v>
      </c>
      <c r="H2343" s="249">
        <f t="shared" si="596"/>
        <v>10.964167200368509</v>
      </c>
      <c r="I2343" s="336">
        <v>2.6102597098736552E-2</v>
      </c>
      <c r="J2343" s="258">
        <f t="shared" si="597"/>
        <v>2.6102597098736552E-2</v>
      </c>
      <c r="K2343" s="249">
        <f t="shared" si="598"/>
        <v>390.15850778723092</v>
      </c>
      <c r="L2343" s="336">
        <v>0.92885762751520828</v>
      </c>
      <c r="M2343" s="258">
        <f t="shared" si="599"/>
        <v>0.92885762751520828</v>
      </c>
      <c r="N2343" s="251">
        <f t="shared" si="600"/>
        <v>18.918563012400561</v>
      </c>
      <c r="O2343" s="336">
        <v>4.503977538605522E-2</v>
      </c>
      <c r="P2343" s="258">
        <f t="shared" si="601"/>
        <v>4.503977538605522E-2</v>
      </c>
      <c r="Q2343" s="354">
        <v>410.30399999999997</v>
      </c>
      <c r="R2343" s="249">
        <f t="shared" si="602"/>
        <v>420.04123799999996</v>
      </c>
      <c r="S2343" s="355">
        <v>0.1</v>
      </c>
      <c r="T2343" s="355"/>
      <c r="U2343" s="315">
        <f t="shared" si="604"/>
        <v>462.04536179999997</v>
      </c>
      <c r="V2343" s="315">
        <f t="shared" si="605"/>
        <v>465</v>
      </c>
      <c r="W2343" s="316">
        <f t="shared" si="603"/>
        <v>0</v>
      </c>
    </row>
    <row r="2344" spans="1:23" x14ac:dyDescent="0.25">
      <c r="A2344" s="204" t="s">
        <v>18010</v>
      </c>
      <c r="B2344" s="351" t="s">
        <v>22043</v>
      </c>
      <c r="C2344" s="352"/>
      <c r="D2344" s="353" t="s">
        <v>5</v>
      </c>
      <c r="E2344" s="249">
        <f t="shared" si="594"/>
        <v>0</v>
      </c>
      <c r="F2344" s="336">
        <v>0</v>
      </c>
      <c r="G2344" s="258">
        <f t="shared" si="595"/>
        <v>0</v>
      </c>
      <c r="H2344" s="249">
        <f t="shared" si="596"/>
        <v>6.3743603367797858E-2</v>
      </c>
      <c r="I2344" s="336">
        <v>2.6102597098736552E-2</v>
      </c>
      <c r="J2344" s="258">
        <f t="shared" si="597"/>
        <v>2.6102597098736552E-2</v>
      </c>
      <c r="K2344" s="249">
        <f t="shared" si="598"/>
        <v>2.2682485730981536</v>
      </c>
      <c r="L2344" s="336">
        <v>0.92883325534238015</v>
      </c>
      <c r="M2344" s="258">
        <f t="shared" si="599"/>
        <v>0.92883325534238015</v>
      </c>
      <c r="N2344" s="251">
        <f t="shared" si="600"/>
        <v>0.10998896267384725</v>
      </c>
      <c r="O2344" s="336">
        <v>4.503977538605522E-2</v>
      </c>
      <c r="P2344" s="258">
        <f t="shared" si="601"/>
        <v>4.503977538605522E-2</v>
      </c>
      <c r="Q2344" s="354">
        <v>2.3854883720930231</v>
      </c>
      <c r="R2344" s="249">
        <f t="shared" si="602"/>
        <v>2.4420406569767437</v>
      </c>
      <c r="S2344" s="355">
        <v>0.1</v>
      </c>
      <c r="T2344" s="355"/>
      <c r="U2344" s="315">
        <f t="shared" si="604"/>
        <v>2.6862447226744179</v>
      </c>
      <c r="V2344" s="315">
        <f t="shared" si="605"/>
        <v>3</v>
      </c>
      <c r="W2344" s="316">
        <f t="shared" si="603"/>
        <v>0</v>
      </c>
    </row>
    <row r="2345" spans="1:23" x14ac:dyDescent="0.25">
      <c r="A2345" s="204" t="s">
        <v>18011</v>
      </c>
      <c r="B2345" s="351" t="s">
        <v>22044</v>
      </c>
      <c r="C2345" s="352"/>
      <c r="D2345" s="353" t="s">
        <v>14859</v>
      </c>
      <c r="E2345" s="249">
        <f t="shared" si="594"/>
        <v>0</v>
      </c>
      <c r="F2345" s="336">
        <v>0</v>
      </c>
      <c r="G2345" s="258">
        <f t="shared" si="595"/>
        <v>0</v>
      </c>
      <c r="H2345" s="249">
        <f t="shared" si="596"/>
        <v>10.965128790498332</v>
      </c>
      <c r="I2345" s="336">
        <v>2.30519637754855E-2</v>
      </c>
      <c r="J2345" s="258">
        <f t="shared" si="597"/>
        <v>2.30519637754855E-2</v>
      </c>
      <c r="K2345" s="249">
        <f t="shared" si="598"/>
        <v>445.78470023275941</v>
      </c>
      <c r="L2345" s="336">
        <v>0.93717209872955909</v>
      </c>
      <c r="M2345" s="258">
        <f t="shared" si="599"/>
        <v>0.93717209872955909</v>
      </c>
      <c r="N2345" s="251">
        <f t="shared" si="600"/>
        <v>18.920222226742215</v>
      </c>
      <c r="O2345" s="336">
        <v>3.9775937494955366E-2</v>
      </c>
      <c r="P2345" s="258">
        <f t="shared" si="601"/>
        <v>3.9775937494955366E-2</v>
      </c>
      <c r="Q2345" s="354">
        <v>464.60249999999996</v>
      </c>
      <c r="R2345" s="249">
        <f t="shared" si="602"/>
        <v>475.67005124999997</v>
      </c>
      <c r="S2345" s="355">
        <v>0.1</v>
      </c>
      <c r="T2345" s="355"/>
      <c r="U2345" s="315">
        <f t="shared" si="604"/>
        <v>523.23705637499995</v>
      </c>
      <c r="V2345" s="315">
        <f t="shared" si="605"/>
        <v>525</v>
      </c>
      <c r="W2345" s="316">
        <f t="shared" si="603"/>
        <v>0</v>
      </c>
    </row>
    <row r="2346" spans="1:23" x14ac:dyDescent="0.25">
      <c r="A2346" s="204" t="s">
        <v>18012</v>
      </c>
      <c r="B2346" s="351" t="s">
        <v>22045</v>
      </c>
      <c r="C2346" s="352"/>
      <c r="D2346" s="353" t="s">
        <v>5</v>
      </c>
      <c r="E2346" s="249">
        <f t="shared" si="594"/>
        <v>0</v>
      </c>
      <c r="F2346" s="336">
        <v>0</v>
      </c>
      <c r="G2346" s="258">
        <f t="shared" si="595"/>
        <v>0</v>
      </c>
      <c r="H2346" s="249">
        <f t="shared" si="596"/>
        <v>6.3749375715868903E-2</v>
      </c>
      <c r="I2346" s="336">
        <v>2.30519637754855E-2</v>
      </c>
      <c r="J2346" s="258">
        <f t="shared" si="597"/>
        <v>2.30519637754855E-2</v>
      </c>
      <c r="K2346" s="249">
        <f t="shared" si="598"/>
        <v>2.5916561680792345</v>
      </c>
      <c r="L2346" s="336">
        <v>0.93715057495385834</v>
      </c>
      <c r="M2346" s="258">
        <f t="shared" si="599"/>
        <v>0.93715057495385834</v>
      </c>
      <c r="N2346" s="251">
        <f t="shared" si="600"/>
        <v>0.10999892280385219</v>
      </c>
      <c r="O2346" s="336">
        <v>3.9775937494955366E-2</v>
      </c>
      <c r="P2346" s="258">
        <f t="shared" si="601"/>
        <v>3.9775937494955366E-2</v>
      </c>
      <c r="Q2346" s="354">
        <v>2.7011773255813951</v>
      </c>
      <c r="R2346" s="249">
        <f t="shared" si="602"/>
        <v>2.7654639898255811</v>
      </c>
      <c r="S2346" s="355">
        <v>0.1</v>
      </c>
      <c r="T2346" s="355"/>
      <c r="U2346" s="315">
        <f t="shared" si="604"/>
        <v>3.0420103888081393</v>
      </c>
      <c r="V2346" s="315">
        <f t="shared" si="605"/>
        <v>4</v>
      </c>
      <c r="W2346" s="316">
        <f t="shared" si="603"/>
        <v>0</v>
      </c>
    </row>
    <row r="2347" spans="1:23" x14ac:dyDescent="0.25">
      <c r="A2347" s="204" t="s">
        <v>18013</v>
      </c>
      <c r="B2347" s="351" t="s">
        <v>22046</v>
      </c>
      <c r="C2347" s="352"/>
      <c r="D2347" s="353" t="s">
        <v>14859</v>
      </c>
      <c r="E2347" s="249">
        <f t="shared" si="594"/>
        <v>0</v>
      </c>
      <c r="F2347" s="336">
        <v>0</v>
      </c>
      <c r="G2347" s="258">
        <f t="shared" si="595"/>
        <v>0</v>
      </c>
      <c r="H2347" s="249">
        <f t="shared" si="596"/>
        <v>10.965176542991303</v>
      </c>
      <c r="I2347" s="336">
        <v>2.2900469555846358E-2</v>
      </c>
      <c r="J2347" s="258">
        <f t="shared" si="597"/>
        <v>2.2900469555846358E-2</v>
      </c>
      <c r="K2347" s="249">
        <f t="shared" si="598"/>
        <v>448.933370833808</v>
      </c>
      <c r="L2347" s="336">
        <v>0.93758499473994816</v>
      </c>
      <c r="M2347" s="258">
        <f t="shared" si="599"/>
        <v>0.93758499473994816</v>
      </c>
      <c r="N2347" s="251">
        <f t="shared" si="600"/>
        <v>18.920304623200678</v>
      </c>
      <c r="O2347" s="336">
        <v>3.9514535704205475E-2</v>
      </c>
      <c r="P2347" s="258">
        <f t="shared" si="601"/>
        <v>3.9514535704205475E-2</v>
      </c>
      <c r="Q2347" s="354">
        <v>467.67599999999999</v>
      </c>
      <c r="R2347" s="249">
        <f t="shared" si="602"/>
        <v>478.81885199999999</v>
      </c>
      <c r="S2347" s="355">
        <v>0.1</v>
      </c>
      <c r="T2347" s="355"/>
      <c r="U2347" s="315">
        <f t="shared" si="604"/>
        <v>526.70073720000005</v>
      </c>
      <c r="V2347" s="315">
        <f t="shared" si="605"/>
        <v>530</v>
      </c>
      <c r="W2347" s="316">
        <f t="shared" si="603"/>
        <v>0</v>
      </c>
    </row>
    <row r="2348" spans="1:23" x14ac:dyDescent="0.25">
      <c r="A2348" s="204" t="s">
        <v>18014</v>
      </c>
      <c r="B2348" s="351" t="s">
        <v>22047</v>
      </c>
      <c r="C2348" s="352"/>
      <c r="D2348" s="353" t="s">
        <v>5</v>
      </c>
      <c r="E2348" s="249">
        <f t="shared" si="594"/>
        <v>0</v>
      </c>
      <c r="F2348" s="336">
        <v>0</v>
      </c>
      <c r="G2348" s="258">
        <f t="shared" si="595"/>
        <v>0</v>
      </c>
      <c r="H2348" s="249">
        <f t="shared" si="596"/>
        <v>6.3749662370236632E-2</v>
      </c>
      <c r="I2348" s="336">
        <v>2.2900469555846358E-2</v>
      </c>
      <c r="J2348" s="258">
        <f t="shared" si="597"/>
        <v>2.2900469555846358E-2</v>
      </c>
      <c r="K2348" s="249">
        <f t="shared" si="598"/>
        <v>2.6099623676425652</v>
      </c>
      <c r="L2348" s="336">
        <v>0.93756361241543285</v>
      </c>
      <c r="M2348" s="258">
        <f t="shared" si="599"/>
        <v>0.93756361241543285</v>
      </c>
      <c r="N2348" s="251">
        <f t="shared" si="600"/>
        <v>0.10999941742315339</v>
      </c>
      <c r="O2348" s="336">
        <v>3.9514535704205475E-2</v>
      </c>
      <c r="P2348" s="258">
        <f t="shared" si="601"/>
        <v>3.9514535704205475E-2</v>
      </c>
      <c r="Q2348" s="354">
        <v>2.7190465116279068</v>
      </c>
      <c r="R2348" s="249">
        <f t="shared" si="602"/>
        <v>2.7837709709302318</v>
      </c>
      <c r="S2348" s="355">
        <v>0.1</v>
      </c>
      <c r="T2348" s="355"/>
      <c r="U2348" s="315">
        <f t="shared" si="604"/>
        <v>3.0621480680232551</v>
      </c>
      <c r="V2348" s="315">
        <f t="shared" si="605"/>
        <v>4</v>
      </c>
      <c r="W2348" s="316">
        <f t="shared" si="603"/>
        <v>0</v>
      </c>
    </row>
    <row r="2349" spans="1:23" x14ac:dyDescent="0.25">
      <c r="A2349" s="204" t="s">
        <v>18015</v>
      </c>
      <c r="B2349" s="351" t="s">
        <v>22048</v>
      </c>
      <c r="C2349" s="352"/>
      <c r="D2349" s="353" t="s">
        <v>14859</v>
      </c>
      <c r="E2349" s="249">
        <f t="shared" si="594"/>
        <v>0</v>
      </c>
      <c r="F2349" s="336">
        <v>0</v>
      </c>
      <c r="G2349" s="258">
        <f t="shared" si="595"/>
        <v>0</v>
      </c>
      <c r="H2349" s="249">
        <f t="shared" si="596"/>
        <v>10.965699311668221</v>
      </c>
      <c r="I2349" s="336">
        <v>2.1241992106150461E-2</v>
      </c>
      <c r="J2349" s="258">
        <f t="shared" si="597"/>
        <v>2.1241992106150461E-2</v>
      </c>
      <c r="K2349" s="249">
        <f t="shared" si="598"/>
        <v>486.34053903290425</v>
      </c>
      <c r="L2349" s="336">
        <v>0.94210515876951151</v>
      </c>
      <c r="M2349" s="258">
        <f t="shared" si="599"/>
        <v>0.94210515876951151</v>
      </c>
      <c r="N2349" s="251">
        <f t="shared" si="600"/>
        <v>18.921206655427518</v>
      </c>
      <c r="O2349" s="336">
        <v>3.6652849124338048E-2</v>
      </c>
      <c r="P2349" s="258">
        <f t="shared" si="601"/>
        <v>3.6652849124338048E-2</v>
      </c>
      <c r="Q2349" s="354">
        <v>504.19</v>
      </c>
      <c r="R2349" s="249">
        <f t="shared" si="602"/>
        <v>516.22744499999999</v>
      </c>
      <c r="S2349" s="355">
        <v>0.1</v>
      </c>
      <c r="T2349" s="355"/>
      <c r="U2349" s="315">
        <f t="shared" si="604"/>
        <v>567.85018949999994</v>
      </c>
      <c r="V2349" s="315">
        <f t="shared" si="605"/>
        <v>570</v>
      </c>
      <c r="W2349" s="316">
        <f t="shared" si="603"/>
        <v>0</v>
      </c>
    </row>
    <row r="2350" spans="1:23" x14ac:dyDescent="0.25">
      <c r="A2350" s="204" t="s">
        <v>18016</v>
      </c>
      <c r="B2350" s="351" t="s">
        <v>22049</v>
      </c>
      <c r="C2350" s="352"/>
      <c r="D2350" s="353" t="s">
        <v>5</v>
      </c>
      <c r="E2350" s="249">
        <f t="shared" si="594"/>
        <v>0</v>
      </c>
      <c r="F2350" s="336">
        <v>0</v>
      </c>
      <c r="G2350" s="258">
        <f t="shared" si="595"/>
        <v>0</v>
      </c>
      <c r="H2350" s="249">
        <f t="shared" si="596"/>
        <v>6.3752800508483101E-2</v>
      </c>
      <c r="I2350" s="336">
        <v>2.1241992106150461E-2</v>
      </c>
      <c r="J2350" s="258">
        <f t="shared" si="597"/>
        <v>2.1241992106150461E-2</v>
      </c>
      <c r="K2350" s="249">
        <f t="shared" si="598"/>
        <v>2.8274456315148813</v>
      </c>
      <c r="L2350" s="336">
        <v>0.94208532497669517</v>
      </c>
      <c r="M2350" s="258">
        <f t="shared" si="599"/>
        <v>0.94208532497669517</v>
      </c>
      <c r="N2350" s="251">
        <f t="shared" si="600"/>
        <v>0.11000483224993161</v>
      </c>
      <c r="O2350" s="336">
        <v>3.6652849124338048E-2</v>
      </c>
      <c r="P2350" s="258">
        <f t="shared" si="601"/>
        <v>3.6652849124338048E-2</v>
      </c>
      <c r="Q2350" s="354">
        <v>2.9313372093023258</v>
      </c>
      <c r="R2350" s="249">
        <f t="shared" si="602"/>
        <v>3.0012627906976741</v>
      </c>
      <c r="S2350" s="355">
        <v>0.1</v>
      </c>
      <c r="T2350" s="355"/>
      <c r="U2350" s="315">
        <f t="shared" si="604"/>
        <v>3.3013890697674415</v>
      </c>
      <c r="V2350" s="315">
        <f t="shared" si="605"/>
        <v>4</v>
      </c>
      <c r="W2350" s="316">
        <f t="shared" si="603"/>
        <v>0</v>
      </c>
    </row>
    <row r="2351" spans="1:23" x14ac:dyDescent="0.25">
      <c r="A2351" s="204" t="s">
        <v>18017</v>
      </c>
      <c r="B2351" s="351" t="s">
        <v>22050</v>
      </c>
      <c r="C2351" s="352"/>
      <c r="D2351" s="353" t="s">
        <v>14859</v>
      </c>
      <c r="E2351" s="249">
        <f t="shared" si="594"/>
        <v>0</v>
      </c>
      <c r="F2351" s="336">
        <v>0</v>
      </c>
      <c r="G2351" s="258">
        <f t="shared" si="595"/>
        <v>0</v>
      </c>
      <c r="H2351" s="249">
        <f t="shared" si="596"/>
        <v>10.965914725309531</v>
      </c>
      <c r="I2351" s="336">
        <v>2.0558594874748055E-2</v>
      </c>
      <c r="J2351" s="258">
        <f t="shared" si="597"/>
        <v>2.0558594874748055E-2</v>
      </c>
      <c r="K2351" s="249">
        <f t="shared" si="598"/>
        <v>503.51057192513684</v>
      </c>
      <c r="L2351" s="336">
        <v>0.94396775122372589</v>
      </c>
      <c r="M2351" s="258">
        <f t="shared" si="599"/>
        <v>0.94396775122372589</v>
      </c>
      <c r="N2351" s="251">
        <f t="shared" si="600"/>
        <v>18.921578349553702</v>
      </c>
      <c r="O2351" s="336">
        <v>3.5473653901526056E-2</v>
      </c>
      <c r="P2351" s="258">
        <f t="shared" si="601"/>
        <v>3.5473653901526056E-2</v>
      </c>
      <c r="Q2351" s="354">
        <v>520.95000000000005</v>
      </c>
      <c r="R2351" s="249">
        <f t="shared" si="602"/>
        <v>533.39806500000009</v>
      </c>
      <c r="S2351" s="355">
        <v>0.1</v>
      </c>
      <c r="T2351" s="355"/>
      <c r="U2351" s="315">
        <f t="shared" si="604"/>
        <v>586.7378715000001</v>
      </c>
      <c r="V2351" s="315">
        <f t="shared" si="605"/>
        <v>590</v>
      </c>
      <c r="W2351" s="316">
        <f t="shared" si="603"/>
        <v>0</v>
      </c>
    </row>
    <row r="2352" spans="1:23" x14ac:dyDescent="0.25">
      <c r="A2352" s="204" t="s">
        <v>18018</v>
      </c>
      <c r="B2352" s="351" t="s">
        <v>22051</v>
      </c>
      <c r="C2352" s="352"/>
      <c r="D2352" s="353" t="s">
        <v>5</v>
      </c>
      <c r="E2352" s="249">
        <f t="shared" si="594"/>
        <v>0</v>
      </c>
      <c r="F2352" s="336">
        <v>0</v>
      </c>
      <c r="G2352" s="258">
        <f t="shared" si="595"/>
        <v>0</v>
      </c>
      <c r="H2352" s="249">
        <f t="shared" si="596"/>
        <v>6.3754093619215357E-2</v>
      </c>
      <c r="I2352" s="336">
        <v>2.0558594874748058E-2</v>
      </c>
      <c r="J2352" s="258">
        <f t="shared" si="597"/>
        <v>2.0558594874748058E-2</v>
      </c>
      <c r="K2352" s="249">
        <f t="shared" si="598"/>
        <v>2.9272712919933839</v>
      </c>
      <c r="L2352" s="336">
        <v>0.9439485555235626</v>
      </c>
      <c r="M2352" s="258">
        <f t="shared" si="599"/>
        <v>0.9439485555235626</v>
      </c>
      <c r="N2352" s="251">
        <f t="shared" si="600"/>
        <v>0.11000706349982255</v>
      </c>
      <c r="O2352" s="336">
        <v>3.5473653901526056E-2</v>
      </c>
      <c r="P2352" s="258">
        <f t="shared" si="601"/>
        <v>3.5473653901526056E-2</v>
      </c>
      <c r="Q2352" s="354">
        <v>3.0287790697674422</v>
      </c>
      <c r="R2352" s="249">
        <f t="shared" si="602"/>
        <v>3.1010919767441862</v>
      </c>
      <c r="S2352" s="355">
        <v>0.1</v>
      </c>
      <c r="T2352" s="355"/>
      <c r="U2352" s="315">
        <f t="shared" si="604"/>
        <v>3.411201174418605</v>
      </c>
      <c r="V2352" s="315">
        <f t="shared" si="605"/>
        <v>4</v>
      </c>
      <c r="W2352" s="316">
        <f t="shared" si="603"/>
        <v>0</v>
      </c>
    </row>
    <row r="2353" spans="1:23" x14ac:dyDescent="0.25">
      <c r="A2353" s="204" t="s">
        <v>18019</v>
      </c>
      <c r="B2353" s="351" t="s">
        <v>22052</v>
      </c>
      <c r="C2353" s="352"/>
      <c r="D2353" s="353" t="s">
        <v>14859</v>
      </c>
      <c r="E2353" s="249">
        <f t="shared" si="594"/>
        <v>0</v>
      </c>
      <c r="F2353" s="336">
        <v>0</v>
      </c>
      <c r="G2353" s="258">
        <f t="shared" si="595"/>
        <v>0</v>
      </c>
      <c r="H2353" s="249">
        <f t="shared" si="596"/>
        <v>10.967538394833948</v>
      </c>
      <c r="I2353" s="336">
        <v>1.5407522496277595E-2</v>
      </c>
      <c r="J2353" s="258">
        <f t="shared" si="597"/>
        <v>1.5407522496277595E-2</v>
      </c>
      <c r="K2353" s="249">
        <f t="shared" si="598"/>
        <v>681.93818912976622</v>
      </c>
      <c r="L2353" s="336">
        <v>0.95800694849053747</v>
      </c>
      <c r="M2353" s="258">
        <f t="shared" si="599"/>
        <v>0.95800694849053747</v>
      </c>
      <c r="N2353" s="251">
        <f t="shared" si="600"/>
        <v>18.924379975399752</v>
      </c>
      <c r="O2353" s="336">
        <v>2.658552901318487E-2</v>
      </c>
      <c r="P2353" s="258">
        <f t="shared" si="601"/>
        <v>2.658552901318487E-2</v>
      </c>
      <c r="Q2353" s="354">
        <v>695.11500000000001</v>
      </c>
      <c r="R2353" s="249">
        <f t="shared" si="602"/>
        <v>711.83010749999994</v>
      </c>
      <c r="S2353" s="355">
        <v>0.1</v>
      </c>
      <c r="T2353" s="355"/>
      <c r="U2353" s="315">
        <f t="shared" si="604"/>
        <v>783.01311824999993</v>
      </c>
      <c r="V2353" s="315">
        <f t="shared" si="605"/>
        <v>785</v>
      </c>
      <c r="W2353" s="316">
        <f t="shared" si="603"/>
        <v>0</v>
      </c>
    </row>
    <row r="2354" spans="1:23" x14ac:dyDescent="0.25">
      <c r="A2354" s="204" t="s">
        <v>18020</v>
      </c>
      <c r="B2354" s="351" t="s">
        <v>22053</v>
      </c>
      <c r="C2354" s="352"/>
      <c r="D2354" s="353" t="s">
        <v>5</v>
      </c>
      <c r="E2354" s="249">
        <f t="shared" si="594"/>
        <v>0</v>
      </c>
      <c r="F2354" s="336">
        <v>0</v>
      </c>
      <c r="G2354" s="258">
        <f t="shared" si="595"/>
        <v>0</v>
      </c>
      <c r="H2354" s="249">
        <f t="shared" si="596"/>
        <v>6.3763840376546352E-2</v>
      </c>
      <c r="I2354" s="336">
        <v>1.5407522496277597E-2</v>
      </c>
      <c r="J2354" s="258">
        <f t="shared" si="597"/>
        <v>1.5407522496277597E-2</v>
      </c>
      <c r="K2354" s="249">
        <f t="shared" si="598"/>
        <v>3.9646403141314526</v>
      </c>
      <c r="L2354" s="336">
        <v>0.95799256238176411</v>
      </c>
      <c r="M2354" s="258">
        <f t="shared" si="599"/>
        <v>0.95799256238176411</v>
      </c>
      <c r="N2354" s="251">
        <f t="shared" si="600"/>
        <v>0.11002388143404077</v>
      </c>
      <c r="O2354" s="336">
        <v>2.658552901318487E-2</v>
      </c>
      <c r="P2354" s="258">
        <f t="shared" si="601"/>
        <v>2.658552901318487E-2</v>
      </c>
      <c r="Q2354" s="354">
        <v>4.0413662790697673</v>
      </c>
      <c r="R2354" s="249">
        <f t="shared" si="602"/>
        <v>4.1384875726744177</v>
      </c>
      <c r="S2354" s="355">
        <v>0.1</v>
      </c>
      <c r="T2354" s="355"/>
      <c r="U2354" s="315">
        <f t="shared" si="604"/>
        <v>4.5523363299418591</v>
      </c>
      <c r="V2354" s="315">
        <f t="shared" si="605"/>
        <v>5</v>
      </c>
      <c r="W2354" s="316">
        <f t="shared" si="603"/>
        <v>0</v>
      </c>
    </row>
    <row r="2355" spans="1:23" x14ac:dyDescent="0.25">
      <c r="A2355" s="204" t="s">
        <v>18021</v>
      </c>
      <c r="B2355" s="351" t="s">
        <v>22054</v>
      </c>
      <c r="C2355" s="352"/>
      <c r="D2355" s="353" t="s">
        <v>14859</v>
      </c>
      <c r="E2355" s="249">
        <f t="shared" si="594"/>
        <v>0</v>
      </c>
      <c r="F2355" s="336">
        <v>0</v>
      </c>
      <c r="G2355" s="258">
        <f t="shared" si="595"/>
        <v>0</v>
      </c>
      <c r="H2355" s="249">
        <f t="shared" si="596"/>
        <v>10.967717632843414</v>
      </c>
      <c r="I2355" s="336">
        <v>1.4838892029395138E-2</v>
      </c>
      <c r="J2355" s="258">
        <f t="shared" si="597"/>
        <v>1.4838892029395138E-2</v>
      </c>
      <c r="K2355" s="249">
        <f t="shared" si="598"/>
        <v>709.22730711832867</v>
      </c>
      <c r="L2355" s="336">
        <v>0.9595567452532171</v>
      </c>
      <c r="M2355" s="258">
        <f t="shared" si="599"/>
        <v>0.9595567452532171</v>
      </c>
      <c r="N2355" s="251">
        <f t="shared" si="600"/>
        <v>18.92468924882785</v>
      </c>
      <c r="O2355" s="336">
        <v>2.5604362717387689E-2</v>
      </c>
      <c r="P2355" s="258">
        <f t="shared" si="601"/>
        <v>2.5604362717387689E-2</v>
      </c>
      <c r="Q2355" s="354">
        <v>721.75200000000007</v>
      </c>
      <c r="R2355" s="249">
        <f t="shared" si="602"/>
        <v>739.11971399999993</v>
      </c>
      <c r="S2355" s="355">
        <v>0.1</v>
      </c>
      <c r="T2355" s="355"/>
      <c r="U2355" s="315">
        <f t="shared" si="604"/>
        <v>813.0316853999999</v>
      </c>
      <c r="V2355" s="315">
        <f t="shared" si="605"/>
        <v>815</v>
      </c>
      <c r="W2355" s="316">
        <f t="shared" si="603"/>
        <v>0</v>
      </c>
    </row>
    <row r="2356" spans="1:23" x14ac:dyDescent="0.25">
      <c r="A2356" s="204" t="s">
        <v>18022</v>
      </c>
      <c r="B2356" s="351" t="s">
        <v>22055</v>
      </c>
      <c r="C2356" s="352"/>
      <c r="D2356" s="353" t="s">
        <v>5</v>
      </c>
      <c r="E2356" s="249">
        <f t="shared" si="594"/>
        <v>0</v>
      </c>
      <c r="F2356" s="336">
        <v>0</v>
      </c>
      <c r="G2356" s="258">
        <f t="shared" si="595"/>
        <v>0</v>
      </c>
      <c r="H2356" s="249">
        <f t="shared" si="596"/>
        <v>6.3764916327875426E-2</v>
      </c>
      <c r="I2356" s="336">
        <v>1.4838892029395137E-2</v>
      </c>
      <c r="J2356" s="258">
        <f t="shared" si="597"/>
        <v>1.4838892029395137E-2</v>
      </c>
      <c r="K2356" s="249">
        <f t="shared" si="598"/>
        <v>4.1232978835390099</v>
      </c>
      <c r="L2356" s="336">
        <v>0.95954289007858662</v>
      </c>
      <c r="M2356" s="258">
        <f t="shared" si="599"/>
        <v>0.95954289007858662</v>
      </c>
      <c r="N2356" s="251">
        <f t="shared" si="600"/>
        <v>0.11002573797751054</v>
      </c>
      <c r="O2356" s="336">
        <v>2.5604362717387686E-2</v>
      </c>
      <c r="P2356" s="258">
        <f t="shared" si="601"/>
        <v>2.5604362717387686E-2</v>
      </c>
      <c r="Q2356" s="354">
        <v>4.1962325581395357</v>
      </c>
      <c r="R2356" s="249">
        <f t="shared" si="602"/>
        <v>4.2971480755813962</v>
      </c>
      <c r="S2356" s="355">
        <v>0.1</v>
      </c>
      <c r="T2356" s="355"/>
      <c r="U2356" s="315">
        <f t="shared" si="604"/>
        <v>4.7268628831395354</v>
      </c>
      <c r="V2356" s="315">
        <f t="shared" si="605"/>
        <v>5</v>
      </c>
      <c r="W2356" s="316">
        <f t="shared" si="603"/>
        <v>0</v>
      </c>
    </row>
    <row r="2357" spans="1:23" x14ac:dyDescent="0.25">
      <c r="A2357" s="204" t="s">
        <v>18023</v>
      </c>
      <c r="B2357" s="351" t="s">
        <v>22056</v>
      </c>
      <c r="C2357" s="352"/>
      <c r="D2357" s="353" t="s">
        <v>14859</v>
      </c>
      <c r="E2357" s="249">
        <f t="shared" si="594"/>
        <v>0</v>
      </c>
      <c r="F2357" s="336">
        <v>0</v>
      </c>
      <c r="G2357" s="258">
        <f t="shared" si="595"/>
        <v>0</v>
      </c>
      <c r="H2357" s="249">
        <f t="shared" si="596"/>
        <v>10.968162242669877</v>
      </c>
      <c r="I2357" s="336">
        <v>1.3428372609129036E-2</v>
      </c>
      <c r="J2357" s="258">
        <f t="shared" si="597"/>
        <v>1.3428372609129036E-2</v>
      </c>
      <c r="K2357" s="249">
        <f t="shared" si="598"/>
        <v>786.89651383860553</v>
      </c>
      <c r="L2357" s="336">
        <v>0.96340110210453056</v>
      </c>
      <c r="M2357" s="258">
        <f t="shared" si="599"/>
        <v>0.96340110210453056</v>
      </c>
      <c r="N2357" s="251">
        <f t="shared" si="600"/>
        <v>18.92545641872449</v>
      </c>
      <c r="O2357" s="336">
        <v>2.3170525286340296E-2</v>
      </c>
      <c r="P2357" s="258">
        <f t="shared" si="601"/>
        <v>2.3170525286340296E-2</v>
      </c>
      <c r="Q2357" s="354">
        <v>797.56500000000005</v>
      </c>
      <c r="R2357" s="249">
        <f t="shared" si="602"/>
        <v>816.79013250000003</v>
      </c>
      <c r="S2357" s="355">
        <v>0.1</v>
      </c>
      <c r="T2357" s="355"/>
      <c r="U2357" s="315">
        <f t="shared" si="604"/>
        <v>898.46914575000005</v>
      </c>
      <c r="V2357" s="315">
        <f t="shared" si="605"/>
        <v>900</v>
      </c>
      <c r="W2357" s="316">
        <f t="shared" si="603"/>
        <v>0</v>
      </c>
    </row>
    <row r="2358" spans="1:23" x14ac:dyDescent="0.25">
      <c r="A2358" s="204" t="s">
        <v>18024</v>
      </c>
      <c r="B2358" s="351" t="s">
        <v>22057</v>
      </c>
      <c r="C2358" s="352"/>
      <c r="D2358" s="353" t="s">
        <v>5</v>
      </c>
      <c r="E2358" s="249">
        <f t="shared" si="594"/>
        <v>0</v>
      </c>
      <c r="F2358" s="336">
        <v>0</v>
      </c>
      <c r="G2358" s="258">
        <f t="shared" si="595"/>
        <v>0</v>
      </c>
      <c r="H2358" s="249">
        <f t="shared" si="596"/>
        <v>6.3767585284840084E-2</v>
      </c>
      <c r="I2358" s="336">
        <v>1.3428372609129036E-2</v>
      </c>
      <c r="J2358" s="258">
        <f t="shared" si="597"/>
        <v>1.3428372609129036E-2</v>
      </c>
      <c r="K2358" s="249">
        <f t="shared" si="598"/>
        <v>4.5748628074123383</v>
      </c>
      <c r="L2358" s="336">
        <v>0.96338856394149675</v>
      </c>
      <c r="M2358" s="258">
        <f t="shared" si="599"/>
        <v>0.96338856394149675</v>
      </c>
      <c r="N2358" s="251">
        <f t="shared" si="600"/>
        <v>0.11003034323658679</v>
      </c>
      <c r="O2358" s="336">
        <v>2.3170525286340296E-2</v>
      </c>
      <c r="P2358" s="258">
        <f t="shared" si="601"/>
        <v>2.3170525286340296E-2</v>
      </c>
      <c r="Q2358" s="354">
        <v>4.6370058139534889</v>
      </c>
      <c r="R2358" s="249">
        <f t="shared" si="602"/>
        <v>4.74872027616279</v>
      </c>
      <c r="S2358" s="355">
        <v>0.1</v>
      </c>
      <c r="T2358" s="355"/>
      <c r="U2358" s="315">
        <f t="shared" si="604"/>
        <v>5.2235923037790695</v>
      </c>
      <c r="V2358" s="315">
        <f t="shared" si="605"/>
        <v>6</v>
      </c>
      <c r="W2358" s="316">
        <f t="shared" si="603"/>
        <v>0</v>
      </c>
    </row>
    <row r="2359" spans="1:23" x14ac:dyDescent="0.25">
      <c r="A2359" s="204" t="s">
        <v>18025</v>
      </c>
      <c r="B2359" s="351" t="s">
        <v>22058</v>
      </c>
      <c r="C2359" s="352"/>
      <c r="D2359" s="353" t="s">
        <v>14859</v>
      </c>
      <c r="E2359" s="249">
        <f t="shared" si="594"/>
        <v>0</v>
      </c>
      <c r="F2359" s="336">
        <v>0</v>
      </c>
      <c r="G2359" s="258">
        <f t="shared" si="595"/>
        <v>0</v>
      </c>
      <c r="H2359" s="249">
        <f t="shared" si="596"/>
        <v>10.969339652665592</v>
      </c>
      <c r="I2359" s="336">
        <v>9.6930533117932163E-3</v>
      </c>
      <c r="J2359" s="258">
        <f t="shared" si="597"/>
        <v>9.6930533117932163E-3</v>
      </c>
      <c r="K2359" s="249">
        <f t="shared" si="598"/>
        <v>1101.7733798192055</v>
      </c>
      <c r="L2359" s="336">
        <v>0.97358167822864194</v>
      </c>
      <c r="M2359" s="258">
        <f t="shared" si="599"/>
        <v>0.97358167822864194</v>
      </c>
      <c r="N2359" s="251">
        <f t="shared" si="600"/>
        <v>18.927488028128863</v>
      </c>
      <c r="O2359" s="336">
        <v>1.6725268459564763E-2</v>
      </c>
      <c r="P2359" s="258">
        <f t="shared" si="601"/>
        <v>1.6725268459564763E-2</v>
      </c>
      <c r="Q2359" s="354">
        <v>1104.915</v>
      </c>
      <c r="R2359" s="249">
        <f t="shared" si="602"/>
        <v>1131.6702075000001</v>
      </c>
      <c r="S2359" s="355">
        <v>0.1</v>
      </c>
      <c r="T2359" s="355"/>
      <c r="U2359" s="315">
        <f t="shared" si="604"/>
        <v>1244.83722825</v>
      </c>
      <c r="V2359" s="315">
        <f t="shared" si="605"/>
        <v>1250</v>
      </c>
      <c r="W2359" s="316">
        <f t="shared" si="603"/>
        <v>0</v>
      </c>
    </row>
    <row r="2360" spans="1:23" x14ac:dyDescent="0.25">
      <c r="A2360" s="204" t="s">
        <v>18026</v>
      </c>
      <c r="B2360" s="351" t="s">
        <v>22059</v>
      </c>
      <c r="C2360" s="352"/>
      <c r="D2360" s="353" t="s">
        <v>5</v>
      </c>
      <c r="E2360" s="249">
        <f t="shared" si="594"/>
        <v>0</v>
      </c>
      <c r="F2360" s="336">
        <v>0</v>
      </c>
      <c r="G2360" s="258">
        <f t="shared" si="595"/>
        <v>0</v>
      </c>
      <c r="H2360" s="249">
        <f t="shared" si="596"/>
        <v>6.3774653182176802E-2</v>
      </c>
      <c r="I2360" s="336">
        <v>9.6930533117932163E-3</v>
      </c>
      <c r="J2360" s="258">
        <f t="shared" si="597"/>
        <v>9.6930533117932163E-3</v>
      </c>
      <c r="K2360" s="249">
        <f t="shared" si="598"/>
        <v>6.4055416477932123</v>
      </c>
      <c r="L2360" s="336">
        <v>0.97357262775869624</v>
      </c>
      <c r="M2360" s="258">
        <f t="shared" si="599"/>
        <v>0.97357262775869624</v>
      </c>
      <c r="N2360" s="251">
        <f t="shared" si="600"/>
        <v>0.11004253882414819</v>
      </c>
      <c r="O2360" s="336">
        <v>1.6725268459564763E-2</v>
      </c>
      <c r="P2360" s="258">
        <f t="shared" si="601"/>
        <v>1.6725268459564763E-2</v>
      </c>
      <c r="Q2360" s="354">
        <v>6.4239244186046509</v>
      </c>
      <c r="R2360" s="249">
        <f t="shared" si="602"/>
        <v>6.5794183866279061</v>
      </c>
      <c r="S2360" s="355">
        <v>0.1</v>
      </c>
      <c r="T2360" s="355"/>
      <c r="U2360" s="315">
        <f t="shared" si="604"/>
        <v>7.237360225290697</v>
      </c>
      <c r="V2360" s="315">
        <f t="shared" si="605"/>
        <v>8</v>
      </c>
      <c r="W2360" s="316">
        <f t="shared" si="603"/>
        <v>0</v>
      </c>
    </row>
    <row r="2361" spans="1:23" x14ac:dyDescent="0.25">
      <c r="A2361" s="203" t="s">
        <v>18027</v>
      </c>
      <c r="B2361" s="345" t="s">
        <v>18028</v>
      </c>
      <c r="C2361" s="346"/>
      <c r="D2361" s="347"/>
      <c r="E2361" s="347"/>
      <c r="F2361" s="347"/>
      <c r="G2361" s="347"/>
      <c r="H2361" s="347"/>
      <c r="I2361" s="347"/>
      <c r="J2361" s="347"/>
      <c r="K2361" s="347"/>
      <c r="L2361" s="347"/>
      <c r="M2361" s="347"/>
      <c r="N2361" s="347"/>
      <c r="O2361" s="347"/>
      <c r="P2361" s="347"/>
      <c r="Q2361" s="347"/>
      <c r="R2361" s="347"/>
      <c r="S2361" s="347"/>
      <c r="T2361" s="348"/>
      <c r="U2361" s="349"/>
      <c r="V2361" s="349"/>
      <c r="W2361" s="350"/>
    </row>
    <row r="2362" spans="1:23" x14ac:dyDescent="0.25">
      <c r="A2362" s="204" t="s">
        <v>18029</v>
      </c>
      <c r="B2362" s="351" t="s">
        <v>22060</v>
      </c>
      <c r="C2362" s="352"/>
      <c r="D2362" s="353" t="s">
        <v>5</v>
      </c>
      <c r="E2362" s="249">
        <f t="shared" si="594"/>
        <v>0</v>
      </c>
      <c r="F2362" s="336">
        <v>0</v>
      </c>
      <c r="G2362" s="258">
        <f t="shared" si="595"/>
        <v>0</v>
      </c>
      <c r="H2362" s="249">
        <f t="shared" si="596"/>
        <v>6.3585849756177829E-2</v>
      </c>
      <c r="I2362" s="336">
        <v>0.10947394244185155</v>
      </c>
      <c r="J2362" s="258">
        <f t="shared" si="597"/>
        <v>0.10947394244185155</v>
      </c>
      <c r="K2362" s="249">
        <f t="shared" si="598"/>
        <v>0.40746893067610818</v>
      </c>
      <c r="L2362" s="336">
        <v>0.70152762658244017</v>
      </c>
      <c r="M2362" s="258">
        <f t="shared" si="599"/>
        <v>0.70152762658244017</v>
      </c>
      <c r="N2362" s="251">
        <f t="shared" si="600"/>
        <v>0.10971676036360097</v>
      </c>
      <c r="O2362" s="336">
        <v>0.18889621440946933</v>
      </c>
      <c r="P2362" s="258">
        <f t="shared" si="601"/>
        <v>0.18889621440946933</v>
      </c>
      <c r="Q2362" s="354">
        <v>0.56878779069767449</v>
      </c>
      <c r="R2362" s="249">
        <f t="shared" si="602"/>
        <v>0.58083091133720932</v>
      </c>
      <c r="S2362" s="355">
        <v>0.1</v>
      </c>
      <c r="T2362" s="355"/>
      <c r="U2362" s="315">
        <f t="shared" si="604"/>
        <v>0.63891400247093022</v>
      </c>
      <c r="V2362" s="315">
        <f t="shared" si="605"/>
        <v>1</v>
      </c>
      <c r="W2362" s="316">
        <f t="shared" ref="W2362:W2416" si="606">C2362*V2362</f>
        <v>0</v>
      </c>
    </row>
    <row r="2363" spans="1:23" x14ac:dyDescent="0.25">
      <c r="A2363" s="204" t="s">
        <v>18030</v>
      </c>
      <c r="B2363" s="351" t="s">
        <v>22061</v>
      </c>
      <c r="C2363" s="352"/>
      <c r="D2363" s="353" t="s">
        <v>14859</v>
      </c>
      <c r="E2363" s="249">
        <f t="shared" si="594"/>
        <v>0</v>
      </c>
      <c r="F2363" s="336">
        <v>0</v>
      </c>
      <c r="G2363" s="258">
        <f t="shared" si="595"/>
        <v>0</v>
      </c>
      <c r="H2363" s="249">
        <f t="shared" si="596"/>
        <v>10.937887718602903</v>
      </c>
      <c r="I2363" s="336">
        <v>0.10947394244185156</v>
      </c>
      <c r="J2363" s="258">
        <f t="shared" si="597"/>
        <v>0.10947394244185156</v>
      </c>
      <c r="K2363" s="249">
        <f t="shared" si="598"/>
        <v>70.102056007141087</v>
      </c>
      <c r="L2363" s="336">
        <v>0.70162984314867904</v>
      </c>
      <c r="M2363" s="258">
        <f t="shared" si="599"/>
        <v>0.70162984314867904</v>
      </c>
      <c r="N2363" s="251">
        <f t="shared" si="600"/>
        <v>18.873218024255987</v>
      </c>
      <c r="O2363" s="336">
        <v>0.18889621440946933</v>
      </c>
      <c r="P2363" s="258">
        <f t="shared" si="601"/>
        <v>0.18889621440946933</v>
      </c>
      <c r="Q2363" s="354">
        <v>97.831500000000005</v>
      </c>
      <c r="R2363" s="249">
        <f t="shared" si="602"/>
        <v>99.913161749999986</v>
      </c>
      <c r="S2363" s="355">
        <v>0.1</v>
      </c>
      <c r="T2363" s="355"/>
      <c r="U2363" s="315">
        <f t="shared" si="604"/>
        <v>109.90447792499998</v>
      </c>
      <c r="V2363" s="315">
        <f t="shared" si="605"/>
        <v>110</v>
      </c>
      <c r="W2363" s="316">
        <f t="shared" si="606"/>
        <v>0</v>
      </c>
    </row>
    <row r="2364" spans="1:23" x14ac:dyDescent="0.25">
      <c r="A2364" s="204" t="s">
        <v>18031</v>
      </c>
      <c r="B2364" s="351" t="s">
        <v>22062</v>
      </c>
      <c r="C2364" s="352"/>
      <c r="D2364" s="353" t="s">
        <v>5</v>
      </c>
      <c r="E2364" s="249">
        <f t="shared" si="594"/>
        <v>0</v>
      </c>
      <c r="F2364" s="336">
        <v>0</v>
      </c>
      <c r="G2364" s="258">
        <f t="shared" si="595"/>
        <v>0</v>
      </c>
      <c r="H2364" s="249">
        <f t="shared" si="596"/>
        <v>6.3678318542984128E-2</v>
      </c>
      <c r="I2364" s="336">
        <v>6.0605031745492831E-2</v>
      </c>
      <c r="J2364" s="258">
        <f t="shared" si="597"/>
        <v>6.0605031745492831E-2</v>
      </c>
      <c r="K2364" s="249">
        <f t="shared" si="598"/>
        <v>0.87709600325153414</v>
      </c>
      <c r="L2364" s="336">
        <v>0.83476499281340888</v>
      </c>
      <c r="M2364" s="258">
        <f t="shared" si="599"/>
        <v>0.83476499281340888</v>
      </c>
      <c r="N2364" s="251">
        <f t="shared" si="600"/>
        <v>0.10987631434867848</v>
      </c>
      <c r="O2364" s="336">
        <v>0.10457338810986996</v>
      </c>
      <c r="P2364" s="258">
        <f t="shared" si="601"/>
        <v>0.10457338810986996</v>
      </c>
      <c r="Q2364" s="354">
        <v>1.0274302325581395</v>
      </c>
      <c r="R2364" s="249">
        <f t="shared" si="602"/>
        <v>1.0507100930232556</v>
      </c>
      <c r="S2364" s="355">
        <v>0.1</v>
      </c>
      <c r="T2364" s="355"/>
      <c r="U2364" s="315">
        <f t="shared" si="604"/>
        <v>1.1557811023255811</v>
      </c>
      <c r="V2364" s="315">
        <f t="shared" si="605"/>
        <v>2</v>
      </c>
      <c r="W2364" s="316">
        <f t="shared" si="606"/>
        <v>0</v>
      </c>
    </row>
    <row r="2365" spans="1:23" x14ac:dyDescent="0.25">
      <c r="A2365" s="204" t="s">
        <v>18032</v>
      </c>
      <c r="B2365" s="351" t="s">
        <v>22063</v>
      </c>
      <c r="C2365" s="352"/>
      <c r="D2365" s="353" t="s">
        <v>14859</v>
      </c>
      <c r="E2365" s="249">
        <f t="shared" si="594"/>
        <v>0</v>
      </c>
      <c r="F2365" s="336">
        <v>0</v>
      </c>
      <c r="G2365" s="258">
        <f t="shared" si="595"/>
        <v>0</v>
      </c>
      <c r="H2365" s="249">
        <f t="shared" si="596"/>
        <v>10.953291687943503</v>
      </c>
      <c r="I2365" s="336">
        <v>6.0605031745492831E-2</v>
      </c>
      <c r="J2365" s="258">
        <f t="shared" si="597"/>
        <v>6.0605031745492831E-2</v>
      </c>
      <c r="K2365" s="249">
        <f t="shared" si="598"/>
        <v>150.87929188972259</v>
      </c>
      <c r="L2365" s="336">
        <v>0.83482158014463725</v>
      </c>
      <c r="M2365" s="258">
        <f t="shared" si="599"/>
        <v>0.83482158014463725</v>
      </c>
      <c r="N2365" s="251">
        <f t="shared" si="600"/>
        <v>18.899797422333886</v>
      </c>
      <c r="O2365" s="336">
        <v>0.10457338810986998</v>
      </c>
      <c r="P2365" s="258">
        <f t="shared" si="601"/>
        <v>0.10457338810986998</v>
      </c>
      <c r="Q2365" s="354">
        <v>176.71799999999999</v>
      </c>
      <c r="R2365" s="249">
        <f t="shared" si="602"/>
        <v>180.73238099999998</v>
      </c>
      <c r="S2365" s="355">
        <v>0.1</v>
      </c>
      <c r="T2365" s="355"/>
      <c r="U2365" s="315">
        <f t="shared" si="604"/>
        <v>198.80561909999997</v>
      </c>
      <c r="V2365" s="315">
        <f t="shared" si="605"/>
        <v>200</v>
      </c>
      <c r="W2365" s="316">
        <f t="shared" si="606"/>
        <v>0</v>
      </c>
    </row>
    <row r="2366" spans="1:23" x14ac:dyDescent="0.25">
      <c r="A2366" s="204" t="s">
        <v>18033</v>
      </c>
      <c r="B2366" s="351" t="s">
        <v>22064</v>
      </c>
      <c r="C2366" s="352"/>
      <c r="D2366" s="353" t="s">
        <v>5</v>
      </c>
      <c r="E2366" s="249">
        <f t="shared" si="594"/>
        <v>0</v>
      </c>
      <c r="F2366" s="336">
        <v>0</v>
      </c>
      <c r="G2366" s="258">
        <f t="shared" si="595"/>
        <v>0</v>
      </c>
      <c r="H2366" s="249">
        <f t="shared" si="596"/>
        <v>6.3725134249734278E-2</v>
      </c>
      <c r="I2366" s="336">
        <v>3.5863357593839948E-2</v>
      </c>
      <c r="J2366" s="258">
        <f t="shared" si="597"/>
        <v>3.5863357593839948E-2</v>
      </c>
      <c r="K2366" s="249">
        <f t="shared" si="598"/>
        <v>1.603145280940782</v>
      </c>
      <c r="L2366" s="336">
        <v>0.90222128461810203</v>
      </c>
      <c r="M2366" s="258">
        <f t="shared" si="599"/>
        <v>0.90222128461810203</v>
      </c>
      <c r="N2366" s="251">
        <f t="shared" si="600"/>
        <v>0.10995709439169836</v>
      </c>
      <c r="O2366" s="336">
        <v>6.1881871926625788E-2</v>
      </c>
      <c r="P2366" s="258">
        <f t="shared" si="601"/>
        <v>6.1881871926625788E-2</v>
      </c>
      <c r="Q2366" s="354">
        <v>1.7362412790697672</v>
      </c>
      <c r="R2366" s="249">
        <f t="shared" si="602"/>
        <v>1.7768870101744181</v>
      </c>
      <c r="S2366" s="355">
        <v>0.1</v>
      </c>
      <c r="T2366" s="355"/>
      <c r="U2366" s="315">
        <f t="shared" si="604"/>
        <v>1.9545757111918598</v>
      </c>
      <c r="V2366" s="315">
        <f t="shared" si="605"/>
        <v>2</v>
      </c>
      <c r="W2366" s="316">
        <f t="shared" si="606"/>
        <v>0</v>
      </c>
    </row>
    <row r="2367" spans="1:23" x14ac:dyDescent="0.25">
      <c r="A2367" s="204" t="s">
        <v>18034</v>
      </c>
      <c r="B2367" s="351" t="s">
        <v>22065</v>
      </c>
      <c r="C2367" s="352"/>
      <c r="D2367" s="353" t="s">
        <v>14859</v>
      </c>
      <c r="E2367" s="249">
        <f t="shared" si="594"/>
        <v>0</v>
      </c>
      <c r="F2367" s="336">
        <v>0</v>
      </c>
      <c r="G2367" s="258">
        <f t="shared" si="595"/>
        <v>0</v>
      </c>
      <c r="H2367" s="249">
        <f t="shared" si="596"/>
        <v>10.961090511052847</v>
      </c>
      <c r="I2367" s="336">
        <v>3.5863357593839948E-2</v>
      </c>
      <c r="J2367" s="258">
        <f t="shared" si="597"/>
        <v>3.5863357593839948E-2</v>
      </c>
      <c r="K2367" s="249">
        <f t="shared" si="598"/>
        <v>275.76046602379711</v>
      </c>
      <c r="L2367" s="336">
        <v>0.90225477047953428</v>
      </c>
      <c r="M2367" s="258">
        <f t="shared" si="599"/>
        <v>0.90225477047953428</v>
      </c>
      <c r="N2367" s="251">
        <f t="shared" si="600"/>
        <v>18.913254215150008</v>
      </c>
      <c r="O2367" s="336">
        <v>6.1881871926625788E-2</v>
      </c>
      <c r="P2367" s="258">
        <f t="shared" si="601"/>
        <v>6.1881871926625788E-2</v>
      </c>
      <c r="Q2367" s="354">
        <v>298.63349999999997</v>
      </c>
      <c r="R2367" s="249">
        <f t="shared" si="602"/>
        <v>305.63481074999999</v>
      </c>
      <c r="S2367" s="355">
        <v>0.1</v>
      </c>
      <c r="T2367" s="355"/>
      <c r="U2367" s="315">
        <f t="shared" si="604"/>
        <v>336.19829182499996</v>
      </c>
      <c r="V2367" s="315">
        <f t="shared" si="605"/>
        <v>340</v>
      </c>
      <c r="W2367" s="316">
        <f t="shared" si="606"/>
        <v>0</v>
      </c>
    </row>
    <row r="2368" spans="1:23" x14ac:dyDescent="0.25">
      <c r="A2368" s="204" t="s">
        <v>18035</v>
      </c>
      <c r="B2368" s="351" t="s">
        <v>22066</v>
      </c>
      <c r="C2368" s="352"/>
      <c r="D2368" s="353" t="s">
        <v>5</v>
      </c>
      <c r="E2368" s="249">
        <f t="shared" si="594"/>
        <v>0</v>
      </c>
      <c r="F2368" s="336">
        <v>0</v>
      </c>
      <c r="G2368" s="258">
        <f t="shared" si="595"/>
        <v>0</v>
      </c>
      <c r="H2368" s="249">
        <f t="shared" si="596"/>
        <v>6.3726278630499622E-2</v>
      </c>
      <c r="I2368" s="336">
        <v>3.5258562793821363E-2</v>
      </c>
      <c r="J2368" s="258">
        <f t="shared" si="597"/>
        <v>3.5258562793821363E-2</v>
      </c>
      <c r="K2368" s="249">
        <f t="shared" si="598"/>
        <v>1.6336537960481279</v>
      </c>
      <c r="L2368" s="336">
        <v>0.90387021161721892</v>
      </c>
      <c r="M2368" s="258">
        <f t="shared" si="599"/>
        <v>0.90387021161721892</v>
      </c>
      <c r="N2368" s="251">
        <f t="shared" si="600"/>
        <v>0.10995906900948954</v>
      </c>
      <c r="O2368" s="336">
        <v>6.0838304428554507E-2</v>
      </c>
      <c r="P2368" s="258">
        <f t="shared" si="601"/>
        <v>6.0838304428554507E-2</v>
      </c>
      <c r="Q2368" s="354">
        <v>1.7660232558139533</v>
      </c>
      <c r="R2368" s="249">
        <f t="shared" si="602"/>
        <v>1.8073986453488367</v>
      </c>
      <c r="S2368" s="355">
        <v>0.1</v>
      </c>
      <c r="T2368" s="355"/>
      <c r="U2368" s="315">
        <f t="shared" si="604"/>
        <v>1.9881385098837203</v>
      </c>
      <c r="V2368" s="315">
        <f t="shared" si="605"/>
        <v>2</v>
      </c>
      <c r="W2368" s="316">
        <f t="shared" si="606"/>
        <v>0</v>
      </c>
    </row>
    <row r="2369" spans="1:23" x14ac:dyDescent="0.25">
      <c r="A2369" s="204" t="s">
        <v>18036</v>
      </c>
      <c r="B2369" s="351" t="s">
        <v>22067</v>
      </c>
      <c r="C2369" s="352"/>
      <c r="D2369" s="353" t="s">
        <v>14859</v>
      </c>
      <c r="E2369" s="249">
        <f t="shared" si="594"/>
        <v>0</v>
      </c>
      <c r="F2369" s="336">
        <v>0</v>
      </c>
      <c r="G2369" s="258">
        <f t="shared" si="595"/>
        <v>0</v>
      </c>
      <c r="H2369" s="249">
        <f t="shared" si="596"/>
        <v>10.96128114842176</v>
      </c>
      <c r="I2369" s="336">
        <v>3.5258562793821363E-2</v>
      </c>
      <c r="J2369" s="258">
        <f t="shared" si="597"/>
        <v>3.5258562793821363E-2</v>
      </c>
      <c r="K2369" s="249">
        <f t="shared" si="598"/>
        <v>281.00794769351711</v>
      </c>
      <c r="L2369" s="336">
        <v>0.90390313277762413</v>
      </c>
      <c r="M2369" s="258">
        <f t="shared" si="599"/>
        <v>0.90390313277762413</v>
      </c>
      <c r="N2369" s="251">
        <f t="shared" si="600"/>
        <v>18.913583158061076</v>
      </c>
      <c r="O2369" s="336">
        <v>6.0838304428554507E-2</v>
      </c>
      <c r="P2369" s="258">
        <f t="shared" si="601"/>
        <v>6.0838304428554507E-2</v>
      </c>
      <c r="Q2369" s="354">
        <v>303.75599999999997</v>
      </c>
      <c r="R2369" s="249">
        <f t="shared" si="602"/>
        <v>310.88281199999994</v>
      </c>
      <c r="S2369" s="355">
        <v>0.1</v>
      </c>
      <c r="T2369" s="355"/>
      <c r="U2369" s="315">
        <f t="shared" si="604"/>
        <v>341.97109319999993</v>
      </c>
      <c r="V2369" s="315">
        <f t="shared" si="605"/>
        <v>345</v>
      </c>
      <c r="W2369" s="316">
        <f t="shared" si="606"/>
        <v>0</v>
      </c>
    </row>
    <row r="2370" spans="1:23" ht="14.4" thickBot="1" x14ac:dyDescent="0.3">
      <c r="A2370" s="356" t="s">
        <v>18037</v>
      </c>
      <c r="B2370" s="357" t="s">
        <v>18958</v>
      </c>
      <c r="C2370" s="358"/>
      <c r="D2370" s="359" t="s">
        <v>5</v>
      </c>
      <c r="E2370" s="266">
        <f t="shared" ref="E2370:E2433" si="607">R2370*G2370</f>
        <v>0</v>
      </c>
      <c r="F2370" s="360">
        <v>0</v>
      </c>
      <c r="G2370" s="322">
        <f t="shared" ref="G2370:G2433" si="608">F2370</f>
        <v>0</v>
      </c>
      <c r="H2370" s="266">
        <f t="shared" ref="H2370:H2433" si="609">R2370*J2370</f>
        <v>6.3765989622990404E-2</v>
      </c>
      <c r="I2370" s="360">
        <v>1.4271665347437099E-2</v>
      </c>
      <c r="J2370" s="322">
        <f t="shared" ref="J2370:J2433" si="610">I2370</f>
        <v>1.4271665347437099E-2</v>
      </c>
      <c r="K2370" s="266">
        <f t="shared" ref="K2370:K2433" si="611">R2370*M2370</f>
        <v>4.2941601142582959</v>
      </c>
      <c r="L2370" s="360">
        <v>0.96108939046263653</v>
      </c>
      <c r="M2370" s="322">
        <f t="shared" ref="M2370:M2433" si="612">L2370</f>
        <v>0.96108939046263653</v>
      </c>
      <c r="N2370" s="270">
        <f t="shared" ref="N2370:N2433" si="613">P2370*R2370</f>
        <v>0.11002758993770893</v>
      </c>
      <c r="O2370" s="360">
        <v>2.4625618638714993E-2</v>
      </c>
      <c r="P2370" s="322">
        <f t="shared" ref="P2370:P2433" si="614">O2370</f>
        <v>2.4625618638714993E-2</v>
      </c>
      <c r="Q2370" s="361">
        <v>4.3630116279069764</v>
      </c>
      <c r="R2370" s="266">
        <f t="shared" ref="R2370:R2433" si="615">SUM(F2370*Q2370*1.0235,I2370*Q2370*1.0175,L2370*Q2370*1.0245,O2370*Q2370*1.0115)</f>
        <v>4.468013232558139</v>
      </c>
      <c r="S2370" s="362">
        <v>0.1</v>
      </c>
      <c r="T2370" s="362"/>
      <c r="U2370" s="324">
        <f t="shared" si="604"/>
        <v>4.9148145558139529</v>
      </c>
      <c r="V2370" s="324">
        <f t="shared" si="605"/>
        <v>5</v>
      </c>
      <c r="W2370" s="325">
        <f t="shared" si="606"/>
        <v>0</v>
      </c>
    </row>
    <row r="2371" spans="1:23" x14ac:dyDescent="0.25">
      <c r="A2371" s="204" t="s">
        <v>18038</v>
      </c>
      <c r="B2371" s="351" t="s">
        <v>18959</v>
      </c>
      <c r="C2371" s="352"/>
      <c r="D2371" s="353" t="s">
        <v>14859</v>
      </c>
      <c r="E2371" s="249">
        <f t="shared" si="607"/>
        <v>0</v>
      </c>
      <c r="F2371" s="336">
        <v>0</v>
      </c>
      <c r="G2371" s="258">
        <f t="shared" si="608"/>
        <v>0</v>
      </c>
      <c r="H2371" s="249">
        <f t="shared" si="609"/>
        <v>10.967896428365835</v>
      </c>
      <c r="I2371" s="336">
        <v>1.4271665347437098E-2</v>
      </c>
      <c r="J2371" s="258">
        <f t="shared" si="610"/>
        <v>1.4271665347437098E-2</v>
      </c>
      <c r="K2371" s="249">
        <f t="shared" si="611"/>
        <v>738.61562681288524</v>
      </c>
      <c r="L2371" s="336">
        <v>0.96110271601384789</v>
      </c>
      <c r="M2371" s="258">
        <f t="shared" si="612"/>
        <v>0.96110271601384789</v>
      </c>
      <c r="N2371" s="251">
        <f t="shared" si="613"/>
        <v>18.924997758748891</v>
      </c>
      <c r="O2371" s="336">
        <v>2.4625618638714993E-2</v>
      </c>
      <c r="P2371" s="258">
        <f t="shared" si="614"/>
        <v>2.4625618638714993E-2</v>
      </c>
      <c r="Q2371" s="354">
        <v>750.43799999999999</v>
      </c>
      <c r="R2371" s="249">
        <f t="shared" si="615"/>
        <v>768.50852099999997</v>
      </c>
      <c r="S2371" s="355">
        <v>0.1</v>
      </c>
      <c r="T2371" s="355"/>
      <c r="U2371" s="315">
        <f t="shared" si="604"/>
        <v>845.35937309999997</v>
      </c>
      <c r="V2371" s="315">
        <f t="shared" si="605"/>
        <v>850</v>
      </c>
      <c r="W2371" s="316">
        <f t="shared" si="606"/>
        <v>0</v>
      </c>
    </row>
    <row r="2372" spans="1:23" x14ac:dyDescent="0.25">
      <c r="A2372" s="204" t="s">
        <v>18039</v>
      </c>
      <c r="B2372" s="351" t="s">
        <v>18960</v>
      </c>
      <c r="C2372" s="352"/>
      <c r="D2372" s="353" t="s">
        <v>5</v>
      </c>
      <c r="E2372" s="249">
        <f t="shared" si="607"/>
        <v>0</v>
      </c>
      <c r="F2372" s="336">
        <v>0</v>
      </c>
      <c r="G2372" s="258">
        <f t="shared" si="608"/>
        <v>0</v>
      </c>
      <c r="H2372" s="249">
        <f t="shared" si="609"/>
        <v>6.3777991724317917E-2</v>
      </c>
      <c r="I2372" s="336">
        <v>7.9286642310639303E-3</v>
      </c>
      <c r="J2372" s="258">
        <f t="shared" si="610"/>
        <v>7.9286642310639303E-3</v>
      </c>
      <c r="K2372" s="249">
        <f t="shared" si="611"/>
        <v>7.8700910338842132</v>
      </c>
      <c r="L2372" s="336">
        <v>0.97838310032240272</v>
      </c>
      <c r="M2372" s="258">
        <f t="shared" si="612"/>
        <v>0.97838310032240272</v>
      </c>
      <c r="N2372" s="251">
        <f t="shared" si="613"/>
        <v>0.11004829944588186</v>
      </c>
      <c r="O2372" s="336">
        <v>1.3680832398698543E-2</v>
      </c>
      <c r="P2372" s="258">
        <f t="shared" si="614"/>
        <v>1.3680832398698543E-2</v>
      </c>
      <c r="Q2372" s="354">
        <v>7.8534593023255814</v>
      </c>
      <c r="R2372" s="249">
        <f t="shared" si="615"/>
        <v>8.0439768750000002</v>
      </c>
      <c r="S2372" s="355">
        <v>0.1</v>
      </c>
      <c r="T2372" s="355"/>
      <c r="U2372" s="315">
        <f t="shared" si="604"/>
        <v>8.8483745625000001</v>
      </c>
      <c r="V2372" s="315">
        <f t="shared" si="605"/>
        <v>9</v>
      </c>
      <c r="W2372" s="316">
        <f t="shared" si="606"/>
        <v>0</v>
      </c>
    </row>
    <row r="2373" spans="1:23" x14ac:dyDescent="0.25">
      <c r="A2373" s="204" t="s">
        <v>18040</v>
      </c>
      <c r="B2373" s="351" t="s">
        <v>18961</v>
      </c>
      <c r="C2373" s="352"/>
      <c r="D2373" s="353" t="s">
        <v>14859</v>
      </c>
      <c r="E2373" s="249">
        <f t="shared" si="607"/>
        <v>0</v>
      </c>
      <c r="F2373" s="336">
        <v>0</v>
      </c>
      <c r="G2373" s="258">
        <f t="shared" si="608"/>
        <v>0</v>
      </c>
      <c r="H2373" s="249">
        <f t="shared" si="609"/>
        <v>10.969895805747727</v>
      </c>
      <c r="I2373" s="336">
        <v>7.9286642310639286E-3</v>
      </c>
      <c r="J2373" s="258">
        <f t="shared" si="610"/>
        <v>7.9286642310639286E-3</v>
      </c>
      <c r="K2373" s="249">
        <f t="shared" si="611"/>
        <v>1353.6759240294327</v>
      </c>
      <c r="L2373" s="336">
        <v>0.97839050337023747</v>
      </c>
      <c r="M2373" s="258">
        <f t="shared" si="612"/>
        <v>0.97839050337023747</v>
      </c>
      <c r="N2373" s="251">
        <f t="shared" si="613"/>
        <v>18.928447664819608</v>
      </c>
      <c r="O2373" s="336">
        <v>1.3680832398698543E-2</v>
      </c>
      <c r="P2373" s="258">
        <f t="shared" si="614"/>
        <v>1.3680832398698543E-2</v>
      </c>
      <c r="Q2373" s="354">
        <v>1350.7950000000001</v>
      </c>
      <c r="R2373" s="249">
        <f t="shared" si="615"/>
        <v>1383.5742675000001</v>
      </c>
      <c r="S2373" s="355">
        <v>0.1</v>
      </c>
      <c r="T2373" s="355"/>
      <c r="U2373" s="315">
        <f t="shared" si="604"/>
        <v>1521.9316942500002</v>
      </c>
      <c r="V2373" s="315">
        <f t="shared" si="605"/>
        <v>1525</v>
      </c>
      <c r="W2373" s="316">
        <f t="shared" si="606"/>
        <v>0</v>
      </c>
    </row>
    <row r="2374" spans="1:23" x14ac:dyDescent="0.25">
      <c r="A2374" s="204" t="s">
        <v>18041</v>
      </c>
      <c r="B2374" s="351" t="s">
        <v>22068</v>
      </c>
      <c r="C2374" s="352"/>
      <c r="D2374" s="353" t="s">
        <v>5</v>
      </c>
      <c r="E2374" s="249">
        <f t="shared" si="607"/>
        <v>0</v>
      </c>
      <c r="F2374" s="336">
        <v>0</v>
      </c>
      <c r="G2374" s="258">
        <f t="shared" si="608"/>
        <v>0</v>
      </c>
      <c r="H2374" s="249">
        <f t="shared" si="609"/>
        <v>6.377831459926421E-2</v>
      </c>
      <c r="I2374" s="336">
        <v>7.7580277659161818E-3</v>
      </c>
      <c r="J2374" s="258">
        <f t="shared" si="610"/>
        <v>7.7580277659161818E-3</v>
      </c>
      <c r="K2374" s="249">
        <f t="shared" si="611"/>
        <v>8.047057637601867</v>
      </c>
      <c r="L2374" s="336">
        <v>0.97884832765968688</v>
      </c>
      <c r="M2374" s="258">
        <f t="shared" si="612"/>
        <v>0.97884832765968688</v>
      </c>
      <c r="N2374" s="251">
        <f t="shared" si="613"/>
        <v>0.11004885656343627</v>
      </c>
      <c r="O2374" s="336">
        <v>1.3386400850992627E-2</v>
      </c>
      <c r="P2374" s="258">
        <f t="shared" si="614"/>
        <v>1.3386400850992627E-2</v>
      </c>
      <c r="Q2374" s="354">
        <v>8.0261947674418597</v>
      </c>
      <c r="R2374" s="249">
        <f t="shared" si="615"/>
        <v>8.2209443590116269</v>
      </c>
      <c r="S2374" s="355">
        <v>0.1</v>
      </c>
      <c r="T2374" s="355"/>
      <c r="U2374" s="315">
        <f t="shared" si="604"/>
        <v>9.0430387949127891</v>
      </c>
      <c r="V2374" s="315">
        <f t="shared" si="605"/>
        <v>10</v>
      </c>
      <c r="W2374" s="316">
        <f t="shared" si="606"/>
        <v>0</v>
      </c>
    </row>
    <row r="2375" spans="1:23" x14ac:dyDescent="0.25">
      <c r="A2375" s="204" t="s">
        <v>18042</v>
      </c>
      <c r="B2375" s="351" t="s">
        <v>22069</v>
      </c>
      <c r="C2375" s="352"/>
      <c r="D2375" s="353" t="s">
        <v>14859</v>
      </c>
      <c r="E2375" s="249">
        <f t="shared" si="607"/>
        <v>0</v>
      </c>
      <c r="F2375" s="336">
        <v>0</v>
      </c>
      <c r="G2375" s="258">
        <f t="shared" si="608"/>
        <v>0</v>
      </c>
      <c r="H2375" s="249">
        <f t="shared" si="609"/>
        <v>10.969949592067907</v>
      </c>
      <c r="I2375" s="336">
        <v>7.7580277659161818E-3</v>
      </c>
      <c r="J2375" s="258">
        <f t="shared" si="610"/>
        <v>7.7580277659161818E-3</v>
      </c>
      <c r="K2375" s="249">
        <f t="shared" si="611"/>
        <v>1384.1141846853445</v>
      </c>
      <c r="L2375" s="336">
        <v>0.97885557138309121</v>
      </c>
      <c r="M2375" s="258">
        <f t="shared" si="612"/>
        <v>0.97885557138309121</v>
      </c>
      <c r="N2375" s="251">
        <f t="shared" si="613"/>
        <v>18.928540472587763</v>
      </c>
      <c r="O2375" s="336">
        <v>1.3386400850992627E-2</v>
      </c>
      <c r="P2375" s="258">
        <f t="shared" si="614"/>
        <v>1.3386400850992627E-2</v>
      </c>
      <c r="Q2375" s="354">
        <v>1380.5055</v>
      </c>
      <c r="R2375" s="249">
        <f t="shared" si="615"/>
        <v>1414.0126747500001</v>
      </c>
      <c r="S2375" s="355">
        <v>0.1</v>
      </c>
      <c r="T2375" s="355"/>
      <c r="U2375" s="315">
        <f t="shared" si="604"/>
        <v>1555.413942225</v>
      </c>
      <c r="V2375" s="315">
        <f t="shared" si="605"/>
        <v>1575</v>
      </c>
      <c r="W2375" s="316">
        <f t="shared" si="606"/>
        <v>0</v>
      </c>
    </row>
    <row r="2376" spans="1:23" x14ac:dyDescent="0.25">
      <c r="A2376" s="204" t="s">
        <v>18043</v>
      </c>
      <c r="B2376" s="351" t="s">
        <v>22070</v>
      </c>
      <c r="C2376" s="352"/>
      <c r="D2376" s="353" t="s">
        <v>5</v>
      </c>
      <c r="E2376" s="249">
        <f t="shared" si="607"/>
        <v>0</v>
      </c>
      <c r="F2376" s="336">
        <v>0</v>
      </c>
      <c r="G2376" s="258">
        <f t="shared" si="608"/>
        <v>0</v>
      </c>
      <c r="H2376" s="249">
        <f t="shared" si="609"/>
        <v>6.3781928052289272E-2</v>
      </c>
      <c r="I2376" s="336">
        <v>5.8483507896502215E-3</v>
      </c>
      <c r="J2376" s="258">
        <f t="shared" si="610"/>
        <v>5.8483507896502215E-3</v>
      </c>
      <c r="K2376" s="249">
        <f t="shared" si="611"/>
        <v>10.732071681146007</v>
      </c>
      <c r="L2376" s="336">
        <v>0.98405491661458577</v>
      </c>
      <c r="M2376" s="258">
        <f t="shared" si="612"/>
        <v>0.98405491661458577</v>
      </c>
      <c r="N2376" s="251">
        <f t="shared" si="613"/>
        <v>0.11005509154120502</v>
      </c>
      <c r="O2376" s="336">
        <v>1.0091271950769009E-2</v>
      </c>
      <c r="P2376" s="258">
        <f t="shared" si="614"/>
        <v>1.0091271950769009E-2</v>
      </c>
      <c r="Q2376" s="354">
        <v>10.647008720930232</v>
      </c>
      <c r="R2376" s="249">
        <f t="shared" si="615"/>
        <v>10.905968254360465</v>
      </c>
      <c r="S2376" s="355">
        <v>0.1</v>
      </c>
      <c r="T2376" s="355"/>
      <c r="U2376" s="315">
        <f t="shared" si="604"/>
        <v>11.996565079796511</v>
      </c>
      <c r="V2376" s="315">
        <f t="shared" si="605"/>
        <v>12</v>
      </c>
      <c r="W2376" s="316">
        <f t="shared" si="606"/>
        <v>0</v>
      </c>
    </row>
    <row r="2377" spans="1:23" x14ac:dyDescent="0.25">
      <c r="A2377" s="204" t="s">
        <v>18044</v>
      </c>
      <c r="B2377" s="351" t="s">
        <v>22071</v>
      </c>
      <c r="C2377" s="352"/>
      <c r="D2377" s="353" t="s">
        <v>14859</v>
      </c>
      <c r="E2377" s="249">
        <f t="shared" si="607"/>
        <v>0</v>
      </c>
      <c r="F2377" s="336">
        <v>0</v>
      </c>
      <c r="G2377" s="258">
        <f t="shared" si="608"/>
        <v>0</v>
      </c>
      <c r="H2377" s="249">
        <f t="shared" si="609"/>
        <v>10.970551541347596</v>
      </c>
      <c r="I2377" s="336">
        <v>5.8483507896502215E-3</v>
      </c>
      <c r="J2377" s="258">
        <f t="shared" si="610"/>
        <v>5.8483507896502215E-3</v>
      </c>
      <c r="K2377" s="249">
        <f t="shared" si="611"/>
        <v>1845.936654078484</v>
      </c>
      <c r="L2377" s="336">
        <v>0.98406037725958073</v>
      </c>
      <c r="M2377" s="258">
        <f t="shared" si="612"/>
        <v>0.98406037725958073</v>
      </c>
      <c r="N2377" s="251">
        <f t="shared" si="613"/>
        <v>18.929579130168399</v>
      </c>
      <c r="O2377" s="336">
        <v>1.0091271950769009E-2</v>
      </c>
      <c r="P2377" s="258">
        <f t="shared" si="614"/>
        <v>1.0091271950769009E-2</v>
      </c>
      <c r="Q2377" s="354">
        <v>1831.2855</v>
      </c>
      <c r="R2377" s="249">
        <f t="shared" si="615"/>
        <v>1875.8367847500001</v>
      </c>
      <c r="S2377" s="355">
        <v>0.1</v>
      </c>
      <c r="T2377" s="355"/>
      <c r="U2377" s="315">
        <f t="shared" si="604"/>
        <v>2063.4204632250003</v>
      </c>
      <c r="V2377" s="315">
        <f t="shared" si="605"/>
        <v>2075</v>
      </c>
      <c r="W2377" s="316">
        <f t="shared" si="606"/>
        <v>0</v>
      </c>
    </row>
    <row r="2378" spans="1:23" x14ac:dyDescent="0.25">
      <c r="A2378" s="204" t="s">
        <v>18045</v>
      </c>
      <c r="B2378" s="351" t="s">
        <v>18962</v>
      </c>
      <c r="C2378" s="352"/>
      <c r="D2378" s="353" t="s">
        <v>5</v>
      </c>
      <c r="E2378" s="249">
        <f t="shared" si="607"/>
        <v>0</v>
      </c>
      <c r="F2378" s="336">
        <v>0</v>
      </c>
      <c r="G2378" s="258">
        <f t="shared" si="608"/>
        <v>0</v>
      </c>
      <c r="H2378" s="249">
        <f t="shared" si="609"/>
        <v>6.3784029446790166E-2</v>
      </c>
      <c r="I2378" s="336">
        <v>4.7377829564561923E-3</v>
      </c>
      <c r="J2378" s="258">
        <f t="shared" si="610"/>
        <v>4.7377829564561923E-3</v>
      </c>
      <c r="K2378" s="249">
        <f t="shared" si="611"/>
        <v>13.288940979470093</v>
      </c>
      <c r="L2378" s="336">
        <v>0.9870827953007919</v>
      </c>
      <c r="M2378" s="258">
        <f t="shared" si="612"/>
        <v>0.9870827953007919</v>
      </c>
      <c r="N2378" s="251">
        <f t="shared" si="613"/>
        <v>0.11005871747681439</v>
      </c>
      <c r="O2378" s="336">
        <v>8.1749980425126437E-3</v>
      </c>
      <c r="P2378" s="258">
        <f t="shared" si="614"/>
        <v>8.1749980425126437E-3</v>
      </c>
      <c r="Q2378" s="354">
        <v>13.142738372093023</v>
      </c>
      <c r="R2378" s="249">
        <f t="shared" si="615"/>
        <v>13.462843281976745</v>
      </c>
      <c r="S2378" s="355">
        <v>0.1</v>
      </c>
      <c r="T2378" s="355"/>
      <c r="U2378" s="315">
        <f t="shared" si="604"/>
        <v>14.80912761017442</v>
      </c>
      <c r="V2378" s="315">
        <f t="shared" si="605"/>
        <v>15</v>
      </c>
      <c r="W2378" s="316">
        <f t="shared" si="606"/>
        <v>0</v>
      </c>
    </row>
    <row r="2379" spans="1:23" x14ac:dyDescent="0.25">
      <c r="A2379" s="204" t="s">
        <v>18046</v>
      </c>
      <c r="B2379" s="351" t="s">
        <v>18963</v>
      </c>
      <c r="C2379" s="352"/>
      <c r="D2379" s="353" t="s">
        <v>14859</v>
      </c>
      <c r="E2379" s="249">
        <f t="shared" si="607"/>
        <v>0</v>
      </c>
      <c r="F2379" s="336">
        <v>0</v>
      </c>
      <c r="G2379" s="258">
        <f t="shared" si="608"/>
        <v>0</v>
      </c>
      <c r="H2379" s="249">
        <f t="shared" si="609"/>
        <v>10.970901603434298</v>
      </c>
      <c r="I2379" s="336">
        <v>4.7377829564561923E-3</v>
      </c>
      <c r="J2379" s="258">
        <f t="shared" si="610"/>
        <v>4.7377829564561923E-3</v>
      </c>
      <c r="K2379" s="249">
        <f t="shared" si="611"/>
        <v>2285.7182047376987</v>
      </c>
      <c r="L2379" s="336">
        <v>0.98708721900103114</v>
      </c>
      <c r="M2379" s="258">
        <f t="shared" si="612"/>
        <v>0.98708721900103114</v>
      </c>
      <c r="N2379" s="251">
        <f t="shared" si="613"/>
        <v>18.930183158867017</v>
      </c>
      <c r="O2379" s="336">
        <v>8.1749980425126437E-3</v>
      </c>
      <c r="P2379" s="258">
        <f t="shared" si="614"/>
        <v>8.1749980425126437E-3</v>
      </c>
      <c r="Q2379" s="354">
        <v>2260.5509999999999</v>
      </c>
      <c r="R2379" s="249">
        <f t="shared" si="615"/>
        <v>2315.6192894999999</v>
      </c>
      <c r="S2379" s="355">
        <v>0.1</v>
      </c>
      <c r="T2379" s="355"/>
      <c r="U2379" s="315">
        <f t="shared" si="604"/>
        <v>2547.18121845</v>
      </c>
      <c r="V2379" s="315">
        <f t="shared" si="605"/>
        <v>2550</v>
      </c>
      <c r="W2379" s="316">
        <f t="shared" si="606"/>
        <v>0</v>
      </c>
    </row>
    <row r="2380" spans="1:23" x14ac:dyDescent="0.25">
      <c r="A2380" s="204" t="s">
        <v>18047</v>
      </c>
      <c r="B2380" s="351" t="s">
        <v>22072</v>
      </c>
      <c r="C2380" s="352"/>
      <c r="D2380" s="353" t="s">
        <v>5</v>
      </c>
      <c r="E2380" s="249">
        <f t="shared" si="607"/>
        <v>0</v>
      </c>
      <c r="F2380" s="336">
        <v>0</v>
      </c>
      <c r="G2380" s="258">
        <f t="shared" si="608"/>
        <v>0</v>
      </c>
      <c r="H2380" s="249">
        <f t="shared" si="609"/>
        <v>6.3785099279419444E-2</v>
      </c>
      <c r="I2380" s="336">
        <v>4.1723861666114444E-3</v>
      </c>
      <c r="J2380" s="258">
        <f t="shared" si="610"/>
        <v>4.1723861666114444E-3</v>
      </c>
      <c r="K2380" s="249">
        <f t="shared" si="611"/>
        <v>15.113533846083069</v>
      </c>
      <c r="L2380" s="336">
        <v>0.9886243066232443</v>
      </c>
      <c r="M2380" s="258">
        <f t="shared" si="612"/>
        <v>0.9886243066232443</v>
      </c>
      <c r="N2380" s="251">
        <f t="shared" si="613"/>
        <v>0.11006056346252767</v>
      </c>
      <c r="O2380" s="336">
        <v>7.1994114247413152E-3</v>
      </c>
      <c r="P2380" s="258">
        <f t="shared" si="614"/>
        <v>7.1994114247413152E-3</v>
      </c>
      <c r="Q2380" s="354">
        <v>14.923700581395348</v>
      </c>
      <c r="R2380" s="249">
        <f t="shared" si="615"/>
        <v>15.287439065406975</v>
      </c>
      <c r="S2380" s="355">
        <v>0.1</v>
      </c>
      <c r="T2380" s="355"/>
      <c r="U2380" s="315">
        <f t="shared" si="604"/>
        <v>16.816182971947672</v>
      </c>
      <c r="V2380" s="315">
        <f t="shared" si="605"/>
        <v>17</v>
      </c>
      <c r="W2380" s="316">
        <f t="shared" si="606"/>
        <v>0</v>
      </c>
    </row>
    <row r="2381" spans="1:23" x14ac:dyDescent="0.25">
      <c r="A2381" s="204" t="s">
        <v>18048</v>
      </c>
      <c r="B2381" s="351" t="s">
        <v>22073</v>
      </c>
      <c r="C2381" s="352"/>
      <c r="D2381" s="353" t="s">
        <v>14859</v>
      </c>
      <c r="E2381" s="249">
        <f t="shared" si="607"/>
        <v>0</v>
      </c>
      <c r="F2381" s="336">
        <v>0</v>
      </c>
      <c r="G2381" s="258">
        <f t="shared" si="608"/>
        <v>0</v>
      </c>
      <c r="H2381" s="249">
        <f t="shared" si="609"/>
        <v>10.971079822156424</v>
      </c>
      <c r="I2381" s="336">
        <v>4.1723861666114444E-3</v>
      </c>
      <c r="J2381" s="258">
        <f t="shared" si="610"/>
        <v>4.1723861666114444E-3</v>
      </c>
      <c r="K2381" s="249">
        <f t="shared" si="611"/>
        <v>2599.5481937543186</v>
      </c>
      <c r="L2381" s="336">
        <v>0.98862820240864724</v>
      </c>
      <c r="M2381" s="258">
        <f t="shared" si="612"/>
        <v>0.98862820240864724</v>
      </c>
      <c r="N2381" s="251">
        <f t="shared" si="613"/>
        <v>18.930490673524808</v>
      </c>
      <c r="O2381" s="336">
        <v>7.1994114247413152E-3</v>
      </c>
      <c r="P2381" s="258">
        <f t="shared" si="614"/>
        <v>7.1994114247413152E-3</v>
      </c>
      <c r="Q2381" s="354">
        <v>2566.8764999999999</v>
      </c>
      <c r="R2381" s="249">
        <f t="shared" si="615"/>
        <v>2629.44976425</v>
      </c>
      <c r="S2381" s="355">
        <v>0.1</v>
      </c>
      <c r="T2381" s="355"/>
      <c r="U2381" s="315">
        <f t="shared" si="604"/>
        <v>2892.3947406749999</v>
      </c>
      <c r="V2381" s="315">
        <f t="shared" si="605"/>
        <v>2900</v>
      </c>
      <c r="W2381" s="316">
        <f t="shared" si="606"/>
        <v>0</v>
      </c>
    </row>
    <row r="2382" spans="1:23" x14ac:dyDescent="0.25">
      <c r="A2382" s="204" t="s">
        <v>18049</v>
      </c>
      <c r="B2382" s="351" t="s">
        <v>18964</v>
      </c>
      <c r="C2382" s="352"/>
      <c r="D2382" s="353" t="s">
        <v>5</v>
      </c>
      <c r="E2382" s="249">
        <f t="shared" si="607"/>
        <v>0</v>
      </c>
      <c r="F2382" s="336">
        <v>0</v>
      </c>
      <c r="G2382" s="258">
        <f t="shared" si="608"/>
        <v>0</v>
      </c>
      <c r="H2382" s="249">
        <f t="shared" si="609"/>
        <v>6.3785963554593039E-2</v>
      </c>
      <c r="I2382" s="336">
        <v>3.7156246178344779E-3</v>
      </c>
      <c r="J2382" s="258">
        <f t="shared" si="610"/>
        <v>3.7156246178344779E-3</v>
      </c>
      <c r="K2382" s="249">
        <f t="shared" si="611"/>
        <v>16.993048216446766</v>
      </c>
      <c r="L2382" s="336">
        <v>0.98986963222775293</v>
      </c>
      <c r="M2382" s="258">
        <f t="shared" si="612"/>
        <v>0.98986963222775293</v>
      </c>
      <c r="N2382" s="251">
        <f t="shared" si="613"/>
        <v>0.11006205476086642</v>
      </c>
      <c r="O2382" s="336">
        <v>6.4112738503810593E-3</v>
      </c>
      <c r="P2382" s="258">
        <f t="shared" si="614"/>
        <v>6.4112738503810593E-3</v>
      </c>
      <c r="Q2382" s="354">
        <v>16.758270348837211</v>
      </c>
      <c r="R2382" s="249">
        <f t="shared" si="615"/>
        <v>17.166955792151164</v>
      </c>
      <c r="S2382" s="355">
        <v>0.1</v>
      </c>
      <c r="T2382" s="355"/>
      <c r="U2382" s="315">
        <f t="shared" si="604"/>
        <v>18.88365137136628</v>
      </c>
      <c r="V2382" s="315">
        <f t="shared" si="605"/>
        <v>19</v>
      </c>
      <c r="W2382" s="316">
        <f t="shared" si="606"/>
        <v>0</v>
      </c>
    </row>
    <row r="2383" spans="1:23" x14ac:dyDescent="0.25">
      <c r="A2383" s="204" t="s">
        <v>18050</v>
      </c>
      <c r="B2383" s="351" t="s">
        <v>18965</v>
      </c>
      <c r="C2383" s="352"/>
      <c r="D2383" s="353" t="s">
        <v>14859</v>
      </c>
      <c r="E2383" s="249">
        <f t="shared" si="607"/>
        <v>0</v>
      </c>
      <c r="F2383" s="336">
        <v>0</v>
      </c>
      <c r="G2383" s="258">
        <f t="shared" si="608"/>
        <v>0</v>
      </c>
      <c r="H2383" s="249">
        <f t="shared" si="609"/>
        <v>10.971223797964214</v>
      </c>
      <c r="I2383" s="336">
        <v>3.7156246178344779E-3</v>
      </c>
      <c r="J2383" s="258">
        <f t="shared" si="610"/>
        <v>3.7156246178344779E-3</v>
      </c>
      <c r="K2383" s="249">
        <f t="shared" si="611"/>
        <v>2922.8246783496666</v>
      </c>
      <c r="L2383" s="336">
        <v>0.98987310153178443</v>
      </c>
      <c r="M2383" s="258">
        <f t="shared" si="612"/>
        <v>0.98987310153178443</v>
      </c>
      <c r="N2383" s="251">
        <f t="shared" si="613"/>
        <v>18.930739102369621</v>
      </c>
      <c r="O2383" s="336">
        <v>6.4112738503810593E-3</v>
      </c>
      <c r="P2383" s="258">
        <f t="shared" si="614"/>
        <v>6.4112738503810593E-3</v>
      </c>
      <c r="Q2383" s="354">
        <v>2882.4225000000001</v>
      </c>
      <c r="R2383" s="249">
        <f t="shared" si="615"/>
        <v>2952.7266412500003</v>
      </c>
      <c r="S2383" s="355">
        <v>0.1</v>
      </c>
      <c r="T2383" s="355"/>
      <c r="U2383" s="315">
        <f t="shared" si="604"/>
        <v>3247.9993053750004</v>
      </c>
      <c r="V2383" s="315">
        <f t="shared" si="605"/>
        <v>3250</v>
      </c>
      <c r="W2383" s="316">
        <f t="shared" si="606"/>
        <v>0</v>
      </c>
    </row>
    <row r="2384" spans="1:23" x14ac:dyDescent="0.25">
      <c r="A2384" s="204" t="s">
        <v>18051</v>
      </c>
      <c r="B2384" s="351" t="s">
        <v>22074</v>
      </c>
      <c r="C2384" s="352"/>
      <c r="D2384" s="353" t="s">
        <v>5</v>
      </c>
      <c r="E2384" s="249">
        <f t="shared" si="607"/>
        <v>0</v>
      </c>
      <c r="F2384" s="336">
        <v>0</v>
      </c>
      <c r="G2384" s="258">
        <f t="shared" si="608"/>
        <v>0</v>
      </c>
      <c r="H2384" s="249">
        <f t="shared" si="609"/>
        <v>6.3787731270692136E-2</v>
      </c>
      <c r="I2384" s="336">
        <v>2.7814027775072557E-3</v>
      </c>
      <c r="J2384" s="258">
        <f t="shared" si="610"/>
        <v>2.7814027775072557E-3</v>
      </c>
      <c r="K2384" s="249">
        <f t="shared" si="611"/>
        <v>22.759742444868454</v>
      </c>
      <c r="L2384" s="336">
        <v>0.99241671698382705</v>
      </c>
      <c r="M2384" s="258">
        <f t="shared" si="612"/>
        <v>0.99241671698382705</v>
      </c>
      <c r="N2384" s="251">
        <f t="shared" si="613"/>
        <v>0.11006510493766486</v>
      </c>
      <c r="O2384" s="336">
        <v>4.799283223934088E-3</v>
      </c>
      <c r="P2384" s="258">
        <f t="shared" si="614"/>
        <v>4.799283223934088E-3</v>
      </c>
      <c r="Q2384" s="354">
        <v>22.387063953488372</v>
      </c>
      <c r="R2384" s="249">
        <f t="shared" si="615"/>
        <v>22.933654840116279</v>
      </c>
      <c r="S2384" s="355">
        <v>0.1</v>
      </c>
      <c r="T2384" s="355"/>
      <c r="U2384" s="315">
        <f t="shared" si="604"/>
        <v>25.227020324127906</v>
      </c>
      <c r="V2384" s="315">
        <f t="shared" si="605"/>
        <v>26</v>
      </c>
      <c r="W2384" s="316">
        <f t="shared" si="606"/>
        <v>0</v>
      </c>
    </row>
    <row r="2385" spans="1:23" x14ac:dyDescent="0.25">
      <c r="A2385" s="204" t="s">
        <v>18052</v>
      </c>
      <c r="B2385" s="351" t="s">
        <v>18966</v>
      </c>
      <c r="C2385" s="352"/>
      <c r="D2385" s="353" t="s">
        <v>14859</v>
      </c>
      <c r="E2385" s="249">
        <f t="shared" si="607"/>
        <v>0</v>
      </c>
      <c r="F2385" s="336">
        <v>0</v>
      </c>
      <c r="G2385" s="258">
        <f t="shared" si="608"/>
        <v>0</v>
      </c>
      <c r="H2385" s="249">
        <f t="shared" si="609"/>
        <v>10.971518274030503</v>
      </c>
      <c r="I2385" s="336">
        <v>2.7814027775072557E-3</v>
      </c>
      <c r="J2385" s="258">
        <f t="shared" si="610"/>
        <v>2.7814027775072557E-3</v>
      </c>
      <c r="K2385" s="249">
        <f t="shared" si="611"/>
        <v>3914.6961120080341</v>
      </c>
      <c r="L2385" s="336">
        <v>0.99241931399855865</v>
      </c>
      <c r="M2385" s="258">
        <f t="shared" si="612"/>
        <v>0.99241931399855865</v>
      </c>
      <c r="N2385" s="251">
        <f t="shared" si="613"/>
        <v>18.931247217934981</v>
      </c>
      <c r="O2385" s="336">
        <v>4.799283223934088E-3</v>
      </c>
      <c r="P2385" s="258">
        <f t="shared" si="614"/>
        <v>4.799283223934088E-3</v>
      </c>
      <c r="Q2385" s="354">
        <v>3850.5749999999998</v>
      </c>
      <c r="R2385" s="249">
        <f t="shared" si="615"/>
        <v>3944.5988774999996</v>
      </c>
      <c r="S2385" s="355">
        <v>0.1</v>
      </c>
      <c r="T2385" s="355"/>
      <c r="U2385" s="315">
        <f t="shared" si="604"/>
        <v>4339.0587652499999</v>
      </c>
      <c r="V2385" s="315">
        <f t="shared" si="605"/>
        <v>4350</v>
      </c>
      <c r="W2385" s="316">
        <f t="shared" si="606"/>
        <v>0</v>
      </c>
    </row>
    <row r="2386" spans="1:23" x14ac:dyDescent="0.25">
      <c r="A2386" s="204" t="s">
        <v>18053</v>
      </c>
      <c r="B2386" s="351" t="s">
        <v>22075</v>
      </c>
      <c r="C2386" s="352"/>
      <c r="D2386" s="353" t="s">
        <v>5</v>
      </c>
      <c r="E2386" s="249">
        <f t="shared" si="607"/>
        <v>0</v>
      </c>
      <c r="F2386" s="336">
        <v>0</v>
      </c>
      <c r="G2386" s="258">
        <f t="shared" si="608"/>
        <v>0</v>
      </c>
      <c r="H2386" s="249">
        <f t="shared" si="609"/>
        <v>6.3788698245211967E-2</v>
      </c>
      <c r="I2386" s="336">
        <v>2.2703655606531024E-3</v>
      </c>
      <c r="J2386" s="258">
        <f t="shared" si="610"/>
        <v>2.2703655606531024E-3</v>
      </c>
      <c r="K2386" s="249">
        <f t="shared" si="611"/>
        <v>27.922308479997636</v>
      </c>
      <c r="L2386" s="336">
        <v>0.9938100210671269</v>
      </c>
      <c r="M2386" s="258">
        <f t="shared" si="612"/>
        <v>0.9938100210671269</v>
      </c>
      <c r="N2386" s="251">
        <f t="shared" si="613"/>
        <v>0.11006677344271867</v>
      </c>
      <c r="O2386" s="336">
        <v>3.9174935164210389E-3</v>
      </c>
      <c r="P2386" s="258">
        <f t="shared" si="614"/>
        <v>3.9174935164210389E-3</v>
      </c>
      <c r="Q2386" s="354">
        <v>27.426174418604649</v>
      </c>
      <c r="R2386" s="249">
        <f t="shared" si="615"/>
        <v>28.096223511627905</v>
      </c>
      <c r="S2386" s="355">
        <v>0.1</v>
      </c>
      <c r="T2386" s="355"/>
      <c r="U2386" s="315">
        <f t="shared" si="604"/>
        <v>30.905845862790695</v>
      </c>
      <c r="V2386" s="315">
        <f t="shared" si="605"/>
        <v>31</v>
      </c>
      <c r="W2386" s="316">
        <f t="shared" si="606"/>
        <v>0</v>
      </c>
    </row>
    <row r="2387" spans="1:23" x14ac:dyDescent="0.25">
      <c r="A2387" s="204" t="s">
        <v>18054</v>
      </c>
      <c r="B2387" s="351" t="s">
        <v>22076</v>
      </c>
      <c r="C2387" s="352"/>
      <c r="D2387" s="353" t="s">
        <v>14859</v>
      </c>
      <c r="E2387" s="249">
        <f t="shared" si="607"/>
        <v>0</v>
      </c>
      <c r="F2387" s="336">
        <v>0</v>
      </c>
      <c r="G2387" s="258">
        <f t="shared" si="608"/>
        <v>0</v>
      </c>
      <c r="H2387" s="249">
        <f t="shared" si="609"/>
        <v>10.971679358071627</v>
      </c>
      <c r="I2387" s="336">
        <v>2.2703655606531024E-3</v>
      </c>
      <c r="J2387" s="258">
        <f t="shared" si="610"/>
        <v>2.2703655606531024E-3</v>
      </c>
      <c r="K2387" s="249">
        <f t="shared" si="611"/>
        <v>4802.6574844750603</v>
      </c>
      <c r="L2387" s="336">
        <v>0.99381214092292591</v>
      </c>
      <c r="M2387" s="258">
        <f t="shared" si="612"/>
        <v>0.99381214092292591</v>
      </c>
      <c r="N2387" s="251">
        <f t="shared" si="613"/>
        <v>18.931525166868688</v>
      </c>
      <c r="O2387" s="336">
        <v>3.9174935164210389E-3</v>
      </c>
      <c r="P2387" s="258">
        <f t="shared" si="614"/>
        <v>3.9174935164210389E-3</v>
      </c>
      <c r="Q2387" s="354">
        <v>4717.3019999999997</v>
      </c>
      <c r="R2387" s="249">
        <f t="shared" si="615"/>
        <v>4832.5606889999999</v>
      </c>
      <c r="S2387" s="355">
        <v>0.1</v>
      </c>
      <c r="T2387" s="355"/>
      <c r="U2387" s="315">
        <f t="shared" si="604"/>
        <v>5315.8167579000001</v>
      </c>
      <c r="V2387" s="315">
        <f t="shared" si="605"/>
        <v>5325</v>
      </c>
      <c r="W2387" s="316">
        <f t="shared" si="606"/>
        <v>0</v>
      </c>
    </row>
    <row r="2388" spans="1:23" x14ac:dyDescent="0.25">
      <c r="A2388" s="204" t="s">
        <v>18055</v>
      </c>
      <c r="B2388" s="351" t="s">
        <v>22077</v>
      </c>
      <c r="C2388" s="352"/>
      <c r="D2388" s="353" t="s">
        <v>5</v>
      </c>
      <c r="E2388" s="249">
        <f t="shared" si="607"/>
        <v>0</v>
      </c>
      <c r="F2388" s="336">
        <v>0</v>
      </c>
      <c r="G2388" s="258">
        <f t="shared" si="608"/>
        <v>0</v>
      </c>
      <c r="H2388" s="249">
        <f t="shared" si="609"/>
        <v>6.378893119791941E-2</v>
      </c>
      <c r="I2388" s="336">
        <v>2.1472521788294171E-3</v>
      </c>
      <c r="J2388" s="258">
        <f t="shared" si="610"/>
        <v>2.1472521788294171E-3</v>
      </c>
      <c r="K2388" s="249">
        <f t="shared" si="611"/>
        <v>29.533322182079107</v>
      </c>
      <c r="L2388" s="336">
        <v>0.99414568033409723</v>
      </c>
      <c r="M2388" s="258">
        <f t="shared" si="612"/>
        <v>0.99414568033409723</v>
      </c>
      <c r="N2388" s="251">
        <f t="shared" si="613"/>
        <v>0.11006717540033154</v>
      </c>
      <c r="O2388" s="336">
        <v>3.7050625830782097E-3</v>
      </c>
      <c r="P2388" s="258">
        <f t="shared" si="614"/>
        <v>3.7050625830782097E-3</v>
      </c>
      <c r="Q2388" s="354">
        <v>28.998662790697672</v>
      </c>
      <c r="R2388" s="249">
        <f t="shared" si="615"/>
        <v>29.707237848837206</v>
      </c>
      <c r="S2388" s="355">
        <v>0.1</v>
      </c>
      <c r="T2388" s="355"/>
      <c r="U2388" s="315">
        <f t="shared" si="604"/>
        <v>32.677961633720926</v>
      </c>
      <c r="V2388" s="315">
        <f t="shared" si="605"/>
        <v>33</v>
      </c>
      <c r="W2388" s="316">
        <f t="shared" si="606"/>
        <v>0</v>
      </c>
    </row>
    <row r="2389" spans="1:23" x14ac:dyDescent="0.25">
      <c r="A2389" s="204" t="s">
        <v>18056</v>
      </c>
      <c r="B2389" s="351" t="s">
        <v>22078</v>
      </c>
      <c r="C2389" s="352"/>
      <c r="D2389" s="353" t="s">
        <v>14859</v>
      </c>
      <c r="E2389" s="249">
        <f t="shared" si="607"/>
        <v>0</v>
      </c>
      <c r="F2389" s="336">
        <v>0</v>
      </c>
      <c r="G2389" s="258">
        <f t="shared" si="608"/>
        <v>0</v>
      </c>
      <c r="H2389" s="249">
        <f t="shared" si="609"/>
        <v>10.971718164640711</v>
      </c>
      <c r="I2389" s="336">
        <v>2.1472521788294171E-3</v>
      </c>
      <c r="J2389" s="258">
        <f t="shared" si="610"/>
        <v>2.1472521788294171E-3</v>
      </c>
      <c r="K2389" s="249">
        <f t="shared" si="611"/>
        <v>5079.7518447081366</v>
      </c>
      <c r="L2389" s="336">
        <v>0.99414768523809249</v>
      </c>
      <c r="M2389" s="258">
        <f t="shared" si="612"/>
        <v>0.99414768523809249</v>
      </c>
      <c r="N2389" s="251">
        <f t="shared" si="613"/>
        <v>18.931592127223187</v>
      </c>
      <c r="O2389" s="336">
        <v>3.7050625830782097E-3</v>
      </c>
      <c r="P2389" s="258">
        <f t="shared" si="614"/>
        <v>3.7050625830782097E-3</v>
      </c>
      <c r="Q2389" s="354">
        <v>4987.7699999999995</v>
      </c>
      <c r="R2389" s="249">
        <f t="shared" si="615"/>
        <v>5109.6551549999995</v>
      </c>
      <c r="S2389" s="355">
        <v>0.1</v>
      </c>
      <c r="T2389" s="355"/>
      <c r="U2389" s="315">
        <f t="shared" si="604"/>
        <v>5620.6206704999995</v>
      </c>
      <c r="V2389" s="315">
        <f t="shared" si="605"/>
        <v>5625</v>
      </c>
      <c r="W2389" s="316">
        <f t="shared" si="606"/>
        <v>0</v>
      </c>
    </row>
    <row r="2390" spans="1:23" x14ac:dyDescent="0.25">
      <c r="A2390" s="203" t="s">
        <v>18057</v>
      </c>
      <c r="B2390" s="345" t="s">
        <v>18058</v>
      </c>
      <c r="C2390" s="346"/>
      <c r="D2390" s="347"/>
      <c r="E2390" s="347"/>
      <c r="F2390" s="347"/>
      <c r="G2390" s="347"/>
      <c r="H2390" s="347"/>
      <c r="I2390" s="347"/>
      <c r="J2390" s="347"/>
      <c r="K2390" s="347"/>
      <c r="L2390" s="347"/>
      <c r="M2390" s="347"/>
      <c r="N2390" s="347"/>
      <c r="O2390" s="347"/>
      <c r="P2390" s="347"/>
      <c r="Q2390" s="347"/>
      <c r="R2390" s="347"/>
      <c r="S2390" s="347"/>
      <c r="T2390" s="348"/>
      <c r="U2390" s="349"/>
      <c r="V2390" s="349"/>
      <c r="W2390" s="350"/>
    </row>
    <row r="2391" spans="1:23" x14ac:dyDescent="0.25">
      <c r="A2391" s="204" t="s">
        <v>18059</v>
      </c>
      <c r="B2391" s="351" t="s">
        <v>22079</v>
      </c>
      <c r="C2391" s="352"/>
      <c r="D2391" s="353" t="s">
        <v>14859</v>
      </c>
      <c r="E2391" s="249">
        <f t="shared" si="607"/>
        <v>0</v>
      </c>
      <c r="F2391" s="336">
        <v>0</v>
      </c>
      <c r="G2391" s="258">
        <f t="shared" si="608"/>
        <v>0</v>
      </c>
      <c r="H2391" s="249">
        <f t="shared" si="609"/>
        <v>10.947335157445243</v>
      </c>
      <c r="I2391" s="336">
        <v>7.9502054359808033E-2</v>
      </c>
      <c r="J2391" s="258">
        <f t="shared" si="610"/>
        <v>7.9502054359808033E-2</v>
      </c>
      <c r="K2391" s="249">
        <f t="shared" si="611"/>
        <v>107.86191610519823</v>
      </c>
      <c r="L2391" s="336">
        <v>0.78331793027424856</v>
      </c>
      <c r="M2391" s="258">
        <f t="shared" si="612"/>
        <v>0.78331793027424856</v>
      </c>
      <c r="N2391" s="251">
        <f t="shared" si="613"/>
        <v>18.889519487356498</v>
      </c>
      <c r="O2391" s="336">
        <v>0.13718001536594326</v>
      </c>
      <c r="P2391" s="258">
        <f t="shared" si="614"/>
        <v>0.13718001536594326</v>
      </c>
      <c r="Q2391" s="354">
        <v>134.71350000000001</v>
      </c>
      <c r="R2391" s="249">
        <f t="shared" si="615"/>
        <v>137.69877074999999</v>
      </c>
      <c r="S2391" s="355">
        <v>0.1</v>
      </c>
      <c r="T2391" s="355"/>
      <c r="U2391" s="315">
        <f t="shared" si="604"/>
        <v>151.46864782500001</v>
      </c>
      <c r="V2391" s="315">
        <f t="shared" si="605"/>
        <v>155</v>
      </c>
      <c r="W2391" s="316">
        <f t="shared" si="606"/>
        <v>0</v>
      </c>
    </row>
    <row r="2392" spans="1:23" x14ac:dyDescent="0.25">
      <c r="A2392" s="204" t="s">
        <v>18060</v>
      </c>
      <c r="B2392" s="351" t="s">
        <v>22080</v>
      </c>
      <c r="C2392" s="352"/>
      <c r="D2392" s="353" t="s">
        <v>5</v>
      </c>
      <c r="E2392" s="249">
        <f t="shared" si="607"/>
        <v>0</v>
      </c>
      <c r="F2392" s="336">
        <v>0</v>
      </c>
      <c r="G2392" s="258">
        <f t="shared" si="608"/>
        <v>0</v>
      </c>
      <c r="H2392" s="249">
        <f t="shared" si="609"/>
        <v>6.3642561970339129E-2</v>
      </c>
      <c r="I2392" s="336">
        <v>7.9502054359808033E-2</v>
      </c>
      <c r="J2392" s="258">
        <f t="shared" si="610"/>
        <v>7.9502054359808033E-2</v>
      </c>
      <c r="K2392" s="249">
        <f t="shared" si="611"/>
        <v>0.62699808239564681</v>
      </c>
      <c r="L2392" s="336">
        <v>0.78324369866420218</v>
      </c>
      <c r="M2392" s="258">
        <f t="shared" si="612"/>
        <v>0.78324369866420218</v>
      </c>
      <c r="N2392" s="251">
        <f t="shared" si="613"/>
        <v>0.10981461673313417</v>
      </c>
      <c r="O2392" s="336">
        <v>0.13718001536594326</v>
      </c>
      <c r="P2392" s="258">
        <f t="shared" si="614"/>
        <v>0.13718001536594326</v>
      </c>
      <c r="Q2392" s="354">
        <v>0.78321802325581402</v>
      </c>
      <c r="R2392" s="249">
        <f t="shared" si="615"/>
        <v>0.80051468459302333</v>
      </c>
      <c r="S2392" s="355">
        <v>0.1</v>
      </c>
      <c r="T2392" s="355"/>
      <c r="U2392" s="315">
        <f t="shared" si="604"/>
        <v>0.88056615305232566</v>
      </c>
      <c r="V2392" s="315">
        <f t="shared" si="605"/>
        <v>1</v>
      </c>
      <c r="W2392" s="316">
        <f t="shared" si="606"/>
        <v>0</v>
      </c>
    </row>
    <row r="2393" spans="1:23" x14ac:dyDescent="0.25">
      <c r="A2393" s="204" t="s">
        <v>18061</v>
      </c>
      <c r="B2393" s="351" t="s">
        <v>22081</v>
      </c>
      <c r="C2393" s="352"/>
      <c r="D2393" s="353" t="s">
        <v>14859</v>
      </c>
      <c r="E2393" s="249">
        <f t="shared" si="607"/>
        <v>0</v>
      </c>
      <c r="F2393" s="336">
        <v>0</v>
      </c>
      <c r="G2393" s="258">
        <f t="shared" si="608"/>
        <v>0</v>
      </c>
      <c r="H2393" s="249">
        <f t="shared" si="609"/>
        <v>10.955877202960668</v>
      </c>
      <c r="I2393" s="336">
        <v>5.2402515907906622E-2</v>
      </c>
      <c r="J2393" s="258">
        <f t="shared" si="610"/>
        <v>5.2402515907906622E-2</v>
      </c>
      <c r="K2393" s="249">
        <f t="shared" si="611"/>
        <v>179.21145184389147</v>
      </c>
      <c r="L2393" s="336">
        <v>0.85717745664315648</v>
      </c>
      <c r="M2393" s="258">
        <f t="shared" si="612"/>
        <v>0.85717745664315648</v>
      </c>
      <c r="N2393" s="251">
        <f t="shared" si="613"/>
        <v>18.904258703147821</v>
      </c>
      <c r="O2393" s="336">
        <v>9.0420027448936915E-2</v>
      </c>
      <c r="P2393" s="258">
        <f t="shared" si="614"/>
        <v>9.0420027448936915E-2</v>
      </c>
      <c r="Q2393" s="354">
        <v>204.37949999999998</v>
      </c>
      <c r="R2393" s="249">
        <f t="shared" si="615"/>
        <v>209.07158774999996</v>
      </c>
      <c r="S2393" s="355">
        <v>0.1</v>
      </c>
      <c r="T2393" s="355"/>
      <c r="U2393" s="315">
        <f t="shared" si="604"/>
        <v>229.97874652499996</v>
      </c>
      <c r="V2393" s="315">
        <f t="shared" si="605"/>
        <v>230</v>
      </c>
      <c r="W2393" s="316">
        <f t="shared" si="606"/>
        <v>0</v>
      </c>
    </row>
    <row r="2394" spans="1:23" x14ac:dyDescent="0.25">
      <c r="A2394" s="204" t="s">
        <v>18062</v>
      </c>
      <c r="B2394" s="351" t="s">
        <v>22082</v>
      </c>
      <c r="C2394" s="352"/>
      <c r="D2394" s="353" t="s">
        <v>5</v>
      </c>
      <c r="E2394" s="249">
        <f t="shared" si="607"/>
        <v>0</v>
      </c>
      <c r="F2394" s="336">
        <v>0</v>
      </c>
      <c r="G2394" s="258">
        <f t="shared" si="608"/>
        <v>0</v>
      </c>
      <c r="H2394" s="249">
        <f t="shared" si="609"/>
        <v>6.3693839181309261E-2</v>
      </c>
      <c r="I2394" s="336">
        <v>5.2402515907906629E-2</v>
      </c>
      <c r="J2394" s="258">
        <f t="shared" si="610"/>
        <v>5.2402515907906629E-2</v>
      </c>
      <c r="K2394" s="249">
        <f t="shared" si="611"/>
        <v>1.0418165173540768</v>
      </c>
      <c r="L2394" s="336">
        <v>0.85712852805687456</v>
      </c>
      <c r="M2394" s="258">
        <f t="shared" si="612"/>
        <v>0.85712852805687456</v>
      </c>
      <c r="N2394" s="251">
        <f t="shared" si="613"/>
        <v>0.10990309505794538</v>
      </c>
      <c r="O2394" s="336">
        <v>9.0420027448936915E-2</v>
      </c>
      <c r="P2394" s="258">
        <f t="shared" si="614"/>
        <v>9.0420027448936915E-2</v>
      </c>
      <c r="Q2394" s="354">
        <v>1.188252906976744</v>
      </c>
      <c r="R2394" s="249">
        <f t="shared" si="615"/>
        <v>1.215472922965116</v>
      </c>
      <c r="S2394" s="355">
        <v>0.1</v>
      </c>
      <c r="T2394" s="355"/>
      <c r="U2394" s="315">
        <f t="shared" si="604"/>
        <v>1.3370202152616275</v>
      </c>
      <c r="V2394" s="315">
        <f t="shared" si="605"/>
        <v>2</v>
      </c>
      <c r="W2394" s="316">
        <f t="shared" si="606"/>
        <v>0</v>
      </c>
    </row>
    <row r="2395" spans="1:23" x14ac:dyDescent="0.25">
      <c r="A2395" s="204" t="s">
        <v>18063</v>
      </c>
      <c r="B2395" s="351" t="s">
        <v>22083</v>
      </c>
      <c r="C2395" s="352"/>
      <c r="D2395" s="353" t="s">
        <v>14859</v>
      </c>
      <c r="E2395" s="249">
        <f t="shared" si="607"/>
        <v>0</v>
      </c>
      <c r="F2395" s="336">
        <v>0</v>
      </c>
      <c r="G2395" s="258">
        <f t="shared" si="608"/>
        <v>0</v>
      </c>
      <c r="H2395" s="249">
        <f t="shared" si="609"/>
        <v>10.955959589297191</v>
      </c>
      <c r="I2395" s="336">
        <v>5.2141146228895256E-2</v>
      </c>
      <c r="J2395" s="258">
        <f t="shared" si="610"/>
        <v>5.2141146228895256E-2</v>
      </c>
      <c r="K2395" s="249">
        <f t="shared" si="611"/>
        <v>180.26082755073901</v>
      </c>
      <c r="L2395" s="336">
        <v>0.85788981714085411</v>
      </c>
      <c r="M2395" s="258">
        <f t="shared" si="612"/>
        <v>0.85788981714085411</v>
      </c>
      <c r="N2395" s="251">
        <f t="shared" si="613"/>
        <v>18.904400859963779</v>
      </c>
      <c r="O2395" s="336">
        <v>8.9969036630250632E-2</v>
      </c>
      <c r="P2395" s="258">
        <f t="shared" si="614"/>
        <v>8.9969036630250632E-2</v>
      </c>
      <c r="Q2395" s="354">
        <v>205.404</v>
      </c>
      <c r="R2395" s="249">
        <f t="shared" si="615"/>
        <v>210.12118799999999</v>
      </c>
      <c r="S2395" s="355">
        <v>0.1</v>
      </c>
      <c r="T2395" s="355"/>
      <c r="U2395" s="315">
        <f t="shared" si="604"/>
        <v>231.13330679999999</v>
      </c>
      <c r="V2395" s="315">
        <f t="shared" si="605"/>
        <v>235</v>
      </c>
      <c r="W2395" s="316">
        <f t="shared" si="606"/>
        <v>0</v>
      </c>
    </row>
    <row r="2396" spans="1:23" x14ac:dyDescent="0.25">
      <c r="A2396" s="204" t="s">
        <v>18064</v>
      </c>
      <c r="B2396" s="351" t="s">
        <v>22084</v>
      </c>
      <c r="C2396" s="352"/>
      <c r="D2396" s="353" t="s">
        <v>5</v>
      </c>
      <c r="E2396" s="249">
        <f t="shared" si="607"/>
        <v>0</v>
      </c>
      <c r="F2396" s="336">
        <v>0</v>
      </c>
      <c r="G2396" s="258">
        <f t="shared" si="608"/>
        <v>0</v>
      </c>
      <c r="H2396" s="249">
        <f t="shared" si="609"/>
        <v>6.3694333739849299E-2</v>
      </c>
      <c r="I2396" s="336">
        <v>5.2141146228895256E-2</v>
      </c>
      <c r="J2396" s="258">
        <f t="shared" si="610"/>
        <v>5.2141146228895256E-2</v>
      </c>
      <c r="K2396" s="249">
        <f t="shared" si="611"/>
        <v>1.0479174960127364</v>
      </c>
      <c r="L2396" s="336">
        <v>0.85784113259722317</v>
      </c>
      <c r="M2396" s="258">
        <f t="shared" si="612"/>
        <v>0.85784113259722317</v>
      </c>
      <c r="N2396" s="251">
        <f t="shared" si="613"/>
        <v>0.1099039484138576</v>
      </c>
      <c r="O2396" s="336">
        <v>8.9969036630250632E-2</v>
      </c>
      <c r="P2396" s="258">
        <f t="shared" si="614"/>
        <v>8.9969036630250632E-2</v>
      </c>
      <c r="Q2396" s="354">
        <v>1.1942093023255813</v>
      </c>
      <c r="R2396" s="249">
        <f t="shared" si="615"/>
        <v>1.2215752500000003</v>
      </c>
      <c r="S2396" s="355">
        <v>0.1</v>
      </c>
      <c r="T2396" s="355"/>
      <c r="U2396" s="315">
        <f t="shared" si="604"/>
        <v>1.3437327750000003</v>
      </c>
      <c r="V2396" s="315">
        <f t="shared" si="605"/>
        <v>2</v>
      </c>
      <c r="W2396" s="316">
        <f t="shared" si="606"/>
        <v>0</v>
      </c>
    </row>
    <row r="2397" spans="1:23" x14ac:dyDescent="0.25">
      <c r="A2397" s="204" t="s">
        <v>18065</v>
      </c>
      <c r="B2397" s="351" t="s">
        <v>22085</v>
      </c>
      <c r="C2397" s="352"/>
      <c r="D2397" s="353" t="s">
        <v>14859</v>
      </c>
      <c r="E2397" s="249">
        <f t="shared" si="607"/>
        <v>0</v>
      </c>
      <c r="F2397" s="336">
        <v>0</v>
      </c>
      <c r="G2397" s="258">
        <f t="shared" si="608"/>
        <v>0</v>
      </c>
      <c r="H2397" s="249">
        <f t="shared" si="609"/>
        <v>10.957846281885528</v>
      </c>
      <c r="I2397" s="336">
        <v>4.6155636288414549E-2</v>
      </c>
      <c r="J2397" s="258">
        <f t="shared" si="610"/>
        <v>4.6155636288414549E-2</v>
      </c>
      <c r="K2397" s="249">
        <f t="shared" si="611"/>
        <v>207.54529188858646</v>
      </c>
      <c r="L2397" s="336">
        <v>0.87420326580216423</v>
      </c>
      <c r="M2397" s="258">
        <f t="shared" si="612"/>
        <v>0.87420326580216423</v>
      </c>
      <c r="N2397" s="251">
        <f t="shared" si="613"/>
        <v>18.90765632952797</v>
      </c>
      <c r="O2397" s="336">
        <v>7.9641097909421185E-2</v>
      </c>
      <c r="P2397" s="258">
        <f t="shared" si="614"/>
        <v>7.9641097909421185E-2</v>
      </c>
      <c r="Q2397" s="354">
        <v>232.041</v>
      </c>
      <c r="R2397" s="249">
        <f t="shared" si="615"/>
        <v>237.41079449999998</v>
      </c>
      <c r="S2397" s="355">
        <v>0.1</v>
      </c>
      <c r="T2397" s="355"/>
      <c r="U2397" s="315">
        <f t="shared" si="604"/>
        <v>261.15187394999998</v>
      </c>
      <c r="V2397" s="315">
        <f t="shared" si="605"/>
        <v>265</v>
      </c>
      <c r="W2397" s="316">
        <f t="shared" si="606"/>
        <v>0</v>
      </c>
    </row>
    <row r="2398" spans="1:23" x14ac:dyDescent="0.25">
      <c r="A2398" s="204" t="s">
        <v>18066</v>
      </c>
      <c r="B2398" s="351" t="s">
        <v>22086</v>
      </c>
      <c r="C2398" s="352"/>
      <c r="D2398" s="353" t="s">
        <v>5</v>
      </c>
      <c r="E2398" s="249">
        <f t="shared" si="607"/>
        <v>0</v>
      </c>
      <c r="F2398" s="336">
        <v>0</v>
      </c>
      <c r="G2398" s="258">
        <f t="shared" si="608"/>
        <v>0</v>
      </c>
      <c r="H2398" s="249">
        <f t="shared" si="609"/>
        <v>6.3705659403440432E-2</v>
      </c>
      <c r="I2398" s="336">
        <v>4.6155636288414556E-2</v>
      </c>
      <c r="J2398" s="258">
        <f t="shared" si="610"/>
        <v>4.6155636288414556E-2</v>
      </c>
      <c r="K2398" s="249">
        <f t="shared" si="611"/>
        <v>1.2065471203597813</v>
      </c>
      <c r="L2398" s="336">
        <v>0.87416016996996215</v>
      </c>
      <c r="M2398" s="258">
        <f t="shared" si="612"/>
        <v>0.87416016996996215</v>
      </c>
      <c r="N2398" s="251">
        <f t="shared" si="613"/>
        <v>0.1099234907353482</v>
      </c>
      <c r="O2398" s="336">
        <v>7.9641097909421185E-2</v>
      </c>
      <c r="P2398" s="258">
        <f t="shared" si="614"/>
        <v>7.9641097909421185E-2</v>
      </c>
      <c r="Q2398" s="354">
        <v>1.3490755813953488</v>
      </c>
      <c r="R2398" s="249">
        <f t="shared" si="615"/>
        <v>1.3802357529069766</v>
      </c>
      <c r="S2398" s="355">
        <v>0.1</v>
      </c>
      <c r="T2398" s="355"/>
      <c r="U2398" s="315">
        <f t="shared" si="604"/>
        <v>1.5182593281976744</v>
      </c>
      <c r="V2398" s="315">
        <f t="shared" si="605"/>
        <v>2</v>
      </c>
      <c r="W2398" s="316">
        <f t="shared" si="606"/>
        <v>0</v>
      </c>
    </row>
    <row r="2399" spans="1:23" x14ac:dyDescent="0.25">
      <c r="A2399" s="204" t="s">
        <v>18067</v>
      </c>
      <c r="B2399" s="351" t="s">
        <v>22087</v>
      </c>
      <c r="C2399" s="352"/>
      <c r="D2399" s="353" t="s">
        <v>14859</v>
      </c>
      <c r="E2399" s="249">
        <f t="shared" si="607"/>
        <v>0</v>
      </c>
      <c r="F2399" s="336">
        <v>0</v>
      </c>
      <c r="G2399" s="258">
        <f t="shared" si="608"/>
        <v>0</v>
      </c>
      <c r="H2399" s="249">
        <f t="shared" si="609"/>
        <v>10.959134338911147</v>
      </c>
      <c r="I2399" s="336">
        <v>4.2069290596276225E-2</v>
      </c>
      <c r="J2399" s="258">
        <f t="shared" si="610"/>
        <v>4.2069290596276225E-2</v>
      </c>
      <c r="K2399" s="249">
        <f t="shared" si="611"/>
        <v>230.63298680179113</v>
      </c>
      <c r="L2399" s="336">
        <v>0.88534056092387459</v>
      </c>
      <c r="M2399" s="258">
        <f t="shared" si="612"/>
        <v>0.88534056092387459</v>
      </c>
      <c r="N2399" s="251">
        <f t="shared" si="613"/>
        <v>18.909878859297663</v>
      </c>
      <c r="O2399" s="336">
        <v>7.2590148479849168E-2</v>
      </c>
      <c r="P2399" s="258">
        <f t="shared" si="614"/>
        <v>7.2590148479849168E-2</v>
      </c>
      <c r="Q2399" s="354">
        <v>254.57999999999998</v>
      </c>
      <c r="R2399" s="249">
        <f t="shared" si="615"/>
        <v>260.50199999999995</v>
      </c>
      <c r="S2399" s="355">
        <v>0.1</v>
      </c>
      <c r="T2399" s="355"/>
      <c r="U2399" s="315">
        <f t="shared" si="604"/>
        <v>286.55219999999997</v>
      </c>
      <c r="V2399" s="315">
        <f t="shared" si="605"/>
        <v>290</v>
      </c>
      <c r="W2399" s="316">
        <f t="shared" si="606"/>
        <v>0</v>
      </c>
    </row>
    <row r="2400" spans="1:23" x14ac:dyDescent="0.25">
      <c r="A2400" s="204" t="s">
        <v>18068</v>
      </c>
      <c r="B2400" s="351" t="s">
        <v>22088</v>
      </c>
      <c r="C2400" s="352"/>
      <c r="D2400" s="353" t="s">
        <v>5</v>
      </c>
      <c r="E2400" s="249">
        <f t="shared" si="607"/>
        <v>0</v>
      </c>
      <c r="F2400" s="336">
        <v>0</v>
      </c>
      <c r="G2400" s="258">
        <f t="shared" si="608"/>
        <v>0</v>
      </c>
      <c r="H2400" s="249">
        <f t="shared" si="609"/>
        <v>6.37133915059825E-2</v>
      </c>
      <c r="I2400" s="336">
        <v>4.2069290596276225E-2</v>
      </c>
      <c r="J2400" s="258">
        <f t="shared" si="610"/>
        <v>4.2069290596276225E-2</v>
      </c>
      <c r="K2400" s="249">
        <f t="shared" si="611"/>
        <v>1.3407772341380333</v>
      </c>
      <c r="L2400" s="336">
        <v>0.88530128054049817</v>
      </c>
      <c r="M2400" s="258">
        <f t="shared" si="612"/>
        <v>0.88530128054049817</v>
      </c>
      <c r="N2400" s="251">
        <f t="shared" si="613"/>
        <v>0.10993683240247962</v>
      </c>
      <c r="O2400" s="336">
        <v>7.2590148479849168E-2</v>
      </c>
      <c r="P2400" s="258">
        <f t="shared" si="614"/>
        <v>7.2590148479849168E-2</v>
      </c>
      <c r="Q2400" s="354">
        <v>1.4801162790697673</v>
      </c>
      <c r="R2400" s="249">
        <f t="shared" si="615"/>
        <v>1.5144869476744187</v>
      </c>
      <c r="S2400" s="355">
        <v>0.1</v>
      </c>
      <c r="T2400" s="355"/>
      <c r="U2400" s="315">
        <f t="shared" si="604"/>
        <v>1.6659356424418605</v>
      </c>
      <c r="V2400" s="315">
        <f t="shared" si="605"/>
        <v>2</v>
      </c>
      <c r="W2400" s="316">
        <f t="shared" si="606"/>
        <v>0</v>
      </c>
    </row>
    <row r="2401" spans="1:23" x14ac:dyDescent="0.25">
      <c r="A2401" s="204" t="s">
        <v>18069</v>
      </c>
      <c r="B2401" s="351" t="s">
        <v>22089</v>
      </c>
      <c r="C2401" s="352"/>
      <c r="D2401" s="353" t="s">
        <v>14859</v>
      </c>
      <c r="E2401" s="249">
        <f t="shared" si="607"/>
        <v>0</v>
      </c>
      <c r="F2401" s="336">
        <v>0</v>
      </c>
      <c r="G2401" s="258">
        <f t="shared" si="608"/>
        <v>0</v>
      </c>
      <c r="H2401" s="249">
        <f t="shared" si="609"/>
        <v>10.96332968914265</v>
      </c>
      <c r="I2401" s="336">
        <v>2.8759591565464326E-2</v>
      </c>
      <c r="J2401" s="258">
        <f t="shared" si="610"/>
        <v>2.8759591565464326E-2</v>
      </c>
      <c r="K2401" s="249">
        <f t="shared" si="611"/>
        <v>351.32558116586608</v>
      </c>
      <c r="L2401" s="336">
        <v>0.92161601514510705</v>
      </c>
      <c r="M2401" s="258">
        <f t="shared" si="612"/>
        <v>0.92161601514510705</v>
      </c>
      <c r="N2401" s="251">
        <f t="shared" si="613"/>
        <v>18.91711789499124</v>
      </c>
      <c r="O2401" s="336">
        <v>4.9624393289428637E-2</v>
      </c>
      <c r="P2401" s="258">
        <f t="shared" si="614"/>
        <v>4.9624393289428637E-2</v>
      </c>
      <c r="Q2401" s="354">
        <v>372.39749999999998</v>
      </c>
      <c r="R2401" s="249">
        <f t="shared" si="615"/>
        <v>381.20602874999997</v>
      </c>
      <c r="S2401" s="355">
        <v>0.1</v>
      </c>
      <c r="T2401" s="355"/>
      <c r="U2401" s="315">
        <f t="shared" si="604"/>
        <v>419.32663162499995</v>
      </c>
      <c r="V2401" s="315">
        <f t="shared" si="605"/>
        <v>420</v>
      </c>
      <c r="W2401" s="316">
        <f t="shared" si="606"/>
        <v>0</v>
      </c>
    </row>
    <row r="2402" spans="1:23" x14ac:dyDescent="0.25">
      <c r="A2402" s="204" t="s">
        <v>18070</v>
      </c>
      <c r="B2402" s="351" t="s">
        <v>22090</v>
      </c>
      <c r="C2402" s="352"/>
      <c r="D2402" s="353" t="s">
        <v>5</v>
      </c>
      <c r="E2402" s="249">
        <f t="shared" si="607"/>
        <v>0</v>
      </c>
      <c r="F2402" s="336">
        <v>0</v>
      </c>
      <c r="G2402" s="258">
        <f t="shared" si="608"/>
        <v>0</v>
      </c>
      <c r="H2402" s="249">
        <f t="shared" si="609"/>
        <v>6.373857585538989E-2</v>
      </c>
      <c r="I2402" s="336">
        <v>2.8759591565464326E-2</v>
      </c>
      <c r="J2402" s="258">
        <f t="shared" si="610"/>
        <v>2.8759591565464326E-2</v>
      </c>
      <c r="K2402" s="249">
        <f t="shared" si="611"/>
        <v>2.0424761799374567</v>
      </c>
      <c r="L2402" s="336">
        <v>0.92158916211843511</v>
      </c>
      <c r="M2402" s="258">
        <f t="shared" si="612"/>
        <v>0.92158916211843511</v>
      </c>
      <c r="N2402" s="251">
        <f t="shared" si="613"/>
        <v>0.10998028775047665</v>
      </c>
      <c r="O2402" s="336">
        <v>4.9624393289428637E-2</v>
      </c>
      <c r="P2402" s="258">
        <f t="shared" si="614"/>
        <v>4.9624393289428637E-2</v>
      </c>
      <c r="Q2402" s="354">
        <v>2.1651017441860465</v>
      </c>
      <c r="R2402" s="249">
        <f t="shared" si="615"/>
        <v>2.2162545566860459</v>
      </c>
      <c r="S2402" s="355">
        <v>0.1</v>
      </c>
      <c r="T2402" s="355"/>
      <c r="U2402" s="315">
        <f t="shared" si="604"/>
        <v>2.4378800123546505</v>
      </c>
      <c r="V2402" s="315">
        <f t="shared" si="605"/>
        <v>3</v>
      </c>
      <c r="W2402" s="316">
        <f t="shared" si="606"/>
        <v>0</v>
      </c>
    </row>
    <row r="2403" spans="1:23" x14ac:dyDescent="0.25">
      <c r="A2403" s="204" t="s">
        <v>18071</v>
      </c>
      <c r="B2403" s="351" t="s">
        <v>22091</v>
      </c>
      <c r="C2403" s="352"/>
      <c r="D2403" s="353" t="s">
        <v>14859</v>
      </c>
      <c r="E2403" s="249">
        <f t="shared" si="607"/>
        <v>0</v>
      </c>
      <c r="F2403" s="336">
        <v>0</v>
      </c>
      <c r="G2403" s="258">
        <f t="shared" si="608"/>
        <v>0</v>
      </c>
      <c r="H2403" s="249">
        <f t="shared" si="609"/>
        <v>10.965346391964223</v>
      </c>
      <c r="I2403" s="336">
        <v>2.2361625696451896E-2</v>
      </c>
      <c r="J2403" s="258">
        <f t="shared" si="610"/>
        <v>2.2361625696451896E-2</v>
      </c>
      <c r="K2403" s="249">
        <f t="shared" si="611"/>
        <v>460.47851066209751</v>
      </c>
      <c r="L2403" s="336">
        <v>0.93905360839594487</v>
      </c>
      <c r="M2403" s="258">
        <f t="shared" si="612"/>
        <v>0.93905360839594487</v>
      </c>
      <c r="N2403" s="251">
        <f t="shared" si="613"/>
        <v>18.920597695938266</v>
      </c>
      <c r="O2403" s="336">
        <v>3.858476590760327E-2</v>
      </c>
      <c r="P2403" s="258">
        <f t="shared" si="614"/>
        <v>3.858476590760327E-2</v>
      </c>
      <c r="Q2403" s="354">
        <v>478.94549999999998</v>
      </c>
      <c r="R2403" s="249">
        <f t="shared" si="615"/>
        <v>490.36445474999999</v>
      </c>
      <c r="S2403" s="355">
        <v>0.1</v>
      </c>
      <c r="T2403" s="355"/>
      <c r="U2403" s="315">
        <f t="shared" si="604"/>
        <v>539.40090022499999</v>
      </c>
      <c r="V2403" s="315">
        <f t="shared" si="605"/>
        <v>540</v>
      </c>
      <c r="W2403" s="316">
        <f t="shared" si="606"/>
        <v>0</v>
      </c>
    </row>
    <row r="2404" spans="1:23" x14ac:dyDescent="0.25">
      <c r="A2404" s="204" t="s">
        <v>18072</v>
      </c>
      <c r="B2404" s="351" t="s">
        <v>22092</v>
      </c>
      <c r="C2404" s="352"/>
      <c r="D2404" s="353" t="s">
        <v>5</v>
      </c>
      <c r="E2404" s="249">
        <f t="shared" si="607"/>
        <v>0</v>
      </c>
      <c r="F2404" s="336">
        <v>0</v>
      </c>
      <c r="G2404" s="258">
        <f t="shared" si="608"/>
        <v>0</v>
      </c>
      <c r="H2404" s="249">
        <f t="shared" si="609"/>
        <v>6.3750681959935829E-2</v>
      </c>
      <c r="I2404" s="336">
        <v>2.2361625696451896E-2</v>
      </c>
      <c r="J2404" s="258">
        <f t="shared" si="610"/>
        <v>2.2361625696451896E-2</v>
      </c>
      <c r="K2404" s="249">
        <f t="shared" si="611"/>
        <v>2.6770851851925594</v>
      </c>
      <c r="L2404" s="336">
        <v>0.9390327291936138</v>
      </c>
      <c r="M2404" s="258">
        <f t="shared" si="612"/>
        <v>0.9390327291936138</v>
      </c>
      <c r="N2404" s="251">
        <f t="shared" si="613"/>
        <v>0.11000117671518336</v>
      </c>
      <c r="O2404" s="336">
        <v>3.8584765907603263E-2</v>
      </c>
      <c r="P2404" s="258">
        <f t="shared" si="614"/>
        <v>3.8584765907603263E-2</v>
      </c>
      <c r="Q2404" s="354">
        <v>2.7845668604651164</v>
      </c>
      <c r="R2404" s="249">
        <f t="shared" si="615"/>
        <v>2.8508965683139533</v>
      </c>
      <c r="S2404" s="355">
        <v>0.1</v>
      </c>
      <c r="T2404" s="355"/>
      <c r="U2404" s="315">
        <f t="shared" si="604"/>
        <v>3.1359862251453485</v>
      </c>
      <c r="V2404" s="315">
        <f t="shared" si="605"/>
        <v>4</v>
      </c>
      <c r="W2404" s="316">
        <f t="shared" si="606"/>
        <v>0</v>
      </c>
    </row>
    <row r="2405" spans="1:23" x14ac:dyDescent="0.25">
      <c r="A2405" s="204" t="s">
        <v>18073</v>
      </c>
      <c r="B2405" s="351" t="s">
        <v>22093</v>
      </c>
      <c r="C2405" s="352"/>
      <c r="D2405" s="353" t="s">
        <v>14859</v>
      </c>
      <c r="E2405" s="249">
        <f t="shared" si="607"/>
        <v>0</v>
      </c>
      <c r="F2405" s="336">
        <v>0</v>
      </c>
      <c r="G2405" s="258">
        <f t="shared" si="608"/>
        <v>0</v>
      </c>
      <c r="H2405" s="249">
        <f t="shared" si="609"/>
        <v>10.966737981887281</v>
      </c>
      <c r="I2405" s="336">
        <v>1.7946823110682131E-2</v>
      </c>
      <c r="J2405" s="258">
        <f t="shared" si="610"/>
        <v>1.7946823110682131E-2</v>
      </c>
      <c r="K2405" s="249">
        <f t="shared" si="611"/>
        <v>581.17874664740521</v>
      </c>
      <c r="L2405" s="336">
        <v>0.95108610956108197</v>
      </c>
      <c r="M2405" s="258">
        <f t="shared" si="612"/>
        <v>0.95108610956108197</v>
      </c>
      <c r="N2405" s="251">
        <f t="shared" si="613"/>
        <v>18.922998870707467</v>
      </c>
      <c r="O2405" s="336">
        <v>3.0967067328235832E-2</v>
      </c>
      <c r="P2405" s="258">
        <f t="shared" si="614"/>
        <v>3.0967067328235832E-2</v>
      </c>
      <c r="Q2405" s="354">
        <v>596.76300000000003</v>
      </c>
      <c r="R2405" s="249">
        <f t="shared" si="615"/>
        <v>611.06848349999996</v>
      </c>
      <c r="S2405" s="355">
        <v>0.1</v>
      </c>
      <c r="T2405" s="355"/>
      <c r="U2405" s="315">
        <f t="shared" ref="U2405:U2468" si="616">(R2405*S2405)+R2405</f>
        <v>672.17533184999991</v>
      </c>
      <c r="V2405" s="315">
        <f t="shared" ref="V2405:V2468" si="617">IF(U2405=0, 0, IF(U2405&lt;10, _xlfn.CEILING.MATH(U2405,1), IF(U2405&lt;100, _xlfn.CEILING.MATH(U2405,1),IF(U2405&lt;1000, _xlfn.CEILING.MATH(U2405,5), IF(U2405&lt;10000, _xlfn.CEILING.MATH(U2405, 25), IF(U2405&lt;100000, _xlfn.CEILING.MATH(U2405,250), IF(U2405&lt;1000000, _xlfn.CEILING.MATH(U2405,500), 0)))))))</f>
        <v>675</v>
      </c>
      <c r="W2405" s="316">
        <f t="shared" si="606"/>
        <v>0</v>
      </c>
    </row>
    <row r="2406" spans="1:23" x14ac:dyDescent="0.25">
      <c r="A2406" s="204" t="s">
        <v>18074</v>
      </c>
      <c r="B2406" s="351" t="s">
        <v>22094</v>
      </c>
      <c r="C2406" s="352"/>
      <c r="D2406" s="353" t="s">
        <v>5</v>
      </c>
      <c r="E2406" s="249">
        <f t="shared" si="607"/>
        <v>0</v>
      </c>
      <c r="F2406" s="336">
        <v>0</v>
      </c>
      <c r="G2406" s="258">
        <f t="shared" si="608"/>
        <v>0</v>
      </c>
      <c r="H2406" s="249">
        <f t="shared" si="609"/>
        <v>6.3759035562119259E-2</v>
      </c>
      <c r="I2406" s="336">
        <v>1.7946823110682131E-2</v>
      </c>
      <c r="J2406" s="258">
        <f t="shared" si="610"/>
        <v>1.7946823110682131E-2</v>
      </c>
      <c r="K2406" s="249">
        <f t="shared" si="611"/>
        <v>3.378830018743519</v>
      </c>
      <c r="L2406" s="336">
        <v>0.95106935249001689</v>
      </c>
      <c r="M2406" s="258">
        <f t="shared" si="612"/>
        <v>0.95106935249001689</v>
      </c>
      <c r="N2406" s="251">
        <f t="shared" si="613"/>
        <v>0.11001559077385283</v>
      </c>
      <c r="O2406" s="336">
        <v>3.0967067328235832E-2</v>
      </c>
      <c r="P2406" s="258">
        <f t="shared" si="614"/>
        <v>3.0967067328235832E-2</v>
      </c>
      <c r="Q2406" s="354">
        <v>3.4695523255813954</v>
      </c>
      <c r="R2406" s="249">
        <f t="shared" si="615"/>
        <v>3.5526641773255809</v>
      </c>
      <c r="S2406" s="355">
        <v>0.1</v>
      </c>
      <c r="T2406" s="355"/>
      <c r="U2406" s="315">
        <f t="shared" si="616"/>
        <v>3.9079305950581391</v>
      </c>
      <c r="V2406" s="315">
        <f t="shared" si="617"/>
        <v>4</v>
      </c>
      <c r="W2406" s="316">
        <f t="shared" si="606"/>
        <v>0</v>
      </c>
    </row>
    <row r="2407" spans="1:23" x14ac:dyDescent="0.25">
      <c r="A2407" s="204" t="s">
        <v>18075</v>
      </c>
      <c r="B2407" s="351" t="s">
        <v>22095</v>
      </c>
      <c r="C2407" s="352"/>
      <c r="D2407" s="353" t="s">
        <v>14859</v>
      </c>
      <c r="E2407" s="249">
        <f t="shared" si="607"/>
        <v>0</v>
      </c>
      <c r="F2407" s="336">
        <v>0</v>
      </c>
      <c r="G2407" s="258">
        <f t="shared" si="608"/>
        <v>0</v>
      </c>
      <c r="H2407" s="249">
        <f t="shared" si="609"/>
        <v>10.967250255385686</v>
      </c>
      <c r="I2407" s="336">
        <v>1.6321641490801359E-2</v>
      </c>
      <c r="J2407" s="258">
        <f t="shared" si="610"/>
        <v>1.6321641490801359E-2</v>
      </c>
      <c r="K2407" s="249">
        <f t="shared" si="611"/>
        <v>642.05416495100769</v>
      </c>
      <c r="L2407" s="336">
        <v>0.95551552613291391</v>
      </c>
      <c r="M2407" s="258">
        <f t="shared" si="612"/>
        <v>0.95551552613291391</v>
      </c>
      <c r="N2407" s="251">
        <f t="shared" si="613"/>
        <v>18.923882793606673</v>
      </c>
      <c r="O2407" s="336">
        <v>2.8162832376284697E-2</v>
      </c>
      <c r="P2407" s="258">
        <f t="shared" si="614"/>
        <v>2.8162832376284697E-2</v>
      </c>
      <c r="Q2407" s="354">
        <v>656.18400000000008</v>
      </c>
      <c r="R2407" s="249">
        <f t="shared" si="615"/>
        <v>671.94529800000009</v>
      </c>
      <c r="S2407" s="355">
        <v>0.1</v>
      </c>
      <c r="T2407" s="355"/>
      <c r="U2407" s="315">
        <f t="shared" si="616"/>
        <v>739.13982780000015</v>
      </c>
      <c r="V2407" s="315">
        <f t="shared" si="617"/>
        <v>740</v>
      </c>
      <c r="W2407" s="316">
        <f t="shared" si="606"/>
        <v>0</v>
      </c>
    </row>
    <row r="2408" spans="1:23" x14ac:dyDescent="0.25">
      <c r="A2408" s="204" t="s">
        <v>18076</v>
      </c>
      <c r="B2408" s="351" t="s">
        <v>22096</v>
      </c>
      <c r="C2408" s="352"/>
      <c r="D2408" s="353" t="s">
        <v>5</v>
      </c>
      <c r="E2408" s="249">
        <f t="shared" si="607"/>
        <v>0</v>
      </c>
      <c r="F2408" s="336">
        <v>0</v>
      </c>
      <c r="G2408" s="258">
        <f t="shared" si="608"/>
        <v>0</v>
      </c>
      <c r="H2408" s="249">
        <f t="shared" si="609"/>
        <v>6.3762110698654714E-2</v>
      </c>
      <c r="I2408" s="336">
        <v>1.6321641490801359E-2</v>
      </c>
      <c r="J2408" s="258">
        <f t="shared" si="610"/>
        <v>1.6321641490801359E-2</v>
      </c>
      <c r="K2408" s="249">
        <f t="shared" si="611"/>
        <v>3.7327566026410204</v>
      </c>
      <c r="L2408" s="336">
        <v>0.95550028650500463</v>
      </c>
      <c r="M2408" s="258">
        <f t="shared" si="612"/>
        <v>0.95550028650500463</v>
      </c>
      <c r="N2408" s="251">
        <f t="shared" si="613"/>
        <v>0.11002089689179637</v>
      </c>
      <c r="O2408" s="336">
        <v>2.8162832376284697E-2</v>
      </c>
      <c r="P2408" s="258">
        <f t="shared" si="614"/>
        <v>2.8162832376284697E-2</v>
      </c>
      <c r="Q2408" s="354">
        <v>3.8150232558139541</v>
      </c>
      <c r="R2408" s="249">
        <f t="shared" si="615"/>
        <v>3.9065991453488373</v>
      </c>
      <c r="S2408" s="355">
        <v>0.1</v>
      </c>
      <c r="T2408" s="355"/>
      <c r="U2408" s="315">
        <f t="shared" si="616"/>
        <v>4.2972590598837215</v>
      </c>
      <c r="V2408" s="315">
        <f t="shared" si="617"/>
        <v>5</v>
      </c>
      <c r="W2408" s="316">
        <f t="shared" si="606"/>
        <v>0</v>
      </c>
    </row>
    <row r="2409" spans="1:23" x14ac:dyDescent="0.25">
      <c r="A2409" s="204" t="s">
        <v>18077</v>
      </c>
      <c r="B2409" s="351" t="s">
        <v>22097</v>
      </c>
      <c r="C2409" s="352"/>
      <c r="D2409" s="353" t="s">
        <v>14859</v>
      </c>
      <c r="E2409" s="249">
        <f t="shared" si="607"/>
        <v>0</v>
      </c>
      <c r="F2409" s="336">
        <v>0</v>
      </c>
      <c r="G2409" s="258">
        <f t="shared" si="608"/>
        <v>0</v>
      </c>
      <c r="H2409" s="249">
        <f t="shared" si="609"/>
        <v>10.967274240509209</v>
      </c>
      <c r="I2409" s="336">
        <v>1.6245548969863823E-2</v>
      </c>
      <c r="J2409" s="258">
        <f t="shared" si="610"/>
        <v>1.6245548969863823E-2</v>
      </c>
      <c r="K2409" s="249">
        <f t="shared" si="611"/>
        <v>645.20290032978869</v>
      </c>
      <c r="L2409" s="336">
        <v>0.95572291555272404</v>
      </c>
      <c r="M2409" s="258">
        <f t="shared" si="612"/>
        <v>0.95572291555272404</v>
      </c>
      <c r="N2409" s="251">
        <f t="shared" si="613"/>
        <v>18.923924179702166</v>
      </c>
      <c r="O2409" s="336">
        <v>2.8031535477412089E-2</v>
      </c>
      <c r="P2409" s="258">
        <f t="shared" si="614"/>
        <v>2.8031535477412089E-2</v>
      </c>
      <c r="Q2409" s="354">
        <v>659.25750000000005</v>
      </c>
      <c r="R2409" s="249">
        <f t="shared" si="615"/>
        <v>675.09409875000006</v>
      </c>
      <c r="S2409" s="355">
        <v>0.1</v>
      </c>
      <c r="T2409" s="355"/>
      <c r="U2409" s="315">
        <f t="shared" si="616"/>
        <v>742.60350862500002</v>
      </c>
      <c r="V2409" s="315">
        <f t="shared" si="617"/>
        <v>745</v>
      </c>
      <c r="W2409" s="316">
        <f t="shared" si="606"/>
        <v>0</v>
      </c>
    </row>
    <row r="2410" spans="1:23" x14ac:dyDescent="0.25">
      <c r="A2410" s="204" t="s">
        <v>18078</v>
      </c>
      <c r="B2410" s="351" t="s">
        <v>22098</v>
      </c>
      <c r="C2410" s="352"/>
      <c r="D2410" s="353" t="s">
        <v>5</v>
      </c>
      <c r="E2410" s="249">
        <f t="shared" si="607"/>
        <v>0</v>
      </c>
      <c r="F2410" s="336">
        <v>0</v>
      </c>
      <c r="G2410" s="258">
        <f t="shared" si="608"/>
        <v>0</v>
      </c>
      <c r="H2410" s="249">
        <f t="shared" si="609"/>
        <v>6.3762254679418692E-2</v>
      </c>
      <c r="I2410" s="336">
        <v>1.6245548969863827E-2</v>
      </c>
      <c r="J2410" s="258">
        <f t="shared" si="610"/>
        <v>1.6245548969863827E-2</v>
      </c>
      <c r="K2410" s="249">
        <f t="shared" si="611"/>
        <v>3.751063191193075</v>
      </c>
      <c r="L2410" s="336">
        <v>0.95570774697292027</v>
      </c>
      <c r="M2410" s="258">
        <f t="shared" si="612"/>
        <v>0.95570774697292027</v>
      </c>
      <c r="N2410" s="251">
        <f t="shared" si="613"/>
        <v>0.11002114532919301</v>
      </c>
      <c r="O2410" s="336">
        <v>2.8031535477412089E-2</v>
      </c>
      <c r="P2410" s="258">
        <f t="shared" si="614"/>
        <v>2.8031535477412089E-2</v>
      </c>
      <c r="Q2410" s="354">
        <v>3.8328924418604653</v>
      </c>
      <c r="R2410" s="249">
        <f t="shared" si="615"/>
        <v>3.9249061264534881</v>
      </c>
      <c r="S2410" s="355">
        <v>0.1</v>
      </c>
      <c r="T2410" s="355"/>
      <c r="U2410" s="315">
        <f t="shared" si="616"/>
        <v>4.3173967390988368</v>
      </c>
      <c r="V2410" s="315">
        <f t="shared" si="617"/>
        <v>5</v>
      </c>
      <c r="W2410" s="316">
        <f t="shared" si="606"/>
        <v>0</v>
      </c>
    </row>
    <row r="2411" spans="1:23" x14ac:dyDescent="0.25">
      <c r="A2411" s="204" t="s">
        <v>18079</v>
      </c>
      <c r="B2411" s="351" t="s">
        <v>22099</v>
      </c>
      <c r="C2411" s="352"/>
      <c r="D2411" s="353" t="s">
        <v>14859</v>
      </c>
      <c r="E2411" s="249">
        <f t="shared" si="607"/>
        <v>0</v>
      </c>
      <c r="F2411" s="336">
        <v>0</v>
      </c>
      <c r="G2411" s="258">
        <f t="shared" si="608"/>
        <v>0</v>
      </c>
      <c r="H2411" s="249">
        <f t="shared" si="609"/>
        <v>10.968767926027397</v>
      </c>
      <c r="I2411" s="336">
        <v>1.1506849315068493E-2</v>
      </c>
      <c r="J2411" s="258">
        <f t="shared" si="610"/>
        <v>1.1506849315068493E-2</v>
      </c>
      <c r="K2411" s="249">
        <f t="shared" si="611"/>
        <v>923.34289555455268</v>
      </c>
      <c r="L2411" s="336">
        <v>0.96863819500402892</v>
      </c>
      <c r="M2411" s="258">
        <f t="shared" si="612"/>
        <v>0.96863819500402892</v>
      </c>
      <c r="N2411" s="251">
        <f t="shared" si="613"/>
        <v>18.926501519419823</v>
      </c>
      <c r="O2411" s="336">
        <v>1.9854955680902498E-2</v>
      </c>
      <c r="P2411" s="258">
        <f t="shared" si="614"/>
        <v>1.9854955680902498E-2</v>
      </c>
      <c r="Q2411" s="354">
        <v>930.75</v>
      </c>
      <c r="R2411" s="249">
        <f t="shared" si="615"/>
        <v>953.23816499999998</v>
      </c>
      <c r="S2411" s="355">
        <v>0.1</v>
      </c>
      <c r="T2411" s="355"/>
      <c r="U2411" s="315">
        <f t="shared" si="616"/>
        <v>1048.5619815</v>
      </c>
      <c r="V2411" s="315">
        <f t="shared" si="617"/>
        <v>1050</v>
      </c>
      <c r="W2411" s="316">
        <f t="shared" si="606"/>
        <v>0</v>
      </c>
    </row>
    <row r="2412" spans="1:23" x14ac:dyDescent="0.25">
      <c r="A2412" s="204" t="s">
        <v>18080</v>
      </c>
      <c r="B2412" s="351" t="s">
        <v>22100</v>
      </c>
      <c r="C2412" s="352"/>
      <c r="D2412" s="353" t="s">
        <v>5</v>
      </c>
      <c r="E2412" s="249">
        <f t="shared" si="607"/>
        <v>0</v>
      </c>
      <c r="F2412" s="336">
        <v>0</v>
      </c>
      <c r="G2412" s="258">
        <f t="shared" si="608"/>
        <v>0</v>
      </c>
      <c r="H2412" s="249">
        <f t="shared" si="609"/>
        <v>6.3771221153233512E-2</v>
      </c>
      <c r="I2412" s="336">
        <v>1.1506849315068495E-2</v>
      </c>
      <c r="J2412" s="258">
        <f t="shared" si="610"/>
        <v>1.1506849315068495E-2</v>
      </c>
      <c r="K2412" s="249">
        <f t="shared" si="611"/>
        <v>5.3681554090287271</v>
      </c>
      <c r="L2412" s="336">
        <v>0.96862745098039216</v>
      </c>
      <c r="M2412" s="258">
        <f t="shared" si="612"/>
        <v>0.96862745098039216</v>
      </c>
      <c r="N2412" s="251">
        <f t="shared" si="613"/>
        <v>0.1100366168918539</v>
      </c>
      <c r="O2412" s="336">
        <v>1.9854955680902498E-2</v>
      </c>
      <c r="P2412" s="258">
        <f t="shared" si="614"/>
        <v>1.9854955680902498E-2</v>
      </c>
      <c r="Q2412" s="354">
        <v>5.4113372093023253</v>
      </c>
      <c r="R2412" s="249">
        <f t="shared" si="615"/>
        <v>5.5420227906976738</v>
      </c>
      <c r="S2412" s="355">
        <v>0.1</v>
      </c>
      <c r="T2412" s="355"/>
      <c r="U2412" s="315">
        <f t="shared" si="616"/>
        <v>6.0962250697674412</v>
      </c>
      <c r="V2412" s="315">
        <f t="shared" si="617"/>
        <v>7</v>
      </c>
      <c r="W2412" s="316">
        <f t="shared" si="606"/>
        <v>0</v>
      </c>
    </row>
    <row r="2413" spans="1:23" x14ac:dyDescent="0.25">
      <c r="A2413" s="204" t="s">
        <v>18081</v>
      </c>
      <c r="B2413" s="351" t="s">
        <v>22101</v>
      </c>
      <c r="C2413" s="352"/>
      <c r="D2413" s="353" t="s">
        <v>14859</v>
      </c>
      <c r="E2413" s="249">
        <f t="shared" si="607"/>
        <v>0</v>
      </c>
      <c r="F2413" s="336">
        <v>0</v>
      </c>
      <c r="G2413" s="258">
        <f t="shared" si="608"/>
        <v>0</v>
      </c>
      <c r="H2413" s="249">
        <f t="shared" si="609"/>
        <v>10.969636364829785</v>
      </c>
      <c r="I2413" s="336">
        <v>8.7517374772932872E-3</v>
      </c>
      <c r="J2413" s="258">
        <f t="shared" si="610"/>
        <v>8.7517374772932872E-3</v>
      </c>
      <c r="K2413" s="249">
        <f t="shared" si="611"/>
        <v>1223.5262001331112</v>
      </c>
      <c r="L2413" s="336">
        <v>0.97614722530698494</v>
      </c>
      <c r="M2413" s="258">
        <f t="shared" si="612"/>
        <v>0.97614722530698494</v>
      </c>
      <c r="N2413" s="251">
        <f t="shared" si="613"/>
        <v>18.928000002059235</v>
      </c>
      <c r="O2413" s="336">
        <v>1.5101037215721749E-2</v>
      </c>
      <c r="P2413" s="258">
        <f t="shared" si="614"/>
        <v>1.5101037215721749E-2</v>
      </c>
      <c r="Q2413" s="354">
        <v>1223.7570000000001</v>
      </c>
      <c r="R2413" s="249">
        <f t="shared" si="615"/>
        <v>1253.4238365000001</v>
      </c>
      <c r="S2413" s="355">
        <v>0.1</v>
      </c>
      <c r="T2413" s="355"/>
      <c r="U2413" s="315">
        <f t="shared" si="616"/>
        <v>1378.7662201500002</v>
      </c>
      <c r="V2413" s="315">
        <f t="shared" si="617"/>
        <v>1400</v>
      </c>
      <c r="W2413" s="316">
        <f t="shared" si="606"/>
        <v>0</v>
      </c>
    </row>
    <row r="2414" spans="1:23" x14ac:dyDescent="0.25">
      <c r="A2414" s="204" t="s">
        <v>18082</v>
      </c>
      <c r="B2414" s="351" t="s">
        <v>22102</v>
      </c>
      <c r="C2414" s="352"/>
      <c r="D2414" s="353" t="s">
        <v>5</v>
      </c>
      <c r="E2414" s="249">
        <f t="shared" si="607"/>
        <v>0</v>
      </c>
      <c r="F2414" s="336">
        <v>0</v>
      </c>
      <c r="G2414" s="258">
        <f t="shared" si="608"/>
        <v>0</v>
      </c>
      <c r="H2414" s="249">
        <f t="shared" si="609"/>
        <v>6.3776434321391448E-2</v>
      </c>
      <c r="I2414" s="336">
        <v>8.7517374772932872E-3</v>
      </c>
      <c r="J2414" s="258">
        <f t="shared" si="610"/>
        <v>8.7517374772932872E-3</v>
      </c>
      <c r="K2414" s="249">
        <f t="shared" si="611"/>
        <v>7.1134067276991964</v>
      </c>
      <c r="L2414" s="336">
        <v>0.97613905375005006</v>
      </c>
      <c r="M2414" s="258">
        <f t="shared" si="612"/>
        <v>0.97613905375005006</v>
      </c>
      <c r="N2414" s="251">
        <f t="shared" si="613"/>
        <v>0.11004561216240093</v>
      </c>
      <c r="O2414" s="336">
        <v>1.5101037215721749E-2</v>
      </c>
      <c r="P2414" s="258">
        <f t="shared" si="614"/>
        <v>1.5101037215721749E-2</v>
      </c>
      <c r="Q2414" s="354">
        <v>7.1148662790697674</v>
      </c>
      <c r="R2414" s="249">
        <f t="shared" si="615"/>
        <v>7.2872883226744189</v>
      </c>
      <c r="S2414" s="355">
        <v>0.1</v>
      </c>
      <c r="T2414" s="355"/>
      <c r="U2414" s="315">
        <f t="shared" si="616"/>
        <v>8.01601715494186</v>
      </c>
      <c r="V2414" s="315">
        <f t="shared" si="617"/>
        <v>9</v>
      </c>
      <c r="W2414" s="316">
        <f t="shared" si="606"/>
        <v>0</v>
      </c>
    </row>
    <row r="2415" spans="1:23" x14ac:dyDescent="0.25">
      <c r="A2415" s="204" t="s">
        <v>18083</v>
      </c>
      <c r="B2415" s="351" t="s">
        <v>22103</v>
      </c>
      <c r="C2415" s="352"/>
      <c r="D2415" s="353" t="s">
        <v>14859</v>
      </c>
      <c r="E2415" s="249">
        <f t="shared" si="607"/>
        <v>0</v>
      </c>
      <c r="F2415" s="336">
        <v>0</v>
      </c>
      <c r="G2415" s="258">
        <f t="shared" si="608"/>
        <v>0</v>
      </c>
      <c r="H2415" s="249">
        <f t="shared" si="609"/>
        <v>10.969684025646215</v>
      </c>
      <c r="I2415" s="336">
        <v>8.6005341003949735E-3</v>
      </c>
      <c r="J2415" s="258">
        <f t="shared" si="610"/>
        <v>8.6005341003949735E-3</v>
      </c>
      <c r="K2415" s="249">
        <f t="shared" si="611"/>
        <v>1245.5676754840231</v>
      </c>
      <c r="L2415" s="336">
        <v>0.97655932862833528</v>
      </c>
      <c r="M2415" s="258">
        <f t="shared" si="612"/>
        <v>0.97655932862833528</v>
      </c>
      <c r="N2415" s="251">
        <f t="shared" si="613"/>
        <v>18.928082240330724</v>
      </c>
      <c r="O2415" s="336">
        <v>1.4840137271269758E-2</v>
      </c>
      <c r="P2415" s="258">
        <f t="shared" si="614"/>
        <v>1.4840137271269758E-2</v>
      </c>
      <c r="Q2415" s="354">
        <v>1245.2715000000001</v>
      </c>
      <c r="R2415" s="249">
        <f t="shared" si="615"/>
        <v>1275.4654417500001</v>
      </c>
      <c r="S2415" s="355">
        <v>0.1</v>
      </c>
      <c r="T2415" s="355"/>
      <c r="U2415" s="315">
        <f t="shared" si="616"/>
        <v>1403.0119859250001</v>
      </c>
      <c r="V2415" s="315">
        <f t="shared" si="617"/>
        <v>1425</v>
      </c>
      <c r="W2415" s="316">
        <f t="shared" si="606"/>
        <v>0</v>
      </c>
    </row>
    <row r="2416" spans="1:23" ht="14.4" thickBot="1" x14ac:dyDescent="0.3">
      <c r="A2416" s="356" t="s">
        <v>18084</v>
      </c>
      <c r="B2416" s="357" t="s">
        <v>22104</v>
      </c>
      <c r="C2416" s="358"/>
      <c r="D2416" s="359" t="s">
        <v>5</v>
      </c>
      <c r="E2416" s="266">
        <f t="shared" si="607"/>
        <v>0</v>
      </c>
      <c r="F2416" s="360">
        <v>0</v>
      </c>
      <c r="G2416" s="322">
        <f t="shared" si="608"/>
        <v>0</v>
      </c>
      <c r="H2416" s="266">
        <f t="shared" si="609"/>
        <v>6.3776720425432309E-2</v>
      </c>
      <c r="I2416" s="360">
        <v>8.6005341003949753E-3</v>
      </c>
      <c r="J2416" s="322">
        <f t="shared" si="610"/>
        <v>8.6005341003949753E-3</v>
      </c>
      <c r="K2416" s="266">
        <f t="shared" si="611"/>
        <v>7.2415548153908595</v>
      </c>
      <c r="L2416" s="360">
        <v>0.97655129825102405</v>
      </c>
      <c r="M2416" s="322">
        <f t="shared" si="612"/>
        <v>0.97655129825102405</v>
      </c>
      <c r="N2416" s="270">
        <f t="shared" si="613"/>
        <v>0.11004610583211848</v>
      </c>
      <c r="O2416" s="360">
        <v>1.4840137271269758E-2</v>
      </c>
      <c r="P2416" s="322">
        <f t="shared" si="614"/>
        <v>1.4840137271269758E-2</v>
      </c>
      <c r="Q2416" s="361">
        <v>7.2399505813953491</v>
      </c>
      <c r="R2416" s="266">
        <f t="shared" si="615"/>
        <v>7.4154371904069771</v>
      </c>
      <c r="S2416" s="362">
        <v>0.1</v>
      </c>
      <c r="T2416" s="362"/>
      <c r="U2416" s="324">
        <f t="shared" si="616"/>
        <v>8.1569809094476753</v>
      </c>
      <c r="V2416" s="324">
        <f t="shared" si="617"/>
        <v>9</v>
      </c>
      <c r="W2416" s="325">
        <f t="shared" si="606"/>
        <v>0</v>
      </c>
    </row>
    <row r="2417" spans="1:23" x14ac:dyDescent="0.25">
      <c r="A2417" s="203" t="s">
        <v>18085</v>
      </c>
      <c r="B2417" s="345" t="s">
        <v>18086</v>
      </c>
      <c r="C2417" s="346"/>
      <c r="D2417" s="347"/>
      <c r="E2417" s="347"/>
      <c r="F2417" s="347"/>
      <c r="G2417" s="347"/>
      <c r="H2417" s="347"/>
      <c r="I2417" s="347"/>
      <c r="J2417" s="347"/>
      <c r="K2417" s="347"/>
      <c r="L2417" s="347"/>
      <c r="M2417" s="347"/>
      <c r="N2417" s="347"/>
      <c r="O2417" s="347"/>
      <c r="P2417" s="347"/>
      <c r="Q2417" s="347"/>
      <c r="R2417" s="347"/>
      <c r="S2417" s="347"/>
      <c r="T2417" s="348"/>
      <c r="U2417" s="349"/>
      <c r="V2417" s="349"/>
      <c r="W2417" s="350"/>
    </row>
    <row r="2418" spans="1:23" x14ac:dyDescent="0.25">
      <c r="A2418" s="204" t="s">
        <v>18087</v>
      </c>
      <c r="B2418" s="351" t="s">
        <v>22105</v>
      </c>
      <c r="C2418" s="352"/>
      <c r="D2418" s="353" t="s">
        <v>5</v>
      </c>
      <c r="E2418" s="249">
        <f t="shared" si="607"/>
        <v>0</v>
      </c>
      <c r="F2418" s="336">
        <v>0</v>
      </c>
      <c r="G2418" s="258">
        <f t="shared" si="608"/>
        <v>0</v>
      </c>
      <c r="H2418" s="249">
        <f t="shared" si="609"/>
        <v>6.3735574483977278E-2</v>
      </c>
      <c r="I2418" s="336">
        <v>3.0345788990513756E-2</v>
      </c>
      <c r="J2418" s="258">
        <f t="shared" si="610"/>
        <v>3.0345788990513756E-2</v>
      </c>
      <c r="K2418" s="249">
        <f t="shared" si="611"/>
        <v>1.9265401492854273</v>
      </c>
      <c r="L2418" s="336">
        <v>0.91726451554407062</v>
      </c>
      <c r="M2418" s="258">
        <f t="shared" si="612"/>
        <v>0.91726451554407062</v>
      </c>
      <c r="N2418" s="251">
        <f t="shared" si="613"/>
        <v>0.10997510891352941</v>
      </c>
      <c r="O2418" s="336">
        <v>5.236136139539628E-2</v>
      </c>
      <c r="P2418" s="258">
        <f t="shared" si="614"/>
        <v>5.236136139539628E-2</v>
      </c>
      <c r="Q2418" s="354">
        <v>2.0519302325581394</v>
      </c>
      <c r="R2418" s="249">
        <f t="shared" si="615"/>
        <v>2.1003103430232555</v>
      </c>
      <c r="S2418" s="355">
        <v>0.1</v>
      </c>
      <c r="T2418" s="355"/>
      <c r="U2418" s="315">
        <f t="shared" si="616"/>
        <v>2.3103413773255812</v>
      </c>
      <c r="V2418" s="315">
        <f t="shared" si="617"/>
        <v>3</v>
      </c>
      <c r="W2418" s="316">
        <f t="shared" ref="W2418:W2481" si="618">C2418*V2418</f>
        <v>0</v>
      </c>
    </row>
    <row r="2419" spans="1:23" x14ac:dyDescent="0.25">
      <c r="A2419" s="204" t="s">
        <v>18088</v>
      </c>
      <c r="B2419" s="351" t="s">
        <v>22106</v>
      </c>
      <c r="C2419" s="352"/>
      <c r="D2419" s="353" t="s">
        <v>14859</v>
      </c>
      <c r="E2419" s="249">
        <f t="shared" si="607"/>
        <v>0</v>
      </c>
      <c r="F2419" s="336">
        <v>0</v>
      </c>
      <c r="G2419" s="258">
        <f t="shared" si="608"/>
        <v>0</v>
      </c>
      <c r="H2419" s="249">
        <f t="shared" si="609"/>
        <v>10.9628297038523</v>
      </c>
      <c r="I2419" s="336">
        <v>3.034578899051376E-2</v>
      </c>
      <c r="J2419" s="258">
        <f t="shared" si="610"/>
        <v>3.034578899051376E-2</v>
      </c>
      <c r="K2419" s="249">
        <f t="shared" si="611"/>
        <v>331.38453912087306</v>
      </c>
      <c r="L2419" s="336">
        <v>0.91729284961408997</v>
      </c>
      <c r="M2419" s="258">
        <f t="shared" si="612"/>
        <v>0.91729284961408997</v>
      </c>
      <c r="N2419" s="251">
        <f t="shared" si="613"/>
        <v>18.916255175274557</v>
      </c>
      <c r="O2419" s="336">
        <v>5.2361361395396287E-2</v>
      </c>
      <c r="P2419" s="258">
        <f t="shared" si="614"/>
        <v>5.2361361395396287E-2</v>
      </c>
      <c r="Q2419" s="354">
        <v>352.93199999999996</v>
      </c>
      <c r="R2419" s="249">
        <f t="shared" si="615"/>
        <v>361.26362399999994</v>
      </c>
      <c r="S2419" s="355">
        <v>0.1</v>
      </c>
      <c r="T2419" s="355"/>
      <c r="U2419" s="315">
        <f t="shared" si="616"/>
        <v>397.38998639999994</v>
      </c>
      <c r="V2419" s="315">
        <f t="shared" si="617"/>
        <v>400</v>
      </c>
      <c r="W2419" s="316">
        <f t="shared" si="618"/>
        <v>0</v>
      </c>
    </row>
    <row r="2420" spans="1:23" x14ac:dyDescent="0.25">
      <c r="A2420" s="203" t="s">
        <v>18089</v>
      </c>
      <c r="B2420" s="345" t="s">
        <v>18090</v>
      </c>
      <c r="C2420" s="346"/>
      <c r="D2420" s="347"/>
      <c r="E2420" s="347"/>
      <c r="F2420" s="347"/>
      <c r="G2420" s="347"/>
      <c r="H2420" s="347"/>
      <c r="I2420" s="347"/>
      <c r="J2420" s="347"/>
      <c r="K2420" s="347"/>
      <c r="L2420" s="347"/>
      <c r="M2420" s="347"/>
      <c r="N2420" s="347"/>
      <c r="O2420" s="347"/>
      <c r="P2420" s="347"/>
      <c r="Q2420" s="347"/>
      <c r="R2420" s="347"/>
      <c r="S2420" s="347"/>
      <c r="T2420" s="348"/>
      <c r="U2420" s="349"/>
      <c r="V2420" s="349"/>
      <c r="W2420" s="350"/>
    </row>
    <row r="2421" spans="1:23" x14ac:dyDescent="0.25">
      <c r="A2421" s="204" t="s">
        <v>18091</v>
      </c>
      <c r="B2421" s="351" t="s">
        <v>22107</v>
      </c>
      <c r="C2421" s="352"/>
      <c r="D2421" s="353" t="s">
        <v>14859</v>
      </c>
      <c r="E2421" s="249">
        <f t="shared" si="607"/>
        <v>0</v>
      </c>
      <c r="F2421" s="336">
        <v>0</v>
      </c>
      <c r="G2421" s="258">
        <f t="shared" si="608"/>
        <v>0</v>
      </c>
      <c r="H2421" s="249">
        <f t="shared" si="609"/>
        <v>10.915079712353887</v>
      </c>
      <c r="I2421" s="336">
        <v>0.18183207273282911</v>
      </c>
      <c r="J2421" s="258">
        <f t="shared" si="610"/>
        <v>0.18183207273282911</v>
      </c>
      <c r="K2421" s="249">
        <f t="shared" si="611"/>
        <v>30.279409504564899</v>
      </c>
      <c r="L2421" s="336">
        <v>0.50441846843405402</v>
      </c>
      <c r="M2421" s="258">
        <f t="shared" si="612"/>
        <v>0.50441846843405402</v>
      </c>
      <c r="N2421" s="251">
        <f t="shared" si="613"/>
        <v>18.833863033081215</v>
      </c>
      <c r="O2421" s="336">
        <v>0.31374945883311689</v>
      </c>
      <c r="P2421" s="258">
        <f t="shared" si="614"/>
        <v>0.31374945883311689</v>
      </c>
      <c r="Q2421" s="354">
        <v>58.900500000000001</v>
      </c>
      <c r="R2421" s="249">
        <f t="shared" si="615"/>
        <v>60.028352249999998</v>
      </c>
      <c r="S2421" s="355">
        <v>0.1</v>
      </c>
      <c r="T2421" s="355"/>
      <c r="U2421" s="315">
        <f t="shared" si="616"/>
        <v>66.031187474999996</v>
      </c>
      <c r="V2421" s="315">
        <f t="shared" si="617"/>
        <v>67</v>
      </c>
      <c r="W2421" s="316">
        <f t="shared" si="618"/>
        <v>0</v>
      </c>
    </row>
    <row r="2422" spans="1:23" x14ac:dyDescent="0.25">
      <c r="A2422" s="204" t="s">
        <v>18092</v>
      </c>
      <c r="B2422" s="351" t="s">
        <v>22108</v>
      </c>
      <c r="C2422" s="352"/>
      <c r="D2422" s="353" t="s">
        <v>5</v>
      </c>
      <c r="E2422" s="249">
        <f t="shared" si="607"/>
        <v>0</v>
      </c>
      <c r="F2422" s="336">
        <v>0</v>
      </c>
      <c r="G2422" s="258">
        <f t="shared" si="608"/>
        <v>0</v>
      </c>
      <c r="H2422" s="249">
        <f t="shared" si="609"/>
        <v>6.3448935132376386E-2</v>
      </c>
      <c r="I2422" s="336">
        <v>0.18183207273282911</v>
      </c>
      <c r="J2422" s="258">
        <f t="shared" si="610"/>
        <v>0.18183207273282911</v>
      </c>
      <c r="K2422" s="249">
        <f t="shared" si="611"/>
        <v>0.17595379065351494</v>
      </c>
      <c r="L2422" s="336">
        <v>0.50424869058836519</v>
      </c>
      <c r="M2422" s="258">
        <f t="shared" si="612"/>
        <v>0.50424869058836519</v>
      </c>
      <c r="N2422" s="251">
        <f t="shared" si="613"/>
        <v>0.10948051552253178</v>
      </c>
      <c r="O2422" s="336">
        <v>0.31374945883311683</v>
      </c>
      <c r="P2422" s="258">
        <f t="shared" si="614"/>
        <v>0.31374945883311683</v>
      </c>
      <c r="Q2422" s="354">
        <v>0.34244476744186048</v>
      </c>
      <c r="R2422" s="249">
        <f t="shared" si="615"/>
        <v>0.34894248401162792</v>
      </c>
      <c r="S2422" s="355">
        <v>0.1</v>
      </c>
      <c r="T2422" s="355"/>
      <c r="U2422" s="315">
        <f t="shared" si="616"/>
        <v>0.3838367324127907</v>
      </c>
      <c r="V2422" s="315">
        <f t="shared" si="617"/>
        <v>1</v>
      </c>
      <c r="W2422" s="316">
        <f t="shared" si="618"/>
        <v>0</v>
      </c>
    </row>
    <row r="2423" spans="1:23" x14ac:dyDescent="0.25">
      <c r="A2423" s="204" t="s">
        <v>18093</v>
      </c>
      <c r="B2423" s="351" t="s">
        <v>22109</v>
      </c>
      <c r="C2423" s="352"/>
      <c r="D2423" s="353" t="s">
        <v>14859</v>
      </c>
      <c r="E2423" s="249">
        <f t="shared" si="607"/>
        <v>0</v>
      </c>
      <c r="F2423" s="336">
        <v>0</v>
      </c>
      <c r="G2423" s="258">
        <f t="shared" si="608"/>
        <v>0</v>
      </c>
      <c r="H2423" s="249">
        <f t="shared" si="609"/>
        <v>10.915079712353887</v>
      </c>
      <c r="I2423" s="336">
        <v>0.18183207273282911</v>
      </c>
      <c r="J2423" s="258">
        <f t="shared" si="610"/>
        <v>0.18183207273282911</v>
      </c>
      <c r="K2423" s="249">
        <f t="shared" si="611"/>
        <v>30.279409504564899</v>
      </c>
      <c r="L2423" s="336">
        <v>0.50441846843405402</v>
      </c>
      <c r="M2423" s="258">
        <f t="shared" si="612"/>
        <v>0.50441846843405402</v>
      </c>
      <c r="N2423" s="251">
        <f t="shared" si="613"/>
        <v>18.833863033081215</v>
      </c>
      <c r="O2423" s="336">
        <v>0.31374945883311689</v>
      </c>
      <c r="P2423" s="258">
        <f t="shared" si="614"/>
        <v>0.31374945883311689</v>
      </c>
      <c r="Q2423" s="354">
        <v>58.900500000000001</v>
      </c>
      <c r="R2423" s="249">
        <f t="shared" si="615"/>
        <v>60.028352249999998</v>
      </c>
      <c r="S2423" s="355">
        <v>0.1</v>
      </c>
      <c r="T2423" s="355"/>
      <c r="U2423" s="315">
        <f t="shared" si="616"/>
        <v>66.031187474999996</v>
      </c>
      <c r="V2423" s="315">
        <f t="shared" si="617"/>
        <v>67</v>
      </c>
      <c r="W2423" s="316">
        <f t="shared" si="618"/>
        <v>0</v>
      </c>
    </row>
    <row r="2424" spans="1:23" x14ac:dyDescent="0.25">
      <c r="A2424" s="204" t="s">
        <v>18094</v>
      </c>
      <c r="B2424" s="351" t="s">
        <v>22110</v>
      </c>
      <c r="C2424" s="352"/>
      <c r="D2424" s="353" t="s">
        <v>5</v>
      </c>
      <c r="E2424" s="249">
        <f t="shared" si="607"/>
        <v>0</v>
      </c>
      <c r="F2424" s="336">
        <v>0</v>
      </c>
      <c r="G2424" s="258">
        <f t="shared" si="608"/>
        <v>0</v>
      </c>
      <c r="H2424" s="249">
        <f t="shared" si="609"/>
        <v>6.3448935132376386E-2</v>
      </c>
      <c r="I2424" s="336">
        <v>0.18183207273282911</v>
      </c>
      <c r="J2424" s="258">
        <f t="shared" si="610"/>
        <v>0.18183207273282911</v>
      </c>
      <c r="K2424" s="249">
        <f t="shared" si="611"/>
        <v>0.17595379065351494</v>
      </c>
      <c r="L2424" s="336">
        <v>0.50424869058836519</v>
      </c>
      <c r="M2424" s="258">
        <f t="shared" si="612"/>
        <v>0.50424869058836519</v>
      </c>
      <c r="N2424" s="251">
        <f t="shared" si="613"/>
        <v>0.10948051552253178</v>
      </c>
      <c r="O2424" s="336">
        <v>0.31374945883311683</v>
      </c>
      <c r="P2424" s="258">
        <f t="shared" si="614"/>
        <v>0.31374945883311683</v>
      </c>
      <c r="Q2424" s="354">
        <v>0.34244476744186048</v>
      </c>
      <c r="R2424" s="249">
        <f t="shared" si="615"/>
        <v>0.34894248401162792</v>
      </c>
      <c r="S2424" s="355">
        <v>0.1</v>
      </c>
      <c r="T2424" s="355"/>
      <c r="U2424" s="315">
        <f t="shared" si="616"/>
        <v>0.3838367324127907</v>
      </c>
      <c r="V2424" s="315">
        <f t="shared" si="617"/>
        <v>1</v>
      </c>
      <c r="W2424" s="316">
        <f t="shared" si="618"/>
        <v>0</v>
      </c>
    </row>
    <row r="2425" spans="1:23" x14ac:dyDescent="0.25">
      <c r="A2425" s="204" t="s">
        <v>18095</v>
      </c>
      <c r="B2425" s="351" t="s">
        <v>22111</v>
      </c>
      <c r="C2425" s="352"/>
      <c r="D2425" s="353" t="s">
        <v>14859</v>
      </c>
      <c r="E2425" s="249">
        <f t="shared" si="607"/>
        <v>0</v>
      </c>
      <c r="F2425" s="336">
        <v>0</v>
      </c>
      <c r="G2425" s="258">
        <f t="shared" si="608"/>
        <v>0</v>
      </c>
      <c r="H2425" s="249">
        <f t="shared" si="609"/>
        <v>10.917006537420326</v>
      </c>
      <c r="I2425" s="336">
        <v>0.17571924297984398</v>
      </c>
      <c r="J2425" s="258">
        <f t="shared" si="610"/>
        <v>0.17571924297984398</v>
      </c>
      <c r="K2425" s="249">
        <f t="shared" si="611"/>
        <v>32.373358461736764</v>
      </c>
      <c r="L2425" s="336">
        <v>0.5210789259961115</v>
      </c>
      <c r="M2425" s="258">
        <f t="shared" si="612"/>
        <v>0.5210789259961115</v>
      </c>
      <c r="N2425" s="251">
        <f t="shared" si="613"/>
        <v>18.837187750842915</v>
      </c>
      <c r="O2425" s="336">
        <v>0.30320183102404452</v>
      </c>
      <c r="P2425" s="258">
        <f t="shared" si="614"/>
        <v>0.30320183102404452</v>
      </c>
      <c r="Q2425" s="354">
        <v>60.9495</v>
      </c>
      <c r="R2425" s="249">
        <f t="shared" si="615"/>
        <v>62.127552750000007</v>
      </c>
      <c r="S2425" s="355">
        <v>0.1</v>
      </c>
      <c r="T2425" s="355"/>
      <c r="U2425" s="315">
        <f t="shared" si="616"/>
        <v>68.340308025000013</v>
      </c>
      <c r="V2425" s="315">
        <f t="shared" si="617"/>
        <v>69</v>
      </c>
      <c r="W2425" s="316">
        <f t="shared" si="618"/>
        <v>0</v>
      </c>
    </row>
    <row r="2426" spans="1:23" x14ac:dyDescent="0.25">
      <c r="A2426" s="204" t="s">
        <v>18096</v>
      </c>
      <c r="B2426" s="351" t="s">
        <v>22112</v>
      </c>
      <c r="C2426" s="352"/>
      <c r="D2426" s="353" t="s">
        <v>5</v>
      </c>
      <c r="E2426" s="249">
        <f t="shared" si="607"/>
        <v>0</v>
      </c>
      <c r="F2426" s="336">
        <v>0</v>
      </c>
      <c r="G2426" s="258">
        <f t="shared" si="608"/>
        <v>0</v>
      </c>
      <c r="H2426" s="249">
        <f t="shared" si="609"/>
        <v>6.3460501707999967E-2</v>
      </c>
      <c r="I2426" s="336">
        <v>0.17571924297984398</v>
      </c>
      <c r="J2426" s="258">
        <f t="shared" si="610"/>
        <v>0.17571924297984398</v>
      </c>
      <c r="K2426" s="249">
        <f t="shared" si="611"/>
        <v>0.18812690933502751</v>
      </c>
      <c r="L2426" s="336">
        <v>0.52091485574122831</v>
      </c>
      <c r="M2426" s="258">
        <f t="shared" si="612"/>
        <v>0.52091485574122831</v>
      </c>
      <c r="N2426" s="251">
        <f t="shared" si="613"/>
        <v>0.10950047353537247</v>
      </c>
      <c r="O2426" s="336">
        <v>0.30320183102404447</v>
      </c>
      <c r="P2426" s="258">
        <f t="shared" si="614"/>
        <v>0.30320183102404447</v>
      </c>
      <c r="Q2426" s="354">
        <v>0.3543575581395349</v>
      </c>
      <c r="R2426" s="249">
        <f t="shared" si="615"/>
        <v>0.36114713808139531</v>
      </c>
      <c r="S2426" s="355">
        <v>0.1</v>
      </c>
      <c r="T2426" s="355"/>
      <c r="U2426" s="315">
        <f t="shared" si="616"/>
        <v>0.39726185188953483</v>
      </c>
      <c r="V2426" s="315">
        <f t="shared" si="617"/>
        <v>1</v>
      </c>
      <c r="W2426" s="316">
        <f t="shared" si="618"/>
        <v>0</v>
      </c>
    </row>
    <row r="2427" spans="1:23" x14ac:dyDescent="0.25">
      <c r="A2427" s="204" t="s">
        <v>18097</v>
      </c>
      <c r="B2427" s="351" t="s">
        <v>22113</v>
      </c>
      <c r="C2427" s="352"/>
      <c r="D2427" s="353" t="s">
        <v>14859</v>
      </c>
      <c r="E2427" s="249">
        <f t="shared" si="607"/>
        <v>0</v>
      </c>
      <c r="F2427" s="336">
        <v>0</v>
      </c>
      <c r="G2427" s="258">
        <f t="shared" si="608"/>
        <v>0</v>
      </c>
      <c r="H2427" s="249">
        <f t="shared" si="609"/>
        <v>10.941158800641212</v>
      </c>
      <c r="I2427" s="336">
        <v>9.9096473331390267E-2</v>
      </c>
      <c r="J2427" s="258">
        <f t="shared" si="610"/>
        <v>9.9096473331390267E-2</v>
      </c>
      <c r="K2427" s="249">
        <f t="shared" si="611"/>
        <v>80.589143205115121</v>
      </c>
      <c r="L2427" s="336">
        <v>0.72991353346934806</v>
      </c>
      <c r="M2427" s="258">
        <f t="shared" si="612"/>
        <v>0.72991353346934806</v>
      </c>
      <c r="N2427" s="251">
        <f t="shared" si="613"/>
        <v>18.878862244243656</v>
      </c>
      <c r="O2427" s="336">
        <v>0.17098999319926161</v>
      </c>
      <c r="P2427" s="258">
        <f t="shared" si="614"/>
        <v>0.17098999319926161</v>
      </c>
      <c r="Q2427" s="354">
        <v>108.07650000000001</v>
      </c>
      <c r="R2427" s="249">
        <f t="shared" si="615"/>
        <v>110.40916424999999</v>
      </c>
      <c r="S2427" s="355">
        <v>0.1</v>
      </c>
      <c r="T2427" s="355"/>
      <c r="U2427" s="315">
        <f t="shared" si="616"/>
        <v>121.45008067499998</v>
      </c>
      <c r="V2427" s="315">
        <f t="shared" si="617"/>
        <v>125</v>
      </c>
      <c r="W2427" s="316">
        <f t="shared" si="618"/>
        <v>0</v>
      </c>
    </row>
    <row r="2428" spans="1:23" x14ac:dyDescent="0.25">
      <c r="A2428" s="204" t="s">
        <v>18098</v>
      </c>
      <c r="B2428" s="351" t="s">
        <v>22114</v>
      </c>
      <c r="C2428" s="352"/>
      <c r="D2428" s="353" t="s">
        <v>5</v>
      </c>
      <c r="E2428" s="249">
        <f t="shared" si="607"/>
        <v>0</v>
      </c>
      <c r="F2428" s="336">
        <v>0</v>
      </c>
      <c r="G2428" s="258">
        <f t="shared" si="608"/>
        <v>0</v>
      </c>
      <c r="H2428" s="249">
        <f t="shared" si="609"/>
        <v>6.3605485798092651E-2</v>
      </c>
      <c r="I2428" s="336">
        <v>9.9096473331390267E-2</v>
      </c>
      <c r="J2428" s="258">
        <f t="shared" si="610"/>
        <v>9.9096473331390267E-2</v>
      </c>
      <c r="K2428" s="249">
        <f t="shared" si="611"/>
        <v>0.46843866485091085</v>
      </c>
      <c r="L2428" s="336">
        <v>0.72982100641675118</v>
      </c>
      <c r="M2428" s="258">
        <f t="shared" si="612"/>
        <v>0.72982100641675118</v>
      </c>
      <c r="N2428" s="251">
        <f t="shared" si="613"/>
        <v>0.10975064216141475</v>
      </c>
      <c r="O2428" s="336">
        <v>0.17098999319926161</v>
      </c>
      <c r="P2428" s="258">
        <f t="shared" si="614"/>
        <v>0.17098999319926161</v>
      </c>
      <c r="Q2428" s="354">
        <v>0.62835174418604656</v>
      </c>
      <c r="R2428" s="249">
        <f t="shared" si="615"/>
        <v>0.64185418168604669</v>
      </c>
      <c r="S2428" s="355">
        <v>0.1</v>
      </c>
      <c r="T2428" s="355"/>
      <c r="U2428" s="315">
        <f t="shared" si="616"/>
        <v>0.70603959985465137</v>
      </c>
      <c r="V2428" s="315">
        <f t="shared" si="617"/>
        <v>1</v>
      </c>
      <c r="W2428" s="316">
        <f t="shared" si="618"/>
        <v>0</v>
      </c>
    </row>
    <row r="2429" spans="1:23" x14ac:dyDescent="0.25">
      <c r="A2429" s="204" t="s">
        <v>18099</v>
      </c>
      <c r="B2429" s="351" t="s">
        <v>22115</v>
      </c>
      <c r="C2429" s="352"/>
      <c r="D2429" s="353" t="s">
        <v>14859</v>
      </c>
      <c r="E2429" s="249">
        <f t="shared" si="607"/>
        <v>0</v>
      </c>
      <c r="F2429" s="336">
        <v>0</v>
      </c>
      <c r="G2429" s="258">
        <f t="shared" si="608"/>
        <v>0</v>
      </c>
      <c r="H2429" s="249">
        <f t="shared" si="609"/>
        <v>10.957910234558526</v>
      </c>
      <c r="I2429" s="336">
        <v>4.5952747189094915E-2</v>
      </c>
      <c r="J2429" s="258">
        <f t="shared" si="610"/>
        <v>4.5952747189094915E-2</v>
      </c>
      <c r="K2429" s="249">
        <f t="shared" si="611"/>
        <v>208.59471783620322</v>
      </c>
      <c r="L2429" s="336">
        <v>0.87475623805325109</v>
      </c>
      <c r="M2429" s="258">
        <f t="shared" si="612"/>
        <v>0.87475623805325109</v>
      </c>
      <c r="N2429" s="251">
        <f t="shared" si="613"/>
        <v>18.90776667923824</v>
      </c>
      <c r="O2429" s="336">
        <v>7.9291014757653974E-2</v>
      </c>
      <c r="P2429" s="258">
        <f t="shared" si="614"/>
        <v>7.9291014757653974E-2</v>
      </c>
      <c r="Q2429" s="354">
        <v>233.06549999999999</v>
      </c>
      <c r="R2429" s="249">
        <f t="shared" si="615"/>
        <v>238.46039474999998</v>
      </c>
      <c r="S2429" s="355">
        <v>0.1</v>
      </c>
      <c r="T2429" s="355"/>
      <c r="U2429" s="315">
        <f t="shared" si="616"/>
        <v>262.30643422499998</v>
      </c>
      <c r="V2429" s="315">
        <f t="shared" si="617"/>
        <v>265</v>
      </c>
      <c r="W2429" s="316">
        <f t="shared" si="618"/>
        <v>0</v>
      </c>
    </row>
    <row r="2430" spans="1:23" x14ac:dyDescent="0.25">
      <c r="A2430" s="204" t="s">
        <v>18100</v>
      </c>
      <c r="B2430" s="351" t="s">
        <v>22116</v>
      </c>
      <c r="C2430" s="352"/>
      <c r="D2430" s="353" t="s">
        <v>5</v>
      </c>
      <c r="E2430" s="249">
        <f t="shared" si="607"/>
        <v>0</v>
      </c>
      <c r="F2430" s="336">
        <v>0</v>
      </c>
      <c r="G2430" s="258">
        <f t="shared" si="608"/>
        <v>0</v>
      </c>
      <c r="H2430" s="249">
        <f t="shared" si="609"/>
        <v>6.3706043306183596E-2</v>
      </c>
      <c r="I2430" s="336">
        <v>4.5952747189094915E-2</v>
      </c>
      <c r="J2430" s="258">
        <f t="shared" si="610"/>
        <v>4.5952747189094915E-2</v>
      </c>
      <c r="K2430" s="249">
        <f t="shared" si="611"/>
        <v>1.2126484007130507</v>
      </c>
      <c r="L2430" s="336">
        <v>0.87471333165998422</v>
      </c>
      <c r="M2430" s="258">
        <f t="shared" si="612"/>
        <v>0.87471333165998422</v>
      </c>
      <c r="N2430" s="251">
        <f t="shared" si="613"/>
        <v>0.10992415315576776</v>
      </c>
      <c r="O2430" s="336">
        <v>7.929101475765396E-2</v>
      </c>
      <c r="P2430" s="258">
        <f t="shared" si="614"/>
        <v>7.929101475765396E-2</v>
      </c>
      <c r="Q2430" s="354">
        <v>1.3550319767441861</v>
      </c>
      <c r="R2430" s="249">
        <f t="shared" si="615"/>
        <v>1.386338079941861</v>
      </c>
      <c r="S2430" s="355">
        <v>0.1</v>
      </c>
      <c r="T2430" s="355"/>
      <c r="U2430" s="315">
        <f t="shared" si="616"/>
        <v>1.524971887936047</v>
      </c>
      <c r="V2430" s="315">
        <f t="shared" si="617"/>
        <v>2</v>
      </c>
      <c r="W2430" s="316">
        <f t="shared" si="618"/>
        <v>0</v>
      </c>
    </row>
    <row r="2431" spans="1:23" x14ac:dyDescent="0.25">
      <c r="A2431" s="204" t="s">
        <v>18101</v>
      </c>
      <c r="B2431" s="351" t="s">
        <v>22117</v>
      </c>
      <c r="C2431" s="352"/>
      <c r="D2431" s="353" t="s">
        <v>14859</v>
      </c>
      <c r="E2431" s="249">
        <f t="shared" si="607"/>
        <v>0</v>
      </c>
      <c r="F2431" s="336">
        <v>0</v>
      </c>
      <c r="G2431" s="258">
        <f t="shared" si="608"/>
        <v>0</v>
      </c>
      <c r="H2431" s="249">
        <f t="shared" si="609"/>
        <v>10.960688919140328</v>
      </c>
      <c r="I2431" s="336">
        <v>3.713740319048784E-2</v>
      </c>
      <c r="J2431" s="258">
        <f t="shared" si="610"/>
        <v>3.713740319048784E-2</v>
      </c>
      <c r="K2431" s="249">
        <f t="shared" si="611"/>
        <v>265.2655580586175</v>
      </c>
      <c r="L2431" s="336">
        <v>0.89878237169651354</v>
      </c>
      <c r="M2431" s="258">
        <f t="shared" si="612"/>
        <v>0.89878237169651354</v>
      </c>
      <c r="N2431" s="251">
        <f t="shared" si="613"/>
        <v>18.912561272242129</v>
      </c>
      <c r="O2431" s="336">
        <v>6.4080225112998615E-2</v>
      </c>
      <c r="P2431" s="258">
        <f t="shared" si="614"/>
        <v>6.4080225112998615E-2</v>
      </c>
      <c r="Q2431" s="354">
        <v>288.38849999999996</v>
      </c>
      <c r="R2431" s="249">
        <f t="shared" si="615"/>
        <v>295.13880824999995</v>
      </c>
      <c r="S2431" s="355">
        <v>0.1</v>
      </c>
      <c r="T2431" s="355"/>
      <c r="U2431" s="315">
        <f t="shared" si="616"/>
        <v>324.65268907499996</v>
      </c>
      <c r="V2431" s="315">
        <f t="shared" si="617"/>
        <v>325</v>
      </c>
      <c r="W2431" s="316">
        <f t="shared" si="618"/>
        <v>0</v>
      </c>
    </row>
    <row r="2432" spans="1:23" x14ac:dyDescent="0.25">
      <c r="A2432" s="204" t="s">
        <v>18102</v>
      </c>
      <c r="B2432" s="351" t="s">
        <v>22118</v>
      </c>
      <c r="C2432" s="352"/>
      <c r="D2432" s="353" t="s">
        <v>5</v>
      </c>
      <c r="E2432" s="249">
        <f t="shared" si="607"/>
        <v>0</v>
      </c>
      <c r="F2432" s="336">
        <v>0</v>
      </c>
      <c r="G2432" s="258">
        <f t="shared" si="608"/>
        <v>0</v>
      </c>
      <c r="H2432" s="249">
        <f t="shared" si="609"/>
        <v>6.3722723525840921E-2</v>
      </c>
      <c r="I2432" s="336">
        <v>3.713740319048784E-2</v>
      </c>
      <c r="J2432" s="258">
        <f t="shared" si="610"/>
        <v>3.713740319048784E-2</v>
      </c>
      <c r="K2432" s="249">
        <f t="shared" si="611"/>
        <v>1.5421285832471909</v>
      </c>
      <c r="L2432" s="336">
        <v>0.89874769625002371</v>
      </c>
      <c r="M2432" s="258">
        <f t="shared" si="612"/>
        <v>0.89874769625002371</v>
      </c>
      <c r="N2432" s="251">
        <f t="shared" si="613"/>
        <v>0.10995293471125492</v>
      </c>
      <c r="O2432" s="336">
        <v>6.4080225112998615E-2</v>
      </c>
      <c r="P2432" s="258">
        <f t="shared" si="614"/>
        <v>6.4080225112998615E-2</v>
      </c>
      <c r="Q2432" s="354">
        <v>1.6766773255813952</v>
      </c>
      <c r="R2432" s="249">
        <f t="shared" si="615"/>
        <v>1.7158637398255809</v>
      </c>
      <c r="S2432" s="355">
        <v>0.1</v>
      </c>
      <c r="T2432" s="355"/>
      <c r="U2432" s="315">
        <f t="shared" si="616"/>
        <v>1.887450113808139</v>
      </c>
      <c r="V2432" s="315">
        <f t="shared" si="617"/>
        <v>2</v>
      </c>
      <c r="W2432" s="316">
        <f t="shared" si="618"/>
        <v>0</v>
      </c>
    </row>
    <row r="2433" spans="1:23" x14ac:dyDescent="0.25">
      <c r="A2433" s="204" t="s">
        <v>18103</v>
      </c>
      <c r="B2433" s="351" t="s">
        <v>22119</v>
      </c>
      <c r="C2433" s="352"/>
      <c r="D2433" s="353" t="s">
        <v>14859</v>
      </c>
      <c r="E2433" s="249">
        <f t="shared" si="607"/>
        <v>0</v>
      </c>
      <c r="F2433" s="336">
        <v>0</v>
      </c>
      <c r="G2433" s="258">
        <f t="shared" si="608"/>
        <v>0</v>
      </c>
      <c r="H2433" s="249">
        <f t="shared" si="609"/>
        <v>10.961355615097858</v>
      </c>
      <c r="I2433" s="336">
        <v>3.5022318143915245E-2</v>
      </c>
      <c r="J2433" s="258">
        <f t="shared" si="610"/>
        <v>3.5022318143915245E-2</v>
      </c>
      <c r="K2433" s="249">
        <f t="shared" si="611"/>
        <v>283.10694523532152</v>
      </c>
      <c r="L2433" s="336">
        <v>0.90454701525481929</v>
      </c>
      <c r="M2433" s="258">
        <f t="shared" si="612"/>
        <v>0.90454701525481929</v>
      </c>
      <c r="N2433" s="251">
        <f t="shared" si="613"/>
        <v>18.913711649580613</v>
      </c>
      <c r="O2433" s="336">
        <v>6.0430666601265511E-2</v>
      </c>
      <c r="P2433" s="258">
        <f t="shared" si="614"/>
        <v>6.0430666601265511E-2</v>
      </c>
      <c r="Q2433" s="354">
        <v>305.80500000000001</v>
      </c>
      <c r="R2433" s="249">
        <f t="shared" si="615"/>
        <v>312.9820125</v>
      </c>
      <c r="S2433" s="355">
        <v>0.1</v>
      </c>
      <c r="T2433" s="355"/>
      <c r="U2433" s="315">
        <f t="shared" si="616"/>
        <v>344.28021374999997</v>
      </c>
      <c r="V2433" s="315">
        <f t="shared" si="617"/>
        <v>345</v>
      </c>
      <c r="W2433" s="316">
        <f t="shared" si="618"/>
        <v>0</v>
      </c>
    </row>
    <row r="2434" spans="1:23" x14ac:dyDescent="0.25">
      <c r="A2434" s="204" t="s">
        <v>18104</v>
      </c>
      <c r="B2434" s="351" t="s">
        <v>22120</v>
      </c>
      <c r="C2434" s="352"/>
      <c r="D2434" s="353" t="s">
        <v>5</v>
      </c>
      <c r="E2434" s="249">
        <f t="shared" ref="E2434:E2497" si="619">R2434*G2434</f>
        <v>0</v>
      </c>
      <c r="F2434" s="336">
        <v>0</v>
      </c>
      <c r="G2434" s="258">
        <f t="shared" ref="G2434:G2497" si="620">F2434</f>
        <v>0</v>
      </c>
      <c r="H2434" s="249">
        <f t="shared" ref="H2434:H2497" si="621">R2434*J2434</f>
        <v>6.3726725647956228E-2</v>
      </c>
      <c r="I2434" s="336">
        <v>3.5022318143915245E-2</v>
      </c>
      <c r="J2434" s="258">
        <f t="shared" ref="J2434:J2497" si="622">I2434</f>
        <v>3.5022318143915245E-2</v>
      </c>
      <c r="K2434" s="249">
        <f t="shared" ref="K2434:K2497" si="623">R2434*M2434</f>
        <v>1.6458572313588169</v>
      </c>
      <c r="L2434" s="336">
        <v>0.90451431467765397</v>
      </c>
      <c r="M2434" s="258">
        <f t="shared" ref="M2434:M2497" si="624">L2434</f>
        <v>0.90451431467765397</v>
      </c>
      <c r="N2434" s="251">
        <f t="shared" ref="N2434:N2497" si="625">P2434*R2434</f>
        <v>0.1099598403337284</v>
      </c>
      <c r="O2434" s="336">
        <v>6.0430666601265517E-2</v>
      </c>
      <c r="P2434" s="258">
        <f t="shared" ref="P2434:P2497" si="626">O2434</f>
        <v>6.0430666601265517E-2</v>
      </c>
      <c r="Q2434" s="354">
        <v>1.7779360465116278</v>
      </c>
      <c r="R2434" s="249">
        <f t="shared" ref="R2434:R2497" si="627">SUM(F2434*Q2434*1.0235,I2434*Q2434*1.0175,L2434*Q2434*1.0245,O2434*Q2434*1.0115)</f>
        <v>1.8196032994186044</v>
      </c>
      <c r="S2434" s="355">
        <v>0.1</v>
      </c>
      <c r="T2434" s="355"/>
      <c r="U2434" s="315">
        <f t="shared" si="616"/>
        <v>2.0015636293604651</v>
      </c>
      <c r="V2434" s="315">
        <f t="shared" si="617"/>
        <v>3</v>
      </c>
      <c r="W2434" s="316">
        <f t="shared" si="618"/>
        <v>0</v>
      </c>
    </row>
    <row r="2435" spans="1:23" x14ac:dyDescent="0.25">
      <c r="A2435" s="204" t="s">
        <v>18105</v>
      </c>
      <c r="B2435" s="351" t="s">
        <v>22121</v>
      </c>
      <c r="C2435" s="352"/>
      <c r="D2435" s="353" t="s">
        <v>14859</v>
      </c>
      <c r="E2435" s="249">
        <f t="shared" si="619"/>
        <v>0</v>
      </c>
      <c r="F2435" s="336">
        <v>0</v>
      </c>
      <c r="G2435" s="258">
        <f t="shared" si="620"/>
        <v>0</v>
      </c>
      <c r="H2435" s="249">
        <f t="shared" si="621"/>
        <v>10.961573145676258</v>
      </c>
      <c r="I2435" s="336">
        <v>3.4332204954608404E-2</v>
      </c>
      <c r="J2435" s="258">
        <f t="shared" si="622"/>
        <v>3.4332204954608404E-2</v>
      </c>
      <c r="K2435" s="249">
        <f t="shared" si="623"/>
        <v>289.40395385786275</v>
      </c>
      <c r="L2435" s="336">
        <v>0.90642791198645944</v>
      </c>
      <c r="M2435" s="258">
        <f t="shared" si="624"/>
        <v>0.90642791198645944</v>
      </c>
      <c r="N2435" s="251">
        <f t="shared" si="625"/>
        <v>18.914086996460995</v>
      </c>
      <c r="O2435" s="336">
        <v>5.9239883058932144E-2</v>
      </c>
      <c r="P2435" s="258">
        <f t="shared" si="626"/>
        <v>5.9239883058932144E-2</v>
      </c>
      <c r="Q2435" s="354">
        <v>311.952</v>
      </c>
      <c r="R2435" s="249">
        <f t="shared" si="627"/>
        <v>319.27961399999998</v>
      </c>
      <c r="S2435" s="355">
        <v>0.1</v>
      </c>
      <c r="T2435" s="355"/>
      <c r="U2435" s="315">
        <f t="shared" si="616"/>
        <v>351.2075754</v>
      </c>
      <c r="V2435" s="315">
        <f t="shared" si="617"/>
        <v>355</v>
      </c>
      <c r="W2435" s="316">
        <f t="shared" si="618"/>
        <v>0</v>
      </c>
    </row>
    <row r="2436" spans="1:23" x14ac:dyDescent="0.25">
      <c r="A2436" s="204" t="s">
        <v>18106</v>
      </c>
      <c r="B2436" s="351" t="s">
        <v>22122</v>
      </c>
      <c r="C2436" s="352"/>
      <c r="D2436" s="353" t="s">
        <v>5</v>
      </c>
      <c r="E2436" s="249">
        <f t="shared" si="619"/>
        <v>0</v>
      </c>
      <c r="F2436" s="336">
        <v>0</v>
      </c>
      <c r="G2436" s="258">
        <f t="shared" si="620"/>
        <v>0</v>
      </c>
      <c r="H2436" s="249">
        <f t="shared" si="621"/>
        <v>6.3728031466491267E-2</v>
      </c>
      <c r="I2436" s="336">
        <v>3.4332204954608404E-2</v>
      </c>
      <c r="J2436" s="258">
        <f t="shared" si="622"/>
        <v>3.4332204954608404E-2</v>
      </c>
      <c r="K2436" s="249">
        <f t="shared" si="623"/>
        <v>1.6824676333532527</v>
      </c>
      <c r="L2436" s="336">
        <v>0.90639585577268289</v>
      </c>
      <c r="M2436" s="258">
        <f t="shared" si="624"/>
        <v>0.90639585577268289</v>
      </c>
      <c r="N2436" s="251">
        <f t="shared" si="625"/>
        <v>0.10996209351080846</v>
      </c>
      <c r="O2436" s="336">
        <v>5.9239883058932144E-2</v>
      </c>
      <c r="P2436" s="258">
        <f t="shared" si="626"/>
        <v>5.9239883058932144E-2</v>
      </c>
      <c r="Q2436" s="354">
        <v>1.8136744186046512</v>
      </c>
      <c r="R2436" s="249">
        <f t="shared" si="627"/>
        <v>1.8562172616279069</v>
      </c>
      <c r="S2436" s="355">
        <v>0.1</v>
      </c>
      <c r="T2436" s="355"/>
      <c r="U2436" s="315">
        <f t="shared" si="616"/>
        <v>2.0418389877906975</v>
      </c>
      <c r="V2436" s="315">
        <f t="shared" si="617"/>
        <v>3</v>
      </c>
      <c r="W2436" s="316">
        <f t="shared" si="618"/>
        <v>0</v>
      </c>
    </row>
    <row r="2437" spans="1:23" x14ac:dyDescent="0.25">
      <c r="A2437" s="204" t="s">
        <v>18107</v>
      </c>
      <c r="B2437" s="351" t="s">
        <v>22123</v>
      </c>
      <c r="C2437" s="352"/>
      <c r="D2437" s="353" t="s">
        <v>14859</v>
      </c>
      <c r="E2437" s="249">
        <f t="shared" si="619"/>
        <v>0</v>
      </c>
      <c r="F2437" s="336">
        <v>0</v>
      </c>
      <c r="G2437" s="258">
        <f t="shared" si="620"/>
        <v>0</v>
      </c>
      <c r="H2437" s="249">
        <f t="shared" si="621"/>
        <v>10.962113407828376</v>
      </c>
      <c r="I2437" s="336">
        <v>3.2618229661574447E-2</v>
      </c>
      <c r="J2437" s="258">
        <f t="shared" si="622"/>
        <v>3.2618229661574447E-2</v>
      </c>
      <c r="K2437" s="249">
        <f t="shared" si="623"/>
        <v>306.19608537866384</v>
      </c>
      <c r="L2437" s="336">
        <v>0.91109933484394412</v>
      </c>
      <c r="M2437" s="258">
        <f t="shared" si="624"/>
        <v>0.91109933484394412</v>
      </c>
      <c r="N2437" s="251">
        <f t="shared" si="625"/>
        <v>18.915019213507787</v>
      </c>
      <c r="O2437" s="336">
        <v>5.6282435494481399E-2</v>
      </c>
      <c r="P2437" s="258">
        <f t="shared" si="626"/>
        <v>5.6282435494481399E-2</v>
      </c>
      <c r="Q2437" s="354">
        <v>328.34399999999999</v>
      </c>
      <c r="R2437" s="249">
        <f t="shared" si="627"/>
        <v>336.073218</v>
      </c>
      <c r="S2437" s="355">
        <v>0.1</v>
      </c>
      <c r="T2437" s="355"/>
      <c r="U2437" s="315">
        <f t="shared" si="616"/>
        <v>369.68053980000002</v>
      </c>
      <c r="V2437" s="315">
        <f t="shared" si="617"/>
        <v>370</v>
      </c>
      <c r="W2437" s="316">
        <f t="shared" si="618"/>
        <v>0</v>
      </c>
    </row>
    <row r="2438" spans="1:23" x14ac:dyDescent="0.25">
      <c r="A2438" s="204" t="s">
        <v>18108</v>
      </c>
      <c r="B2438" s="351" t="s">
        <v>22124</v>
      </c>
      <c r="C2438" s="352"/>
      <c r="D2438" s="353" t="s">
        <v>5</v>
      </c>
      <c r="E2438" s="249">
        <f t="shared" si="619"/>
        <v>0</v>
      </c>
      <c r="F2438" s="336">
        <v>0</v>
      </c>
      <c r="G2438" s="258">
        <f t="shared" si="620"/>
        <v>0</v>
      </c>
      <c r="H2438" s="249">
        <f t="shared" si="621"/>
        <v>6.3731274616659825E-2</v>
      </c>
      <c r="I2438" s="336">
        <v>3.2618229661574447E-2</v>
      </c>
      <c r="J2438" s="258">
        <f t="shared" si="622"/>
        <v>3.2618229661574447E-2</v>
      </c>
      <c r="K2438" s="249">
        <f t="shared" si="623"/>
        <v>1.7800960237092514</v>
      </c>
      <c r="L2438" s="336">
        <v>0.91106887898058109</v>
      </c>
      <c r="M2438" s="258">
        <f t="shared" si="624"/>
        <v>0.91106887898058109</v>
      </c>
      <c r="N2438" s="251">
        <f t="shared" si="625"/>
        <v>0.10996768953462872</v>
      </c>
      <c r="O2438" s="336">
        <v>5.6282435494481399E-2</v>
      </c>
      <c r="P2438" s="258">
        <f t="shared" si="626"/>
        <v>5.6282435494481399E-2</v>
      </c>
      <c r="Q2438" s="354">
        <v>1.9089767441860466</v>
      </c>
      <c r="R2438" s="249">
        <f t="shared" si="627"/>
        <v>1.9538544941860461</v>
      </c>
      <c r="S2438" s="355">
        <v>0.1</v>
      </c>
      <c r="T2438" s="355"/>
      <c r="U2438" s="315">
        <f t="shared" si="616"/>
        <v>2.1492399436046505</v>
      </c>
      <c r="V2438" s="315">
        <f t="shared" si="617"/>
        <v>3</v>
      </c>
      <c r="W2438" s="316">
        <f t="shared" si="618"/>
        <v>0</v>
      </c>
    </row>
    <row r="2439" spans="1:23" x14ac:dyDescent="0.25">
      <c r="A2439" s="204" t="s">
        <v>18109</v>
      </c>
      <c r="B2439" s="351" t="s">
        <v>22125</v>
      </c>
      <c r="C2439" s="352"/>
      <c r="D2439" s="353" t="s">
        <v>14859</v>
      </c>
      <c r="E2439" s="249">
        <f t="shared" si="619"/>
        <v>0</v>
      </c>
      <c r="F2439" s="336">
        <v>0</v>
      </c>
      <c r="G2439" s="258">
        <f t="shared" si="620"/>
        <v>0</v>
      </c>
      <c r="H2439" s="249">
        <f t="shared" si="621"/>
        <v>10.9628297038523</v>
      </c>
      <c r="I2439" s="336">
        <v>3.034578899051376E-2</v>
      </c>
      <c r="J2439" s="258">
        <f t="shared" si="622"/>
        <v>3.034578899051376E-2</v>
      </c>
      <c r="K2439" s="249">
        <f t="shared" si="623"/>
        <v>331.38453912087306</v>
      </c>
      <c r="L2439" s="336">
        <v>0.91729284961408997</v>
      </c>
      <c r="M2439" s="258">
        <f t="shared" si="624"/>
        <v>0.91729284961408997</v>
      </c>
      <c r="N2439" s="251">
        <f t="shared" si="625"/>
        <v>18.916255175274557</v>
      </c>
      <c r="O2439" s="336">
        <v>5.2361361395396287E-2</v>
      </c>
      <c r="P2439" s="258">
        <f t="shared" si="626"/>
        <v>5.2361361395396287E-2</v>
      </c>
      <c r="Q2439" s="354">
        <v>352.93199999999996</v>
      </c>
      <c r="R2439" s="249">
        <f t="shared" si="627"/>
        <v>361.26362399999994</v>
      </c>
      <c r="S2439" s="355">
        <v>0.1</v>
      </c>
      <c r="T2439" s="355"/>
      <c r="U2439" s="315">
        <f t="shared" si="616"/>
        <v>397.38998639999994</v>
      </c>
      <c r="V2439" s="315">
        <f t="shared" si="617"/>
        <v>400</v>
      </c>
      <c r="W2439" s="316">
        <f t="shared" si="618"/>
        <v>0</v>
      </c>
    </row>
    <row r="2440" spans="1:23" x14ac:dyDescent="0.25">
      <c r="A2440" s="204" t="s">
        <v>18110</v>
      </c>
      <c r="B2440" s="351" t="s">
        <v>22126</v>
      </c>
      <c r="C2440" s="352"/>
      <c r="D2440" s="353" t="s">
        <v>5</v>
      </c>
      <c r="E2440" s="249">
        <f t="shared" si="619"/>
        <v>0</v>
      </c>
      <c r="F2440" s="336">
        <v>0</v>
      </c>
      <c r="G2440" s="258">
        <f t="shared" si="620"/>
        <v>0</v>
      </c>
      <c r="H2440" s="249">
        <f t="shared" si="621"/>
        <v>6.3735574483977278E-2</v>
      </c>
      <c r="I2440" s="336">
        <v>3.0345788990513756E-2</v>
      </c>
      <c r="J2440" s="258">
        <f t="shared" si="622"/>
        <v>3.0345788990513756E-2</v>
      </c>
      <c r="K2440" s="249">
        <f t="shared" si="623"/>
        <v>1.9265401492854273</v>
      </c>
      <c r="L2440" s="336">
        <v>0.91726451554407062</v>
      </c>
      <c r="M2440" s="258">
        <f t="shared" si="624"/>
        <v>0.91726451554407062</v>
      </c>
      <c r="N2440" s="251">
        <f t="shared" si="625"/>
        <v>0.10997510891352941</v>
      </c>
      <c r="O2440" s="336">
        <v>5.236136139539628E-2</v>
      </c>
      <c r="P2440" s="258">
        <f t="shared" si="626"/>
        <v>5.236136139539628E-2</v>
      </c>
      <c r="Q2440" s="354">
        <v>2.0519302325581394</v>
      </c>
      <c r="R2440" s="249">
        <f t="shared" si="627"/>
        <v>2.1003103430232555</v>
      </c>
      <c r="S2440" s="355">
        <v>0.1</v>
      </c>
      <c r="T2440" s="355"/>
      <c r="U2440" s="315">
        <f t="shared" si="616"/>
        <v>2.3103413773255812</v>
      </c>
      <c r="V2440" s="315">
        <f t="shared" si="617"/>
        <v>3</v>
      </c>
      <c r="W2440" s="316">
        <f t="shared" si="618"/>
        <v>0</v>
      </c>
    </row>
    <row r="2441" spans="1:23" x14ac:dyDescent="0.25">
      <c r="A2441" s="204" t="s">
        <v>18111</v>
      </c>
      <c r="B2441" s="351" t="s">
        <v>22127</v>
      </c>
      <c r="C2441" s="352"/>
      <c r="D2441" s="353" t="s">
        <v>14859</v>
      </c>
      <c r="E2441" s="249">
        <f t="shared" si="619"/>
        <v>0</v>
      </c>
      <c r="F2441" s="336">
        <v>0</v>
      </c>
      <c r="G2441" s="258">
        <f t="shared" si="620"/>
        <v>0</v>
      </c>
      <c r="H2441" s="249">
        <f t="shared" si="621"/>
        <v>10.963934831518328</v>
      </c>
      <c r="I2441" s="336">
        <v>2.683978452990907E-2</v>
      </c>
      <c r="J2441" s="258">
        <f t="shared" si="622"/>
        <v>2.683978452990907E-2</v>
      </c>
      <c r="K2441" s="249">
        <f t="shared" si="623"/>
        <v>378.61353835625397</v>
      </c>
      <c r="L2441" s="336">
        <v>0.92684843039887532</v>
      </c>
      <c r="M2441" s="258">
        <f t="shared" si="624"/>
        <v>0.92684843039887532</v>
      </c>
      <c r="N2441" s="251">
        <f t="shared" si="625"/>
        <v>18.918162062227704</v>
      </c>
      <c r="O2441" s="336">
        <v>4.6311785071215653E-2</v>
      </c>
      <c r="P2441" s="258">
        <f t="shared" si="626"/>
        <v>4.6311785071215653E-2</v>
      </c>
      <c r="Q2441" s="354">
        <v>399.03449999999998</v>
      </c>
      <c r="R2441" s="249">
        <f t="shared" si="627"/>
        <v>408.49563524999996</v>
      </c>
      <c r="S2441" s="355">
        <v>0.1</v>
      </c>
      <c r="T2441" s="355"/>
      <c r="U2441" s="315">
        <f t="shared" si="616"/>
        <v>449.34519877499997</v>
      </c>
      <c r="V2441" s="315">
        <f t="shared" si="617"/>
        <v>450</v>
      </c>
      <c r="W2441" s="316">
        <f t="shared" si="618"/>
        <v>0</v>
      </c>
    </row>
    <row r="2442" spans="1:23" x14ac:dyDescent="0.25">
      <c r="A2442" s="204" t="s">
        <v>18112</v>
      </c>
      <c r="B2442" s="351" t="s">
        <v>22128</v>
      </c>
      <c r="C2442" s="352"/>
      <c r="D2442" s="353" t="s">
        <v>5</v>
      </c>
      <c r="E2442" s="249">
        <f t="shared" si="619"/>
        <v>0</v>
      </c>
      <c r="F2442" s="336">
        <v>0</v>
      </c>
      <c r="G2442" s="258">
        <f t="shared" si="620"/>
        <v>0</v>
      </c>
      <c r="H2442" s="249">
        <f t="shared" si="621"/>
        <v>6.37422084763129E-2</v>
      </c>
      <c r="I2442" s="336">
        <v>2.683978452990907E-2</v>
      </c>
      <c r="J2442" s="258">
        <f t="shared" si="622"/>
        <v>2.683978452990907E-2</v>
      </c>
      <c r="K2442" s="249">
        <f t="shared" si="623"/>
        <v>2.2011267787799196</v>
      </c>
      <c r="L2442" s="336">
        <v>0.92682336990911807</v>
      </c>
      <c r="M2442" s="258">
        <f t="shared" si="624"/>
        <v>0.92682336990911807</v>
      </c>
      <c r="N2442" s="251">
        <f t="shared" si="625"/>
        <v>0.10998655580226538</v>
      </c>
      <c r="O2442" s="336">
        <v>4.6311785071215646E-2</v>
      </c>
      <c r="P2442" s="258">
        <f t="shared" si="626"/>
        <v>4.6311785071215646E-2</v>
      </c>
      <c r="Q2442" s="354">
        <v>2.319968023255814</v>
      </c>
      <c r="R2442" s="249">
        <f t="shared" si="627"/>
        <v>2.3749150595930231</v>
      </c>
      <c r="S2442" s="355">
        <v>0.1</v>
      </c>
      <c r="T2442" s="355"/>
      <c r="U2442" s="315">
        <f t="shared" si="616"/>
        <v>2.6124065655523254</v>
      </c>
      <c r="V2442" s="315">
        <f t="shared" si="617"/>
        <v>3</v>
      </c>
      <c r="W2442" s="316">
        <f t="shared" si="618"/>
        <v>0</v>
      </c>
    </row>
    <row r="2443" spans="1:23" x14ac:dyDescent="0.25">
      <c r="A2443" s="204" t="s">
        <v>18113</v>
      </c>
      <c r="B2443" s="351" t="s">
        <v>22129</v>
      </c>
      <c r="C2443" s="352"/>
      <c r="D2443" s="353" t="s">
        <v>14859</v>
      </c>
      <c r="E2443" s="249">
        <f t="shared" si="619"/>
        <v>0</v>
      </c>
      <c r="F2443" s="336">
        <v>0</v>
      </c>
      <c r="G2443" s="258">
        <f t="shared" si="620"/>
        <v>0</v>
      </c>
      <c r="H2443" s="249">
        <f t="shared" si="621"/>
        <v>10.964558541971337</v>
      </c>
      <c r="I2443" s="336">
        <v>2.4861070488446917E-2</v>
      </c>
      <c r="J2443" s="258">
        <f t="shared" si="622"/>
        <v>2.4861070488446917E-2</v>
      </c>
      <c r="K2443" s="249">
        <f t="shared" si="623"/>
        <v>411.1494461895291</v>
      </c>
      <c r="L2443" s="336">
        <v>0.93224139611972312</v>
      </c>
      <c r="M2443" s="258">
        <f t="shared" si="624"/>
        <v>0.93224139611972312</v>
      </c>
      <c r="N2443" s="251">
        <f t="shared" si="625"/>
        <v>18.919238268499562</v>
      </c>
      <c r="O2443" s="336">
        <v>4.2897533391829973E-2</v>
      </c>
      <c r="P2443" s="258">
        <f t="shared" si="626"/>
        <v>4.2897533391829973E-2</v>
      </c>
      <c r="Q2443" s="354">
        <v>430.79399999999998</v>
      </c>
      <c r="R2443" s="249">
        <f t="shared" si="627"/>
        <v>441.03324299999997</v>
      </c>
      <c r="S2443" s="355">
        <v>0.1</v>
      </c>
      <c r="T2443" s="355"/>
      <c r="U2443" s="315">
        <f t="shared" si="616"/>
        <v>485.13656729999997</v>
      </c>
      <c r="V2443" s="315">
        <f t="shared" si="617"/>
        <v>490</v>
      </c>
      <c r="W2443" s="316">
        <f t="shared" si="618"/>
        <v>0</v>
      </c>
    </row>
    <row r="2444" spans="1:23" x14ac:dyDescent="0.25">
      <c r="A2444" s="204" t="s">
        <v>18114</v>
      </c>
      <c r="B2444" s="351" t="s">
        <v>22130</v>
      </c>
      <c r="C2444" s="352"/>
      <c r="D2444" s="353" t="s">
        <v>5</v>
      </c>
      <c r="E2444" s="249">
        <f t="shared" si="619"/>
        <v>0</v>
      </c>
      <c r="F2444" s="336">
        <v>0</v>
      </c>
      <c r="G2444" s="258">
        <f t="shared" si="620"/>
        <v>0</v>
      </c>
      <c r="H2444" s="249">
        <f t="shared" si="621"/>
        <v>6.3745952559908031E-2</v>
      </c>
      <c r="I2444" s="336">
        <v>2.4861070488446917E-2</v>
      </c>
      <c r="J2444" s="258">
        <f t="shared" si="622"/>
        <v>2.4861070488446917E-2</v>
      </c>
      <c r="K2444" s="249">
        <f t="shared" si="623"/>
        <v>2.3902887089023062</v>
      </c>
      <c r="L2444" s="336">
        <v>0.93221818316875338</v>
      </c>
      <c r="M2444" s="258">
        <f t="shared" si="624"/>
        <v>0.93221818316875338</v>
      </c>
      <c r="N2444" s="251">
        <f t="shared" si="625"/>
        <v>0.10999301618180209</v>
      </c>
      <c r="O2444" s="336">
        <v>4.2897533391829973E-2</v>
      </c>
      <c r="P2444" s="258">
        <f t="shared" si="626"/>
        <v>4.2897533391829973E-2</v>
      </c>
      <c r="Q2444" s="354">
        <v>2.5046162790697672</v>
      </c>
      <c r="R2444" s="249">
        <f t="shared" si="627"/>
        <v>2.564087197674418</v>
      </c>
      <c r="S2444" s="355">
        <v>0.1</v>
      </c>
      <c r="T2444" s="355"/>
      <c r="U2444" s="315">
        <f t="shared" si="616"/>
        <v>2.8204959174418596</v>
      </c>
      <c r="V2444" s="315">
        <f t="shared" si="617"/>
        <v>3</v>
      </c>
      <c r="W2444" s="316">
        <f t="shared" si="618"/>
        <v>0</v>
      </c>
    </row>
    <row r="2445" spans="1:23" x14ac:dyDescent="0.25">
      <c r="A2445" s="204" t="s">
        <v>18115</v>
      </c>
      <c r="B2445" s="351" t="s">
        <v>22131</v>
      </c>
      <c r="C2445" s="352"/>
      <c r="D2445" s="353" t="s">
        <v>14859</v>
      </c>
      <c r="E2445" s="249">
        <f t="shared" si="619"/>
        <v>0</v>
      </c>
      <c r="F2445" s="336">
        <v>0</v>
      </c>
      <c r="G2445" s="258">
        <f t="shared" si="620"/>
        <v>0</v>
      </c>
      <c r="H2445" s="249">
        <f t="shared" si="621"/>
        <v>10.964931290828051</v>
      </c>
      <c r="I2445" s="336">
        <v>2.367852914548367E-2</v>
      </c>
      <c r="J2445" s="258">
        <f t="shared" si="622"/>
        <v>2.367852914548367E-2</v>
      </c>
      <c r="K2445" s="249">
        <f t="shared" si="623"/>
        <v>433.19003551617448</v>
      </c>
      <c r="L2445" s="336">
        <v>0.93546440095642691</v>
      </c>
      <c r="M2445" s="258">
        <f t="shared" si="624"/>
        <v>0.93546440095642691</v>
      </c>
      <c r="N2445" s="251">
        <f t="shared" si="625"/>
        <v>18.919881442997422</v>
      </c>
      <c r="O2445" s="336">
        <v>4.0857069898089474E-2</v>
      </c>
      <c r="P2445" s="258">
        <f t="shared" si="626"/>
        <v>4.0857069898089474E-2</v>
      </c>
      <c r="Q2445" s="354">
        <v>452.30849999999998</v>
      </c>
      <c r="R2445" s="249">
        <f t="shared" si="627"/>
        <v>463.07484824999995</v>
      </c>
      <c r="S2445" s="355">
        <v>0.1</v>
      </c>
      <c r="T2445" s="355"/>
      <c r="U2445" s="315">
        <f t="shared" si="616"/>
        <v>509.38233307499996</v>
      </c>
      <c r="V2445" s="315">
        <f t="shared" si="617"/>
        <v>510</v>
      </c>
      <c r="W2445" s="316">
        <f t="shared" si="618"/>
        <v>0</v>
      </c>
    </row>
    <row r="2446" spans="1:23" x14ac:dyDescent="0.25">
      <c r="A2446" s="204" t="s">
        <v>18116</v>
      </c>
      <c r="B2446" s="351" t="s">
        <v>22132</v>
      </c>
      <c r="C2446" s="352"/>
      <c r="D2446" s="353" t="s">
        <v>5</v>
      </c>
      <c r="E2446" s="249">
        <f t="shared" si="619"/>
        <v>0</v>
      </c>
      <c r="F2446" s="336">
        <v>0</v>
      </c>
      <c r="G2446" s="258">
        <f t="shared" si="620"/>
        <v>0</v>
      </c>
      <c r="H2446" s="249">
        <f t="shared" si="621"/>
        <v>6.3748190141261374E-2</v>
      </c>
      <c r="I2446" s="336">
        <v>2.367852914548367E-2</v>
      </c>
      <c r="J2446" s="258">
        <f t="shared" si="622"/>
        <v>2.367852914548367E-2</v>
      </c>
      <c r="K2446" s="249">
        <f t="shared" si="623"/>
        <v>2.5184314760395785</v>
      </c>
      <c r="L2446" s="336">
        <v>0.9354422921523694</v>
      </c>
      <c r="M2446" s="258">
        <f t="shared" si="624"/>
        <v>0.9354422921523694</v>
      </c>
      <c r="N2446" s="251">
        <f t="shared" si="625"/>
        <v>0.10999687710649021</v>
      </c>
      <c r="O2446" s="336">
        <v>4.0857069898089467E-2</v>
      </c>
      <c r="P2446" s="258">
        <f t="shared" si="626"/>
        <v>4.0857069898089467E-2</v>
      </c>
      <c r="Q2446" s="354">
        <v>2.6297005813953489</v>
      </c>
      <c r="R2446" s="249">
        <f t="shared" si="627"/>
        <v>2.6922360654069766</v>
      </c>
      <c r="S2446" s="355">
        <v>0.1</v>
      </c>
      <c r="T2446" s="355"/>
      <c r="U2446" s="315">
        <f t="shared" si="616"/>
        <v>2.961459671947674</v>
      </c>
      <c r="V2446" s="315">
        <f t="shared" si="617"/>
        <v>3</v>
      </c>
      <c r="W2446" s="316">
        <f t="shared" si="618"/>
        <v>0</v>
      </c>
    </row>
    <row r="2447" spans="1:23" x14ac:dyDescent="0.25">
      <c r="A2447" s="204" t="s">
        <v>18117</v>
      </c>
      <c r="B2447" s="351" t="s">
        <v>22133</v>
      </c>
      <c r="C2447" s="352"/>
      <c r="D2447" s="353" t="s">
        <v>14859</v>
      </c>
      <c r="E2447" s="249">
        <f t="shared" si="619"/>
        <v>0</v>
      </c>
      <c r="F2447" s="336">
        <v>0</v>
      </c>
      <c r="G2447" s="258">
        <f t="shared" si="620"/>
        <v>0</v>
      </c>
      <c r="H2447" s="249">
        <f t="shared" si="621"/>
        <v>10.965128790498332</v>
      </c>
      <c r="I2447" s="336">
        <v>2.30519637754855E-2</v>
      </c>
      <c r="J2447" s="258">
        <f t="shared" si="622"/>
        <v>2.30519637754855E-2</v>
      </c>
      <c r="K2447" s="249">
        <f t="shared" si="623"/>
        <v>445.78470023275941</v>
      </c>
      <c r="L2447" s="336">
        <v>0.93717209872955909</v>
      </c>
      <c r="M2447" s="258">
        <f t="shared" si="624"/>
        <v>0.93717209872955909</v>
      </c>
      <c r="N2447" s="251">
        <f t="shared" si="625"/>
        <v>18.920222226742215</v>
      </c>
      <c r="O2447" s="336">
        <v>3.9775937494955366E-2</v>
      </c>
      <c r="P2447" s="258">
        <f t="shared" si="626"/>
        <v>3.9775937494955366E-2</v>
      </c>
      <c r="Q2447" s="354">
        <v>464.60249999999996</v>
      </c>
      <c r="R2447" s="249">
        <f t="shared" si="627"/>
        <v>475.67005124999997</v>
      </c>
      <c r="S2447" s="355">
        <v>0.1</v>
      </c>
      <c r="T2447" s="355"/>
      <c r="U2447" s="315">
        <f t="shared" si="616"/>
        <v>523.23705637499995</v>
      </c>
      <c r="V2447" s="315">
        <f t="shared" si="617"/>
        <v>525</v>
      </c>
      <c r="W2447" s="316">
        <f t="shared" si="618"/>
        <v>0</v>
      </c>
    </row>
    <row r="2448" spans="1:23" x14ac:dyDescent="0.25">
      <c r="A2448" s="204" t="s">
        <v>18118</v>
      </c>
      <c r="B2448" s="351" t="s">
        <v>22134</v>
      </c>
      <c r="C2448" s="352"/>
      <c r="D2448" s="353" t="s">
        <v>5</v>
      </c>
      <c r="E2448" s="249">
        <f t="shared" si="619"/>
        <v>0</v>
      </c>
      <c r="F2448" s="336">
        <v>0</v>
      </c>
      <c r="G2448" s="258">
        <f t="shared" si="620"/>
        <v>0</v>
      </c>
      <c r="H2448" s="249">
        <f t="shared" si="621"/>
        <v>6.3749375715868903E-2</v>
      </c>
      <c r="I2448" s="336">
        <v>2.30519637754855E-2</v>
      </c>
      <c r="J2448" s="258">
        <f t="shared" si="622"/>
        <v>2.30519637754855E-2</v>
      </c>
      <c r="K2448" s="249">
        <f t="shared" si="623"/>
        <v>2.5916561680792345</v>
      </c>
      <c r="L2448" s="336">
        <v>0.93715057495385834</v>
      </c>
      <c r="M2448" s="258">
        <f t="shared" si="624"/>
        <v>0.93715057495385834</v>
      </c>
      <c r="N2448" s="251">
        <f t="shared" si="625"/>
        <v>0.10999892280385219</v>
      </c>
      <c r="O2448" s="336">
        <v>3.9775937494955366E-2</v>
      </c>
      <c r="P2448" s="258">
        <f t="shared" si="626"/>
        <v>3.9775937494955366E-2</v>
      </c>
      <c r="Q2448" s="354">
        <v>2.7011773255813951</v>
      </c>
      <c r="R2448" s="249">
        <f t="shared" si="627"/>
        <v>2.7654639898255811</v>
      </c>
      <c r="S2448" s="355">
        <v>0.1</v>
      </c>
      <c r="T2448" s="355"/>
      <c r="U2448" s="315">
        <f t="shared" si="616"/>
        <v>3.0420103888081393</v>
      </c>
      <c r="V2448" s="315">
        <f t="shared" si="617"/>
        <v>4</v>
      </c>
      <c r="W2448" s="316">
        <f t="shared" si="618"/>
        <v>0</v>
      </c>
    </row>
    <row r="2449" spans="1:23" x14ac:dyDescent="0.25">
      <c r="A2449" s="204" t="s">
        <v>18119</v>
      </c>
      <c r="B2449" s="351" t="s">
        <v>22135</v>
      </c>
      <c r="C2449" s="352"/>
      <c r="D2449" s="353" t="s">
        <v>14859</v>
      </c>
      <c r="E2449" s="249">
        <f t="shared" si="619"/>
        <v>0</v>
      </c>
      <c r="F2449" s="336">
        <v>0</v>
      </c>
      <c r="G2449" s="258">
        <f t="shared" si="620"/>
        <v>0</v>
      </c>
      <c r="H2449" s="249">
        <f t="shared" si="621"/>
        <v>10.965176542991303</v>
      </c>
      <c r="I2449" s="336">
        <v>2.2900469555846358E-2</v>
      </c>
      <c r="J2449" s="258">
        <f t="shared" si="622"/>
        <v>2.2900469555846358E-2</v>
      </c>
      <c r="K2449" s="249">
        <f t="shared" si="623"/>
        <v>448.933370833808</v>
      </c>
      <c r="L2449" s="336">
        <v>0.93758499473994816</v>
      </c>
      <c r="M2449" s="258">
        <f t="shared" si="624"/>
        <v>0.93758499473994816</v>
      </c>
      <c r="N2449" s="251">
        <f t="shared" si="625"/>
        <v>18.920304623200678</v>
      </c>
      <c r="O2449" s="336">
        <v>3.9514535704205475E-2</v>
      </c>
      <c r="P2449" s="258">
        <f t="shared" si="626"/>
        <v>3.9514535704205475E-2</v>
      </c>
      <c r="Q2449" s="354">
        <v>467.67599999999999</v>
      </c>
      <c r="R2449" s="249">
        <f t="shared" si="627"/>
        <v>478.81885199999999</v>
      </c>
      <c r="S2449" s="355">
        <v>0.1</v>
      </c>
      <c r="T2449" s="355"/>
      <c r="U2449" s="315">
        <f t="shared" si="616"/>
        <v>526.70073720000005</v>
      </c>
      <c r="V2449" s="315">
        <f t="shared" si="617"/>
        <v>530</v>
      </c>
      <c r="W2449" s="316">
        <f t="shared" si="618"/>
        <v>0</v>
      </c>
    </row>
    <row r="2450" spans="1:23" x14ac:dyDescent="0.25">
      <c r="A2450" s="204" t="s">
        <v>18120</v>
      </c>
      <c r="B2450" s="351" t="s">
        <v>22136</v>
      </c>
      <c r="C2450" s="352"/>
      <c r="D2450" s="353" t="s">
        <v>5</v>
      </c>
      <c r="E2450" s="249">
        <f t="shared" si="619"/>
        <v>0</v>
      </c>
      <c r="F2450" s="336">
        <v>0</v>
      </c>
      <c r="G2450" s="258">
        <f t="shared" si="620"/>
        <v>0</v>
      </c>
      <c r="H2450" s="249">
        <f t="shared" si="621"/>
        <v>6.3749662370236632E-2</v>
      </c>
      <c r="I2450" s="336">
        <v>2.2900469555846358E-2</v>
      </c>
      <c r="J2450" s="258">
        <f t="shared" si="622"/>
        <v>2.2900469555846358E-2</v>
      </c>
      <c r="K2450" s="249">
        <f t="shared" si="623"/>
        <v>2.6099623676425652</v>
      </c>
      <c r="L2450" s="336">
        <v>0.93756361241543285</v>
      </c>
      <c r="M2450" s="258">
        <f t="shared" si="624"/>
        <v>0.93756361241543285</v>
      </c>
      <c r="N2450" s="251">
        <f t="shared" si="625"/>
        <v>0.10999941742315339</v>
      </c>
      <c r="O2450" s="336">
        <v>3.9514535704205475E-2</v>
      </c>
      <c r="P2450" s="258">
        <f t="shared" si="626"/>
        <v>3.9514535704205475E-2</v>
      </c>
      <c r="Q2450" s="354">
        <v>2.7190465116279068</v>
      </c>
      <c r="R2450" s="249">
        <f t="shared" si="627"/>
        <v>2.7837709709302318</v>
      </c>
      <c r="S2450" s="355">
        <v>0.1</v>
      </c>
      <c r="T2450" s="355"/>
      <c r="U2450" s="315">
        <f t="shared" si="616"/>
        <v>3.0621480680232551</v>
      </c>
      <c r="V2450" s="315">
        <f t="shared" si="617"/>
        <v>4</v>
      </c>
      <c r="W2450" s="316">
        <f t="shared" si="618"/>
        <v>0</v>
      </c>
    </row>
    <row r="2451" spans="1:23" x14ac:dyDescent="0.25">
      <c r="A2451" s="204" t="s">
        <v>18121</v>
      </c>
      <c r="B2451" s="351" t="s">
        <v>22137</v>
      </c>
      <c r="C2451" s="352"/>
      <c r="D2451" s="353" t="s">
        <v>14859</v>
      </c>
      <c r="E2451" s="249">
        <f t="shared" si="619"/>
        <v>0</v>
      </c>
      <c r="F2451" s="336">
        <v>0</v>
      </c>
      <c r="G2451" s="258">
        <f t="shared" si="620"/>
        <v>0</v>
      </c>
      <c r="H2451" s="249">
        <f t="shared" si="621"/>
        <v>10.965316107410098</v>
      </c>
      <c r="I2451" s="336">
        <v>2.2457703086518774E-2</v>
      </c>
      <c r="J2451" s="258">
        <f t="shared" si="622"/>
        <v>2.2457703086518774E-2</v>
      </c>
      <c r="K2451" s="249">
        <f t="shared" si="623"/>
        <v>458.37939270235285</v>
      </c>
      <c r="L2451" s="336">
        <v>0.93879175041125273</v>
      </c>
      <c r="M2451" s="258">
        <f t="shared" si="624"/>
        <v>0.93879175041125273</v>
      </c>
      <c r="N2451" s="251">
        <f t="shared" si="625"/>
        <v>18.920545440237031</v>
      </c>
      <c r="O2451" s="336">
        <v>3.8750546502228471E-2</v>
      </c>
      <c r="P2451" s="258">
        <f t="shared" si="626"/>
        <v>3.8750546502228471E-2</v>
      </c>
      <c r="Q2451" s="354">
        <v>476.8965</v>
      </c>
      <c r="R2451" s="249">
        <f t="shared" si="627"/>
        <v>488.26525425</v>
      </c>
      <c r="S2451" s="355">
        <v>0.1</v>
      </c>
      <c r="T2451" s="355"/>
      <c r="U2451" s="315">
        <f t="shared" si="616"/>
        <v>537.091779675</v>
      </c>
      <c r="V2451" s="315">
        <f t="shared" si="617"/>
        <v>540</v>
      </c>
      <c r="W2451" s="316">
        <f t="shared" si="618"/>
        <v>0</v>
      </c>
    </row>
    <row r="2452" spans="1:23" x14ac:dyDescent="0.25">
      <c r="A2452" s="204" t="s">
        <v>18122</v>
      </c>
      <c r="B2452" s="351" t="s">
        <v>22138</v>
      </c>
      <c r="C2452" s="352"/>
      <c r="D2452" s="353" t="s">
        <v>5</v>
      </c>
      <c r="E2452" s="249">
        <f t="shared" si="619"/>
        <v>0</v>
      </c>
      <c r="F2452" s="336">
        <v>0</v>
      </c>
      <c r="G2452" s="258">
        <f t="shared" si="620"/>
        <v>0</v>
      </c>
      <c r="H2452" s="249">
        <f t="shared" si="621"/>
        <v>6.3750500164197546E-2</v>
      </c>
      <c r="I2452" s="336">
        <v>2.2457703086518777E-2</v>
      </c>
      <c r="J2452" s="258">
        <f t="shared" si="622"/>
        <v>2.2457703086518777E-2</v>
      </c>
      <c r="K2452" s="249">
        <f t="shared" si="623"/>
        <v>2.664881026775038</v>
      </c>
      <c r="L2452" s="336">
        <v>0.93877078150080773</v>
      </c>
      <c r="M2452" s="258">
        <f t="shared" si="624"/>
        <v>0.93877078150080773</v>
      </c>
      <c r="N2452" s="251">
        <f t="shared" si="625"/>
        <v>0.11000086302841927</v>
      </c>
      <c r="O2452" s="336">
        <v>3.8750546502228471E-2</v>
      </c>
      <c r="P2452" s="258">
        <f t="shared" si="626"/>
        <v>3.8750546502228471E-2</v>
      </c>
      <c r="Q2452" s="354">
        <v>2.7726540697674418</v>
      </c>
      <c r="R2452" s="249">
        <f t="shared" si="627"/>
        <v>2.8386919142441855</v>
      </c>
      <c r="S2452" s="355">
        <v>0.1</v>
      </c>
      <c r="T2452" s="355"/>
      <c r="U2452" s="315">
        <f t="shared" si="616"/>
        <v>3.1225611056686042</v>
      </c>
      <c r="V2452" s="315">
        <f t="shared" si="617"/>
        <v>4</v>
      </c>
      <c r="W2452" s="316">
        <f t="shared" si="618"/>
        <v>0</v>
      </c>
    </row>
    <row r="2453" spans="1:23" x14ac:dyDescent="0.25">
      <c r="A2453" s="204" t="s">
        <v>18123</v>
      </c>
      <c r="B2453" s="351" t="s">
        <v>22139</v>
      </c>
      <c r="C2453" s="352"/>
      <c r="D2453" s="353" t="s">
        <v>14859</v>
      </c>
      <c r="E2453" s="249">
        <f t="shared" si="619"/>
        <v>0</v>
      </c>
      <c r="F2453" s="336">
        <v>0</v>
      </c>
      <c r="G2453" s="258">
        <f t="shared" si="620"/>
        <v>0</v>
      </c>
      <c r="H2453" s="249">
        <f t="shared" si="621"/>
        <v>10.965406190296527</v>
      </c>
      <c r="I2453" s="336">
        <v>2.2171916193883163E-2</v>
      </c>
      <c r="J2453" s="258">
        <f t="shared" si="622"/>
        <v>2.2171916193883163E-2</v>
      </c>
      <c r="K2453" s="249">
        <f t="shared" si="623"/>
        <v>464.67674868232905</v>
      </c>
      <c r="L2453" s="336">
        <v>0.93957065978529886</v>
      </c>
      <c r="M2453" s="258">
        <f t="shared" si="624"/>
        <v>0.93957065978529886</v>
      </c>
      <c r="N2453" s="251">
        <f t="shared" si="625"/>
        <v>18.920700877374401</v>
      </c>
      <c r="O2453" s="336">
        <v>3.8257424020818005E-2</v>
      </c>
      <c r="P2453" s="258">
        <f t="shared" si="626"/>
        <v>3.8257424020818005E-2</v>
      </c>
      <c r="Q2453" s="354">
        <v>483.04349999999999</v>
      </c>
      <c r="R2453" s="249">
        <f t="shared" si="627"/>
        <v>494.56285574999998</v>
      </c>
      <c r="S2453" s="355">
        <v>0.1</v>
      </c>
      <c r="T2453" s="355"/>
      <c r="U2453" s="315">
        <f t="shared" si="616"/>
        <v>544.01914132499996</v>
      </c>
      <c r="V2453" s="315">
        <f t="shared" si="617"/>
        <v>545</v>
      </c>
      <c r="W2453" s="316">
        <f t="shared" si="618"/>
        <v>0</v>
      </c>
    </row>
    <row r="2454" spans="1:23" x14ac:dyDescent="0.25">
      <c r="A2454" s="204" t="s">
        <v>18124</v>
      </c>
      <c r="B2454" s="351" t="s">
        <v>22140</v>
      </c>
      <c r="C2454" s="352"/>
      <c r="D2454" s="353" t="s">
        <v>5</v>
      </c>
      <c r="E2454" s="249">
        <f t="shared" si="619"/>
        <v>0</v>
      </c>
      <c r="F2454" s="336">
        <v>0</v>
      </c>
      <c r="G2454" s="258">
        <f t="shared" si="620"/>
        <v>0</v>
      </c>
      <c r="H2454" s="249">
        <f t="shared" si="621"/>
        <v>6.3751040924506508E-2</v>
      </c>
      <c r="I2454" s="336">
        <v>2.2171916193883163E-2</v>
      </c>
      <c r="J2454" s="258">
        <f t="shared" si="622"/>
        <v>2.2171916193883163E-2</v>
      </c>
      <c r="K2454" s="249">
        <f t="shared" si="623"/>
        <v>2.7014935146425083</v>
      </c>
      <c r="L2454" s="336">
        <v>0.93954995771602345</v>
      </c>
      <c r="M2454" s="258">
        <f t="shared" si="624"/>
        <v>0.93954995771602345</v>
      </c>
      <c r="N2454" s="251">
        <f t="shared" si="625"/>
        <v>0.11000179610503082</v>
      </c>
      <c r="O2454" s="336">
        <v>3.8257424020817998E-2</v>
      </c>
      <c r="P2454" s="258">
        <f t="shared" si="626"/>
        <v>3.8257424020817998E-2</v>
      </c>
      <c r="Q2454" s="354">
        <v>2.8083924418604651</v>
      </c>
      <c r="R2454" s="249">
        <f t="shared" si="627"/>
        <v>2.875305876453488</v>
      </c>
      <c r="S2454" s="355">
        <v>0.1</v>
      </c>
      <c r="T2454" s="355"/>
      <c r="U2454" s="315">
        <f t="shared" si="616"/>
        <v>3.1628364640988367</v>
      </c>
      <c r="V2454" s="315">
        <f t="shared" si="617"/>
        <v>4</v>
      </c>
      <c r="W2454" s="316">
        <f t="shared" si="618"/>
        <v>0</v>
      </c>
    </row>
    <row r="2455" spans="1:23" x14ac:dyDescent="0.25">
      <c r="A2455" s="204" t="s">
        <v>18125</v>
      </c>
      <c r="B2455" s="351" t="s">
        <v>22141</v>
      </c>
      <c r="C2455" s="352"/>
      <c r="D2455" s="353" t="s">
        <v>14859</v>
      </c>
      <c r="E2455" s="249">
        <f t="shared" si="619"/>
        <v>0</v>
      </c>
      <c r="F2455" s="336">
        <v>0</v>
      </c>
      <c r="G2455" s="258">
        <f t="shared" si="620"/>
        <v>0</v>
      </c>
      <c r="H2455" s="249">
        <f t="shared" si="621"/>
        <v>10.965621676176891</v>
      </c>
      <c r="I2455" s="336">
        <v>2.148828978493653E-2</v>
      </c>
      <c r="J2455" s="258">
        <f t="shared" si="622"/>
        <v>2.148828978493653E-2</v>
      </c>
      <c r="K2455" s="249">
        <f t="shared" si="623"/>
        <v>480.42016512767469</v>
      </c>
      <c r="L2455" s="336">
        <v>0.94143387686066315</v>
      </c>
      <c r="M2455" s="258">
        <f t="shared" si="624"/>
        <v>0.94143387686066315</v>
      </c>
      <c r="N2455" s="251">
        <f t="shared" si="625"/>
        <v>18.921072696148357</v>
      </c>
      <c r="O2455" s="336">
        <v>3.7077833354400284E-2</v>
      </c>
      <c r="P2455" s="258">
        <f t="shared" si="626"/>
        <v>3.7077833354400284E-2</v>
      </c>
      <c r="Q2455" s="354">
        <v>498.411</v>
      </c>
      <c r="R2455" s="249">
        <f t="shared" si="627"/>
        <v>510.30685949999997</v>
      </c>
      <c r="S2455" s="355">
        <v>0.1</v>
      </c>
      <c r="T2455" s="355"/>
      <c r="U2455" s="315">
        <f t="shared" si="616"/>
        <v>561.33754544999999</v>
      </c>
      <c r="V2455" s="315">
        <f t="shared" si="617"/>
        <v>565</v>
      </c>
      <c r="W2455" s="316">
        <f t="shared" si="618"/>
        <v>0</v>
      </c>
    </row>
    <row r="2456" spans="1:23" x14ac:dyDescent="0.25">
      <c r="A2456" s="204" t="s">
        <v>18126</v>
      </c>
      <c r="B2456" s="351" t="s">
        <v>22142</v>
      </c>
      <c r="C2456" s="352"/>
      <c r="D2456" s="353" t="s">
        <v>5</v>
      </c>
      <c r="E2456" s="249">
        <f t="shared" si="619"/>
        <v>0</v>
      </c>
      <c r="F2456" s="336">
        <v>0</v>
      </c>
      <c r="G2456" s="258">
        <f t="shared" si="620"/>
        <v>0</v>
      </c>
      <c r="H2456" s="249">
        <f t="shared" si="621"/>
        <v>6.3752334468883981E-2</v>
      </c>
      <c r="I2456" s="336">
        <v>2.148828978493653E-2</v>
      </c>
      <c r="J2456" s="258">
        <f t="shared" si="622"/>
        <v>2.148828978493653E-2</v>
      </c>
      <c r="K2456" s="249">
        <f t="shared" si="623"/>
        <v>2.793024893415454</v>
      </c>
      <c r="L2456" s="336">
        <v>0.94141381309802541</v>
      </c>
      <c r="M2456" s="258">
        <f t="shared" si="624"/>
        <v>0.94141381309802541</v>
      </c>
      <c r="N2456" s="251">
        <f t="shared" si="625"/>
        <v>0.11000402810317235</v>
      </c>
      <c r="O2456" s="336">
        <v>3.7077833354400284E-2</v>
      </c>
      <c r="P2456" s="258">
        <f t="shared" si="626"/>
        <v>3.7077833354400284E-2</v>
      </c>
      <c r="Q2456" s="354">
        <v>2.8977383720930234</v>
      </c>
      <c r="R2456" s="249">
        <f t="shared" si="627"/>
        <v>2.9668407819767442</v>
      </c>
      <c r="S2456" s="355">
        <v>0.1</v>
      </c>
      <c r="T2456" s="355"/>
      <c r="U2456" s="315">
        <f t="shared" si="616"/>
        <v>3.2635248601744187</v>
      </c>
      <c r="V2456" s="315">
        <f t="shared" si="617"/>
        <v>4</v>
      </c>
      <c r="W2456" s="316">
        <f t="shared" si="618"/>
        <v>0</v>
      </c>
    </row>
    <row r="2457" spans="1:23" x14ac:dyDescent="0.25">
      <c r="A2457" s="204" t="s">
        <v>18127</v>
      </c>
      <c r="B2457" s="351" t="s">
        <v>22143</v>
      </c>
      <c r="C2457" s="352"/>
      <c r="D2457" s="353" t="s">
        <v>14859</v>
      </c>
      <c r="E2457" s="249">
        <f t="shared" si="619"/>
        <v>0</v>
      </c>
      <c r="F2457" s="336">
        <v>0</v>
      </c>
      <c r="G2457" s="258">
        <f t="shared" si="620"/>
        <v>0</v>
      </c>
      <c r="H2457" s="249">
        <f t="shared" si="621"/>
        <v>10.966015098989692</v>
      </c>
      <c r="I2457" s="336">
        <v>2.0240160560601426E-2</v>
      </c>
      <c r="J2457" s="258">
        <f t="shared" si="622"/>
        <v>2.0240160560601426E-2</v>
      </c>
      <c r="K2457" s="249">
        <f t="shared" si="623"/>
        <v>511.90710035765534</v>
      </c>
      <c r="L2457" s="336">
        <v>0.94483564082502736</v>
      </c>
      <c r="M2457" s="258">
        <f t="shared" si="624"/>
        <v>0.94483564082502736</v>
      </c>
      <c r="N2457" s="251">
        <f t="shared" si="625"/>
        <v>18.921751543354763</v>
      </c>
      <c r="O2457" s="336">
        <v>3.4924198614371085E-2</v>
      </c>
      <c r="P2457" s="258">
        <f t="shared" si="626"/>
        <v>3.4924198614371085E-2</v>
      </c>
      <c r="Q2457" s="354">
        <v>529.14599999999996</v>
      </c>
      <c r="R2457" s="249">
        <f t="shared" si="627"/>
        <v>541.79486699999984</v>
      </c>
      <c r="S2457" s="355">
        <v>0.1</v>
      </c>
      <c r="T2457" s="355"/>
      <c r="U2457" s="315">
        <f t="shared" si="616"/>
        <v>595.97435369999982</v>
      </c>
      <c r="V2457" s="315">
        <f t="shared" si="617"/>
        <v>600</v>
      </c>
      <c r="W2457" s="316">
        <f t="shared" si="618"/>
        <v>0</v>
      </c>
    </row>
    <row r="2458" spans="1:23" x14ac:dyDescent="0.25">
      <c r="A2458" s="204" t="s">
        <v>18128</v>
      </c>
      <c r="B2458" s="351" t="s">
        <v>22144</v>
      </c>
      <c r="C2458" s="352"/>
      <c r="D2458" s="353" t="s">
        <v>5</v>
      </c>
      <c r="E2458" s="249">
        <f t="shared" si="619"/>
        <v>0</v>
      </c>
      <c r="F2458" s="336">
        <v>0</v>
      </c>
      <c r="G2458" s="258">
        <f t="shared" si="620"/>
        <v>0</v>
      </c>
      <c r="H2458" s="249">
        <f t="shared" si="621"/>
        <v>6.3754696154329937E-2</v>
      </c>
      <c r="I2458" s="336">
        <v>2.0240160560601426E-2</v>
      </c>
      <c r="J2458" s="258">
        <f t="shared" si="622"/>
        <v>2.0240160560601426E-2</v>
      </c>
      <c r="K2458" s="249">
        <f t="shared" si="623"/>
        <v>2.9760882655063141</v>
      </c>
      <c r="L2458" s="336">
        <v>0.94481674244915381</v>
      </c>
      <c r="M2458" s="258">
        <f t="shared" si="624"/>
        <v>0.94481674244915381</v>
      </c>
      <c r="N2458" s="251">
        <f t="shared" si="625"/>
        <v>0.11000810316825557</v>
      </c>
      <c r="O2458" s="336">
        <v>3.4924198614371085E-2</v>
      </c>
      <c r="P2458" s="258">
        <f t="shared" si="626"/>
        <v>3.4924198614371085E-2</v>
      </c>
      <c r="Q2458" s="354">
        <v>3.0764302325581392</v>
      </c>
      <c r="R2458" s="249">
        <f t="shared" si="627"/>
        <v>3.1499105930232552</v>
      </c>
      <c r="S2458" s="355">
        <v>0.1</v>
      </c>
      <c r="T2458" s="355"/>
      <c r="U2458" s="315">
        <f t="shared" si="616"/>
        <v>3.4649016523255805</v>
      </c>
      <c r="V2458" s="315">
        <f t="shared" si="617"/>
        <v>4</v>
      </c>
      <c r="W2458" s="316">
        <f t="shared" si="618"/>
        <v>0</v>
      </c>
    </row>
    <row r="2459" spans="1:23" x14ac:dyDescent="0.25">
      <c r="A2459" s="204" t="s">
        <v>18129</v>
      </c>
      <c r="B2459" s="351" t="s">
        <v>22145</v>
      </c>
      <c r="C2459" s="352"/>
      <c r="D2459" s="353" t="s">
        <v>14859</v>
      </c>
      <c r="E2459" s="249">
        <f t="shared" si="619"/>
        <v>0</v>
      </c>
      <c r="F2459" s="336">
        <v>0</v>
      </c>
      <c r="G2459" s="258">
        <f t="shared" si="620"/>
        <v>0</v>
      </c>
      <c r="H2459" s="249">
        <f t="shared" si="621"/>
        <v>10.966737981887281</v>
      </c>
      <c r="I2459" s="336">
        <v>1.7946823110682131E-2</v>
      </c>
      <c r="J2459" s="258">
        <f t="shared" si="622"/>
        <v>1.7946823110682131E-2</v>
      </c>
      <c r="K2459" s="249">
        <f t="shared" si="623"/>
        <v>581.17874664740521</v>
      </c>
      <c r="L2459" s="336">
        <v>0.95108610956108197</v>
      </c>
      <c r="M2459" s="258">
        <f t="shared" si="624"/>
        <v>0.95108610956108197</v>
      </c>
      <c r="N2459" s="251">
        <f t="shared" si="625"/>
        <v>18.922998870707467</v>
      </c>
      <c r="O2459" s="336">
        <v>3.0967067328235832E-2</v>
      </c>
      <c r="P2459" s="258">
        <f t="shared" si="626"/>
        <v>3.0967067328235832E-2</v>
      </c>
      <c r="Q2459" s="354">
        <v>596.76300000000003</v>
      </c>
      <c r="R2459" s="249">
        <f t="shared" si="627"/>
        <v>611.06848349999996</v>
      </c>
      <c r="S2459" s="355">
        <v>0.1</v>
      </c>
      <c r="T2459" s="355"/>
      <c r="U2459" s="315">
        <f t="shared" si="616"/>
        <v>672.17533184999991</v>
      </c>
      <c r="V2459" s="315">
        <f t="shared" si="617"/>
        <v>675</v>
      </c>
      <c r="W2459" s="316">
        <f t="shared" si="618"/>
        <v>0</v>
      </c>
    </row>
    <row r="2460" spans="1:23" x14ac:dyDescent="0.25">
      <c r="A2460" s="204" t="s">
        <v>18130</v>
      </c>
      <c r="B2460" s="351" t="s">
        <v>22146</v>
      </c>
      <c r="C2460" s="352"/>
      <c r="D2460" s="353" t="s">
        <v>5</v>
      </c>
      <c r="E2460" s="249">
        <f t="shared" si="619"/>
        <v>0</v>
      </c>
      <c r="F2460" s="336">
        <v>0</v>
      </c>
      <c r="G2460" s="258">
        <f t="shared" si="620"/>
        <v>0</v>
      </c>
      <c r="H2460" s="249">
        <f t="shared" si="621"/>
        <v>6.3759035562119259E-2</v>
      </c>
      <c r="I2460" s="336">
        <v>1.7946823110682131E-2</v>
      </c>
      <c r="J2460" s="258">
        <f t="shared" si="622"/>
        <v>1.7946823110682131E-2</v>
      </c>
      <c r="K2460" s="249">
        <f t="shared" si="623"/>
        <v>3.378830018743519</v>
      </c>
      <c r="L2460" s="336">
        <v>0.95106935249001689</v>
      </c>
      <c r="M2460" s="258">
        <f t="shared" si="624"/>
        <v>0.95106935249001689</v>
      </c>
      <c r="N2460" s="251">
        <f t="shared" si="625"/>
        <v>0.11001559077385283</v>
      </c>
      <c r="O2460" s="336">
        <v>3.0967067328235832E-2</v>
      </c>
      <c r="P2460" s="258">
        <f t="shared" si="626"/>
        <v>3.0967067328235832E-2</v>
      </c>
      <c r="Q2460" s="354">
        <v>3.4695523255813954</v>
      </c>
      <c r="R2460" s="249">
        <f t="shared" si="627"/>
        <v>3.5526641773255809</v>
      </c>
      <c r="S2460" s="355">
        <v>0.1</v>
      </c>
      <c r="T2460" s="355"/>
      <c r="U2460" s="315">
        <f t="shared" si="616"/>
        <v>3.9079305950581391</v>
      </c>
      <c r="V2460" s="315">
        <f t="shared" si="617"/>
        <v>4</v>
      </c>
      <c r="W2460" s="316">
        <f t="shared" si="618"/>
        <v>0</v>
      </c>
    </row>
    <row r="2461" spans="1:23" x14ac:dyDescent="0.25">
      <c r="A2461" s="204" t="s">
        <v>18131</v>
      </c>
      <c r="B2461" s="351" t="s">
        <v>22147</v>
      </c>
      <c r="C2461" s="352"/>
      <c r="D2461" s="353" t="s">
        <v>14859</v>
      </c>
      <c r="E2461" s="249">
        <f t="shared" si="619"/>
        <v>0</v>
      </c>
      <c r="F2461" s="336">
        <v>0</v>
      </c>
      <c r="G2461" s="258">
        <f t="shared" si="620"/>
        <v>0</v>
      </c>
      <c r="H2461" s="249">
        <f t="shared" si="621"/>
        <v>10.966961840481465</v>
      </c>
      <c r="I2461" s="336">
        <v>1.7236634366082939E-2</v>
      </c>
      <c r="J2461" s="258">
        <f t="shared" si="622"/>
        <v>1.7236634366082939E-2</v>
      </c>
      <c r="K2461" s="249">
        <f t="shared" si="623"/>
        <v>606.36854252300134</v>
      </c>
      <c r="L2461" s="336">
        <v>0.95302172202185231</v>
      </c>
      <c r="M2461" s="258">
        <f t="shared" si="624"/>
        <v>0.95302172202185231</v>
      </c>
      <c r="N2461" s="251">
        <f t="shared" si="625"/>
        <v>18.923385136517037</v>
      </c>
      <c r="O2461" s="336">
        <v>2.9741643612064678E-2</v>
      </c>
      <c r="P2461" s="258">
        <f t="shared" si="626"/>
        <v>2.9741643612064678E-2</v>
      </c>
      <c r="Q2461" s="354">
        <v>621.351</v>
      </c>
      <c r="R2461" s="249">
        <f t="shared" si="627"/>
        <v>636.2588894999999</v>
      </c>
      <c r="S2461" s="355">
        <v>0.1</v>
      </c>
      <c r="T2461" s="355"/>
      <c r="U2461" s="315">
        <f t="shared" si="616"/>
        <v>699.88477844999989</v>
      </c>
      <c r="V2461" s="315">
        <f t="shared" si="617"/>
        <v>700</v>
      </c>
      <c r="W2461" s="316">
        <f t="shared" si="618"/>
        <v>0</v>
      </c>
    </row>
    <row r="2462" spans="1:23" x14ac:dyDescent="0.25">
      <c r="A2462" s="204" t="s">
        <v>18132</v>
      </c>
      <c r="B2462" s="351" t="s">
        <v>22148</v>
      </c>
      <c r="C2462" s="352"/>
      <c r="D2462" s="353" t="s">
        <v>5</v>
      </c>
      <c r="E2462" s="249">
        <f t="shared" si="619"/>
        <v>0</v>
      </c>
      <c r="F2462" s="336">
        <v>0</v>
      </c>
      <c r="G2462" s="258">
        <f t="shared" si="620"/>
        <v>0</v>
      </c>
      <c r="H2462" s="249">
        <f t="shared" si="621"/>
        <v>6.3760379367223188E-2</v>
      </c>
      <c r="I2462" s="336">
        <v>1.7236634366082942E-2</v>
      </c>
      <c r="J2462" s="258">
        <f t="shared" si="622"/>
        <v>1.7236634366082942E-2</v>
      </c>
      <c r="K2462" s="249">
        <f t="shared" si="623"/>
        <v>3.5252822037983722</v>
      </c>
      <c r="L2462" s="336">
        <v>0.9530056280588588</v>
      </c>
      <c r="M2462" s="258">
        <f t="shared" si="624"/>
        <v>0.9530056280588588</v>
      </c>
      <c r="N2462" s="251">
        <f t="shared" si="625"/>
        <v>0.11001790949638508</v>
      </c>
      <c r="O2462" s="336">
        <v>2.9741643612064678E-2</v>
      </c>
      <c r="P2462" s="258">
        <f t="shared" si="626"/>
        <v>2.9741643612064678E-2</v>
      </c>
      <c r="Q2462" s="354">
        <v>3.6125058139534882</v>
      </c>
      <c r="R2462" s="249">
        <f t="shared" si="627"/>
        <v>3.6991200261627903</v>
      </c>
      <c r="S2462" s="355">
        <v>0.1</v>
      </c>
      <c r="T2462" s="355"/>
      <c r="U2462" s="315">
        <f t="shared" si="616"/>
        <v>4.0690320287790698</v>
      </c>
      <c r="V2462" s="315">
        <f t="shared" si="617"/>
        <v>5</v>
      </c>
      <c r="W2462" s="316">
        <f t="shared" si="618"/>
        <v>0</v>
      </c>
    </row>
    <row r="2463" spans="1:23" ht="14.4" thickBot="1" x14ac:dyDescent="0.3">
      <c r="A2463" s="356" t="s">
        <v>18133</v>
      </c>
      <c r="B2463" s="357" t="s">
        <v>22149</v>
      </c>
      <c r="C2463" s="358"/>
      <c r="D2463" s="359" t="s">
        <v>14859</v>
      </c>
      <c r="E2463" s="266">
        <f t="shared" si="619"/>
        <v>0</v>
      </c>
      <c r="F2463" s="360">
        <v>0</v>
      </c>
      <c r="G2463" s="322">
        <f t="shared" si="620"/>
        <v>0</v>
      </c>
      <c r="H2463" s="266">
        <f t="shared" si="621"/>
        <v>10.967352600457057</v>
      </c>
      <c r="I2463" s="360">
        <v>1.5996952961340696E-2</v>
      </c>
      <c r="J2463" s="322">
        <f t="shared" si="622"/>
        <v>1.5996952961340696E-2</v>
      </c>
      <c r="K2463" s="266">
        <f t="shared" si="623"/>
        <v>655.69868926051902</v>
      </c>
      <c r="L2463" s="360">
        <v>0.95640046153673797</v>
      </c>
      <c r="M2463" s="322">
        <f t="shared" si="624"/>
        <v>0.95640046153673797</v>
      </c>
      <c r="N2463" s="270">
        <f t="shared" si="625"/>
        <v>18.924059389023942</v>
      </c>
      <c r="O2463" s="360">
        <v>2.7602585501921201E-2</v>
      </c>
      <c r="P2463" s="322">
        <f t="shared" si="626"/>
        <v>2.7602585501921201E-2</v>
      </c>
      <c r="Q2463" s="361">
        <v>669.50250000000005</v>
      </c>
      <c r="R2463" s="266">
        <f t="shared" si="627"/>
        <v>685.59010125000009</v>
      </c>
      <c r="S2463" s="362">
        <v>0.1</v>
      </c>
      <c r="T2463" s="362"/>
      <c r="U2463" s="324">
        <f t="shared" si="616"/>
        <v>754.14911137500007</v>
      </c>
      <c r="V2463" s="324">
        <f t="shared" si="617"/>
        <v>755</v>
      </c>
      <c r="W2463" s="325">
        <f t="shared" si="618"/>
        <v>0</v>
      </c>
    </row>
    <row r="2464" spans="1:23" x14ac:dyDescent="0.25">
      <c r="A2464" s="204" t="s">
        <v>18134</v>
      </c>
      <c r="B2464" s="351" t="s">
        <v>22150</v>
      </c>
      <c r="C2464" s="352"/>
      <c r="D2464" s="353" t="s">
        <v>5</v>
      </c>
      <c r="E2464" s="249">
        <f t="shared" si="619"/>
        <v>0</v>
      </c>
      <c r="F2464" s="336">
        <v>0</v>
      </c>
      <c r="G2464" s="258">
        <f t="shared" si="620"/>
        <v>0</v>
      </c>
      <c r="H2464" s="249">
        <f t="shared" si="621"/>
        <v>6.3762725067871895E-2</v>
      </c>
      <c r="I2464" s="336">
        <v>1.5996952961340696E-2</v>
      </c>
      <c r="J2464" s="258">
        <f t="shared" si="622"/>
        <v>1.5996952961340696E-2</v>
      </c>
      <c r="K2464" s="249">
        <f t="shared" si="623"/>
        <v>3.8120851790635895</v>
      </c>
      <c r="L2464" s="336">
        <v>0.9563855250727219</v>
      </c>
      <c r="M2464" s="258">
        <f t="shared" si="624"/>
        <v>0.9563855250727219</v>
      </c>
      <c r="N2464" s="251">
        <f t="shared" si="625"/>
        <v>0.11002195697985738</v>
      </c>
      <c r="O2464" s="336">
        <v>2.7602585501921201E-2</v>
      </c>
      <c r="P2464" s="258">
        <f t="shared" si="626"/>
        <v>2.7602585501921201E-2</v>
      </c>
      <c r="Q2464" s="354">
        <v>3.8924563953488374</v>
      </c>
      <c r="R2464" s="249">
        <f t="shared" si="627"/>
        <v>3.9859293968023253</v>
      </c>
      <c r="S2464" s="355">
        <v>0.1</v>
      </c>
      <c r="T2464" s="355"/>
      <c r="U2464" s="315">
        <f t="shared" si="616"/>
        <v>4.3845223364825578</v>
      </c>
      <c r="V2464" s="315">
        <f t="shared" si="617"/>
        <v>5</v>
      </c>
      <c r="W2464" s="316">
        <f t="shared" si="618"/>
        <v>0</v>
      </c>
    </row>
    <row r="2465" spans="1:23" x14ac:dyDescent="0.25">
      <c r="A2465" s="204" t="s">
        <v>18135</v>
      </c>
      <c r="B2465" s="351" t="s">
        <v>22151</v>
      </c>
      <c r="C2465" s="352"/>
      <c r="D2465" s="353" t="s">
        <v>14859</v>
      </c>
      <c r="E2465" s="249">
        <f t="shared" si="619"/>
        <v>0</v>
      </c>
      <c r="F2465" s="336">
        <v>0</v>
      </c>
      <c r="G2465" s="258">
        <f t="shared" si="620"/>
        <v>0</v>
      </c>
      <c r="H2465" s="249">
        <f t="shared" si="621"/>
        <v>10.967908677844269</v>
      </c>
      <c r="I2465" s="336">
        <v>1.4232804021863501E-2</v>
      </c>
      <c r="J2465" s="258">
        <f t="shared" si="622"/>
        <v>1.4232804021863501E-2</v>
      </c>
      <c r="K2465" s="249">
        <f t="shared" si="623"/>
        <v>740.71479392705191</v>
      </c>
      <c r="L2465" s="336">
        <v>0.96120863217570529</v>
      </c>
      <c r="M2465" s="258">
        <f t="shared" si="624"/>
        <v>0.96120863217570529</v>
      </c>
      <c r="N2465" s="251">
        <f t="shared" si="625"/>
        <v>18.925018895103836</v>
      </c>
      <c r="O2465" s="336">
        <v>2.4558563802431137E-2</v>
      </c>
      <c r="P2465" s="258">
        <f t="shared" si="626"/>
        <v>2.4558563802431137E-2</v>
      </c>
      <c r="Q2465" s="354">
        <v>752.48700000000008</v>
      </c>
      <c r="R2465" s="249">
        <f t="shared" si="627"/>
        <v>770.60772150000003</v>
      </c>
      <c r="S2465" s="355">
        <v>0.1</v>
      </c>
      <c r="T2465" s="355"/>
      <c r="U2465" s="315">
        <f t="shared" si="616"/>
        <v>847.66849365000007</v>
      </c>
      <c r="V2465" s="315">
        <f t="shared" si="617"/>
        <v>850</v>
      </c>
      <c r="W2465" s="316">
        <f t="shared" si="618"/>
        <v>0</v>
      </c>
    </row>
    <row r="2466" spans="1:23" x14ac:dyDescent="0.25">
      <c r="A2466" s="204" t="s">
        <v>18136</v>
      </c>
      <c r="B2466" s="351" t="s">
        <v>22152</v>
      </c>
      <c r="C2466" s="352"/>
      <c r="D2466" s="353" t="s">
        <v>5</v>
      </c>
      <c r="E2466" s="249">
        <f t="shared" si="619"/>
        <v>0</v>
      </c>
      <c r="F2466" s="336">
        <v>0</v>
      </c>
      <c r="G2466" s="258">
        <f t="shared" si="620"/>
        <v>0</v>
      </c>
      <c r="H2466" s="249">
        <f t="shared" si="621"/>
        <v>6.3766063155622471E-2</v>
      </c>
      <c r="I2466" s="336">
        <v>1.4232804021863501E-2</v>
      </c>
      <c r="J2466" s="258">
        <f t="shared" si="622"/>
        <v>1.4232804021863501E-2</v>
      </c>
      <c r="K2466" s="249">
        <f t="shared" si="623"/>
        <v>4.3063645678469387</v>
      </c>
      <c r="L2466" s="336">
        <v>0.96119534290957853</v>
      </c>
      <c r="M2466" s="258">
        <f t="shared" si="624"/>
        <v>0.96119534290957853</v>
      </c>
      <c r="N2466" s="251">
        <f t="shared" si="625"/>
        <v>0.11002771681754467</v>
      </c>
      <c r="O2466" s="336">
        <v>2.4558563802431137E-2</v>
      </c>
      <c r="P2466" s="258">
        <f t="shared" si="626"/>
        <v>2.4558563802431137E-2</v>
      </c>
      <c r="Q2466" s="354">
        <v>4.3749244186046514</v>
      </c>
      <c r="R2466" s="249">
        <f t="shared" si="627"/>
        <v>4.4802178866279077</v>
      </c>
      <c r="S2466" s="355">
        <v>0.1</v>
      </c>
      <c r="T2466" s="355"/>
      <c r="U2466" s="315">
        <f t="shared" si="616"/>
        <v>4.9282396752906985</v>
      </c>
      <c r="V2466" s="315">
        <f t="shared" si="617"/>
        <v>5</v>
      </c>
      <c r="W2466" s="316">
        <f t="shared" si="618"/>
        <v>0</v>
      </c>
    </row>
    <row r="2467" spans="1:23" x14ac:dyDescent="0.25">
      <c r="A2467" s="204" t="s">
        <v>18137</v>
      </c>
      <c r="B2467" s="351" t="s">
        <v>22153</v>
      </c>
      <c r="C2467" s="352"/>
      <c r="D2467" s="353" t="s">
        <v>14859</v>
      </c>
      <c r="E2467" s="249">
        <f t="shared" si="619"/>
        <v>0</v>
      </c>
      <c r="F2467" s="336">
        <v>0</v>
      </c>
      <c r="G2467" s="258">
        <f t="shared" si="620"/>
        <v>0</v>
      </c>
      <c r="H2467" s="249">
        <f t="shared" si="621"/>
        <v>10.96823701769166</v>
      </c>
      <c r="I2467" s="336">
        <v>1.3191149736177006E-2</v>
      </c>
      <c r="J2467" s="258">
        <f t="shared" si="622"/>
        <v>1.3191149736177006E-2</v>
      </c>
      <c r="K2467" s="249">
        <f t="shared" si="623"/>
        <v>801.59071354001674</v>
      </c>
      <c r="L2467" s="336">
        <v>0.96404765071904697</v>
      </c>
      <c r="M2467" s="258">
        <f t="shared" si="624"/>
        <v>0.96404765071904697</v>
      </c>
      <c r="N2467" s="251">
        <f t="shared" si="625"/>
        <v>18.925585442291489</v>
      </c>
      <c r="O2467" s="336">
        <v>2.2761199544776008E-2</v>
      </c>
      <c r="P2467" s="258">
        <f t="shared" si="626"/>
        <v>2.2761199544776008E-2</v>
      </c>
      <c r="Q2467" s="354">
        <v>811.90800000000002</v>
      </c>
      <c r="R2467" s="249">
        <f t="shared" si="627"/>
        <v>831.48453599999993</v>
      </c>
      <c r="S2467" s="355">
        <v>0.1</v>
      </c>
      <c r="T2467" s="355"/>
      <c r="U2467" s="315">
        <f t="shared" si="616"/>
        <v>914.63298959999997</v>
      </c>
      <c r="V2467" s="315">
        <f t="shared" si="617"/>
        <v>915</v>
      </c>
      <c r="W2467" s="316">
        <f t="shared" si="618"/>
        <v>0</v>
      </c>
    </row>
    <row r="2468" spans="1:23" x14ac:dyDescent="0.25">
      <c r="A2468" s="204" t="s">
        <v>18138</v>
      </c>
      <c r="B2468" s="351" t="s">
        <v>22154</v>
      </c>
      <c r="C2468" s="352"/>
      <c r="D2468" s="353" t="s">
        <v>5</v>
      </c>
      <c r="E2468" s="249">
        <f t="shared" si="619"/>
        <v>0</v>
      </c>
      <c r="F2468" s="336">
        <v>0</v>
      </c>
      <c r="G2468" s="258">
        <f t="shared" si="620"/>
        <v>0</v>
      </c>
      <c r="H2468" s="249">
        <f t="shared" si="621"/>
        <v>6.3768034153271008E-2</v>
      </c>
      <c r="I2468" s="336">
        <v>1.3191149736177006E-2</v>
      </c>
      <c r="J2468" s="258">
        <f t="shared" si="622"/>
        <v>1.3191149736177006E-2</v>
      </c>
      <c r="K2468" s="249">
        <f t="shared" si="623"/>
        <v>4.6602941620950915</v>
      </c>
      <c r="L2468" s="336">
        <v>0.96403533405262654</v>
      </c>
      <c r="M2468" s="258">
        <f t="shared" si="624"/>
        <v>0.96403533405262654</v>
      </c>
      <c r="N2468" s="251">
        <f t="shared" si="625"/>
        <v>0.11003111775466369</v>
      </c>
      <c r="O2468" s="336">
        <v>2.2761199544776008E-2</v>
      </c>
      <c r="P2468" s="258">
        <f t="shared" si="626"/>
        <v>2.2761199544776008E-2</v>
      </c>
      <c r="Q2468" s="354">
        <v>4.7203953488372097</v>
      </c>
      <c r="R2468" s="249">
        <f t="shared" si="627"/>
        <v>4.8341528546511627</v>
      </c>
      <c r="S2468" s="355">
        <v>0.1</v>
      </c>
      <c r="T2468" s="355"/>
      <c r="U2468" s="315">
        <f t="shared" si="616"/>
        <v>5.3175681401162791</v>
      </c>
      <c r="V2468" s="315">
        <f t="shared" si="617"/>
        <v>6</v>
      </c>
      <c r="W2468" s="316">
        <f t="shared" si="618"/>
        <v>0</v>
      </c>
    </row>
    <row r="2469" spans="1:23" x14ac:dyDescent="0.25">
      <c r="A2469" s="204" t="s">
        <v>18139</v>
      </c>
      <c r="B2469" s="351" t="s">
        <v>22155</v>
      </c>
      <c r="C2469" s="352"/>
      <c r="D2469" s="353" t="s">
        <v>14859</v>
      </c>
      <c r="E2469" s="249">
        <f t="shared" si="619"/>
        <v>0</v>
      </c>
      <c r="F2469" s="336">
        <v>0</v>
      </c>
      <c r="G2469" s="258">
        <f t="shared" si="620"/>
        <v>0</v>
      </c>
      <c r="H2469" s="249">
        <f t="shared" si="621"/>
        <v>10.968263086809488</v>
      </c>
      <c r="I2469" s="336">
        <v>1.3108445767936447E-2</v>
      </c>
      <c r="J2469" s="258">
        <f t="shared" si="622"/>
        <v>1.3108445767936447E-2</v>
      </c>
      <c r="K2469" s="249">
        <f t="shared" si="623"/>
        <v>806.83864373889173</v>
      </c>
      <c r="L2469" s="336">
        <v>0.96427305957366338</v>
      </c>
      <c r="M2469" s="258">
        <f t="shared" si="624"/>
        <v>0.96427305957366338</v>
      </c>
      <c r="N2469" s="251">
        <f t="shared" si="625"/>
        <v>18.925630424298724</v>
      </c>
      <c r="O2469" s="336">
        <v>2.2618494658400143E-2</v>
      </c>
      <c r="P2469" s="258">
        <f t="shared" si="626"/>
        <v>2.2618494658400143E-2</v>
      </c>
      <c r="Q2469" s="354">
        <v>817.03050000000007</v>
      </c>
      <c r="R2469" s="249">
        <f t="shared" si="627"/>
        <v>836.73253724999995</v>
      </c>
      <c r="S2469" s="355">
        <v>0.1</v>
      </c>
      <c r="T2469" s="355"/>
      <c r="U2469" s="315">
        <f t="shared" ref="U2469:U2532" si="628">(R2469*S2469)+R2469</f>
        <v>920.40579097499995</v>
      </c>
      <c r="V2469" s="315">
        <f t="shared" ref="V2469:V2532" si="629">IF(U2469=0, 0, IF(U2469&lt;10, _xlfn.CEILING.MATH(U2469,1), IF(U2469&lt;100, _xlfn.CEILING.MATH(U2469,1),IF(U2469&lt;1000, _xlfn.CEILING.MATH(U2469,5), IF(U2469&lt;10000, _xlfn.CEILING.MATH(U2469, 25), IF(U2469&lt;100000, _xlfn.CEILING.MATH(U2469,250), IF(U2469&lt;1000000, _xlfn.CEILING.MATH(U2469,500), 0)))))))</f>
        <v>925</v>
      </c>
      <c r="W2469" s="316">
        <f t="shared" si="618"/>
        <v>0</v>
      </c>
    </row>
    <row r="2470" spans="1:23" x14ac:dyDescent="0.25">
      <c r="A2470" s="204" t="s">
        <v>18140</v>
      </c>
      <c r="B2470" s="351" t="s">
        <v>22156</v>
      </c>
      <c r="C2470" s="352"/>
      <c r="D2470" s="353" t="s">
        <v>5</v>
      </c>
      <c r="E2470" s="249">
        <f t="shared" si="619"/>
        <v>0</v>
      </c>
      <c r="F2470" s="336">
        <v>0</v>
      </c>
      <c r="G2470" s="258">
        <f t="shared" si="620"/>
        <v>0</v>
      </c>
      <c r="H2470" s="249">
        <f t="shared" si="621"/>
        <v>6.3768190644084871E-2</v>
      </c>
      <c r="I2470" s="336">
        <v>1.3108445767936449E-2</v>
      </c>
      <c r="J2470" s="258">
        <f t="shared" si="622"/>
        <v>1.3108445767936449E-2</v>
      </c>
      <c r="K2470" s="249">
        <f t="shared" si="623"/>
        <v>4.6908053706092154</v>
      </c>
      <c r="L2470" s="336">
        <v>0.96426082012850201</v>
      </c>
      <c r="M2470" s="258">
        <f t="shared" si="624"/>
        <v>0.96426082012850201</v>
      </c>
      <c r="N2470" s="251">
        <f t="shared" si="625"/>
        <v>0.11003138777802879</v>
      </c>
      <c r="O2470" s="336">
        <v>2.2618494658400146E-2</v>
      </c>
      <c r="P2470" s="258">
        <f t="shared" si="626"/>
        <v>2.2618494658400146E-2</v>
      </c>
      <c r="Q2470" s="354">
        <v>4.7501773255813955</v>
      </c>
      <c r="R2470" s="249">
        <f t="shared" si="627"/>
        <v>4.8646644898255813</v>
      </c>
      <c r="S2470" s="355">
        <v>0.1</v>
      </c>
      <c r="T2470" s="355"/>
      <c r="U2470" s="315">
        <f t="shared" si="628"/>
        <v>5.3511309388081392</v>
      </c>
      <c r="V2470" s="315">
        <f t="shared" si="629"/>
        <v>6</v>
      </c>
      <c r="W2470" s="316">
        <f t="shared" si="618"/>
        <v>0</v>
      </c>
    </row>
    <row r="2471" spans="1:23" x14ac:dyDescent="0.25">
      <c r="A2471" s="204" t="s">
        <v>18141</v>
      </c>
      <c r="B2471" s="351" t="s">
        <v>22157</v>
      </c>
      <c r="C2471" s="352"/>
      <c r="D2471" s="353" t="s">
        <v>14859</v>
      </c>
      <c r="E2471" s="249">
        <f t="shared" si="619"/>
        <v>0</v>
      </c>
      <c r="F2471" s="336">
        <v>0</v>
      </c>
      <c r="G2471" s="258">
        <f t="shared" si="620"/>
        <v>0</v>
      </c>
      <c r="H2471" s="249">
        <f t="shared" si="621"/>
        <v>10.96848378457897</v>
      </c>
      <c r="I2471" s="336">
        <v>1.2408284702357575E-2</v>
      </c>
      <c r="J2471" s="258">
        <f t="shared" si="622"/>
        <v>1.2408284702357575E-2</v>
      </c>
      <c r="K2471" s="249">
        <f t="shared" si="623"/>
        <v>854.07005347928452</v>
      </c>
      <c r="L2471" s="336">
        <v>0.96618134169357439</v>
      </c>
      <c r="M2471" s="258">
        <f t="shared" si="624"/>
        <v>0.96618134169357439</v>
      </c>
      <c r="N2471" s="251">
        <f t="shared" si="625"/>
        <v>18.926011236136258</v>
      </c>
      <c r="O2471" s="336">
        <v>2.1410373604067969E-2</v>
      </c>
      <c r="P2471" s="258">
        <f t="shared" si="626"/>
        <v>2.1410373604067969E-2</v>
      </c>
      <c r="Q2471" s="354">
        <v>863.13300000000004</v>
      </c>
      <c r="R2471" s="249">
        <f t="shared" si="627"/>
        <v>883.96454849999986</v>
      </c>
      <c r="S2471" s="355">
        <v>0.1</v>
      </c>
      <c r="T2471" s="355"/>
      <c r="U2471" s="315">
        <f t="shared" si="628"/>
        <v>972.36100334999992</v>
      </c>
      <c r="V2471" s="315">
        <f t="shared" si="629"/>
        <v>975</v>
      </c>
      <c r="W2471" s="316">
        <f t="shared" si="618"/>
        <v>0</v>
      </c>
    </row>
    <row r="2472" spans="1:23" x14ac:dyDescent="0.25">
      <c r="A2472" s="204" t="s">
        <v>18142</v>
      </c>
      <c r="B2472" s="351" t="s">
        <v>22158</v>
      </c>
      <c r="C2472" s="352"/>
      <c r="D2472" s="353" t="s">
        <v>5</v>
      </c>
      <c r="E2472" s="249">
        <f t="shared" si="619"/>
        <v>0</v>
      </c>
      <c r="F2472" s="336">
        <v>0</v>
      </c>
      <c r="G2472" s="258">
        <f t="shared" si="620"/>
        <v>0</v>
      </c>
      <c r="H2472" s="249">
        <f t="shared" si="621"/>
        <v>6.376951547501275E-2</v>
      </c>
      <c r="I2472" s="336">
        <v>1.2408284702357575E-2</v>
      </c>
      <c r="J2472" s="258">
        <f t="shared" si="622"/>
        <v>1.2408284702357575E-2</v>
      </c>
      <c r="K2472" s="249">
        <f t="shared" si="623"/>
        <v>4.9654064751282725</v>
      </c>
      <c r="L2472" s="336">
        <v>0.96616975599357213</v>
      </c>
      <c r="M2472" s="258">
        <f t="shared" si="624"/>
        <v>0.96616975599357213</v>
      </c>
      <c r="N2472" s="251">
        <f t="shared" si="625"/>
        <v>0.11003367376080631</v>
      </c>
      <c r="O2472" s="336">
        <v>2.1410373604067973E-2</v>
      </c>
      <c r="P2472" s="258">
        <f t="shared" si="626"/>
        <v>2.1410373604067973E-2</v>
      </c>
      <c r="Q2472" s="354">
        <v>5.0182151162790696</v>
      </c>
      <c r="R2472" s="249">
        <f t="shared" si="627"/>
        <v>5.1392692063953476</v>
      </c>
      <c r="S2472" s="355">
        <v>0.1</v>
      </c>
      <c r="T2472" s="355"/>
      <c r="U2472" s="315">
        <f t="shared" si="628"/>
        <v>5.6531961270348825</v>
      </c>
      <c r="V2472" s="315">
        <f t="shared" si="629"/>
        <v>6</v>
      </c>
      <c r="W2472" s="316">
        <f t="shared" si="618"/>
        <v>0</v>
      </c>
    </row>
    <row r="2473" spans="1:23" x14ac:dyDescent="0.25">
      <c r="A2473" s="204" t="s">
        <v>18143</v>
      </c>
      <c r="B2473" s="351" t="s">
        <v>22159</v>
      </c>
      <c r="C2473" s="352"/>
      <c r="D2473" s="353" t="s">
        <v>14859</v>
      </c>
      <c r="E2473" s="249">
        <f t="shared" si="619"/>
        <v>0</v>
      </c>
      <c r="F2473" s="336">
        <v>0</v>
      </c>
      <c r="G2473" s="258">
        <f t="shared" si="620"/>
        <v>0</v>
      </c>
      <c r="H2473" s="249">
        <f t="shared" si="621"/>
        <v>10.968631210388303</v>
      </c>
      <c r="I2473" s="336">
        <v>1.194057806445571E-2</v>
      </c>
      <c r="J2473" s="258">
        <f t="shared" si="622"/>
        <v>1.194057806445571E-2</v>
      </c>
      <c r="K2473" s="249">
        <f t="shared" si="623"/>
        <v>888.70645992168659</v>
      </c>
      <c r="L2473" s="336">
        <v>0.96745607154981672</v>
      </c>
      <c r="M2473" s="258">
        <f t="shared" si="624"/>
        <v>0.96745607154981672</v>
      </c>
      <c r="N2473" s="251">
        <f t="shared" si="625"/>
        <v>18.926265617924916</v>
      </c>
      <c r="O2473" s="336">
        <v>2.0603350385727498E-2</v>
      </c>
      <c r="P2473" s="258">
        <f t="shared" si="626"/>
        <v>2.0603350385727498E-2</v>
      </c>
      <c r="Q2473" s="354">
        <v>896.94150000000002</v>
      </c>
      <c r="R2473" s="249">
        <f t="shared" si="627"/>
        <v>918.60135674999992</v>
      </c>
      <c r="S2473" s="355">
        <v>0.1</v>
      </c>
      <c r="T2473" s="355"/>
      <c r="U2473" s="315">
        <f t="shared" si="628"/>
        <v>1010.461492425</v>
      </c>
      <c r="V2473" s="315">
        <f t="shared" si="629"/>
        <v>1025</v>
      </c>
      <c r="W2473" s="316">
        <f t="shared" si="618"/>
        <v>0</v>
      </c>
    </row>
    <row r="2474" spans="1:23" x14ac:dyDescent="0.25">
      <c r="A2474" s="204" t="s">
        <v>18144</v>
      </c>
      <c r="B2474" s="351" t="s">
        <v>22160</v>
      </c>
      <c r="C2474" s="352"/>
      <c r="D2474" s="353" t="s">
        <v>5</v>
      </c>
      <c r="E2474" s="249">
        <f t="shared" si="619"/>
        <v>0</v>
      </c>
      <c r="F2474" s="336">
        <v>0</v>
      </c>
      <c r="G2474" s="258">
        <f t="shared" si="620"/>
        <v>0</v>
      </c>
      <c r="H2474" s="249">
        <f t="shared" si="621"/>
        <v>6.3770400460267634E-2</v>
      </c>
      <c r="I2474" s="336">
        <v>1.194057806445571E-2</v>
      </c>
      <c r="J2474" s="258">
        <f t="shared" si="622"/>
        <v>1.194057806445571E-2</v>
      </c>
      <c r="K2474" s="249">
        <f t="shared" si="623"/>
        <v>5.1667808544344824</v>
      </c>
      <c r="L2474" s="336">
        <v>0.96744492255069015</v>
      </c>
      <c r="M2474" s="258">
        <f t="shared" si="624"/>
        <v>0.96744492255069015</v>
      </c>
      <c r="N2474" s="251">
        <f t="shared" si="625"/>
        <v>0.11003520079418727</v>
      </c>
      <c r="O2474" s="336">
        <v>2.0603350385727498E-2</v>
      </c>
      <c r="P2474" s="258">
        <f t="shared" si="626"/>
        <v>2.0603350385727498E-2</v>
      </c>
      <c r="Q2474" s="354">
        <v>5.2147761627906979</v>
      </c>
      <c r="R2474" s="249">
        <f t="shared" si="627"/>
        <v>5.3406459985465107</v>
      </c>
      <c r="S2474" s="355">
        <v>0.1</v>
      </c>
      <c r="T2474" s="355"/>
      <c r="U2474" s="315">
        <f t="shared" si="628"/>
        <v>5.8747105984011618</v>
      </c>
      <c r="V2474" s="315">
        <f t="shared" si="629"/>
        <v>6</v>
      </c>
      <c r="W2474" s="316">
        <f t="shared" si="618"/>
        <v>0</v>
      </c>
    </row>
    <row r="2475" spans="1:23" x14ac:dyDescent="0.25">
      <c r="A2475" s="204" t="s">
        <v>18145</v>
      </c>
      <c r="B2475" s="351" t="s">
        <v>22161</v>
      </c>
      <c r="C2475" s="352"/>
      <c r="D2475" s="353" t="s">
        <v>14859</v>
      </c>
      <c r="E2475" s="249">
        <f t="shared" si="619"/>
        <v>0</v>
      </c>
      <c r="F2475" s="336">
        <v>0</v>
      </c>
      <c r="G2475" s="258">
        <f t="shared" si="620"/>
        <v>0</v>
      </c>
      <c r="H2475" s="249">
        <f t="shared" si="621"/>
        <v>10.968731634801165</v>
      </c>
      <c r="I2475" s="336">
        <v>1.1621982801418729E-2</v>
      </c>
      <c r="J2475" s="258">
        <f t="shared" si="622"/>
        <v>1.1621982801418729E-2</v>
      </c>
      <c r="K2475" s="249">
        <f t="shared" si="623"/>
        <v>913.89659221593388</v>
      </c>
      <c r="L2475" s="336">
        <v>0.96832439981574103</v>
      </c>
      <c r="M2475" s="258">
        <f t="shared" si="624"/>
        <v>0.96832439981574103</v>
      </c>
      <c r="N2475" s="251">
        <f t="shared" si="625"/>
        <v>18.926438899264753</v>
      </c>
      <c r="O2475" s="336">
        <v>2.0053617382840158E-2</v>
      </c>
      <c r="P2475" s="258">
        <f t="shared" si="626"/>
        <v>2.0053617382840158E-2</v>
      </c>
      <c r="Q2475" s="354">
        <v>921.52949999999998</v>
      </c>
      <c r="R2475" s="249">
        <f t="shared" si="627"/>
        <v>943.79176274999986</v>
      </c>
      <c r="S2475" s="355">
        <v>0.1</v>
      </c>
      <c r="T2475" s="355"/>
      <c r="U2475" s="315">
        <f t="shared" si="628"/>
        <v>1038.1709390249998</v>
      </c>
      <c r="V2475" s="315">
        <f t="shared" si="629"/>
        <v>1050</v>
      </c>
      <c r="W2475" s="316">
        <f t="shared" si="618"/>
        <v>0</v>
      </c>
    </row>
    <row r="2476" spans="1:23" x14ac:dyDescent="0.25">
      <c r="A2476" s="204" t="s">
        <v>18146</v>
      </c>
      <c r="B2476" s="351" t="s">
        <v>22162</v>
      </c>
      <c r="C2476" s="352"/>
      <c r="D2476" s="353" t="s">
        <v>5</v>
      </c>
      <c r="E2476" s="249">
        <f t="shared" si="619"/>
        <v>0</v>
      </c>
      <c r="F2476" s="336">
        <v>0</v>
      </c>
      <c r="G2476" s="258">
        <f t="shared" si="620"/>
        <v>0</v>
      </c>
      <c r="H2476" s="249">
        <f t="shared" si="621"/>
        <v>6.3771003299926535E-2</v>
      </c>
      <c r="I2476" s="336">
        <v>1.1621982801418729E-2</v>
      </c>
      <c r="J2476" s="258">
        <f t="shared" si="622"/>
        <v>1.1621982801418729E-2</v>
      </c>
      <c r="K2476" s="249">
        <f t="shared" si="623"/>
        <v>5.3132350596752378</v>
      </c>
      <c r="L2476" s="336">
        <v>0.96831354829118332</v>
      </c>
      <c r="M2476" s="258">
        <f t="shared" si="624"/>
        <v>0.96831354829118332</v>
      </c>
      <c r="N2476" s="251">
        <f t="shared" si="625"/>
        <v>0.11003624098810855</v>
      </c>
      <c r="O2476" s="336">
        <v>2.0053617382840162E-2</v>
      </c>
      <c r="P2476" s="258">
        <f t="shared" si="626"/>
        <v>2.0053617382840162E-2</v>
      </c>
      <c r="Q2476" s="354">
        <v>5.3577296511627903</v>
      </c>
      <c r="R2476" s="249">
        <f t="shared" si="627"/>
        <v>5.4871018473837205</v>
      </c>
      <c r="S2476" s="355">
        <v>0.1</v>
      </c>
      <c r="T2476" s="355"/>
      <c r="U2476" s="315">
        <f t="shared" si="628"/>
        <v>6.0358120321220925</v>
      </c>
      <c r="V2476" s="315">
        <f t="shared" si="629"/>
        <v>7</v>
      </c>
      <c r="W2476" s="316">
        <f t="shared" si="618"/>
        <v>0</v>
      </c>
    </row>
    <row r="2477" spans="1:23" x14ac:dyDescent="0.25">
      <c r="A2477" s="204" t="s">
        <v>18147</v>
      </c>
      <c r="B2477" s="351" t="s">
        <v>22163</v>
      </c>
      <c r="C2477" s="352"/>
      <c r="D2477" s="353" t="s">
        <v>14859</v>
      </c>
      <c r="E2477" s="249">
        <f t="shared" si="619"/>
        <v>0</v>
      </c>
      <c r="F2477" s="336">
        <v>0</v>
      </c>
      <c r="G2477" s="258">
        <f t="shared" si="620"/>
        <v>0</v>
      </c>
      <c r="H2477" s="249">
        <f t="shared" si="621"/>
        <v>10.96877589331142</v>
      </c>
      <c r="I2477" s="336">
        <v>1.1481573200657378E-2</v>
      </c>
      <c r="J2477" s="258">
        <f t="shared" si="622"/>
        <v>1.1481573200657378E-2</v>
      </c>
      <c r="K2477" s="249">
        <f t="shared" si="623"/>
        <v>925.44207433979807</v>
      </c>
      <c r="L2477" s="336">
        <v>0.96870708480605139</v>
      </c>
      <c r="M2477" s="258">
        <f t="shared" si="624"/>
        <v>0.96870708480605139</v>
      </c>
      <c r="N2477" s="251">
        <f t="shared" si="625"/>
        <v>18.926515266890291</v>
      </c>
      <c r="O2477" s="336">
        <v>1.9811341993291161E-2</v>
      </c>
      <c r="P2477" s="258">
        <f t="shared" si="626"/>
        <v>1.9811341993291161E-2</v>
      </c>
      <c r="Q2477" s="354">
        <v>932.79899999999998</v>
      </c>
      <c r="R2477" s="249">
        <f t="shared" si="627"/>
        <v>955.33736549999981</v>
      </c>
      <c r="S2477" s="355">
        <v>0.1</v>
      </c>
      <c r="T2477" s="355"/>
      <c r="U2477" s="315">
        <f t="shared" si="628"/>
        <v>1050.8711020499998</v>
      </c>
      <c r="V2477" s="315">
        <f t="shared" si="629"/>
        <v>1075</v>
      </c>
      <c r="W2477" s="316">
        <f t="shared" si="618"/>
        <v>0</v>
      </c>
    </row>
    <row r="2478" spans="1:23" x14ac:dyDescent="0.25">
      <c r="A2478" s="204" t="s">
        <v>18148</v>
      </c>
      <c r="B2478" s="351" t="s">
        <v>22164</v>
      </c>
      <c r="C2478" s="352"/>
      <c r="D2478" s="353" t="s">
        <v>5</v>
      </c>
      <c r="E2478" s="249">
        <f t="shared" si="619"/>
        <v>0</v>
      </c>
      <c r="F2478" s="336">
        <v>0</v>
      </c>
      <c r="G2478" s="258">
        <f t="shared" si="620"/>
        <v>0</v>
      </c>
      <c r="H2478" s="249">
        <f t="shared" si="621"/>
        <v>6.3771268980197554E-2</v>
      </c>
      <c r="I2478" s="336">
        <v>1.1481573200657378E-2</v>
      </c>
      <c r="J2478" s="258">
        <f t="shared" si="622"/>
        <v>1.1481573200657378E-2</v>
      </c>
      <c r="K2478" s="249">
        <f t="shared" si="623"/>
        <v>5.3803599327019151</v>
      </c>
      <c r="L2478" s="336">
        <v>0.96869636438289475</v>
      </c>
      <c r="M2478" s="258">
        <f t="shared" si="624"/>
        <v>0.96869636438289475</v>
      </c>
      <c r="N2478" s="251">
        <f t="shared" si="625"/>
        <v>0.11003669941681146</v>
      </c>
      <c r="O2478" s="336">
        <v>1.9811341993291161E-2</v>
      </c>
      <c r="P2478" s="258">
        <f t="shared" si="626"/>
        <v>1.9811341993291161E-2</v>
      </c>
      <c r="Q2478" s="354">
        <v>5.4232499999999995</v>
      </c>
      <c r="R2478" s="249">
        <f t="shared" si="627"/>
        <v>5.5542274447674407</v>
      </c>
      <c r="S2478" s="355">
        <v>0.1</v>
      </c>
      <c r="T2478" s="355"/>
      <c r="U2478" s="315">
        <f t="shared" si="628"/>
        <v>6.109650189244185</v>
      </c>
      <c r="V2478" s="315">
        <f t="shared" si="629"/>
        <v>7</v>
      </c>
      <c r="W2478" s="316">
        <f t="shared" si="618"/>
        <v>0</v>
      </c>
    </row>
    <row r="2479" spans="1:23" x14ac:dyDescent="0.25">
      <c r="A2479" s="204" t="s">
        <v>18149</v>
      </c>
      <c r="B2479" s="351" t="s">
        <v>22165</v>
      </c>
      <c r="C2479" s="352"/>
      <c r="D2479" s="353" t="s">
        <v>14859</v>
      </c>
      <c r="E2479" s="249">
        <f t="shared" si="619"/>
        <v>0</v>
      </c>
      <c r="F2479" s="336">
        <v>0</v>
      </c>
      <c r="G2479" s="258">
        <f t="shared" si="620"/>
        <v>0</v>
      </c>
      <c r="H2479" s="249">
        <f t="shared" si="621"/>
        <v>10.968846054308059</v>
      </c>
      <c r="I2479" s="336">
        <v>1.1258988267944999E-2</v>
      </c>
      <c r="J2479" s="258">
        <f t="shared" si="622"/>
        <v>1.1258988267944999E-2</v>
      </c>
      <c r="K2479" s="249">
        <f t="shared" si="623"/>
        <v>944.33468761668951</v>
      </c>
      <c r="L2479" s="336">
        <v>0.96931373785795372</v>
      </c>
      <c r="M2479" s="258">
        <f t="shared" si="624"/>
        <v>0.96931373785795372</v>
      </c>
      <c r="N2479" s="251">
        <f t="shared" si="625"/>
        <v>18.92663632900214</v>
      </c>
      <c r="O2479" s="336">
        <v>1.9427273874101172E-2</v>
      </c>
      <c r="P2479" s="258">
        <f t="shared" si="626"/>
        <v>1.9427273874101172E-2</v>
      </c>
      <c r="Q2479" s="354">
        <v>951.24</v>
      </c>
      <c r="R2479" s="249">
        <f t="shared" si="627"/>
        <v>974.23016999999982</v>
      </c>
      <c r="S2479" s="355">
        <v>0.1</v>
      </c>
      <c r="T2479" s="355"/>
      <c r="U2479" s="315">
        <f t="shared" si="628"/>
        <v>1071.6531869999999</v>
      </c>
      <c r="V2479" s="315">
        <f t="shared" si="629"/>
        <v>1075</v>
      </c>
      <c r="W2479" s="316">
        <f t="shared" si="618"/>
        <v>0</v>
      </c>
    </row>
    <row r="2480" spans="1:23" x14ac:dyDescent="0.25">
      <c r="A2480" s="204" t="s">
        <v>18150</v>
      </c>
      <c r="B2480" s="351" t="s">
        <v>22166</v>
      </c>
      <c r="C2480" s="352"/>
      <c r="D2480" s="353" t="s">
        <v>5</v>
      </c>
      <c r="E2480" s="249">
        <f t="shared" si="619"/>
        <v>0</v>
      </c>
      <c r="F2480" s="336">
        <v>0</v>
      </c>
      <c r="G2480" s="258">
        <f t="shared" si="620"/>
        <v>0</v>
      </c>
      <c r="H2480" s="249">
        <f t="shared" si="621"/>
        <v>6.377169015100731E-2</v>
      </c>
      <c r="I2480" s="336">
        <v>1.1258988267945001E-2</v>
      </c>
      <c r="J2480" s="258">
        <f t="shared" si="622"/>
        <v>1.1258988267945001E-2</v>
      </c>
      <c r="K2480" s="249">
        <f t="shared" si="623"/>
        <v>5.49020067103966</v>
      </c>
      <c r="L2480" s="336">
        <v>0.96930322526386603</v>
      </c>
      <c r="M2480" s="258">
        <f t="shared" si="624"/>
        <v>0.96930322526386603</v>
      </c>
      <c r="N2480" s="251">
        <f t="shared" si="625"/>
        <v>0.11003742614291456</v>
      </c>
      <c r="O2480" s="336">
        <v>1.9427273874101175E-2</v>
      </c>
      <c r="P2480" s="258">
        <f t="shared" si="626"/>
        <v>1.9427273874101175E-2</v>
      </c>
      <c r="Q2480" s="354">
        <v>5.5304651162790694</v>
      </c>
      <c r="R2480" s="249">
        <f t="shared" si="627"/>
        <v>5.6640693313953481</v>
      </c>
      <c r="S2480" s="355">
        <v>0.1</v>
      </c>
      <c r="T2480" s="355"/>
      <c r="U2480" s="315">
        <f t="shared" si="628"/>
        <v>6.2304762645348832</v>
      </c>
      <c r="V2480" s="315">
        <f t="shared" si="629"/>
        <v>7</v>
      </c>
      <c r="W2480" s="316">
        <f t="shared" si="618"/>
        <v>0</v>
      </c>
    </row>
    <row r="2481" spans="1:23" x14ac:dyDescent="0.25">
      <c r="A2481" s="204" t="s">
        <v>18151</v>
      </c>
      <c r="B2481" s="351" t="s">
        <v>22167</v>
      </c>
      <c r="C2481" s="352"/>
      <c r="D2481" s="353" t="s">
        <v>14859</v>
      </c>
      <c r="E2481" s="249">
        <f t="shared" si="619"/>
        <v>0</v>
      </c>
      <c r="F2481" s="336">
        <v>0</v>
      </c>
      <c r="G2481" s="258">
        <f t="shared" si="620"/>
        <v>0</v>
      </c>
      <c r="H2481" s="249">
        <f t="shared" si="621"/>
        <v>10.968868840672581</v>
      </c>
      <c r="I2481" s="336">
        <v>1.1186698795784777E-2</v>
      </c>
      <c r="J2481" s="258">
        <f t="shared" si="622"/>
        <v>1.1186698795784777E-2</v>
      </c>
      <c r="K2481" s="249">
        <f t="shared" si="623"/>
        <v>950.63222701267659</v>
      </c>
      <c r="L2481" s="336">
        <v>0.96951076210560616</v>
      </c>
      <c r="M2481" s="258">
        <f t="shared" si="624"/>
        <v>0.96951076210560616</v>
      </c>
      <c r="N2481" s="251">
        <f t="shared" si="625"/>
        <v>18.926675646650725</v>
      </c>
      <c r="O2481" s="336">
        <v>1.9302539098609024E-2</v>
      </c>
      <c r="P2481" s="258">
        <f t="shared" si="626"/>
        <v>1.9302539098609024E-2</v>
      </c>
      <c r="Q2481" s="354">
        <v>957.38700000000006</v>
      </c>
      <c r="R2481" s="249">
        <f t="shared" si="627"/>
        <v>980.52777149999997</v>
      </c>
      <c r="S2481" s="355">
        <v>0.1</v>
      </c>
      <c r="T2481" s="355"/>
      <c r="U2481" s="315">
        <f t="shared" si="628"/>
        <v>1078.5805486499999</v>
      </c>
      <c r="V2481" s="315">
        <f t="shared" si="629"/>
        <v>1100</v>
      </c>
      <c r="W2481" s="316">
        <f t="shared" si="618"/>
        <v>0</v>
      </c>
    </row>
    <row r="2482" spans="1:23" x14ac:dyDescent="0.25">
      <c r="A2482" s="204" t="s">
        <v>18152</v>
      </c>
      <c r="B2482" s="351" t="s">
        <v>22168</v>
      </c>
      <c r="C2482" s="352"/>
      <c r="D2482" s="353" t="s">
        <v>5</v>
      </c>
      <c r="E2482" s="249">
        <f t="shared" si="619"/>
        <v>0</v>
      </c>
      <c r="F2482" s="336">
        <v>0</v>
      </c>
      <c r="G2482" s="258">
        <f t="shared" si="620"/>
        <v>0</v>
      </c>
      <c r="H2482" s="249">
        <f t="shared" si="621"/>
        <v>6.3771826935717535E-2</v>
      </c>
      <c r="I2482" s="336">
        <v>1.1186698795784777E-2</v>
      </c>
      <c r="J2482" s="258">
        <f t="shared" si="622"/>
        <v>1.1186698795784777E-2</v>
      </c>
      <c r="K2482" s="249">
        <f t="shared" si="623"/>
        <v>5.5268142603158585</v>
      </c>
      <c r="L2482" s="336">
        <v>0.96950031700869121</v>
      </c>
      <c r="M2482" s="258">
        <f t="shared" si="624"/>
        <v>0.96950031700869121</v>
      </c>
      <c r="N2482" s="251">
        <f t="shared" si="625"/>
        <v>0.11003766216359104</v>
      </c>
      <c r="O2482" s="336">
        <v>1.9302539098609024E-2</v>
      </c>
      <c r="P2482" s="258">
        <f t="shared" si="626"/>
        <v>1.9302539098609024E-2</v>
      </c>
      <c r="Q2482" s="354">
        <v>5.5662034883720937</v>
      </c>
      <c r="R2482" s="249">
        <f t="shared" si="627"/>
        <v>5.7006832936046505</v>
      </c>
      <c r="S2482" s="355">
        <v>0.1</v>
      </c>
      <c r="T2482" s="355"/>
      <c r="U2482" s="315">
        <f t="shared" si="628"/>
        <v>6.2707516229651157</v>
      </c>
      <c r="V2482" s="315">
        <f t="shared" si="629"/>
        <v>7</v>
      </c>
      <c r="W2482" s="316">
        <f t="shared" ref="W2482:W2532" si="630">C2482*V2482</f>
        <v>0</v>
      </c>
    </row>
    <row r="2483" spans="1:23" x14ac:dyDescent="0.25">
      <c r="A2483" s="204" t="s">
        <v>18153</v>
      </c>
      <c r="B2483" s="351" t="s">
        <v>22169</v>
      </c>
      <c r="C2483" s="352"/>
      <c r="D2483" s="353" t="s">
        <v>14859</v>
      </c>
      <c r="E2483" s="249">
        <f t="shared" si="619"/>
        <v>0</v>
      </c>
      <c r="F2483" s="336">
        <v>0</v>
      </c>
      <c r="G2483" s="258">
        <f t="shared" si="620"/>
        <v>0</v>
      </c>
      <c r="H2483" s="249">
        <f t="shared" si="621"/>
        <v>10.969027402028999</v>
      </c>
      <c r="I2483" s="336">
        <v>1.0683664766350945E-2</v>
      </c>
      <c r="J2483" s="258">
        <f t="shared" si="622"/>
        <v>1.0683664766350945E-2</v>
      </c>
      <c r="K2483" s="249">
        <f t="shared" si="623"/>
        <v>996.81420585525416</v>
      </c>
      <c r="L2483" s="336">
        <v>0.97088177642112183</v>
      </c>
      <c r="M2483" s="258">
        <f t="shared" si="624"/>
        <v>0.97088177642112183</v>
      </c>
      <c r="N2483" s="251">
        <f t="shared" si="625"/>
        <v>18.926949242716706</v>
      </c>
      <c r="O2483" s="336">
        <v>1.8434558812527122E-2</v>
      </c>
      <c r="P2483" s="258">
        <f t="shared" si="626"/>
        <v>1.8434558812527122E-2</v>
      </c>
      <c r="Q2483" s="354">
        <v>1002.465</v>
      </c>
      <c r="R2483" s="249">
        <f t="shared" si="627"/>
        <v>1026.7101825</v>
      </c>
      <c r="S2483" s="355">
        <v>0.1</v>
      </c>
      <c r="T2483" s="355"/>
      <c r="U2483" s="315">
        <f t="shared" si="628"/>
        <v>1129.3812007500001</v>
      </c>
      <c r="V2483" s="315">
        <f t="shared" si="629"/>
        <v>1150</v>
      </c>
      <c r="W2483" s="316">
        <f t="shared" si="630"/>
        <v>0</v>
      </c>
    </row>
    <row r="2484" spans="1:23" x14ac:dyDescent="0.25">
      <c r="A2484" s="204" t="s">
        <v>18154</v>
      </c>
      <c r="B2484" s="351" t="s">
        <v>22170</v>
      </c>
      <c r="C2484" s="352"/>
      <c r="D2484" s="353" t="s">
        <v>5</v>
      </c>
      <c r="E2484" s="249">
        <f t="shared" si="619"/>
        <v>0</v>
      </c>
      <c r="F2484" s="336">
        <v>0</v>
      </c>
      <c r="G2484" s="258">
        <f t="shared" si="620"/>
        <v>0</v>
      </c>
      <c r="H2484" s="249">
        <f t="shared" si="621"/>
        <v>6.3772778766764349E-2</v>
      </c>
      <c r="I2484" s="336">
        <v>1.0683664766350945E-2</v>
      </c>
      <c r="J2484" s="258">
        <f t="shared" si="622"/>
        <v>1.0683664766350945E-2</v>
      </c>
      <c r="K2484" s="249">
        <f t="shared" si="623"/>
        <v>5.7953140547558268</v>
      </c>
      <c r="L2484" s="336">
        <v>0.97087180101050918</v>
      </c>
      <c r="M2484" s="258">
        <f t="shared" si="624"/>
        <v>0.97087180101050918</v>
      </c>
      <c r="N2484" s="251">
        <f t="shared" si="625"/>
        <v>0.11003930453873063</v>
      </c>
      <c r="O2484" s="336">
        <v>1.8434558812527122E-2</v>
      </c>
      <c r="P2484" s="258">
        <f t="shared" si="626"/>
        <v>1.8434558812527122E-2</v>
      </c>
      <c r="Q2484" s="354">
        <v>5.8282848837209302</v>
      </c>
      <c r="R2484" s="249">
        <f t="shared" si="627"/>
        <v>5.9691856831395347</v>
      </c>
      <c r="S2484" s="355">
        <v>0.1</v>
      </c>
      <c r="T2484" s="355"/>
      <c r="U2484" s="315">
        <f t="shared" si="628"/>
        <v>6.5661042514534884</v>
      </c>
      <c r="V2484" s="315">
        <f t="shared" si="629"/>
        <v>7</v>
      </c>
      <c r="W2484" s="316">
        <f t="shared" si="630"/>
        <v>0</v>
      </c>
    </row>
    <row r="2485" spans="1:23" x14ac:dyDescent="0.25">
      <c r="A2485" s="204" t="s">
        <v>18155</v>
      </c>
      <c r="B2485" s="351" t="s">
        <v>22171</v>
      </c>
      <c r="C2485" s="352"/>
      <c r="D2485" s="353" t="s">
        <v>14859</v>
      </c>
      <c r="E2485" s="249">
        <f t="shared" si="619"/>
        <v>0</v>
      </c>
      <c r="F2485" s="336">
        <v>0</v>
      </c>
      <c r="G2485" s="258">
        <f t="shared" si="620"/>
        <v>0</v>
      </c>
      <c r="H2485" s="249">
        <f t="shared" si="621"/>
        <v>10.969287793476882</v>
      </c>
      <c r="I2485" s="336">
        <v>9.8575759751268789E-3</v>
      </c>
      <c r="J2485" s="258">
        <f t="shared" si="622"/>
        <v>9.8575759751268789E-3</v>
      </c>
      <c r="K2485" s="249">
        <f t="shared" si="623"/>
        <v>1082.8807166609161</v>
      </c>
      <c r="L2485" s="336">
        <v>0.97313327332269339</v>
      </c>
      <c r="M2485" s="258">
        <f t="shared" si="624"/>
        <v>0.97313327332269339</v>
      </c>
      <c r="N2485" s="251">
        <f t="shared" si="625"/>
        <v>18.927398545607169</v>
      </c>
      <c r="O2485" s="336">
        <v>1.7009150702179714E-2</v>
      </c>
      <c r="P2485" s="258">
        <f t="shared" si="626"/>
        <v>1.7009150702179714E-2</v>
      </c>
      <c r="Q2485" s="354">
        <v>1086.4739999999999</v>
      </c>
      <c r="R2485" s="249">
        <f t="shared" si="627"/>
        <v>1112.777403</v>
      </c>
      <c r="S2485" s="355">
        <v>0.1</v>
      </c>
      <c r="T2485" s="355"/>
      <c r="U2485" s="315">
        <f t="shared" si="628"/>
        <v>1224.0551433000001</v>
      </c>
      <c r="V2485" s="315">
        <f t="shared" si="629"/>
        <v>1225</v>
      </c>
      <c r="W2485" s="316">
        <f t="shared" si="630"/>
        <v>0</v>
      </c>
    </row>
    <row r="2486" spans="1:23" x14ac:dyDescent="0.25">
      <c r="A2486" s="204" t="s">
        <v>18156</v>
      </c>
      <c r="B2486" s="351" t="s">
        <v>22172</v>
      </c>
      <c r="C2486" s="352"/>
      <c r="D2486" s="353" t="s">
        <v>5</v>
      </c>
      <c r="E2486" s="249">
        <f t="shared" si="619"/>
        <v>0</v>
      </c>
      <c r="F2486" s="336">
        <v>0</v>
      </c>
      <c r="G2486" s="258">
        <f t="shared" si="620"/>
        <v>0</v>
      </c>
      <c r="H2486" s="249">
        <f t="shared" si="621"/>
        <v>6.3774341875645443E-2</v>
      </c>
      <c r="I2486" s="336">
        <v>9.8575759751268806E-3</v>
      </c>
      <c r="J2486" s="258">
        <f t="shared" si="622"/>
        <v>9.8575759751268806E-3</v>
      </c>
      <c r="K2486" s="249">
        <f t="shared" si="623"/>
        <v>6.2957006099188746</v>
      </c>
      <c r="L2486" s="336">
        <v>0.9731240692368156</v>
      </c>
      <c r="M2486" s="258">
        <f t="shared" si="624"/>
        <v>0.9731240692368156</v>
      </c>
      <c r="N2486" s="251">
        <f t="shared" si="625"/>
        <v>0.11004200166778037</v>
      </c>
      <c r="O2486" s="336">
        <v>1.7009150702179714E-2</v>
      </c>
      <c r="P2486" s="258">
        <f t="shared" si="626"/>
        <v>1.7009150702179714E-2</v>
      </c>
      <c r="Q2486" s="354">
        <v>6.3167093023255809</v>
      </c>
      <c r="R2486" s="249">
        <f t="shared" si="627"/>
        <v>6.4695764999999996</v>
      </c>
      <c r="S2486" s="355">
        <v>0.1</v>
      </c>
      <c r="T2486" s="355"/>
      <c r="U2486" s="315">
        <f t="shared" si="628"/>
        <v>7.1165341499999997</v>
      </c>
      <c r="V2486" s="315">
        <f t="shared" si="629"/>
        <v>8</v>
      </c>
      <c r="W2486" s="316">
        <f t="shared" si="630"/>
        <v>0</v>
      </c>
    </row>
    <row r="2487" spans="1:23" x14ac:dyDescent="0.25">
      <c r="A2487" s="204" t="s">
        <v>18157</v>
      </c>
      <c r="B2487" s="351" t="s">
        <v>22173</v>
      </c>
      <c r="C2487" s="352"/>
      <c r="D2487" s="353" t="s">
        <v>14859</v>
      </c>
      <c r="E2487" s="249">
        <f t="shared" si="619"/>
        <v>0</v>
      </c>
      <c r="F2487" s="336">
        <v>0</v>
      </c>
      <c r="G2487" s="258">
        <f t="shared" si="620"/>
        <v>0</v>
      </c>
      <c r="H2487" s="249">
        <f t="shared" si="621"/>
        <v>10.969712713393561</v>
      </c>
      <c r="I2487" s="336">
        <v>8.5095225609610765E-3</v>
      </c>
      <c r="J2487" s="258">
        <f t="shared" si="622"/>
        <v>8.5095225609610765E-3</v>
      </c>
      <c r="K2487" s="249">
        <f t="shared" si="623"/>
        <v>1259.2124005458491</v>
      </c>
      <c r="L2487" s="336">
        <v>0.97680737968679232</v>
      </c>
      <c r="M2487" s="258">
        <f t="shared" si="624"/>
        <v>0.97680737968679232</v>
      </c>
      <c r="N2487" s="251">
        <f t="shared" si="625"/>
        <v>18.928131740757518</v>
      </c>
      <c r="O2487" s="336">
        <v>1.4683097752246563E-2</v>
      </c>
      <c r="P2487" s="258">
        <f t="shared" si="626"/>
        <v>1.4683097752246563E-2</v>
      </c>
      <c r="Q2487" s="354">
        <v>1258.5899999999999</v>
      </c>
      <c r="R2487" s="249">
        <f t="shared" si="627"/>
        <v>1289.1102450000001</v>
      </c>
      <c r="S2487" s="355">
        <v>0.1</v>
      </c>
      <c r="T2487" s="355"/>
      <c r="U2487" s="315">
        <f t="shared" si="628"/>
        <v>1418.0212695</v>
      </c>
      <c r="V2487" s="315">
        <f t="shared" si="629"/>
        <v>1425</v>
      </c>
      <c r="W2487" s="316">
        <f t="shared" si="630"/>
        <v>0</v>
      </c>
    </row>
    <row r="2488" spans="1:23" x14ac:dyDescent="0.25">
      <c r="A2488" s="204" t="s">
        <v>18158</v>
      </c>
      <c r="B2488" s="351" t="s">
        <v>22174</v>
      </c>
      <c r="C2488" s="352"/>
      <c r="D2488" s="353" t="s">
        <v>5</v>
      </c>
      <c r="E2488" s="249">
        <f t="shared" si="619"/>
        <v>0</v>
      </c>
      <c r="F2488" s="336">
        <v>0</v>
      </c>
      <c r="G2488" s="258">
        <f t="shared" si="620"/>
        <v>0</v>
      </c>
      <c r="H2488" s="249">
        <f t="shared" si="621"/>
        <v>6.3776892635668159E-2</v>
      </c>
      <c r="I2488" s="336">
        <v>8.5095225609610765E-3</v>
      </c>
      <c r="J2488" s="258">
        <f t="shared" si="622"/>
        <v>8.5095225609610765E-3</v>
      </c>
      <c r="K2488" s="249">
        <f t="shared" si="623"/>
        <v>7.3208845973262422</v>
      </c>
      <c r="L2488" s="336">
        <v>0.97679943428757565</v>
      </c>
      <c r="M2488" s="258">
        <f t="shared" si="624"/>
        <v>0.97679943428757565</v>
      </c>
      <c r="N2488" s="251">
        <f t="shared" si="625"/>
        <v>0.1100464029791921</v>
      </c>
      <c r="O2488" s="336">
        <v>1.4683097752246563E-2</v>
      </c>
      <c r="P2488" s="258">
        <f t="shared" si="626"/>
        <v>1.4683097752246563E-2</v>
      </c>
      <c r="Q2488" s="354">
        <v>7.3173837209302324</v>
      </c>
      <c r="R2488" s="249">
        <f t="shared" si="627"/>
        <v>7.4947674418604642</v>
      </c>
      <c r="S2488" s="355">
        <v>0.1</v>
      </c>
      <c r="T2488" s="355"/>
      <c r="U2488" s="315">
        <f t="shared" si="628"/>
        <v>8.2442441860465099</v>
      </c>
      <c r="V2488" s="315">
        <f t="shared" si="629"/>
        <v>9</v>
      </c>
      <c r="W2488" s="316">
        <f t="shared" si="630"/>
        <v>0</v>
      </c>
    </row>
    <row r="2489" spans="1:23" x14ac:dyDescent="0.25">
      <c r="A2489" s="204" t="s">
        <v>18159</v>
      </c>
      <c r="B2489" s="351" t="s">
        <v>22175</v>
      </c>
      <c r="C2489" s="352"/>
      <c r="D2489" s="353" t="s">
        <v>14859</v>
      </c>
      <c r="E2489" s="249">
        <f t="shared" si="619"/>
        <v>0</v>
      </c>
      <c r="F2489" s="336">
        <v>0</v>
      </c>
      <c r="G2489" s="258">
        <f t="shared" si="620"/>
        <v>0</v>
      </c>
      <c r="H2489" s="249">
        <f t="shared" si="621"/>
        <v>10.969817613804242</v>
      </c>
      <c r="I2489" s="336">
        <v>8.1767272477410932E-3</v>
      </c>
      <c r="J2489" s="258">
        <f t="shared" si="622"/>
        <v>8.1767272477410932E-3</v>
      </c>
      <c r="K2489" s="249">
        <f t="shared" si="623"/>
        <v>1311.6921271408082</v>
      </c>
      <c r="L2489" s="336">
        <v>0.97771441005027426</v>
      </c>
      <c r="M2489" s="258">
        <f t="shared" si="624"/>
        <v>0.97771441005027426</v>
      </c>
      <c r="N2489" s="251">
        <f t="shared" si="625"/>
        <v>18.928312745387711</v>
      </c>
      <c r="O2489" s="336">
        <v>1.4108862701984632E-2</v>
      </c>
      <c r="P2489" s="258">
        <f t="shared" si="626"/>
        <v>1.4108862701984632E-2</v>
      </c>
      <c r="Q2489" s="354">
        <v>1309.8150000000001</v>
      </c>
      <c r="R2489" s="249">
        <f t="shared" si="627"/>
        <v>1341.5902575000002</v>
      </c>
      <c r="S2489" s="355">
        <v>0.1</v>
      </c>
      <c r="T2489" s="355"/>
      <c r="U2489" s="315">
        <f t="shared" si="628"/>
        <v>1475.7492832500002</v>
      </c>
      <c r="V2489" s="315">
        <f t="shared" si="629"/>
        <v>1500</v>
      </c>
      <c r="W2489" s="316">
        <f t="shared" si="630"/>
        <v>0</v>
      </c>
    </row>
    <row r="2490" spans="1:23" x14ac:dyDescent="0.25">
      <c r="A2490" s="204" t="s">
        <v>18160</v>
      </c>
      <c r="B2490" s="351" t="s">
        <v>22176</v>
      </c>
      <c r="C2490" s="352"/>
      <c r="D2490" s="353" t="s">
        <v>5</v>
      </c>
      <c r="E2490" s="249">
        <f t="shared" si="619"/>
        <v>0</v>
      </c>
      <c r="F2490" s="336">
        <v>0</v>
      </c>
      <c r="G2490" s="258">
        <f t="shared" si="620"/>
        <v>0</v>
      </c>
      <c r="H2490" s="249">
        <f t="shared" si="621"/>
        <v>6.3777522344381318E-2</v>
      </c>
      <c r="I2490" s="336">
        <v>8.1767272477410932E-3</v>
      </c>
      <c r="J2490" s="258">
        <f t="shared" si="622"/>
        <v>8.1767272477410932E-3</v>
      </c>
      <c r="K2490" s="249">
        <f t="shared" si="623"/>
        <v>7.6259992322175432</v>
      </c>
      <c r="L2490" s="336">
        <v>0.97770677538431006</v>
      </c>
      <c r="M2490" s="258">
        <f t="shared" si="624"/>
        <v>0.97770677538431006</v>
      </c>
      <c r="N2490" s="251">
        <f t="shared" si="625"/>
        <v>0.11004748953540307</v>
      </c>
      <c r="O2490" s="336">
        <v>1.4108862701984632E-2</v>
      </c>
      <c r="P2490" s="258">
        <f t="shared" si="626"/>
        <v>1.4108862701984632E-2</v>
      </c>
      <c r="Q2490" s="354">
        <v>7.6152034883720932</v>
      </c>
      <c r="R2490" s="249">
        <f t="shared" si="627"/>
        <v>7.7998837936046517</v>
      </c>
      <c r="S2490" s="355">
        <v>0.1</v>
      </c>
      <c r="T2490" s="355"/>
      <c r="U2490" s="315">
        <f t="shared" si="628"/>
        <v>8.5798721729651177</v>
      </c>
      <c r="V2490" s="315">
        <f t="shared" si="629"/>
        <v>9</v>
      </c>
      <c r="W2490" s="316">
        <f t="shared" si="630"/>
        <v>0</v>
      </c>
    </row>
    <row r="2491" spans="1:23" x14ac:dyDescent="0.25">
      <c r="A2491" s="204" t="s">
        <v>18161</v>
      </c>
      <c r="B2491" s="351" t="s">
        <v>22177</v>
      </c>
      <c r="C2491" s="352"/>
      <c r="D2491" s="353" t="s">
        <v>14859</v>
      </c>
      <c r="E2491" s="249">
        <f t="shared" si="619"/>
        <v>0</v>
      </c>
      <c r="F2491" s="336">
        <v>0</v>
      </c>
      <c r="G2491" s="258">
        <f t="shared" si="620"/>
        <v>0</v>
      </c>
      <c r="H2491" s="249">
        <f t="shared" si="621"/>
        <v>10.970030316441733</v>
      </c>
      <c r="I2491" s="336">
        <v>7.5019306439157146E-3</v>
      </c>
      <c r="J2491" s="258">
        <f t="shared" si="622"/>
        <v>7.5019306439157146E-3</v>
      </c>
      <c r="K2491" s="249">
        <f t="shared" si="623"/>
        <v>1432.3955761718546</v>
      </c>
      <c r="L2491" s="336">
        <v>0.97955356157834728</v>
      </c>
      <c r="M2491" s="258">
        <f t="shared" si="624"/>
        <v>0.97955356157834728</v>
      </c>
      <c r="N2491" s="251">
        <f t="shared" si="625"/>
        <v>18.928679761703382</v>
      </c>
      <c r="O2491" s="336">
        <v>1.2944507777736919E-2</v>
      </c>
      <c r="P2491" s="258">
        <f t="shared" si="626"/>
        <v>1.2944507777736919E-2</v>
      </c>
      <c r="Q2491" s="354">
        <v>1427.6324999999999</v>
      </c>
      <c r="R2491" s="249">
        <f t="shared" si="627"/>
        <v>1462.2942862499999</v>
      </c>
      <c r="S2491" s="355">
        <v>0.1</v>
      </c>
      <c r="T2491" s="355"/>
      <c r="U2491" s="315">
        <f t="shared" si="628"/>
        <v>1608.523714875</v>
      </c>
      <c r="V2491" s="315">
        <f t="shared" si="629"/>
        <v>1625</v>
      </c>
      <c r="W2491" s="316">
        <f t="shared" si="630"/>
        <v>0</v>
      </c>
    </row>
    <row r="2492" spans="1:23" x14ac:dyDescent="0.25">
      <c r="A2492" s="204" t="s">
        <v>18162</v>
      </c>
      <c r="B2492" s="351" t="s">
        <v>22178</v>
      </c>
      <c r="C2492" s="352"/>
      <c r="D2492" s="353" t="s">
        <v>5</v>
      </c>
      <c r="E2492" s="249">
        <f t="shared" si="619"/>
        <v>0</v>
      </c>
      <c r="F2492" s="336">
        <v>0</v>
      </c>
      <c r="G2492" s="258">
        <f t="shared" si="620"/>
        <v>0</v>
      </c>
      <c r="H2492" s="249">
        <f t="shared" si="621"/>
        <v>6.3778799181176085E-2</v>
      </c>
      <c r="I2492" s="336">
        <v>7.5019306439157154E-3</v>
      </c>
      <c r="J2492" s="258">
        <f t="shared" si="622"/>
        <v>7.5019306439157154E-3</v>
      </c>
      <c r="K2492" s="249">
        <f t="shared" si="623"/>
        <v>8.3277633600308132</v>
      </c>
      <c r="L2492" s="336">
        <v>0.9795465569745716</v>
      </c>
      <c r="M2492" s="258">
        <f t="shared" si="624"/>
        <v>0.9795465569745716</v>
      </c>
      <c r="N2492" s="251">
        <f t="shared" si="625"/>
        <v>0.11004969270477441</v>
      </c>
      <c r="O2492" s="336">
        <v>1.2944507777736919E-2</v>
      </c>
      <c r="P2492" s="258">
        <f t="shared" si="626"/>
        <v>1.2944507777736919E-2</v>
      </c>
      <c r="Q2492" s="354">
        <v>8.3001889534883713</v>
      </c>
      <c r="R2492" s="249">
        <f t="shared" si="627"/>
        <v>8.5016514026162788</v>
      </c>
      <c r="S2492" s="355">
        <v>0.1</v>
      </c>
      <c r="T2492" s="355"/>
      <c r="U2492" s="315">
        <f t="shared" si="628"/>
        <v>9.3518165428779074</v>
      </c>
      <c r="V2492" s="315">
        <f t="shared" si="629"/>
        <v>10</v>
      </c>
      <c r="W2492" s="316">
        <f t="shared" si="630"/>
        <v>0</v>
      </c>
    </row>
    <row r="2493" spans="1:23" x14ac:dyDescent="0.25">
      <c r="A2493" s="204" t="s">
        <v>18163</v>
      </c>
      <c r="B2493" s="351" t="s">
        <v>22179</v>
      </c>
      <c r="C2493" s="352"/>
      <c r="D2493" s="353" t="s">
        <v>14859</v>
      </c>
      <c r="E2493" s="249">
        <f t="shared" si="619"/>
        <v>0</v>
      </c>
      <c r="F2493" s="336">
        <v>0</v>
      </c>
      <c r="G2493" s="258">
        <f t="shared" si="620"/>
        <v>0</v>
      </c>
      <c r="H2493" s="249">
        <f t="shared" si="621"/>
        <v>10.970158701727454</v>
      </c>
      <c r="I2493" s="336">
        <v>7.0946298421593916E-3</v>
      </c>
      <c r="J2493" s="258">
        <f t="shared" si="622"/>
        <v>7.0946298421593916E-3</v>
      </c>
      <c r="K2493" s="249">
        <f t="shared" si="623"/>
        <v>1516.3632462590172</v>
      </c>
      <c r="L2493" s="336">
        <v>0.98066365592038907</v>
      </c>
      <c r="M2493" s="258">
        <f t="shared" si="624"/>
        <v>0.98066365592038907</v>
      </c>
      <c r="N2493" s="251">
        <f t="shared" si="625"/>
        <v>18.928901289255215</v>
      </c>
      <c r="O2493" s="336">
        <v>1.2241714237451498E-2</v>
      </c>
      <c r="P2493" s="258">
        <f t="shared" si="626"/>
        <v>1.2241714237451498E-2</v>
      </c>
      <c r="Q2493" s="354">
        <v>1509.5925</v>
      </c>
      <c r="R2493" s="249">
        <f t="shared" si="627"/>
        <v>1546.2623062499999</v>
      </c>
      <c r="S2493" s="355">
        <v>0.1</v>
      </c>
      <c r="T2493" s="355"/>
      <c r="U2493" s="315">
        <f t="shared" si="628"/>
        <v>1700.888536875</v>
      </c>
      <c r="V2493" s="315">
        <f t="shared" si="629"/>
        <v>1725</v>
      </c>
      <c r="W2493" s="316">
        <f t="shared" si="630"/>
        <v>0</v>
      </c>
    </row>
    <row r="2494" spans="1:23" x14ac:dyDescent="0.25">
      <c r="A2494" s="204" t="s">
        <v>18164</v>
      </c>
      <c r="B2494" s="351" t="s">
        <v>22180</v>
      </c>
      <c r="C2494" s="352"/>
      <c r="D2494" s="353" t="s">
        <v>5</v>
      </c>
      <c r="E2494" s="249">
        <f t="shared" si="619"/>
        <v>0</v>
      </c>
      <c r="F2494" s="336">
        <v>0</v>
      </c>
      <c r="G2494" s="258">
        <f t="shared" si="620"/>
        <v>0</v>
      </c>
      <c r="H2494" s="249">
        <f t="shared" si="621"/>
        <v>6.3779569867701863E-2</v>
      </c>
      <c r="I2494" s="336">
        <v>7.0946298421593924E-3</v>
      </c>
      <c r="J2494" s="258">
        <f t="shared" si="622"/>
        <v>7.0946298421593924E-3</v>
      </c>
      <c r="K2494" s="249">
        <f t="shared" si="623"/>
        <v>8.815947421603342</v>
      </c>
      <c r="L2494" s="336">
        <v>0.98065703161614792</v>
      </c>
      <c r="M2494" s="258">
        <f t="shared" si="624"/>
        <v>0.98065703161614792</v>
      </c>
      <c r="N2494" s="251">
        <f t="shared" si="625"/>
        <v>0.11005102251681888</v>
      </c>
      <c r="O2494" s="336">
        <v>1.2241714237451498E-2</v>
      </c>
      <c r="P2494" s="258">
        <f t="shared" si="626"/>
        <v>1.2241714237451498E-2</v>
      </c>
      <c r="Q2494" s="354">
        <v>8.7767005813953478</v>
      </c>
      <c r="R2494" s="249">
        <f t="shared" si="627"/>
        <v>8.9898375654069742</v>
      </c>
      <c r="S2494" s="355">
        <v>0.1</v>
      </c>
      <c r="T2494" s="355"/>
      <c r="U2494" s="315">
        <f t="shared" si="628"/>
        <v>9.8888213219476722</v>
      </c>
      <c r="V2494" s="315">
        <f t="shared" si="629"/>
        <v>10</v>
      </c>
      <c r="W2494" s="316">
        <f t="shared" si="630"/>
        <v>0</v>
      </c>
    </row>
    <row r="2495" spans="1:23" x14ac:dyDescent="0.25">
      <c r="A2495" s="204" t="s">
        <v>18165</v>
      </c>
      <c r="B2495" s="351" t="s">
        <v>22181</v>
      </c>
      <c r="C2495" s="352"/>
      <c r="D2495" s="353" t="s">
        <v>14859</v>
      </c>
      <c r="E2495" s="249">
        <f t="shared" si="619"/>
        <v>0</v>
      </c>
      <c r="F2495" s="336">
        <v>0</v>
      </c>
      <c r="G2495" s="258">
        <f t="shared" si="620"/>
        <v>0</v>
      </c>
      <c r="H2495" s="249">
        <f t="shared" si="621"/>
        <v>10.97017527256911</v>
      </c>
      <c r="I2495" s="336">
        <v>7.0420590428322887E-3</v>
      </c>
      <c r="J2495" s="258">
        <f t="shared" si="622"/>
        <v>7.0420590428322887E-3</v>
      </c>
      <c r="K2495" s="249">
        <f t="shared" si="623"/>
        <v>1527.908803845351</v>
      </c>
      <c r="L2495" s="336">
        <v>0.98080693711855516</v>
      </c>
      <c r="M2495" s="258">
        <f t="shared" si="624"/>
        <v>0.98080693711855516</v>
      </c>
      <c r="N2495" s="251">
        <f t="shared" si="625"/>
        <v>18.92892988208003</v>
      </c>
      <c r="O2495" s="336">
        <v>1.2151003838612576E-2</v>
      </c>
      <c r="P2495" s="258">
        <f t="shared" si="626"/>
        <v>1.2151003838612576E-2</v>
      </c>
      <c r="Q2495" s="354">
        <v>1520.8620000000001</v>
      </c>
      <c r="R2495" s="249">
        <f t="shared" si="627"/>
        <v>1557.8079090000001</v>
      </c>
      <c r="S2495" s="355">
        <v>0.1</v>
      </c>
      <c r="T2495" s="355"/>
      <c r="U2495" s="315">
        <f t="shared" si="628"/>
        <v>1713.5886999000002</v>
      </c>
      <c r="V2495" s="315">
        <f t="shared" si="629"/>
        <v>1725</v>
      </c>
      <c r="W2495" s="316">
        <f t="shared" si="630"/>
        <v>0</v>
      </c>
    </row>
    <row r="2496" spans="1:23" x14ac:dyDescent="0.25">
      <c r="A2496" s="204" t="s">
        <v>18166</v>
      </c>
      <c r="B2496" s="351" t="s">
        <v>22182</v>
      </c>
      <c r="C2496" s="352"/>
      <c r="D2496" s="353" t="s">
        <v>5</v>
      </c>
      <c r="E2496" s="249">
        <f t="shared" si="619"/>
        <v>0</v>
      </c>
      <c r="F2496" s="336">
        <v>0</v>
      </c>
      <c r="G2496" s="258">
        <f t="shared" si="620"/>
        <v>0</v>
      </c>
      <c r="H2496" s="249">
        <f t="shared" si="621"/>
        <v>6.3779669341129164E-2</v>
      </c>
      <c r="I2496" s="336">
        <v>7.0420590428322887E-3</v>
      </c>
      <c r="J2496" s="258">
        <f t="shared" si="622"/>
        <v>7.0420590428322887E-3</v>
      </c>
      <c r="K2496" s="249">
        <f t="shared" si="623"/>
        <v>8.8830727477803357</v>
      </c>
      <c r="L2496" s="336">
        <v>0.98080036190002773</v>
      </c>
      <c r="M2496" s="258">
        <f t="shared" si="624"/>
        <v>0.98080036190002773</v>
      </c>
      <c r="N2496" s="251">
        <f t="shared" si="625"/>
        <v>0.11005119415724246</v>
      </c>
      <c r="O2496" s="336">
        <v>1.2151003838612576E-2</v>
      </c>
      <c r="P2496" s="258">
        <f t="shared" si="626"/>
        <v>1.2151003838612576E-2</v>
      </c>
      <c r="Q2496" s="354">
        <v>8.8422209302325587</v>
      </c>
      <c r="R2496" s="249">
        <f t="shared" si="627"/>
        <v>9.0569631627906979</v>
      </c>
      <c r="S2496" s="355">
        <v>0.1</v>
      </c>
      <c r="T2496" s="355"/>
      <c r="U2496" s="315">
        <f t="shared" si="628"/>
        <v>9.9626594790697673</v>
      </c>
      <c r="V2496" s="315">
        <f t="shared" si="629"/>
        <v>10</v>
      </c>
      <c r="W2496" s="316">
        <f t="shared" si="630"/>
        <v>0</v>
      </c>
    </row>
    <row r="2497" spans="1:23" x14ac:dyDescent="0.25">
      <c r="A2497" s="204" t="s">
        <v>18167</v>
      </c>
      <c r="B2497" s="351" t="s">
        <v>22183</v>
      </c>
      <c r="C2497" s="352"/>
      <c r="D2497" s="353" t="s">
        <v>14859</v>
      </c>
      <c r="E2497" s="249">
        <f t="shared" si="619"/>
        <v>0</v>
      </c>
      <c r="F2497" s="336">
        <v>0</v>
      </c>
      <c r="G2497" s="258">
        <f t="shared" si="620"/>
        <v>0</v>
      </c>
      <c r="H2497" s="249">
        <f t="shared" si="621"/>
        <v>10.970351475068371</v>
      </c>
      <c r="I2497" s="336">
        <v>6.4830586961969689E-3</v>
      </c>
      <c r="J2497" s="258">
        <f t="shared" si="622"/>
        <v>6.4830586961969689E-3</v>
      </c>
      <c r="K2497" s="249">
        <f t="shared" si="623"/>
        <v>1662.2571556071666</v>
      </c>
      <c r="L2497" s="336">
        <v>0.98233048708291415</v>
      </c>
      <c r="M2497" s="258">
        <f t="shared" si="624"/>
        <v>0.98233048708291415</v>
      </c>
      <c r="N2497" s="251">
        <f t="shared" si="625"/>
        <v>18.929233917765032</v>
      </c>
      <c r="O2497" s="336">
        <v>1.1186454220888887E-2</v>
      </c>
      <c r="P2497" s="258">
        <f t="shared" si="626"/>
        <v>1.1186454220888887E-2</v>
      </c>
      <c r="Q2497" s="354">
        <v>1651.998</v>
      </c>
      <c r="R2497" s="249">
        <f t="shared" si="627"/>
        <v>1692.156741</v>
      </c>
      <c r="S2497" s="355">
        <v>0.1</v>
      </c>
      <c r="T2497" s="355"/>
      <c r="U2497" s="315">
        <f t="shared" si="628"/>
        <v>1861.3724151000001</v>
      </c>
      <c r="V2497" s="315">
        <f t="shared" si="629"/>
        <v>1875</v>
      </c>
      <c r="W2497" s="316">
        <f t="shared" si="630"/>
        <v>0</v>
      </c>
    </row>
    <row r="2498" spans="1:23" x14ac:dyDescent="0.25">
      <c r="A2498" s="204" t="s">
        <v>18168</v>
      </c>
      <c r="B2498" s="351" t="s">
        <v>22184</v>
      </c>
      <c r="C2498" s="352"/>
      <c r="D2498" s="353" t="s">
        <v>5</v>
      </c>
      <c r="E2498" s="249">
        <f t="shared" ref="E2498:E2561" si="631">R2498*G2498</f>
        <v>0</v>
      </c>
      <c r="F2498" s="336">
        <v>0</v>
      </c>
      <c r="G2498" s="258">
        <f t="shared" ref="G2498:G2561" si="632">F2498</f>
        <v>0</v>
      </c>
      <c r="H2498" s="249">
        <f t="shared" ref="H2498:H2561" si="633">R2498*J2498</f>
        <v>6.3780727070535059E-2</v>
      </c>
      <c r="I2498" s="336">
        <v>6.4830586961969689E-3</v>
      </c>
      <c r="J2498" s="258">
        <f t="shared" ref="J2498:J2561" si="634">I2498</f>
        <v>6.4830586961969689E-3</v>
      </c>
      <c r="K2498" s="249">
        <f t="shared" ref="K2498:K2561" si="635">R2498*M2498</f>
        <v>9.6641677244267186</v>
      </c>
      <c r="L2498" s="336">
        <v>0.98232443380682066</v>
      </c>
      <c r="M2498" s="258">
        <f t="shared" ref="M2498:M2561" si="636">L2498</f>
        <v>0.98232443380682066</v>
      </c>
      <c r="N2498" s="251">
        <f t="shared" ref="N2498:N2561" si="637">P2498*R2498</f>
        <v>0.11005301925896244</v>
      </c>
      <c r="O2498" s="336">
        <v>1.1186454220888885E-2</v>
      </c>
      <c r="P2498" s="258">
        <f t="shared" ref="P2498:P2561" si="638">O2498</f>
        <v>1.1186454220888885E-2</v>
      </c>
      <c r="Q2498" s="354">
        <v>9.6046395348837219</v>
      </c>
      <c r="R2498" s="249">
        <f t="shared" ref="R2498:R2561" si="639">SUM(F2498*Q2498*1.0235,I2498*Q2498*1.0175,L2498*Q2498*1.0245,O2498*Q2498*1.0115)</f>
        <v>9.8380610232558148</v>
      </c>
      <c r="S2498" s="355">
        <v>0.1</v>
      </c>
      <c r="T2498" s="355"/>
      <c r="U2498" s="315">
        <f t="shared" si="628"/>
        <v>10.821867125581397</v>
      </c>
      <c r="V2498" s="315">
        <f t="shared" si="629"/>
        <v>11</v>
      </c>
      <c r="W2498" s="316">
        <f t="shared" si="630"/>
        <v>0</v>
      </c>
    </row>
    <row r="2499" spans="1:23" x14ac:dyDescent="0.25">
      <c r="A2499" s="204" t="s">
        <v>18169</v>
      </c>
      <c r="B2499" s="351" t="s">
        <v>22185</v>
      </c>
      <c r="C2499" s="352"/>
      <c r="D2499" s="353" t="s">
        <v>14859</v>
      </c>
      <c r="E2499" s="249">
        <f t="shared" si="631"/>
        <v>0</v>
      </c>
      <c r="F2499" s="336">
        <v>0</v>
      </c>
      <c r="G2499" s="258">
        <f t="shared" si="632"/>
        <v>0</v>
      </c>
      <c r="H2499" s="249">
        <f t="shared" si="633"/>
        <v>10.970658408969381</v>
      </c>
      <c r="I2499" s="336">
        <v>5.5093145224450564E-3</v>
      </c>
      <c r="J2499" s="258">
        <f t="shared" si="634"/>
        <v>5.5093145224450564E-3</v>
      </c>
      <c r="K2499" s="249">
        <f t="shared" si="635"/>
        <v>1961.3923903118284</v>
      </c>
      <c r="L2499" s="336">
        <v>0.9849844172819634</v>
      </c>
      <c r="M2499" s="258">
        <f t="shared" si="636"/>
        <v>0.9849844172819634</v>
      </c>
      <c r="N2499" s="251">
        <f t="shared" si="637"/>
        <v>18.929763529202067</v>
      </c>
      <c r="O2499" s="336">
        <v>9.5062681955914684E-3</v>
      </c>
      <c r="P2499" s="258">
        <f t="shared" si="638"/>
        <v>9.5062681955914684E-3</v>
      </c>
      <c r="Q2499" s="354">
        <v>1943.9804999999999</v>
      </c>
      <c r="R2499" s="249">
        <f t="shared" si="639"/>
        <v>1991.29281225</v>
      </c>
      <c r="S2499" s="355">
        <v>0.1</v>
      </c>
      <c r="T2499" s="355"/>
      <c r="U2499" s="315">
        <f t="shared" si="628"/>
        <v>2190.4220934750001</v>
      </c>
      <c r="V2499" s="315">
        <f t="shared" si="629"/>
        <v>2200</v>
      </c>
      <c r="W2499" s="316">
        <f t="shared" si="630"/>
        <v>0</v>
      </c>
    </row>
    <row r="2500" spans="1:23" x14ac:dyDescent="0.25">
      <c r="A2500" s="204" t="s">
        <v>18170</v>
      </c>
      <c r="B2500" s="351" t="s">
        <v>22186</v>
      </c>
      <c r="C2500" s="352"/>
      <c r="D2500" s="353" t="s">
        <v>5</v>
      </c>
      <c r="E2500" s="249">
        <f t="shared" si="631"/>
        <v>0</v>
      </c>
      <c r="F2500" s="336">
        <v>0</v>
      </c>
      <c r="G2500" s="258">
        <f t="shared" si="632"/>
        <v>0</v>
      </c>
      <c r="H2500" s="249">
        <f t="shared" si="633"/>
        <v>6.3782569570012201E-2</v>
      </c>
      <c r="I2500" s="336">
        <v>5.5093145224450555E-3</v>
      </c>
      <c r="J2500" s="258">
        <f t="shared" si="634"/>
        <v>5.5093145224450555E-3</v>
      </c>
      <c r="K2500" s="249">
        <f t="shared" si="635"/>
        <v>11.403325905933963</v>
      </c>
      <c r="L2500" s="336">
        <v>0.98497927319744205</v>
      </c>
      <c r="M2500" s="258">
        <f t="shared" si="636"/>
        <v>0.98497927319744205</v>
      </c>
      <c r="N2500" s="251">
        <f t="shared" si="637"/>
        <v>0.11005619847374655</v>
      </c>
      <c r="O2500" s="336">
        <v>9.5062681955914684E-3</v>
      </c>
      <c r="P2500" s="258">
        <f t="shared" si="638"/>
        <v>9.5062681955914684E-3</v>
      </c>
      <c r="Q2500" s="354">
        <v>11.302212209302326</v>
      </c>
      <c r="R2500" s="249">
        <f t="shared" si="639"/>
        <v>11.577224228197675</v>
      </c>
      <c r="S2500" s="355">
        <v>0.1</v>
      </c>
      <c r="T2500" s="355"/>
      <c r="U2500" s="315">
        <f t="shared" si="628"/>
        <v>12.734946651017443</v>
      </c>
      <c r="V2500" s="315">
        <f t="shared" si="629"/>
        <v>13</v>
      </c>
      <c r="W2500" s="316">
        <f t="shared" si="630"/>
        <v>0</v>
      </c>
    </row>
    <row r="2501" spans="1:23" x14ac:dyDescent="0.25">
      <c r="A2501" s="204" t="s">
        <v>18171</v>
      </c>
      <c r="B2501" s="351" t="s">
        <v>22187</v>
      </c>
      <c r="C2501" s="352"/>
      <c r="D2501" s="353" t="s">
        <v>14859</v>
      </c>
      <c r="E2501" s="249">
        <f t="shared" si="631"/>
        <v>0</v>
      </c>
      <c r="F2501" s="336">
        <v>0</v>
      </c>
      <c r="G2501" s="258">
        <f t="shared" si="632"/>
        <v>0</v>
      </c>
      <c r="H2501" s="249">
        <f t="shared" si="633"/>
        <v>10.970874030812711</v>
      </c>
      <c r="I2501" s="336">
        <v>4.825256772592542E-3</v>
      </c>
      <c r="J2501" s="258">
        <f t="shared" si="634"/>
        <v>4.825256772592542E-3</v>
      </c>
      <c r="K2501" s="249">
        <f t="shared" si="635"/>
        <v>2243.7342698866082</v>
      </c>
      <c r="L2501" s="336">
        <v>0.98684880997273794</v>
      </c>
      <c r="M2501" s="258">
        <f t="shared" si="636"/>
        <v>0.98684880997273794</v>
      </c>
      <c r="N2501" s="251">
        <f t="shared" si="637"/>
        <v>18.930135582578796</v>
      </c>
      <c r="O2501" s="336">
        <v>8.3259332546694841E-3</v>
      </c>
      <c r="P2501" s="258">
        <f t="shared" si="638"/>
        <v>8.3259332546694841E-3</v>
      </c>
      <c r="Q2501" s="354">
        <v>2219.5709999999999</v>
      </c>
      <c r="R2501" s="249">
        <f t="shared" si="639"/>
        <v>2273.6352794999998</v>
      </c>
      <c r="S2501" s="355">
        <v>0.1</v>
      </c>
      <c r="T2501" s="355"/>
      <c r="U2501" s="315">
        <f t="shared" si="628"/>
        <v>2500.9988074499997</v>
      </c>
      <c r="V2501" s="315">
        <f t="shared" si="629"/>
        <v>2525</v>
      </c>
      <c r="W2501" s="316">
        <f t="shared" si="630"/>
        <v>0</v>
      </c>
    </row>
    <row r="2502" spans="1:23" x14ac:dyDescent="0.25">
      <c r="A2502" s="204" t="s">
        <v>18172</v>
      </c>
      <c r="B2502" s="351" t="s">
        <v>22188</v>
      </c>
      <c r="C2502" s="352"/>
      <c r="D2502" s="353" t="s">
        <v>5</v>
      </c>
      <c r="E2502" s="249">
        <f t="shared" si="631"/>
        <v>0</v>
      </c>
      <c r="F2502" s="336">
        <v>0</v>
      </c>
      <c r="G2502" s="258">
        <f t="shared" si="632"/>
        <v>0</v>
      </c>
      <c r="H2502" s="249">
        <f t="shared" si="633"/>
        <v>6.37838639305644E-2</v>
      </c>
      <c r="I2502" s="336">
        <v>4.825256772592542E-3</v>
      </c>
      <c r="J2502" s="258">
        <f t="shared" si="634"/>
        <v>4.825256772592542E-3</v>
      </c>
      <c r="K2502" s="249">
        <f t="shared" si="635"/>
        <v>13.044848349342136</v>
      </c>
      <c r="L2502" s="336">
        <v>0.9868443045976002</v>
      </c>
      <c r="M2502" s="258">
        <f t="shared" si="636"/>
        <v>0.9868443045976002</v>
      </c>
      <c r="N2502" s="251">
        <f t="shared" si="637"/>
        <v>0.11005843188018954</v>
      </c>
      <c r="O2502" s="336">
        <v>8.3259332546694841E-3</v>
      </c>
      <c r="P2502" s="258">
        <f t="shared" si="638"/>
        <v>8.3259332546694841E-3</v>
      </c>
      <c r="Q2502" s="354">
        <v>12.904482558139534</v>
      </c>
      <c r="R2502" s="249">
        <f t="shared" si="639"/>
        <v>13.218750200581395</v>
      </c>
      <c r="S2502" s="355">
        <v>0.1</v>
      </c>
      <c r="T2502" s="355"/>
      <c r="U2502" s="315">
        <f t="shared" si="628"/>
        <v>14.540625220639534</v>
      </c>
      <c r="V2502" s="315">
        <f t="shared" si="629"/>
        <v>15</v>
      </c>
      <c r="W2502" s="316">
        <f t="shared" si="630"/>
        <v>0</v>
      </c>
    </row>
    <row r="2503" spans="1:23" x14ac:dyDescent="0.25">
      <c r="A2503" s="204" t="s">
        <v>18173</v>
      </c>
      <c r="B2503" s="351" t="s">
        <v>22189</v>
      </c>
      <c r="C2503" s="352"/>
      <c r="D2503" s="353" t="s">
        <v>14859</v>
      </c>
      <c r="E2503" s="249">
        <f t="shared" si="631"/>
        <v>0</v>
      </c>
      <c r="F2503" s="336">
        <v>0</v>
      </c>
      <c r="G2503" s="258">
        <f t="shared" si="632"/>
        <v>0</v>
      </c>
      <c r="H2503" s="249">
        <f t="shared" si="633"/>
        <v>10.971104544590562</v>
      </c>
      <c r="I2503" s="336">
        <v>4.093954536462858E-3</v>
      </c>
      <c r="J2503" s="258">
        <f t="shared" si="634"/>
        <v>4.093954536462858E-3</v>
      </c>
      <c r="K2503" s="249">
        <f t="shared" si="635"/>
        <v>2649.9289383735668</v>
      </c>
      <c r="L2503" s="336">
        <v>0.98884196704767968</v>
      </c>
      <c r="M2503" s="258">
        <f t="shared" si="636"/>
        <v>0.98884196704767968</v>
      </c>
      <c r="N2503" s="251">
        <f t="shared" si="637"/>
        <v>18.93053333184254</v>
      </c>
      <c r="O2503" s="336">
        <v>7.0640784158574809E-3</v>
      </c>
      <c r="P2503" s="258">
        <f t="shared" si="638"/>
        <v>7.0640784158574809E-3</v>
      </c>
      <c r="Q2503" s="354">
        <v>2616.0524999999998</v>
      </c>
      <c r="R2503" s="249">
        <f t="shared" si="639"/>
        <v>2679.8305762499999</v>
      </c>
      <c r="S2503" s="355">
        <v>0.1</v>
      </c>
      <c r="T2503" s="355"/>
      <c r="U2503" s="315">
        <f t="shared" si="628"/>
        <v>2947.8136338750001</v>
      </c>
      <c r="V2503" s="315">
        <f t="shared" si="629"/>
        <v>2950</v>
      </c>
      <c r="W2503" s="316">
        <f t="shared" si="630"/>
        <v>0</v>
      </c>
    </row>
    <row r="2504" spans="1:23" x14ac:dyDescent="0.25">
      <c r="A2504" s="204" t="s">
        <v>18174</v>
      </c>
      <c r="B2504" s="351" t="s">
        <v>22190</v>
      </c>
      <c r="C2504" s="352"/>
      <c r="D2504" s="353" t="s">
        <v>5</v>
      </c>
      <c r="E2504" s="249">
        <f t="shared" si="631"/>
        <v>0</v>
      </c>
      <c r="F2504" s="336">
        <v>0</v>
      </c>
      <c r="G2504" s="258">
        <f t="shared" si="632"/>
        <v>0</v>
      </c>
      <c r="H2504" s="249">
        <f t="shared" si="633"/>
        <v>6.3785247686199642E-2</v>
      </c>
      <c r="I2504" s="336">
        <v>4.0939545364628589E-3</v>
      </c>
      <c r="J2504" s="258">
        <f t="shared" si="634"/>
        <v>4.0939545364628589E-3</v>
      </c>
      <c r="K2504" s="249">
        <f t="shared" si="635"/>
        <v>15.406445139137697</v>
      </c>
      <c r="L2504" s="336">
        <v>0.98883814449442442</v>
      </c>
      <c r="M2504" s="258">
        <f t="shared" si="636"/>
        <v>0.98883814449442442</v>
      </c>
      <c r="N2504" s="251">
        <f t="shared" si="637"/>
        <v>0.11006081953697192</v>
      </c>
      <c r="O2504" s="336">
        <v>7.0640784158574809E-3</v>
      </c>
      <c r="P2504" s="258">
        <f t="shared" si="638"/>
        <v>7.0640784158574809E-3</v>
      </c>
      <c r="Q2504" s="354">
        <v>15.209607558139533</v>
      </c>
      <c r="R2504" s="249">
        <f t="shared" si="639"/>
        <v>15.580350763081395</v>
      </c>
      <c r="S2504" s="355">
        <v>0.1</v>
      </c>
      <c r="T2504" s="355"/>
      <c r="U2504" s="315">
        <f t="shared" si="628"/>
        <v>17.138385839389535</v>
      </c>
      <c r="V2504" s="315">
        <f t="shared" si="629"/>
        <v>18</v>
      </c>
      <c r="W2504" s="316">
        <f t="shared" si="630"/>
        <v>0</v>
      </c>
    </row>
    <row r="2505" spans="1:23" x14ac:dyDescent="0.25">
      <c r="A2505" s="204" t="s">
        <v>18175</v>
      </c>
      <c r="B2505" s="351" t="s">
        <v>22191</v>
      </c>
      <c r="C2505" s="352"/>
      <c r="D2505" s="353" t="s">
        <v>14859</v>
      </c>
      <c r="E2505" s="249">
        <f t="shared" si="631"/>
        <v>0</v>
      </c>
      <c r="F2505" s="336">
        <v>0</v>
      </c>
      <c r="G2505" s="258">
        <f t="shared" si="632"/>
        <v>0</v>
      </c>
      <c r="H2505" s="249">
        <f t="shared" si="633"/>
        <v>10.971225875674666</v>
      </c>
      <c r="I2505" s="336">
        <v>3.7090331059775692E-3</v>
      </c>
      <c r="J2505" s="258">
        <f t="shared" si="634"/>
        <v>3.7090331059775692E-3</v>
      </c>
      <c r="K2505" s="249">
        <f t="shared" si="635"/>
        <v>2928.072673936887</v>
      </c>
      <c r="L2505" s="336">
        <v>0.98989106663272775</v>
      </c>
      <c r="M2505" s="258">
        <f t="shared" si="636"/>
        <v>0.98989106663272775</v>
      </c>
      <c r="N2505" s="251">
        <f t="shared" si="637"/>
        <v>18.930742687438638</v>
      </c>
      <c r="O2505" s="336">
        <v>6.3999002612946292E-3</v>
      </c>
      <c r="P2505" s="258">
        <f t="shared" si="638"/>
        <v>6.3999002612946292E-3</v>
      </c>
      <c r="Q2505" s="354">
        <v>2887.5450000000001</v>
      </c>
      <c r="R2505" s="249">
        <f t="shared" si="639"/>
        <v>2957.9746425000003</v>
      </c>
      <c r="S2505" s="355">
        <v>0.1</v>
      </c>
      <c r="T2505" s="355"/>
      <c r="U2505" s="315">
        <f t="shared" si="628"/>
        <v>3253.7721067500001</v>
      </c>
      <c r="V2505" s="315">
        <f t="shared" si="629"/>
        <v>3275</v>
      </c>
      <c r="W2505" s="316">
        <f t="shared" si="630"/>
        <v>0</v>
      </c>
    </row>
    <row r="2506" spans="1:23" x14ac:dyDescent="0.25">
      <c r="A2506" s="204" t="s">
        <v>18176</v>
      </c>
      <c r="B2506" s="351" t="s">
        <v>22192</v>
      </c>
      <c r="C2506" s="352"/>
      <c r="D2506" s="353" t="s">
        <v>5</v>
      </c>
      <c r="E2506" s="249">
        <f t="shared" si="631"/>
        <v>0</v>
      </c>
      <c r="F2506" s="336">
        <v>0</v>
      </c>
      <c r="G2506" s="258">
        <f t="shared" si="632"/>
        <v>0</v>
      </c>
      <c r="H2506" s="249">
        <f t="shared" si="633"/>
        <v>6.3785976026921487E-2</v>
      </c>
      <c r="I2506" s="336">
        <v>3.7090331059775692E-3</v>
      </c>
      <c r="J2506" s="258">
        <f t="shared" si="634"/>
        <v>3.7090331059775692E-3</v>
      </c>
      <c r="K2506" s="249">
        <f t="shared" si="635"/>
        <v>17.023559817616331</v>
      </c>
      <c r="L2506" s="336">
        <v>0.98988760348323579</v>
      </c>
      <c r="M2506" s="258">
        <f t="shared" si="636"/>
        <v>0.98988760348323579</v>
      </c>
      <c r="N2506" s="251">
        <f t="shared" si="637"/>
        <v>0.11006207628174687</v>
      </c>
      <c r="O2506" s="336">
        <v>6.3999002612946283E-3</v>
      </c>
      <c r="P2506" s="258">
        <f t="shared" si="638"/>
        <v>6.3999002612946283E-3</v>
      </c>
      <c r="Q2506" s="354">
        <v>16.788052325581397</v>
      </c>
      <c r="R2506" s="249">
        <f t="shared" si="639"/>
        <v>17.197467427325584</v>
      </c>
      <c r="S2506" s="355">
        <v>0.1</v>
      </c>
      <c r="T2506" s="355"/>
      <c r="U2506" s="315">
        <f t="shared" si="628"/>
        <v>18.917214170058141</v>
      </c>
      <c r="V2506" s="315">
        <f t="shared" si="629"/>
        <v>19</v>
      </c>
      <c r="W2506" s="316">
        <f t="shared" si="630"/>
        <v>0</v>
      </c>
    </row>
    <row r="2507" spans="1:23" x14ac:dyDescent="0.25">
      <c r="A2507" s="204" t="s">
        <v>18177</v>
      </c>
      <c r="B2507" s="351" t="s">
        <v>22193</v>
      </c>
      <c r="C2507" s="352"/>
      <c r="D2507" s="353" t="s">
        <v>14859</v>
      </c>
      <c r="E2507" s="249">
        <f t="shared" si="631"/>
        <v>0</v>
      </c>
      <c r="F2507" s="336">
        <v>0</v>
      </c>
      <c r="G2507" s="258">
        <f t="shared" si="632"/>
        <v>0</v>
      </c>
      <c r="H2507" s="249">
        <f t="shared" si="633"/>
        <v>10.97167292849546</v>
      </c>
      <c r="I2507" s="336">
        <v>2.2907633150617691E-3</v>
      </c>
      <c r="J2507" s="258">
        <f t="shared" si="634"/>
        <v>2.2907633150617691E-3</v>
      </c>
      <c r="K2507" s="249">
        <f t="shared" si="635"/>
        <v>4759.6238917488063</v>
      </c>
      <c r="L2507" s="336">
        <v>0.99375654704326311</v>
      </c>
      <c r="M2507" s="258">
        <f t="shared" si="636"/>
        <v>0.99375654704326311</v>
      </c>
      <c r="N2507" s="251">
        <f t="shared" si="637"/>
        <v>18.931514072698047</v>
      </c>
      <c r="O2507" s="336">
        <v>3.9526896416752092E-3</v>
      </c>
      <c r="P2507" s="258">
        <f t="shared" si="638"/>
        <v>3.9526896416752092E-3</v>
      </c>
      <c r="Q2507" s="354">
        <v>4675.2974999999997</v>
      </c>
      <c r="R2507" s="249">
        <f t="shared" si="639"/>
        <v>4789.5270787499994</v>
      </c>
      <c r="S2507" s="355">
        <v>0.1</v>
      </c>
      <c r="T2507" s="355"/>
      <c r="U2507" s="315">
        <f t="shared" si="628"/>
        <v>5268.4797866249992</v>
      </c>
      <c r="V2507" s="315">
        <f t="shared" si="629"/>
        <v>5275</v>
      </c>
      <c r="W2507" s="316">
        <f t="shared" si="630"/>
        <v>0</v>
      </c>
    </row>
    <row r="2508" spans="1:23" x14ac:dyDescent="0.25">
      <c r="A2508" s="204" t="s">
        <v>18178</v>
      </c>
      <c r="B2508" s="351" t="s">
        <v>22194</v>
      </c>
      <c r="C2508" s="352"/>
      <c r="D2508" s="353" t="s">
        <v>5</v>
      </c>
      <c r="E2508" s="249">
        <f t="shared" si="631"/>
        <v>0</v>
      </c>
      <c r="F2508" s="336">
        <v>0</v>
      </c>
      <c r="G2508" s="258">
        <f t="shared" si="632"/>
        <v>0</v>
      </c>
      <c r="H2508" s="249">
        <f t="shared" si="633"/>
        <v>6.3788659648984281E-2</v>
      </c>
      <c r="I2508" s="336">
        <v>2.2907633150617691E-3</v>
      </c>
      <c r="J2508" s="258">
        <f t="shared" si="634"/>
        <v>2.2907633150617691E-3</v>
      </c>
      <c r="K2508" s="249">
        <f t="shared" si="635"/>
        <v>27.67211317679708</v>
      </c>
      <c r="L2508" s="336">
        <v>0.99375440814194183</v>
      </c>
      <c r="M2508" s="258">
        <f t="shared" si="636"/>
        <v>0.99375440814194183</v>
      </c>
      <c r="N2508" s="251">
        <f t="shared" si="637"/>
        <v>0.11006670684530621</v>
      </c>
      <c r="O2508" s="336">
        <v>3.9526896416752092E-3</v>
      </c>
      <c r="P2508" s="258">
        <f t="shared" si="638"/>
        <v>3.9526896416752092E-3</v>
      </c>
      <c r="Q2508" s="354">
        <v>27.181962209302323</v>
      </c>
      <c r="R2508" s="249">
        <f t="shared" si="639"/>
        <v>27.846028103197671</v>
      </c>
      <c r="S2508" s="355">
        <v>0.1</v>
      </c>
      <c r="T2508" s="355"/>
      <c r="U2508" s="315">
        <f t="shared" si="628"/>
        <v>30.630630913517439</v>
      </c>
      <c r="V2508" s="315">
        <f t="shared" si="629"/>
        <v>31</v>
      </c>
      <c r="W2508" s="316">
        <f t="shared" si="630"/>
        <v>0</v>
      </c>
    </row>
    <row r="2509" spans="1:23" x14ac:dyDescent="0.25">
      <c r="A2509" s="204" t="s">
        <v>18179</v>
      </c>
      <c r="B2509" s="351" t="s">
        <v>22195</v>
      </c>
      <c r="C2509" s="352"/>
      <c r="D2509" s="353" t="s">
        <v>14859</v>
      </c>
      <c r="E2509" s="249">
        <f t="shared" si="631"/>
        <v>0</v>
      </c>
      <c r="F2509" s="336">
        <v>0</v>
      </c>
      <c r="G2509" s="258">
        <f t="shared" si="632"/>
        <v>0</v>
      </c>
      <c r="H2509" s="249">
        <f t="shared" si="633"/>
        <v>10.971774264859199</v>
      </c>
      <c r="I2509" s="336">
        <v>1.9692748986402629E-3</v>
      </c>
      <c r="J2509" s="258">
        <f t="shared" si="634"/>
        <v>1.9692748986402629E-3</v>
      </c>
      <c r="K2509" s="249">
        <f t="shared" si="635"/>
        <v>5541.5758018075394</v>
      </c>
      <c r="L2509" s="336">
        <v>0.99463276057037264</v>
      </c>
      <c r="M2509" s="258">
        <f t="shared" si="636"/>
        <v>0.99463276057037264</v>
      </c>
      <c r="N2509" s="251">
        <f t="shared" si="637"/>
        <v>18.931688927600188</v>
      </c>
      <c r="O2509" s="336">
        <v>3.3979645309871204E-3</v>
      </c>
      <c r="P2509" s="258">
        <f t="shared" si="638"/>
        <v>3.3979645309871204E-3</v>
      </c>
      <c r="Q2509" s="354">
        <v>5438.5499999999993</v>
      </c>
      <c r="R2509" s="249">
        <f t="shared" si="639"/>
        <v>5571.479264999999</v>
      </c>
      <c r="S2509" s="355">
        <v>0.1</v>
      </c>
      <c r="T2509" s="355"/>
      <c r="U2509" s="315">
        <f t="shared" si="628"/>
        <v>6128.6271914999988</v>
      </c>
      <c r="V2509" s="315">
        <f t="shared" si="629"/>
        <v>6150</v>
      </c>
      <c r="W2509" s="316">
        <f t="shared" si="630"/>
        <v>0</v>
      </c>
    </row>
    <row r="2510" spans="1:23" ht="14.4" thickBot="1" x14ac:dyDescent="0.3">
      <c r="A2510" s="356" t="s">
        <v>18180</v>
      </c>
      <c r="B2510" s="357" t="s">
        <v>22196</v>
      </c>
      <c r="C2510" s="358"/>
      <c r="D2510" s="359" t="s">
        <v>5</v>
      </c>
      <c r="E2510" s="266">
        <f t="shared" si="631"/>
        <v>0</v>
      </c>
      <c r="F2510" s="360">
        <v>0</v>
      </c>
      <c r="G2510" s="322">
        <f t="shared" si="632"/>
        <v>0</v>
      </c>
      <c r="H2510" s="266">
        <f t="shared" si="633"/>
        <v>6.3789267963010834E-2</v>
      </c>
      <c r="I2510" s="360">
        <v>1.9692748986402629E-3</v>
      </c>
      <c r="J2510" s="322">
        <f t="shared" si="634"/>
        <v>1.9692748986402629E-3</v>
      </c>
      <c r="K2510" s="266">
        <f t="shared" si="635"/>
        <v>32.218345159263549</v>
      </c>
      <c r="L2510" s="360">
        <v>0.99463092184497703</v>
      </c>
      <c r="M2510" s="322">
        <f t="shared" si="636"/>
        <v>0.99463092184497703</v>
      </c>
      <c r="N2510" s="270">
        <f t="shared" si="637"/>
        <v>0.11006775648519518</v>
      </c>
      <c r="O2510" s="360">
        <v>3.3979645309871204E-3</v>
      </c>
      <c r="P2510" s="322">
        <f t="shared" si="638"/>
        <v>3.3979645309871204E-3</v>
      </c>
      <c r="Q2510" s="361">
        <v>31.619476744186041</v>
      </c>
      <c r="R2510" s="266">
        <f t="shared" si="639"/>
        <v>32.392261744186044</v>
      </c>
      <c r="S2510" s="362">
        <v>0.1</v>
      </c>
      <c r="T2510" s="362"/>
      <c r="U2510" s="324">
        <f t="shared" si="628"/>
        <v>35.631487918604648</v>
      </c>
      <c r="V2510" s="324">
        <f t="shared" si="629"/>
        <v>36</v>
      </c>
      <c r="W2510" s="325">
        <f t="shared" si="630"/>
        <v>0</v>
      </c>
    </row>
    <row r="2511" spans="1:23" x14ac:dyDescent="0.25">
      <c r="A2511" s="204" t="s">
        <v>18181</v>
      </c>
      <c r="B2511" s="351" t="s">
        <v>22197</v>
      </c>
      <c r="C2511" s="352"/>
      <c r="D2511" s="353" t="s">
        <v>14859</v>
      </c>
      <c r="E2511" s="249">
        <f t="shared" si="631"/>
        <v>0</v>
      </c>
      <c r="F2511" s="336">
        <v>0</v>
      </c>
      <c r="G2511" s="258">
        <f t="shared" si="632"/>
        <v>0</v>
      </c>
      <c r="H2511" s="249">
        <f t="shared" si="633"/>
        <v>10.856742410071943</v>
      </c>
      <c r="I2511" s="336">
        <v>0.36690647482014388</v>
      </c>
      <c r="J2511" s="258">
        <f t="shared" si="634"/>
        <v>0.36690647482014388</v>
      </c>
      <c r="K2511" s="249">
        <f t="shared" si="635"/>
        <v>0</v>
      </c>
      <c r="L2511" s="336">
        <v>0</v>
      </c>
      <c r="M2511" s="258">
        <f t="shared" si="636"/>
        <v>0</v>
      </c>
      <c r="N2511" s="251">
        <f t="shared" si="637"/>
        <v>18.733202589928059</v>
      </c>
      <c r="O2511" s="336">
        <v>0.63309352517985606</v>
      </c>
      <c r="P2511" s="258">
        <f t="shared" si="638"/>
        <v>0.63309352517985606</v>
      </c>
      <c r="Q2511" s="354">
        <v>29.19</v>
      </c>
      <c r="R2511" s="249">
        <f t="shared" si="639"/>
        <v>29.589945000000004</v>
      </c>
      <c r="S2511" s="355">
        <v>0.1</v>
      </c>
      <c r="T2511" s="355"/>
      <c r="U2511" s="315">
        <f t="shared" si="628"/>
        <v>32.548939500000003</v>
      </c>
      <c r="V2511" s="315">
        <f t="shared" si="629"/>
        <v>33</v>
      </c>
      <c r="W2511" s="316">
        <f t="shared" si="630"/>
        <v>0</v>
      </c>
    </row>
    <row r="2512" spans="1:23" x14ac:dyDescent="0.25">
      <c r="A2512" s="204" t="s">
        <v>18182</v>
      </c>
      <c r="B2512" s="351" t="s">
        <v>22198</v>
      </c>
      <c r="C2512" s="352"/>
      <c r="D2512" s="353" t="s">
        <v>5</v>
      </c>
      <c r="E2512" s="249">
        <f t="shared" si="631"/>
        <v>0</v>
      </c>
      <c r="F2512" s="336">
        <v>0</v>
      </c>
      <c r="G2512" s="258">
        <f t="shared" si="632"/>
        <v>0</v>
      </c>
      <c r="H2512" s="249">
        <f t="shared" si="633"/>
        <v>6.3098741007194273E-2</v>
      </c>
      <c r="I2512" s="336">
        <v>0.36690647482014394</v>
      </c>
      <c r="J2512" s="258">
        <f t="shared" si="634"/>
        <v>0.36690647482014394</v>
      </c>
      <c r="K2512" s="249">
        <f t="shared" si="635"/>
        <v>-5.8915724563205334E-5</v>
      </c>
      <c r="L2512" s="336">
        <v>-3.4258307639601873E-4</v>
      </c>
      <c r="M2512" s="258">
        <f t="shared" si="636"/>
        <v>-3.4258307639601873E-4</v>
      </c>
      <c r="N2512" s="251">
        <f t="shared" si="637"/>
        <v>0.10887625899280577</v>
      </c>
      <c r="O2512" s="336">
        <v>0.63309352517985606</v>
      </c>
      <c r="P2512" s="258">
        <f t="shared" si="638"/>
        <v>0.63309352517985606</v>
      </c>
      <c r="Q2512" s="354">
        <v>0.1697093023255814</v>
      </c>
      <c r="R2512" s="249">
        <f t="shared" si="639"/>
        <v>0.17197500000000004</v>
      </c>
      <c r="S2512" s="355">
        <v>0.1</v>
      </c>
      <c r="T2512" s="355"/>
      <c r="U2512" s="315">
        <f t="shared" si="628"/>
        <v>0.18917250000000005</v>
      </c>
      <c r="V2512" s="315">
        <f t="shared" si="629"/>
        <v>1</v>
      </c>
      <c r="W2512" s="316">
        <f t="shared" si="630"/>
        <v>0</v>
      </c>
    </row>
    <row r="2513" spans="1:23" x14ac:dyDescent="0.25">
      <c r="A2513" s="204" t="s">
        <v>18183</v>
      </c>
      <c r="B2513" s="351" t="s">
        <v>22199</v>
      </c>
      <c r="C2513" s="352"/>
      <c r="D2513" s="353" t="s">
        <v>14859</v>
      </c>
      <c r="E2513" s="249">
        <f t="shared" si="631"/>
        <v>0</v>
      </c>
      <c r="F2513" s="336">
        <v>0</v>
      </c>
      <c r="G2513" s="258">
        <f t="shared" si="632"/>
        <v>0</v>
      </c>
      <c r="H2513" s="249">
        <f t="shared" si="633"/>
        <v>10.939604636342443</v>
      </c>
      <c r="I2513" s="336">
        <v>0.10402704120286731</v>
      </c>
      <c r="J2513" s="258">
        <f t="shared" si="634"/>
        <v>0.10402704120286731</v>
      </c>
      <c r="K2513" s="249">
        <f t="shared" si="635"/>
        <v>75.345377814674507</v>
      </c>
      <c r="L2513" s="336">
        <v>0.7164753190745381</v>
      </c>
      <c r="M2513" s="258">
        <f t="shared" si="636"/>
        <v>0.7164753190745381</v>
      </c>
      <c r="N2513" s="251">
        <f t="shared" si="637"/>
        <v>18.87618054898304</v>
      </c>
      <c r="O2513" s="336">
        <v>0.17949763972259455</v>
      </c>
      <c r="P2513" s="258">
        <f t="shared" si="638"/>
        <v>0.17949763972259455</v>
      </c>
      <c r="Q2513" s="354">
        <v>102.95400000000001</v>
      </c>
      <c r="R2513" s="249">
        <f t="shared" si="639"/>
        <v>105.16116299999999</v>
      </c>
      <c r="S2513" s="355">
        <v>0.1</v>
      </c>
      <c r="T2513" s="355"/>
      <c r="U2513" s="315">
        <f t="shared" si="628"/>
        <v>115.67727929999998</v>
      </c>
      <c r="V2513" s="315">
        <f t="shared" si="629"/>
        <v>120</v>
      </c>
      <c r="W2513" s="316">
        <f t="shared" si="630"/>
        <v>0</v>
      </c>
    </row>
    <row r="2514" spans="1:23" x14ac:dyDescent="0.25">
      <c r="A2514" s="204" t="s">
        <v>18184</v>
      </c>
      <c r="B2514" s="351" t="s">
        <v>22200</v>
      </c>
      <c r="C2514" s="352"/>
      <c r="D2514" s="353" t="s">
        <v>5</v>
      </c>
      <c r="E2514" s="249">
        <f t="shared" si="631"/>
        <v>0</v>
      </c>
      <c r="F2514" s="336">
        <v>0</v>
      </c>
      <c r="G2514" s="258">
        <f t="shared" si="632"/>
        <v>0</v>
      </c>
      <c r="H2514" s="249">
        <f t="shared" si="633"/>
        <v>6.3596156275030943E-2</v>
      </c>
      <c r="I2514" s="336">
        <v>0.10402704120286731</v>
      </c>
      <c r="J2514" s="258">
        <f t="shared" si="634"/>
        <v>0.10402704120286731</v>
      </c>
      <c r="K2514" s="249">
        <f t="shared" si="635"/>
        <v>0.43795246591117004</v>
      </c>
      <c r="L2514" s="336">
        <v>0.71637818831711242</v>
      </c>
      <c r="M2514" s="258">
        <f t="shared" si="636"/>
        <v>0.71637818831711242</v>
      </c>
      <c r="N2514" s="251">
        <f t="shared" si="637"/>
        <v>0.10973454416083767</v>
      </c>
      <c r="O2514" s="336">
        <v>0.17949763972259453</v>
      </c>
      <c r="P2514" s="258">
        <f t="shared" si="638"/>
        <v>0.17949763972259453</v>
      </c>
      <c r="Q2514" s="354">
        <v>0.59856976744186052</v>
      </c>
      <c r="R2514" s="249">
        <f t="shared" si="639"/>
        <v>0.61134254651162789</v>
      </c>
      <c r="S2514" s="355">
        <v>0.1</v>
      </c>
      <c r="T2514" s="355"/>
      <c r="U2514" s="315">
        <f t="shared" si="628"/>
        <v>0.67247680116279063</v>
      </c>
      <c r="V2514" s="315">
        <f t="shared" si="629"/>
        <v>1</v>
      </c>
      <c r="W2514" s="316">
        <f t="shared" si="630"/>
        <v>0</v>
      </c>
    </row>
    <row r="2515" spans="1:23" x14ac:dyDescent="0.25">
      <c r="A2515" s="204" t="s">
        <v>18185</v>
      </c>
      <c r="B2515" s="351" t="s">
        <v>22201</v>
      </c>
      <c r="C2515" s="352"/>
      <c r="D2515" s="353" t="s">
        <v>14859</v>
      </c>
      <c r="E2515" s="249">
        <f t="shared" si="631"/>
        <v>0</v>
      </c>
      <c r="F2515" s="336">
        <v>0</v>
      </c>
      <c r="G2515" s="258">
        <f t="shared" si="632"/>
        <v>0</v>
      </c>
      <c r="H2515" s="249">
        <f t="shared" si="633"/>
        <v>10.945272482254547</v>
      </c>
      <c r="I2515" s="336">
        <v>8.6045867026597098E-2</v>
      </c>
      <c r="J2515" s="258">
        <f t="shared" si="634"/>
        <v>8.6045867026597098E-2</v>
      </c>
      <c r="K2515" s="249">
        <f t="shared" si="635"/>
        <v>97.371535406208181</v>
      </c>
      <c r="L2515" s="336">
        <v>0.76548283300594122</v>
      </c>
      <c r="M2515" s="258">
        <f t="shared" si="636"/>
        <v>0.76548283300594122</v>
      </c>
      <c r="N2515" s="251">
        <f t="shared" si="637"/>
        <v>18.885960361537254</v>
      </c>
      <c r="O2515" s="336">
        <v>0.14847129996746164</v>
      </c>
      <c r="P2515" s="258">
        <f t="shared" si="638"/>
        <v>0.14847129996746164</v>
      </c>
      <c r="Q2515" s="354">
        <v>124.46850000000001</v>
      </c>
      <c r="R2515" s="249">
        <f t="shared" si="639"/>
        <v>127.20276824999999</v>
      </c>
      <c r="S2515" s="355">
        <v>0.1</v>
      </c>
      <c r="T2515" s="355"/>
      <c r="U2515" s="315">
        <f t="shared" si="628"/>
        <v>139.923045075</v>
      </c>
      <c r="V2515" s="315">
        <f t="shared" si="629"/>
        <v>140</v>
      </c>
      <c r="W2515" s="316">
        <f t="shared" si="630"/>
        <v>0</v>
      </c>
    </row>
    <row r="2516" spans="1:23" x14ac:dyDescent="0.25">
      <c r="A2516" s="204" t="s">
        <v>18186</v>
      </c>
      <c r="B2516" s="351" t="s">
        <v>22202</v>
      </c>
      <c r="C2516" s="352"/>
      <c r="D2516" s="353" t="s">
        <v>5</v>
      </c>
      <c r="E2516" s="249">
        <f t="shared" si="631"/>
        <v>0</v>
      </c>
      <c r="F2516" s="336">
        <v>0</v>
      </c>
      <c r="G2516" s="258">
        <f t="shared" si="632"/>
        <v>0</v>
      </c>
      <c r="H2516" s="249">
        <f t="shared" si="633"/>
        <v>6.3630179897365441E-2</v>
      </c>
      <c r="I2516" s="336">
        <v>8.6045867026597098E-2</v>
      </c>
      <c r="J2516" s="258">
        <f t="shared" si="634"/>
        <v>8.6045867026597098E-2</v>
      </c>
      <c r="K2516" s="249">
        <f t="shared" si="635"/>
        <v>0.56600857082653211</v>
      </c>
      <c r="L2516" s="336">
        <v>0.76540249139340466</v>
      </c>
      <c r="M2516" s="258">
        <f t="shared" si="636"/>
        <v>0.76540249139340466</v>
      </c>
      <c r="N2516" s="251">
        <f t="shared" si="637"/>
        <v>0.10979325158761095</v>
      </c>
      <c r="O2516" s="336">
        <v>0.14847129996746164</v>
      </c>
      <c r="P2516" s="258">
        <f t="shared" si="638"/>
        <v>0.14847129996746164</v>
      </c>
      <c r="Q2516" s="354">
        <v>0.72365406976744184</v>
      </c>
      <c r="R2516" s="249">
        <f t="shared" si="639"/>
        <v>0.73949141424418585</v>
      </c>
      <c r="S2516" s="355">
        <v>0.1</v>
      </c>
      <c r="T2516" s="355"/>
      <c r="U2516" s="315">
        <f t="shared" si="628"/>
        <v>0.8134405556686044</v>
      </c>
      <c r="V2516" s="315">
        <f t="shared" si="629"/>
        <v>1</v>
      </c>
      <c r="W2516" s="316">
        <f t="shared" si="630"/>
        <v>0</v>
      </c>
    </row>
    <row r="2517" spans="1:23" x14ac:dyDescent="0.25">
      <c r="A2517" s="204" t="s">
        <v>18187</v>
      </c>
      <c r="B2517" s="351" t="s">
        <v>22203</v>
      </c>
      <c r="C2517" s="352"/>
      <c r="D2517" s="353" t="s">
        <v>14859</v>
      </c>
      <c r="E2517" s="249">
        <f t="shared" si="631"/>
        <v>0</v>
      </c>
      <c r="F2517" s="336">
        <v>0</v>
      </c>
      <c r="G2517" s="258">
        <f t="shared" si="632"/>
        <v>0</v>
      </c>
      <c r="H2517" s="249">
        <f t="shared" si="633"/>
        <v>10.955365001891719</v>
      </c>
      <c r="I2517" s="336">
        <v>5.4027467746207113E-2</v>
      </c>
      <c r="J2517" s="258">
        <f t="shared" si="634"/>
        <v>5.4027467746207113E-2</v>
      </c>
      <c r="K2517" s="249">
        <f t="shared" si="635"/>
        <v>172.91524634288334</v>
      </c>
      <c r="L2517" s="336">
        <v>0.85274866633876889</v>
      </c>
      <c r="M2517" s="258">
        <f t="shared" si="636"/>
        <v>0.85274866633876889</v>
      </c>
      <c r="N2517" s="251">
        <f t="shared" si="637"/>
        <v>18.903374905224926</v>
      </c>
      <c r="O2517" s="336">
        <v>9.3223865915024032E-2</v>
      </c>
      <c r="P2517" s="258">
        <f t="shared" si="638"/>
        <v>9.3223865915024032E-2</v>
      </c>
      <c r="Q2517" s="354">
        <v>198.23249999999999</v>
      </c>
      <c r="R2517" s="249">
        <f t="shared" si="639"/>
        <v>202.77398624999998</v>
      </c>
      <c r="S2517" s="355">
        <v>0.1</v>
      </c>
      <c r="T2517" s="355"/>
      <c r="U2517" s="315">
        <f t="shared" si="628"/>
        <v>223.05138487499997</v>
      </c>
      <c r="V2517" s="315">
        <f t="shared" si="629"/>
        <v>225</v>
      </c>
      <c r="W2517" s="316">
        <f t="shared" si="630"/>
        <v>0</v>
      </c>
    </row>
    <row r="2518" spans="1:23" x14ac:dyDescent="0.25">
      <c r="A2518" s="204" t="s">
        <v>18188</v>
      </c>
      <c r="B2518" s="351" t="s">
        <v>22204</v>
      </c>
      <c r="C2518" s="352"/>
      <c r="D2518" s="353" t="s">
        <v>5</v>
      </c>
      <c r="E2518" s="249">
        <f t="shared" si="631"/>
        <v>0</v>
      </c>
      <c r="F2518" s="336">
        <v>0</v>
      </c>
      <c r="G2518" s="258">
        <f t="shared" si="632"/>
        <v>0</v>
      </c>
      <c r="H2518" s="249">
        <f t="shared" si="633"/>
        <v>6.369076447956197E-2</v>
      </c>
      <c r="I2518" s="336">
        <v>5.4027467746207113E-2</v>
      </c>
      <c r="J2518" s="258">
        <f t="shared" si="634"/>
        <v>5.4027467746207113E-2</v>
      </c>
      <c r="K2518" s="249">
        <f t="shared" si="635"/>
        <v>1.0052109380851129</v>
      </c>
      <c r="L2518" s="336">
        <v>0.85269822052387978</v>
      </c>
      <c r="M2518" s="258">
        <f t="shared" si="636"/>
        <v>0.85269822052387978</v>
      </c>
      <c r="N2518" s="251">
        <f t="shared" si="637"/>
        <v>0.10989778969022458</v>
      </c>
      <c r="O2518" s="336">
        <v>9.3223865915024032E-2</v>
      </c>
      <c r="P2518" s="258">
        <f t="shared" si="638"/>
        <v>9.3223865915024032E-2</v>
      </c>
      <c r="Q2518" s="354">
        <v>1.1525145348837209</v>
      </c>
      <c r="R2518" s="249">
        <f t="shared" si="639"/>
        <v>1.178858960755814</v>
      </c>
      <c r="S2518" s="355">
        <v>0.1</v>
      </c>
      <c r="T2518" s="355"/>
      <c r="U2518" s="315">
        <f t="shared" si="628"/>
        <v>1.2967448568313953</v>
      </c>
      <c r="V2518" s="315">
        <f t="shared" si="629"/>
        <v>2</v>
      </c>
      <c r="W2518" s="316">
        <f t="shared" si="630"/>
        <v>0</v>
      </c>
    </row>
    <row r="2519" spans="1:23" x14ac:dyDescent="0.25">
      <c r="A2519" s="204" t="s">
        <v>18189</v>
      </c>
      <c r="B2519" s="351" t="s">
        <v>22205</v>
      </c>
      <c r="C2519" s="352"/>
      <c r="D2519" s="353" t="s">
        <v>14859</v>
      </c>
      <c r="E2519" s="249">
        <f t="shared" si="631"/>
        <v>0</v>
      </c>
      <c r="F2519" s="336">
        <v>0</v>
      </c>
      <c r="G2519" s="258">
        <f t="shared" si="632"/>
        <v>0</v>
      </c>
      <c r="H2519" s="249">
        <f t="shared" si="633"/>
        <v>10.955365001891719</v>
      </c>
      <c r="I2519" s="336">
        <v>5.4027467746207113E-2</v>
      </c>
      <c r="J2519" s="258">
        <f t="shared" si="634"/>
        <v>5.4027467746207113E-2</v>
      </c>
      <c r="K2519" s="249">
        <f t="shared" si="635"/>
        <v>172.91524634288334</v>
      </c>
      <c r="L2519" s="336">
        <v>0.85274866633876889</v>
      </c>
      <c r="M2519" s="258">
        <f t="shared" si="636"/>
        <v>0.85274866633876889</v>
      </c>
      <c r="N2519" s="251">
        <f t="shared" si="637"/>
        <v>18.903374905224926</v>
      </c>
      <c r="O2519" s="336">
        <v>9.3223865915024032E-2</v>
      </c>
      <c r="P2519" s="258">
        <f t="shared" si="638"/>
        <v>9.3223865915024032E-2</v>
      </c>
      <c r="Q2519" s="354">
        <v>198.23249999999999</v>
      </c>
      <c r="R2519" s="249">
        <f t="shared" si="639"/>
        <v>202.77398624999998</v>
      </c>
      <c r="S2519" s="355">
        <v>0.1</v>
      </c>
      <c r="T2519" s="355"/>
      <c r="U2519" s="315">
        <f t="shared" si="628"/>
        <v>223.05138487499997</v>
      </c>
      <c r="V2519" s="315">
        <f t="shared" si="629"/>
        <v>225</v>
      </c>
      <c r="W2519" s="316">
        <f t="shared" si="630"/>
        <v>0</v>
      </c>
    </row>
    <row r="2520" spans="1:23" x14ac:dyDescent="0.25">
      <c r="A2520" s="204" t="s">
        <v>18190</v>
      </c>
      <c r="B2520" s="351" t="s">
        <v>22206</v>
      </c>
      <c r="C2520" s="352"/>
      <c r="D2520" s="353" t="s">
        <v>5</v>
      </c>
      <c r="E2520" s="249">
        <f t="shared" si="631"/>
        <v>0</v>
      </c>
      <c r="F2520" s="336">
        <v>0</v>
      </c>
      <c r="G2520" s="258">
        <f t="shared" si="632"/>
        <v>0</v>
      </c>
      <c r="H2520" s="249">
        <f t="shared" si="633"/>
        <v>6.369076447956197E-2</v>
      </c>
      <c r="I2520" s="336">
        <v>5.4027467746207113E-2</v>
      </c>
      <c r="J2520" s="258">
        <f t="shared" si="634"/>
        <v>5.4027467746207113E-2</v>
      </c>
      <c r="K2520" s="249">
        <f t="shared" si="635"/>
        <v>1.0052109380851129</v>
      </c>
      <c r="L2520" s="336">
        <v>0.85269822052387978</v>
      </c>
      <c r="M2520" s="258">
        <f t="shared" si="636"/>
        <v>0.85269822052387978</v>
      </c>
      <c r="N2520" s="251">
        <f t="shared" si="637"/>
        <v>0.10989778969022458</v>
      </c>
      <c r="O2520" s="336">
        <v>9.3223865915024032E-2</v>
      </c>
      <c r="P2520" s="258">
        <f t="shared" si="638"/>
        <v>9.3223865915024032E-2</v>
      </c>
      <c r="Q2520" s="354">
        <v>1.1525145348837209</v>
      </c>
      <c r="R2520" s="249">
        <f t="shared" si="639"/>
        <v>1.178858960755814</v>
      </c>
      <c r="S2520" s="355">
        <v>0.1</v>
      </c>
      <c r="T2520" s="355"/>
      <c r="U2520" s="315">
        <f t="shared" si="628"/>
        <v>1.2967448568313953</v>
      </c>
      <c r="V2520" s="315">
        <f t="shared" si="629"/>
        <v>2</v>
      </c>
      <c r="W2520" s="316">
        <f t="shared" si="630"/>
        <v>0</v>
      </c>
    </row>
    <row r="2521" spans="1:23" x14ac:dyDescent="0.25">
      <c r="A2521" s="204" t="s">
        <v>18191</v>
      </c>
      <c r="B2521" s="351" t="s">
        <v>22207</v>
      </c>
      <c r="C2521" s="352"/>
      <c r="D2521" s="353" t="s">
        <v>14859</v>
      </c>
      <c r="E2521" s="249">
        <f t="shared" si="631"/>
        <v>0</v>
      </c>
      <c r="F2521" s="336">
        <v>0</v>
      </c>
      <c r="G2521" s="258">
        <f t="shared" si="632"/>
        <v>0</v>
      </c>
      <c r="H2521" s="249">
        <f t="shared" si="633"/>
        <v>10.957032337028492</v>
      </c>
      <c r="I2521" s="336">
        <v>4.8737866728556026E-2</v>
      </c>
      <c r="J2521" s="258">
        <f t="shared" si="634"/>
        <v>4.8737866728556026E-2</v>
      </c>
      <c r="K2521" s="249">
        <f t="shared" si="635"/>
        <v>194.95230728731448</v>
      </c>
      <c r="L2521" s="336">
        <v>0.86716542205354341</v>
      </c>
      <c r="M2521" s="258">
        <f t="shared" si="636"/>
        <v>0.86716542205354341</v>
      </c>
      <c r="N2521" s="251">
        <f t="shared" si="637"/>
        <v>18.906251875657006</v>
      </c>
      <c r="O2521" s="336">
        <v>8.4096711217900591E-2</v>
      </c>
      <c r="P2521" s="258">
        <f t="shared" si="638"/>
        <v>8.4096711217900591E-2</v>
      </c>
      <c r="Q2521" s="354">
        <v>219.74699999999999</v>
      </c>
      <c r="R2521" s="249">
        <f t="shared" si="639"/>
        <v>224.81559149999998</v>
      </c>
      <c r="S2521" s="355">
        <v>0.1</v>
      </c>
      <c r="T2521" s="355"/>
      <c r="U2521" s="315">
        <f t="shared" si="628"/>
        <v>247.29715064999999</v>
      </c>
      <c r="V2521" s="315">
        <f t="shared" si="629"/>
        <v>250</v>
      </c>
      <c r="W2521" s="316">
        <f t="shared" si="630"/>
        <v>0</v>
      </c>
    </row>
    <row r="2522" spans="1:23" x14ac:dyDescent="0.25">
      <c r="A2522" s="204" t="s">
        <v>18192</v>
      </c>
      <c r="B2522" s="351" t="s">
        <v>22208</v>
      </c>
      <c r="C2522" s="352"/>
      <c r="D2522" s="353" t="s">
        <v>5</v>
      </c>
      <c r="E2522" s="249">
        <f t="shared" si="631"/>
        <v>0</v>
      </c>
      <c r="F2522" s="336">
        <v>0</v>
      </c>
      <c r="G2522" s="258">
        <f t="shared" si="632"/>
        <v>0</v>
      </c>
      <c r="H2522" s="249">
        <f t="shared" si="633"/>
        <v>6.370077335804572E-2</v>
      </c>
      <c r="I2522" s="336">
        <v>4.8737866728556026E-2</v>
      </c>
      <c r="J2522" s="258">
        <f t="shared" si="634"/>
        <v>4.8737866728556026E-2</v>
      </c>
      <c r="K2522" s="249">
        <f t="shared" si="635"/>
        <v>1.1333325173721325</v>
      </c>
      <c r="L2522" s="336">
        <v>0.86711991517517895</v>
      </c>
      <c r="M2522" s="258">
        <f t="shared" si="636"/>
        <v>0.86711991517517895</v>
      </c>
      <c r="N2522" s="251">
        <f t="shared" si="637"/>
        <v>0.10991505991192202</v>
      </c>
      <c r="O2522" s="336">
        <v>8.4096711217900591E-2</v>
      </c>
      <c r="P2522" s="258">
        <f t="shared" si="638"/>
        <v>8.4096711217900591E-2</v>
      </c>
      <c r="Q2522" s="354">
        <v>1.2775988372093023</v>
      </c>
      <c r="R2522" s="249">
        <f t="shared" si="639"/>
        <v>1.3070078284883726</v>
      </c>
      <c r="S2522" s="355">
        <v>0.1</v>
      </c>
      <c r="T2522" s="355"/>
      <c r="U2522" s="315">
        <f t="shared" si="628"/>
        <v>1.43770861133721</v>
      </c>
      <c r="V2522" s="315">
        <f t="shared" si="629"/>
        <v>2</v>
      </c>
      <c r="W2522" s="316">
        <f t="shared" si="630"/>
        <v>0</v>
      </c>
    </row>
    <row r="2523" spans="1:23" x14ac:dyDescent="0.25">
      <c r="A2523" s="204" t="s">
        <v>18193</v>
      </c>
      <c r="B2523" s="351" t="s">
        <v>22209</v>
      </c>
      <c r="C2523" s="352"/>
      <c r="D2523" s="353" t="s">
        <v>14859</v>
      </c>
      <c r="E2523" s="249">
        <f t="shared" si="631"/>
        <v>0</v>
      </c>
      <c r="F2523" s="336">
        <v>0</v>
      </c>
      <c r="G2523" s="258">
        <f t="shared" si="632"/>
        <v>0</v>
      </c>
      <c r="H2523" s="249">
        <f t="shared" si="633"/>
        <v>10.960257743152368</v>
      </c>
      <c r="I2523" s="336">
        <v>3.8505303916863069E-2</v>
      </c>
      <c r="J2523" s="258">
        <f t="shared" si="634"/>
        <v>3.8505303916863069E-2</v>
      </c>
      <c r="K2523" s="249">
        <f t="shared" si="635"/>
        <v>254.77073072454553</v>
      </c>
      <c r="L2523" s="336">
        <v>0.8950541716775694</v>
      </c>
      <c r="M2523" s="258">
        <f t="shared" si="636"/>
        <v>0.8950541716775694</v>
      </c>
      <c r="N2523" s="251">
        <f t="shared" si="637"/>
        <v>18.91181728230212</v>
      </c>
      <c r="O2523" s="336">
        <v>6.6440524405567636E-2</v>
      </c>
      <c r="P2523" s="258">
        <f t="shared" si="638"/>
        <v>6.6440524405567636E-2</v>
      </c>
      <c r="Q2523" s="354">
        <v>278.14349999999996</v>
      </c>
      <c r="R2523" s="249">
        <f t="shared" si="639"/>
        <v>284.64280574999998</v>
      </c>
      <c r="S2523" s="355">
        <v>0.1</v>
      </c>
      <c r="T2523" s="355"/>
      <c r="U2523" s="315">
        <f t="shared" si="628"/>
        <v>313.10708632499995</v>
      </c>
      <c r="V2523" s="315">
        <f t="shared" si="629"/>
        <v>315</v>
      </c>
      <c r="W2523" s="316">
        <f t="shared" si="630"/>
        <v>0</v>
      </c>
    </row>
    <row r="2524" spans="1:23" x14ac:dyDescent="0.25">
      <c r="A2524" s="204" t="s">
        <v>18194</v>
      </c>
      <c r="B2524" s="351" t="s">
        <v>22210</v>
      </c>
      <c r="C2524" s="352"/>
      <c r="D2524" s="353" t="s">
        <v>5</v>
      </c>
      <c r="E2524" s="249">
        <f t="shared" si="631"/>
        <v>0</v>
      </c>
      <c r="F2524" s="336">
        <v>0</v>
      </c>
      <c r="G2524" s="258">
        <f t="shared" si="632"/>
        <v>0</v>
      </c>
      <c r="H2524" s="249">
        <f t="shared" si="633"/>
        <v>6.3720135211126377E-2</v>
      </c>
      <c r="I2524" s="336">
        <v>3.8505303916863069E-2</v>
      </c>
      <c r="J2524" s="258">
        <f t="shared" si="634"/>
        <v>3.8505303916863069E-2</v>
      </c>
      <c r="K2524" s="249">
        <f t="shared" si="635"/>
        <v>1.4811123697414597</v>
      </c>
      <c r="L2524" s="336">
        <v>0.8950182190128475</v>
      </c>
      <c r="M2524" s="258">
        <f t="shared" si="636"/>
        <v>0.8950182190128475</v>
      </c>
      <c r="N2524" s="251">
        <f t="shared" si="637"/>
        <v>0.10994846859959061</v>
      </c>
      <c r="O2524" s="336">
        <v>6.6440524405567636E-2</v>
      </c>
      <c r="P2524" s="258">
        <f t="shared" si="638"/>
        <v>6.6440524405567636E-2</v>
      </c>
      <c r="Q2524" s="354">
        <v>1.6171133720930231</v>
      </c>
      <c r="R2524" s="249">
        <f t="shared" si="639"/>
        <v>1.6548404694767438</v>
      </c>
      <c r="S2524" s="355">
        <v>0.1</v>
      </c>
      <c r="T2524" s="355"/>
      <c r="U2524" s="315">
        <f t="shared" si="628"/>
        <v>1.8203245164244182</v>
      </c>
      <c r="V2524" s="315">
        <f t="shared" si="629"/>
        <v>2</v>
      </c>
      <c r="W2524" s="316">
        <f t="shared" si="630"/>
        <v>0</v>
      </c>
    </row>
    <row r="2525" spans="1:23" x14ac:dyDescent="0.25">
      <c r="A2525" s="204" t="s">
        <v>18195</v>
      </c>
      <c r="B2525" s="351" t="s">
        <v>22211</v>
      </c>
      <c r="C2525" s="352"/>
      <c r="D2525" s="353" t="s">
        <v>14859</v>
      </c>
      <c r="E2525" s="249">
        <f t="shared" si="631"/>
        <v>0</v>
      </c>
      <c r="F2525" s="336">
        <v>0</v>
      </c>
      <c r="G2525" s="258">
        <f t="shared" si="632"/>
        <v>0</v>
      </c>
      <c r="H2525" s="249">
        <f t="shared" si="633"/>
        <v>10.96128114842176</v>
      </c>
      <c r="I2525" s="336">
        <v>3.5258562793821363E-2</v>
      </c>
      <c r="J2525" s="258">
        <f t="shared" si="634"/>
        <v>3.5258562793821363E-2</v>
      </c>
      <c r="K2525" s="249">
        <f t="shared" si="635"/>
        <v>281.00794769351711</v>
      </c>
      <c r="L2525" s="336">
        <v>0.90390313277762413</v>
      </c>
      <c r="M2525" s="258">
        <f t="shared" si="636"/>
        <v>0.90390313277762413</v>
      </c>
      <c r="N2525" s="251">
        <f t="shared" si="637"/>
        <v>18.913583158061076</v>
      </c>
      <c r="O2525" s="336">
        <v>6.0838304428554507E-2</v>
      </c>
      <c r="P2525" s="258">
        <f t="shared" si="638"/>
        <v>6.0838304428554507E-2</v>
      </c>
      <c r="Q2525" s="354">
        <v>303.75599999999997</v>
      </c>
      <c r="R2525" s="249">
        <f t="shared" si="639"/>
        <v>310.88281199999994</v>
      </c>
      <c r="S2525" s="355">
        <v>0.1</v>
      </c>
      <c r="T2525" s="355"/>
      <c r="U2525" s="315">
        <f t="shared" si="628"/>
        <v>341.97109319999993</v>
      </c>
      <c r="V2525" s="315">
        <f t="shared" si="629"/>
        <v>345</v>
      </c>
      <c r="W2525" s="316">
        <f t="shared" si="630"/>
        <v>0</v>
      </c>
    </row>
    <row r="2526" spans="1:23" x14ac:dyDescent="0.25">
      <c r="A2526" s="204" t="s">
        <v>18196</v>
      </c>
      <c r="B2526" s="351" t="s">
        <v>22212</v>
      </c>
      <c r="C2526" s="352"/>
      <c r="D2526" s="353" t="s">
        <v>5</v>
      </c>
      <c r="E2526" s="249">
        <f t="shared" si="631"/>
        <v>0</v>
      </c>
      <c r="F2526" s="336">
        <v>0</v>
      </c>
      <c r="G2526" s="258">
        <f t="shared" si="632"/>
        <v>0</v>
      </c>
      <c r="H2526" s="249">
        <f t="shared" si="633"/>
        <v>6.3726278630499622E-2</v>
      </c>
      <c r="I2526" s="336">
        <v>3.5258562793821363E-2</v>
      </c>
      <c r="J2526" s="258">
        <f t="shared" si="634"/>
        <v>3.5258562793821363E-2</v>
      </c>
      <c r="K2526" s="249">
        <f t="shared" si="635"/>
        <v>1.6336537960481279</v>
      </c>
      <c r="L2526" s="336">
        <v>0.90387021161721892</v>
      </c>
      <c r="M2526" s="258">
        <f t="shared" si="636"/>
        <v>0.90387021161721892</v>
      </c>
      <c r="N2526" s="251">
        <f t="shared" si="637"/>
        <v>0.10995906900948954</v>
      </c>
      <c r="O2526" s="336">
        <v>6.0838304428554507E-2</v>
      </c>
      <c r="P2526" s="258">
        <f t="shared" si="638"/>
        <v>6.0838304428554507E-2</v>
      </c>
      <c r="Q2526" s="354">
        <v>1.7660232558139533</v>
      </c>
      <c r="R2526" s="249">
        <f t="shared" si="639"/>
        <v>1.8073986453488367</v>
      </c>
      <c r="S2526" s="355">
        <v>0.1</v>
      </c>
      <c r="T2526" s="355"/>
      <c r="U2526" s="315">
        <f t="shared" si="628"/>
        <v>1.9881385098837203</v>
      </c>
      <c r="V2526" s="315">
        <f t="shared" si="629"/>
        <v>2</v>
      </c>
      <c r="W2526" s="316">
        <f t="shared" si="630"/>
        <v>0</v>
      </c>
    </row>
    <row r="2527" spans="1:23" x14ac:dyDescent="0.25">
      <c r="A2527" s="204" t="s">
        <v>18197</v>
      </c>
      <c r="B2527" s="351" t="s">
        <v>22213</v>
      </c>
      <c r="C2527" s="352"/>
      <c r="D2527" s="353" t="s">
        <v>14859</v>
      </c>
      <c r="E2527" s="249">
        <f t="shared" si="631"/>
        <v>0</v>
      </c>
      <c r="F2527" s="336">
        <v>0</v>
      </c>
      <c r="G2527" s="258">
        <f t="shared" si="632"/>
        <v>0</v>
      </c>
      <c r="H2527" s="249">
        <f t="shared" si="633"/>
        <v>10.965704195176766</v>
      </c>
      <c r="I2527" s="336">
        <v>2.1226499232992045E-2</v>
      </c>
      <c r="J2527" s="258">
        <f t="shared" si="634"/>
        <v>2.1226499232992045E-2</v>
      </c>
      <c r="K2527" s="249">
        <f t="shared" si="635"/>
        <v>486.71754172294948</v>
      </c>
      <c r="L2527" s="336">
        <v>0.94214738444341384</v>
      </c>
      <c r="M2527" s="258">
        <f t="shared" si="636"/>
        <v>0.94214738444341384</v>
      </c>
      <c r="N2527" s="251">
        <f t="shared" si="637"/>
        <v>18.921215081873637</v>
      </c>
      <c r="O2527" s="336">
        <v>3.6626116323594117E-2</v>
      </c>
      <c r="P2527" s="258">
        <f t="shared" si="638"/>
        <v>3.6626116323594117E-2</v>
      </c>
      <c r="Q2527" s="354">
        <v>504.55799999999999</v>
      </c>
      <c r="R2527" s="249">
        <f t="shared" si="639"/>
        <v>516.6044609999999</v>
      </c>
      <c r="S2527" s="355">
        <v>0.1</v>
      </c>
      <c r="T2527" s="355"/>
      <c r="U2527" s="315">
        <f t="shared" si="628"/>
        <v>568.26490709999985</v>
      </c>
      <c r="V2527" s="315">
        <f t="shared" si="629"/>
        <v>570</v>
      </c>
      <c r="W2527" s="316">
        <f t="shared" si="630"/>
        <v>0</v>
      </c>
    </row>
    <row r="2528" spans="1:23" x14ac:dyDescent="0.25">
      <c r="A2528" s="204" t="s">
        <v>18198</v>
      </c>
      <c r="B2528" s="351" t="s">
        <v>22214</v>
      </c>
      <c r="C2528" s="352"/>
      <c r="D2528" s="353" t="s">
        <v>5</v>
      </c>
      <c r="E2528" s="249">
        <f t="shared" si="631"/>
        <v>0</v>
      </c>
      <c r="F2528" s="336">
        <v>0</v>
      </c>
      <c r="G2528" s="258">
        <f t="shared" si="632"/>
        <v>0</v>
      </c>
      <c r="H2528" s="249">
        <f t="shared" si="633"/>
        <v>6.3752829823791435E-2</v>
      </c>
      <c r="I2528" s="336">
        <v>2.1226499232992049E-2</v>
      </c>
      <c r="J2528" s="258">
        <f t="shared" si="634"/>
        <v>2.1226499232992049E-2</v>
      </c>
      <c r="K2528" s="249">
        <f t="shared" si="635"/>
        <v>2.8296375050772964</v>
      </c>
      <c r="L2528" s="336">
        <v>0.94212756511639884</v>
      </c>
      <c r="M2528" s="258">
        <f t="shared" si="636"/>
        <v>0.94212756511639884</v>
      </c>
      <c r="N2528" s="251">
        <f t="shared" si="637"/>
        <v>0.11000488283320874</v>
      </c>
      <c r="O2528" s="336">
        <v>3.6626116323594117E-2</v>
      </c>
      <c r="P2528" s="258">
        <f t="shared" si="638"/>
        <v>3.6626116323594117E-2</v>
      </c>
      <c r="Q2528" s="354">
        <v>2.9334767441860463</v>
      </c>
      <c r="R2528" s="249">
        <f t="shared" si="639"/>
        <v>3.0034547441860462</v>
      </c>
      <c r="S2528" s="355">
        <v>0.1</v>
      </c>
      <c r="T2528" s="355"/>
      <c r="U2528" s="315">
        <f t="shared" si="628"/>
        <v>3.3038002186046507</v>
      </c>
      <c r="V2528" s="315">
        <f t="shared" si="629"/>
        <v>4</v>
      </c>
      <c r="W2528" s="316">
        <f t="shared" si="630"/>
        <v>0</v>
      </c>
    </row>
    <row r="2529" spans="1:23" x14ac:dyDescent="0.25">
      <c r="A2529" s="204" t="s">
        <v>18199</v>
      </c>
      <c r="B2529" s="351" t="s">
        <v>22215</v>
      </c>
      <c r="C2529" s="352"/>
      <c r="D2529" s="353" t="s">
        <v>14859</v>
      </c>
      <c r="E2529" s="249">
        <f t="shared" si="631"/>
        <v>0</v>
      </c>
      <c r="F2529" s="336">
        <v>0</v>
      </c>
      <c r="G2529" s="258">
        <f t="shared" si="632"/>
        <v>0</v>
      </c>
      <c r="H2529" s="249">
        <f t="shared" si="633"/>
        <v>10.966870755269952</v>
      </c>
      <c r="I2529" s="336">
        <v>1.7525601123209396E-2</v>
      </c>
      <c r="J2529" s="258">
        <f t="shared" si="634"/>
        <v>1.7525601123209396E-2</v>
      </c>
      <c r="K2529" s="249">
        <f t="shared" si="635"/>
        <v>595.87278827485227</v>
      </c>
      <c r="L2529" s="336">
        <v>0.95223414595831157</v>
      </c>
      <c r="M2529" s="258">
        <f t="shared" si="636"/>
        <v>0.95223414595831157</v>
      </c>
      <c r="N2529" s="251">
        <f t="shared" si="637"/>
        <v>18.923227969877562</v>
      </c>
      <c r="O2529" s="336">
        <v>3.0240252918478955E-2</v>
      </c>
      <c r="P2529" s="258">
        <f t="shared" si="638"/>
        <v>3.0240252918478955E-2</v>
      </c>
      <c r="Q2529" s="354">
        <v>611.10599999999999</v>
      </c>
      <c r="R2529" s="249">
        <f t="shared" si="639"/>
        <v>625.76288699999986</v>
      </c>
      <c r="S2529" s="355">
        <v>0.1</v>
      </c>
      <c r="T2529" s="355"/>
      <c r="U2529" s="315">
        <f t="shared" si="628"/>
        <v>688.33917569999983</v>
      </c>
      <c r="V2529" s="315">
        <f t="shared" si="629"/>
        <v>690</v>
      </c>
      <c r="W2529" s="316">
        <f t="shared" si="630"/>
        <v>0</v>
      </c>
    </row>
    <row r="2530" spans="1:23" x14ac:dyDescent="0.25">
      <c r="A2530" s="204" t="s">
        <v>18200</v>
      </c>
      <c r="B2530" s="351" t="s">
        <v>22216</v>
      </c>
      <c r="C2530" s="352"/>
      <c r="D2530" s="353" t="s">
        <v>5</v>
      </c>
      <c r="E2530" s="249">
        <f t="shared" si="631"/>
        <v>0</v>
      </c>
      <c r="F2530" s="336">
        <v>0</v>
      </c>
      <c r="G2530" s="258">
        <f t="shared" si="632"/>
        <v>0</v>
      </c>
      <c r="H2530" s="249">
        <f t="shared" si="633"/>
        <v>6.375983259003748E-2</v>
      </c>
      <c r="I2530" s="336">
        <v>1.7525601123209396E-2</v>
      </c>
      <c r="J2530" s="258">
        <f t="shared" si="634"/>
        <v>1.7525601123209396E-2</v>
      </c>
      <c r="K2530" s="249">
        <f t="shared" si="635"/>
        <v>3.4642604241959236</v>
      </c>
      <c r="L2530" s="336">
        <v>0.95221778218508735</v>
      </c>
      <c r="M2530" s="258">
        <f t="shared" si="636"/>
        <v>0.95221778218508735</v>
      </c>
      <c r="N2530" s="251">
        <f t="shared" si="637"/>
        <v>0.11001696603771172</v>
      </c>
      <c r="O2530" s="336">
        <v>3.0240252918478955E-2</v>
      </c>
      <c r="P2530" s="258">
        <f t="shared" si="638"/>
        <v>3.0240252918478955E-2</v>
      </c>
      <c r="Q2530" s="354">
        <v>3.5529418604651162</v>
      </c>
      <c r="R2530" s="249">
        <f t="shared" si="639"/>
        <v>3.6380967558139532</v>
      </c>
      <c r="S2530" s="355">
        <v>0.1</v>
      </c>
      <c r="T2530" s="355"/>
      <c r="U2530" s="315">
        <f t="shared" si="628"/>
        <v>4.0019064313953487</v>
      </c>
      <c r="V2530" s="315">
        <f t="shared" si="629"/>
        <v>5</v>
      </c>
      <c r="W2530" s="316">
        <f t="shared" si="630"/>
        <v>0</v>
      </c>
    </row>
    <row r="2531" spans="1:23" x14ac:dyDescent="0.25">
      <c r="A2531" s="204" t="s">
        <v>18201</v>
      </c>
      <c r="B2531" s="351" t="s">
        <v>22217</v>
      </c>
      <c r="C2531" s="352"/>
      <c r="D2531" s="353" t="s">
        <v>14859</v>
      </c>
      <c r="E2531" s="249">
        <f t="shared" si="631"/>
        <v>0</v>
      </c>
      <c r="F2531" s="336">
        <v>0</v>
      </c>
      <c r="G2531" s="258">
        <f t="shared" si="632"/>
        <v>0</v>
      </c>
      <c r="H2531" s="249">
        <f t="shared" si="633"/>
        <v>10.969339652665592</v>
      </c>
      <c r="I2531" s="336">
        <v>9.6930533117932163E-3</v>
      </c>
      <c r="J2531" s="258">
        <f t="shared" si="634"/>
        <v>9.6930533117932163E-3</v>
      </c>
      <c r="K2531" s="249">
        <f t="shared" si="635"/>
        <v>1101.7733798192055</v>
      </c>
      <c r="L2531" s="336">
        <v>0.97358167822864194</v>
      </c>
      <c r="M2531" s="258">
        <f t="shared" si="636"/>
        <v>0.97358167822864194</v>
      </c>
      <c r="N2531" s="251">
        <f t="shared" si="637"/>
        <v>18.927488028128863</v>
      </c>
      <c r="O2531" s="336">
        <v>1.6725268459564763E-2</v>
      </c>
      <c r="P2531" s="258">
        <f t="shared" si="638"/>
        <v>1.6725268459564763E-2</v>
      </c>
      <c r="Q2531" s="354">
        <v>1104.915</v>
      </c>
      <c r="R2531" s="249">
        <f t="shared" si="639"/>
        <v>1131.6702075000001</v>
      </c>
      <c r="S2531" s="355">
        <v>0.1</v>
      </c>
      <c r="T2531" s="355"/>
      <c r="U2531" s="315">
        <f t="shared" si="628"/>
        <v>1244.83722825</v>
      </c>
      <c r="V2531" s="315">
        <f t="shared" si="629"/>
        <v>1250</v>
      </c>
      <c r="W2531" s="316">
        <f t="shared" si="630"/>
        <v>0</v>
      </c>
    </row>
    <row r="2532" spans="1:23" x14ac:dyDescent="0.25">
      <c r="A2532" s="204" t="s">
        <v>18202</v>
      </c>
      <c r="B2532" s="351" t="s">
        <v>22218</v>
      </c>
      <c r="C2532" s="352"/>
      <c r="D2532" s="353" t="s">
        <v>5</v>
      </c>
      <c r="E2532" s="249">
        <f t="shared" si="631"/>
        <v>0</v>
      </c>
      <c r="F2532" s="336">
        <v>0</v>
      </c>
      <c r="G2532" s="258">
        <f t="shared" si="632"/>
        <v>0</v>
      </c>
      <c r="H2532" s="249">
        <f t="shared" si="633"/>
        <v>6.3774653182176802E-2</v>
      </c>
      <c r="I2532" s="336">
        <v>9.6930533117932163E-3</v>
      </c>
      <c r="J2532" s="258">
        <f t="shared" si="634"/>
        <v>9.6930533117932163E-3</v>
      </c>
      <c r="K2532" s="249">
        <f t="shared" si="635"/>
        <v>6.4055416477932123</v>
      </c>
      <c r="L2532" s="336">
        <v>0.97357262775869624</v>
      </c>
      <c r="M2532" s="258">
        <f t="shared" si="636"/>
        <v>0.97357262775869624</v>
      </c>
      <c r="N2532" s="251">
        <f t="shared" si="637"/>
        <v>0.11004253882414819</v>
      </c>
      <c r="O2532" s="336">
        <v>1.6725268459564763E-2</v>
      </c>
      <c r="P2532" s="258">
        <f t="shared" si="638"/>
        <v>1.6725268459564763E-2</v>
      </c>
      <c r="Q2532" s="354">
        <v>6.4239244186046509</v>
      </c>
      <c r="R2532" s="249">
        <f t="shared" si="639"/>
        <v>6.5794183866279061</v>
      </c>
      <c r="S2532" s="355">
        <v>0.1</v>
      </c>
      <c r="T2532" s="355"/>
      <c r="U2532" s="315">
        <f t="shared" si="628"/>
        <v>7.237360225290697</v>
      </c>
      <c r="V2532" s="315">
        <f t="shared" si="629"/>
        <v>8</v>
      </c>
      <c r="W2532" s="316">
        <f t="shared" si="630"/>
        <v>0</v>
      </c>
    </row>
    <row r="2533" spans="1:23" x14ac:dyDescent="0.25">
      <c r="A2533" s="204" t="s">
        <v>18203</v>
      </c>
      <c r="B2533" s="351" t="s">
        <v>22219</v>
      </c>
      <c r="C2533" s="352"/>
      <c r="D2533" s="353" t="s">
        <v>14859</v>
      </c>
      <c r="E2533" s="249">
        <f t="shared" si="631"/>
        <v>0</v>
      </c>
      <c r="F2533" s="336">
        <v>0</v>
      </c>
      <c r="G2533" s="258">
        <f t="shared" si="632"/>
        <v>0</v>
      </c>
      <c r="H2533" s="249">
        <f t="shared" si="633"/>
        <v>10.969701751790534</v>
      </c>
      <c r="I2533" s="336">
        <v>8.5442981170233776E-3</v>
      </c>
      <c r="J2533" s="258">
        <f t="shared" si="634"/>
        <v>8.5442981170233776E-3</v>
      </c>
      <c r="K2533" s="249">
        <f t="shared" si="635"/>
        <v>1253.9644291715906</v>
      </c>
      <c r="L2533" s="336">
        <v>0.97671259924968135</v>
      </c>
      <c r="M2533" s="258">
        <f t="shared" si="636"/>
        <v>0.97671259924968135</v>
      </c>
      <c r="N2533" s="251">
        <f t="shared" si="637"/>
        <v>18.92811282661896</v>
      </c>
      <c r="O2533" s="336">
        <v>1.474310263329524E-2</v>
      </c>
      <c r="P2533" s="258">
        <f t="shared" si="638"/>
        <v>1.474310263329524E-2</v>
      </c>
      <c r="Q2533" s="354">
        <v>1253.4675</v>
      </c>
      <c r="R2533" s="249">
        <f t="shared" si="639"/>
        <v>1283.8622437500001</v>
      </c>
      <c r="S2533" s="355">
        <v>0.1</v>
      </c>
      <c r="T2533" s="355"/>
      <c r="U2533" s="315">
        <f t="shared" ref="U2533:U2596" si="640">(R2533*S2533)+R2533</f>
        <v>1412.248468125</v>
      </c>
      <c r="V2533" s="315">
        <f t="shared" ref="V2533:V2596" si="641">IF(U2533=0, 0, IF(U2533&lt;10, _xlfn.CEILING.MATH(U2533,1), IF(U2533&lt;100, _xlfn.CEILING.MATH(U2533,1),IF(U2533&lt;1000, _xlfn.CEILING.MATH(U2533,5), IF(U2533&lt;10000, _xlfn.CEILING.MATH(U2533, 25), IF(U2533&lt;100000, _xlfn.CEILING.MATH(U2533,250), IF(U2533&lt;1000000, _xlfn.CEILING.MATH(U2533,500), 0)))))))</f>
        <v>1425</v>
      </c>
      <c r="W2533" s="316">
        <f>C2533*V2533</f>
        <v>0</v>
      </c>
    </row>
    <row r="2534" spans="1:23" x14ac:dyDescent="0.25">
      <c r="A2534" s="204" t="s">
        <v>18204</v>
      </c>
      <c r="B2534" s="351" t="s">
        <v>22220</v>
      </c>
      <c r="C2534" s="352"/>
      <c r="D2534" s="353" t="s">
        <v>5</v>
      </c>
      <c r="E2534" s="249">
        <f t="shared" si="631"/>
        <v>0</v>
      </c>
      <c r="F2534" s="336">
        <v>0</v>
      </c>
      <c r="G2534" s="258">
        <f t="shared" si="632"/>
        <v>0</v>
      </c>
      <c r="H2534" s="249">
        <f t="shared" si="633"/>
        <v>6.3776826834048395E-2</v>
      </c>
      <c r="I2534" s="336">
        <v>8.5442981170233776E-3</v>
      </c>
      <c r="J2534" s="258">
        <f t="shared" si="634"/>
        <v>8.5442981170233776E-3</v>
      </c>
      <c r="K2534" s="249">
        <f t="shared" si="635"/>
        <v>7.2903731415549329</v>
      </c>
      <c r="L2534" s="336">
        <v>0.97670462138029102</v>
      </c>
      <c r="M2534" s="258">
        <f t="shared" si="636"/>
        <v>0.97670462138029102</v>
      </c>
      <c r="N2534" s="251">
        <f t="shared" si="637"/>
        <v>0.11004628943914231</v>
      </c>
      <c r="O2534" s="336">
        <v>1.4743102633295238E-2</v>
      </c>
      <c r="P2534" s="258">
        <f t="shared" si="638"/>
        <v>1.4743102633295238E-2</v>
      </c>
      <c r="Q2534" s="354">
        <v>7.2876017441860466</v>
      </c>
      <c r="R2534" s="249">
        <f t="shared" si="639"/>
        <v>7.4642558066860456</v>
      </c>
      <c r="S2534" s="355">
        <v>0.1</v>
      </c>
      <c r="T2534" s="355"/>
      <c r="U2534" s="315">
        <f t="shared" si="640"/>
        <v>8.2106813873546507</v>
      </c>
      <c r="V2534" s="315">
        <f t="shared" si="641"/>
        <v>9</v>
      </c>
      <c r="W2534" s="316">
        <f>C2534*V2534</f>
        <v>0</v>
      </c>
    </row>
    <row r="2535" spans="1:23" x14ac:dyDescent="0.25">
      <c r="A2535" s="204" t="s">
        <v>18205</v>
      </c>
      <c r="B2535" s="351" t="s">
        <v>22221</v>
      </c>
      <c r="C2535" s="352"/>
      <c r="D2535" s="353" t="s">
        <v>14859</v>
      </c>
      <c r="E2535" s="249">
        <f t="shared" si="631"/>
        <v>0</v>
      </c>
      <c r="F2535" s="336">
        <v>0</v>
      </c>
      <c r="G2535" s="258">
        <f t="shared" si="632"/>
        <v>0</v>
      </c>
      <c r="H2535" s="249">
        <f t="shared" si="633"/>
        <v>10.970396101854485</v>
      </c>
      <c r="I2535" s="336">
        <v>6.3414807446354983E-3</v>
      </c>
      <c r="J2535" s="258">
        <f t="shared" si="634"/>
        <v>6.3414807446354983E-3</v>
      </c>
      <c r="K2535" s="249">
        <f t="shared" si="635"/>
        <v>1700.0426429772988</v>
      </c>
      <c r="L2535" s="336">
        <v>0.98271635640187582</v>
      </c>
      <c r="M2535" s="258">
        <f t="shared" si="636"/>
        <v>0.98271635640187582</v>
      </c>
      <c r="N2535" s="251">
        <f t="shared" si="637"/>
        <v>18.929310920846952</v>
      </c>
      <c r="O2535" s="336">
        <v>1.0942162853488702E-2</v>
      </c>
      <c r="P2535" s="258">
        <f t="shared" si="638"/>
        <v>1.0942162853488702E-2</v>
      </c>
      <c r="Q2535" s="354">
        <v>1688.88</v>
      </c>
      <c r="R2535" s="249">
        <f t="shared" si="639"/>
        <v>1729.9423500000003</v>
      </c>
      <c r="S2535" s="355">
        <v>0.1</v>
      </c>
      <c r="T2535" s="355"/>
      <c r="U2535" s="315">
        <f t="shared" si="640"/>
        <v>1902.9365850000004</v>
      </c>
      <c r="V2535" s="315">
        <f t="shared" si="641"/>
        <v>1925</v>
      </c>
      <c r="W2535" s="316">
        <f>C2535*V2535</f>
        <v>0</v>
      </c>
    </row>
    <row r="2536" spans="1:23" x14ac:dyDescent="0.25">
      <c r="A2536" s="204" t="s">
        <v>18206</v>
      </c>
      <c r="B2536" s="351" t="s">
        <v>22222</v>
      </c>
      <c r="C2536" s="352"/>
      <c r="D2536" s="353" t="s">
        <v>5</v>
      </c>
      <c r="E2536" s="249">
        <f t="shared" si="631"/>
        <v>0</v>
      </c>
      <c r="F2536" s="336">
        <v>0</v>
      </c>
      <c r="G2536" s="258">
        <f t="shared" si="632"/>
        <v>0</v>
      </c>
      <c r="H2536" s="249">
        <f t="shared" si="633"/>
        <v>6.3780994961536372E-2</v>
      </c>
      <c r="I2536" s="336">
        <v>6.3414807446354974E-3</v>
      </c>
      <c r="J2536" s="258">
        <f t="shared" si="634"/>
        <v>6.3414807446354974E-3</v>
      </c>
      <c r="K2536" s="249">
        <f t="shared" si="635"/>
        <v>9.8838507672981049</v>
      </c>
      <c r="L2536" s="336">
        <v>0.98271043531808067</v>
      </c>
      <c r="M2536" s="258">
        <f t="shared" si="636"/>
        <v>0.98271043531808067</v>
      </c>
      <c r="N2536" s="251">
        <f t="shared" si="637"/>
        <v>0.11005348150225884</v>
      </c>
      <c r="O2536" s="336">
        <v>1.0942162853488702E-2</v>
      </c>
      <c r="P2536" s="258">
        <f t="shared" si="638"/>
        <v>1.0942162853488702E-2</v>
      </c>
      <c r="Q2536" s="354">
        <v>9.8190697674418619</v>
      </c>
      <c r="R2536" s="249">
        <f t="shared" si="639"/>
        <v>10.05774479651163</v>
      </c>
      <c r="S2536" s="355">
        <v>0.1</v>
      </c>
      <c r="T2536" s="355"/>
      <c r="U2536" s="315">
        <f t="shared" si="640"/>
        <v>11.063519276162793</v>
      </c>
      <c r="V2536" s="315">
        <f t="shared" si="641"/>
        <v>12</v>
      </c>
      <c r="W2536" s="316">
        <f>C2536*V2536</f>
        <v>0</v>
      </c>
    </row>
    <row r="2537" spans="1:23" x14ac:dyDescent="0.25">
      <c r="A2537" s="203" t="s">
        <v>18207</v>
      </c>
      <c r="B2537" s="345" t="s">
        <v>18208</v>
      </c>
      <c r="C2537" s="346"/>
      <c r="D2537" s="347"/>
      <c r="E2537" s="347"/>
      <c r="F2537" s="347"/>
      <c r="G2537" s="347"/>
      <c r="H2537" s="347"/>
      <c r="I2537" s="347"/>
      <c r="J2537" s="347"/>
      <c r="K2537" s="347"/>
      <c r="L2537" s="347"/>
      <c r="M2537" s="347"/>
      <c r="N2537" s="347"/>
      <c r="O2537" s="347"/>
      <c r="P2537" s="347"/>
      <c r="Q2537" s="347"/>
      <c r="R2537" s="347"/>
      <c r="S2537" s="347"/>
      <c r="T2537" s="348"/>
      <c r="U2537" s="349"/>
      <c r="V2537" s="349"/>
      <c r="W2537" s="350"/>
    </row>
    <row r="2538" spans="1:23" x14ac:dyDescent="0.25">
      <c r="A2538" s="204" t="s">
        <v>18209</v>
      </c>
      <c r="B2538" s="351" t="s">
        <v>22223</v>
      </c>
      <c r="C2538" s="352"/>
      <c r="D2538" s="353" t="s">
        <v>5</v>
      </c>
      <c r="E2538" s="249">
        <f t="shared" si="631"/>
        <v>0</v>
      </c>
      <c r="F2538" s="336">
        <v>0</v>
      </c>
      <c r="G2538" s="258">
        <f t="shared" si="632"/>
        <v>0</v>
      </c>
      <c r="H2538" s="249">
        <f t="shared" si="633"/>
        <v>6.3615576664339535E-2</v>
      </c>
      <c r="I2538" s="336">
        <v>9.3763542528463945E-2</v>
      </c>
      <c r="J2538" s="258">
        <f t="shared" si="634"/>
        <v>9.3763542528463945E-2</v>
      </c>
      <c r="K2538" s="249">
        <f t="shared" si="635"/>
        <v>0.50502511508127657</v>
      </c>
      <c r="L2538" s="336">
        <v>0.7443608364303318</v>
      </c>
      <c r="M2538" s="258">
        <f t="shared" si="636"/>
        <v>0.7443608364303318</v>
      </c>
      <c r="N2538" s="251">
        <f t="shared" si="637"/>
        <v>0.10976805385219369</v>
      </c>
      <c r="O2538" s="336">
        <v>0.16178807338244758</v>
      </c>
      <c r="P2538" s="258">
        <f t="shared" si="638"/>
        <v>0.16178807338244758</v>
      </c>
      <c r="Q2538" s="354">
        <v>0.66409011627906978</v>
      </c>
      <c r="R2538" s="249">
        <f t="shared" si="639"/>
        <v>0.67846814389534882</v>
      </c>
      <c r="S2538" s="355">
        <v>0.1</v>
      </c>
      <c r="T2538" s="355"/>
      <c r="U2538" s="315">
        <f t="shared" si="640"/>
        <v>0.7463149582848837</v>
      </c>
      <c r="V2538" s="315">
        <f t="shared" si="641"/>
        <v>1</v>
      </c>
      <c r="W2538" s="316">
        <f t="shared" ref="W2538:W2601" si="642">C2538*V2538</f>
        <v>0</v>
      </c>
    </row>
    <row r="2539" spans="1:23" x14ac:dyDescent="0.25">
      <c r="A2539" s="204" t="s">
        <v>18210</v>
      </c>
      <c r="B2539" s="351" t="s">
        <v>22224</v>
      </c>
      <c r="C2539" s="352"/>
      <c r="D2539" s="353" t="s">
        <v>14859</v>
      </c>
      <c r="E2539" s="249">
        <f t="shared" si="631"/>
        <v>0</v>
      </c>
      <c r="F2539" s="336">
        <v>0</v>
      </c>
      <c r="G2539" s="258">
        <f t="shared" si="632"/>
        <v>0</v>
      </c>
      <c r="H2539" s="249">
        <f t="shared" si="633"/>
        <v>10.942839793759603</v>
      </c>
      <c r="I2539" s="336">
        <v>9.3763542528463945E-2</v>
      </c>
      <c r="J2539" s="258">
        <f t="shared" si="634"/>
        <v>9.3763542528463945E-2</v>
      </c>
      <c r="K2539" s="249">
        <f t="shared" si="635"/>
        <v>86.882163174851257</v>
      </c>
      <c r="L2539" s="336">
        <v>0.74444838408908842</v>
      </c>
      <c r="M2539" s="258">
        <f t="shared" si="636"/>
        <v>0.74444838408908842</v>
      </c>
      <c r="N2539" s="251">
        <f t="shared" si="637"/>
        <v>18.881762781389117</v>
      </c>
      <c r="O2539" s="336">
        <v>0.16178807338244758</v>
      </c>
      <c r="P2539" s="258">
        <f t="shared" si="638"/>
        <v>0.16178807338244758</v>
      </c>
      <c r="Q2539" s="354">
        <v>114.2235</v>
      </c>
      <c r="R2539" s="249">
        <f t="shared" si="639"/>
        <v>116.70676574999999</v>
      </c>
      <c r="S2539" s="355">
        <v>0.1</v>
      </c>
      <c r="T2539" s="355"/>
      <c r="U2539" s="315">
        <f t="shared" si="640"/>
        <v>128.37744232499998</v>
      </c>
      <c r="V2539" s="315">
        <f t="shared" si="641"/>
        <v>130</v>
      </c>
      <c r="W2539" s="316">
        <f t="shared" si="642"/>
        <v>0</v>
      </c>
    </row>
    <row r="2540" spans="1:23" x14ac:dyDescent="0.25">
      <c r="A2540" s="204" t="s">
        <v>18211</v>
      </c>
      <c r="B2540" s="351" t="s">
        <v>22225</v>
      </c>
      <c r="C2540" s="352"/>
      <c r="D2540" s="353" t="s">
        <v>5</v>
      </c>
      <c r="E2540" s="249">
        <f t="shared" si="631"/>
        <v>0</v>
      </c>
      <c r="F2540" s="336">
        <v>0</v>
      </c>
      <c r="G2540" s="258">
        <f t="shared" si="632"/>
        <v>0</v>
      </c>
      <c r="H2540" s="249">
        <f t="shared" si="633"/>
        <v>6.3098741007194273E-2</v>
      </c>
      <c r="I2540" s="336">
        <v>0.36690647482014394</v>
      </c>
      <c r="J2540" s="258">
        <f t="shared" si="634"/>
        <v>0.36690647482014394</v>
      </c>
      <c r="K2540" s="249">
        <f t="shared" si="635"/>
        <v>-5.8915724563205334E-5</v>
      </c>
      <c r="L2540" s="336">
        <v>-3.4258307639601873E-4</v>
      </c>
      <c r="M2540" s="258">
        <f t="shared" si="636"/>
        <v>-3.4258307639601873E-4</v>
      </c>
      <c r="N2540" s="251">
        <f t="shared" si="637"/>
        <v>0.10887625899280577</v>
      </c>
      <c r="O2540" s="336">
        <v>0.63309352517985606</v>
      </c>
      <c r="P2540" s="258">
        <f t="shared" si="638"/>
        <v>0.63309352517985606</v>
      </c>
      <c r="Q2540" s="354">
        <v>0.1697093023255814</v>
      </c>
      <c r="R2540" s="249">
        <f t="shared" si="639"/>
        <v>0.17197500000000004</v>
      </c>
      <c r="S2540" s="355">
        <v>0.1</v>
      </c>
      <c r="T2540" s="355"/>
      <c r="U2540" s="315">
        <f t="shared" si="640"/>
        <v>0.18917250000000005</v>
      </c>
      <c r="V2540" s="315">
        <f t="shared" si="641"/>
        <v>1</v>
      </c>
      <c r="W2540" s="316">
        <f t="shared" si="642"/>
        <v>0</v>
      </c>
    </row>
    <row r="2541" spans="1:23" x14ac:dyDescent="0.25">
      <c r="A2541" s="204" t="s">
        <v>18212</v>
      </c>
      <c r="B2541" s="351" t="s">
        <v>22226</v>
      </c>
      <c r="C2541" s="352"/>
      <c r="D2541" s="353" t="s">
        <v>14859</v>
      </c>
      <c r="E2541" s="249">
        <f t="shared" si="631"/>
        <v>0</v>
      </c>
      <c r="F2541" s="336">
        <v>0</v>
      </c>
      <c r="G2541" s="258">
        <f t="shared" si="632"/>
        <v>0</v>
      </c>
      <c r="H2541" s="249">
        <f t="shared" si="633"/>
        <v>10.856742410071943</v>
      </c>
      <c r="I2541" s="336">
        <v>0.36690647482014388</v>
      </c>
      <c r="J2541" s="258">
        <f t="shared" si="634"/>
        <v>0.36690647482014388</v>
      </c>
      <c r="K2541" s="249">
        <f t="shared" si="635"/>
        <v>0</v>
      </c>
      <c r="L2541" s="336">
        <v>0</v>
      </c>
      <c r="M2541" s="258">
        <f t="shared" si="636"/>
        <v>0</v>
      </c>
      <c r="N2541" s="251">
        <f t="shared" si="637"/>
        <v>18.733202589928059</v>
      </c>
      <c r="O2541" s="336">
        <v>0.63309352517985606</v>
      </c>
      <c r="P2541" s="258">
        <f t="shared" si="638"/>
        <v>0.63309352517985606</v>
      </c>
      <c r="Q2541" s="354">
        <v>29.19</v>
      </c>
      <c r="R2541" s="249">
        <f t="shared" si="639"/>
        <v>29.589945000000004</v>
      </c>
      <c r="S2541" s="355">
        <v>0.1</v>
      </c>
      <c r="T2541" s="355"/>
      <c r="U2541" s="315">
        <f t="shared" si="640"/>
        <v>32.548939500000003</v>
      </c>
      <c r="V2541" s="315">
        <f t="shared" si="641"/>
        <v>33</v>
      </c>
      <c r="W2541" s="316">
        <f t="shared" si="642"/>
        <v>0</v>
      </c>
    </row>
    <row r="2542" spans="1:23" x14ac:dyDescent="0.25">
      <c r="A2542" s="204" t="s">
        <v>18213</v>
      </c>
      <c r="B2542" s="351" t="s">
        <v>22227</v>
      </c>
      <c r="C2542" s="352"/>
      <c r="D2542" s="353" t="s">
        <v>5</v>
      </c>
      <c r="E2542" s="249">
        <f t="shared" si="631"/>
        <v>0</v>
      </c>
      <c r="F2542" s="336">
        <v>0</v>
      </c>
      <c r="G2542" s="258">
        <f t="shared" si="632"/>
        <v>0</v>
      </c>
      <c r="H2542" s="249">
        <f t="shared" si="633"/>
        <v>6.3585849756177829E-2</v>
      </c>
      <c r="I2542" s="336">
        <v>0.10947394244185155</v>
      </c>
      <c r="J2542" s="258">
        <f t="shared" si="634"/>
        <v>0.10947394244185155</v>
      </c>
      <c r="K2542" s="249">
        <f t="shared" si="635"/>
        <v>0.40746893067610818</v>
      </c>
      <c r="L2542" s="336">
        <v>0.70152762658244017</v>
      </c>
      <c r="M2542" s="258">
        <f t="shared" si="636"/>
        <v>0.70152762658244017</v>
      </c>
      <c r="N2542" s="251">
        <f t="shared" si="637"/>
        <v>0.10971676036360097</v>
      </c>
      <c r="O2542" s="336">
        <v>0.18889621440946933</v>
      </c>
      <c r="P2542" s="258">
        <f t="shared" si="638"/>
        <v>0.18889621440946933</v>
      </c>
      <c r="Q2542" s="354">
        <v>0.56878779069767449</v>
      </c>
      <c r="R2542" s="249">
        <f t="shared" si="639"/>
        <v>0.58083091133720932</v>
      </c>
      <c r="S2542" s="355">
        <v>0.1</v>
      </c>
      <c r="T2542" s="355"/>
      <c r="U2542" s="315">
        <f t="shared" si="640"/>
        <v>0.63891400247093022</v>
      </c>
      <c r="V2542" s="315">
        <f t="shared" si="641"/>
        <v>1</v>
      </c>
      <c r="W2542" s="316">
        <f t="shared" si="642"/>
        <v>0</v>
      </c>
    </row>
    <row r="2543" spans="1:23" x14ac:dyDescent="0.25">
      <c r="A2543" s="204" t="s">
        <v>18214</v>
      </c>
      <c r="B2543" s="351" t="s">
        <v>22228</v>
      </c>
      <c r="C2543" s="352"/>
      <c r="D2543" s="353" t="s">
        <v>14859</v>
      </c>
      <c r="E2543" s="249">
        <f t="shared" si="631"/>
        <v>0</v>
      </c>
      <c r="F2543" s="336">
        <v>0</v>
      </c>
      <c r="G2543" s="258">
        <f t="shared" si="632"/>
        <v>0</v>
      </c>
      <c r="H2543" s="249">
        <f t="shared" si="633"/>
        <v>10.937887718602903</v>
      </c>
      <c r="I2543" s="336">
        <v>0.10947394244185156</v>
      </c>
      <c r="J2543" s="258">
        <f t="shared" si="634"/>
        <v>0.10947394244185156</v>
      </c>
      <c r="K2543" s="249">
        <f t="shared" si="635"/>
        <v>70.102056007141087</v>
      </c>
      <c r="L2543" s="336">
        <v>0.70162984314867904</v>
      </c>
      <c r="M2543" s="258">
        <f t="shared" si="636"/>
        <v>0.70162984314867904</v>
      </c>
      <c r="N2543" s="251">
        <f t="shared" si="637"/>
        <v>18.873218024255987</v>
      </c>
      <c r="O2543" s="336">
        <v>0.18889621440946933</v>
      </c>
      <c r="P2543" s="258">
        <f t="shared" si="638"/>
        <v>0.18889621440946933</v>
      </c>
      <c r="Q2543" s="354">
        <v>97.831500000000005</v>
      </c>
      <c r="R2543" s="249">
        <f t="shared" si="639"/>
        <v>99.913161749999986</v>
      </c>
      <c r="S2543" s="355">
        <v>0.1</v>
      </c>
      <c r="T2543" s="355"/>
      <c r="U2543" s="315">
        <f t="shared" si="640"/>
        <v>109.90447792499998</v>
      </c>
      <c r="V2543" s="315">
        <f t="shared" si="641"/>
        <v>110</v>
      </c>
      <c r="W2543" s="316">
        <f t="shared" si="642"/>
        <v>0</v>
      </c>
    </row>
    <row r="2544" spans="1:23" x14ac:dyDescent="0.25">
      <c r="A2544" s="204" t="s">
        <v>18215</v>
      </c>
      <c r="B2544" s="351" t="s">
        <v>22229</v>
      </c>
      <c r="C2544" s="352"/>
      <c r="D2544" s="353" t="s">
        <v>5</v>
      </c>
      <c r="E2544" s="249">
        <f t="shared" si="631"/>
        <v>0</v>
      </c>
      <c r="F2544" s="336">
        <v>0</v>
      </c>
      <c r="G2544" s="258">
        <f t="shared" si="632"/>
        <v>0</v>
      </c>
      <c r="H2544" s="249">
        <f t="shared" si="633"/>
        <v>6.370408928310721E-2</v>
      </c>
      <c r="I2544" s="336">
        <v>4.6985430568168368E-2</v>
      </c>
      <c r="J2544" s="258">
        <f t="shared" si="634"/>
        <v>4.6985430568168368E-2</v>
      </c>
      <c r="K2544" s="249">
        <f t="shared" si="635"/>
        <v>1.1821420930338538</v>
      </c>
      <c r="L2544" s="336">
        <v>0.87189779901115627</v>
      </c>
      <c r="M2544" s="258">
        <f t="shared" si="636"/>
        <v>0.87189779901115627</v>
      </c>
      <c r="N2544" s="251">
        <f t="shared" si="637"/>
        <v>0.10992078150810655</v>
      </c>
      <c r="O2544" s="336">
        <v>8.1072899803898354E-2</v>
      </c>
      <c r="P2544" s="258">
        <f t="shared" si="638"/>
        <v>8.1072899803898354E-2</v>
      </c>
      <c r="Q2544" s="354">
        <v>1.3252499999999998</v>
      </c>
      <c r="R2544" s="249">
        <f t="shared" si="639"/>
        <v>1.355826444767442</v>
      </c>
      <c r="S2544" s="355">
        <v>0.1</v>
      </c>
      <c r="T2544" s="355"/>
      <c r="U2544" s="315">
        <f t="shared" si="640"/>
        <v>1.4914090892441862</v>
      </c>
      <c r="V2544" s="315">
        <f t="shared" si="641"/>
        <v>2</v>
      </c>
      <c r="W2544" s="316">
        <f t="shared" si="642"/>
        <v>0</v>
      </c>
    </row>
    <row r="2545" spans="1:23" x14ac:dyDescent="0.25">
      <c r="A2545" s="204" t="s">
        <v>18216</v>
      </c>
      <c r="B2545" s="351" t="s">
        <v>22230</v>
      </c>
      <c r="C2545" s="352"/>
      <c r="D2545" s="353" t="s">
        <v>14859</v>
      </c>
      <c r="E2545" s="249">
        <f t="shared" si="631"/>
        <v>0</v>
      </c>
      <c r="F2545" s="336">
        <v>0</v>
      </c>
      <c r="G2545" s="258">
        <f t="shared" si="632"/>
        <v>0</v>
      </c>
      <c r="H2545" s="249">
        <f t="shared" si="633"/>
        <v>10.95758472243061</v>
      </c>
      <c r="I2545" s="336">
        <v>4.6985430568168368E-2</v>
      </c>
      <c r="J2545" s="258">
        <f t="shared" si="634"/>
        <v>4.6985430568168368E-2</v>
      </c>
      <c r="K2545" s="249">
        <f t="shared" si="635"/>
        <v>203.34760376631658</v>
      </c>
      <c r="L2545" s="336">
        <v>0.87194166962793329</v>
      </c>
      <c r="M2545" s="258">
        <f t="shared" si="636"/>
        <v>0.87194166962793329</v>
      </c>
      <c r="N2545" s="251">
        <f t="shared" si="637"/>
        <v>18.907205011252817</v>
      </c>
      <c r="O2545" s="336">
        <v>8.1072899803898354E-2</v>
      </c>
      <c r="P2545" s="258">
        <f t="shared" si="638"/>
        <v>8.1072899803898354E-2</v>
      </c>
      <c r="Q2545" s="354">
        <v>227.94299999999998</v>
      </c>
      <c r="R2545" s="249">
        <f t="shared" si="639"/>
        <v>233.21239349999999</v>
      </c>
      <c r="S2545" s="355">
        <v>0.1</v>
      </c>
      <c r="T2545" s="355"/>
      <c r="U2545" s="315">
        <f t="shared" si="640"/>
        <v>256.53363285</v>
      </c>
      <c r="V2545" s="315">
        <f t="shared" si="641"/>
        <v>260</v>
      </c>
      <c r="W2545" s="316">
        <f t="shared" si="642"/>
        <v>0</v>
      </c>
    </row>
    <row r="2546" spans="1:23" x14ac:dyDescent="0.25">
      <c r="A2546" s="204" t="s">
        <v>18217</v>
      </c>
      <c r="B2546" s="351" t="s">
        <v>22231</v>
      </c>
      <c r="C2546" s="352"/>
      <c r="D2546" s="353" t="s">
        <v>5</v>
      </c>
      <c r="E2546" s="249">
        <f t="shared" si="631"/>
        <v>0</v>
      </c>
      <c r="F2546" s="336">
        <v>0</v>
      </c>
      <c r="G2546" s="258">
        <f t="shared" si="632"/>
        <v>0</v>
      </c>
      <c r="H2546" s="249">
        <f t="shared" si="633"/>
        <v>6.3710053754709631E-2</v>
      </c>
      <c r="I2546" s="336">
        <v>4.3833261710356689E-2</v>
      </c>
      <c r="J2546" s="258">
        <f t="shared" si="634"/>
        <v>4.3833261710356689E-2</v>
      </c>
      <c r="K2546" s="249">
        <f t="shared" si="635"/>
        <v>1.2797630639140478</v>
      </c>
      <c r="L2546" s="336">
        <v>0.88049194753105364</v>
      </c>
      <c r="M2546" s="258">
        <f t="shared" si="636"/>
        <v>0.88049194753105364</v>
      </c>
      <c r="N2546" s="251">
        <f t="shared" si="637"/>
        <v>0.10993107314538131</v>
      </c>
      <c r="O2546" s="336">
        <v>7.5633863343360558E-2</v>
      </c>
      <c r="P2546" s="258">
        <f t="shared" si="638"/>
        <v>7.5633863343360558E-2</v>
      </c>
      <c r="Q2546" s="354">
        <v>1.4205523255813952</v>
      </c>
      <c r="R2546" s="249">
        <f t="shared" si="639"/>
        <v>1.4534636773255811</v>
      </c>
      <c r="S2546" s="355">
        <v>0.1</v>
      </c>
      <c r="T2546" s="355"/>
      <c r="U2546" s="315">
        <f t="shared" si="640"/>
        <v>1.5988100450581393</v>
      </c>
      <c r="V2546" s="315">
        <f t="shared" si="641"/>
        <v>2</v>
      </c>
      <c r="W2546" s="316">
        <f t="shared" si="642"/>
        <v>0</v>
      </c>
    </row>
    <row r="2547" spans="1:23" x14ac:dyDescent="0.25">
      <c r="A2547" s="204" t="s">
        <v>18218</v>
      </c>
      <c r="B2547" s="351" t="s">
        <v>22232</v>
      </c>
      <c r="C2547" s="352"/>
      <c r="D2547" s="353" t="s">
        <v>14859</v>
      </c>
      <c r="E2547" s="249">
        <f t="shared" si="631"/>
        <v>0</v>
      </c>
      <c r="F2547" s="336">
        <v>0</v>
      </c>
      <c r="G2547" s="258">
        <f t="shared" si="632"/>
        <v>0</v>
      </c>
      <c r="H2547" s="249">
        <f t="shared" si="633"/>
        <v>10.958578317576279</v>
      </c>
      <c r="I2547" s="336">
        <v>4.3833261710356689E-2</v>
      </c>
      <c r="J2547" s="258">
        <f t="shared" si="634"/>
        <v>4.3833261710356689E-2</v>
      </c>
      <c r="K2547" s="249">
        <f t="shared" si="635"/>
        <v>220.13849973248816</v>
      </c>
      <c r="L2547" s="336">
        <v>0.88053287494628274</v>
      </c>
      <c r="M2547" s="258">
        <f t="shared" si="636"/>
        <v>0.88053287494628274</v>
      </c>
      <c r="N2547" s="251">
        <f t="shared" si="637"/>
        <v>18.908919449935539</v>
      </c>
      <c r="O2547" s="336">
        <v>7.5633863343360558E-2</v>
      </c>
      <c r="P2547" s="258">
        <f t="shared" si="638"/>
        <v>7.5633863343360558E-2</v>
      </c>
      <c r="Q2547" s="354">
        <v>244.33499999999998</v>
      </c>
      <c r="R2547" s="249">
        <f t="shared" si="639"/>
        <v>250.00599749999998</v>
      </c>
      <c r="S2547" s="355">
        <v>0.1</v>
      </c>
      <c r="T2547" s="355"/>
      <c r="U2547" s="315">
        <f t="shared" si="640"/>
        <v>275.00659724999997</v>
      </c>
      <c r="V2547" s="315">
        <f t="shared" si="641"/>
        <v>280</v>
      </c>
      <c r="W2547" s="316">
        <f t="shared" si="642"/>
        <v>0</v>
      </c>
    </row>
    <row r="2548" spans="1:23" x14ac:dyDescent="0.25">
      <c r="A2548" s="204" t="s">
        <v>18219</v>
      </c>
      <c r="B2548" s="351" t="s">
        <v>22233</v>
      </c>
      <c r="C2548" s="352"/>
      <c r="D2548" s="353" t="s">
        <v>5</v>
      </c>
      <c r="E2548" s="249">
        <f t="shared" si="631"/>
        <v>0</v>
      </c>
      <c r="F2548" s="336">
        <v>0</v>
      </c>
      <c r="G2548" s="258">
        <f t="shared" si="632"/>
        <v>0</v>
      </c>
      <c r="H2548" s="249">
        <f t="shared" si="633"/>
        <v>6.3726278630499622E-2</v>
      </c>
      <c r="I2548" s="336">
        <v>3.5258562793821363E-2</v>
      </c>
      <c r="J2548" s="258">
        <f t="shared" si="634"/>
        <v>3.5258562793821363E-2</v>
      </c>
      <c r="K2548" s="249">
        <f t="shared" si="635"/>
        <v>1.6336537960481279</v>
      </c>
      <c r="L2548" s="336">
        <v>0.90387021161721892</v>
      </c>
      <c r="M2548" s="258">
        <f t="shared" si="636"/>
        <v>0.90387021161721892</v>
      </c>
      <c r="N2548" s="251">
        <f t="shared" si="637"/>
        <v>0.10995906900948954</v>
      </c>
      <c r="O2548" s="336">
        <v>6.0838304428554507E-2</v>
      </c>
      <c r="P2548" s="258">
        <f t="shared" si="638"/>
        <v>6.0838304428554507E-2</v>
      </c>
      <c r="Q2548" s="354">
        <v>1.7660232558139533</v>
      </c>
      <c r="R2548" s="249">
        <f t="shared" si="639"/>
        <v>1.8073986453488367</v>
      </c>
      <c r="S2548" s="355">
        <v>0.1</v>
      </c>
      <c r="T2548" s="355"/>
      <c r="U2548" s="315">
        <f t="shared" si="640"/>
        <v>1.9881385098837203</v>
      </c>
      <c r="V2548" s="315">
        <f t="shared" si="641"/>
        <v>2</v>
      </c>
      <c r="W2548" s="316">
        <f t="shared" si="642"/>
        <v>0</v>
      </c>
    </row>
    <row r="2549" spans="1:23" x14ac:dyDescent="0.25">
      <c r="A2549" s="204" t="s">
        <v>18220</v>
      </c>
      <c r="B2549" s="351" t="s">
        <v>22234</v>
      </c>
      <c r="C2549" s="352"/>
      <c r="D2549" s="353" t="s">
        <v>14859</v>
      </c>
      <c r="E2549" s="249">
        <f t="shared" si="631"/>
        <v>0</v>
      </c>
      <c r="F2549" s="336">
        <v>0</v>
      </c>
      <c r="G2549" s="258">
        <f t="shared" si="632"/>
        <v>0</v>
      </c>
      <c r="H2549" s="249">
        <f t="shared" si="633"/>
        <v>10.96128114842176</v>
      </c>
      <c r="I2549" s="336">
        <v>3.5258562793821363E-2</v>
      </c>
      <c r="J2549" s="258">
        <f t="shared" si="634"/>
        <v>3.5258562793821363E-2</v>
      </c>
      <c r="K2549" s="249">
        <f t="shared" si="635"/>
        <v>281.00794769351711</v>
      </c>
      <c r="L2549" s="336">
        <v>0.90390313277762413</v>
      </c>
      <c r="M2549" s="258">
        <f t="shared" si="636"/>
        <v>0.90390313277762413</v>
      </c>
      <c r="N2549" s="251">
        <f t="shared" si="637"/>
        <v>18.913583158061076</v>
      </c>
      <c r="O2549" s="336">
        <v>6.0838304428554507E-2</v>
      </c>
      <c r="P2549" s="258">
        <f t="shared" si="638"/>
        <v>6.0838304428554507E-2</v>
      </c>
      <c r="Q2549" s="354">
        <v>303.75599999999997</v>
      </c>
      <c r="R2549" s="249">
        <f t="shared" si="639"/>
        <v>310.88281199999994</v>
      </c>
      <c r="S2549" s="355">
        <v>0.1</v>
      </c>
      <c r="T2549" s="355"/>
      <c r="U2549" s="315">
        <f t="shared" si="640"/>
        <v>341.97109319999993</v>
      </c>
      <c r="V2549" s="315">
        <f t="shared" si="641"/>
        <v>345</v>
      </c>
      <c r="W2549" s="316">
        <f t="shared" si="642"/>
        <v>0</v>
      </c>
    </row>
    <row r="2550" spans="1:23" x14ac:dyDescent="0.25">
      <c r="A2550" s="204" t="s">
        <v>18221</v>
      </c>
      <c r="B2550" s="351" t="s">
        <v>22235</v>
      </c>
      <c r="C2550" s="352"/>
      <c r="D2550" s="353" t="s">
        <v>5</v>
      </c>
      <c r="E2550" s="249">
        <f t="shared" si="631"/>
        <v>0</v>
      </c>
      <c r="F2550" s="336">
        <v>0</v>
      </c>
      <c r="G2550" s="258">
        <f t="shared" si="632"/>
        <v>0</v>
      </c>
      <c r="H2550" s="249">
        <f t="shared" si="633"/>
        <v>6.3751654671158758E-2</v>
      </c>
      <c r="I2550" s="336">
        <v>2.184755668431199E-2</v>
      </c>
      <c r="J2550" s="258">
        <f t="shared" si="634"/>
        <v>2.184755668431199E-2</v>
      </c>
      <c r="K2550" s="249">
        <f t="shared" si="635"/>
        <v>2.7442081305531509</v>
      </c>
      <c r="L2550" s="336">
        <v>0.94043429923604938</v>
      </c>
      <c r="M2550" s="258">
        <f t="shared" si="636"/>
        <v>0.94043429923604938</v>
      </c>
      <c r="N2550" s="251">
        <f t="shared" si="637"/>
        <v>0.11000285511886217</v>
      </c>
      <c r="O2550" s="336">
        <v>3.7697744867048133E-2</v>
      </c>
      <c r="P2550" s="258">
        <f t="shared" si="638"/>
        <v>3.7697744867048133E-2</v>
      </c>
      <c r="Q2550" s="354">
        <v>2.8500872093023255</v>
      </c>
      <c r="R2550" s="249">
        <f t="shared" si="639"/>
        <v>2.9180221656976739</v>
      </c>
      <c r="S2550" s="355">
        <v>0.1</v>
      </c>
      <c r="T2550" s="355"/>
      <c r="U2550" s="315">
        <f t="shared" si="640"/>
        <v>3.2098243822674415</v>
      </c>
      <c r="V2550" s="315">
        <f t="shared" si="641"/>
        <v>4</v>
      </c>
      <c r="W2550" s="316">
        <f t="shared" si="642"/>
        <v>0</v>
      </c>
    </row>
    <row r="2551" spans="1:23" x14ac:dyDescent="0.25">
      <c r="A2551" s="204" t="s">
        <v>18222</v>
      </c>
      <c r="B2551" s="351" t="s">
        <v>22236</v>
      </c>
      <c r="C2551" s="352"/>
      <c r="D2551" s="353" t="s">
        <v>14859</v>
      </c>
      <c r="E2551" s="249">
        <f t="shared" si="631"/>
        <v>0</v>
      </c>
      <c r="F2551" s="336">
        <v>0</v>
      </c>
      <c r="G2551" s="258">
        <f t="shared" si="632"/>
        <v>0</v>
      </c>
      <c r="H2551" s="249">
        <f t="shared" si="633"/>
        <v>10.965508431657538</v>
      </c>
      <c r="I2551" s="336">
        <v>2.184755668431199E-2</v>
      </c>
      <c r="J2551" s="258">
        <f t="shared" si="634"/>
        <v>2.184755668431199E-2</v>
      </c>
      <c r="K2551" s="249">
        <f t="shared" si="635"/>
        <v>472.02367177450196</v>
      </c>
      <c r="L2551" s="336">
        <v>0.94045469844863994</v>
      </c>
      <c r="M2551" s="258">
        <f t="shared" si="636"/>
        <v>0.94045469844863994</v>
      </c>
      <c r="N2551" s="251">
        <f t="shared" si="637"/>
        <v>18.920877293840455</v>
      </c>
      <c r="O2551" s="336">
        <v>3.7697744867048133E-2</v>
      </c>
      <c r="P2551" s="258">
        <f t="shared" si="638"/>
        <v>3.7697744867048133E-2</v>
      </c>
      <c r="Q2551" s="354">
        <v>490.21499999999997</v>
      </c>
      <c r="R2551" s="249">
        <f t="shared" si="639"/>
        <v>501.91005749999994</v>
      </c>
      <c r="S2551" s="355">
        <v>0.1</v>
      </c>
      <c r="T2551" s="355"/>
      <c r="U2551" s="315">
        <f t="shared" si="640"/>
        <v>552.10106324999992</v>
      </c>
      <c r="V2551" s="315">
        <f t="shared" si="641"/>
        <v>555</v>
      </c>
      <c r="W2551" s="316">
        <f t="shared" si="642"/>
        <v>0</v>
      </c>
    </row>
    <row r="2552" spans="1:23" x14ac:dyDescent="0.25">
      <c r="A2552" s="204" t="s">
        <v>18223</v>
      </c>
      <c r="B2552" s="351" t="s">
        <v>22237</v>
      </c>
      <c r="C2552" s="352"/>
      <c r="D2552" s="353" t="s">
        <v>5</v>
      </c>
      <c r="E2552" s="249">
        <f t="shared" si="631"/>
        <v>0</v>
      </c>
      <c r="F2552" s="336">
        <v>0</v>
      </c>
      <c r="G2552" s="258">
        <f t="shared" si="632"/>
        <v>0</v>
      </c>
      <c r="H2552" s="249">
        <f t="shared" si="633"/>
        <v>6.3755636441363311E-2</v>
      </c>
      <c r="I2552" s="336">
        <v>1.974322743700279E-2</v>
      </c>
      <c r="J2552" s="258">
        <f t="shared" si="634"/>
        <v>1.974322743700279E-2</v>
      </c>
      <c r="K2552" s="249">
        <f t="shared" si="635"/>
        <v>3.0554159533387595</v>
      </c>
      <c r="L2552" s="336">
        <v>0.94617159279547314</v>
      </c>
      <c r="M2552" s="258">
        <f t="shared" si="636"/>
        <v>0.94617159279547314</v>
      </c>
      <c r="N2552" s="251">
        <f t="shared" si="637"/>
        <v>0.11000972562431317</v>
      </c>
      <c r="O2552" s="336">
        <v>3.4066745381495012E-2</v>
      </c>
      <c r="P2552" s="258">
        <f t="shared" si="638"/>
        <v>3.4066745381495012E-2</v>
      </c>
      <c r="Q2552" s="354">
        <v>3.1538633720930234</v>
      </c>
      <c r="R2552" s="249">
        <f t="shared" si="639"/>
        <v>3.229240844476744</v>
      </c>
      <c r="S2552" s="355">
        <v>0.1</v>
      </c>
      <c r="T2552" s="355"/>
      <c r="U2552" s="315">
        <f t="shared" si="640"/>
        <v>3.5521649289244186</v>
      </c>
      <c r="V2552" s="315">
        <f t="shared" si="641"/>
        <v>4</v>
      </c>
      <c r="W2552" s="316">
        <f t="shared" si="642"/>
        <v>0</v>
      </c>
    </row>
    <row r="2553" spans="1:23" x14ac:dyDescent="0.25">
      <c r="A2553" s="204" t="s">
        <v>18224</v>
      </c>
      <c r="B2553" s="351" t="s">
        <v>22238</v>
      </c>
      <c r="C2553" s="352"/>
      <c r="D2553" s="353" t="s">
        <v>14859</v>
      </c>
      <c r="E2553" s="249">
        <f t="shared" si="631"/>
        <v>0</v>
      </c>
      <c r="F2553" s="336">
        <v>0</v>
      </c>
      <c r="G2553" s="258">
        <f t="shared" si="632"/>
        <v>0</v>
      </c>
      <c r="H2553" s="249">
        <f t="shared" si="633"/>
        <v>10.966171737279584</v>
      </c>
      <c r="I2553" s="336">
        <v>1.974322743700279E-2</v>
      </c>
      <c r="J2553" s="258">
        <f t="shared" si="634"/>
        <v>1.974322743700279E-2</v>
      </c>
      <c r="K2553" s="249">
        <f t="shared" si="635"/>
        <v>525.55147669153212</v>
      </c>
      <c r="L2553" s="336">
        <v>0.94619002718150214</v>
      </c>
      <c r="M2553" s="258">
        <f t="shared" si="636"/>
        <v>0.94619002718150214</v>
      </c>
      <c r="N2553" s="251">
        <f t="shared" si="637"/>
        <v>18.922021821188302</v>
      </c>
      <c r="O2553" s="336">
        <v>3.4066745381495012E-2</v>
      </c>
      <c r="P2553" s="258">
        <f t="shared" si="638"/>
        <v>3.4066745381495012E-2</v>
      </c>
      <c r="Q2553" s="354">
        <v>542.46450000000004</v>
      </c>
      <c r="R2553" s="249">
        <f t="shared" si="639"/>
        <v>555.43967025000006</v>
      </c>
      <c r="S2553" s="355">
        <v>0.1</v>
      </c>
      <c r="T2553" s="355"/>
      <c r="U2553" s="315">
        <f t="shared" si="640"/>
        <v>610.98363727500009</v>
      </c>
      <c r="V2553" s="315">
        <f t="shared" si="641"/>
        <v>615</v>
      </c>
      <c r="W2553" s="316">
        <f t="shared" si="642"/>
        <v>0</v>
      </c>
    </row>
    <row r="2554" spans="1:23" x14ac:dyDescent="0.25">
      <c r="A2554" s="204" t="s">
        <v>18225</v>
      </c>
      <c r="B2554" s="351" t="s">
        <v>22239</v>
      </c>
      <c r="C2554" s="352"/>
      <c r="D2554" s="353" t="s">
        <v>5</v>
      </c>
      <c r="E2554" s="249">
        <f t="shared" si="631"/>
        <v>0</v>
      </c>
      <c r="F2554" s="336">
        <v>0</v>
      </c>
      <c r="G2554" s="258">
        <f t="shared" si="632"/>
        <v>0</v>
      </c>
      <c r="H2554" s="249">
        <f t="shared" si="633"/>
        <v>6.3760053486228735E-2</v>
      </c>
      <c r="I2554" s="336">
        <v>1.740885950026333E-2</v>
      </c>
      <c r="J2554" s="258">
        <f t="shared" si="634"/>
        <v>1.740885950026333E-2</v>
      </c>
      <c r="K2554" s="249">
        <f t="shared" si="635"/>
        <v>3.4886691300788026</v>
      </c>
      <c r="L2554" s="336">
        <v>0.95253606933635016</v>
      </c>
      <c r="M2554" s="258">
        <f t="shared" si="636"/>
        <v>0.95253606933635016</v>
      </c>
      <c r="N2554" s="251">
        <f t="shared" si="637"/>
        <v>0.11001734719192408</v>
      </c>
      <c r="O2554" s="336">
        <v>3.0038816392611228E-2</v>
      </c>
      <c r="P2554" s="258">
        <f t="shared" si="638"/>
        <v>3.0038816392611228E-2</v>
      </c>
      <c r="Q2554" s="354">
        <v>3.5767674418604654</v>
      </c>
      <c r="R2554" s="249">
        <f t="shared" si="639"/>
        <v>3.6625060639534883</v>
      </c>
      <c r="S2554" s="355">
        <v>0.1</v>
      </c>
      <c r="T2554" s="355"/>
      <c r="U2554" s="315">
        <f t="shared" si="640"/>
        <v>4.0287566703488373</v>
      </c>
      <c r="V2554" s="315">
        <f t="shared" si="641"/>
        <v>5</v>
      </c>
      <c r="W2554" s="316">
        <f t="shared" si="642"/>
        <v>0</v>
      </c>
    </row>
    <row r="2555" spans="1:23" x14ac:dyDescent="0.25">
      <c r="A2555" s="204" t="s">
        <v>18226</v>
      </c>
      <c r="B2555" s="351" t="s">
        <v>22240</v>
      </c>
      <c r="C2555" s="352"/>
      <c r="D2555" s="353" t="s">
        <v>14859</v>
      </c>
      <c r="E2555" s="249">
        <f t="shared" si="631"/>
        <v>0</v>
      </c>
      <c r="F2555" s="336">
        <v>0</v>
      </c>
      <c r="G2555" s="258">
        <f t="shared" si="632"/>
        <v>0</v>
      </c>
      <c r="H2555" s="249">
        <f t="shared" si="633"/>
        <v>10.96690755339692</v>
      </c>
      <c r="I2555" s="336">
        <v>1.7408859500263326E-2</v>
      </c>
      <c r="J2555" s="258">
        <f t="shared" si="634"/>
        <v>1.7408859500263326E-2</v>
      </c>
      <c r="K2555" s="249">
        <f t="shared" si="635"/>
        <v>600.07108898191814</v>
      </c>
      <c r="L2555" s="336">
        <v>0.95255232410712531</v>
      </c>
      <c r="M2555" s="258">
        <f t="shared" si="636"/>
        <v>0.95255232410712531</v>
      </c>
      <c r="N2555" s="251">
        <f t="shared" si="637"/>
        <v>18.923291464684883</v>
      </c>
      <c r="O2555" s="336">
        <v>3.0038816392611228E-2</v>
      </c>
      <c r="P2555" s="258">
        <f t="shared" si="638"/>
        <v>3.0038816392611228E-2</v>
      </c>
      <c r="Q2555" s="354">
        <v>615.20400000000006</v>
      </c>
      <c r="R2555" s="249">
        <f t="shared" si="639"/>
        <v>629.96128799999997</v>
      </c>
      <c r="S2555" s="355">
        <v>0.1</v>
      </c>
      <c r="T2555" s="355"/>
      <c r="U2555" s="315">
        <f t="shared" si="640"/>
        <v>692.95741679999992</v>
      </c>
      <c r="V2555" s="315">
        <f t="shared" si="641"/>
        <v>695</v>
      </c>
      <c r="W2555" s="316">
        <f t="shared" si="642"/>
        <v>0</v>
      </c>
    </row>
    <row r="2556" spans="1:23" x14ac:dyDescent="0.25">
      <c r="A2556" s="204" t="s">
        <v>18227</v>
      </c>
      <c r="B2556" s="351" t="s">
        <v>22241</v>
      </c>
      <c r="C2556" s="352"/>
      <c r="D2556" s="353" t="s">
        <v>5</v>
      </c>
      <c r="E2556" s="249">
        <f t="shared" si="631"/>
        <v>0</v>
      </c>
      <c r="F2556" s="336">
        <v>0</v>
      </c>
      <c r="G2556" s="258">
        <f t="shared" si="632"/>
        <v>0</v>
      </c>
      <c r="H2556" s="249">
        <f t="shared" si="633"/>
        <v>6.3765841346468441E-2</v>
      </c>
      <c r="I2556" s="336">
        <v>1.4350028137310074E-2</v>
      </c>
      <c r="J2556" s="258">
        <f t="shared" si="634"/>
        <v>1.4350028137310074E-2</v>
      </c>
      <c r="K2556" s="249">
        <f t="shared" si="635"/>
        <v>4.2697512103834141</v>
      </c>
      <c r="L2556" s="336">
        <v>0.96087574027922917</v>
      </c>
      <c r="M2556" s="258">
        <f t="shared" si="636"/>
        <v>0.96087574027922917</v>
      </c>
      <c r="N2556" s="251">
        <f t="shared" si="637"/>
        <v>0.11002733408802395</v>
      </c>
      <c r="O2556" s="336">
        <v>2.4760832864378163E-2</v>
      </c>
      <c r="P2556" s="258">
        <f t="shared" si="638"/>
        <v>2.4760832864378163E-2</v>
      </c>
      <c r="Q2556" s="354">
        <v>4.3391860465116281</v>
      </c>
      <c r="R2556" s="249">
        <f t="shared" si="639"/>
        <v>4.4436039244186043</v>
      </c>
      <c r="S2556" s="355">
        <v>0.1</v>
      </c>
      <c r="T2556" s="355"/>
      <c r="U2556" s="315">
        <f t="shared" si="640"/>
        <v>4.8879643168604652</v>
      </c>
      <c r="V2556" s="315">
        <f t="shared" si="641"/>
        <v>5</v>
      </c>
      <c r="W2556" s="316">
        <f t="shared" si="642"/>
        <v>0</v>
      </c>
    </row>
    <row r="2557" spans="1:23" ht="14.4" thickBot="1" x14ac:dyDescent="0.3">
      <c r="A2557" s="356" t="s">
        <v>18228</v>
      </c>
      <c r="B2557" s="357" t="s">
        <v>22242</v>
      </c>
      <c r="C2557" s="358"/>
      <c r="D2557" s="359" t="s">
        <v>14859</v>
      </c>
      <c r="E2557" s="266">
        <f t="shared" si="631"/>
        <v>0</v>
      </c>
      <c r="F2557" s="360">
        <v>0</v>
      </c>
      <c r="G2557" s="322">
        <f t="shared" si="632"/>
        <v>0</v>
      </c>
      <c r="H2557" s="266">
        <f t="shared" si="633"/>
        <v>10.967871727630838</v>
      </c>
      <c r="I2557" s="360">
        <v>1.4350028137310074E-2</v>
      </c>
      <c r="J2557" s="322">
        <f t="shared" si="634"/>
        <v>1.4350028137310074E-2</v>
      </c>
      <c r="K2557" s="266">
        <f t="shared" si="635"/>
        <v>734.41729313449616</v>
      </c>
      <c r="L2557" s="360">
        <v>0.96088913899831174</v>
      </c>
      <c r="M2557" s="322">
        <f t="shared" si="636"/>
        <v>0.96088913899831174</v>
      </c>
      <c r="N2557" s="270">
        <f t="shared" si="637"/>
        <v>18.924955137872818</v>
      </c>
      <c r="O2557" s="360">
        <v>2.4760832864378166E-2</v>
      </c>
      <c r="P2557" s="322">
        <f t="shared" si="638"/>
        <v>2.4760832864378166E-2</v>
      </c>
      <c r="Q2557" s="361">
        <v>746.34</v>
      </c>
      <c r="R2557" s="266">
        <f t="shared" si="639"/>
        <v>764.31011999999987</v>
      </c>
      <c r="S2557" s="362">
        <v>0.1</v>
      </c>
      <c r="T2557" s="362"/>
      <c r="U2557" s="324">
        <f t="shared" si="640"/>
        <v>840.74113199999988</v>
      </c>
      <c r="V2557" s="324">
        <f t="shared" si="641"/>
        <v>845</v>
      </c>
      <c r="W2557" s="325">
        <f t="shared" si="642"/>
        <v>0</v>
      </c>
    </row>
    <row r="2558" spans="1:23" x14ac:dyDescent="0.25">
      <c r="A2558" s="204" t="s">
        <v>18229</v>
      </c>
      <c r="B2558" s="351" t="s">
        <v>22243</v>
      </c>
      <c r="C2558" s="352"/>
      <c r="D2558" s="353" t="s">
        <v>5</v>
      </c>
      <c r="E2558" s="249">
        <f t="shared" si="631"/>
        <v>0</v>
      </c>
      <c r="F2558" s="336">
        <v>0</v>
      </c>
      <c r="G2558" s="258">
        <f t="shared" si="632"/>
        <v>0</v>
      </c>
      <c r="H2558" s="249">
        <f t="shared" si="633"/>
        <v>6.3769118727699109E-2</v>
      </c>
      <c r="I2558" s="336">
        <v>1.2617962040080585E-2</v>
      </c>
      <c r="J2558" s="258">
        <f t="shared" si="634"/>
        <v>1.2617962040080585E-2</v>
      </c>
      <c r="K2558" s="249">
        <f t="shared" si="635"/>
        <v>4.879974978341262</v>
      </c>
      <c r="L2558" s="336">
        <v>0.96559808668810898</v>
      </c>
      <c r="M2558" s="258">
        <f t="shared" si="636"/>
        <v>0.96559808668810898</v>
      </c>
      <c r="N2558" s="251">
        <f t="shared" si="637"/>
        <v>0.1100329891772063</v>
      </c>
      <c r="O2558" s="336">
        <v>2.1772169794648851E-2</v>
      </c>
      <c r="P2558" s="258">
        <f t="shared" si="638"/>
        <v>2.1772169794648851E-2</v>
      </c>
      <c r="Q2558" s="354">
        <v>4.9348255813953497</v>
      </c>
      <c r="R2558" s="249">
        <f t="shared" si="639"/>
        <v>5.0538366279069775</v>
      </c>
      <c r="S2558" s="355">
        <v>0.1</v>
      </c>
      <c r="T2558" s="355"/>
      <c r="U2558" s="315">
        <f t="shared" si="640"/>
        <v>5.5592202906976755</v>
      </c>
      <c r="V2558" s="315">
        <f t="shared" si="641"/>
        <v>6</v>
      </c>
      <c r="W2558" s="316">
        <f t="shared" si="642"/>
        <v>0</v>
      </c>
    </row>
    <row r="2559" spans="1:23" x14ac:dyDescent="0.25">
      <c r="A2559" s="204" t="s">
        <v>18230</v>
      </c>
      <c r="B2559" s="351" t="s">
        <v>22244</v>
      </c>
      <c r="C2559" s="352"/>
      <c r="D2559" s="353" t="s">
        <v>14859</v>
      </c>
      <c r="E2559" s="249">
        <f t="shared" si="631"/>
        <v>0</v>
      </c>
      <c r="F2559" s="336">
        <v>0</v>
      </c>
      <c r="G2559" s="258">
        <f t="shared" si="632"/>
        <v>0</v>
      </c>
      <c r="H2559" s="249">
        <f t="shared" si="633"/>
        <v>10.968417692185344</v>
      </c>
      <c r="I2559" s="336">
        <v>1.2617962040080585E-2</v>
      </c>
      <c r="J2559" s="258">
        <f t="shared" si="634"/>
        <v>1.2617962040080585E-2</v>
      </c>
      <c r="K2559" s="249">
        <f t="shared" si="635"/>
        <v>839.37583011345555</v>
      </c>
      <c r="L2559" s="336">
        <v>0.9656098681652705</v>
      </c>
      <c r="M2559" s="258">
        <f t="shared" si="636"/>
        <v>0.9656098681652705</v>
      </c>
      <c r="N2559" s="251">
        <f t="shared" si="637"/>
        <v>18.925897194359028</v>
      </c>
      <c r="O2559" s="336">
        <v>2.1772169794648851E-2</v>
      </c>
      <c r="P2559" s="258">
        <f t="shared" si="638"/>
        <v>2.1772169794648851E-2</v>
      </c>
      <c r="Q2559" s="354">
        <v>848.79000000000008</v>
      </c>
      <c r="R2559" s="249">
        <f t="shared" si="639"/>
        <v>869.27014499999996</v>
      </c>
      <c r="S2559" s="355">
        <v>0.1</v>
      </c>
      <c r="T2559" s="355"/>
      <c r="U2559" s="315">
        <f t="shared" si="640"/>
        <v>956.1971595</v>
      </c>
      <c r="V2559" s="315">
        <f t="shared" si="641"/>
        <v>960</v>
      </c>
      <c r="W2559" s="316">
        <f t="shared" si="642"/>
        <v>0</v>
      </c>
    </row>
    <row r="2560" spans="1:23" x14ac:dyDescent="0.25">
      <c r="A2560" s="204" t="s">
        <v>18231</v>
      </c>
      <c r="B2560" s="351" t="s">
        <v>22245</v>
      </c>
      <c r="C2560" s="352"/>
      <c r="D2560" s="353" t="s">
        <v>5</v>
      </c>
      <c r="E2560" s="249">
        <f t="shared" si="631"/>
        <v>0</v>
      </c>
      <c r="F2560" s="336">
        <v>0</v>
      </c>
      <c r="G2560" s="258">
        <f t="shared" si="632"/>
        <v>0</v>
      </c>
      <c r="H2560" s="249">
        <f t="shared" si="633"/>
        <v>6.3771100659448937E-2</v>
      </c>
      <c r="I2560" s="336">
        <v>1.1570529181555217E-2</v>
      </c>
      <c r="J2560" s="258">
        <f t="shared" si="634"/>
        <v>1.1570529181555217E-2</v>
      </c>
      <c r="K2560" s="249">
        <f t="shared" si="635"/>
        <v>5.337644102371442</v>
      </c>
      <c r="L2560" s="336">
        <v>0.96845383267026952</v>
      </c>
      <c r="M2560" s="258">
        <f t="shared" si="636"/>
        <v>0.96845383267026952</v>
      </c>
      <c r="N2560" s="251">
        <f t="shared" si="637"/>
        <v>0.11003640898100991</v>
      </c>
      <c r="O2560" s="336">
        <v>1.9964834666212919E-2</v>
      </c>
      <c r="P2560" s="258">
        <f t="shared" si="638"/>
        <v>1.9964834666212919E-2</v>
      </c>
      <c r="Q2560" s="354">
        <v>5.3815552325581395</v>
      </c>
      <c r="R2560" s="249">
        <f t="shared" si="639"/>
        <v>5.5115111555232552</v>
      </c>
      <c r="S2560" s="355">
        <v>0.1</v>
      </c>
      <c r="T2560" s="355"/>
      <c r="U2560" s="315">
        <f t="shared" si="640"/>
        <v>6.0626622710755811</v>
      </c>
      <c r="V2560" s="315">
        <f t="shared" si="641"/>
        <v>7</v>
      </c>
      <c r="W2560" s="316">
        <f t="shared" si="642"/>
        <v>0</v>
      </c>
    </row>
    <row r="2561" spans="1:23" x14ac:dyDescent="0.25">
      <c r="A2561" s="204" t="s">
        <v>18232</v>
      </c>
      <c r="B2561" s="351" t="s">
        <v>22246</v>
      </c>
      <c r="C2561" s="352"/>
      <c r="D2561" s="353" t="s">
        <v>14859</v>
      </c>
      <c r="E2561" s="249">
        <f t="shared" si="631"/>
        <v>0</v>
      </c>
      <c r="F2561" s="336">
        <v>0</v>
      </c>
      <c r="G2561" s="258">
        <f t="shared" si="632"/>
        <v>0</v>
      </c>
      <c r="H2561" s="249">
        <f t="shared" si="633"/>
        <v>10.968747853496682</v>
      </c>
      <c r="I2561" s="336">
        <v>1.1570529181555215E-2</v>
      </c>
      <c r="J2561" s="258">
        <f t="shared" si="634"/>
        <v>1.1570529181555215E-2</v>
      </c>
      <c r="K2561" s="249">
        <f t="shared" si="635"/>
        <v>918.09494901203834</v>
      </c>
      <c r="L2561" s="336">
        <v>0.96846463615223177</v>
      </c>
      <c r="M2561" s="258">
        <f t="shared" si="636"/>
        <v>0.96846463615223177</v>
      </c>
      <c r="N2561" s="251">
        <f t="shared" si="637"/>
        <v>18.926466884464862</v>
      </c>
      <c r="O2561" s="336">
        <v>1.9964834666212919E-2</v>
      </c>
      <c r="P2561" s="258">
        <f t="shared" si="638"/>
        <v>1.9964834666212919E-2</v>
      </c>
      <c r="Q2561" s="354">
        <v>925.62750000000005</v>
      </c>
      <c r="R2561" s="249">
        <f t="shared" si="639"/>
        <v>947.99016374999997</v>
      </c>
      <c r="S2561" s="355">
        <v>0.1</v>
      </c>
      <c r="T2561" s="355"/>
      <c r="U2561" s="315">
        <f t="shared" si="640"/>
        <v>1042.789180125</v>
      </c>
      <c r="V2561" s="315">
        <f t="shared" si="641"/>
        <v>1050</v>
      </c>
      <c r="W2561" s="316">
        <f t="shared" si="642"/>
        <v>0</v>
      </c>
    </row>
    <row r="2562" spans="1:23" x14ac:dyDescent="0.25">
      <c r="A2562" s="204" t="s">
        <v>18233</v>
      </c>
      <c r="B2562" s="351" t="s">
        <v>22247</v>
      </c>
      <c r="C2562" s="352"/>
      <c r="D2562" s="353" t="s">
        <v>5</v>
      </c>
      <c r="E2562" s="249">
        <f t="shared" ref="E2562:E2625" si="643">R2562*G2562</f>
        <v>0</v>
      </c>
      <c r="F2562" s="336">
        <v>0</v>
      </c>
      <c r="G2562" s="258">
        <f t="shared" ref="G2562:G2625" si="644">F2562</f>
        <v>0</v>
      </c>
      <c r="H2562" s="249">
        <f t="shared" ref="H2562:H2625" si="645">R2562*J2562</f>
        <v>6.3771221153233512E-2</v>
      </c>
      <c r="I2562" s="336">
        <v>1.1506849315068495E-2</v>
      </c>
      <c r="J2562" s="258">
        <f t="shared" ref="J2562:J2625" si="646">I2562</f>
        <v>1.1506849315068495E-2</v>
      </c>
      <c r="K2562" s="249">
        <f t="shared" ref="K2562:K2625" si="647">R2562*M2562</f>
        <v>5.3681554090287271</v>
      </c>
      <c r="L2562" s="336">
        <v>0.96862745098039216</v>
      </c>
      <c r="M2562" s="258">
        <f t="shared" ref="M2562:M2625" si="648">L2562</f>
        <v>0.96862745098039216</v>
      </c>
      <c r="N2562" s="251">
        <f t="shared" ref="N2562:N2625" si="649">P2562*R2562</f>
        <v>0.1100366168918539</v>
      </c>
      <c r="O2562" s="336">
        <v>1.9854955680902498E-2</v>
      </c>
      <c r="P2562" s="258">
        <f t="shared" ref="P2562:P2625" si="650">O2562</f>
        <v>1.9854955680902498E-2</v>
      </c>
      <c r="Q2562" s="354">
        <v>5.4113372093023253</v>
      </c>
      <c r="R2562" s="249">
        <f t="shared" ref="R2562:R2625" si="651">SUM(F2562*Q2562*1.0235,I2562*Q2562*1.0175,L2562*Q2562*1.0245,O2562*Q2562*1.0115)</f>
        <v>5.5420227906976738</v>
      </c>
      <c r="S2562" s="355">
        <v>0.1</v>
      </c>
      <c r="T2562" s="355"/>
      <c r="U2562" s="315">
        <f t="shared" si="640"/>
        <v>6.0962250697674412</v>
      </c>
      <c r="V2562" s="315">
        <f t="shared" si="641"/>
        <v>7</v>
      </c>
      <c r="W2562" s="316">
        <f t="shared" si="642"/>
        <v>0</v>
      </c>
    </row>
    <row r="2563" spans="1:23" x14ac:dyDescent="0.25">
      <c r="A2563" s="204" t="s">
        <v>18234</v>
      </c>
      <c r="B2563" s="351" t="s">
        <v>22248</v>
      </c>
      <c r="C2563" s="352"/>
      <c r="D2563" s="353" t="s">
        <v>14859</v>
      </c>
      <c r="E2563" s="249">
        <f t="shared" si="643"/>
        <v>0</v>
      </c>
      <c r="F2563" s="336">
        <v>0</v>
      </c>
      <c r="G2563" s="258">
        <f t="shared" si="644"/>
        <v>0</v>
      </c>
      <c r="H2563" s="249">
        <f t="shared" si="645"/>
        <v>10.968767926027397</v>
      </c>
      <c r="I2563" s="336">
        <v>1.1506849315068493E-2</v>
      </c>
      <c r="J2563" s="258">
        <f t="shared" si="646"/>
        <v>1.1506849315068493E-2</v>
      </c>
      <c r="K2563" s="249">
        <f t="shared" si="647"/>
        <v>923.34289555455268</v>
      </c>
      <c r="L2563" s="336">
        <v>0.96863819500402892</v>
      </c>
      <c r="M2563" s="258">
        <f t="shared" si="648"/>
        <v>0.96863819500402892</v>
      </c>
      <c r="N2563" s="251">
        <f t="shared" si="649"/>
        <v>18.926501519419823</v>
      </c>
      <c r="O2563" s="336">
        <v>1.9854955680902498E-2</v>
      </c>
      <c r="P2563" s="258">
        <f t="shared" si="650"/>
        <v>1.9854955680902498E-2</v>
      </c>
      <c r="Q2563" s="354">
        <v>930.75</v>
      </c>
      <c r="R2563" s="249">
        <f t="shared" si="651"/>
        <v>953.23816499999998</v>
      </c>
      <c r="S2563" s="355">
        <v>0.1</v>
      </c>
      <c r="T2563" s="355"/>
      <c r="U2563" s="315">
        <f t="shared" si="640"/>
        <v>1048.5619815</v>
      </c>
      <c r="V2563" s="315">
        <f t="shared" si="641"/>
        <v>1050</v>
      </c>
      <c r="W2563" s="316">
        <f t="shared" si="642"/>
        <v>0</v>
      </c>
    </row>
    <row r="2564" spans="1:23" x14ac:dyDescent="0.25">
      <c r="A2564" s="204" t="s">
        <v>18235</v>
      </c>
      <c r="B2564" s="351" t="s">
        <v>22249</v>
      </c>
      <c r="C2564" s="352"/>
      <c r="D2564" s="353" t="s">
        <v>5</v>
      </c>
      <c r="E2564" s="249">
        <f t="shared" si="643"/>
        <v>0</v>
      </c>
      <c r="F2564" s="336">
        <v>0</v>
      </c>
      <c r="G2564" s="258">
        <f t="shared" si="644"/>
        <v>0</v>
      </c>
      <c r="H2564" s="249">
        <f t="shared" si="645"/>
        <v>6.3780052917357624E-2</v>
      </c>
      <c r="I2564" s="336">
        <v>6.8393425035441976E-3</v>
      </c>
      <c r="J2564" s="258">
        <f t="shared" si="646"/>
        <v>6.8393425035441976E-3</v>
      </c>
      <c r="K2564" s="249">
        <f t="shared" si="647"/>
        <v>9.1515740915238233</v>
      </c>
      <c r="L2564" s="336">
        <v>0.98135305311825483</v>
      </c>
      <c r="M2564" s="258">
        <f t="shared" si="648"/>
        <v>0.98135305311825483</v>
      </c>
      <c r="N2564" s="251">
        <f t="shared" si="649"/>
        <v>0.11005185601426412</v>
      </c>
      <c r="O2564" s="336">
        <v>1.1801218437488027E-2</v>
      </c>
      <c r="P2564" s="258">
        <f t="shared" si="650"/>
        <v>1.1801218437488027E-2</v>
      </c>
      <c r="Q2564" s="354">
        <v>9.1043023255813953</v>
      </c>
      <c r="R2564" s="249">
        <f t="shared" si="651"/>
        <v>9.3254655523255821</v>
      </c>
      <c r="S2564" s="355">
        <v>0.1</v>
      </c>
      <c r="T2564" s="355"/>
      <c r="U2564" s="315">
        <f t="shared" si="640"/>
        <v>10.258012107558141</v>
      </c>
      <c r="V2564" s="315">
        <f t="shared" si="641"/>
        <v>11</v>
      </c>
      <c r="W2564" s="316">
        <f t="shared" si="642"/>
        <v>0</v>
      </c>
    </row>
    <row r="2565" spans="1:23" x14ac:dyDescent="0.25">
      <c r="A2565" s="204" t="s">
        <v>18236</v>
      </c>
      <c r="B2565" s="351" t="s">
        <v>22250</v>
      </c>
      <c r="C2565" s="352"/>
      <c r="D2565" s="353" t="s">
        <v>14859</v>
      </c>
      <c r="E2565" s="249">
        <f t="shared" si="643"/>
        <v>0</v>
      </c>
      <c r="F2565" s="336">
        <v>0</v>
      </c>
      <c r="G2565" s="258">
        <f t="shared" si="644"/>
        <v>0</v>
      </c>
      <c r="H2565" s="249">
        <f t="shared" si="645"/>
        <v>10.97023917084946</v>
      </c>
      <c r="I2565" s="336">
        <v>6.8393425035441976E-3</v>
      </c>
      <c r="J2565" s="258">
        <f t="shared" si="646"/>
        <v>6.8393425035441976E-3</v>
      </c>
      <c r="K2565" s="249">
        <f t="shared" si="647"/>
        <v>1574.0910406912142</v>
      </c>
      <c r="L2565" s="336">
        <v>0.98135943905896772</v>
      </c>
      <c r="M2565" s="258">
        <f t="shared" si="648"/>
        <v>0.98135943905896772</v>
      </c>
      <c r="N2565" s="251">
        <f t="shared" si="649"/>
        <v>18.929040137936319</v>
      </c>
      <c r="O2565" s="336">
        <v>1.1801218437488025E-2</v>
      </c>
      <c r="P2565" s="258">
        <f t="shared" si="650"/>
        <v>1.1801218437488025E-2</v>
      </c>
      <c r="Q2565" s="354">
        <v>1565.94</v>
      </c>
      <c r="R2565" s="249">
        <f t="shared" si="651"/>
        <v>1603.9903200000001</v>
      </c>
      <c r="S2565" s="355">
        <v>0.1</v>
      </c>
      <c r="T2565" s="355"/>
      <c r="U2565" s="315">
        <f t="shared" si="640"/>
        <v>1764.3893520000001</v>
      </c>
      <c r="V2565" s="315">
        <f t="shared" si="641"/>
        <v>1775</v>
      </c>
      <c r="W2565" s="316">
        <f t="shared" si="642"/>
        <v>0</v>
      </c>
    </row>
    <row r="2566" spans="1:23" x14ac:dyDescent="0.25">
      <c r="A2566" s="204" t="s">
        <v>18237</v>
      </c>
      <c r="B2566" s="351" t="s">
        <v>22251</v>
      </c>
      <c r="C2566" s="352"/>
      <c r="D2566" s="353" t="s">
        <v>5</v>
      </c>
      <c r="E2566" s="249">
        <f t="shared" si="643"/>
        <v>0</v>
      </c>
      <c r="F2566" s="336">
        <v>0</v>
      </c>
      <c r="G2566" s="258">
        <f t="shared" si="644"/>
        <v>0</v>
      </c>
      <c r="H2566" s="249">
        <f t="shared" si="645"/>
        <v>6.3782176186542597E-2</v>
      </c>
      <c r="I2566" s="336">
        <v>5.7172140992585241E-3</v>
      </c>
      <c r="J2566" s="258">
        <f t="shared" si="646"/>
        <v>5.7172140992585241E-3</v>
      </c>
      <c r="K2566" s="249">
        <f t="shared" si="647"/>
        <v>10.982266413057081</v>
      </c>
      <c r="L2566" s="336">
        <v>0.98441245082181617</v>
      </c>
      <c r="M2566" s="258">
        <f t="shared" si="648"/>
        <v>0.98441245082181617</v>
      </c>
      <c r="N2566" s="251">
        <f t="shared" si="649"/>
        <v>0.11005551969442644</v>
      </c>
      <c r="O2566" s="336">
        <v>9.8649968771519631E-3</v>
      </c>
      <c r="P2566" s="258">
        <f t="shared" si="650"/>
        <v>9.8649968771519631E-3</v>
      </c>
      <c r="Q2566" s="354">
        <v>10.891220930232558</v>
      </c>
      <c r="R2566" s="249">
        <f t="shared" si="651"/>
        <v>11.156163662790698</v>
      </c>
      <c r="S2566" s="355">
        <v>0.1</v>
      </c>
      <c r="T2566" s="355"/>
      <c r="U2566" s="315">
        <f t="shared" si="640"/>
        <v>12.271780029069769</v>
      </c>
      <c r="V2566" s="315">
        <f t="shared" si="641"/>
        <v>13</v>
      </c>
      <c r="W2566" s="316">
        <f t="shared" si="642"/>
        <v>0</v>
      </c>
    </row>
    <row r="2567" spans="1:23" x14ac:dyDescent="0.25">
      <c r="A2567" s="204" t="s">
        <v>18238</v>
      </c>
      <c r="B2567" s="351" t="s">
        <v>22252</v>
      </c>
      <c r="C2567" s="352"/>
      <c r="D2567" s="353" t="s">
        <v>14859</v>
      </c>
      <c r="E2567" s="249">
        <f t="shared" si="643"/>
        <v>0</v>
      </c>
      <c r="F2567" s="336">
        <v>0</v>
      </c>
      <c r="G2567" s="258">
        <f t="shared" si="644"/>
        <v>0</v>
      </c>
      <c r="H2567" s="249">
        <f t="shared" si="645"/>
        <v>10.970592876943773</v>
      </c>
      <c r="I2567" s="336">
        <v>5.7172140992585241E-3</v>
      </c>
      <c r="J2567" s="258">
        <f t="shared" si="646"/>
        <v>5.7172140992585241E-3</v>
      </c>
      <c r="K2567" s="249">
        <f t="shared" si="647"/>
        <v>1888.9701516687217</v>
      </c>
      <c r="L2567" s="336">
        <v>0.98441778902358945</v>
      </c>
      <c r="M2567" s="258">
        <f t="shared" si="648"/>
        <v>0.98441778902358945</v>
      </c>
      <c r="N2567" s="251">
        <f t="shared" si="649"/>
        <v>18.929650454334354</v>
      </c>
      <c r="O2567" s="336">
        <v>9.8649968771519631E-3</v>
      </c>
      <c r="P2567" s="258">
        <f t="shared" si="650"/>
        <v>9.8649968771519631E-3</v>
      </c>
      <c r="Q2567" s="354">
        <v>1873.29</v>
      </c>
      <c r="R2567" s="249">
        <f t="shared" si="651"/>
        <v>1918.8703949999999</v>
      </c>
      <c r="S2567" s="355">
        <v>0.1</v>
      </c>
      <c r="T2567" s="355"/>
      <c r="U2567" s="315">
        <f t="shared" si="640"/>
        <v>2110.7574344999998</v>
      </c>
      <c r="V2567" s="315">
        <f t="shared" si="641"/>
        <v>2125</v>
      </c>
      <c r="W2567" s="316">
        <f t="shared" si="642"/>
        <v>0</v>
      </c>
    </row>
    <row r="2568" spans="1:23" x14ac:dyDescent="0.25">
      <c r="A2568" s="204" t="s">
        <v>18239</v>
      </c>
      <c r="B2568" s="351" t="s">
        <v>22253</v>
      </c>
      <c r="C2568" s="352"/>
      <c r="D2568" s="353" t="s">
        <v>5</v>
      </c>
      <c r="E2568" s="249">
        <f t="shared" si="643"/>
        <v>0</v>
      </c>
      <c r="F2568" s="336">
        <v>0</v>
      </c>
      <c r="G2568" s="258">
        <f t="shared" si="644"/>
        <v>0</v>
      </c>
      <c r="H2568" s="249">
        <f t="shared" si="645"/>
        <v>6.378910456726751E-2</v>
      </c>
      <c r="I2568" s="336">
        <v>2.0556280591502662E-3</v>
      </c>
      <c r="J2568" s="258">
        <f t="shared" si="646"/>
        <v>2.0556280591502662E-3</v>
      </c>
      <c r="K2568" s="249">
        <f t="shared" si="647"/>
        <v>30.857526675970547</v>
      </c>
      <c r="L2568" s="336">
        <v>0.99439548652407228</v>
      </c>
      <c r="M2568" s="258">
        <f t="shared" si="648"/>
        <v>0.99439548652407228</v>
      </c>
      <c r="N2568" s="251">
        <f t="shared" si="649"/>
        <v>0.11006747454744197</v>
      </c>
      <c r="O2568" s="336">
        <v>3.5469660628475175E-3</v>
      </c>
      <c r="P2568" s="258">
        <f t="shared" si="650"/>
        <v>3.5469660628475175E-3</v>
      </c>
      <c r="Q2568" s="354">
        <v>30.291200581395344</v>
      </c>
      <c r="R2568" s="249">
        <f t="shared" si="651"/>
        <v>31.031442815406976</v>
      </c>
      <c r="S2568" s="355">
        <v>0.1</v>
      </c>
      <c r="T2568" s="355"/>
      <c r="U2568" s="315">
        <f t="shared" si="640"/>
        <v>34.134587096947676</v>
      </c>
      <c r="V2568" s="315">
        <f t="shared" si="641"/>
        <v>35</v>
      </c>
      <c r="W2568" s="316">
        <f t="shared" si="642"/>
        <v>0</v>
      </c>
    </row>
    <row r="2569" spans="1:23" x14ac:dyDescent="0.25">
      <c r="A2569" s="204" t="s">
        <v>18240</v>
      </c>
      <c r="B2569" s="351" t="s">
        <v>22254</v>
      </c>
      <c r="C2569" s="352"/>
      <c r="D2569" s="353" t="s">
        <v>14859</v>
      </c>
      <c r="E2569" s="249">
        <f t="shared" si="643"/>
        <v>0</v>
      </c>
      <c r="F2569" s="336">
        <v>0</v>
      </c>
      <c r="G2569" s="258">
        <f t="shared" si="644"/>
        <v>0</v>
      </c>
      <c r="H2569" s="249">
        <f t="shared" si="645"/>
        <v>10.971747045479475</v>
      </c>
      <c r="I2569" s="336">
        <v>2.0556280591502657E-3</v>
      </c>
      <c r="J2569" s="258">
        <f t="shared" si="646"/>
        <v>2.0556280591502657E-3</v>
      </c>
      <c r="K2569" s="249">
        <f t="shared" si="647"/>
        <v>5307.5150202436926</v>
      </c>
      <c r="L2569" s="336">
        <v>0.99439740587800229</v>
      </c>
      <c r="M2569" s="258">
        <f t="shared" si="648"/>
        <v>0.99439740587800229</v>
      </c>
      <c r="N2569" s="251">
        <f t="shared" si="649"/>
        <v>18.931641960827328</v>
      </c>
      <c r="O2569" s="336">
        <v>3.5469660628475175E-3</v>
      </c>
      <c r="P2569" s="258">
        <f t="shared" si="650"/>
        <v>3.5469660628475175E-3</v>
      </c>
      <c r="Q2569" s="354">
        <v>5210.0864999999994</v>
      </c>
      <c r="R2569" s="249">
        <f t="shared" si="651"/>
        <v>5337.4184092499991</v>
      </c>
      <c r="S2569" s="355">
        <v>0.1</v>
      </c>
      <c r="T2569" s="355"/>
      <c r="U2569" s="315">
        <f t="shared" si="640"/>
        <v>5871.1602501749985</v>
      </c>
      <c r="V2569" s="315">
        <f t="shared" si="641"/>
        <v>5875</v>
      </c>
      <c r="W2569" s="316">
        <f t="shared" si="642"/>
        <v>0</v>
      </c>
    </row>
    <row r="2570" spans="1:23" x14ac:dyDescent="0.25">
      <c r="A2570" s="203" t="s">
        <v>18241</v>
      </c>
      <c r="B2570" s="345" t="s">
        <v>18242</v>
      </c>
      <c r="C2570" s="346"/>
      <c r="D2570" s="347"/>
      <c r="E2570" s="347"/>
      <c r="F2570" s="347"/>
      <c r="G2570" s="347"/>
      <c r="H2570" s="347"/>
      <c r="I2570" s="347"/>
      <c r="J2570" s="347"/>
      <c r="K2570" s="347"/>
      <c r="L2570" s="347"/>
      <c r="M2570" s="347"/>
      <c r="N2570" s="347"/>
      <c r="O2570" s="347"/>
      <c r="P2570" s="347"/>
      <c r="Q2570" s="347"/>
      <c r="R2570" s="347"/>
      <c r="S2570" s="347"/>
      <c r="T2570" s="348"/>
      <c r="U2570" s="349"/>
      <c r="V2570" s="349"/>
      <c r="W2570" s="350"/>
    </row>
    <row r="2571" spans="1:23" x14ac:dyDescent="0.25">
      <c r="A2571" s="204" t="s">
        <v>18243</v>
      </c>
      <c r="B2571" s="351" t="s">
        <v>22255</v>
      </c>
      <c r="C2571" s="352"/>
      <c r="D2571" s="353" t="s">
        <v>14859</v>
      </c>
      <c r="E2571" s="249">
        <f t="shared" si="643"/>
        <v>0</v>
      </c>
      <c r="F2571" s="336">
        <v>0</v>
      </c>
      <c r="G2571" s="258">
        <f t="shared" si="644"/>
        <v>0</v>
      </c>
      <c r="H2571" s="249">
        <f t="shared" si="645"/>
        <v>10.946344586776858</v>
      </c>
      <c r="I2571" s="336">
        <v>8.2644628099173556E-2</v>
      </c>
      <c r="J2571" s="258">
        <f t="shared" si="646"/>
        <v>8.2644628099173556E-2</v>
      </c>
      <c r="K2571" s="249">
        <f t="shared" si="647"/>
        <v>102.61661464584344</v>
      </c>
      <c r="L2571" s="336">
        <v>0.7747528763571544</v>
      </c>
      <c r="M2571" s="258">
        <f t="shared" si="648"/>
        <v>0.7747528763571544</v>
      </c>
      <c r="N2571" s="251">
        <f t="shared" si="649"/>
        <v>18.887810267379677</v>
      </c>
      <c r="O2571" s="336">
        <v>0.14260249554367202</v>
      </c>
      <c r="P2571" s="258">
        <f t="shared" si="650"/>
        <v>0.14260249554367202</v>
      </c>
      <c r="Q2571" s="354">
        <v>129.59100000000001</v>
      </c>
      <c r="R2571" s="249">
        <f t="shared" si="651"/>
        <v>132.45076949999998</v>
      </c>
      <c r="S2571" s="355">
        <v>0.1</v>
      </c>
      <c r="T2571" s="355"/>
      <c r="U2571" s="315">
        <f t="shared" si="640"/>
        <v>145.69584644999998</v>
      </c>
      <c r="V2571" s="315">
        <f t="shared" si="641"/>
        <v>150</v>
      </c>
      <c r="W2571" s="316">
        <f t="shared" si="642"/>
        <v>0</v>
      </c>
    </row>
    <row r="2572" spans="1:23" x14ac:dyDescent="0.25">
      <c r="A2572" s="204" t="s">
        <v>18244</v>
      </c>
      <c r="B2572" s="351" t="s">
        <v>22256</v>
      </c>
      <c r="C2572" s="352"/>
      <c r="D2572" s="353" t="s">
        <v>5</v>
      </c>
      <c r="E2572" s="249">
        <f t="shared" si="643"/>
        <v>0</v>
      </c>
      <c r="F2572" s="336">
        <v>0</v>
      </c>
      <c r="G2572" s="258">
        <f t="shared" si="644"/>
        <v>0</v>
      </c>
      <c r="H2572" s="249">
        <f t="shared" si="645"/>
        <v>6.3636615654430143E-2</v>
      </c>
      <c r="I2572" s="336">
        <v>8.2644628099173556E-2</v>
      </c>
      <c r="J2572" s="258">
        <f t="shared" si="646"/>
        <v>8.2644628099173556E-2</v>
      </c>
      <c r="K2572" s="249">
        <f t="shared" si="647"/>
        <v>0.59650265939905645</v>
      </c>
      <c r="L2572" s="336">
        <v>0.77467571050458739</v>
      </c>
      <c r="M2572" s="258">
        <f t="shared" si="648"/>
        <v>0.77467571050458739</v>
      </c>
      <c r="N2572" s="251">
        <f t="shared" si="649"/>
        <v>0.10980435642333042</v>
      </c>
      <c r="O2572" s="336">
        <v>0.14260249554367199</v>
      </c>
      <c r="P2572" s="258">
        <f t="shared" si="650"/>
        <v>0.14260249554367199</v>
      </c>
      <c r="Q2572" s="354">
        <v>0.75343604651162799</v>
      </c>
      <c r="R2572" s="249">
        <f t="shared" si="651"/>
        <v>0.77000304941860465</v>
      </c>
      <c r="S2572" s="355">
        <v>0.1</v>
      </c>
      <c r="T2572" s="355"/>
      <c r="U2572" s="315">
        <f t="shared" si="640"/>
        <v>0.84700335436046514</v>
      </c>
      <c r="V2572" s="315">
        <f t="shared" si="641"/>
        <v>1</v>
      </c>
      <c r="W2572" s="316">
        <f t="shared" si="642"/>
        <v>0</v>
      </c>
    </row>
    <row r="2573" spans="1:23" x14ac:dyDescent="0.25">
      <c r="A2573" s="204" t="s">
        <v>18245</v>
      </c>
      <c r="B2573" s="351" t="s">
        <v>22257</v>
      </c>
      <c r="C2573" s="352"/>
      <c r="D2573" s="353" t="s">
        <v>14859</v>
      </c>
      <c r="E2573" s="249">
        <f t="shared" si="643"/>
        <v>0</v>
      </c>
      <c r="F2573" s="336">
        <v>0</v>
      </c>
      <c r="G2573" s="258">
        <f t="shared" si="644"/>
        <v>0</v>
      </c>
      <c r="H2573" s="249">
        <f t="shared" si="645"/>
        <v>10.950786203241417</v>
      </c>
      <c r="I2573" s="336">
        <v>6.8553652354251482E-2</v>
      </c>
      <c r="J2573" s="258">
        <f t="shared" si="646"/>
        <v>6.8553652354251482E-2</v>
      </c>
      <c r="K2573" s="249">
        <f t="shared" si="647"/>
        <v>129.89411556371456</v>
      </c>
      <c r="L2573" s="336">
        <v>0.81315769260311843</v>
      </c>
      <c r="M2573" s="258">
        <f t="shared" si="648"/>
        <v>0.81315769260311843</v>
      </c>
      <c r="N2573" s="251">
        <f t="shared" si="649"/>
        <v>18.895474233044013</v>
      </c>
      <c r="O2573" s="336">
        <v>0.11828865504263</v>
      </c>
      <c r="P2573" s="258">
        <f t="shared" si="650"/>
        <v>0.11828865504263</v>
      </c>
      <c r="Q2573" s="354">
        <v>156.22800000000001</v>
      </c>
      <c r="R2573" s="249">
        <f t="shared" si="651"/>
        <v>159.740376</v>
      </c>
      <c r="S2573" s="355">
        <v>0.1</v>
      </c>
      <c r="T2573" s="355"/>
      <c r="U2573" s="315">
        <f t="shared" si="640"/>
        <v>175.7144136</v>
      </c>
      <c r="V2573" s="315">
        <f t="shared" si="641"/>
        <v>180</v>
      </c>
      <c r="W2573" s="316">
        <f t="shared" si="642"/>
        <v>0</v>
      </c>
    </row>
    <row r="2574" spans="1:23" x14ac:dyDescent="0.25">
      <c r="A2574" s="204" t="s">
        <v>18246</v>
      </c>
      <c r="B2574" s="351" t="s">
        <v>22258</v>
      </c>
      <c r="C2574" s="352"/>
      <c r="D2574" s="353" t="s">
        <v>5</v>
      </c>
      <c r="E2574" s="249">
        <f t="shared" si="643"/>
        <v>0</v>
      </c>
      <c r="F2574" s="336">
        <v>0</v>
      </c>
      <c r="G2574" s="258">
        <f t="shared" si="644"/>
        <v>0</v>
      </c>
      <c r="H2574" s="249">
        <f t="shared" si="645"/>
        <v>6.366327832019214E-2</v>
      </c>
      <c r="I2574" s="336">
        <v>6.8553652354251482E-2</v>
      </c>
      <c r="J2574" s="258">
        <f t="shared" si="646"/>
        <v>6.8553652354251482E-2</v>
      </c>
      <c r="K2574" s="249">
        <f t="shared" si="647"/>
        <v>0.75509046857678508</v>
      </c>
      <c r="L2574" s="336">
        <v>0.8130936835906496</v>
      </c>
      <c r="M2574" s="258">
        <f t="shared" si="648"/>
        <v>0.8130936835906496</v>
      </c>
      <c r="N2574" s="251">
        <f t="shared" si="649"/>
        <v>0.10985036259170408</v>
      </c>
      <c r="O2574" s="336">
        <v>0.11828865504262999</v>
      </c>
      <c r="P2574" s="258">
        <f t="shared" si="650"/>
        <v>0.11828865504262999</v>
      </c>
      <c r="Q2574" s="354">
        <v>0.90830232558139545</v>
      </c>
      <c r="R2574" s="249">
        <f t="shared" si="651"/>
        <v>0.92866355232558151</v>
      </c>
      <c r="S2574" s="355">
        <v>0.1</v>
      </c>
      <c r="T2574" s="355"/>
      <c r="U2574" s="315">
        <f t="shared" si="640"/>
        <v>1.0215299075581397</v>
      </c>
      <c r="V2574" s="315">
        <f t="shared" si="641"/>
        <v>2</v>
      </c>
      <c r="W2574" s="316">
        <f t="shared" si="642"/>
        <v>0</v>
      </c>
    </row>
    <row r="2575" spans="1:23" x14ac:dyDescent="0.25">
      <c r="A2575" s="204" t="s">
        <v>18247</v>
      </c>
      <c r="B2575" s="351" t="s">
        <v>22259</v>
      </c>
      <c r="C2575" s="352"/>
      <c r="D2575" s="353" t="s">
        <v>14859</v>
      </c>
      <c r="E2575" s="249">
        <f t="shared" si="643"/>
        <v>0</v>
      </c>
      <c r="F2575" s="336">
        <v>0</v>
      </c>
      <c r="G2575" s="258">
        <f t="shared" si="644"/>
        <v>0</v>
      </c>
      <c r="H2575" s="249">
        <f t="shared" si="645"/>
        <v>10.96474057692177</v>
      </c>
      <c r="I2575" s="336">
        <v>2.4283566759402232E-2</v>
      </c>
      <c r="J2575" s="258">
        <f t="shared" si="646"/>
        <v>2.4283566759402232E-2</v>
      </c>
      <c r="K2575" s="249">
        <f t="shared" si="647"/>
        <v>421.64495255505636</v>
      </c>
      <c r="L2575" s="336">
        <v>0.93381537687143312</v>
      </c>
      <c r="M2575" s="258">
        <f t="shared" si="648"/>
        <v>0.93381537687143312</v>
      </c>
      <c r="N2575" s="251">
        <f t="shared" si="649"/>
        <v>18.919552368021879</v>
      </c>
      <c r="O2575" s="336">
        <v>4.1901056369164635E-2</v>
      </c>
      <c r="P2575" s="258">
        <f t="shared" si="650"/>
        <v>4.1901056369164635E-2</v>
      </c>
      <c r="Q2575" s="354">
        <v>441.03899999999999</v>
      </c>
      <c r="R2575" s="249">
        <f t="shared" si="651"/>
        <v>451.5292455</v>
      </c>
      <c r="S2575" s="355">
        <v>0.1</v>
      </c>
      <c r="T2575" s="355"/>
      <c r="U2575" s="315">
        <f t="shared" si="640"/>
        <v>496.68217005000002</v>
      </c>
      <c r="V2575" s="315">
        <f t="shared" si="641"/>
        <v>500</v>
      </c>
      <c r="W2575" s="316">
        <f t="shared" si="642"/>
        <v>0</v>
      </c>
    </row>
    <row r="2576" spans="1:23" x14ac:dyDescent="0.25">
      <c r="A2576" s="204" t="s">
        <v>18248</v>
      </c>
      <c r="B2576" s="351" t="s">
        <v>22260</v>
      </c>
      <c r="C2576" s="352"/>
      <c r="D2576" s="353" t="s">
        <v>5</v>
      </c>
      <c r="E2576" s="249">
        <f t="shared" si="643"/>
        <v>0</v>
      </c>
      <c r="F2576" s="336">
        <v>0</v>
      </c>
      <c r="G2576" s="258">
        <f t="shared" si="644"/>
        <v>0</v>
      </c>
      <c r="H2576" s="249">
        <f t="shared" si="645"/>
        <v>6.3747045301048355E-2</v>
      </c>
      <c r="I2576" s="336">
        <v>2.4283566759402235E-2</v>
      </c>
      <c r="J2576" s="258">
        <f t="shared" si="646"/>
        <v>2.4283566759402235E-2</v>
      </c>
      <c r="K2576" s="249">
        <f t="shared" si="647"/>
        <v>2.4513089999755788</v>
      </c>
      <c r="L2576" s="336">
        <v>0.93379270313963159</v>
      </c>
      <c r="M2576" s="258">
        <f t="shared" si="648"/>
        <v>0.93379270313963159</v>
      </c>
      <c r="N2576" s="251">
        <f t="shared" si="649"/>
        <v>0.10999490169592657</v>
      </c>
      <c r="O2576" s="336">
        <v>4.1901056369164635E-2</v>
      </c>
      <c r="P2576" s="258">
        <f t="shared" si="650"/>
        <v>4.1901056369164635E-2</v>
      </c>
      <c r="Q2576" s="354">
        <v>2.5641802325581393</v>
      </c>
      <c r="R2576" s="249">
        <f t="shared" si="651"/>
        <v>2.6251104680232551</v>
      </c>
      <c r="S2576" s="355">
        <v>0.1</v>
      </c>
      <c r="T2576" s="355"/>
      <c r="U2576" s="315">
        <f t="shared" si="640"/>
        <v>2.8876215148255806</v>
      </c>
      <c r="V2576" s="315">
        <f t="shared" si="641"/>
        <v>3</v>
      </c>
      <c r="W2576" s="316">
        <f t="shared" si="642"/>
        <v>0</v>
      </c>
    </row>
    <row r="2577" spans="1:23" x14ac:dyDescent="0.25">
      <c r="A2577" s="203" t="s">
        <v>18249</v>
      </c>
      <c r="B2577" s="345" t="s">
        <v>18250</v>
      </c>
      <c r="C2577" s="346"/>
      <c r="D2577" s="347"/>
      <c r="E2577" s="347"/>
      <c r="F2577" s="347"/>
      <c r="G2577" s="347"/>
      <c r="H2577" s="347"/>
      <c r="I2577" s="347"/>
      <c r="J2577" s="347"/>
      <c r="K2577" s="347"/>
      <c r="L2577" s="347"/>
      <c r="M2577" s="347"/>
      <c r="N2577" s="347"/>
      <c r="O2577" s="347"/>
      <c r="P2577" s="347"/>
      <c r="Q2577" s="347"/>
      <c r="R2577" s="347"/>
      <c r="S2577" s="347"/>
      <c r="T2577" s="348"/>
      <c r="U2577" s="349"/>
      <c r="V2577" s="349"/>
      <c r="W2577" s="350"/>
    </row>
    <row r="2578" spans="1:23" x14ac:dyDescent="0.25">
      <c r="A2578" s="204" t="s">
        <v>18251</v>
      </c>
      <c r="B2578" s="351" t="s">
        <v>22261</v>
      </c>
      <c r="C2578" s="352"/>
      <c r="D2578" s="353" t="s">
        <v>5</v>
      </c>
      <c r="E2578" s="249">
        <f t="shared" si="643"/>
        <v>0</v>
      </c>
      <c r="F2578" s="336">
        <v>0</v>
      </c>
      <c r="G2578" s="258">
        <f t="shared" si="644"/>
        <v>0</v>
      </c>
      <c r="H2578" s="249">
        <f t="shared" si="645"/>
        <v>6.3742596655306766E-2</v>
      </c>
      <c r="I2578" s="336">
        <v>2.6634635471067477E-2</v>
      </c>
      <c r="J2578" s="258">
        <f t="shared" si="646"/>
        <v>2.6634635471067477E-2</v>
      </c>
      <c r="K2578" s="249">
        <f t="shared" si="647"/>
        <v>2.2194327015440836</v>
      </c>
      <c r="L2578" s="336">
        <v>0.92738269320680011</v>
      </c>
      <c r="M2578" s="258">
        <f t="shared" si="648"/>
        <v>0.92738269320680011</v>
      </c>
      <c r="N2578" s="251">
        <f t="shared" si="649"/>
        <v>0.10998722560131363</v>
      </c>
      <c r="O2578" s="336">
        <v>4.595780238144976E-2</v>
      </c>
      <c r="P2578" s="258">
        <f t="shared" si="650"/>
        <v>4.595780238144976E-2</v>
      </c>
      <c r="Q2578" s="354">
        <v>2.3378372093023256</v>
      </c>
      <c r="R2578" s="249">
        <f t="shared" si="651"/>
        <v>2.3932220406976743</v>
      </c>
      <c r="S2578" s="355">
        <v>0.1</v>
      </c>
      <c r="T2578" s="355"/>
      <c r="U2578" s="315">
        <f t="shared" si="640"/>
        <v>2.6325442447674416</v>
      </c>
      <c r="V2578" s="315">
        <f t="shared" si="641"/>
        <v>3</v>
      </c>
      <c r="W2578" s="316">
        <f t="shared" si="642"/>
        <v>0</v>
      </c>
    </row>
    <row r="2579" spans="1:23" x14ac:dyDescent="0.25">
      <c r="A2579" s="204" t="s">
        <v>18252</v>
      </c>
      <c r="B2579" s="351" t="s">
        <v>22262</v>
      </c>
      <c r="C2579" s="352"/>
      <c r="D2579" s="353" t="s">
        <v>14859</v>
      </c>
      <c r="E2579" s="249">
        <f t="shared" si="643"/>
        <v>0</v>
      </c>
      <c r="F2579" s="336">
        <v>0</v>
      </c>
      <c r="G2579" s="258">
        <f t="shared" si="644"/>
        <v>0</v>
      </c>
      <c r="H2579" s="249">
        <f t="shared" si="645"/>
        <v>10.963999496553166</v>
      </c>
      <c r="I2579" s="336">
        <v>2.6634635471067477E-2</v>
      </c>
      <c r="J2579" s="258">
        <f t="shared" si="646"/>
        <v>2.6634635471067477E-2</v>
      </c>
      <c r="K2579" s="249">
        <f t="shared" si="647"/>
        <v>381.76216286233546</v>
      </c>
      <c r="L2579" s="336">
        <v>0.92740756214748277</v>
      </c>
      <c r="M2579" s="258">
        <f t="shared" si="648"/>
        <v>0.92740756214748277</v>
      </c>
      <c r="N2579" s="251">
        <f t="shared" si="649"/>
        <v>18.918273641111341</v>
      </c>
      <c r="O2579" s="336">
        <v>4.595780238144976E-2</v>
      </c>
      <c r="P2579" s="258">
        <f t="shared" si="650"/>
        <v>4.595780238144976E-2</v>
      </c>
      <c r="Q2579" s="354">
        <v>402.108</v>
      </c>
      <c r="R2579" s="249">
        <f t="shared" si="651"/>
        <v>411.64443599999998</v>
      </c>
      <c r="S2579" s="355">
        <v>0.1</v>
      </c>
      <c r="T2579" s="355"/>
      <c r="U2579" s="315">
        <f t="shared" si="640"/>
        <v>452.80887959999995</v>
      </c>
      <c r="V2579" s="315">
        <f t="shared" si="641"/>
        <v>455</v>
      </c>
      <c r="W2579" s="316">
        <f t="shared" si="642"/>
        <v>0</v>
      </c>
    </row>
    <row r="2580" spans="1:23" x14ac:dyDescent="0.25">
      <c r="A2580" s="204" t="s">
        <v>18253</v>
      </c>
      <c r="B2580" s="351" t="s">
        <v>22263</v>
      </c>
      <c r="C2580" s="352"/>
      <c r="D2580" s="353" t="s">
        <v>5</v>
      </c>
      <c r="E2580" s="249">
        <f t="shared" si="643"/>
        <v>0</v>
      </c>
      <c r="F2580" s="336">
        <v>0</v>
      </c>
      <c r="G2580" s="258">
        <f t="shared" si="644"/>
        <v>0</v>
      </c>
      <c r="H2580" s="249">
        <f t="shared" si="645"/>
        <v>6.3753785185615627E-2</v>
      </c>
      <c r="I2580" s="336">
        <v>2.0721599219892736E-2</v>
      </c>
      <c r="J2580" s="258">
        <f t="shared" si="646"/>
        <v>2.0721599219892736E-2</v>
      </c>
      <c r="K2580" s="249">
        <f t="shared" si="647"/>
        <v>2.9028628247745871</v>
      </c>
      <c r="L2580" s="336">
        <v>0.94350413658068455</v>
      </c>
      <c r="M2580" s="258">
        <f t="shared" si="648"/>
        <v>0.94350413658068455</v>
      </c>
      <c r="N2580" s="251">
        <f t="shared" si="649"/>
        <v>0.11000653130067012</v>
      </c>
      <c r="O2580" s="336">
        <v>3.5754916300991389E-2</v>
      </c>
      <c r="P2580" s="258">
        <f t="shared" si="650"/>
        <v>3.5754916300991389E-2</v>
      </c>
      <c r="Q2580" s="354">
        <v>3.004953488372093</v>
      </c>
      <c r="R2580" s="249">
        <f t="shared" si="651"/>
        <v>3.0766826686046507</v>
      </c>
      <c r="S2580" s="355">
        <v>0.1</v>
      </c>
      <c r="T2580" s="355"/>
      <c r="U2580" s="315">
        <f t="shared" si="640"/>
        <v>3.3843509354651156</v>
      </c>
      <c r="V2580" s="315">
        <f t="shared" si="641"/>
        <v>4</v>
      </c>
      <c r="W2580" s="316">
        <f t="shared" si="642"/>
        <v>0</v>
      </c>
    </row>
    <row r="2581" spans="1:23" x14ac:dyDescent="0.25">
      <c r="A2581" s="204" t="s">
        <v>18254</v>
      </c>
      <c r="B2581" s="351" t="s">
        <v>22264</v>
      </c>
      <c r="C2581" s="352"/>
      <c r="D2581" s="353" t="s">
        <v>14859</v>
      </c>
      <c r="E2581" s="249">
        <f t="shared" si="643"/>
        <v>0</v>
      </c>
      <c r="F2581" s="336">
        <v>0</v>
      </c>
      <c r="G2581" s="258">
        <f t="shared" si="644"/>
        <v>0</v>
      </c>
      <c r="H2581" s="249">
        <f t="shared" si="645"/>
        <v>10.965863344709899</v>
      </c>
      <c r="I2581" s="336">
        <v>2.0721599219892736E-2</v>
      </c>
      <c r="J2581" s="258">
        <f t="shared" si="646"/>
        <v>2.0721599219892736E-2</v>
      </c>
      <c r="K2581" s="249">
        <f t="shared" si="647"/>
        <v>499.31231096245727</v>
      </c>
      <c r="L2581" s="336">
        <v>0.94352348447911583</v>
      </c>
      <c r="M2581" s="258">
        <f t="shared" si="648"/>
        <v>0.94352348447911583</v>
      </c>
      <c r="N2581" s="251">
        <f t="shared" si="649"/>
        <v>18.921489692832765</v>
      </c>
      <c r="O2581" s="336">
        <v>3.5754916300991389E-2</v>
      </c>
      <c r="P2581" s="258">
        <f t="shared" si="650"/>
        <v>3.5754916300991389E-2</v>
      </c>
      <c r="Q2581" s="354">
        <v>516.85199999999998</v>
      </c>
      <c r="R2581" s="249">
        <f t="shared" si="651"/>
        <v>529.19966399999998</v>
      </c>
      <c r="S2581" s="355">
        <v>0.1</v>
      </c>
      <c r="T2581" s="355"/>
      <c r="U2581" s="315">
        <f t="shared" si="640"/>
        <v>582.11963040000001</v>
      </c>
      <c r="V2581" s="315">
        <f t="shared" si="641"/>
        <v>585</v>
      </c>
      <c r="W2581" s="316">
        <f t="shared" si="642"/>
        <v>0</v>
      </c>
    </row>
    <row r="2582" spans="1:23" x14ac:dyDescent="0.25">
      <c r="A2582" s="204" t="s">
        <v>18255</v>
      </c>
      <c r="B2582" s="351" t="s">
        <v>22265</v>
      </c>
      <c r="C2582" s="352"/>
      <c r="D2582" s="353" t="s">
        <v>5</v>
      </c>
      <c r="E2582" s="249">
        <f t="shared" si="643"/>
        <v>0</v>
      </c>
      <c r="F2582" s="336">
        <v>0</v>
      </c>
      <c r="G2582" s="258">
        <f t="shared" si="644"/>
        <v>0</v>
      </c>
      <c r="H2582" s="249">
        <f t="shared" si="645"/>
        <v>6.3760053486228735E-2</v>
      </c>
      <c r="I2582" s="336">
        <v>1.740885950026333E-2</v>
      </c>
      <c r="J2582" s="258">
        <f t="shared" si="646"/>
        <v>1.740885950026333E-2</v>
      </c>
      <c r="K2582" s="249">
        <f t="shared" si="647"/>
        <v>3.4886691300788026</v>
      </c>
      <c r="L2582" s="336">
        <v>0.95253606933635016</v>
      </c>
      <c r="M2582" s="258">
        <f t="shared" si="648"/>
        <v>0.95253606933635016</v>
      </c>
      <c r="N2582" s="251">
        <f t="shared" si="649"/>
        <v>0.11001734719192408</v>
      </c>
      <c r="O2582" s="336">
        <v>3.0038816392611228E-2</v>
      </c>
      <c r="P2582" s="258">
        <f t="shared" si="650"/>
        <v>3.0038816392611228E-2</v>
      </c>
      <c r="Q2582" s="354">
        <v>3.5767674418604654</v>
      </c>
      <c r="R2582" s="249">
        <f t="shared" si="651"/>
        <v>3.6625060639534883</v>
      </c>
      <c r="S2582" s="355">
        <v>0.1</v>
      </c>
      <c r="T2582" s="355"/>
      <c r="U2582" s="315">
        <f t="shared" si="640"/>
        <v>4.0287566703488373</v>
      </c>
      <c r="V2582" s="315">
        <f t="shared" si="641"/>
        <v>5</v>
      </c>
      <c r="W2582" s="316">
        <f t="shared" si="642"/>
        <v>0</v>
      </c>
    </row>
    <row r="2583" spans="1:23" x14ac:dyDescent="0.25">
      <c r="A2583" s="204" t="s">
        <v>18256</v>
      </c>
      <c r="B2583" s="351" t="s">
        <v>22266</v>
      </c>
      <c r="C2583" s="352"/>
      <c r="D2583" s="353" t="s">
        <v>14859</v>
      </c>
      <c r="E2583" s="249">
        <f t="shared" si="643"/>
        <v>0</v>
      </c>
      <c r="F2583" s="336">
        <v>0</v>
      </c>
      <c r="G2583" s="258">
        <f t="shared" si="644"/>
        <v>0</v>
      </c>
      <c r="H2583" s="249">
        <f t="shared" si="645"/>
        <v>10.96690755339692</v>
      </c>
      <c r="I2583" s="336">
        <v>1.7408859500263326E-2</v>
      </c>
      <c r="J2583" s="258">
        <f t="shared" si="646"/>
        <v>1.7408859500263326E-2</v>
      </c>
      <c r="K2583" s="249">
        <f t="shared" si="647"/>
        <v>600.07108898191814</v>
      </c>
      <c r="L2583" s="336">
        <v>0.95255232410712531</v>
      </c>
      <c r="M2583" s="258">
        <f t="shared" si="648"/>
        <v>0.95255232410712531</v>
      </c>
      <c r="N2583" s="251">
        <f t="shared" si="649"/>
        <v>18.923291464684883</v>
      </c>
      <c r="O2583" s="336">
        <v>3.0038816392611228E-2</v>
      </c>
      <c r="P2583" s="258">
        <f t="shared" si="650"/>
        <v>3.0038816392611228E-2</v>
      </c>
      <c r="Q2583" s="354">
        <v>615.20400000000006</v>
      </c>
      <c r="R2583" s="249">
        <f t="shared" si="651"/>
        <v>629.96128799999997</v>
      </c>
      <c r="S2583" s="355">
        <v>0.1</v>
      </c>
      <c r="T2583" s="355"/>
      <c r="U2583" s="315">
        <f t="shared" si="640"/>
        <v>692.95741679999992</v>
      </c>
      <c r="V2583" s="315">
        <f t="shared" si="641"/>
        <v>695</v>
      </c>
      <c r="W2583" s="316">
        <f t="shared" si="642"/>
        <v>0</v>
      </c>
    </row>
    <row r="2584" spans="1:23" x14ac:dyDescent="0.25">
      <c r="A2584" s="204" t="s">
        <v>18257</v>
      </c>
      <c r="B2584" s="351" t="s">
        <v>22267</v>
      </c>
      <c r="C2584" s="352"/>
      <c r="D2584" s="353" t="s">
        <v>5</v>
      </c>
      <c r="E2584" s="249">
        <f t="shared" si="643"/>
        <v>0</v>
      </c>
      <c r="F2584" s="336">
        <v>0</v>
      </c>
      <c r="G2584" s="258">
        <f t="shared" si="644"/>
        <v>0</v>
      </c>
      <c r="H2584" s="249">
        <f t="shared" si="645"/>
        <v>6.3760593062548512E-2</v>
      </c>
      <c r="I2584" s="336">
        <v>1.7123698335116053E-2</v>
      </c>
      <c r="J2584" s="258">
        <f t="shared" si="646"/>
        <v>1.7123698335116053E-2</v>
      </c>
      <c r="K2584" s="249">
        <f t="shared" si="647"/>
        <v>3.5496909293138645</v>
      </c>
      <c r="L2584" s="336">
        <v>0.95331353955318499</v>
      </c>
      <c r="M2584" s="258">
        <f t="shared" si="648"/>
        <v>0.95331353955318499</v>
      </c>
      <c r="N2584" s="251">
        <f t="shared" si="649"/>
        <v>0.1100182782255739</v>
      </c>
      <c r="O2584" s="336">
        <v>2.9546773597847305E-2</v>
      </c>
      <c r="P2584" s="258">
        <f t="shared" si="650"/>
        <v>2.9546773597847305E-2</v>
      </c>
      <c r="Q2584" s="354">
        <v>3.6363313953488374</v>
      </c>
      <c r="R2584" s="249">
        <f t="shared" si="651"/>
        <v>3.7235293343023255</v>
      </c>
      <c r="S2584" s="355">
        <v>0.1</v>
      </c>
      <c r="T2584" s="355"/>
      <c r="U2584" s="315">
        <f t="shared" si="640"/>
        <v>4.0958822677325584</v>
      </c>
      <c r="V2584" s="315">
        <f t="shared" si="641"/>
        <v>5</v>
      </c>
      <c r="W2584" s="316">
        <f t="shared" si="642"/>
        <v>0</v>
      </c>
    </row>
    <row r="2585" spans="1:23" x14ac:dyDescent="0.25">
      <c r="A2585" s="204" t="s">
        <v>18258</v>
      </c>
      <c r="B2585" s="351" t="s">
        <v>22268</v>
      </c>
      <c r="C2585" s="352"/>
      <c r="D2585" s="353" t="s">
        <v>14859</v>
      </c>
      <c r="E2585" s="249">
        <f t="shared" si="643"/>
        <v>0</v>
      </c>
      <c r="F2585" s="336">
        <v>0</v>
      </c>
      <c r="G2585" s="258">
        <f t="shared" si="644"/>
        <v>0</v>
      </c>
      <c r="H2585" s="249">
        <f t="shared" si="645"/>
        <v>10.966997439047788</v>
      </c>
      <c r="I2585" s="336">
        <v>1.7123698335116053E-2</v>
      </c>
      <c r="J2585" s="258">
        <f t="shared" si="646"/>
        <v>1.7123698335116053E-2</v>
      </c>
      <c r="K2585" s="249">
        <f t="shared" si="647"/>
        <v>610.56684649945794</v>
      </c>
      <c r="L2585" s="336">
        <v>0.95332952806703652</v>
      </c>
      <c r="M2585" s="258">
        <f t="shared" si="648"/>
        <v>0.95332952806703652</v>
      </c>
      <c r="N2585" s="251">
        <f t="shared" si="649"/>
        <v>18.92344656149422</v>
      </c>
      <c r="O2585" s="336">
        <v>2.9546773597847305E-2</v>
      </c>
      <c r="P2585" s="258">
        <f t="shared" si="650"/>
        <v>2.9546773597847305E-2</v>
      </c>
      <c r="Q2585" s="354">
        <v>625.44900000000007</v>
      </c>
      <c r="R2585" s="249">
        <f t="shared" si="651"/>
        <v>640.4572905</v>
      </c>
      <c r="S2585" s="355">
        <v>0.1</v>
      </c>
      <c r="T2585" s="355"/>
      <c r="U2585" s="315">
        <f t="shared" si="640"/>
        <v>704.50301954999998</v>
      </c>
      <c r="V2585" s="315">
        <f t="shared" si="641"/>
        <v>705</v>
      </c>
      <c r="W2585" s="316">
        <f t="shared" si="642"/>
        <v>0</v>
      </c>
    </row>
    <row r="2586" spans="1:23" x14ac:dyDescent="0.25">
      <c r="A2586" s="204" t="s">
        <v>18259</v>
      </c>
      <c r="B2586" s="351" t="s">
        <v>22269</v>
      </c>
      <c r="C2586" s="352"/>
      <c r="D2586" s="353" t="s">
        <v>5</v>
      </c>
      <c r="E2586" s="249">
        <f t="shared" si="643"/>
        <v>0</v>
      </c>
      <c r="F2586" s="336">
        <v>0</v>
      </c>
      <c r="G2586" s="258">
        <f t="shared" si="644"/>
        <v>0</v>
      </c>
      <c r="H2586" s="249">
        <f t="shared" si="645"/>
        <v>6.3765952705888085E-2</v>
      </c>
      <c r="I2586" s="336">
        <v>1.4291175699396929E-2</v>
      </c>
      <c r="J2586" s="258">
        <f t="shared" si="646"/>
        <v>1.4291175699396929E-2</v>
      </c>
      <c r="K2586" s="249">
        <f t="shared" si="647"/>
        <v>4.2880578878750812</v>
      </c>
      <c r="L2586" s="336">
        <v>0.96103619697269915</v>
      </c>
      <c r="M2586" s="258">
        <f t="shared" si="648"/>
        <v>0.96103619697269915</v>
      </c>
      <c r="N2586" s="251">
        <f t="shared" si="649"/>
        <v>0.11002752623761081</v>
      </c>
      <c r="O2586" s="336">
        <v>2.4659283559743717E-2</v>
      </c>
      <c r="P2586" s="258">
        <f t="shared" si="650"/>
        <v>2.4659283559743717E-2</v>
      </c>
      <c r="Q2586" s="354">
        <v>4.3570552325581398</v>
      </c>
      <c r="R2586" s="249">
        <f t="shared" si="651"/>
        <v>4.4619109055232551</v>
      </c>
      <c r="S2586" s="355">
        <v>0.1</v>
      </c>
      <c r="T2586" s="355"/>
      <c r="U2586" s="315">
        <f t="shared" si="640"/>
        <v>4.9081019960755805</v>
      </c>
      <c r="V2586" s="315">
        <f t="shared" si="641"/>
        <v>5</v>
      </c>
      <c r="W2586" s="316">
        <f t="shared" si="642"/>
        <v>0</v>
      </c>
    </row>
    <row r="2587" spans="1:23" x14ac:dyDescent="0.25">
      <c r="A2587" s="204" t="s">
        <v>18260</v>
      </c>
      <c r="B2587" s="351" t="s">
        <v>22270</v>
      </c>
      <c r="C2587" s="352"/>
      <c r="D2587" s="353" t="s">
        <v>14859</v>
      </c>
      <c r="E2587" s="249">
        <f t="shared" si="643"/>
        <v>0</v>
      </c>
      <c r="F2587" s="336">
        <v>0</v>
      </c>
      <c r="G2587" s="258">
        <f t="shared" si="644"/>
        <v>0</v>
      </c>
      <c r="H2587" s="249">
        <f t="shared" si="645"/>
        <v>10.967890278507792</v>
      </c>
      <c r="I2587" s="336">
        <v>1.4291175699396929E-2</v>
      </c>
      <c r="J2587" s="258">
        <f t="shared" si="646"/>
        <v>1.4291175699396929E-2</v>
      </c>
      <c r="K2587" s="249">
        <f t="shared" si="647"/>
        <v>737.56604332426286</v>
      </c>
      <c r="L2587" s="336">
        <v>0.96104954074085924</v>
      </c>
      <c r="M2587" s="258">
        <f t="shared" si="648"/>
        <v>0.96104954074085924</v>
      </c>
      <c r="N2587" s="251">
        <f t="shared" si="649"/>
        <v>18.924987147229128</v>
      </c>
      <c r="O2587" s="336">
        <v>2.4659283559743721E-2</v>
      </c>
      <c r="P2587" s="258">
        <f t="shared" si="650"/>
        <v>2.4659283559743721E-2</v>
      </c>
      <c r="Q2587" s="354">
        <v>749.4135</v>
      </c>
      <c r="R2587" s="249">
        <f t="shared" si="651"/>
        <v>767.45892074999983</v>
      </c>
      <c r="S2587" s="355">
        <v>0.1</v>
      </c>
      <c r="T2587" s="355"/>
      <c r="U2587" s="315">
        <f t="shared" si="640"/>
        <v>844.20481282499986</v>
      </c>
      <c r="V2587" s="315">
        <f t="shared" si="641"/>
        <v>845</v>
      </c>
      <c r="W2587" s="316">
        <f t="shared" si="642"/>
        <v>0</v>
      </c>
    </row>
    <row r="2588" spans="1:23" x14ac:dyDescent="0.25">
      <c r="A2588" s="204" t="s">
        <v>18261</v>
      </c>
      <c r="B2588" s="351" t="s">
        <v>22271</v>
      </c>
      <c r="C2588" s="352"/>
      <c r="D2588" s="353" t="s">
        <v>5</v>
      </c>
      <c r="E2588" s="249">
        <f t="shared" si="643"/>
        <v>0</v>
      </c>
      <c r="F2588" s="336">
        <v>0</v>
      </c>
      <c r="G2588" s="258">
        <f t="shared" si="644"/>
        <v>0</v>
      </c>
      <c r="H2588" s="249">
        <f t="shared" si="645"/>
        <v>6.3767907531646725E-2</v>
      </c>
      <c r="I2588" s="336">
        <v>1.3258068110075391E-2</v>
      </c>
      <c r="J2588" s="258">
        <f t="shared" si="646"/>
        <v>1.3258068110075391E-2</v>
      </c>
      <c r="K2588" s="249">
        <f t="shared" si="647"/>
        <v>4.6358851991797811</v>
      </c>
      <c r="L2588" s="336">
        <v>0.9638528861984873</v>
      </c>
      <c r="M2588" s="258">
        <f t="shared" si="648"/>
        <v>0.9638528861984873</v>
      </c>
      <c r="N2588" s="251">
        <f t="shared" si="649"/>
        <v>0.11003089927029237</v>
      </c>
      <c r="O2588" s="336">
        <v>2.2876666542875179E-2</v>
      </c>
      <c r="P2588" s="258">
        <f t="shared" si="650"/>
        <v>2.2876666542875179E-2</v>
      </c>
      <c r="Q2588" s="354">
        <v>4.6965697674418605</v>
      </c>
      <c r="R2588" s="249">
        <f t="shared" si="651"/>
        <v>4.8097435465116281</v>
      </c>
      <c r="S2588" s="355">
        <v>0.1</v>
      </c>
      <c r="T2588" s="355"/>
      <c r="U2588" s="315">
        <f t="shared" si="640"/>
        <v>5.2907179011627905</v>
      </c>
      <c r="V2588" s="315">
        <f t="shared" si="641"/>
        <v>6</v>
      </c>
      <c r="W2588" s="316">
        <f t="shared" si="642"/>
        <v>0</v>
      </c>
    </row>
    <row r="2589" spans="1:23" x14ac:dyDescent="0.25">
      <c r="A2589" s="204" t="s">
        <v>18262</v>
      </c>
      <c r="B2589" s="351" t="s">
        <v>22272</v>
      </c>
      <c r="C2589" s="352"/>
      <c r="D2589" s="353" t="s">
        <v>14859</v>
      </c>
      <c r="E2589" s="249">
        <f t="shared" si="643"/>
        <v>0</v>
      </c>
      <c r="F2589" s="336">
        <v>0</v>
      </c>
      <c r="G2589" s="258">
        <f t="shared" si="644"/>
        <v>0</v>
      </c>
      <c r="H2589" s="249">
        <f t="shared" si="645"/>
        <v>10.968215924351025</v>
      </c>
      <c r="I2589" s="336">
        <v>1.3258068110075389E-2</v>
      </c>
      <c r="J2589" s="258">
        <f t="shared" si="646"/>
        <v>1.3258068110075389E-2</v>
      </c>
      <c r="K2589" s="249">
        <f t="shared" si="647"/>
        <v>797.39237002971004</v>
      </c>
      <c r="L2589" s="336">
        <v>0.96386526534704942</v>
      </c>
      <c r="M2589" s="258">
        <f t="shared" si="648"/>
        <v>0.96386526534704942</v>
      </c>
      <c r="N2589" s="251">
        <f t="shared" si="649"/>
        <v>18.925549045939022</v>
      </c>
      <c r="O2589" s="336">
        <v>2.2876666542875179E-2</v>
      </c>
      <c r="P2589" s="258">
        <f t="shared" si="650"/>
        <v>2.2876666542875179E-2</v>
      </c>
      <c r="Q2589" s="354">
        <v>807.81000000000006</v>
      </c>
      <c r="R2589" s="249">
        <f t="shared" si="651"/>
        <v>827.28613500000006</v>
      </c>
      <c r="S2589" s="355">
        <v>0.1</v>
      </c>
      <c r="T2589" s="355"/>
      <c r="U2589" s="315">
        <f t="shared" si="640"/>
        <v>910.01474850000011</v>
      </c>
      <c r="V2589" s="315">
        <f t="shared" si="641"/>
        <v>915</v>
      </c>
      <c r="W2589" s="316">
        <f t="shared" si="642"/>
        <v>0</v>
      </c>
    </row>
    <row r="2590" spans="1:23" x14ac:dyDescent="0.25">
      <c r="A2590" s="204" t="s">
        <v>18263</v>
      </c>
      <c r="B2590" s="351" t="s">
        <v>22273</v>
      </c>
      <c r="C2590" s="352"/>
      <c r="D2590" s="353" t="s">
        <v>5</v>
      </c>
      <c r="E2590" s="249">
        <f t="shared" si="643"/>
        <v>0</v>
      </c>
      <c r="F2590" s="336">
        <v>0</v>
      </c>
      <c r="G2590" s="258">
        <f t="shared" si="644"/>
        <v>0</v>
      </c>
      <c r="H2590" s="249">
        <f t="shared" si="645"/>
        <v>6.376837586218477E-2</v>
      </c>
      <c r="I2590" s="336">
        <v>1.3010559690953653E-2</v>
      </c>
      <c r="J2590" s="258">
        <f t="shared" si="646"/>
        <v>1.3010559690953653E-2</v>
      </c>
      <c r="K2590" s="249">
        <f t="shared" si="647"/>
        <v>4.7274188278354616</v>
      </c>
      <c r="L2590" s="336">
        <v>0.96452769906854829</v>
      </c>
      <c r="M2590" s="258">
        <f t="shared" si="648"/>
        <v>0.96452769906854829</v>
      </c>
      <c r="N2590" s="251">
        <f t="shared" si="649"/>
        <v>0.11003170737004428</v>
      </c>
      <c r="O2590" s="336">
        <v>2.244959319223375E-2</v>
      </c>
      <c r="P2590" s="258">
        <f t="shared" si="650"/>
        <v>2.244959319223375E-2</v>
      </c>
      <c r="Q2590" s="354">
        <v>4.7859156976744188</v>
      </c>
      <c r="R2590" s="249">
        <f t="shared" si="651"/>
        <v>4.9012784520348829</v>
      </c>
      <c r="S2590" s="355">
        <v>0.1</v>
      </c>
      <c r="T2590" s="355"/>
      <c r="U2590" s="315">
        <f t="shared" si="640"/>
        <v>5.3914062972383707</v>
      </c>
      <c r="V2590" s="315">
        <f t="shared" si="641"/>
        <v>6</v>
      </c>
      <c r="W2590" s="316">
        <f t="shared" si="642"/>
        <v>0</v>
      </c>
    </row>
    <row r="2591" spans="1:23" x14ac:dyDescent="0.25">
      <c r="A2591" s="204" t="s">
        <v>18264</v>
      </c>
      <c r="B2591" s="351" t="s">
        <v>22274</v>
      </c>
      <c r="C2591" s="352"/>
      <c r="D2591" s="353" t="s">
        <v>14859</v>
      </c>
      <c r="E2591" s="249">
        <f t="shared" si="643"/>
        <v>0</v>
      </c>
      <c r="F2591" s="336">
        <v>0</v>
      </c>
      <c r="G2591" s="258">
        <f t="shared" si="644"/>
        <v>0</v>
      </c>
      <c r="H2591" s="249">
        <f t="shared" si="645"/>
        <v>10.968293941479814</v>
      </c>
      <c r="I2591" s="336">
        <v>1.3010559690953653E-2</v>
      </c>
      <c r="J2591" s="258">
        <f t="shared" si="646"/>
        <v>1.3010559690953653E-2</v>
      </c>
      <c r="K2591" s="249">
        <f t="shared" si="647"/>
        <v>813.13616114479009</v>
      </c>
      <c r="L2591" s="336">
        <v>0.96453984711681251</v>
      </c>
      <c r="M2591" s="258">
        <f t="shared" si="648"/>
        <v>0.96453984711681251</v>
      </c>
      <c r="N2591" s="251">
        <f t="shared" si="649"/>
        <v>18.925683663729874</v>
      </c>
      <c r="O2591" s="336">
        <v>2.2449593192233754E-2</v>
      </c>
      <c r="P2591" s="258">
        <f t="shared" si="650"/>
        <v>2.2449593192233754E-2</v>
      </c>
      <c r="Q2591" s="354">
        <v>823.17750000000001</v>
      </c>
      <c r="R2591" s="249">
        <f t="shared" si="651"/>
        <v>843.03013874999988</v>
      </c>
      <c r="S2591" s="355">
        <v>0.1</v>
      </c>
      <c r="T2591" s="355"/>
      <c r="U2591" s="315">
        <f t="shared" si="640"/>
        <v>927.33315262499991</v>
      </c>
      <c r="V2591" s="315">
        <f t="shared" si="641"/>
        <v>930</v>
      </c>
      <c r="W2591" s="316">
        <f t="shared" si="642"/>
        <v>0</v>
      </c>
    </row>
    <row r="2592" spans="1:23" x14ac:dyDescent="0.25">
      <c r="A2592" s="204" t="s">
        <v>18265</v>
      </c>
      <c r="B2592" s="351" t="s">
        <v>22275</v>
      </c>
      <c r="C2592" s="352"/>
      <c r="D2592" s="353" t="s">
        <v>5</v>
      </c>
      <c r="E2592" s="249">
        <f t="shared" si="643"/>
        <v>0</v>
      </c>
      <c r="F2592" s="336">
        <v>0</v>
      </c>
      <c r="G2592" s="258">
        <f t="shared" si="644"/>
        <v>0</v>
      </c>
      <c r="H2592" s="249">
        <f t="shared" si="645"/>
        <v>6.3768856517526284E-2</v>
      </c>
      <c r="I2592" s="336">
        <v>1.2756537725584362E-2</v>
      </c>
      <c r="J2592" s="258">
        <f t="shared" si="646"/>
        <v>1.2756537725584362E-2</v>
      </c>
      <c r="K2592" s="249">
        <f t="shared" si="647"/>
        <v>4.8250547499233916</v>
      </c>
      <c r="L2592" s="336">
        <v>0.9652202706267915</v>
      </c>
      <c r="M2592" s="258">
        <f t="shared" si="648"/>
        <v>0.9652202706267915</v>
      </c>
      <c r="N2592" s="251">
        <f t="shared" si="649"/>
        <v>0.11003253673612377</v>
      </c>
      <c r="O2592" s="336">
        <v>2.2011280781400463E-2</v>
      </c>
      <c r="P2592" s="258">
        <f t="shared" si="650"/>
        <v>2.2011280781400463E-2</v>
      </c>
      <c r="Q2592" s="354">
        <v>4.8812180232558147</v>
      </c>
      <c r="R2592" s="249">
        <f t="shared" si="651"/>
        <v>4.9989156845930243</v>
      </c>
      <c r="S2592" s="355">
        <v>0.1</v>
      </c>
      <c r="T2592" s="355"/>
      <c r="U2592" s="315">
        <f t="shared" si="640"/>
        <v>5.4988072530523269</v>
      </c>
      <c r="V2592" s="315">
        <f t="shared" si="641"/>
        <v>6</v>
      </c>
      <c r="W2592" s="316">
        <f t="shared" si="642"/>
        <v>0</v>
      </c>
    </row>
    <row r="2593" spans="1:23" x14ac:dyDescent="0.25">
      <c r="A2593" s="204" t="s">
        <v>18266</v>
      </c>
      <c r="B2593" s="351" t="s">
        <v>22276</v>
      </c>
      <c r="C2593" s="352"/>
      <c r="D2593" s="353" t="s">
        <v>14859</v>
      </c>
      <c r="E2593" s="249">
        <f t="shared" si="643"/>
        <v>0</v>
      </c>
      <c r="F2593" s="336">
        <v>0</v>
      </c>
      <c r="G2593" s="258">
        <f t="shared" si="644"/>
        <v>0</v>
      </c>
      <c r="H2593" s="249">
        <f t="shared" si="645"/>
        <v>10.968374011743519</v>
      </c>
      <c r="I2593" s="336">
        <v>1.2756537725584362E-2</v>
      </c>
      <c r="J2593" s="258">
        <f t="shared" si="646"/>
        <v>1.2756537725584362E-2</v>
      </c>
      <c r="K2593" s="249">
        <f t="shared" si="647"/>
        <v>829.92954691407158</v>
      </c>
      <c r="L2593" s="336">
        <v>0.96523218149301515</v>
      </c>
      <c r="M2593" s="258">
        <f t="shared" si="648"/>
        <v>0.96523218149301515</v>
      </c>
      <c r="N2593" s="251">
        <f t="shared" si="649"/>
        <v>18.925821824184894</v>
      </c>
      <c r="O2593" s="336">
        <v>2.2011280781400466E-2</v>
      </c>
      <c r="P2593" s="258">
        <f t="shared" si="650"/>
        <v>2.2011280781400466E-2</v>
      </c>
      <c r="Q2593" s="354">
        <v>839.56950000000006</v>
      </c>
      <c r="R2593" s="249">
        <f t="shared" si="651"/>
        <v>859.82374275000006</v>
      </c>
      <c r="S2593" s="355">
        <v>0.1</v>
      </c>
      <c r="T2593" s="355"/>
      <c r="U2593" s="315">
        <f t="shared" si="640"/>
        <v>945.80611702500005</v>
      </c>
      <c r="V2593" s="315">
        <f t="shared" si="641"/>
        <v>950</v>
      </c>
      <c r="W2593" s="316">
        <f t="shared" si="642"/>
        <v>0</v>
      </c>
    </row>
    <row r="2594" spans="1:23" x14ac:dyDescent="0.25">
      <c r="A2594" s="204" t="s">
        <v>18267</v>
      </c>
      <c r="B2594" s="351" t="s">
        <v>22277</v>
      </c>
      <c r="C2594" s="352"/>
      <c r="D2594" s="353" t="s">
        <v>5</v>
      </c>
      <c r="E2594" s="249">
        <f t="shared" si="643"/>
        <v>0</v>
      </c>
      <c r="F2594" s="336">
        <v>0</v>
      </c>
      <c r="G2594" s="258">
        <f t="shared" si="644"/>
        <v>0</v>
      </c>
      <c r="H2594" s="249">
        <f t="shared" si="645"/>
        <v>6.3768885936058187E-2</v>
      </c>
      <c r="I2594" s="336">
        <v>1.2740990299716631E-2</v>
      </c>
      <c r="J2594" s="258">
        <f t="shared" si="646"/>
        <v>1.2740990299716631E-2</v>
      </c>
      <c r="K2594" s="249">
        <f t="shared" si="647"/>
        <v>4.8311569967508863</v>
      </c>
      <c r="L2594" s="336">
        <v>0.96526265950030576</v>
      </c>
      <c r="M2594" s="258">
        <f t="shared" si="648"/>
        <v>0.96526265950030576</v>
      </c>
      <c r="N2594" s="251">
        <f t="shared" si="649"/>
        <v>0.11003258749751214</v>
      </c>
      <c r="O2594" s="336">
        <v>2.1984453850491439E-2</v>
      </c>
      <c r="P2594" s="258">
        <f t="shared" si="650"/>
        <v>2.1984453850491439E-2</v>
      </c>
      <c r="Q2594" s="354">
        <v>4.8871744186046513</v>
      </c>
      <c r="R2594" s="249">
        <f t="shared" si="651"/>
        <v>5.0050180116279073</v>
      </c>
      <c r="S2594" s="355">
        <v>0.1</v>
      </c>
      <c r="T2594" s="355"/>
      <c r="U2594" s="315">
        <f t="shared" si="640"/>
        <v>5.5055198127906984</v>
      </c>
      <c r="V2594" s="315">
        <f t="shared" si="641"/>
        <v>6</v>
      </c>
      <c r="W2594" s="316">
        <f t="shared" si="642"/>
        <v>0</v>
      </c>
    </row>
    <row r="2595" spans="1:23" x14ac:dyDescent="0.25">
      <c r="A2595" s="204" t="s">
        <v>18268</v>
      </c>
      <c r="B2595" s="351" t="s">
        <v>22278</v>
      </c>
      <c r="C2595" s="352"/>
      <c r="D2595" s="353" t="s">
        <v>14859</v>
      </c>
      <c r="E2595" s="249">
        <f t="shared" si="643"/>
        <v>0</v>
      </c>
      <c r="F2595" s="336">
        <v>0</v>
      </c>
      <c r="G2595" s="258">
        <f t="shared" si="644"/>
        <v>0</v>
      </c>
      <c r="H2595" s="249">
        <f t="shared" si="645"/>
        <v>10.968378912447626</v>
      </c>
      <c r="I2595" s="336">
        <v>1.2740990299716629E-2</v>
      </c>
      <c r="J2595" s="258">
        <f t="shared" si="646"/>
        <v>1.2740990299716629E-2</v>
      </c>
      <c r="K2595" s="249">
        <f t="shared" si="647"/>
        <v>830.97913380725049</v>
      </c>
      <c r="L2595" s="336">
        <v>0.96527455584979183</v>
      </c>
      <c r="M2595" s="258">
        <f t="shared" si="648"/>
        <v>0.96527455584979183</v>
      </c>
      <c r="N2595" s="251">
        <f t="shared" si="649"/>
        <v>18.925830280301785</v>
      </c>
      <c r="O2595" s="336">
        <v>2.1984453850491439E-2</v>
      </c>
      <c r="P2595" s="258">
        <f t="shared" si="650"/>
        <v>2.1984453850491439E-2</v>
      </c>
      <c r="Q2595" s="354">
        <v>840.59400000000005</v>
      </c>
      <c r="R2595" s="249">
        <f t="shared" si="651"/>
        <v>860.87334299999998</v>
      </c>
      <c r="S2595" s="355">
        <v>0.1</v>
      </c>
      <c r="T2595" s="355"/>
      <c r="U2595" s="315">
        <f t="shared" si="640"/>
        <v>946.96067730000004</v>
      </c>
      <c r="V2595" s="315">
        <f t="shared" si="641"/>
        <v>950</v>
      </c>
      <c r="W2595" s="316">
        <f t="shared" si="642"/>
        <v>0</v>
      </c>
    </row>
    <row r="2596" spans="1:23" x14ac:dyDescent="0.25">
      <c r="A2596" s="204" t="s">
        <v>18269</v>
      </c>
      <c r="B2596" s="351" t="s">
        <v>22279</v>
      </c>
      <c r="C2596" s="352"/>
      <c r="D2596" s="353" t="s">
        <v>5</v>
      </c>
      <c r="E2596" s="249">
        <f t="shared" si="643"/>
        <v>0</v>
      </c>
      <c r="F2596" s="336">
        <v>0</v>
      </c>
      <c r="G2596" s="258">
        <f t="shared" si="644"/>
        <v>0</v>
      </c>
      <c r="H2596" s="249">
        <f t="shared" si="645"/>
        <v>6.3768944558516588E-2</v>
      </c>
      <c r="I2596" s="336">
        <v>1.2710008864964168E-2</v>
      </c>
      <c r="J2596" s="258">
        <f t="shared" si="646"/>
        <v>1.2710008864964168E-2</v>
      </c>
      <c r="K2596" s="249">
        <f t="shared" si="647"/>
        <v>4.843361490990981</v>
      </c>
      <c r="L2596" s="336">
        <v>0.96534712802456091</v>
      </c>
      <c r="M2596" s="258">
        <f t="shared" si="648"/>
        <v>0.96534712802456091</v>
      </c>
      <c r="N2596" s="251">
        <f t="shared" si="649"/>
        <v>0.1100326886499894</v>
      </c>
      <c r="O2596" s="336">
        <v>2.1930995688565619E-2</v>
      </c>
      <c r="P2596" s="258">
        <f t="shared" si="650"/>
        <v>2.1930995688565619E-2</v>
      </c>
      <c r="Q2596" s="354">
        <v>4.8990872093023254</v>
      </c>
      <c r="R2596" s="249">
        <f t="shared" si="651"/>
        <v>5.0172226656976742</v>
      </c>
      <c r="S2596" s="355">
        <v>0.1</v>
      </c>
      <c r="T2596" s="355"/>
      <c r="U2596" s="315">
        <f t="shared" si="640"/>
        <v>5.5189449322674413</v>
      </c>
      <c r="V2596" s="315">
        <f t="shared" si="641"/>
        <v>6</v>
      </c>
      <c r="W2596" s="316">
        <f t="shared" si="642"/>
        <v>0</v>
      </c>
    </row>
    <row r="2597" spans="1:23" x14ac:dyDescent="0.25">
      <c r="A2597" s="204" t="s">
        <v>18270</v>
      </c>
      <c r="B2597" s="351" t="s">
        <v>22280</v>
      </c>
      <c r="C2597" s="352"/>
      <c r="D2597" s="353" t="s">
        <v>14859</v>
      </c>
      <c r="E2597" s="249">
        <f t="shared" si="643"/>
        <v>0</v>
      </c>
      <c r="F2597" s="336">
        <v>0</v>
      </c>
      <c r="G2597" s="258">
        <f t="shared" si="644"/>
        <v>0</v>
      </c>
      <c r="H2597" s="249">
        <f t="shared" si="645"/>
        <v>10.968388678105676</v>
      </c>
      <c r="I2597" s="336">
        <v>1.2710008864964166E-2</v>
      </c>
      <c r="J2597" s="258">
        <f t="shared" si="646"/>
        <v>1.2710008864964166E-2</v>
      </c>
      <c r="K2597" s="249">
        <f t="shared" si="647"/>
        <v>833.07830769104532</v>
      </c>
      <c r="L2597" s="336">
        <v>0.96535899544647019</v>
      </c>
      <c r="M2597" s="258">
        <f t="shared" si="648"/>
        <v>0.96535899544647019</v>
      </c>
      <c r="N2597" s="251">
        <f t="shared" si="649"/>
        <v>18.925847130849007</v>
      </c>
      <c r="O2597" s="336">
        <v>2.1930995688565619E-2</v>
      </c>
      <c r="P2597" s="258">
        <f t="shared" si="650"/>
        <v>2.1930995688565619E-2</v>
      </c>
      <c r="Q2597" s="354">
        <v>842.64300000000003</v>
      </c>
      <c r="R2597" s="249">
        <f t="shared" si="651"/>
        <v>862.97254350000003</v>
      </c>
      <c r="S2597" s="355">
        <v>0.1</v>
      </c>
      <c r="T2597" s="355"/>
      <c r="U2597" s="315">
        <f t="shared" ref="U2597:U2660" si="652">(R2597*S2597)+R2597</f>
        <v>949.26979785000003</v>
      </c>
      <c r="V2597" s="315">
        <f t="shared" ref="V2597:V2660" si="653">IF(U2597=0, 0, IF(U2597&lt;10, _xlfn.CEILING.MATH(U2597,1), IF(U2597&lt;100, _xlfn.CEILING.MATH(U2597,1),IF(U2597&lt;1000, _xlfn.CEILING.MATH(U2597,5), IF(U2597&lt;10000, _xlfn.CEILING.MATH(U2597, 25), IF(U2597&lt;100000, _xlfn.CEILING.MATH(U2597,250), IF(U2597&lt;1000000, _xlfn.CEILING.MATH(U2597,500), 0)))))))</f>
        <v>950</v>
      </c>
      <c r="W2597" s="316">
        <f t="shared" si="642"/>
        <v>0</v>
      </c>
    </row>
    <row r="2598" spans="1:23" x14ac:dyDescent="0.25">
      <c r="A2598" s="204" t="s">
        <v>18271</v>
      </c>
      <c r="B2598" s="351" t="s">
        <v>22281</v>
      </c>
      <c r="C2598" s="352"/>
      <c r="D2598" s="353" t="s">
        <v>5</v>
      </c>
      <c r="E2598" s="249">
        <f t="shared" si="643"/>
        <v>0</v>
      </c>
      <c r="F2598" s="336">
        <v>0</v>
      </c>
      <c r="G2598" s="258">
        <f t="shared" si="644"/>
        <v>0</v>
      </c>
      <c r="H2598" s="249">
        <f t="shared" si="645"/>
        <v>6.3769375302255821E-2</v>
      </c>
      <c r="I2598" s="336">
        <v>1.2482364726305798E-2</v>
      </c>
      <c r="J2598" s="258">
        <f t="shared" si="646"/>
        <v>1.2482364726305798E-2</v>
      </c>
      <c r="K2598" s="249">
        <f t="shared" si="647"/>
        <v>4.9348952221242097</v>
      </c>
      <c r="L2598" s="336">
        <v>0.9659677824455527</v>
      </c>
      <c r="M2598" s="258">
        <f t="shared" si="648"/>
        <v>0.9659677824455527</v>
      </c>
      <c r="N2598" s="251">
        <f t="shared" si="649"/>
        <v>0.11003343189408846</v>
      </c>
      <c r="O2598" s="336">
        <v>2.1538197959115886E-2</v>
      </c>
      <c r="P2598" s="258">
        <f t="shared" si="650"/>
        <v>2.1538197959115886E-2</v>
      </c>
      <c r="Q2598" s="354">
        <v>4.9884331395348838</v>
      </c>
      <c r="R2598" s="249">
        <f t="shared" si="651"/>
        <v>5.1087575712209299</v>
      </c>
      <c r="S2598" s="355">
        <v>0.1</v>
      </c>
      <c r="T2598" s="355"/>
      <c r="U2598" s="315">
        <f t="shared" si="652"/>
        <v>5.6196333283430224</v>
      </c>
      <c r="V2598" s="315">
        <f t="shared" si="653"/>
        <v>6</v>
      </c>
      <c r="W2598" s="316">
        <f t="shared" si="642"/>
        <v>0</v>
      </c>
    </row>
    <row r="2599" spans="1:23" x14ac:dyDescent="0.25">
      <c r="A2599" s="204" t="s">
        <v>18272</v>
      </c>
      <c r="B2599" s="351" t="s">
        <v>22282</v>
      </c>
      <c r="C2599" s="352"/>
      <c r="D2599" s="353" t="s">
        <v>14859</v>
      </c>
      <c r="E2599" s="249">
        <f t="shared" si="643"/>
        <v>0</v>
      </c>
      <c r="F2599" s="336">
        <v>0</v>
      </c>
      <c r="G2599" s="258">
        <f t="shared" si="644"/>
        <v>0</v>
      </c>
      <c r="H2599" s="249">
        <f t="shared" si="645"/>
        <v>10.96846043381462</v>
      </c>
      <c r="I2599" s="336">
        <v>1.2482364726305798E-2</v>
      </c>
      <c r="J2599" s="258">
        <f t="shared" si="646"/>
        <v>1.2482364726305798E-2</v>
      </c>
      <c r="K2599" s="249">
        <f t="shared" si="647"/>
        <v>848.82211587156382</v>
      </c>
      <c r="L2599" s="336">
        <v>0.96597943731457825</v>
      </c>
      <c r="M2599" s="258">
        <f t="shared" si="648"/>
        <v>0.96597943731457825</v>
      </c>
      <c r="N2599" s="251">
        <f t="shared" si="649"/>
        <v>18.925970944621305</v>
      </c>
      <c r="O2599" s="336">
        <v>2.1538197959115886E-2</v>
      </c>
      <c r="P2599" s="258">
        <f t="shared" si="650"/>
        <v>2.1538197959115886E-2</v>
      </c>
      <c r="Q2599" s="354">
        <v>858.01049999999998</v>
      </c>
      <c r="R2599" s="249">
        <f t="shared" si="651"/>
        <v>878.71654724999985</v>
      </c>
      <c r="S2599" s="355">
        <v>0.1</v>
      </c>
      <c r="T2599" s="355"/>
      <c r="U2599" s="315">
        <f t="shared" si="652"/>
        <v>966.58820197499983</v>
      </c>
      <c r="V2599" s="315">
        <f t="shared" si="653"/>
        <v>970</v>
      </c>
      <c r="W2599" s="316">
        <f t="shared" si="642"/>
        <v>0</v>
      </c>
    </row>
    <row r="2600" spans="1:23" x14ac:dyDescent="0.25">
      <c r="A2600" s="204" t="s">
        <v>18273</v>
      </c>
      <c r="B2600" s="351" t="s">
        <v>22283</v>
      </c>
      <c r="C2600" s="352"/>
      <c r="D2600" s="353" t="s">
        <v>5</v>
      </c>
      <c r="E2600" s="249">
        <f t="shared" si="643"/>
        <v>0</v>
      </c>
      <c r="F2600" s="336">
        <v>0</v>
      </c>
      <c r="G2600" s="258">
        <f t="shared" si="644"/>
        <v>0</v>
      </c>
      <c r="H2600" s="249">
        <f t="shared" si="645"/>
        <v>6.3776760492403564E-2</v>
      </c>
      <c r="I2600" s="336">
        <v>8.5793590714105476E-3</v>
      </c>
      <c r="J2600" s="258">
        <f t="shared" si="646"/>
        <v>8.5793590714105476E-3</v>
      </c>
      <c r="K2600" s="249">
        <f t="shared" si="647"/>
        <v>7.2598616872559605</v>
      </c>
      <c r="L2600" s="336">
        <v>0.97660903035619151</v>
      </c>
      <c r="M2600" s="258">
        <f t="shared" si="648"/>
        <v>0.97660903035619151</v>
      </c>
      <c r="N2600" s="251">
        <f t="shared" si="649"/>
        <v>0.11004617496728458</v>
      </c>
      <c r="O2600" s="336">
        <v>1.4803599966355455E-2</v>
      </c>
      <c r="P2600" s="258">
        <f t="shared" si="650"/>
        <v>1.4803599966355455E-2</v>
      </c>
      <c r="Q2600" s="354">
        <v>7.2578197674418607</v>
      </c>
      <c r="R2600" s="249">
        <f t="shared" si="651"/>
        <v>7.433744171511627</v>
      </c>
      <c r="S2600" s="355">
        <v>0.1</v>
      </c>
      <c r="T2600" s="355"/>
      <c r="U2600" s="315">
        <f t="shared" si="652"/>
        <v>8.1771185886627897</v>
      </c>
      <c r="V2600" s="315">
        <f t="shared" si="653"/>
        <v>9</v>
      </c>
      <c r="W2600" s="316">
        <f t="shared" si="642"/>
        <v>0</v>
      </c>
    </row>
    <row r="2601" spans="1:23" x14ac:dyDescent="0.25">
      <c r="A2601" s="204" t="s">
        <v>18274</v>
      </c>
      <c r="B2601" s="351" t="s">
        <v>22284</v>
      </c>
      <c r="C2601" s="352"/>
      <c r="D2601" s="353" t="s">
        <v>14859</v>
      </c>
      <c r="E2601" s="249">
        <f t="shared" si="643"/>
        <v>0</v>
      </c>
      <c r="F2601" s="336">
        <v>0</v>
      </c>
      <c r="G2601" s="258">
        <f t="shared" si="644"/>
        <v>0</v>
      </c>
      <c r="H2601" s="249">
        <f t="shared" si="645"/>
        <v>10.969690700227101</v>
      </c>
      <c r="I2601" s="336">
        <v>8.5793590714105476E-3</v>
      </c>
      <c r="J2601" s="258">
        <f t="shared" si="646"/>
        <v>8.5793590714105476E-3</v>
      </c>
      <c r="K2601" s="249">
        <f t="shared" si="647"/>
        <v>1248.7164580425183</v>
      </c>
      <c r="L2601" s="336">
        <v>0.97661704096223401</v>
      </c>
      <c r="M2601" s="258">
        <f t="shared" si="648"/>
        <v>0.97661704096223401</v>
      </c>
      <c r="N2601" s="251">
        <f t="shared" si="649"/>
        <v>18.928093757254604</v>
      </c>
      <c r="O2601" s="336">
        <v>1.4803599966355455E-2</v>
      </c>
      <c r="P2601" s="258">
        <f t="shared" si="650"/>
        <v>1.4803599966355455E-2</v>
      </c>
      <c r="Q2601" s="354">
        <v>1248.345</v>
      </c>
      <c r="R2601" s="249">
        <f t="shared" si="651"/>
        <v>1278.6142425</v>
      </c>
      <c r="S2601" s="355">
        <v>0.1</v>
      </c>
      <c r="T2601" s="355"/>
      <c r="U2601" s="315">
        <f t="shared" si="652"/>
        <v>1406.4756667500001</v>
      </c>
      <c r="V2601" s="315">
        <f t="shared" si="653"/>
        <v>1425</v>
      </c>
      <c r="W2601" s="316">
        <f t="shared" si="642"/>
        <v>0</v>
      </c>
    </row>
    <row r="2602" spans="1:23" x14ac:dyDescent="0.25">
      <c r="A2602" s="204" t="s">
        <v>18275</v>
      </c>
      <c r="B2602" s="351" t="s">
        <v>22285</v>
      </c>
      <c r="C2602" s="352"/>
      <c r="D2602" s="353" t="s">
        <v>5</v>
      </c>
      <c r="E2602" s="249">
        <f t="shared" si="643"/>
        <v>0</v>
      </c>
      <c r="F2602" s="336">
        <v>0</v>
      </c>
      <c r="G2602" s="258">
        <f t="shared" si="644"/>
        <v>0</v>
      </c>
      <c r="H2602" s="249">
        <f t="shared" si="645"/>
        <v>6.378318962399844E-2</v>
      </c>
      <c r="I2602" s="336">
        <v>5.1816216443738416E-3</v>
      </c>
      <c r="J2602" s="258">
        <f t="shared" si="646"/>
        <v>5.1816216443738416E-3</v>
      </c>
      <c r="K2602" s="249">
        <f t="shared" si="647"/>
        <v>12.135603459589998</v>
      </c>
      <c r="L2602" s="336">
        <v>0.98587270289302376</v>
      </c>
      <c r="M2602" s="258">
        <f t="shared" si="648"/>
        <v>0.98587270289302376</v>
      </c>
      <c r="N2602" s="251">
        <f t="shared" si="649"/>
        <v>0.11005726837082082</v>
      </c>
      <c r="O2602" s="336">
        <v>8.9408373471548622E-3</v>
      </c>
      <c r="P2602" s="258">
        <f t="shared" si="650"/>
        <v>8.9408373471548622E-3</v>
      </c>
      <c r="Q2602" s="354">
        <v>12.016979651162789</v>
      </c>
      <c r="R2602" s="249">
        <f t="shared" si="651"/>
        <v>12.309503472383719</v>
      </c>
      <c r="S2602" s="355">
        <v>0.1</v>
      </c>
      <c r="T2602" s="355"/>
      <c r="U2602" s="315">
        <f t="shared" si="652"/>
        <v>13.54045381962209</v>
      </c>
      <c r="V2602" s="315">
        <f t="shared" si="653"/>
        <v>14</v>
      </c>
      <c r="W2602" s="316">
        <f t="shared" ref="W2602:W2605" si="654">C2602*V2602</f>
        <v>0</v>
      </c>
    </row>
    <row r="2603" spans="1:23" x14ac:dyDescent="0.25">
      <c r="A2603" s="204" t="s">
        <v>18276</v>
      </c>
      <c r="B2603" s="351" t="s">
        <v>22286</v>
      </c>
      <c r="C2603" s="352"/>
      <c r="D2603" s="353" t="s">
        <v>14859</v>
      </c>
      <c r="E2603" s="249">
        <f t="shared" si="643"/>
        <v>0</v>
      </c>
      <c r="F2603" s="336">
        <v>0</v>
      </c>
      <c r="G2603" s="258">
        <f t="shared" si="644"/>
        <v>0</v>
      </c>
      <c r="H2603" s="249">
        <f t="shared" si="645"/>
        <v>10.970761701041479</v>
      </c>
      <c r="I2603" s="336">
        <v>5.1816216443738416E-3</v>
      </c>
      <c r="J2603" s="258">
        <f t="shared" si="646"/>
        <v>5.1816216443738416E-3</v>
      </c>
      <c r="K2603" s="249">
        <f t="shared" si="647"/>
        <v>2087.3441387902985</v>
      </c>
      <c r="L2603" s="336">
        <v>0.98587754100847125</v>
      </c>
      <c r="M2603" s="258">
        <f t="shared" si="648"/>
        <v>0.98587754100847125</v>
      </c>
      <c r="N2603" s="251">
        <f t="shared" si="649"/>
        <v>18.929941758659801</v>
      </c>
      <c r="O2603" s="336">
        <v>8.9408373471548622E-3</v>
      </c>
      <c r="P2603" s="258">
        <f t="shared" si="650"/>
        <v>8.9408373471548622E-3</v>
      </c>
      <c r="Q2603" s="354">
        <v>2066.9204999999997</v>
      </c>
      <c r="R2603" s="249">
        <f t="shared" si="651"/>
        <v>2117.2448422499997</v>
      </c>
      <c r="S2603" s="355">
        <v>0.1</v>
      </c>
      <c r="T2603" s="355"/>
      <c r="U2603" s="315">
        <f t="shared" si="652"/>
        <v>2328.9693264749994</v>
      </c>
      <c r="V2603" s="315">
        <f t="shared" si="653"/>
        <v>2350</v>
      </c>
      <c r="W2603" s="316">
        <f t="shared" si="654"/>
        <v>0</v>
      </c>
    </row>
    <row r="2604" spans="1:23" ht="14.4" thickBot="1" x14ac:dyDescent="0.3">
      <c r="A2604" s="356" t="s">
        <v>18277</v>
      </c>
      <c r="B2604" s="357" t="s">
        <v>22287</v>
      </c>
      <c r="C2604" s="358"/>
      <c r="D2604" s="359" t="s">
        <v>5</v>
      </c>
      <c r="E2604" s="266">
        <f t="shared" si="643"/>
        <v>0</v>
      </c>
      <c r="F2604" s="360">
        <v>0</v>
      </c>
      <c r="G2604" s="322">
        <f t="shared" si="644"/>
        <v>0</v>
      </c>
      <c r="H2604" s="266">
        <f t="shared" si="645"/>
        <v>6.3783356815724654E-2</v>
      </c>
      <c r="I2604" s="360">
        <v>5.0932623415310616E-3</v>
      </c>
      <c r="J2604" s="322">
        <f t="shared" si="646"/>
        <v>5.0932623415310616E-3</v>
      </c>
      <c r="K2604" s="266">
        <f t="shared" si="647"/>
        <v>12.349184449975414</v>
      </c>
      <c r="L2604" s="360">
        <v>0.98611360780833757</v>
      </c>
      <c r="M2604" s="322">
        <f t="shared" si="648"/>
        <v>0.98611360780833757</v>
      </c>
      <c r="N2604" s="270">
        <f t="shared" si="649"/>
        <v>0.11005755685850527</v>
      </c>
      <c r="O2604" s="360">
        <v>8.7883742363673214E-3</v>
      </c>
      <c r="P2604" s="322">
        <f t="shared" si="650"/>
        <v>8.7883742363673214E-3</v>
      </c>
      <c r="Q2604" s="361">
        <v>12.225453488372091</v>
      </c>
      <c r="R2604" s="266">
        <f t="shared" si="651"/>
        <v>12.523084918604651</v>
      </c>
      <c r="S2604" s="362">
        <v>0.1</v>
      </c>
      <c r="T2604" s="362"/>
      <c r="U2604" s="324">
        <f t="shared" si="652"/>
        <v>13.775393410465115</v>
      </c>
      <c r="V2604" s="324">
        <f t="shared" si="653"/>
        <v>14</v>
      </c>
      <c r="W2604" s="325">
        <f t="shared" si="654"/>
        <v>0</v>
      </c>
    </row>
    <row r="2605" spans="1:23" x14ac:dyDescent="0.25">
      <c r="A2605" s="204" t="s">
        <v>18278</v>
      </c>
      <c r="B2605" s="351" t="s">
        <v>22288</v>
      </c>
      <c r="C2605" s="352"/>
      <c r="D2605" s="353" t="s">
        <v>14859</v>
      </c>
      <c r="E2605" s="249">
        <f t="shared" si="643"/>
        <v>0</v>
      </c>
      <c r="F2605" s="336">
        <v>0</v>
      </c>
      <c r="G2605" s="258">
        <f t="shared" si="644"/>
        <v>0</v>
      </c>
      <c r="H2605" s="249">
        <f t="shared" si="645"/>
        <v>10.970789552777328</v>
      </c>
      <c r="I2605" s="336">
        <v>5.0932623415310616E-3</v>
      </c>
      <c r="J2605" s="258">
        <f t="shared" si="646"/>
        <v>5.0932623415310616E-3</v>
      </c>
      <c r="K2605" s="249">
        <f t="shared" si="647"/>
        <v>2124.0800716306653</v>
      </c>
      <c r="L2605" s="336">
        <v>0.98611836342210157</v>
      </c>
      <c r="M2605" s="258">
        <f t="shared" si="648"/>
        <v>0.98611836342210157</v>
      </c>
      <c r="N2605" s="251">
        <f t="shared" si="649"/>
        <v>18.929989816556958</v>
      </c>
      <c r="O2605" s="336">
        <v>8.7883742363673214E-3</v>
      </c>
      <c r="P2605" s="258">
        <f t="shared" si="650"/>
        <v>8.7883742363673214E-3</v>
      </c>
      <c r="Q2605" s="354">
        <v>2102.7779999999998</v>
      </c>
      <c r="R2605" s="249">
        <f t="shared" si="651"/>
        <v>2153.9808509999998</v>
      </c>
      <c r="S2605" s="355">
        <v>0.1</v>
      </c>
      <c r="T2605" s="355"/>
      <c r="U2605" s="315">
        <f t="shared" si="652"/>
        <v>2369.3789360999999</v>
      </c>
      <c r="V2605" s="315">
        <f t="shared" si="653"/>
        <v>2375</v>
      </c>
      <c r="W2605" s="316">
        <f t="shared" si="654"/>
        <v>0</v>
      </c>
    </row>
    <row r="2606" spans="1:23" x14ac:dyDescent="0.25">
      <c r="A2606" s="203" t="s">
        <v>18279</v>
      </c>
      <c r="B2606" s="345" t="s">
        <v>18280</v>
      </c>
      <c r="C2606" s="346"/>
      <c r="D2606" s="347"/>
      <c r="E2606" s="347"/>
      <c r="F2606" s="347"/>
      <c r="G2606" s="347"/>
      <c r="H2606" s="347"/>
      <c r="I2606" s="347"/>
      <c r="J2606" s="347"/>
      <c r="K2606" s="347"/>
      <c r="L2606" s="347"/>
      <c r="M2606" s="347"/>
      <c r="N2606" s="347"/>
      <c r="O2606" s="347"/>
      <c r="P2606" s="347"/>
      <c r="Q2606" s="347"/>
      <c r="R2606" s="347"/>
      <c r="S2606" s="347"/>
      <c r="T2606" s="348"/>
      <c r="U2606" s="349"/>
      <c r="V2606" s="349"/>
      <c r="W2606" s="350"/>
    </row>
    <row r="2607" spans="1:23" x14ac:dyDescent="0.25">
      <c r="A2607" s="204" t="s">
        <v>18281</v>
      </c>
      <c r="B2607" s="351" t="s">
        <v>22289</v>
      </c>
      <c r="C2607" s="352"/>
      <c r="D2607" s="353" t="s">
        <v>14859</v>
      </c>
      <c r="E2607" s="249">
        <f t="shared" si="643"/>
        <v>0</v>
      </c>
      <c r="F2607" s="336">
        <v>0</v>
      </c>
      <c r="G2607" s="258">
        <f t="shared" si="644"/>
        <v>0</v>
      </c>
      <c r="H2607" s="249">
        <f t="shared" si="645"/>
        <v>10.964614055126278</v>
      </c>
      <c r="I2607" s="336">
        <v>2.4684955660426285E-2</v>
      </c>
      <c r="J2607" s="258">
        <f t="shared" si="646"/>
        <v>2.4684955660426285E-2</v>
      </c>
      <c r="K2607" s="249">
        <f t="shared" si="647"/>
        <v>414.29809563896953</v>
      </c>
      <c r="L2607" s="336">
        <v>0.93272139535687737</v>
      </c>
      <c r="M2607" s="258">
        <f t="shared" si="648"/>
        <v>0.93272139535687737</v>
      </c>
      <c r="N2607" s="251">
        <f t="shared" si="649"/>
        <v>18.919334055904166</v>
      </c>
      <c r="O2607" s="336">
        <v>4.2593648982696332E-2</v>
      </c>
      <c r="P2607" s="258">
        <f t="shared" si="650"/>
        <v>4.2593648982696332E-2</v>
      </c>
      <c r="Q2607" s="354">
        <v>433.86750000000001</v>
      </c>
      <c r="R2607" s="249">
        <f t="shared" si="651"/>
        <v>444.18204374999999</v>
      </c>
      <c r="S2607" s="355">
        <v>0.1</v>
      </c>
      <c r="T2607" s="355"/>
      <c r="U2607" s="315">
        <f t="shared" si="652"/>
        <v>488.60024812500001</v>
      </c>
      <c r="V2607" s="315">
        <f t="shared" si="653"/>
        <v>490</v>
      </c>
      <c r="W2607" s="316">
        <f t="shared" ref="W2607:W2670" si="655">C2607*V2607</f>
        <v>0</v>
      </c>
    </row>
    <row r="2608" spans="1:23" x14ac:dyDescent="0.25">
      <c r="A2608" s="204" t="s">
        <v>18282</v>
      </c>
      <c r="B2608" s="351" t="s">
        <v>22290</v>
      </c>
      <c r="C2608" s="352"/>
      <c r="D2608" s="353" t="s">
        <v>5</v>
      </c>
      <c r="E2608" s="249">
        <f t="shared" si="643"/>
        <v>0</v>
      </c>
      <c r="F2608" s="336">
        <v>0</v>
      </c>
      <c r="G2608" s="258">
        <f t="shared" si="644"/>
        <v>0</v>
      </c>
      <c r="H2608" s="249">
        <f t="shared" si="645"/>
        <v>6.3746285800904273E-2</v>
      </c>
      <c r="I2608" s="336">
        <v>2.4684955660426285E-2</v>
      </c>
      <c r="J2608" s="258">
        <f t="shared" si="646"/>
        <v>2.4684955660426285E-2</v>
      </c>
      <c r="K2608" s="249">
        <f t="shared" si="647"/>
        <v>2.4085947814507396</v>
      </c>
      <c r="L2608" s="336">
        <v>0.932698346845523</v>
      </c>
      <c r="M2608" s="258">
        <f t="shared" si="648"/>
        <v>0.932698346845523</v>
      </c>
      <c r="N2608" s="251">
        <f t="shared" si="649"/>
        <v>0.10999359118587403</v>
      </c>
      <c r="O2608" s="336">
        <v>4.2593648982696332E-2</v>
      </c>
      <c r="P2608" s="258">
        <f t="shared" si="650"/>
        <v>4.2593648982696332E-2</v>
      </c>
      <c r="Q2608" s="354">
        <v>2.5224854651162789</v>
      </c>
      <c r="R2608" s="249">
        <f t="shared" si="651"/>
        <v>2.5823941787790692</v>
      </c>
      <c r="S2608" s="355">
        <v>0.1</v>
      </c>
      <c r="T2608" s="355"/>
      <c r="U2608" s="315">
        <f t="shared" si="652"/>
        <v>2.8406335966569762</v>
      </c>
      <c r="V2608" s="315">
        <f t="shared" si="653"/>
        <v>3</v>
      </c>
      <c r="W2608" s="316">
        <f t="shared" si="655"/>
        <v>0</v>
      </c>
    </row>
    <row r="2609" spans="1:23" x14ac:dyDescent="0.25">
      <c r="A2609" s="204" t="s">
        <v>18283</v>
      </c>
      <c r="B2609" s="351" t="s">
        <v>22291</v>
      </c>
      <c r="C2609" s="352"/>
      <c r="D2609" s="353" t="s">
        <v>14859</v>
      </c>
      <c r="E2609" s="249">
        <f t="shared" si="643"/>
        <v>0</v>
      </c>
      <c r="F2609" s="336">
        <v>0</v>
      </c>
      <c r="G2609" s="258">
        <f t="shared" si="644"/>
        <v>0</v>
      </c>
      <c r="H2609" s="249">
        <f t="shared" si="645"/>
        <v>10.964650629002344</v>
      </c>
      <c r="I2609" s="336">
        <v>2.4568925470818383E-2</v>
      </c>
      <c r="J2609" s="258">
        <f t="shared" si="646"/>
        <v>2.4568925470818383E-2</v>
      </c>
      <c r="K2609" s="249">
        <f t="shared" si="647"/>
        <v>416.39719645722892</v>
      </c>
      <c r="L2609" s="336">
        <v>0.93303763450110289</v>
      </c>
      <c r="M2609" s="258">
        <f t="shared" si="648"/>
        <v>0.93303763450110289</v>
      </c>
      <c r="N2609" s="251">
        <f t="shared" si="649"/>
        <v>18.91939716376875</v>
      </c>
      <c r="O2609" s="336">
        <v>4.2393440028078773E-2</v>
      </c>
      <c r="P2609" s="258">
        <f t="shared" si="650"/>
        <v>4.2393440028078773E-2</v>
      </c>
      <c r="Q2609" s="354">
        <v>435.91649999999998</v>
      </c>
      <c r="R2609" s="249">
        <f t="shared" si="651"/>
        <v>446.28124424999999</v>
      </c>
      <c r="S2609" s="355">
        <v>0.1</v>
      </c>
      <c r="T2609" s="355"/>
      <c r="U2609" s="315">
        <f t="shared" si="652"/>
        <v>490.909368675</v>
      </c>
      <c r="V2609" s="315">
        <f t="shared" si="653"/>
        <v>495</v>
      </c>
      <c r="W2609" s="316">
        <f t="shared" si="655"/>
        <v>0</v>
      </c>
    </row>
    <row r="2610" spans="1:23" x14ac:dyDescent="0.25">
      <c r="A2610" s="204" t="s">
        <v>18284</v>
      </c>
      <c r="B2610" s="351" t="s">
        <v>22292</v>
      </c>
      <c r="C2610" s="352"/>
      <c r="D2610" s="353" t="s">
        <v>5</v>
      </c>
      <c r="E2610" s="249">
        <f t="shared" si="643"/>
        <v>0</v>
      </c>
      <c r="F2610" s="336">
        <v>0</v>
      </c>
      <c r="G2610" s="258">
        <f t="shared" si="644"/>
        <v>0</v>
      </c>
      <c r="H2610" s="249">
        <f t="shared" si="645"/>
        <v>6.3746505350935442E-2</v>
      </c>
      <c r="I2610" s="336">
        <v>2.4568925470818383E-2</v>
      </c>
      <c r="J2610" s="258">
        <f t="shared" si="646"/>
        <v>2.4568925470818383E-2</v>
      </c>
      <c r="K2610" s="249">
        <f t="shared" si="647"/>
        <v>2.420798836934055</v>
      </c>
      <c r="L2610" s="336">
        <v>0.93301469432792739</v>
      </c>
      <c r="M2610" s="258">
        <f t="shared" si="648"/>
        <v>0.93301469432792739</v>
      </c>
      <c r="N2610" s="251">
        <f t="shared" si="649"/>
        <v>0.10999397001730035</v>
      </c>
      <c r="O2610" s="336">
        <v>4.2393440028078773E-2</v>
      </c>
      <c r="P2610" s="258">
        <f t="shared" si="650"/>
        <v>4.2393440028078773E-2</v>
      </c>
      <c r="Q2610" s="354">
        <v>2.5343982558139535</v>
      </c>
      <c r="R2610" s="249">
        <f t="shared" si="651"/>
        <v>2.594598832848837</v>
      </c>
      <c r="S2610" s="355">
        <v>0.1</v>
      </c>
      <c r="T2610" s="355"/>
      <c r="U2610" s="315">
        <f t="shared" si="652"/>
        <v>2.8540587161337205</v>
      </c>
      <c r="V2610" s="315">
        <f t="shared" si="653"/>
        <v>3</v>
      </c>
      <c r="W2610" s="316">
        <f t="shared" si="655"/>
        <v>0</v>
      </c>
    </row>
    <row r="2611" spans="1:23" x14ac:dyDescent="0.25">
      <c r="A2611" s="204" t="s">
        <v>18285</v>
      </c>
      <c r="B2611" s="351" t="s">
        <v>22293</v>
      </c>
      <c r="C2611" s="352"/>
      <c r="D2611" s="353" t="s">
        <v>14859</v>
      </c>
      <c r="E2611" s="249">
        <f t="shared" si="643"/>
        <v>0</v>
      </c>
      <c r="F2611" s="336">
        <v>0</v>
      </c>
      <c r="G2611" s="258">
        <f t="shared" si="644"/>
        <v>0</v>
      </c>
      <c r="H2611" s="249">
        <f t="shared" si="645"/>
        <v>10.964704849654892</v>
      </c>
      <c r="I2611" s="336">
        <v>2.4396911091368826E-2</v>
      </c>
      <c r="J2611" s="258">
        <f t="shared" si="646"/>
        <v>2.4396911091368826E-2</v>
      </c>
      <c r="K2611" s="249">
        <f t="shared" si="647"/>
        <v>419.54584942937197</v>
      </c>
      <c r="L2611" s="336">
        <v>0.93350645800587717</v>
      </c>
      <c r="M2611" s="258">
        <f t="shared" si="648"/>
        <v>0.93350645800587717</v>
      </c>
      <c r="N2611" s="251">
        <f t="shared" si="649"/>
        <v>18.919490720973144</v>
      </c>
      <c r="O2611" s="336">
        <v>4.2096630902754048E-2</v>
      </c>
      <c r="P2611" s="258">
        <f t="shared" si="650"/>
        <v>4.2096630902754048E-2</v>
      </c>
      <c r="Q2611" s="354">
        <v>438.99</v>
      </c>
      <c r="R2611" s="249">
        <f t="shared" si="651"/>
        <v>449.43004500000001</v>
      </c>
      <c r="S2611" s="355">
        <v>0.1</v>
      </c>
      <c r="T2611" s="355"/>
      <c r="U2611" s="315">
        <f t="shared" si="652"/>
        <v>494.37304949999998</v>
      </c>
      <c r="V2611" s="315">
        <f t="shared" si="653"/>
        <v>495</v>
      </c>
      <c r="W2611" s="316">
        <f t="shared" si="655"/>
        <v>0</v>
      </c>
    </row>
    <row r="2612" spans="1:23" x14ac:dyDescent="0.25">
      <c r="A2612" s="204" t="s">
        <v>18286</v>
      </c>
      <c r="B2612" s="351" t="s">
        <v>22294</v>
      </c>
      <c r="C2612" s="352"/>
      <c r="D2612" s="353" t="s">
        <v>5</v>
      </c>
      <c r="E2612" s="249">
        <f t="shared" si="643"/>
        <v>0</v>
      </c>
      <c r="F2612" s="336">
        <v>0</v>
      </c>
      <c r="G2612" s="258">
        <f t="shared" si="644"/>
        <v>0</v>
      </c>
      <c r="H2612" s="249">
        <f t="shared" si="645"/>
        <v>6.3746830833143947E-2</v>
      </c>
      <c r="I2612" s="336">
        <v>2.4396911091368826E-2</v>
      </c>
      <c r="J2612" s="258">
        <f t="shared" si="646"/>
        <v>2.4396911091368826E-2</v>
      </c>
      <c r="K2612" s="249">
        <f t="shared" si="647"/>
        <v>2.4391049306362329</v>
      </c>
      <c r="L2612" s="336">
        <v>0.93348367844370028</v>
      </c>
      <c r="M2612" s="258">
        <f t="shared" si="648"/>
        <v>0.93348367844370028</v>
      </c>
      <c r="N2612" s="251">
        <f t="shared" si="649"/>
        <v>0.10999453163366013</v>
      </c>
      <c r="O2612" s="336">
        <v>4.2096630902754048E-2</v>
      </c>
      <c r="P2612" s="258">
        <f t="shared" si="650"/>
        <v>4.2096630902754048E-2</v>
      </c>
      <c r="Q2612" s="354">
        <v>2.5522674418604652</v>
      </c>
      <c r="R2612" s="249">
        <f t="shared" si="651"/>
        <v>2.6129058139534882</v>
      </c>
      <c r="S2612" s="355">
        <v>0.1</v>
      </c>
      <c r="T2612" s="355"/>
      <c r="U2612" s="315">
        <f t="shared" si="652"/>
        <v>2.8741963953488372</v>
      </c>
      <c r="V2612" s="315">
        <f t="shared" si="653"/>
        <v>3</v>
      </c>
      <c r="W2612" s="316">
        <f t="shared" si="655"/>
        <v>0</v>
      </c>
    </row>
    <row r="2613" spans="1:23" x14ac:dyDescent="0.25">
      <c r="A2613" s="204" t="s">
        <v>18287</v>
      </c>
      <c r="B2613" s="351" t="s">
        <v>22295</v>
      </c>
      <c r="C2613" s="352"/>
      <c r="D2613" s="353" t="s">
        <v>14859</v>
      </c>
      <c r="E2613" s="249">
        <f t="shared" si="643"/>
        <v>0</v>
      </c>
      <c r="F2613" s="336">
        <v>0</v>
      </c>
      <c r="G2613" s="258">
        <f t="shared" si="644"/>
        <v>0</v>
      </c>
      <c r="H2613" s="249">
        <f t="shared" si="645"/>
        <v>10.967266270355632</v>
      </c>
      <c r="I2613" s="336">
        <v>1.6270834187893952E-2</v>
      </c>
      <c r="J2613" s="258">
        <f t="shared" si="646"/>
        <v>1.6270834187893952E-2</v>
      </c>
      <c r="K2613" s="249">
        <f t="shared" si="647"/>
        <v>644.15332180236396</v>
      </c>
      <c r="L2613" s="336">
        <v>0.9556540009388772</v>
      </c>
      <c r="M2613" s="258">
        <f t="shared" si="648"/>
        <v>0.9556540009388772</v>
      </c>
      <c r="N2613" s="251">
        <f t="shared" si="649"/>
        <v>18.923910427280305</v>
      </c>
      <c r="O2613" s="336">
        <v>2.8075164873228777E-2</v>
      </c>
      <c r="P2613" s="258">
        <f t="shared" si="650"/>
        <v>2.8075164873228777E-2</v>
      </c>
      <c r="Q2613" s="354">
        <v>658.23300000000006</v>
      </c>
      <c r="R2613" s="249">
        <f t="shared" si="651"/>
        <v>674.04449849999992</v>
      </c>
      <c r="S2613" s="355">
        <v>0.1</v>
      </c>
      <c r="T2613" s="355"/>
      <c r="U2613" s="315">
        <f t="shared" si="652"/>
        <v>741.44894834999991</v>
      </c>
      <c r="V2613" s="315">
        <f t="shared" si="653"/>
        <v>745</v>
      </c>
      <c r="W2613" s="316">
        <f t="shared" si="655"/>
        <v>0</v>
      </c>
    </row>
    <row r="2614" spans="1:23" x14ac:dyDescent="0.25">
      <c r="A2614" s="204" t="s">
        <v>18288</v>
      </c>
      <c r="B2614" s="351" t="s">
        <v>22296</v>
      </c>
      <c r="C2614" s="352"/>
      <c r="D2614" s="353" t="s">
        <v>5</v>
      </c>
      <c r="E2614" s="249">
        <f t="shared" si="643"/>
        <v>0</v>
      </c>
      <c r="F2614" s="336">
        <v>0</v>
      </c>
      <c r="G2614" s="258">
        <f t="shared" si="644"/>
        <v>0</v>
      </c>
      <c r="H2614" s="249">
        <f t="shared" si="645"/>
        <v>6.3762206835228943E-2</v>
      </c>
      <c r="I2614" s="336">
        <v>1.6270834187893952E-2</v>
      </c>
      <c r="J2614" s="258">
        <f t="shared" si="646"/>
        <v>1.6270834187893952E-2</v>
      </c>
      <c r="K2614" s="249">
        <f t="shared" si="647"/>
        <v>3.7449609946017337</v>
      </c>
      <c r="L2614" s="336">
        <v>0.95563880875009299</v>
      </c>
      <c r="M2614" s="258">
        <f t="shared" si="648"/>
        <v>0.95563880875009299</v>
      </c>
      <c r="N2614" s="251">
        <f t="shared" si="649"/>
        <v>0.11002106277451268</v>
      </c>
      <c r="O2614" s="336">
        <v>2.8075164873228777E-2</v>
      </c>
      <c r="P2614" s="258">
        <f t="shared" si="650"/>
        <v>2.8075164873228777E-2</v>
      </c>
      <c r="Q2614" s="354">
        <v>3.8269360465116282</v>
      </c>
      <c r="R2614" s="249">
        <f t="shared" si="651"/>
        <v>3.9188037994186047</v>
      </c>
      <c r="S2614" s="355">
        <v>0.1</v>
      </c>
      <c r="T2614" s="355"/>
      <c r="U2614" s="315">
        <f t="shared" si="652"/>
        <v>4.3106841793604653</v>
      </c>
      <c r="V2614" s="315">
        <f t="shared" si="653"/>
        <v>5</v>
      </c>
      <c r="W2614" s="316">
        <f t="shared" si="655"/>
        <v>0</v>
      </c>
    </row>
    <row r="2615" spans="1:23" x14ac:dyDescent="0.25">
      <c r="A2615" s="204" t="s">
        <v>18289</v>
      </c>
      <c r="B2615" s="351" t="s">
        <v>22297</v>
      </c>
      <c r="C2615" s="352"/>
      <c r="D2615" s="353" t="s">
        <v>14859</v>
      </c>
      <c r="E2615" s="249">
        <f t="shared" si="643"/>
        <v>0</v>
      </c>
      <c r="F2615" s="336">
        <v>0</v>
      </c>
      <c r="G2615" s="258">
        <f t="shared" si="644"/>
        <v>0</v>
      </c>
      <c r="H2615" s="249">
        <f t="shared" si="645"/>
        <v>10.967871727630838</v>
      </c>
      <c r="I2615" s="336">
        <v>1.4350028137310074E-2</v>
      </c>
      <c r="J2615" s="258">
        <f t="shared" si="646"/>
        <v>1.4350028137310074E-2</v>
      </c>
      <c r="K2615" s="249">
        <f t="shared" si="647"/>
        <v>734.41729313449616</v>
      </c>
      <c r="L2615" s="336">
        <v>0.96088913899831174</v>
      </c>
      <c r="M2615" s="258">
        <f t="shared" si="648"/>
        <v>0.96088913899831174</v>
      </c>
      <c r="N2615" s="251">
        <f t="shared" si="649"/>
        <v>18.924955137872818</v>
      </c>
      <c r="O2615" s="336">
        <v>2.4760832864378166E-2</v>
      </c>
      <c r="P2615" s="258">
        <f t="shared" si="650"/>
        <v>2.4760832864378166E-2</v>
      </c>
      <c r="Q2615" s="354">
        <v>746.34</v>
      </c>
      <c r="R2615" s="249">
        <f t="shared" si="651"/>
        <v>764.31011999999987</v>
      </c>
      <c r="S2615" s="355">
        <v>0.1</v>
      </c>
      <c r="T2615" s="355"/>
      <c r="U2615" s="315">
        <f t="shared" si="652"/>
        <v>840.74113199999988</v>
      </c>
      <c r="V2615" s="315">
        <f t="shared" si="653"/>
        <v>845</v>
      </c>
      <c r="W2615" s="316">
        <f t="shared" si="655"/>
        <v>0</v>
      </c>
    </row>
    <row r="2616" spans="1:23" x14ac:dyDescent="0.25">
      <c r="A2616" s="204" t="s">
        <v>18290</v>
      </c>
      <c r="B2616" s="351" t="s">
        <v>22298</v>
      </c>
      <c r="C2616" s="352"/>
      <c r="D2616" s="353" t="s">
        <v>5</v>
      </c>
      <c r="E2616" s="249">
        <f t="shared" si="643"/>
        <v>0</v>
      </c>
      <c r="F2616" s="336">
        <v>0</v>
      </c>
      <c r="G2616" s="258">
        <f t="shared" si="644"/>
        <v>0</v>
      </c>
      <c r="H2616" s="249">
        <f t="shared" si="645"/>
        <v>6.3765841346468441E-2</v>
      </c>
      <c r="I2616" s="336">
        <v>1.4350028137310074E-2</v>
      </c>
      <c r="J2616" s="258">
        <f t="shared" si="646"/>
        <v>1.4350028137310074E-2</v>
      </c>
      <c r="K2616" s="249">
        <f t="shared" si="647"/>
        <v>4.2697512103834141</v>
      </c>
      <c r="L2616" s="336">
        <v>0.96087574027922917</v>
      </c>
      <c r="M2616" s="258">
        <f t="shared" si="648"/>
        <v>0.96087574027922917</v>
      </c>
      <c r="N2616" s="251">
        <f t="shared" si="649"/>
        <v>0.11002733408802395</v>
      </c>
      <c r="O2616" s="336">
        <v>2.4760832864378163E-2</v>
      </c>
      <c r="P2616" s="258">
        <f t="shared" si="650"/>
        <v>2.4760832864378163E-2</v>
      </c>
      <c r="Q2616" s="354">
        <v>4.3391860465116281</v>
      </c>
      <c r="R2616" s="249">
        <f t="shared" si="651"/>
        <v>4.4436039244186043</v>
      </c>
      <c r="S2616" s="355">
        <v>0.1</v>
      </c>
      <c r="T2616" s="355"/>
      <c r="U2616" s="315">
        <f t="shared" si="652"/>
        <v>4.8879643168604652</v>
      </c>
      <c r="V2616" s="315">
        <f t="shared" si="653"/>
        <v>5</v>
      </c>
      <c r="W2616" s="316">
        <f t="shared" si="655"/>
        <v>0</v>
      </c>
    </row>
    <row r="2617" spans="1:23" x14ac:dyDescent="0.25">
      <c r="A2617" s="204" t="s">
        <v>18291</v>
      </c>
      <c r="B2617" s="351" t="s">
        <v>22299</v>
      </c>
      <c r="C2617" s="352"/>
      <c r="D2617" s="353" t="s">
        <v>14859</v>
      </c>
      <c r="E2617" s="249">
        <f t="shared" si="643"/>
        <v>0</v>
      </c>
      <c r="F2617" s="336">
        <v>0</v>
      </c>
      <c r="G2617" s="258">
        <f t="shared" si="644"/>
        <v>0</v>
      </c>
      <c r="H2617" s="249">
        <f t="shared" si="645"/>
        <v>10.968021804628524</v>
      </c>
      <c r="I2617" s="336">
        <v>1.387391063569326E-2</v>
      </c>
      <c r="J2617" s="258">
        <f t="shared" si="646"/>
        <v>1.387391063569326E-2</v>
      </c>
      <c r="K2617" s="249">
        <f t="shared" si="647"/>
        <v>760.65689035111041</v>
      </c>
      <c r="L2617" s="336">
        <v>0.9621867925811497</v>
      </c>
      <c r="M2617" s="258">
        <f t="shared" si="648"/>
        <v>0.9621867925811497</v>
      </c>
      <c r="N2617" s="251">
        <f t="shared" si="649"/>
        <v>18.92521409426098</v>
      </c>
      <c r="O2617" s="336">
        <v>2.3939296783156996E-2</v>
      </c>
      <c r="P2617" s="258">
        <f t="shared" si="650"/>
        <v>2.3939296783156996E-2</v>
      </c>
      <c r="Q2617" s="354">
        <v>771.95249999999999</v>
      </c>
      <c r="R2617" s="249">
        <f t="shared" si="651"/>
        <v>790.55012624999995</v>
      </c>
      <c r="S2617" s="355">
        <v>0.1</v>
      </c>
      <c r="T2617" s="355"/>
      <c r="U2617" s="315">
        <f t="shared" si="652"/>
        <v>869.60513887499997</v>
      </c>
      <c r="V2617" s="315">
        <f t="shared" si="653"/>
        <v>870</v>
      </c>
      <c r="W2617" s="316">
        <f t="shared" si="655"/>
        <v>0</v>
      </c>
    </row>
    <row r="2618" spans="1:23" x14ac:dyDescent="0.25">
      <c r="A2618" s="204" t="s">
        <v>18292</v>
      </c>
      <c r="B2618" s="351" t="s">
        <v>22300</v>
      </c>
      <c r="C2618" s="352"/>
      <c r="D2618" s="353" t="s">
        <v>5</v>
      </c>
      <c r="E2618" s="249">
        <f t="shared" si="643"/>
        <v>0</v>
      </c>
      <c r="F2618" s="336">
        <v>0</v>
      </c>
      <c r="G2618" s="258">
        <f t="shared" si="644"/>
        <v>0</v>
      </c>
      <c r="H2618" s="249">
        <f t="shared" si="645"/>
        <v>6.3766742246593372E-2</v>
      </c>
      <c r="I2618" s="336">
        <v>1.387391063569326E-2</v>
      </c>
      <c r="J2618" s="258">
        <f t="shared" si="646"/>
        <v>1.387391063569326E-2</v>
      </c>
      <c r="K2618" s="249">
        <f t="shared" si="647"/>
        <v>4.4223069300198725</v>
      </c>
      <c r="L2618" s="336">
        <v>0.96217383841622361</v>
      </c>
      <c r="M2618" s="258">
        <f t="shared" si="648"/>
        <v>0.96217383841622361</v>
      </c>
      <c r="N2618" s="251">
        <f t="shared" si="649"/>
        <v>0.1100288885823572</v>
      </c>
      <c r="O2618" s="336">
        <v>2.3939296783156996E-2</v>
      </c>
      <c r="P2618" s="258">
        <f t="shared" si="650"/>
        <v>2.3939296783156996E-2</v>
      </c>
      <c r="Q2618" s="354">
        <v>4.488095930232558</v>
      </c>
      <c r="R2618" s="249">
        <f t="shared" si="651"/>
        <v>4.5961621002906972</v>
      </c>
      <c r="S2618" s="355">
        <v>0.1</v>
      </c>
      <c r="T2618" s="355"/>
      <c r="U2618" s="315">
        <f t="shared" si="652"/>
        <v>5.0557783103197664</v>
      </c>
      <c r="V2618" s="315">
        <f t="shared" si="653"/>
        <v>6</v>
      </c>
      <c r="W2618" s="316">
        <f t="shared" si="655"/>
        <v>0</v>
      </c>
    </row>
    <row r="2619" spans="1:23" x14ac:dyDescent="0.25">
      <c r="A2619" s="204" t="s">
        <v>18293</v>
      </c>
      <c r="B2619" s="351" t="s">
        <v>22301</v>
      </c>
      <c r="C2619" s="352"/>
      <c r="D2619" s="353" t="s">
        <v>14859</v>
      </c>
      <c r="E2619" s="249">
        <f t="shared" si="643"/>
        <v>0</v>
      </c>
      <c r="F2619" s="336">
        <v>0</v>
      </c>
      <c r="G2619" s="258">
        <f t="shared" si="644"/>
        <v>0</v>
      </c>
      <c r="H2619" s="249">
        <f t="shared" si="645"/>
        <v>10.968151340413014</v>
      </c>
      <c r="I2619" s="336">
        <v>1.3462959890184483E-2</v>
      </c>
      <c r="J2619" s="258">
        <f t="shared" si="646"/>
        <v>1.3462959890184483E-2</v>
      </c>
      <c r="K2619" s="249">
        <f t="shared" si="647"/>
        <v>784.79734305259979</v>
      </c>
      <c r="L2619" s="336">
        <v>0.96330683480910495</v>
      </c>
      <c r="M2619" s="258">
        <f t="shared" si="648"/>
        <v>0.96330683480910495</v>
      </c>
      <c r="N2619" s="251">
        <f t="shared" si="649"/>
        <v>18.925437606987163</v>
      </c>
      <c r="O2619" s="336">
        <v>2.3230205300710481E-2</v>
      </c>
      <c r="P2619" s="258">
        <f t="shared" si="650"/>
        <v>2.3230205300710481E-2</v>
      </c>
      <c r="Q2619" s="354">
        <v>795.51600000000008</v>
      </c>
      <c r="R2619" s="249">
        <f t="shared" si="651"/>
        <v>814.69093199999998</v>
      </c>
      <c r="S2619" s="355">
        <v>0.1</v>
      </c>
      <c r="T2619" s="355"/>
      <c r="U2619" s="315">
        <f t="shared" si="652"/>
        <v>896.16002519999995</v>
      </c>
      <c r="V2619" s="315">
        <f t="shared" si="653"/>
        <v>900</v>
      </c>
      <c r="W2619" s="316">
        <f t="shared" si="655"/>
        <v>0</v>
      </c>
    </row>
    <row r="2620" spans="1:23" x14ac:dyDescent="0.25">
      <c r="A2620" s="204" t="s">
        <v>18294</v>
      </c>
      <c r="B2620" s="351" t="s">
        <v>22302</v>
      </c>
      <c r="C2620" s="352"/>
      <c r="D2620" s="353" t="s">
        <v>5</v>
      </c>
      <c r="E2620" s="249">
        <f t="shared" si="643"/>
        <v>0</v>
      </c>
      <c r="F2620" s="336">
        <v>0</v>
      </c>
      <c r="G2620" s="258">
        <f t="shared" si="644"/>
        <v>0</v>
      </c>
      <c r="H2620" s="249">
        <f t="shared" si="645"/>
        <v>6.3767519839470571E-2</v>
      </c>
      <c r="I2620" s="336">
        <v>1.3462959890184483E-2</v>
      </c>
      <c r="J2620" s="258">
        <f t="shared" si="646"/>
        <v>1.3462959890184483E-2</v>
      </c>
      <c r="K2620" s="249">
        <f t="shared" si="647"/>
        <v>4.562658331774391</v>
      </c>
      <c r="L2620" s="336">
        <v>0.96329426435169108</v>
      </c>
      <c r="M2620" s="258">
        <f t="shared" si="648"/>
        <v>0.96329426435169108</v>
      </c>
      <c r="N2620" s="251">
        <f t="shared" si="649"/>
        <v>0.11003023031124333</v>
      </c>
      <c r="O2620" s="336">
        <v>2.3230205300710478E-2</v>
      </c>
      <c r="P2620" s="258">
        <f t="shared" si="650"/>
        <v>2.3230205300710478E-2</v>
      </c>
      <c r="Q2620" s="354">
        <v>4.6250930232558147</v>
      </c>
      <c r="R2620" s="249">
        <f t="shared" si="651"/>
        <v>4.7365156220930231</v>
      </c>
      <c r="S2620" s="355">
        <v>0.1</v>
      </c>
      <c r="T2620" s="355"/>
      <c r="U2620" s="315">
        <f t="shared" si="652"/>
        <v>5.2101671843023256</v>
      </c>
      <c r="V2620" s="315">
        <f t="shared" si="653"/>
        <v>6</v>
      </c>
      <c r="W2620" s="316">
        <f t="shared" si="655"/>
        <v>0</v>
      </c>
    </row>
    <row r="2621" spans="1:23" x14ac:dyDescent="0.25">
      <c r="A2621" s="204" t="s">
        <v>18295</v>
      </c>
      <c r="B2621" s="351" t="s">
        <v>22303</v>
      </c>
      <c r="C2621" s="352"/>
      <c r="D2621" s="353" t="s">
        <v>14859</v>
      </c>
      <c r="E2621" s="249">
        <f t="shared" si="643"/>
        <v>0</v>
      </c>
      <c r="F2621" s="336">
        <v>0</v>
      </c>
      <c r="G2621" s="258">
        <f t="shared" si="644"/>
        <v>0</v>
      </c>
      <c r="H2621" s="249">
        <f t="shared" si="645"/>
        <v>10.968210617534027</v>
      </c>
      <c r="I2621" s="336">
        <v>1.327490392427727E-2</v>
      </c>
      <c r="J2621" s="258">
        <f t="shared" si="646"/>
        <v>1.327490392427727E-2</v>
      </c>
      <c r="K2621" s="249">
        <f t="shared" si="647"/>
        <v>796.34278424338754</v>
      </c>
      <c r="L2621" s="336">
        <v>0.96381937950049912</v>
      </c>
      <c r="M2621" s="258">
        <f t="shared" si="648"/>
        <v>0.96381937950049912</v>
      </c>
      <c r="N2621" s="251">
        <f t="shared" si="649"/>
        <v>18.925539889078319</v>
      </c>
      <c r="O2621" s="336">
        <v>2.2905716575223525E-2</v>
      </c>
      <c r="P2621" s="258">
        <f t="shared" si="650"/>
        <v>2.2905716575223525E-2</v>
      </c>
      <c r="Q2621" s="354">
        <v>806.78550000000007</v>
      </c>
      <c r="R2621" s="249">
        <f t="shared" si="651"/>
        <v>826.23653474999992</v>
      </c>
      <c r="S2621" s="355">
        <v>0.1</v>
      </c>
      <c r="T2621" s="355"/>
      <c r="U2621" s="315">
        <f t="shared" si="652"/>
        <v>908.86018822499989</v>
      </c>
      <c r="V2621" s="315">
        <f t="shared" si="653"/>
        <v>910</v>
      </c>
      <c r="W2621" s="316">
        <f t="shared" si="655"/>
        <v>0</v>
      </c>
    </row>
    <row r="2622" spans="1:23" x14ac:dyDescent="0.25">
      <c r="A2622" s="204" t="s">
        <v>18296</v>
      </c>
      <c r="B2622" s="351" t="s">
        <v>22304</v>
      </c>
      <c r="C2622" s="352"/>
      <c r="D2622" s="353" t="s">
        <v>5</v>
      </c>
      <c r="E2622" s="249">
        <f t="shared" si="643"/>
        <v>0</v>
      </c>
      <c r="F2622" s="336">
        <v>0</v>
      </c>
      <c r="G2622" s="258">
        <f t="shared" si="644"/>
        <v>0</v>
      </c>
      <c r="H2622" s="249">
        <f t="shared" si="645"/>
        <v>6.3767875675251884E-2</v>
      </c>
      <c r="I2622" s="336">
        <v>1.327490392427727E-2</v>
      </c>
      <c r="J2622" s="258">
        <f t="shared" si="646"/>
        <v>1.327490392427727E-2</v>
      </c>
      <c r="K2622" s="249">
        <f t="shared" si="647"/>
        <v>4.6297829589989332</v>
      </c>
      <c r="L2622" s="336">
        <v>0.96380698463222247</v>
      </c>
      <c r="M2622" s="258">
        <f t="shared" si="648"/>
        <v>0.96380698463222247</v>
      </c>
      <c r="N2622" s="251">
        <f t="shared" si="649"/>
        <v>0.1100308443023954</v>
      </c>
      <c r="O2622" s="336">
        <v>2.2905716575223525E-2</v>
      </c>
      <c r="P2622" s="258">
        <f t="shared" si="650"/>
        <v>2.2905716575223525E-2</v>
      </c>
      <c r="Q2622" s="354">
        <v>4.6906133720930239</v>
      </c>
      <c r="R2622" s="249">
        <f t="shared" si="651"/>
        <v>4.8036412194767442</v>
      </c>
      <c r="S2622" s="355">
        <v>0.1</v>
      </c>
      <c r="T2622" s="355"/>
      <c r="U2622" s="315">
        <f t="shared" si="652"/>
        <v>5.2840053414244181</v>
      </c>
      <c r="V2622" s="315">
        <f t="shared" si="653"/>
        <v>6</v>
      </c>
      <c r="W2622" s="316">
        <f t="shared" si="655"/>
        <v>0</v>
      </c>
    </row>
    <row r="2623" spans="1:23" x14ac:dyDescent="0.25">
      <c r="A2623" s="204" t="s">
        <v>18297</v>
      </c>
      <c r="B2623" s="351" t="s">
        <v>22305</v>
      </c>
      <c r="C2623" s="352"/>
      <c r="D2623" s="353" t="s">
        <v>14859</v>
      </c>
      <c r="E2623" s="249">
        <f t="shared" si="643"/>
        <v>0</v>
      </c>
      <c r="F2623" s="336">
        <v>0</v>
      </c>
      <c r="G2623" s="258">
        <f t="shared" si="644"/>
        <v>0</v>
      </c>
      <c r="H2623" s="249">
        <f t="shared" si="645"/>
        <v>10.969296558582808</v>
      </c>
      <c r="I2623" s="336">
        <v>9.8297687801587354E-3</v>
      </c>
      <c r="J2623" s="258">
        <f t="shared" si="646"/>
        <v>9.8297687801587354E-3</v>
      </c>
      <c r="K2623" s="249">
        <f t="shared" si="647"/>
        <v>1086.0294935217059</v>
      </c>
      <c r="L2623" s="336">
        <v>0.97320906155995945</v>
      </c>
      <c r="M2623" s="258">
        <f t="shared" si="648"/>
        <v>0.97320906155995945</v>
      </c>
      <c r="N2623" s="251">
        <f t="shared" si="649"/>
        <v>18.927413669711509</v>
      </c>
      <c r="O2623" s="336">
        <v>1.6961169659881738E-2</v>
      </c>
      <c r="P2623" s="258">
        <f t="shared" si="650"/>
        <v>1.6961169659881738E-2</v>
      </c>
      <c r="Q2623" s="354">
        <v>1089.5475000000001</v>
      </c>
      <c r="R2623" s="249">
        <f t="shared" si="651"/>
        <v>1115.9262037500002</v>
      </c>
      <c r="S2623" s="355">
        <v>0.1</v>
      </c>
      <c r="T2623" s="355"/>
      <c r="U2623" s="315">
        <f t="shared" si="652"/>
        <v>1227.5188241250003</v>
      </c>
      <c r="V2623" s="315">
        <f t="shared" si="653"/>
        <v>1250</v>
      </c>
      <c r="W2623" s="316">
        <f t="shared" si="655"/>
        <v>0</v>
      </c>
    </row>
    <row r="2624" spans="1:23" x14ac:dyDescent="0.25">
      <c r="A2624" s="204" t="s">
        <v>18298</v>
      </c>
      <c r="B2624" s="351" t="s">
        <v>22306</v>
      </c>
      <c r="C2624" s="352"/>
      <c r="D2624" s="353" t="s">
        <v>5</v>
      </c>
      <c r="E2624" s="249">
        <f t="shared" si="643"/>
        <v>0</v>
      </c>
      <c r="F2624" s="336">
        <v>0</v>
      </c>
      <c r="G2624" s="258">
        <f t="shared" si="644"/>
        <v>0</v>
      </c>
      <c r="H2624" s="249">
        <f t="shared" si="645"/>
        <v>6.3774394491870084E-2</v>
      </c>
      <c r="I2624" s="336">
        <v>9.8297687801587354E-3</v>
      </c>
      <c r="J2624" s="258">
        <f t="shared" si="646"/>
        <v>9.8297687801587354E-3</v>
      </c>
      <c r="K2624" s="249">
        <f t="shared" si="647"/>
        <v>6.3140074475693941</v>
      </c>
      <c r="L2624" s="336">
        <v>0.97319988343784924</v>
      </c>
      <c r="M2624" s="258">
        <f t="shared" si="648"/>
        <v>0.97319988343784924</v>
      </c>
      <c r="N2624" s="251">
        <f t="shared" si="649"/>
        <v>0.11004209245656012</v>
      </c>
      <c r="O2624" s="336">
        <v>1.6961169659881738E-2</v>
      </c>
      <c r="P2624" s="258">
        <f t="shared" si="650"/>
        <v>1.6961169659881738E-2</v>
      </c>
      <c r="Q2624" s="354">
        <v>6.3345784883720935</v>
      </c>
      <c r="R2624" s="249">
        <f t="shared" si="651"/>
        <v>6.4878834811046513</v>
      </c>
      <c r="S2624" s="355">
        <v>0.1</v>
      </c>
      <c r="T2624" s="355"/>
      <c r="U2624" s="315">
        <f t="shared" si="652"/>
        <v>7.1366718292151168</v>
      </c>
      <c r="V2624" s="315">
        <f t="shared" si="653"/>
        <v>8</v>
      </c>
      <c r="W2624" s="316">
        <f t="shared" si="655"/>
        <v>0</v>
      </c>
    </row>
    <row r="2625" spans="1:23" x14ac:dyDescent="0.25">
      <c r="A2625" s="204" t="s">
        <v>18299</v>
      </c>
      <c r="B2625" s="351" t="s">
        <v>22307</v>
      </c>
      <c r="C2625" s="352"/>
      <c r="D2625" s="353" t="s">
        <v>14859</v>
      </c>
      <c r="E2625" s="249">
        <f t="shared" si="643"/>
        <v>0</v>
      </c>
      <c r="F2625" s="336">
        <v>0</v>
      </c>
      <c r="G2625" s="258">
        <f t="shared" si="644"/>
        <v>0</v>
      </c>
      <c r="H2625" s="249">
        <f t="shared" si="645"/>
        <v>10.856742410071943</v>
      </c>
      <c r="I2625" s="336">
        <v>0.36690647482014388</v>
      </c>
      <c r="J2625" s="258">
        <f t="shared" si="646"/>
        <v>0.36690647482014388</v>
      </c>
      <c r="K2625" s="249">
        <f t="shared" si="647"/>
        <v>0</v>
      </c>
      <c r="L2625" s="336">
        <v>0</v>
      </c>
      <c r="M2625" s="258">
        <f t="shared" si="648"/>
        <v>0</v>
      </c>
      <c r="N2625" s="251">
        <f t="shared" si="649"/>
        <v>18.733202589928059</v>
      </c>
      <c r="O2625" s="336">
        <v>0.63309352517985606</v>
      </c>
      <c r="P2625" s="258">
        <f t="shared" si="650"/>
        <v>0.63309352517985606</v>
      </c>
      <c r="Q2625" s="354">
        <v>29.19</v>
      </c>
      <c r="R2625" s="249">
        <f t="shared" si="651"/>
        <v>29.589945000000004</v>
      </c>
      <c r="S2625" s="355">
        <v>0.1</v>
      </c>
      <c r="T2625" s="355"/>
      <c r="U2625" s="315">
        <f t="shared" si="652"/>
        <v>32.548939500000003</v>
      </c>
      <c r="V2625" s="315">
        <f t="shared" si="653"/>
        <v>33</v>
      </c>
      <c r="W2625" s="316">
        <f t="shared" si="655"/>
        <v>0</v>
      </c>
    </row>
    <row r="2626" spans="1:23" x14ac:dyDescent="0.25">
      <c r="A2626" s="204" t="s">
        <v>18300</v>
      </c>
      <c r="B2626" s="351" t="s">
        <v>22308</v>
      </c>
      <c r="C2626" s="352"/>
      <c r="D2626" s="353" t="s">
        <v>5</v>
      </c>
      <c r="E2626" s="249">
        <f t="shared" ref="E2626:E2689" si="656">R2626*G2626</f>
        <v>0</v>
      </c>
      <c r="F2626" s="336">
        <v>0</v>
      </c>
      <c r="G2626" s="258">
        <f t="shared" ref="G2626:G2689" si="657">F2626</f>
        <v>0</v>
      </c>
      <c r="H2626" s="249">
        <f t="shared" ref="H2626:H2689" si="658">R2626*J2626</f>
        <v>6.3098741007194273E-2</v>
      </c>
      <c r="I2626" s="336">
        <v>0.36690647482014394</v>
      </c>
      <c r="J2626" s="258">
        <f t="shared" ref="J2626:J2689" si="659">I2626</f>
        <v>0.36690647482014394</v>
      </c>
      <c r="K2626" s="249">
        <f t="shared" ref="K2626:K2689" si="660">R2626*M2626</f>
        <v>-5.8915724563205334E-5</v>
      </c>
      <c r="L2626" s="336">
        <v>-3.4258307639601873E-4</v>
      </c>
      <c r="M2626" s="258">
        <f t="shared" ref="M2626:M2689" si="661">L2626</f>
        <v>-3.4258307639601873E-4</v>
      </c>
      <c r="N2626" s="251">
        <f t="shared" ref="N2626:N2689" si="662">P2626*R2626</f>
        <v>0.10887625899280577</v>
      </c>
      <c r="O2626" s="336">
        <v>0.63309352517985606</v>
      </c>
      <c r="P2626" s="258">
        <f t="shared" ref="P2626:P2689" si="663">O2626</f>
        <v>0.63309352517985606</v>
      </c>
      <c r="Q2626" s="354">
        <v>0.1697093023255814</v>
      </c>
      <c r="R2626" s="249">
        <f t="shared" ref="R2626:R2689" si="664">SUM(F2626*Q2626*1.0235,I2626*Q2626*1.0175,L2626*Q2626*1.0245,O2626*Q2626*1.0115)</f>
        <v>0.17197500000000004</v>
      </c>
      <c r="S2626" s="355">
        <v>0.1</v>
      </c>
      <c r="T2626" s="355"/>
      <c r="U2626" s="315">
        <f t="shared" si="652"/>
        <v>0.18917250000000005</v>
      </c>
      <c r="V2626" s="315">
        <f t="shared" si="653"/>
        <v>1</v>
      </c>
      <c r="W2626" s="316">
        <f t="shared" si="655"/>
        <v>0</v>
      </c>
    </row>
    <row r="2627" spans="1:23" x14ac:dyDescent="0.25">
      <c r="A2627" s="204" t="s">
        <v>18301</v>
      </c>
      <c r="B2627" s="351" t="s">
        <v>22309</v>
      </c>
      <c r="C2627" s="352"/>
      <c r="D2627" s="353" t="s">
        <v>14859</v>
      </c>
      <c r="E2627" s="249">
        <f t="shared" si="656"/>
        <v>0</v>
      </c>
      <c r="F2627" s="336">
        <v>0</v>
      </c>
      <c r="G2627" s="258">
        <f t="shared" si="657"/>
        <v>0</v>
      </c>
      <c r="H2627" s="249">
        <f t="shared" si="658"/>
        <v>10.968021804628524</v>
      </c>
      <c r="I2627" s="336">
        <v>1.387391063569326E-2</v>
      </c>
      <c r="J2627" s="258">
        <f t="shared" si="659"/>
        <v>1.387391063569326E-2</v>
      </c>
      <c r="K2627" s="249">
        <f t="shared" si="660"/>
        <v>760.65689035111041</v>
      </c>
      <c r="L2627" s="336">
        <v>0.9621867925811497</v>
      </c>
      <c r="M2627" s="258">
        <f t="shared" si="661"/>
        <v>0.9621867925811497</v>
      </c>
      <c r="N2627" s="251">
        <f t="shared" si="662"/>
        <v>18.92521409426098</v>
      </c>
      <c r="O2627" s="336">
        <v>2.3939296783156996E-2</v>
      </c>
      <c r="P2627" s="258">
        <f t="shared" si="663"/>
        <v>2.3939296783156996E-2</v>
      </c>
      <c r="Q2627" s="354">
        <v>771.95249999999999</v>
      </c>
      <c r="R2627" s="249">
        <f t="shared" si="664"/>
        <v>790.55012624999995</v>
      </c>
      <c r="S2627" s="355">
        <v>0.1</v>
      </c>
      <c r="T2627" s="355"/>
      <c r="U2627" s="315">
        <f t="shared" si="652"/>
        <v>869.60513887499997</v>
      </c>
      <c r="V2627" s="315">
        <f t="shared" si="653"/>
        <v>870</v>
      </c>
      <c r="W2627" s="316">
        <f t="shared" si="655"/>
        <v>0</v>
      </c>
    </row>
    <row r="2628" spans="1:23" x14ac:dyDescent="0.25">
      <c r="A2628" s="204" t="s">
        <v>18302</v>
      </c>
      <c r="B2628" s="351" t="s">
        <v>22310</v>
      </c>
      <c r="C2628" s="352"/>
      <c r="D2628" s="353" t="s">
        <v>5</v>
      </c>
      <c r="E2628" s="249">
        <f t="shared" si="656"/>
        <v>0</v>
      </c>
      <c r="F2628" s="336">
        <v>0</v>
      </c>
      <c r="G2628" s="258">
        <f t="shared" si="657"/>
        <v>0</v>
      </c>
      <c r="H2628" s="249">
        <f t="shared" si="658"/>
        <v>6.3766742246593372E-2</v>
      </c>
      <c r="I2628" s="336">
        <v>1.387391063569326E-2</v>
      </c>
      <c r="J2628" s="258">
        <f t="shared" si="659"/>
        <v>1.387391063569326E-2</v>
      </c>
      <c r="K2628" s="249">
        <f t="shared" si="660"/>
        <v>4.4223069300198725</v>
      </c>
      <c r="L2628" s="336">
        <v>0.96217383841622361</v>
      </c>
      <c r="M2628" s="258">
        <f t="shared" si="661"/>
        <v>0.96217383841622361</v>
      </c>
      <c r="N2628" s="251">
        <f t="shared" si="662"/>
        <v>0.1100288885823572</v>
      </c>
      <c r="O2628" s="336">
        <v>2.3939296783156996E-2</v>
      </c>
      <c r="P2628" s="258">
        <f t="shared" si="663"/>
        <v>2.3939296783156996E-2</v>
      </c>
      <c r="Q2628" s="354">
        <v>4.488095930232558</v>
      </c>
      <c r="R2628" s="249">
        <f t="shared" si="664"/>
        <v>4.5961621002906972</v>
      </c>
      <c r="S2628" s="355">
        <v>0.1</v>
      </c>
      <c r="T2628" s="355"/>
      <c r="U2628" s="315">
        <f t="shared" si="652"/>
        <v>5.0557783103197664</v>
      </c>
      <c r="V2628" s="315">
        <f t="shared" si="653"/>
        <v>6</v>
      </c>
      <c r="W2628" s="316">
        <f t="shared" si="655"/>
        <v>0</v>
      </c>
    </row>
    <row r="2629" spans="1:23" x14ac:dyDescent="0.25">
      <c r="A2629" s="204" t="s">
        <v>18303</v>
      </c>
      <c r="B2629" s="351" t="s">
        <v>22311</v>
      </c>
      <c r="C2629" s="352"/>
      <c r="D2629" s="353" t="s">
        <v>14859</v>
      </c>
      <c r="E2629" s="249">
        <f t="shared" si="656"/>
        <v>0</v>
      </c>
      <c r="F2629" s="336">
        <v>0</v>
      </c>
      <c r="G2629" s="258">
        <f t="shared" si="657"/>
        <v>0</v>
      </c>
      <c r="H2629" s="249">
        <f t="shared" si="658"/>
        <v>10.968021804628524</v>
      </c>
      <c r="I2629" s="336">
        <v>1.387391063569326E-2</v>
      </c>
      <c r="J2629" s="258">
        <f t="shared" si="659"/>
        <v>1.387391063569326E-2</v>
      </c>
      <c r="K2629" s="249">
        <f t="shared" si="660"/>
        <v>760.65689035111041</v>
      </c>
      <c r="L2629" s="336">
        <v>0.9621867925811497</v>
      </c>
      <c r="M2629" s="258">
        <f t="shared" si="661"/>
        <v>0.9621867925811497</v>
      </c>
      <c r="N2629" s="251">
        <f t="shared" si="662"/>
        <v>18.92521409426098</v>
      </c>
      <c r="O2629" s="336">
        <v>2.3939296783156996E-2</v>
      </c>
      <c r="P2629" s="258">
        <f t="shared" si="663"/>
        <v>2.3939296783156996E-2</v>
      </c>
      <c r="Q2629" s="354">
        <v>771.95249999999999</v>
      </c>
      <c r="R2629" s="249">
        <f t="shared" si="664"/>
        <v>790.55012624999995</v>
      </c>
      <c r="S2629" s="355">
        <v>0.1</v>
      </c>
      <c r="T2629" s="355"/>
      <c r="U2629" s="315">
        <f t="shared" si="652"/>
        <v>869.60513887499997</v>
      </c>
      <c r="V2629" s="315">
        <f t="shared" si="653"/>
        <v>870</v>
      </c>
      <c r="W2629" s="316">
        <f t="shared" si="655"/>
        <v>0</v>
      </c>
    </row>
    <row r="2630" spans="1:23" x14ac:dyDescent="0.25">
      <c r="A2630" s="204" t="s">
        <v>18304</v>
      </c>
      <c r="B2630" s="351" t="s">
        <v>22312</v>
      </c>
      <c r="C2630" s="352"/>
      <c r="D2630" s="353" t="s">
        <v>5</v>
      </c>
      <c r="E2630" s="249">
        <f t="shared" si="656"/>
        <v>0</v>
      </c>
      <c r="F2630" s="336">
        <v>0</v>
      </c>
      <c r="G2630" s="258">
        <f t="shared" si="657"/>
        <v>0</v>
      </c>
      <c r="H2630" s="249">
        <f t="shared" si="658"/>
        <v>6.3766742246593372E-2</v>
      </c>
      <c r="I2630" s="336">
        <v>1.387391063569326E-2</v>
      </c>
      <c r="J2630" s="258">
        <f t="shared" si="659"/>
        <v>1.387391063569326E-2</v>
      </c>
      <c r="K2630" s="249">
        <f t="shared" si="660"/>
        <v>4.4223069300198725</v>
      </c>
      <c r="L2630" s="336">
        <v>0.96217383841622361</v>
      </c>
      <c r="M2630" s="258">
        <f t="shared" si="661"/>
        <v>0.96217383841622361</v>
      </c>
      <c r="N2630" s="251">
        <f t="shared" si="662"/>
        <v>0.1100288885823572</v>
      </c>
      <c r="O2630" s="336">
        <v>2.3939296783156996E-2</v>
      </c>
      <c r="P2630" s="258">
        <f t="shared" si="663"/>
        <v>2.3939296783156996E-2</v>
      </c>
      <c r="Q2630" s="354">
        <v>4.488095930232558</v>
      </c>
      <c r="R2630" s="249">
        <f t="shared" si="664"/>
        <v>4.5961621002906972</v>
      </c>
      <c r="S2630" s="355">
        <v>0.1</v>
      </c>
      <c r="T2630" s="355"/>
      <c r="U2630" s="315">
        <f t="shared" si="652"/>
        <v>5.0557783103197664</v>
      </c>
      <c r="V2630" s="315">
        <f t="shared" si="653"/>
        <v>6</v>
      </c>
      <c r="W2630" s="316">
        <f t="shared" si="655"/>
        <v>0</v>
      </c>
    </row>
    <row r="2631" spans="1:23" x14ac:dyDescent="0.25">
      <c r="A2631" s="204" t="s">
        <v>18305</v>
      </c>
      <c r="B2631" s="351" t="s">
        <v>22313</v>
      </c>
      <c r="C2631" s="352"/>
      <c r="D2631" s="353" t="s">
        <v>14859</v>
      </c>
      <c r="E2631" s="249">
        <f t="shared" si="656"/>
        <v>0</v>
      </c>
      <c r="F2631" s="336">
        <v>0</v>
      </c>
      <c r="G2631" s="258">
        <f t="shared" si="657"/>
        <v>0</v>
      </c>
      <c r="H2631" s="249">
        <f t="shared" si="658"/>
        <v>10.968162242669877</v>
      </c>
      <c r="I2631" s="336">
        <v>1.3428372609129036E-2</v>
      </c>
      <c r="J2631" s="258">
        <f t="shared" si="659"/>
        <v>1.3428372609129036E-2</v>
      </c>
      <c r="K2631" s="249">
        <f t="shared" si="660"/>
        <v>786.89651383860553</v>
      </c>
      <c r="L2631" s="336">
        <v>0.96340110210453056</v>
      </c>
      <c r="M2631" s="258">
        <f t="shared" si="661"/>
        <v>0.96340110210453056</v>
      </c>
      <c r="N2631" s="251">
        <f t="shared" si="662"/>
        <v>18.92545641872449</v>
      </c>
      <c r="O2631" s="336">
        <v>2.3170525286340296E-2</v>
      </c>
      <c r="P2631" s="258">
        <f t="shared" si="663"/>
        <v>2.3170525286340296E-2</v>
      </c>
      <c r="Q2631" s="354">
        <v>797.56500000000005</v>
      </c>
      <c r="R2631" s="249">
        <f t="shared" si="664"/>
        <v>816.79013250000003</v>
      </c>
      <c r="S2631" s="355">
        <v>0.1</v>
      </c>
      <c r="T2631" s="355"/>
      <c r="U2631" s="315">
        <f t="shared" si="652"/>
        <v>898.46914575000005</v>
      </c>
      <c r="V2631" s="315">
        <f t="shared" si="653"/>
        <v>900</v>
      </c>
      <c r="W2631" s="316">
        <f t="shared" si="655"/>
        <v>0</v>
      </c>
    </row>
    <row r="2632" spans="1:23" x14ac:dyDescent="0.25">
      <c r="A2632" s="204" t="s">
        <v>18306</v>
      </c>
      <c r="B2632" s="351" t="s">
        <v>22314</v>
      </c>
      <c r="C2632" s="352"/>
      <c r="D2632" s="353" t="s">
        <v>5</v>
      </c>
      <c r="E2632" s="249">
        <f t="shared" si="656"/>
        <v>0</v>
      </c>
      <c r="F2632" s="336">
        <v>0</v>
      </c>
      <c r="G2632" s="258">
        <f t="shared" si="657"/>
        <v>0</v>
      </c>
      <c r="H2632" s="249">
        <f t="shared" si="658"/>
        <v>6.3767585284840084E-2</v>
      </c>
      <c r="I2632" s="336">
        <v>1.3428372609129036E-2</v>
      </c>
      <c r="J2632" s="258">
        <f t="shared" si="659"/>
        <v>1.3428372609129036E-2</v>
      </c>
      <c r="K2632" s="249">
        <f t="shared" si="660"/>
        <v>4.5748628074123383</v>
      </c>
      <c r="L2632" s="336">
        <v>0.96338856394149675</v>
      </c>
      <c r="M2632" s="258">
        <f t="shared" si="661"/>
        <v>0.96338856394149675</v>
      </c>
      <c r="N2632" s="251">
        <f t="shared" si="662"/>
        <v>0.11003034323658679</v>
      </c>
      <c r="O2632" s="336">
        <v>2.3170525286340296E-2</v>
      </c>
      <c r="P2632" s="258">
        <f t="shared" si="663"/>
        <v>2.3170525286340296E-2</v>
      </c>
      <c r="Q2632" s="354">
        <v>4.6370058139534889</v>
      </c>
      <c r="R2632" s="249">
        <f t="shared" si="664"/>
        <v>4.74872027616279</v>
      </c>
      <c r="S2632" s="355">
        <v>0.1</v>
      </c>
      <c r="T2632" s="355"/>
      <c r="U2632" s="315">
        <f t="shared" si="652"/>
        <v>5.2235923037790695</v>
      </c>
      <c r="V2632" s="315">
        <f t="shared" si="653"/>
        <v>6</v>
      </c>
      <c r="W2632" s="316">
        <f t="shared" si="655"/>
        <v>0</v>
      </c>
    </row>
    <row r="2633" spans="1:23" x14ac:dyDescent="0.25">
      <c r="A2633" s="204" t="s">
        <v>18307</v>
      </c>
      <c r="B2633" s="351" t="s">
        <v>22315</v>
      </c>
      <c r="C2633" s="352"/>
      <c r="D2633" s="353" t="s">
        <v>14859</v>
      </c>
      <c r="E2633" s="249">
        <f t="shared" si="656"/>
        <v>0</v>
      </c>
      <c r="F2633" s="336">
        <v>0</v>
      </c>
      <c r="G2633" s="258">
        <f t="shared" si="657"/>
        <v>0</v>
      </c>
      <c r="H2633" s="249">
        <f t="shared" si="658"/>
        <v>10.970686324212702</v>
      </c>
      <c r="I2633" s="336">
        <v>5.4207537429013944E-3</v>
      </c>
      <c r="J2633" s="258">
        <f t="shared" si="659"/>
        <v>5.4207537429013944E-3</v>
      </c>
      <c r="K2633" s="249">
        <f t="shared" si="660"/>
        <v>1993.9299219791064</v>
      </c>
      <c r="L2633" s="336">
        <v>0.98522578881836675</v>
      </c>
      <c r="M2633" s="258">
        <f t="shared" si="661"/>
        <v>0.98522578881836675</v>
      </c>
      <c r="N2633" s="251">
        <f t="shared" si="662"/>
        <v>18.929811696680737</v>
      </c>
      <c r="O2633" s="336">
        <v>9.3534574387318173E-3</v>
      </c>
      <c r="P2633" s="258">
        <f t="shared" si="663"/>
        <v>9.3534574387318173E-3</v>
      </c>
      <c r="Q2633" s="354">
        <v>1975.74</v>
      </c>
      <c r="R2633" s="249">
        <f t="shared" si="664"/>
        <v>2023.83042</v>
      </c>
      <c r="S2633" s="355">
        <v>0.1</v>
      </c>
      <c r="T2633" s="355"/>
      <c r="U2633" s="315">
        <f t="shared" si="652"/>
        <v>2226.2134620000002</v>
      </c>
      <c r="V2633" s="315">
        <f t="shared" si="653"/>
        <v>2250</v>
      </c>
      <c r="W2633" s="316">
        <f t="shared" si="655"/>
        <v>0</v>
      </c>
    </row>
    <row r="2634" spans="1:23" x14ac:dyDescent="0.25">
      <c r="A2634" s="204" t="s">
        <v>18308</v>
      </c>
      <c r="B2634" s="351" t="s">
        <v>22316</v>
      </c>
      <c r="C2634" s="352"/>
      <c r="D2634" s="353" t="s">
        <v>5</v>
      </c>
      <c r="E2634" s="249">
        <f t="shared" si="656"/>
        <v>0</v>
      </c>
      <c r="F2634" s="336">
        <v>0</v>
      </c>
      <c r="G2634" s="258">
        <f t="shared" si="657"/>
        <v>0</v>
      </c>
      <c r="H2634" s="249">
        <f t="shared" si="658"/>
        <v>6.3782737142968629E-2</v>
      </c>
      <c r="I2634" s="336">
        <v>5.4207537429013944E-3</v>
      </c>
      <c r="J2634" s="258">
        <f t="shared" si="659"/>
        <v>5.4207537429013944E-3</v>
      </c>
      <c r="K2634" s="249">
        <f t="shared" si="660"/>
        <v>11.592497587140443</v>
      </c>
      <c r="L2634" s="336">
        <v>0.98522072742364886</v>
      </c>
      <c r="M2634" s="258">
        <f t="shared" si="661"/>
        <v>0.98522072742364886</v>
      </c>
      <c r="N2634" s="251">
        <f t="shared" si="662"/>
        <v>0.11005648761923997</v>
      </c>
      <c r="O2634" s="336">
        <v>9.3534574387318156E-3</v>
      </c>
      <c r="P2634" s="258">
        <f t="shared" si="663"/>
        <v>9.3534574387318156E-3</v>
      </c>
      <c r="Q2634" s="354">
        <v>11.48686046511628</v>
      </c>
      <c r="R2634" s="249">
        <f t="shared" si="664"/>
        <v>11.76639636627907</v>
      </c>
      <c r="S2634" s="355">
        <v>0.1</v>
      </c>
      <c r="T2634" s="355"/>
      <c r="U2634" s="315">
        <f t="shared" si="652"/>
        <v>12.943036002906977</v>
      </c>
      <c r="V2634" s="315">
        <f t="shared" si="653"/>
        <v>13</v>
      </c>
      <c r="W2634" s="316">
        <f t="shared" si="655"/>
        <v>0</v>
      </c>
    </row>
    <row r="2635" spans="1:23" x14ac:dyDescent="0.25">
      <c r="A2635" s="204" t="s">
        <v>18309</v>
      </c>
      <c r="B2635" s="351" t="s">
        <v>22317</v>
      </c>
      <c r="C2635" s="352"/>
      <c r="D2635" s="353" t="s">
        <v>14859</v>
      </c>
      <c r="E2635" s="249">
        <f t="shared" si="656"/>
        <v>0</v>
      </c>
      <c r="F2635" s="336">
        <v>0</v>
      </c>
      <c r="G2635" s="258">
        <f t="shared" si="657"/>
        <v>0</v>
      </c>
      <c r="H2635" s="249">
        <f t="shared" si="658"/>
        <v>10.971760812773919</v>
      </c>
      <c r="I2635" s="336">
        <v>2.0119514802214465E-3</v>
      </c>
      <c r="J2635" s="258">
        <f t="shared" si="659"/>
        <v>2.0119514802214465E-3</v>
      </c>
      <c r="K2635" s="249">
        <f t="shared" si="660"/>
        <v>5423.3895184710664</v>
      </c>
      <c r="L2635" s="336">
        <v>0.99451644596567101</v>
      </c>
      <c r="M2635" s="258">
        <f t="shared" si="661"/>
        <v>0.99451644596567101</v>
      </c>
      <c r="N2635" s="251">
        <f t="shared" si="662"/>
        <v>18.931665716158921</v>
      </c>
      <c r="O2635" s="336">
        <v>3.4716025541075939E-3</v>
      </c>
      <c r="P2635" s="258">
        <f t="shared" si="663"/>
        <v>3.4716025541075939E-3</v>
      </c>
      <c r="Q2635" s="354">
        <v>5323.19</v>
      </c>
      <c r="R2635" s="249">
        <f t="shared" si="664"/>
        <v>5453.2929449999992</v>
      </c>
      <c r="S2635" s="355">
        <v>0.1</v>
      </c>
      <c r="T2635" s="355"/>
      <c r="U2635" s="315">
        <f t="shared" si="652"/>
        <v>5998.6222394999995</v>
      </c>
      <c r="V2635" s="315">
        <f t="shared" si="653"/>
        <v>6000</v>
      </c>
      <c r="W2635" s="316">
        <f t="shared" si="655"/>
        <v>0</v>
      </c>
    </row>
    <row r="2636" spans="1:23" x14ac:dyDescent="0.25">
      <c r="A2636" s="204" t="s">
        <v>18310</v>
      </c>
      <c r="B2636" s="351" t="s">
        <v>22318</v>
      </c>
      <c r="C2636" s="352"/>
      <c r="D2636" s="353" t="s">
        <v>5</v>
      </c>
      <c r="E2636" s="249">
        <f t="shared" si="656"/>
        <v>0</v>
      </c>
      <c r="F2636" s="336">
        <v>0</v>
      </c>
      <c r="G2636" s="258">
        <f t="shared" si="657"/>
        <v>0</v>
      </c>
      <c r="H2636" s="249">
        <f t="shared" si="658"/>
        <v>6.3789187211226769E-2</v>
      </c>
      <c r="I2636" s="336">
        <v>2.0119514802214465E-3</v>
      </c>
      <c r="J2636" s="258">
        <f t="shared" si="659"/>
        <v>2.0119514802214465E-3</v>
      </c>
      <c r="K2636" s="249">
        <f t="shared" si="660"/>
        <v>31.531215611985282</v>
      </c>
      <c r="L2636" s="336">
        <v>0.99451456739286026</v>
      </c>
      <c r="M2636" s="258">
        <f t="shared" si="661"/>
        <v>0.99451456739286026</v>
      </c>
      <c r="N2636" s="251">
        <f t="shared" si="662"/>
        <v>0.11006761714878344</v>
      </c>
      <c r="O2636" s="336">
        <v>3.4716025541075934E-3</v>
      </c>
      <c r="P2636" s="258">
        <f t="shared" si="663"/>
        <v>3.4716025541075934E-3</v>
      </c>
      <c r="Q2636" s="354">
        <v>30.94877906976744</v>
      </c>
      <c r="R2636" s="249">
        <f t="shared" si="664"/>
        <v>31.705131976744184</v>
      </c>
      <c r="S2636" s="355">
        <v>0.1</v>
      </c>
      <c r="T2636" s="355"/>
      <c r="U2636" s="315">
        <f t="shared" si="652"/>
        <v>34.875645174418601</v>
      </c>
      <c r="V2636" s="315">
        <f t="shared" si="653"/>
        <v>35</v>
      </c>
      <c r="W2636" s="316">
        <f t="shared" si="655"/>
        <v>0</v>
      </c>
    </row>
    <row r="2637" spans="1:23" ht="20.399999999999999" x14ac:dyDescent="0.25">
      <c r="A2637" s="203" t="s">
        <v>18311</v>
      </c>
      <c r="B2637" s="363" t="s">
        <v>22319</v>
      </c>
      <c r="C2637" s="346"/>
      <c r="D2637" s="347"/>
      <c r="E2637" s="347"/>
      <c r="F2637" s="347"/>
      <c r="G2637" s="347"/>
      <c r="H2637" s="347"/>
      <c r="I2637" s="347"/>
      <c r="J2637" s="347"/>
      <c r="K2637" s="347"/>
      <c r="L2637" s="347"/>
      <c r="M2637" s="347"/>
      <c r="N2637" s="347"/>
      <c r="O2637" s="347"/>
      <c r="P2637" s="347"/>
      <c r="Q2637" s="347"/>
      <c r="R2637" s="347"/>
      <c r="S2637" s="347"/>
      <c r="T2637" s="348"/>
      <c r="U2637" s="349"/>
      <c r="V2637" s="349"/>
      <c r="W2637" s="350"/>
    </row>
    <row r="2638" spans="1:23" x14ac:dyDescent="0.25">
      <c r="A2638" s="204" t="s">
        <v>18312</v>
      </c>
      <c r="B2638" s="351" t="s">
        <v>22320</v>
      </c>
      <c r="C2638" s="352"/>
      <c r="D2638" s="353" t="s">
        <v>5</v>
      </c>
      <c r="E2638" s="249">
        <f t="shared" si="656"/>
        <v>0</v>
      </c>
      <c r="F2638" s="336">
        <v>0</v>
      </c>
      <c r="G2638" s="258">
        <f t="shared" si="657"/>
        <v>0</v>
      </c>
      <c r="H2638" s="249">
        <f t="shared" si="658"/>
        <v>6.3774481528998547E-2</v>
      </c>
      <c r="I2638" s="336">
        <v>9.7837704513689065E-3</v>
      </c>
      <c r="J2638" s="258">
        <f t="shared" si="659"/>
        <v>9.7837704513689065E-3</v>
      </c>
      <c r="K2638" s="249">
        <f t="shared" si="660"/>
        <v>6.3445188454437051</v>
      </c>
      <c r="L2638" s="336">
        <v>0.97332529438095505</v>
      </c>
      <c r="M2638" s="258">
        <f t="shared" si="661"/>
        <v>0.97332529438095505</v>
      </c>
      <c r="N2638" s="251">
        <f t="shared" si="662"/>
        <v>0.110042242638272</v>
      </c>
      <c r="O2638" s="336">
        <v>1.6881799994518897E-2</v>
      </c>
      <c r="P2638" s="258">
        <f t="shared" si="663"/>
        <v>1.6881799994518897E-2</v>
      </c>
      <c r="Q2638" s="354">
        <v>6.3643604651162793</v>
      </c>
      <c r="R2638" s="249">
        <f t="shared" si="664"/>
        <v>6.5183951162790699</v>
      </c>
      <c r="S2638" s="355">
        <v>0.1</v>
      </c>
      <c r="T2638" s="355"/>
      <c r="U2638" s="315">
        <f t="shared" si="652"/>
        <v>7.1702346279069769</v>
      </c>
      <c r="V2638" s="315">
        <f t="shared" si="653"/>
        <v>8</v>
      </c>
      <c r="W2638" s="316">
        <f t="shared" si="655"/>
        <v>0</v>
      </c>
    </row>
    <row r="2639" spans="1:23" x14ac:dyDescent="0.25">
      <c r="A2639" s="204" t="s">
        <v>18313</v>
      </c>
      <c r="B2639" s="351" t="s">
        <v>22321</v>
      </c>
      <c r="C2639" s="352"/>
      <c r="D2639" s="353" t="s">
        <v>14859</v>
      </c>
      <c r="E2639" s="249">
        <f t="shared" si="656"/>
        <v>0</v>
      </c>
      <c r="F2639" s="336">
        <v>0</v>
      </c>
      <c r="G2639" s="258">
        <f t="shared" si="657"/>
        <v>0</v>
      </c>
      <c r="H2639" s="249">
        <f t="shared" si="658"/>
        <v>10.969311057716027</v>
      </c>
      <c r="I2639" s="336">
        <v>9.7837704513689065E-3</v>
      </c>
      <c r="J2639" s="258">
        <f t="shared" si="659"/>
        <v>9.7837704513689065E-3</v>
      </c>
      <c r="K2639" s="249">
        <f t="shared" si="660"/>
        <v>1091.2774552544604</v>
      </c>
      <c r="L2639" s="336">
        <v>0.9733344295541122</v>
      </c>
      <c r="M2639" s="258">
        <f t="shared" si="661"/>
        <v>0.9733344295541122</v>
      </c>
      <c r="N2639" s="251">
        <f t="shared" si="662"/>
        <v>18.927438687823731</v>
      </c>
      <c r="O2639" s="336">
        <v>1.6881799994518894E-2</v>
      </c>
      <c r="P2639" s="258">
        <f t="shared" si="663"/>
        <v>1.6881799994518894E-2</v>
      </c>
      <c r="Q2639" s="354">
        <v>1094.67</v>
      </c>
      <c r="R2639" s="249">
        <f t="shared" si="664"/>
        <v>1121.1742050000003</v>
      </c>
      <c r="S2639" s="355">
        <v>0.1</v>
      </c>
      <c r="T2639" s="355"/>
      <c r="U2639" s="315">
        <f t="shared" si="652"/>
        <v>1233.2916255000002</v>
      </c>
      <c r="V2639" s="315">
        <f t="shared" si="653"/>
        <v>1250</v>
      </c>
      <c r="W2639" s="316">
        <f t="shared" si="655"/>
        <v>0</v>
      </c>
    </row>
    <row r="2640" spans="1:23" x14ac:dyDescent="0.25">
      <c r="A2640" s="204" t="s">
        <v>18314</v>
      </c>
      <c r="B2640" s="351" t="s">
        <v>22322</v>
      </c>
      <c r="C2640" s="352"/>
      <c r="D2640" s="353" t="s">
        <v>5</v>
      </c>
      <c r="E2640" s="249">
        <f t="shared" si="656"/>
        <v>0</v>
      </c>
      <c r="F2640" s="336">
        <v>0</v>
      </c>
      <c r="G2640" s="258">
        <f t="shared" si="657"/>
        <v>0</v>
      </c>
      <c r="H2640" s="249">
        <f t="shared" si="658"/>
        <v>6.3776137977510625E-2</v>
      </c>
      <c r="I2640" s="336">
        <v>8.908352516235285E-3</v>
      </c>
      <c r="J2640" s="258">
        <f t="shared" si="659"/>
        <v>8.908352516235285E-3</v>
      </c>
      <c r="K2640" s="249">
        <f t="shared" si="660"/>
        <v>6.9852586679256774</v>
      </c>
      <c r="L2640" s="336">
        <v>0.97571205476432576</v>
      </c>
      <c r="M2640" s="258">
        <f t="shared" si="661"/>
        <v>0.97571205476432576</v>
      </c>
      <c r="N2640" s="251">
        <f t="shared" si="662"/>
        <v>0.1100451008239399</v>
      </c>
      <c r="O2640" s="336">
        <v>1.5371274929974608E-2</v>
      </c>
      <c r="P2640" s="258">
        <f t="shared" si="663"/>
        <v>1.5371274929974608E-2</v>
      </c>
      <c r="Q2640" s="354">
        <v>6.9897819767441867</v>
      </c>
      <c r="R2640" s="249">
        <f t="shared" si="664"/>
        <v>7.1591394549418599</v>
      </c>
      <c r="S2640" s="355">
        <v>0.1</v>
      </c>
      <c r="T2640" s="355"/>
      <c r="U2640" s="315">
        <f t="shared" si="652"/>
        <v>7.8750534004360464</v>
      </c>
      <c r="V2640" s="315">
        <f t="shared" si="653"/>
        <v>8</v>
      </c>
      <c r="W2640" s="316">
        <f t="shared" si="655"/>
        <v>0</v>
      </c>
    </row>
    <row r="2641" spans="1:23" x14ac:dyDescent="0.25">
      <c r="A2641" s="204" t="s">
        <v>18315</v>
      </c>
      <c r="B2641" s="351" t="s">
        <v>22323</v>
      </c>
      <c r="C2641" s="352"/>
      <c r="D2641" s="353" t="s">
        <v>14859</v>
      </c>
      <c r="E2641" s="249">
        <f t="shared" si="656"/>
        <v>0</v>
      </c>
      <c r="F2641" s="336">
        <v>0</v>
      </c>
      <c r="G2641" s="258">
        <f t="shared" si="657"/>
        <v>0</v>
      </c>
      <c r="H2641" s="249">
        <f t="shared" si="658"/>
        <v>10.969586998203358</v>
      </c>
      <c r="I2641" s="336">
        <v>8.908352516235285E-3</v>
      </c>
      <c r="J2641" s="258">
        <f t="shared" si="659"/>
        <v>8.908352516235285E-3</v>
      </c>
      <c r="K2641" s="249">
        <f t="shared" si="660"/>
        <v>1201.4847294313674</v>
      </c>
      <c r="L2641" s="336">
        <v>0.97572037255379007</v>
      </c>
      <c r="M2641" s="258">
        <f t="shared" si="661"/>
        <v>0.97572037255379007</v>
      </c>
      <c r="N2641" s="251">
        <f t="shared" si="662"/>
        <v>18.927914820429326</v>
      </c>
      <c r="O2641" s="336">
        <v>1.537127492997461E-2</v>
      </c>
      <c r="P2641" s="258">
        <f t="shared" si="663"/>
        <v>1.537127492997461E-2</v>
      </c>
      <c r="Q2641" s="354">
        <v>1202.2425000000001</v>
      </c>
      <c r="R2641" s="249">
        <f t="shared" si="664"/>
        <v>1231.3822312500001</v>
      </c>
      <c r="S2641" s="355">
        <v>0.1</v>
      </c>
      <c r="T2641" s="355"/>
      <c r="U2641" s="315">
        <f t="shared" si="652"/>
        <v>1354.5204543750001</v>
      </c>
      <c r="V2641" s="315">
        <f t="shared" si="653"/>
        <v>1375</v>
      </c>
      <c r="W2641" s="316">
        <f t="shared" si="655"/>
        <v>0</v>
      </c>
    </row>
    <row r="2642" spans="1:23" x14ac:dyDescent="0.25">
      <c r="A2642" s="204" t="s">
        <v>18316</v>
      </c>
      <c r="B2642" s="351" t="s">
        <v>22324</v>
      </c>
      <c r="C2642" s="352"/>
      <c r="D2642" s="353" t="s">
        <v>5</v>
      </c>
      <c r="E2642" s="249">
        <f t="shared" si="656"/>
        <v>0</v>
      </c>
      <c r="F2642" s="336">
        <v>0</v>
      </c>
      <c r="G2642" s="258">
        <f t="shared" si="657"/>
        <v>0</v>
      </c>
      <c r="H2642" s="249">
        <f t="shared" si="658"/>
        <v>6.3776826834048395E-2</v>
      </c>
      <c r="I2642" s="336">
        <v>8.5442981170233776E-3</v>
      </c>
      <c r="J2642" s="258">
        <f t="shared" si="659"/>
        <v>8.5442981170233776E-3</v>
      </c>
      <c r="K2642" s="249">
        <f t="shared" si="660"/>
        <v>7.2903731415549329</v>
      </c>
      <c r="L2642" s="336">
        <v>0.97670462138029102</v>
      </c>
      <c r="M2642" s="258">
        <f t="shared" si="661"/>
        <v>0.97670462138029102</v>
      </c>
      <c r="N2642" s="251">
        <f t="shared" si="662"/>
        <v>0.11004628943914231</v>
      </c>
      <c r="O2642" s="336">
        <v>1.4743102633295238E-2</v>
      </c>
      <c r="P2642" s="258">
        <f t="shared" si="663"/>
        <v>1.4743102633295238E-2</v>
      </c>
      <c r="Q2642" s="354">
        <v>7.2876017441860466</v>
      </c>
      <c r="R2642" s="249">
        <f t="shared" si="664"/>
        <v>7.4642558066860456</v>
      </c>
      <c r="S2642" s="355">
        <v>0.1</v>
      </c>
      <c r="T2642" s="355"/>
      <c r="U2642" s="315">
        <f t="shared" si="652"/>
        <v>8.2106813873546507</v>
      </c>
      <c r="V2642" s="315">
        <f t="shared" si="653"/>
        <v>9</v>
      </c>
      <c r="W2642" s="316">
        <f t="shared" si="655"/>
        <v>0</v>
      </c>
    </row>
    <row r="2643" spans="1:23" x14ac:dyDescent="0.25">
      <c r="A2643" s="204" t="s">
        <v>18317</v>
      </c>
      <c r="B2643" s="351" t="s">
        <v>22325</v>
      </c>
      <c r="C2643" s="352"/>
      <c r="D2643" s="353" t="s">
        <v>14859</v>
      </c>
      <c r="E2643" s="249">
        <f t="shared" si="656"/>
        <v>0</v>
      </c>
      <c r="F2643" s="336">
        <v>0</v>
      </c>
      <c r="G2643" s="258">
        <f t="shared" si="657"/>
        <v>0</v>
      </c>
      <c r="H2643" s="249">
        <f t="shared" si="658"/>
        <v>10.969701751790534</v>
      </c>
      <c r="I2643" s="336">
        <v>8.5442981170233776E-3</v>
      </c>
      <c r="J2643" s="258">
        <f t="shared" si="659"/>
        <v>8.5442981170233776E-3</v>
      </c>
      <c r="K2643" s="249">
        <f t="shared" si="660"/>
        <v>1253.9644291715906</v>
      </c>
      <c r="L2643" s="336">
        <v>0.97671259924968135</v>
      </c>
      <c r="M2643" s="258">
        <f t="shared" si="661"/>
        <v>0.97671259924968135</v>
      </c>
      <c r="N2643" s="251">
        <f t="shared" si="662"/>
        <v>18.92811282661896</v>
      </c>
      <c r="O2643" s="336">
        <v>1.474310263329524E-2</v>
      </c>
      <c r="P2643" s="258">
        <f t="shared" si="663"/>
        <v>1.474310263329524E-2</v>
      </c>
      <c r="Q2643" s="354">
        <v>1253.4675</v>
      </c>
      <c r="R2643" s="249">
        <f t="shared" si="664"/>
        <v>1283.8622437500001</v>
      </c>
      <c r="S2643" s="355">
        <v>0.1</v>
      </c>
      <c r="T2643" s="355"/>
      <c r="U2643" s="315">
        <f t="shared" si="652"/>
        <v>1412.248468125</v>
      </c>
      <c r="V2643" s="315">
        <f t="shared" si="653"/>
        <v>1425</v>
      </c>
      <c r="W2643" s="316">
        <f t="shared" si="655"/>
        <v>0</v>
      </c>
    </row>
    <row r="2644" spans="1:23" x14ac:dyDescent="0.25">
      <c r="A2644" s="204" t="s">
        <v>18318</v>
      </c>
      <c r="B2644" s="351" t="s">
        <v>22326</v>
      </c>
      <c r="C2644" s="352"/>
      <c r="D2644" s="353" t="s">
        <v>5</v>
      </c>
      <c r="E2644" s="249">
        <f t="shared" si="656"/>
        <v>0</v>
      </c>
      <c r="F2644" s="336">
        <v>0</v>
      </c>
      <c r="G2644" s="258">
        <f t="shared" si="657"/>
        <v>0</v>
      </c>
      <c r="H2644" s="249">
        <f t="shared" si="658"/>
        <v>6.3777313844193204E-2</v>
      </c>
      <c r="I2644" s="336">
        <v>8.2869176960511798E-3</v>
      </c>
      <c r="J2644" s="258">
        <f t="shared" si="659"/>
        <v>8.2869176960511798E-3</v>
      </c>
      <c r="K2644" s="249">
        <f t="shared" si="660"/>
        <v>7.5222602410844148</v>
      </c>
      <c r="L2644" s="336">
        <v>0.97740634951216665</v>
      </c>
      <c r="M2644" s="258">
        <f t="shared" si="661"/>
        <v>0.97740634951216665</v>
      </c>
      <c r="N2644" s="251">
        <f t="shared" si="662"/>
        <v>0.11004712977037258</v>
      </c>
      <c r="O2644" s="336">
        <v>1.4298995240245171E-2</v>
      </c>
      <c r="P2644" s="258">
        <f t="shared" si="663"/>
        <v>1.4298995240245171E-2</v>
      </c>
      <c r="Q2644" s="354">
        <v>7.5139447674418607</v>
      </c>
      <c r="R2644" s="249">
        <f t="shared" si="664"/>
        <v>7.6961442340116273</v>
      </c>
      <c r="S2644" s="355">
        <v>0.1</v>
      </c>
      <c r="T2644" s="355"/>
      <c r="U2644" s="315">
        <f t="shared" si="652"/>
        <v>8.4657586574127901</v>
      </c>
      <c r="V2644" s="315">
        <f t="shared" si="653"/>
        <v>9</v>
      </c>
      <c r="W2644" s="316">
        <f t="shared" si="655"/>
        <v>0</v>
      </c>
    </row>
    <row r="2645" spans="1:23" x14ac:dyDescent="0.25">
      <c r="A2645" s="204" t="s">
        <v>18319</v>
      </c>
      <c r="B2645" s="351" t="s">
        <v>22327</v>
      </c>
      <c r="C2645" s="352"/>
      <c r="D2645" s="353" t="s">
        <v>14859</v>
      </c>
      <c r="E2645" s="249">
        <f t="shared" si="656"/>
        <v>0</v>
      </c>
      <c r="F2645" s="336">
        <v>0</v>
      </c>
      <c r="G2645" s="258">
        <f t="shared" si="657"/>
        <v>0</v>
      </c>
      <c r="H2645" s="249">
        <f t="shared" si="658"/>
        <v>10.96978288067303</v>
      </c>
      <c r="I2645" s="336">
        <v>8.2869176960511798E-3</v>
      </c>
      <c r="J2645" s="258">
        <f t="shared" si="659"/>
        <v>8.2869176960511798E-3</v>
      </c>
      <c r="K2645" s="249">
        <f t="shared" si="660"/>
        <v>1293.8490175556167</v>
      </c>
      <c r="L2645" s="336">
        <v>0.97741408706370358</v>
      </c>
      <c r="M2645" s="258">
        <f t="shared" si="661"/>
        <v>0.97741408706370358</v>
      </c>
      <c r="N2645" s="251">
        <f t="shared" si="662"/>
        <v>18.928252813710326</v>
      </c>
      <c r="O2645" s="336">
        <v>1.4298995240245173E-2</v>
      </c>
      <c r="P2645" s="258">
        <f t="shared" si="663"/>
        <v>1.4298995240245173E-2</v>
      </c>
      <c r="Q2645" s="354">
        <v>1292.3985</v>
      </c>
      <c r="R2645" s="249">
        <f t="shared" si="664"/>
        <v>1323.7470532500001</v>
      </c>
      <c r="S2645" s="355">
        <v>0.1</v>
      </c>
      <c r="T2645" s="355"/>
      <c r="U2645" s="315">
        <f t="shared" si="652"/>
        <v>1456.1217585750001</v>
      </c>
      <c r="V2645" s="315">
        <f t="shared" si="653"/>
        <v>1475</v>
      </c>
      <c r="W2645" s="316">
        <f t="shared" si="655"/>
        <v>0</v>
      </c>
    </row>
    <row r="2646" spans="1:23" x14ac:dyDescent="0.25">
      <c r="A2646" s="204" t="s">
        <v>18320</v>
      </c>
      <c r="B2646" s="351" t="s">
        <v>22328</v>
      </c>
      <c r="C2646" s="352"/>
      <c r="D2646" s="353" t="s">
        <v>5</v>
      </c>
      <c r="E2646" s="249">
        <f t="shared" si="656"/>
        <v>0</v>
      </c>
      <c r="F2646" s="336">
        <v>0</v>
      </c>
      <c r="G2646" s="258">
        <f t="shared" si="657"/>
        <v>0</v>
      </c>
      <c r="H2646" s="249">
        <f t="shared" si="658"/>
        <v>6.3778048401888776E-2</v>
      </c>
      <c r="I2646" s="336">
        <v>7.8987106516436294E-3</v>
      </c>
      <c r="J2646" s="258">
        <f t="shared" si="659"/>
        <v>7.8987106516436294E-3</v>
      </c>
      <c r="K2646" s="249">
        <f t="shared" si="660"/>
        <v>7.9006025145315473</v>
      </c>
      <c r="L2646" s="336">
        <v>0.97846476647731151</v>
      </c>
      <c r="M2646" s="258">
        <f t="shared" si="661"/>
        <v>0.97846476647731151</v>
      </c>
      <c r="N2646" s="251">
        <f t="shared" si="662"/>
        <v>0.11004839724247475</v>
      </c>
      <c r="O2646" s="336">
        <v>1.3629147791071359E-2</v>
      </c>
      <c r="P2646" s="258">
        <f t="shared" si="663"/>
        <v>1.3629147791071359E-2</v>
      </c>
      <c r="Q2646" s="354">
        <v>7.8832412790697672</v>
      </c>
      <c r="R2646" s="249">
        <f t="shared" si="664"/>
        <v>8.0744885101744188</v>
      </c>
      <c r="S2646" s="355">
        <v>0.1</v>
      </c>
      <c r="T2646" s="355"/>
      <c r="U2646" s="315">
        <f t="shared" si="652"/>
        <v>8.8819373611918611</v>
      </c>
      <c r="V2646" s="315">
        <f t="shared" si="653"/>
        <v>9</v>
      </c>
      <c r="W2646" s="316">
        <f t="shared" si="655"/>
        <v>0</v>
      </c>
    </row>
    <row r="2647" spans="1:23" x14ac:dyDescent="0.25">
      <c r="A2647" s="204" t="s">
        <v>18321</v>
      </c>
      <c r="B2647" s="351" t="s">
        <v>22329</v>
      </c>
      <c r="C2647" s="352"/>
      <c r="D2647" s="353" t="s">
        <v>14859</v>
      </c>
      <c r="E2647" s="249">
        <f t="shared" si="656"/>
        <v>0</v>
      </c>
      <c r="F2647" s="336">
        <v>0</v>
      </c>
      <c r="G2647" s="258">
        <f t="shared" si="657"/>
        <v>0</v>
      </c>
      <c r="H2647" s="249">
        <f t="shared" si="658"/>
        <v>10.969905247415497</v>
      </c>
      <c r="I2647" s="336">
        <v>7.8987106516436294E-3</v>
      </c>
      <c r="J2647" s="258">
        <f t="shared" si="659"/>
        <v>7.8987106516436294E-3</v>
      </c>
      <c r="K2647" s="249">
        <f t="shared" si="660"/>
        <v>1358.9238995462599</v>
      </c>
      <c r="L2647" s="336">
        <v>0.97847214155728501</v>
      </c>
      <c r="M2647" s="258">
        <f t="shared" si="661"/>
        <v>0.97847214155728501</v>
      </c>
      <c r="N2647" s="251">
        <f t="shared" si="662"/>
        <v>18.928463956324777</v>
      </c>
      <c r="O2647" s="336">
        <v>1.3629147791071359E-2</v>
      </c>
      <c r="P2647" s="258">
        <f t="shared" si="663"/>
        <v>1.3629147791071359E-2</v>
      </c>
      <c r="Q2647" s="354">
        <v>1355.9175</v>
      </c>
      <c r="R2647" s="249">
        <f t="shared" si="664"/>
        <v>1388.8222687500001</v>
      </c>
      <c r="S2647" s="355">
        <v>0.1</v>
      </c>
      <c r="T2647" s="355"/>
      <c r="U2647" s="315">
        <f t="shared" si="652"/>
        <v>1527.7044956250002</v>
      </c>
      <c r="V2647" s="315">
        <f t="shared" si="653"/>
        <v>1550</v>
      </c>
      <c r="W2647" s="316">
        <f t="shared" si="655"/>
        <v>0</v>
      </c>
    </row>
    <row r="2648" spans="1:23" x14ac:dyDescent="0.25">
      <c r="A2648" s="204" t="s">
        <v>18322</v>
      </c>
      <c r="B2648" s="351" t="s">
        <v>22330</v>
      </c>
      <c r="C2648" s="352"/>
      <c r="D2648" s="353" t="s">
        <v>5</v>
      </c>
      <c r="E2648" s="249">
        <f t="shared" si="656"/>
        <v>0</v>
      </c>
      <c r="F2648" s="336">
        <v>0</v>
      </c>
      <c r="G2648" s="258">
        <f t="shared" si="657"/>
        <v>0</v>
      </c>
      <c r="H2648" s="249">
        <f t="shared" si="658"/>
        <v>6.3778529292839725E-2</v>
      </c>
      <c r="I2648" s="336">
        <v>7.6445641688356611E-3</v>
      </c>
      <c r="J2648" s="258">
        <f t="shared" si="659"/>
        <v>7.6445641688356611E-3</v>
      </c>
      <c r="K2648" s="249">
        <f t="shared" si="660"/>
        <v>8.1691035929538458</v>
      </c>
      <c r="L2648" s="336">
        <v>0.97915767752287564</v>
      </c>
      <c r="M2648" s="258">
        <f t="shared" si="661"/>
        <v>0.97915767752287564</v>
      </c>
      <c r="N2648" s="251">
        <f t="shared" si="662"/>
        <v>0.11004922701509597</v>
      </c>
      <c r="O2648" s="336">
        <v>1.3190620526618393E-2</v>
      </c>
      <c r="P2648" s="258">
        <f t="shared" si="663"/>
        <v>1.3190620526618393E-2</v>
      </c>
      <c r="Q2648" s="354">
        <v>8.1453226744186047</v>
      </c>
      <c r="R2648" s="249">
        <f t="shared" si="664"/>
        <v>8.3429908997093012</v>
      </c>
      <c r="S2648" s="355">
        <v>0.1</v>
      </c>
      <c r="T2648" s="355"/>
      <c r="U2648" s="315">
        <f t="shared" si="652"/>
        <v>9.1772899896802311</v>
      </c>
      <c r="V2648" s="315">
        <f t="shared" si="653"/>
        <v>10</v>
      </c>
      <c r="W2648" s="316">
        <f t="shared" si="655"/>
        <v>0</v>
      </c>
    </row>
    <row r="2649" spans="1:23" x14ac:dyDescent="0.25">
      <c r="A2649" s="204" t="s">
        <v>18323</v>
      </c>
      <c r="B2649" s="351" t="s">
        <v>22331</v>
      </c>
      <c r="C2649" s="352"/>
      <c r="D2649" s="353" t="s">
        <v>14859</v>
      </c>
      <c r="E2649" s="249">
        <f t="shared" si="656"/>
        <v>0</v>
      </c>
      <c r="F2649" s="336">
        <v>0</v>
      </c>
      <c r="G2649" s="258">
        <f t="shared" si="657"/>
        <v>0</v>
      </c>
      <c r="H2649" s="249">
        <f t="shared" si="658"/>
        <v>10.969985356928344</v>
      </c>
      <c r="I2649" s="336">
        <v>7.6445641688356611E-3</v>
      </c>
      <c r="J2649" s="258">
        <f t="shared" si="659"/>
        <v>7.6445641688356611E-3</v>
      </c>
      <c r="K2649" s="249">
        <f t="shared" si="660"/>
        <v>1405.106092208568</v>
      </c>
      <c r="L2649" s="336">
        <v>0.97916481530454591</v>
      </c>
      <c r="M2649" s="258">
        <f t="shared" si="661"/>
        <v>0.97916481530454591</v>
      </c>
      <c r="N2649" s="251">
        <f t="shared" si="662"/>
        <v>18.928602184503809</v>
      </c>
      <c r="O2649" s="336">
        <v>1.3190620526618395E-2</v>
      </c>
      <c r="P2649" s="258">
        <f t="shared" si="663"/>
        <v>1.3190620526618395E-2</v>
      </c>
      <c r="Q2649" s="354">
        <v>1400.9955</v>
      </c>
      <c r="R2649" s="249">
        <f t="shared" si="664"/>
        <v>1435.0046797500002</v>
      </c>
      <c r="S2649" s="355">
        <v>0.1</v>
      </c>
      <c r="T2649" s="355"/>
      <c r="U2649" s="315">
        <f t="shared" si="652"/>
        <v>1578.5051477250001</v>
      </c>
      <c r="V2649" s="315">
        <f t="shared" si="653"/>
        <v>1600</v>
      </c>
      <c r="W2649" s="316">
        <f t="shared" si="655"/>
        <v>0</v>
      </c>
    </row>
    <row r="2650" spans="1:23" ht="14.4" thickBot="1" x14ac:dyDescent="0.3">
      <c r="A2650" s="356" t="s">
        <v>18324</v>
      </c>
      <c r="B2650" s="357" t="s">
        <v>22332</v>
      </c>
      <c r="C2650" s="358"/>
      <c r="D2650" s="359" t="s">
        <v>5</v>
      </c>
      <c r="E2650" s="266">
        <f t="shared" si="656"/>
        <v>0</v>
      </c>
      <c r="F2650" s="360">
        <v>0</v>
      </c>
      <c r="G2650" s="322">
        <f t="shared" si="657"/>
        <v>0</v>
      </c>
      <c r="H2650" s="266">
        <f t="shared" si="658"/>
        <v>6.377897026693323E-2</v>
      </c>
      <c r="I2650" s="360">
        <v>7.4115133812071438E-3</v>
      </c>
      <c r="J2650" s="322">
        <f t="shared" si="659"/>
        <v>7.4115133812071438E-3</v>
      </c>
      <c r="K2650" s="266">
        <f t="shared" si="660"/>
        <v>8.4315024531715324</v>
      </c>
      <c r="L2650" s="360">
        <v>0.97979307276085426</v>
      </c>
      <c r="M2650" s="322">
        <f t="shared" si="661"/>
        <v>0.97979307276085426</v>
      </c>
      <c r="N2650" s="270">
        <f t="shared" si="662"/>
        <v>0.11004998791157106</v>
      </c>
      <c r="O2650" s="360">
        <v>1.2788493677377031E-2</v>
      </c>
      <c r="P2650" s="322">
        <f t="shared" si="663"/>
        <v>1.2788493677377031E-2</v>
      </c>
      <c r="Q2650" s="361">
        <v>8.4014476744186037</v>
      </c>
      <c r="R2650" s="266">
        <f t="shared" si="664"/>
        <v>8.6053909622092988</v>
      </c>
      <c r="S2650" s="362">
        <v>0.1</v>
      </c>
      <c r="T2650" s="362"/>
      <c r="U2650" s="324">
        <f t="shared" si="652"/>
        <v>9.4659300584302279</v>
      </c>
      <c r="V2650" s="324">
        <f t="shared" si="653"/>
        <v>10</v>
      </c>
      <c r="W2650" s="325">
        <f t="shared" si="655"/>
        <v>0</v>
      </c>
    </row>
    <row r="2651" spans="1:23" x14ac:dyDescent="0.25">
      <c r="A2651" s="204" t="s">
        <v>18325</v>
      </c>
      <c r="B2651" s="351" t="s">
        <v>22333</v>
      </c>
      <c r="C2651" s="352"/>
      <c r="D2651" s="353" t="s">
        <v>14859</v>
      </c>
      <c r="E2651" s="249">
        <f t="shared" si="656"/>
        <v>0</v>
      </c>
      <c r="F2651" s="336">
        <v>0</v>
      </c>
      <c r="G2651" s="258">
        <f t="shared" si="657"/>
        <v>0</v>
      </c>
      <c r="H2651" s="249">
        <f t="shared" si="658"/>
        <v>10.970058816867111</v>
      </c>
      <c r="I2651" s="336">
        <v>7.4115133812071429E-3</v>
      </c>
      <c r="J2651" s="258">
        <f t="shared" si="659"/>
        <v>7.4115133812071429E-3</v>
      </c>
      <c r="K2651" s="249">
        <f t="shared" si="660"/>
        <v>1450.2387027442251</v>
      </c>
      <c r="L2651" s="336">
        <v>0.97979999294141584</v>
      </c>
      <c r="M2651" s="258">
        <f t="shared" si="661"/>
        <v>0.97979999294141584</v>
      </c>
      <c r="N2651" s="251">
        <f t="shared" si="662"/>
        <v>18.928728938907955</v>
      </c>
      <c r="O2651" s="336">
        <v>1.2788493677377031E-2</v>
      </c>
      <c r="P2651" s="258">
        <f t="shared" si="663"/>
        <v>1.2788493677377031E-2</v>
      </c>
      <c r="Q2651" s="354">
        <v>1445.049</v>
      </c>
      <c r="R2651" s="249">
        <f t="shared" si="664"/>
        <v>1480.1374905</v>
      </c>
      <c r="S2651" s="355">
        <v>0.1</v>
      </c>
      <c r="T2651" s="355"/>
      <c r="U2651" s="315">
        <f t="shared" si="652"/>
        <v>1628.1512395499999</v>
      </c>
      <c r="V2651" s="315">
        <f t="shared" si="653"/>
        <v>1650</v>
      </c>
      <c r="W2651" s="316">
        <f t="shared" si="655"/>
        <v>0</v>
      </c>
    </row>
    <row r="2652" spans="1:23" x14ac:dyDescent="0.25">
      <c r="A2652" s="204" t="s">
        <v>18326</v>
      </c>
      <c r="B2652" s="351" t="s">
        <v>22334</v>
      </c>
      <c r="C2652" s="352"/>
      <c r="D2652" s="353" t="s">
        <v>5</v>
      </c>
      <c r="E2652" s="249">
        <f t="shared" si="656"/>
        <v>0</v>
      </c>
      <c r="F2652" s="336">
        <v>0</v>
      </c>
      <c r="G2652" s="258">
        <f t="shared" si="657"/>
        <v>0</v>
      </c>
      <c r="H2652" s="249">
        <f t="shared" si="658"/>
        <v>6.3779233674193914E-2</v>
      </c>
      <c r="I2652" s="336">
        <v>7.2723050456963544E-3</v>
      </c>
      <c r="J2652" s="258">
        <f t="shared" si="659"/>
        <v>7.2723050456963544E-3</v>
      </c>
      <c r="K2652" s="249">
        <f t="shared" si="660"/>
        <v>8.5962645649535467</v>
      </c>
      <c r="L2652" s="336">
        <v>0.98017261369427322</v>
      </c>
      <c r="M2652" s="258">
        <f t="shared" si="661"/>
        <v>0.98017261369427322</v>
      </c>
      <c r="N2652" s="251">
        <f t="shared" si="662"/>
        <v>0.11005044241821695</v>
      </c>
      <c r="O2652" s="336">
        <v>1.2548291059240766E-2</v>
      </c>
      <c r="P2652" s="258">
        <f t="shared" si="663"/>
        <v>1.2548291059240766E-2</v>
      </c>
      <c r="Q2652" s="354">
        <v>8.5622703488372096</v>
      </c>
      <c r="R2652" s="249">
        <f t="shared" si="664"/>
        <v>8.770153792151163</v>
      </c>
      <c r="S2652" s="355">
        <v>0.1</v>
      </c>
      <c r="T2652" s="355"/>
      <c r="U2652" s="315">
        <f t="shared" si="652"/>
        <v>9.6471691713662793</v>
      </c>
      <c r="V2652" s="315">
        <f t="shared" si="653"/>
        <v>10</v>
      </c>
      <c r="W2652" s="316">
        <f t="shared" si="655"/>
        <v>0</v>
      </c>
    </row>
    <row r="2653" spans="1:23" x14ac:dyDescent="0.25">
      <c r="A2653" s="204" t="s">
        <v>18327</v>
      </c>
      <c r="B2653" s="351" t="s">
        <v>22335</v>
      </c>
      <c r="C2653" s="352"/>
      <c r="D2653" s="353" t="s">
        <v>14859</v>
      </c>
      <c r="E2653" s="249">
        <f t="shared" si="656"/>
        <v>0</v>
      </c>
      <c r="F2653" s="336">
        <v>0</v>
      </c>
      <c r="G2653" s="258">
        <f t="shared" si="657"/>
        <v>0</v>
      </c>
      <c r="H2653" s="249">
        <f t="shared" si="658"/>
        <v>10.970102696726546</v>
      </c>
      <c r="I2653" s="336">
        <v>7.2723050456963544E-3</v>
      </c>
      <c r="J2653" s="258">
        <f t="shared" si="659"/>
        <v>7.2723050456963544E-3</v>
      </c>
      <c r="K2653" s="249">
        <f t="shared" si="660"/>
        <v>1478.5777899000982</v>
      </c>
      <c r="L2653" s="336">
        <v>0.98017940389506286</v>
      </c>
      <c r="M2653" s="258">
        <f t="shared" si="661"/>
        <v>0.98017940389506286</v>
      </c>
      <c r="N2653" s="251">
        <f t="shared" si="662"/>
        <v>18.928804653175217</v>
      </c>
      <c r="O2653" s="336">
        <v>1.2548291059240768E-2</v>
      </c>
      <c r="P2653" s="258">
        <f t="shared" si="663"/>
        <v>1.2548291059240768E-2</v>
      </c>
      <c r="Q2653" s="354">
        <v>1472.7104999999999</v>
      </c>
      <c r="R2653" s="249">
        <f t="shared" si="664"/>
        <v>1508.4766972499999</v>
      </c>
      <c r="S2653" s="355">
        <v>0.1</v>
      </c>
      <c r="T2653" s="355"/>
      <c r="U2653" s="315">
        <f t="shared" si="652"/>
        <v>1659.324366975</v>
      </c>
      <c r="V2653" s="315">
        <f t="shared" si="653"/>
        <v>1675</v>
      </c>
      <c r="W2653" s="316">
        <f t="shared" si="655"/>
        <v>0</v>
      </c>
    </row>
    <row r="2654" spans="1:23" x14ac:dyDescent="0.25">
      <c r="A2654" s="204" t="s">
        <v>18328</v>
      </c>
      <c r="B2654" s="351" t="s">
        <v>22336</v>
      </c>
      <c r="C2654" s="352"/>
      <c r="D2654" s="353" t="s">
        <v>5</v>
      </c>
      <c r="E2654" s="249">
        <f t="shared" si="656"/>
        <v>0</v>
      </c>
      <c r="F2654" s="336">
        <v>0</v>
      </c>
      <c r="G2654" s="258">
        <f t="shared" si="657"/>
        <v>0</v>
      </c>
      <c r="H2654" s="249">
        <f t="shared" si="658"/>
        <v>6.3780018961734006E-2</v>
      </c>
      <c r="I2654" s="336">
        <v>6.8572877410134963E-3</v>
      </c>
      <c r="J2654" s="258">
        <f t="shared" si="659"/>
        <v>6.8572877410134963E-3</v>
      </c>
      <c r="K2654" s="249">
        <f t="shared" si="660"/>
        <v>9.1271648759617108</v>
      </c>
      <c r="L2654" s="336">
        <v>0.98130412679387546</v>
      </c>
      <c r="M2654" s="258">
        <f t="shared" si="661"/>
        <v>0.98130412679387546</v>
      </c>
      <c r="N2654" s="251">
        <f t="shared" si="662"/>
        <v>0.11005179742416847</v>
      </c>
      <c r="O2654" s="336">
        <v>1.1832182768807599E-2</v>
      </c>
      <c r="P2654" s="258">
        <f t="shared" si="663"/>
        <v>1.1832182768807599E-2</v>
      </c>
      <c r="Q2654" s="354">
        <v>9.080476744186047</v>
      </c>
      <c r="R2654" s="249">
        <f t="shared" si="664"/>
        <v>9.3010562441860465</v>
      </c>
      <c r="S2654" s="355">
        <v>0.1</v>
      </c>
      <c r="T2654" s="355"/>
      <c r="U2654" s="315">
        <f t="shared" si="652"/>
        <v>10.231161868604651</v>
      </c>
      <c r="V2654" s="315">
        <f t="shared" si="653"/>
        <v>11</v>
      </c>
      <c r="W2654" s="316">
        <f t="shared" si="655"/>
        <v>0</v>
      </c>
    </row>
    <row r="2655" spans="1:23" x14ac:dyDescent="0.25">
      <c r="A2655" s="204" t="s">
        <v>18329</v>
      </c>
      <c r="B2655" s="351" t="s">
        <v>22337</v>
      </c>
      <c r="C2655" s="352"/>
      <c r="D2655" s="353" t="s">
        <v>14859</v>
      </c>
      <c r="E2655" s="249">
        <f t="shared" si="656"/>
        <v>0</v>
      </c>
      <c r="F2655" s="336">
        <v>0</v>
      </c>
      <c r="G2655" s="258">
        <f t="shared" si="657"/>
        <v>0</v>
      </c>
      <c r="H2655" s="249">
        <f t="shared" si="658"/>
        <v>10.970233514331156</v>
      </c>
      <c r="I2655" s="336">
        <v>6.8572877410134955E-3</v>
      </c>
      <c r="J2655" s="258">
        <f t="shared" si="659"/>
        <v>6.8572877410134955E-3</v>
      </c>
      <c r="K2655" s="249">
        <f t="shared" si="660"/>
        <v>1569.8926551079994</v>
      </c>
      <c r="L2655" s="336">
        <v>0.98131052949017883</v>
      </c>
      <c r="M2655" s="258">
        <f t="shared" si="661"/>
        <v>0.98131052949017883</v>
      </c>
      <c r="N2655" s="251">
        <f t="shared" si="662"/>
        <v>18.929030377669445</v>
      </c>
      <c r="O2655" s="336">
        <v>1.1832182768807599E-2</v>
      </c>
      <c r="P2655" s="258">
        <f t="shared" si="663"/>
        <v>1.1832182768807599E-2</v>
      </c>
      <c r="Q2655" s="354">
        <v>1561.8420000000001</v>
      </c>
      <c r="R2655" s="249">
        <f t="shared" si="664"/>
        <v>1599.7919190000002</v>
      </c>
      <c r="S2655" s="355">
        <v>0.1</v>
      </c>
      <c r="T2655" s="355"/>
      <c r="U2655" s="315">
        <f t="shared" si="652"/>
        <v>1759.7711109000002</v>
      </c>
      <c r="V2655" s="315">
        <f t="shared" si="653"/>
        <v>1775</v>
      </c>
      <c r="W2655" s="316">
        <f t="shared" si="655"/>
        <v>0</v>
      </c>
    </row>
    <row r="2656" spans="1:23" x14ac:dyDescent="0.25">
      <c r="A2656" s="204" t="s">
        <v>18330</v>
      </c>
      <c r="B2656" s="351" t="s">
        <v>22338</v>
      </c>
      <c r="C2656" s="352"/>
      <c r="D2656" s="353" t="s">
        <v>5</v>
      </c>
      <c r="E2656" s="249">
        <f t="shared" si="656"/>
        <v>0</v>
      </c>
      <c r="F2656" s="336">
        <v>0</v>
      </c>
      <c r="G2656" s="258">
        <f t="shared" si="657"/>
        <v>0</v>
      </c>
      <c r="H2656" s="249">
        <f t="shared" si="658"/>
        <v>6.3780326413399327E-2</v>
      </c>
      <c r="I2656" s="336">
        <v>6.6948023392427005E-3</v>
      </c>
      <c r="J2656" s="258">
        <f t="shared" si="659"/>
        <v>6.6948023392427005E-3</v>
      </c>
      <c r="K2656" s="249">
        <f t="shared" si="660"/>
        <v>9.3529501380088398</v>
      </c>
      <c r="L2656" s="336">
        <v>0.98174713087713472</v>
      </c>
      <c r="M2656" s="258">
        <f t="shared" si="661"/>
        <v>0.98174713087713472</v>
      </c>
      <c r="N2656" s="251">
        <f t="shared" si="662"/>
        <v>0.11005232792900274</v>
      </c>
      <c r="O2656" s="336">
        <v>1.1551815801046228E-2</v>
      </c>
      <c r="P2656" s="258">
        <f t="shared" si="663"/>
        <v>1.1551815801046228E-2</v>
      </c>
      <c r="Q2656" s="354">
        <v>9.3008633720930227</v>
      </c>
      <c r="R2656" s="249">
        <f t="shared" si="664"/>
        <v>9.5268423444767443</v>
      </c>
      <c r="S2656" s="355">
        <v>0.1</v>
      </c>
      <c r="T2656" s="355"/>
      <c r="U2656" s="315">
        <f t="shared" si="652"/>
        <v>10.479526578924419</v>
      </c>
      <c r="V2656" s="315">
        <f t="shared" si="653"/>
        <v>11</v>
      </c>
      <c r="W2656" s="316">
        <f t="shared" si="655"/>
        <v>0</v>
      </c>
    </row>
    <row r="2657" spans="1:23" x14ac:dyDescent="0.25">
      <c r="A2657" s="204" t="s">
        <v>18331</v>
      </c>
      <c r="B2657" s="351" t="s">
        <v>22339</v>
      </c>
      <c r="C2657" s="352"/>
      <c r="D2657" s="353" t="s">
        <v>14859</v>
      </c>
      <c r="E2657" s="249">
        <f t="shared" si="656"/>
        <v>0</v>
      </c>
      <c r="F2657" s="336">
        <v>0</v>
      </c>
      <c r="G2657" s="258">
        <f t="shared" si="657"/>
        <v>0</v>
      </c>
      <c r="H2657" s="249">
        <f t="shared" si="658"/>
        <v>10.970284731354647</v>
      </c>
      <c r="I2657" s="336">
        <v>6.6948023392427005E-3</v>
      </c>
      <c r="J2657" s="258">
        <f t="shared" si="659"/>
        <v>6.6948023392427005E-3</v>
      </c>
      <c r="K2657" s="249">
        <f t="shared" si="660"/>
        <v>1608.727724766504</v>
      </c>
      <c r="L2657" s="336">
        <v>0.98175338185971106</v>
      </c>
      <c r="M2657" s="258">
        <f t="shared" si="661"/>
        <v>0.98175338185971106</v>
      </c>
      <c r="N2657" s="251">
        <f t="shared" si="662"/>
        <v>18.929118752141353</v>
      </c>
      <c r="O2657" s="336">
        <v>1.1551815801046228E-2</v>
      </c>
      <c r="P2657" s="258">
        <f t="shared" si="663"/>
        <v>1.1551815801046228E-2</v>
      </c>
      <c r="Q2657" s="354">
        <v>1599.7484999999999</v>
      </c>
      <c r="R2657" s="249">
        <f t="shared" si="664"/>
        <v>1638.6271282499999</v>
      </c>
      <c r="S2657" s="355">
        <v>0.1</v>
      </c>
      <c r="T2657" s="355"/>
      <c r="U2657" s="315">
        <f t="shared" si="652"/>
        <v>1802.489841075</v>
      </c>
      <c r="V2657" s="315">
        <f t="shared" si="653"/>
        <v>1825</v>
      </c>
      <c r="W2657" s="316">
        <f t="shared" si="655"/>
        <v>0</v>
      </c>
    </row>
    <row r="2658" spans="1:23" x14ac:dyDescent="0.25">
      <c r="A2658" s="204" t="s">
        <v>18332</v>
      </c>
      <c r="B2658" s="351" t="s">
        <v>22340</v>
      </c>
      <c r="C2658" s="352"/>
      <c r="D2658" s="353" t="s">
        <v>5</v>
      </c>
      <c r="E2658" s="249">
        <f t="shared" si="656"/>
        <v>0</v>
      </c>
      <c r="F2658" s="336">
        <v>0</v>
      </c>
      <c r="G2658" s="258">
        <f t="shared" si="657"/>
        <v>0</v>
      </c>
      <c r="H2658" s="249">
        <f t="shared" si="658"/>
        <v>6.3780810186605238E-2</v>
      </c>
      <c r="I2658" s="336">
        <v>6.4391326109600544E-3</v>
      </c>
      <c r="J2658" s="258">
        <f t="shared" si="659"/>
        <v>6.4391326109600544E-3</v>
      </c>
      <c r="K2658" s="249">
        <f t="shared" si="660"/>
        <v>9.7312930952007957</v>
      </c>
      <c r="L2658" s="336">
        <v>0.98244419493557111</v>
      </c>
      <c r="M2658" s="258">
        <f t="shared" si="661"/>
        <v>0.98244419493557111</v>
      </c>
      <c r="N2658" s="251">
        <f t="shared" si="662"/>
        <v>0.11005316267492667</v>
      </c>
      <c r="O2658" s="336">
        <v>1.1110660191460484E-2</v>
      </c>
      <c r="P2658" s="258">
        <f t="shared" si="663"/>
        <v>1.1110660191460484E-2</v>
      </c>
      <c r="Q2658" s="354">
        <v>9.6701598837209293</v>
      </c>
      <c r="R2658" s="249">
        <f t="shared" si="664"/>
        <v>9.9051866206395331</v>
      </c>
      <c r="S2658" s="355">
        <v>0.1</v>
      </c>
      <c r="T2658" s="355"/>
      <c r="U2658" s="315">
        <f t="shared" si="652"/>
        <v>10.895705282703487</v>
      </c>
      <c r="V2658" s="315">
        <f t="shared" si="653"/>
        <v>11</v>
      </c>
      <c r="W2658" s="316">
        <f t="shared" si="655"/>
        <v>0</v>
      </c>
    </row>
    <row r="2659" spans="1:23" x14ac:dyDescent="0.25">
      <c r="A2659" s="204" t="s">
        <v>18333</v>
      </c>
      <c r="B2659" s="351" t="s">
        <v>22341</v>
      </c>
      <c r="C2659" s="352"/>
      <c r="D2659" s="353" t="s">
        <v>14859</v>
      </c>
      <c r="E2659" s="249">
        <f t="shared" si="656"/>
        <v>0</v>
      </c>
      <c r="F2659" s="336">
        <v>0</v>
      </c>
      <c r="G2659" s="258">
        <f t="shared" si="657"/>
        <v>0</v>
      </c>
      <c r="H2659" s="249">
        <f t="shared" si="658"/>
        <v>10.9703653210097</v>
      </c>
      <c r="I2659" s="336">
        <v>6.4391326109600536E-3</v>
      </c>
      <c r="J2659" s="258">
        <f t="shared" si="659"/>
        <v>6.4391326109600536E-3</v>
      </c>
      <c r="K2659" s="249">
        <f t="shared" si="660"/>
        <v>1673.8027206201891</v>
      </c>
      <c r="L2659" s="336">
        <v>0.98245020719757947</v>
      </c>
      <c r="M2659" s="258">
        <f t="shared" si="661"/>
        <v>0.98245020719757947</v>
      </c>
      <c r="N2659" s="251">
        <f t="shared" si="662"/>
        <v>18.929257808801051</v>
      </c>
      <c r="O2659" s="336">
        <v>1.1110660191460484E-2</v>
      </c>
      <c r="P2659" s="258">
        <f t="shared" si="663"/>
        <v>1.1110660191460484E-2</v>
      </c>
      <c r="Q2659" s="354">
        <v>1663.2674999999999</v>
      </c>
      <c r="R2659" s="249">
        <f t="shared" si="664"/>
        <v>1703.70234375</v>
      </c>
      <c r="S2659" s="355">
        <v>0.1</v>
      </c>
      <c r="T2659" s="355"/>
      <c r="U2659" s="315">
        <f t="shared" si="652"/>
        <v>1874.0725781249998</v>
      </c>
      <c r="V2659" s="315">
        <f t="shared" si="653"/>
        <v>1875</v>
      </c>
      <c r="W2659" s="316">
        <f t="shared" si="655"/>
        <v>0</v>
      </c>
    </row>
    <row r="2660" spans="1:23" x14ac:dyDescent="0.25">
      <c r="A2660" s="204" t="s">
        <v>18334</v>
      </c>
      <c r="B2660" s="351" t="s">
        <v>22342</v>
      </c>
      <c r="C2660" s="352"/>
      <c r="D2660" s="353" t="s">
        <v>5</v>
      </c>
      <c r="E2660" s="249">
        <f t="shared" si="656"/>
        <v>0</v>
      </c>
      <c r="F2660" s="336">
        <v>0</v>
      </c>
      <c r="G2660" s="258">
        <f t="shared" si="657"/>
        <v>0</v>
      </c>
      <c r="H2660" s="249">
        <f t="shared" si="658"/>
        <v>6.3780921728191955E-2</v>
      </c>
      <c r="I2660" s="336">
        <v>6.3801838994182779E-3</v>
      </c>
      <c r="J2660" s="258">
        <f t="shared" si="659"/>
        <v>6.3801838994182779E-3</v>
      </c>
      <c r="K2660" s="249">
        <f t="shared" si="660"/>
        <v>9.8228276966144055</v>
      </c>
      <c r="L2660" s="336">
        <v>0.98260491411176343</v>
      </c>
      <c r="M2660" s="258">
        <f t="shared" si="661"/>
        <v>0.98260491411176343</v>
      </c>
      <c r="N2660" s="251">
        <f t="shared" si="662"/>
        <v>0.110053355138841</v>
      </c>
      <c r="O2660" s="336">
        <v>1.1008944767623693E-2</v>
      </c>
      <c r="P2660" s="258">
        <f t="shared" si="663"/>
        <v>1.1008944767623693E-2</v>
      </c>
      <c r="Q2660" s="354">
        <v>9.7595058139534885</v>
      </c>
      <c r="R2660" s="249">
        <f t="shared" si="664"/>
        <v>9.9967215261627906</v>
      </c>
      <c r="S2660" s="355">
        <v>0.1</v>
      </c>
      <c r="T2660" s="355"/>
      <c r="U2660" s="315">
        <f t="shared" si="652"/>
        <v>10.99639367877907</v>
      </c>
      <c r="V2660" s="315">
        <f t="shared" si="653"/>
        <v>11</v>
      </c>
      <c r="W2660" s="316">
        <f t="shared" si="655"/>
        <v>0</v>
      </c>
    </row>
    <row r="2661" spans="1:23" x14ac:dyDescent="0.25">
      <c r="A2661" s="204" t="s">
        <v>18335</v>
      </c>
      <c r="B2661" s="351" t="s">
        <v>22343</v>
      </c>
      <c r="C2661" s="352"/>
      <c r="D2661" s="353" t="s">
        <v>14859</v>
      </c>
      <c r="E2661" s="249">
        <f t="shared" si="656"/>
        <v>0</v>
      </c>
      <c r="F2661" s="336">
        <v>0</v>
      </c>
      <c r="G2661" s="258">
        <f t="shared" si="657"/>
        <v>0</v>
      </c>
      <c r="H2661" s="249">
        <f t="shared" si="658"/>
        <v>10.970383902233065</v>
      </c>
      <c r="I2661" s="336">
        <v>6.3801838994182779E-3</v>
      </c>
      <c r="J2661" s="258">
        <f t="shared" si="659"/>
        <v>6.3801838994182779E-3</v>
      </c>
      <c r="K2661" s="249">
        <f t="shared" si="660"/>
        <v>1689.546673727247</v>
      </c>
      <c r="L2661" s="336">
        <v>0.98261087133295799</v>
      </c>
      <c r="M2661" s="258">
        <f t="shared" si="661"/>
        <v>0.98261087133295799</v>
      </c>
      <c r="N2661" s="251">
        <f t="shared" si="662"/>
        <v>18.929289870519799</v>
      </c>
      <c r="O2661" s="336">
        <v>1.1008944767623695E-2</v>
      </c>
      <c r="P2661" s="258">
        <f t="shared" si="663"/>
        <v>1.1008944767623695E-2</v>
      </c>
      <c r="Q2661" s="354">
        <v>1678.635</v>
      </c>
      <c r="R2661" s="249">
        <f t="shared" si="664"/>
        <v>1719.4463475</v>
      </c>
      <c r="S2661" s="355">
        <v>0.1</v>
      </c>
      <c r="T2661" s="355"/>
      <c r="U2661" s="315">
        <f t="shared" ref="U2661:U2723" si="665">(R2661*S2661)+R2661</f>
        <v>1891.39098225</v>
      </c>
      <c r="V2661" s="315">
        <f t="shared" ref="V2661:V2723" si="666">IF(U2661=0, 0, IF(U2661&lt;10, _xlfn.CEILING.MATH(U2661,1), IF(U2661&lt;100, _xlfn.CEILING.MATH(U2661,1),IF(U2661&lt;1000, _xlfn.CEILING.MATH(U2661,5), IF(U2661&lt;10000, _xlfn.CEILING.MATH(U2661, 25), IF(U2661&lt;100000, _xlfn.CEILING.MATH(U2661,250), IF(U2661&lt;1000000, _xlfn.CEILING.MATH(U2661,500), 0)))))))</f>
        <v>1900</v>
      </c>
      <c r="W2661" s="316">
        <f t="shared" si="655"/>
        <v>0</v>
      </c>
    </row>
    <row r="2662" spans="1:23" x14ac:dyDescent="0.25">
      <c r="A2662" s="204" t="s">
        <v>18336</v>
      </c>
      <c r="B2662" s="351" t="s">
        <v>22344</v>
      </c>
      <c r="C2662" s="352"/>
      <c r="D2662" s="353" t="s">
        <v>5</v>
      </c>
      <c r="E2662" s="249">
        <f t="shared" si="656"/>
        <v>0</v>
      </c>
      <c r="F2662" s="336">
        <v>0</v>
      </c>
      <c r="G2662" s="258">
        <f t="shared" si="657"/>
        <v>0</v>
      </c>
      <c r="H2662" s="249">
        <f t="shared" si="658"/>
        <v>6.378136189045687E-2</v>
      </c>
      <c r="I2662" s="336">
        <v>6.1475621558140106E-3</v>
      </c>
      <c r="J2662" s="258">
        <f t="shared" si="659"/>
        <v>6.1475621558140106E-3</v>
      </c>
      <c r="K2662" s="249">
        <f t="shared" si="660"/>
        <v>10.201170772708275</v>
      </c>
      <c r="L2662" s="336">
        <v>0.98323913959385911</v>
      </c>
      <c r="M2662" s="258">
        <f t="shared" si="661"/>
        <v>0.98323913959385911</v>
      </c>
      <c r="N2662" s="251">
        <f t="shared" si="662"/>
        <v>0.1100541146345138</v>
      </c>
      <c r="O2662" s="336">
        <v>1.0607558229639861E-2</v>
      </c>
      <c r="P2662" s="258">
        <f t="shared" si="663"/>
        <v>1.0607558229639861E-2</v>
      </c>
      <c r="Q2662" s="354">
        <v>10.128802325581395</v>
      </c>
      <c r="R2662" s="249">
        <f t="shared" si="664"/>
        <v>10.375065802325581</v>
      </c>
      <c r="S2662" s="355">
        <v>0.1</v>
      </c>
      <c r="T2662" s="355"/>
      <c r="U2662" s="315">
        <f t="shared" si="665"/>
        <v>11.412572382558139</v>
      </c>
      <c r="V2662" s="315">
        <f t="shared" si="666"/>
        <v>12</v>
      </c>
      <c r="W2662" s="316">
        <f t="shared" si="655"/>
        <v>0</v>
      </c>
    </row>
    <row r="2663" spans="1:23" x14ac:dyDescent="0.25">
      <c r="A2663" s="204" t="s">
        <v>18337</v>
      </c>
      <c r="B2663" s="351" t="s">
        <v>22345</v>
      </c>
      <c r="C2663" s="352"/>
      <c r="D2663" s="353" t="s">
        <v>14859</v>
      </c>
      <c r="E2663" s="249">
        <f t="shared" si="656"/>
        <v>0</v>
      </c>
      <c r="F2663" s="336">
        <v>0</v>
      </c>
      <c r="G2663" s="258">
        <f t="shared" si="657"/>
        <v>0</v>
      </c>
      <c r="H2663" s="249">
        <f t="shared" si="658"/>
        <v>10.970457226932867</v>
      </c>
      <c r="I2663" s="336">
        <v>6.1475621558140098E-3</v>
      </c>
      <c r="J2663" s="258">
        <f t="shared" si="659"/>
        <v>6.1475621558140098E-3</v>
      </c>
      <c r="K2663" s="249">
        <f t="shared" si="660"/>
        <v>1754.6216893814967</v>
      </c>
      <c r="L2663" s="336">
        <v>0.9832448796145461</v>
      </c>
      <c r="M2663" s="258">
        <f t="shared" si="661"/>
        <v>0.9832448796145461</v>
      </c>
      <c r="N2663" s="251">
        <f t="shared" si="662"/>
        <v>18.929416391570438</v>
      </c>
      <c r="O2663" s="336">
        <v>1.0607558229639861E-2</v>
      </c>
      <c r="P2663" s="258">
        <f t="shared" si="663"/>
        <v>1.0607558229639861E-2</v>
      </c>
      <c r="Q2663" s="354">
        <v>1742.154</v>
      </c>
      <c r="R2663" s="249">
        <f t="shared" si="664"/>
        <v>1784.521563</v>
      </c>
      <c r="S2663" s="355">
        <v>0.1</v>
      </c>
      <c r="T2663" s="355"/>
      <c r="U2663" s="315">
        <f t="shared" si="665"/>
        <v>1962.9737193000001</v>
      </c>
      <c r="V2663" s="315">
        <f t="shared" si="666"/>
        <v>1975</v>
      </c>
      <c r="W2663" s="316">
        <f t="shared" si="655"/>
        <v>0</v>
      </c>
    </row>
    <row r="2664" spans="1:23" x14ac:dyDescent="0.25">
      <c r="A2664" s="204" t="s">
        <v>18338</v>
      </c>
      <c r="B2664" s="351" t="s">
        <v>22346</v>
      </c>
      <c r="C2664" s="352"/>
      <c r="D2664" s="353" t="s">
        <v>5</v>
      </c>
      <c r="E2664" s="249">
        <f t="shared" si="656"/>
        <v>0</v>
      </c>
      <c r="F2664" s="336">
        <v>0</v>
      </c>
      <c r="G2664" s="258">
        <f t="shared" si="657"/>
        <v>0</v>
      </c>
      <c r="H2664" s="249">
        <f t="shared" si="658"/>
        <v>6.378136189045687E-2</v>
      </c>
      <c r="I2664" s="336">
        <v>6.1475621558140106E-3</v>
      </c>
      <c r="J2664" s="258">
        <f t="shared" si="659"/>
        <v>6.1475621558140106E-3</v>
      </c>
      <c r="K2664" s="249">
        <f t="shared" si="660"/>
        <v>10.201170772708275</v>
      </c>
      <c r="L2664" s="336">
        <v>0.98323913959385911</v>
      </c>
      <c r="M2664" s="258">
        <f t="shared" si="661"/>
        <v>0.98323913959385911</v>
      </c>
      <c r="N2664" s="251">
        <f t="shared" si="662"/>
        <v>0.1100541146345138</v>
      </c>
      <c r="O2664" s="336">
        <v>1.0607558229639861E-2</v>
      </c>
      <c r="P2664" s="258">
        <f t="shared" si="663"/>
        <v>1.0607558229639861E-2</v>
      </c>
      <c r="Q2664" s="354">
        <v>10.128802325581395</v>
      </c>
      <c r="R2664" s="249">
        <f t="shared" si="664"/>
        <v>10.375065802325581</v>
      </c>
      <c r="S2664" s="355">
        <v>0.1</v>
      </c>
      <c r="T2664" s="355"/>
      <c r="U2664" s="315">
        <f t="shared" si="665"/>
        <v>11.412572382558139</v>
      </c>
      <c r="V2664" s="315">
        <f t="shared" si="666"/>
        <v>12</v>
      </c>
      <c r="W2664" s="316">
        <f t="shared" si="655"/>
        <v>0</v>
      </c>
    </row>
    <row r="2665" spans="1:23" x14ac:dyDescent="0.25">
      <c r="A2665" s="204" t="s">
        <v>18339</v>
      </c>
      <c r="B2665" s="351" t="s">
        <v>22347</v>
      </c>
      <c r="C2665" s="352"/>
      <c r="D2665" s="353" t="s">
        <v>14859</v>
      </c>
      <c r="E2665" s="249">
        <f t="shared" si="656"/>
        <v>0</v>
      </c>
      <c r="F2665" s="336">
        <v>0</v>
      </c>
      <c r="G2665" s="258">
        <f t="shared" si="657"/>
        <v>0</v>
      </c>
      <c r="H2665" s="249">
        <f t="shared" si="658"/>
        <v>10.970457226932867</v>
      </c>
      <c r="I2665" s="336">
        <v>6.1475621558140098E-3</v>
      </c>
      <c r="J2665" s="258">
        <f t="shared" si="659"/>
        <v>6.1475621558140098E-3</v>
      </c>
      <c r="K2665" s="249">
        <f t="shared" si="660"/>
        <v>1754.6216893814967</v>
      </c>
      <c r="L2665" s="336">
        <v>0.9832448796145461</v>
      </c>
      <c r="M2665" s="258">
        <f t="shared" si="661"/>
        <v>0.9832448796145461</v>
      </c>
      <c r="N2665" s="251">
        <f t="shared" si="662"/>
        <v>18.929416391570438</v>
      </c>
      <c r="O2665" s="336">
        <v>1.0607558229639861E-2</v>
      </c>
      <c r="P2665" s="258">
        <f t="shared" si="663"/>
        <v>1.0607558229639861E-2</v>
      </c>
      <c r="Q2665" s="354">
        <v>1742.154</v>
      </c>
      <c r="R2665" s="249">
        <f t="shared" si="664"/>
        <v>1784.521563</v>
      </c>
      <c r="S2665" s="355">
        <v>0.1</v>
      </c>
      <c r="T2665" s="355"/>
      <c r="U2665" s="315">
        <f t="shared" si="665"/>
        <v>1962.9737193000001</v>
      </c>
      <c r="V2665" s="315">
        <f t="shared" si="666"/>
        <v>1975</v>
      </c>
      <c r="W2665" s="316">
        <f t="shared" si="655"/>
        <v>0</v>
      </c>
    </row>
    <row r="2666" spans="1:23" x14ac:dyDescent="0.25">
      <c r="A2666" s="204" t="s">
        <v>18340</v>
      </c>
      <c r="B2666" s="351" t="s">
        <v>22348</v>
      </c>
      <c r="C2666" s="352"/>
      <c r="D2666" s="353" t="s">
        <v>5</v>
      </c>
      <c r="E2666" s="249">
        <f t="shared" si="656"/>
        <v>0</v>
      </c>
      <c r="F2666" s="336">
        <v>0</v>
      </c>
      <c r="G2666" s="258">
        <f t="shared" si="657"/>
        <v>0</v>
      </c>
      <c r="H2666" s="249">
        <f t="shared" si="658"/>
        <v>6.3782176186542597E-2</v>
      </c>
      <c r="I2666" s="336">
        <v>5.7172140992585241E-3</v>
      </c>
      <c r="J2666" s="258">
        <f t="shared" si="659"/>
        <v>5.7172140992585241E-3</v>
      </c>
      <c r="K2666" s="249">
        <f t="shared" si="660"/>
        <v>10.982266413057081</v>
      </c>
      <c r="L2666" s="336">
        <v>0.98441245082181617</v>
      </c>
      <c r="M2666" s="258">
        <f t="shared" si="661"/>
        <v>0.98441245082181617</v>
      </c>
      <c r="N2666" s="251">
        <f t="shared" si="662"/>
        <v>0.11005551969442644</v>
      </c>
      <c r="O2666" s="336">
        <v>9.8649968771519631E-3</v>
      </c>
      <c r="P2666" s="258">
        <f t="shared" si="663"/>
        <v>9.8649968771519631E-3</v>
      </c>
      <c r="Q2666" s="354">
        <v>10.891220930232558</v>
      </c>
      <c r="R2666" s="249">
        <f t="shared" si="664"/>
        <v>11.156163662790698</v>
      </c>
      <c r="S2666" s="355">
        <v>0.1</v>
      </c>
      <c r="T2666" s="355"/>
      <c r="U2666" s="315">
        <f t="shared" si="665"/>
        <v>12.271780029069769</v>
      </c>
      <c r="V2666" s="315">
        <f t="shared" si="666"/>
        <v>13</v>
      </c>
      <c r="W2666" s="316">
        <f t="shared" si="655"/>
        <v>0</v>
      </c>
    </row>
    <row r="2667" spans="1:23" x14ac:dyDescent="0.25">
      <c r="A2667" s="204" t="s">
        <v>18341</v>
      </c>
      <c r="B2667" s="351" t="s">
        <v>22349</v>
      </c>
      <c r="C2667" s="352"/>
      <c r="D2667" s="353" t="s">
        <v>14859</v>
      </c>
      <c r="E2667" s="249">
        <f t="shared" si="656"/>
        <v>0</v>
      </c>
      <c r="F2667" s="336">
        <v>0</v>
      </c>
      <c r="G2667" s="258">
        <f t="shared" si="657"/>
        <v>0</v>
      </c>
      <c r="H2667" s="249">
        <f t="shared" si="658"/>
        <v>10.970592876943773</v>
      </c>
      <c r="I2667" s="336">
        <v>5.7172140992585241E-3</v>
      </c>
      <c r="J2667" s="258">
        <f t="shared" si="659"/>
        <v>5.7172140992585241E-3</v>
      </c>
      <c r="K2667" s="249">
        <f t="shared" si="660"/>
        <v>1888.9701516687217</v>
      </c>
      <c r="L2667" s="336">
        <v>0.98441778902358945</v>
      </c>
      <c r="M2667" s="258">
        <f t="shared" si="661"/>
        <v>0.98441778902358945</v>
      </c>
      <c r="N2667" s="251">
        <f t="shared" si="662"/>
        <v>18.929650454334354</v>
      </c>
      <c r="O2667" s="336">
        <v>9.8649968771519631E-3</v>
      </c>
      <c r="P2667" s="258">
        <f t="shared" si="663"/>
        <v>9.8649968771519631E-3</v>
      </c>
      <c r="Q2667" s="354">
        <v>1873.29</v>
      </c>
      <c r="R2667" s="249">
        <f t="shared" si="664"/>
        <v>1918.8703949999999</v>
      </c>
      <c r="S2667" s="355">
        <v>0.1</v>
      </c>
      <c r="T2667" s="355"/>
      <c r="U2667" s="315">
        <f t="shared" si="665"/>
        <v>2110.7574344999998</v>
      </c>
      <c r="V2667" s="315">
        <f t="shared" si="666"/>
        <v>2125</v>
      </c>
      <c r="W2667" s="316">
        <f t="shared" si="655"/>
        <v>0</v>
      </c>
    </row>
    <row r="2668" spans="1:23" x14ac:dyDescent="0.25">
      <c r="A2668" s="204" t="s">
        <v>18342</v>
      </c>
      <c r="B2668" s="351" t="s">
        <v>22350</v>
      </c>
      <c r="C2668" s="352"/>
      <c r="D2668" s="353" t="s">
        <v>5</v>
      </c>
      <c r="E2668" s="249">
        <f t="shared" si="656"/>
        <v>0</v>
      </c>
      <c r="F2668" s="336">
        <v>0</v>
      </c>
      <c r="G2668" s="258">
        <f t="shared" si="657"/>
        <v>0</v>
      </c>
      <c r="H2668" s="249">
        <f t="shared" si="658"/>
        <v>6.3782868408458274E-2</v>
      </c>
      <c r="I2668" s="336">
        <v>5.3513811285118449E-3</v>
      </c>
      <c r="J2668" s="258">
        <f t="shared" si="659"/>
        <v>5.3513811285118449E-3</v>
      </c>
      <c r="K2668" s="249">
        <f t="shared" si="660"/>
        <v>11.745055405127168</v>
      </c>
      <c r="L2668" s="336">
        <v>0.98540986657772678</v>
      </c>
      <c r="M2668" s="258">
        <f t="shared" si="661"/>
        <v>0.98540986657772678</v>
      </c>
      <c r="N2668" s="251">
        <f t="shared" si="662"/>
        <v>0.11005671411655542</v>
      </c>
      <c r="O2668" s="336">
        <v>9.2337556727263188E-3</v>
      </c>
      <c r="P2668" s="258">
        <f t="shared" si="663"/>
        <v>9.2337556727263188E-3</v>
      </c>
      <c r="Q2668" s="354">
        <v>11.635770348837209</v>
      </c>
      <c r="R2668" s="249">
        <f t="shared" si="664"/>
        <v>11.918954542151162</v>
      </c>
      <c r="S2668" s="355">
        <v>0.1</v>
      </c>
      <c r="T2668" s="355"/>
      <c r="U2668" s="315">
        <f t="shared" si="665"/>
        <v>13.110849996366278</v>
      </c>
      <c r="V2668" s="315">
        <f t="shared" si="666"/>
        <v>14</v>
      </c>
      <c r="W2668" s="316">
        <f t="shared" si="655"/>
        <v>0</v>
      </c>
    </row>
    <row r="2669" spans="1:23" x14ac:dyDescent="0.25">
      <c r="A2669" s="204" t="s">
        <v>18343</v>
      </c>
      <c r="B2669" s="351" t="s">
        <v>22351</v>
      </c>
      <c r="C2669" s="352"/>
      <c r="D2669" s="353" t="s">
        <v>14859</v>
      </c>
      <c r="E2669" s="249">
        <f t="shared" si="656"/>
        <v>0</v>
      </c>
      <c r="F2669" s="336">
        <v>0</v>
      </c>
      <c r="G2669" s="258">
        <f t="shared" si="657"/>
        <v>0</v>
      </c>
      <c r="H2669" s="249">
        <f t="shared" si="658"/>
        <v>10.970708191154481</v>
      </c>
      <c r="I2669" s="336">
        <v>5.3513811285118441E-3</v>
      </c>
      <c r="J2669" s="258">
        <f t="shared" si="659"/>
        <v>5.3513811285118441E-3</v>
      </c>
      <c r="K2669" s="249">
        <f t="shared" si="660"/>
        <v>2020.169868630971</v>
      </c>
      <c r="L2669" s="336">
        <v>0.98541486319876181</v>
      </c>
      <c r="M2669" s="258">
        <f t="shared" si="661"/>
        <v>0.98541486319876181</v>
      </c>
      <c r="N2669" s="251">
        <f t="shared" si="662"/>
        <v>18.929849427874398</v>
      </c>
      <c r="O2669" s="336">
        <v>9.2337556727263188E-3</v>
      </c>
      <c r="P2669" s="258">
        <f t="shared" si="663"/>
        <v>9.2337556727263188E-3</v>
      </c>
      <c r="Q2669" s="354">
        <v>2001.3525</v>
      </c>
      <c r="R2669" s="249">
        <f t="shared" si="664"/>
        <v>2050.0704262499999</v>
      </c>
      <c r="S2669" s="355">
        <v>0.1</v>
      </c>
      <c r="T2669" s="355"/>
      <c r="U2669" s="315">
        <f t="shared" si="665"/>
        <v>2255.0774688749998</v>
      </c>
      <c r="V2669" s="315">
        <f t="shared" si="666"/>
        <v>2275</v>
      </c>
      <c r="W2669" s="316">
        <f t="shared" si="655"/>
        <v>0</v>
      </c>
    </row>
    <row r="2670" spans="1:23" x14ac:dyDescent="0.25">
      <c r="A2670" s="204" t="s">
        <v>18344</v>
      </c>
      <c r="B2670" s="351" t="s">
        <v>22352</v>
      </c>
      <c r="C2670" s="352"/>
      <c r="D2670" s="353" t="s">
        <v>5</v>
      </c>
      <c r="E2670" s="249">
        <f t="shared" si="656"/>
        <v>0</v>
      </c>
      <c r="F2670" s="336">
        <v>0</v>
      </c>
      <c r="G2670" s="258">
        <f t="shared" si="657"/>
        <v>0</v>
      </c>
      <c r="H2670" s="249">
        <f t="shared" si="658"/>
        <v>6.3782996356636174E-2</v>
      </c>
      <c r="I2670" s="336">
        <v>5.2837616831075034E-3</v>
      </c>
      <c r="J2670" s="258">
        <f t="shared" si="659"/>
        <v>5.2837616831075034E-3</v>
      </c>
      <c r="K2670" s="249">
        <f t="shared" si="660"/>
        <v>11.897613232158287</v>
      </c>
      <c r="L2670" s="336">
        <v>0.98559422584997758</v>
      </c>
      <c r="M2670" s="258">
        <f t="shared" si="661"/>
        <v>0.98559422584997758</v>
      </c>
      <c r="N2670" s="251">
        <f t="shared" si="662"/>
        <v>0.11005693488988204</v>
      </c>
      <c r="O2670" s="336">
        <v>9.1170789826168688E-3</v>
      </c>
      <c r="P2670" s="258">
        <f t="shared" si="663"/>
        <v>9.1170789826168688E-3</v>
      </c>
      <c r="Q2670" s="354">
        <v>11.78468023255814</v>
      </c>
      <c r="R2670" s="249">
        <f t="shared" si="664"/>
        <v>12.071512718023254</v>
      </c>
      <c r="S2670" s="355">
        <v>0.1</v>
      </c>
      <c r="T2670" s="355"/>
      <c r="U2670" s="315">
        <f t="shared" si="665"/>
        <v>13.27866398982558</v>
      </c>
      <c r="V2670" s="315">
        <f t="shared" si="666"/>
        <v>14</v>
      </c>
      <c r="W2670" s="316">
        <f t="shared" si="655"/>
        <v>0</v>
      </c>
    </row>
    <row r="2671" spans="1:23" x14ac:dyDescent="0.25">
      <c r="A2671" s="204" t="s">
        <v>18345</v>
      </c>
      <c r="B2671" s="351" t="s">
        <v>22353</v>
      </c>
      <c r="C2671" s="352"/>
      <c r="D2671" s="353" t="s">
        <v>14859</v>
      </c>
      <c r="E2671" s="249">
        <f t="shared" si="656"/>
        <v>0</v>
      </c>
      <c r="F2671" s="336">
        <v>0</v>
      </c>
      <c r="G2671" s="258">
        <f t="shared" si="657"/>
        <v>0</v>
      </c>
      <c r="H2671" s="249">
        <f t="shared" si="658"/>
        <v>10.970729505479868</v>
      </c>
      <c r="I2671" s="336">
        <v>5.2837616831075034E-3</v>
      </c>
      <c r="J2671" s="258">
        <f t="shared" si="659"/>
        <v>5.2837616831075034E-3</v>
      </c>
      <c r="K2671" s="249">
        <f t="shared" si="660"/>
        <v>2046.4098167889861</v>
      </c>
      <c r="L2671" s="336">
        <v>0.98559915933427555</v>
      </c>
      <c r="M2671" s="258">
        <f t="shared" si="661"/>
        <v>0.98559915933427555</v>
      </c>
      <c r="N2671" s="251">
        <f t="shared" si="662"/>
        <v>18.92988620553389</v>
      </c>
      <c r="O2671" s="336">
        <v>9.1170789826168688E-3</v>
      </c>
      <c r="P2671" s="258">
        <f t="shared" si="663"/>
        <v>9.1170789826168688E-3</v>
      </c>
      <c r="Q2671" s="354">
        <v>2026.9649999999999</v>
      </c>
      <c r="R2671" s="249">
        <f t="shared" si="664"/>
        <v>2076.3104324999999</v>
      </c>
      <c r="S2671" s="355">
        <v>0.1</v>
      </c>
      <c r="T2671" s="355"/>
      <c r="U2671" s="315">
        <f t="shared" si="665"/>
        <v>2283.9414757499999</v>
      </c>
      <c r="V2671" s="315">
        <f t="shared" si="666"/>
        <v>2300</v>
      </c>
      <c r="W2671" s="316">
        <f t="shared" ref="W2671:W2723" si="667">C2671*V2671</f>
        <v>0</v>
      </c>
    </row>
    <row r="2672" spans="1:23" x14ac:dyDescent="0.25">
      <c r="A2672" s="204" t="s">
        <v>18346</v>
      </c>
      <c r="B2672" s="351" t="s">
        <v>22354</v>
      </c>
      <c r="C2672" s="352"/>
      <c r="D2672" s="353" t="s">
        <v>5</v>
      </c>
      <c r="E2672" s="249">
        <f t="shared" si="656"/>
        <v>0</v>
      </c>
      <c r="F2672" s="336">
        <v>0</v>
      </c>
      <c r="G2672" s="258">
        <f t="shared" si="657"/>
        <v>0</v>
      </c>
      <c r="H2672" s="249">
        <f t="shared" si="658"/>
        <v>6.3783228348663082E-2</v>
      </c>
      <c r="I2672" s="336">
        <v>5.1611560122046167E-3</v>
      </c>
      <c r="J2672" s="258">
        <f t="shared" si="659"/>
        <v>5.1611560122046167E-3</v>
      </c>
      <c r="K2672" s="249">
        <f t="shared" si="660"/>
        <v>12.184421970289218</v>
      </c>
      <c r="L2672" s="336">
        <v>0.98592850088175776</v>
      </c>
      <c r="M2672" s="258">
        <f t="shared" si="661"/>
        <v>0.98592850088175776</v>
      </c>
      <c r="N2672" s="251">
        <f t="shared" si="662"/>
        <v>0.11005733518984999</v>
      </c>
      <c r="O2672" s="336">
        <v>8.9055240994903168E-3</v>
      </c>
      <c r="P2672" s="258">
        <f t="shared" si="663"/>
        <v>8.9055240994903168E-3</v>
      </c>
      <c r="Q2672" s="354">
        <v>12.064630813953489</v>
      </c>
      <c r="R2672" s="249">
        <f t="shared" si="664"/>
        <v>12.35832208866279</v>
      </c>
      <c r="S2672" s="355">
        <v>0.1</v>
      </c>
      <c r="T2672" s="355"/>
      <c r="U2672" s="315">
        <f t="shared" si="665"/>
        <v>13.594154297529069</v>
      </c>
      <c r="V2672" s="315">
        <f t="shared" si="666"/>
        <v>14</v>
      </c>
      <c r="W2672" s="316">
        <f t="shared" si="667"/>
        <v>0</v>
      </c>
    </row>
    <row r="2673" spans="1:23" x14ac:dyDescent="0.25">
      <c r="A2673" s="204" t="s">
        <v>18347</v>
      </c>
      <c r="B2673" s="351" t="s">
        <v>22355</v>
      </c>
      <c r="C2673" s="352"/>
      <c r="D2673" s="353" t="s">
        <v>14859</v>
      </c>
      <c r="E2673" s="249">
        <f t="shared" si="656"/>
        <v>0</v>
      </c>
      <c r="F2673" s="336">
        <v>0</v>
      </c>
      <c r="G2673" s="258">
        <f t="shared" si="657"/>
        <v>0</v>
      </c>
      <c r="H2673" s="249">
        <f t="shared" si="658"/>
        <v>10.970768152013395</v>
      </c>
      <c r="I2673" s="336">
        <v>5.1611560122046159E-3</v>
      </c>
      <c r="J2673" s="258">
        <f t="shared" si="659"/>
        <v>5.1611560122046159E-3</v>
      </c>
      <c r="K2673" s="249">
        <f t="shared" si="660"/>
        <v>2095.7409232082382</v>
      </c>
      <c r="L2673" s="336">
        <v>0.98593331988830502</v>
      </c>
      <c r="M2673" s="258">
        <f t="shared" si="661"/>
        <v>0.98593331988830502</v>
      </c>
      <c r="N2673" s="251">
        <f t="shared" si="662"/>
        <v>18.929952889748602</v>
      </c>
      <c r="O2673" s="336">
        <v>8.9055240994903168E-3</v>
      </c>
      <c r="P2673" s="258">
        <f t="shared" si="663"/>
        <v>8.9055240994903168E-3</v>
      </c>
      <c r="Q2673" s="354">
        <v>2075.1165000000001</v>
      </c>
      <c r="R2673" s="249">
        <f t="shared" si="664"/>
        <v>2125.6416442500004</v>
      </c>
      <c r="S2673" s="355">
        <v>0.1</v>
      </c>
      <c r="T2673" s="355"/>
      <c r="U2673" s="315">
        <f t="shared" si="665"/>
        <v>2338.2058086750003</v>
      </c>
      <c r="V2673" s="315">
        <f t="shared" si="666"/>
        <v>2350</v>
      </c>
      <c r="W2673" s="316">
        <f t="shared" si="667"/>
        <v>0</v>
      </c>
    </row>
    <row r="2674" spans="1:23" x14ac:dyDescent="0.25">
      <c r="A2674" s="204" t="s">
        <v>18348</v>
      </c>
      <c r="B2674" s="351" t="s">
        <v>22356</v>
      </c>
      <c r="C2674" s="352"/>
      <c r="D2674" s="353" t="s">
        <v>5</v>
      </c>
      <c r="E2674" s="249">
        <f t="shared" si="656"/>
        <v>0</v>
      </c>
      <c r="F2674" s="336">
        <v>0</v>
      </c>
      <c r="G2674" s="258">
        <f t="shared" si="657"/>
        <v>0</v>
      </c>
      <c r="H2674" s="249">
        <f t="shared" si="658"/>
        <v>6.3783242791664543E-2</v>
      </c>
      <c r="I2674" s="336">
        <v>5.1535230176259156E-3</v>
      </c>
      <c r="J2674" s="258">
        <f t="shared" si="659"/>
        <v>5.1535230176259156E-3</v>
      </c>
      <c r="K2674" s="249">
        <f t="shared" si="660"/>
        <v>12.202728912016129</v>
      </c>
      <c r="L2674" s="336">
        <v>0.98594931166062794</v>
      </c>
      <c r="M2674" s="258">
        <f t="shared" si="661"/>
        <v>0.98594931166062794</v>
      </c>
      <c r="N2674" s="251">
        <f t="shared" si="662"/>
        <v>0.11005736011110744</v>
      </c>
      <c r="O2674" s="336">
        <v>8.8923534421780498E-3</v>
      </c>
      <c r="P2674" s="258">
        <f t="shared" si="663"/>
        <v>8.8923534421780498E-3</v>
      </c>
      <c r="Q2674" s="354">
        <v>12.0825</v>
      </c>
      <c r="R2674" s="249">
        <f t="shared" si="664"/>
        <v>12.376629069767443</v>
      </c>
      <c r="S2674" s="355">
        <v>0.1</v>
      </c>
      <c r="T2674" s="355"/>
      <c r="U2674" s="315">
        <f t="shared" si="665"/>
        <v>13.614291976744187</v>
      </c>
      <c r="V2674" s="315">
        <f t="shared" si="666"/>
        <v>14</v>
      </c>
      <c r="W2674" s="316">
        <f t="shared" si="667"/>
        <v>0</v>
      </c>
    </row>
    <row r="2675" spans="1:23" x14ac:dyDescent="0.25">
      <c r="A2675" s="204" t="s">
        <v>18349</v>
      </c>
      <c r="B2675" s="351" t="s">
        <v>22357</v>
      </c>
      <c r="C2675" s="352"/>
      <c r="D2675" s="353" t="s">
        <v>14859</v>
      </c>
      <c r="E2675" s="249">
        <f t="shared" si="656"/>
        <v>0</v>
      </c>
      <c r="F2675" s="336">
        <v>0</v>
      </c>
      <c r="G2675" s="258">
        <f t="shared" si="657"/>
        <v>0</v>
      </c>
      <c r="H2675" s="249">
        <f t="shared" si="658"/>
        <v>10.970770558009614</v>
      </c>
      <c r="I2675" s="336">
        <v>5.1535230176259147E-3</v>
      </c>
      <c r="J2675" s="258">
        <f t="shared" si="659"/>
        <v>5.1535230176259147E-3</v>
      </c>
      <c r="K2675" s="249">
        <f t="shared" si="660"/>
        <v>2098.8897174007188</v>
      </c>
      <c r="L2675" s="336">
        <v>0.98595412354019596</v>
      </c>
      <c r="M2675" s="258">
        <f t="shared" si="661"/>
        <v>0.98595412354019596</v>
      </c>
      <c r="N2675" s="251">
        <f t="shared" si="662"/>
        <v>18.929957041271493</v>
      </c>
      <c r="O2675" s="336">
        <v>8.8923534421780498E-3</v>
      </c>
      <c r="P2675" s="258">
        <f t="shared" si="663"/>
        <v>8.8923534421780498E-3</v>
      </c>
      <c r="Q2675" s="354">
        <v>2078.19</v>
      </c>
      <c r="R2675" s="249">
        <f t="shared" si="664"/>
        <v>2128.7904450000001</v>
      </c>
      <c r="S2675" s="355">
        <v>0.1</v>
      </c>
      <c r="T2675" s="355"/>
      <c r="U2675" s="315">
        <f t="shared" si="665"/>
        <v>2341.6694895000001</v>
      </c>
      <c r="V2675" s="315">
        <f t="shared" si="666"/>
        <v>2350</v>
      </c>
      <c r="W2675" s="316">
        <f t="shared" si="667"/>
        <v>0</v>
      </c>
    </row>
    <row r="2676" spans="1:23" x14ac:dyDescent="0.25">
      <c r="A2676" s="204" t="s">
        <v>18350</v>
      </c>
      <c r="B2676" s="351" t="s">
        <v>22358</v>
      </c>
      <c r="C2676" s="352"/>
      <c r="D2676" s="353" t="s">
        <v>5</v>
      </c>
      <c r="E2676" s="249">
        <f t="shared" si="656"/>
        <v>0</v>
      </c>
      <c r="F2676" s="336">
        <v>0</v>
      </c>
      <c r="G2676" s="258">
        <f t="shared" si="657"/>
        <v>0</v>
      </c>
      <c r="H2676" s="249">
        <f t="shared" si="658"/>
        <v>6.3783242791664543E-2</v>
      </c>
      <c r="I2676" s="336">
        <v>5.1535230176259156E-3</v>
      </c>
      <c r="J2676" s="258">
        <f t="shared" si="659"/>
        <v>5.1535230176259156E-3</v>
      </c>
      <c r="K2676" s="249">
        <f t="shared" si="660"/>
        <v>12.202728912016129</v>
      </c>
      <c r="L2676" s="336">
        <v>0.98594931166062794</v>
      </c>
      <c r="M2676" s="258">
        <f t="shared" si="661"/>
        <v>0.98594931166062794</v>
      </c>
      <c r="N2676" s="251">
        <f t="shared" si="662"/>
        <v>0.11005736011110744</v>
      </c>
      <c r="O2676" s="336">
        <v>8.8923534421780498E-3</v>
      </c>
      <c r="P2676" s="258">
        <f t="shared" si="663"/>
        <v>8.8923534421780498E-3</v>
      </c>
      <c r="Q2676" s="354">
        <v>12.0825</v>
      </c>
      <c r="R2676" s="249">
        <f t="shared" si="664"/>
        <v>12.376629069767443</v>
      </c>
      <c r="S2676" s="355">
        <v>0.1</v>
      </c>
      <c r="T2676" s="355"/>
      <c r="U2676" s="315">
        <f t="shared" si="665"/>
        <v>13.614291976744187</v>
      </c>
      <c r="V2676" s="315">
        <f t="shared" si="666"/>
        <v>14</v>
      </c>
      <c r="W2676" s="316">
        <f t="shared" si="667"/>
        <v>0</v>
      </c>
    </row>
    <row r="2677" spans="1:23" x14ac:dyDescent="0.25">
      <c r="A2677" s="204" t="s">
        <v>18351</v>
      </c>
      <c r="B2677" s="351" t="s">
        <v>22359</v>
      </c>
      <c r="C2677" s="352"/>
      <c r="D2677" s="353" t="s">
        <v>14859</v>
      </c>
      <c r="E2677" s="249">
        <f t="shared" si="656"/>
        <v>0</v>
      </c>
      <c r="F2677" s="336">
        <v>0</v>
      </c>
      <c r="G2677" s="258">
        <f t="shared" si="657"/>
        <v>0</v>
      </c>
      <c r="H2677" s="249">
        <f t="shared" si="658"/>
        <v>10.970770558009614</v>
      </c>
      <c r="I2677" s="336">
        <v>5.1535230176259147E-3</v>
      </c>
      <c r="J2677" s="258">
        <f t="shared" si="659"/>
        <v>5.1535230176259147E-3</v>
      </c>
      <c r="K2677" s="249">
        <f t="shared" si="660"/>
        <v>2098.8897174007188</v>
      </c>
      <c r="L2677" s="336">
        <v>0.98595412354019596</v>
      </c>
      <c r="M2677" s="258">
        <f t="shared" si="661"/>
        <v>0.98595412354019596</v>
      </c>
      <c r="N2677" s="251">
        <f t="shared" si="662"/>
        <v>18.929957041271493</v>
      </c>
      <c r="O2677" s="336">
        <v>8.8923534421780498E-3</v>
      </c>
      <c r="P2677" s="258">
        <f t="shared" si="663"/>
        <v>8.8923534421780498E-3</v>
      </c>
      <c r="Q2677" s="354">
        <v>2078.19</v>
      </c>
      <c r="R2677" s="249">
        <f t="shared" si="664"/>
        <v>2128.7904450000001</v>
      </c>
      <c r="S2677" s="355">
        <v>0.1</v>
      </c>
      <c r="T2677" s="355"/>
      <c r="U2677" s="315">
        <f t="shared" si="665"/>
        <v>2341.6694895000001</v>
      </c>
      <c r="V2677" s="315">
        <f t="shared" si="666"/>
        <v>2350</v>
      </c>
      <c r="W2677" s="316">
        <f t="shared" si="667"/>
        <v>0</v>
      </c>
    </row>
    <row r="2678" spans="1:23" x14ac:dyDescent="0.25">
      <c r="A2678" s="204" t="s">
        <v>18352</v>
      </c>
      <c r="B2678" s="351" t="s">
        <v>22360</v>
      </c>
      <c r="C2678" s="352"/>
      <c r="D2678" s="353" t="s">
        <v>5</v>
      </c>
      <c r="E2678" s="249">
        <f t="shared" si="656"/>
        <v>0</v>
      </c>
      <c r="F2678" s="336">
        <v>0</v>
      </c>
      <c r="G2678" s="258">
        <f t="shared" si="657"/>
        <v>0</v>
      </c>
      <c r="H2678" s="249">
        <f t="shared" si="658"/>
        <v>6.3783242791664543E-2</v>
      </c>
      <c r="I2678" s="336">
        <v>5.1535230176259156E-3</v>
      </c>
      <c r="J2678" s="258">
        <f t="shared" si="659"/>
        <v>5.1535230176259156E-3</v>
      </c>
      <c r="K2678" s="249">
        <f t="shared" si="660"/>
        <v>12.202728912016129</v>
      </c>
      <c r="L2678" s="336">
        <v>0.98594931166062794</v>
      </c>
      <c r="M2678" s="258">
        <f t="shared" si="661"/>
        <v>0.98594931166062794</v>
      </c>
      <c r="N2678" s="251">
        <f t="shared" si="662"/>
        <v>0.11005736011110744</v>
      </c>
      <c r="O2678" s="336">
        <v>8.8923534421780498E-3</v>
      </c>
      <c r="P2678" s="258">
        <f t="shared" si="663"/>
        <v>8.8923534421780498E-3</v>
      </c>
      <c r="Q2678" s="354">
        <v>12.0825</v>
      </c>
      <c r="R2678" s="249">
        <f t="shared" si="664"/>
        <v>12.376629069767443</v>
      </c>
      <c r="S2678" s="355">
        <v>0.1</v>
      </c>
      <c r="T2678" s="355"/>
      <c r="U2678" s="315">
        <f t="shared" si="665"/>
        <v>13.614291976744187</v>
      </c>
      <c r="V2678" s="315">
        <f t="shared" si="666"/>
        <v>14</v>
      </c>
      <c r="W2678" s="316">
        <f t="shared" si="667"/>
        <v>0</v>
      </c>
    </row>
    <row r="2679" spans="1:23" x14ac:dyDescent="0.25">
      <c r="A2679" s="204" t="s">
        <v>18353</v>
      </c>
      <c r="B2679" s="351" t="s">
        <v>22361</v>
      </c>
      <c r="C2679" s="352"/>
      <c r="D2679" s="353" t="s">
        <v>14859</v>
      </c>
      <c r="E2679" s="249">
        <f t="shared" si="656"/>
        <v>0</v>
      </c>
      <c r="F2679" s="336">
        <v>0</v>
      </c>
      <c r="G2679" s="258">
        <f t="shared" si="657"/>
        <v>0</v>
      </c>
      <c r="H2679" s="249">
        <f t="shared" si="658"/>
        <v>10.970770558009614</v>
      </c>
      <c r="I2679" s="336">
        <v>5.1535230176259147E-3</v>
      </c>
      <c r="J2679" s="258">
        <f t="shared" si="659"/>
        <v>5.1535230176259147E-3</v>
      </c>
      <c r="K2679" s="249">
        <f t="shared" si="660"/>
        <v>2098.8897174007188</v>
      </c>
      <c r="L2679" s="336">
        <v>0.98595412354019596</v>
      </c>
      <c r="M2679" s="258">
        <f t="shared" si="661"/>
        <v>0.98595412354019596</v>
      </c>
      <c r="N2679" s="251">
        <f t="shared" si="662"/>
        <v>18.929957041271493</v>
      </c>
      <c r="O2679" s="336">
        <v>8.8923534421780498E-3</v>
      </c>
      <c r="P2679" s="258">
        <f t="shared" si="663"/>
        <v>8.8923534421780498E-3</v>
      </c>
      <c r="Q2679" s="354">
        <v>2078.19</v>
      </c>
      <c r="R2679" s="249">
        <f t="shared" si="664"/>
        <v>2128.7904450000001</v>
      </c>
      <c r="S2679" s="355">
        <v>0.1</v>
      </c>
      <c r="T2679" s="355"/>
      <c r="U2679" s="315">
        <f t="shared" si="665"/>
        <v>2341.6694895000001</v>
      </c>
      <c r="V2679" s="315">
        <f t="shared" si="666"/>
        <v>2350</v>
      </c>
      <c r="W2679" s="316">
        <f t="shared" si="667"/>
        <v>0</v>
      </c>
    </row>
    <row r="2680" spans="1:23" x14ac:dyDescent="0.25">
      <c r="A2680" s="204" t="s">
        <v>18354</v>
      </c>
      <c r="B2680" s="351" t="s">
        <v>22362</v>
      </c>
      <c r="C2680" s="352"/>
      <c r="D2680" s="353" t="s">
        <v>5</v>
      </c>
      <c r="E2680" s="249">
        <f t="shared" si="656"/>
        <v>0</v>
      </c>
      <c r="F2680" s="336">
        <v>0</v>
      </c>
      <c r="G2680" s="258">
        <f t="shared" si="657"/>
        <v>0</v>
      </c>
      <c r="H2680" s="249">
        <f t="shared" si="658"/>
        <v>6.3783242791664543E-2</v>
      </c>
      <c r="I2680" s="336">
        <v>5.1535230176259156E-3</v>
      </c>
      <c r="J2680" s="258">
        <f t="shared" si="659"/>
        <v>5.1535230176259156E-3</v>
      </c>
      <c r="K2680" s="249">
        <f t="shared" si="660"/>
        <v>12.202728912016129</v>
      </c>
      <c r="L2680" s="336">
        <v>0.98594931166062794</v>
      </c>
      <c r="M2680" s="258">
        <f t="shared" si="661"/>
        <v>0.98594931166062794</v>
      </c>
      <c r="N2680" s="251">
        <f t="shared" si="662"/>
        <v>0.11005736011110744</v>
      </c>
      <c r="O2680" s="336">
        <v>8.8923534421780498E-3</v>
      </c>
      <c r="P2680" s="258">
        <f t="shared" si="663"/>
        <v>8.8923534421780498E-3</v>
      </c>
      <c r="Q2680" s="354">
        <v>12.0825</v>
      </c>
      <c r="R2680" s="249">
        <f t="shared" si="664"/>
        <v>12.376629069767443</v>
      </c>
      <c r="S2680" s="355">
        <v>0.1</v>
      </c>
      <c r="T2680" s="355"/>
      <c r="U2680" s="315">
        <f t="shared" si="665"/>
        <v>13.614291976744187</v>
      </c>
      <c r="V2680" s="315">
        <f t="shared" si="666"/>
        <v>14</v>
      </c>
      <c r="W2680" s="316">
        <f t="shared" si="667"/>
        <v>0</v>
      </c>
    </row>
    <row r="2681" spans="1:23" x14ac:dyDescent="0.25">
      <c r="A2681" s="204" t="s">
        <v>18355</v>
      </c>
      <c r="B2681" s="351" t="s">
        <v>22363</v>
      </c>
      <c r="C2681" s="352"/>
      <c r="D2681" s="353" t="s">
        <v>14859</v>
      </c>
      <c r="E2681" s="249">
        <f t="shared" si="656"/>
        <v>0</v>
      </c>
      <c r="F2681" s="336">
        <v>0</v>
      </c>
      <c r="G2681" s="258">
        <f t="shared" si="657"/>
        <v>0</v>
      </c>
      <c r="H2681" s="249">
        <f t="shared" si="658"/>
        <v>10.970770558009614</v>
      </c>
      <c r="I2681" s="336">
        <v>5.1535230176259147E-3</v>
      </c>
      <c r="J2681" s="258">
        <f t="shared" si="659"/>
        <v>5.1535230176259147E-3</v>
      </c>
      <c r="K2681" s="249">
        <f t="shared" si="660"/>
        <v>2098.8897174007188</v>
      </c>
      <c r="L2681" s="336">
        <v>0.98595412354019596</v>
      </c>
      <c r="M2681" s="258">
        <f t="shared" si="661"/>
        <v>0.98595412354019596</v>
      </c>
      <c r="N2681" s="251">
        <f t="shared" si="662"/>
        <v>18.929957041271493</v>
      </c>
      <c r="O2681" s="336">
        <v>8.8923534421780498E-3</v>
      </c>
      <c r="P2681" s="258">
        <f t="shared" si="663"/>
        <v>8.8923534421780498E-3</v>
      </c>
      <c r="Q2681" s="354">
        <v>2078.19</v>
      </c>
      <c r="R2681" s="249">
        <f t="shared" si="664"/>
        <v>2128.7904450000001</v>
      </c>
      <c r="S2681" s="355">
        <v>0.1</v>
      </c>
      <c r="T2681" s="355"/>
      <c r="U2681" s="315">
        <f t="shared" si="665"/>
        <v>2341.6694895000001</v>
      </c>
      <c r="V2681" s="315">
        <f t="shared" si="666"/>
        <v>2350</v>
      </c>
      <c r="W2681" s="316">
        <f t="shared" si="667"/>
        <v>0</v>
      </c>
    </row>
    <row r="2682" spans="1:23" x14ac:dyDescent="0.25">
      <c r="A2682" s="204" t="s">
        <v>18356</v>
      </c>
      <c r="B2682" s="351" t="s">
        <v>22364</v>
      </c>
      <c r="C2682" s="352"/>
      <c r="D2682" s="353" t="s">
        <v>5</v>
      </c>
      <c r="E2682" s="249">
        <f t="shared" si="656"/>
        <v>0</v>
      </c>
      <c r="F2682" s="336">
        <v>0</v>
      </c>
      <c r="G2682" s="258">
        <f t="shared" si="657"/>
        <v>0</v>
      </c>
      <c r="H2682" s="249">
        <f t="shared" si="658"/>
        <v>6.378355907946083E-2</v>
      </c>
      <c r="I2682" s="336">
        <v>4.9863678011933766E-3</v>
      </c>
      <c r="J2682" s="258">
        <f t="shared" si="659"/>
        <v>4.9863678011933766E-3</v>
      </c>
      <c r="K2682" s="249">
        <f t="shared" si="660"/>
        <v>12.617686288053608</v>
      </c>
      <c r="L2682" s="336">
        <v>0.98640504763820291</v>
      </c>
      <c r="M2682" s="258">
        <f t="shared" si="661"/>
        <v>0.98640504763820291</v>
      </c>
      <c r="N2682" s="251">
        <f t="shared" si="662"/>
        <v>0.11005790586259906</v>
      </c>
      <c r="O2682" s="336">
        <v>8.6039287550003351E-3</v>
      </c>
      <c r="P2682" s="258">
        <f t="shared" si="663"/>
        <v>8.6039287550003351E-3</v>
      </c>
      <c r="Q2682" s="354">
        <v>12.487534883720929</v>
      </c>
      <c r="R2682" s="249">
        <f t="shared" si="664"/>
        <v>12.791587308139533</v>
      </c>
      <c r="S2682" s="355">
        <v>0.1</v>
      </c>
      <c r="T2682" s="355"/>
      <c r="U2682" s="315">
        <f t="shared" si="665"/>
        <v>14.070746038953487</v>
      </c>
      <c r="V2682" s="315">
        <f t="shared" si="666"/>
        <v>15</v>
      </c>
      <c r="W2682" s="316">
        <f t="shared" si="667"/>
        <v>0</v>
      </c>
    </row>
    <row r="2683" spans="1:23" x14ac:dyDescent="0.25">
      <c r="A2683" s="204" t="s">
        <v>18357</v>
      </c>
      <c r="B2683" s="351" t="s">
        <v>22365</v>
      </c>
      <c r="C2683" s="352"/>
      <c r="D2683" s="353" t="s">
        <v>14859</v>
      </c>
      <c r="E2683" s="249">
        <f t="shared" si="656"/>
        <v>0</v>
      </c>
      <c r="F2683" s="336">
        <v>0</v>
      </c>
      <c r="G2683" s="258">
        <f t="shared" si="657"/>
        <v>0</v>
      </c>
      <c r="H2683" s="249">
        <f t="shared" si="658"/>
        <v>10.970823247005388</v>
      </c>
      <c r="I2683" s="336">
        <v>4.9863678011933766E-3</v>
      </c>
      <c r="J2683" s="258">
        <f t="shared" si="659"/>
        <v>4.9863678011933766E-3</v>
      </c>
      <c r="K2683" s="249">
        <f t="shared" si="660"/>
        <v>2170.2623907973775</v>
      </c>
      <c r="L2683" s="336">
        <v>0.9864097034438063</v>
      </c>
      <c r="M2683" s="258">
        <f t="shared" si="661"/>
        <v>0.9864097034438063</v>
      </c>
      <c r="N2683" s="251">
        <f t="shared" si="662"/>
        <v>18.930047955617141</v>
      </c>
      <c r="O2683" s="336">
        <v>8.6039287550003368E-3</v>
      </c>
      <c r="P2683" s="258">
        <f t="shared" si="663"/>
        <v>8.6039287550003368E-3</v>
      </c>
      <c r="Q2683" s="354">
        <v>2147.8559999999998</v>
      </c>
      <c r="R2683" s="249">
        <f t="shared" si="664"/>
        <v>2200.163262</v>
      </c>
      <c r="S2683" s="355">
        <v>0.1</v>
      </c>
      <c r="T2683" s="355"/>
      <c r="U2683" s="315">
        <f t="shared" si="665"/>
        <v>2420.1795882000001</v>
      </c>
      <c r="V2683" s="315">
        <f t="shared" si="666"/>
        <v>2425</v>
      </c>
      <c r="W2683" s="316">
        <f t="shared" si="667"/>
        <v>0</v>
      </c>
    </row>
    <row r="2684" spans="1:23" x14ac:dyDescent="0.25">
      <c r="A2684" s="204" t="s">
        <v>18358</v>
      </c>
      <c r="B2684" s="351" t="s">
        <v>22366</v>
      </c>
      <c r="C2684" s="352"/>
      <c r="D2684" s="353" t="s">
        <v>5</v>
      </c>
      <c r="E2684" s="249">
        <f t="shared" si="656"/>
        <v>0</v>
      </c>
      <c r="F2684" s="336">
        <v>0</v>
      </c>
      <c r="G2684" s="258">
        <f t="shared" si="657"/>
        <v>0</v>
      </c>
      <c r="H2684" s="249">
        <f t="shared" si="658"/>
        <v>6.3784614312096338E-2</v>
      </c>
      <c r="I2684" s="336">
        <v>4.4286869749462854E-3</v>
      </c>
      <c r="J2684" s="258">
        <f t="shared" si="659"/>
        <v>4.4286869749462854E-3</v>
      </c>
      <c r="K2684" s="249">
        <f t="shared" si="660"/>
        <v>14.228697748251433</v>
      </c>
      <c r="L2684" s="336">
        <v>0.98792552197306893</v>
      </c>
      <c r="M2684" s="258">
        <f t="shared" si="661"/>
        <v>0.98792552197306893</v>
      </c>
      <c r="N2684" s="251">
        <f t="shared" si="662"/>
        <v>0.11005972665616623</v>
      </c>
      <c r="O2684" s="336">
        <v>7.6416559567700605E-3</v>
      </c>
      <c r="P2684" s="258">
        <f t="shared" si="663"/>
        <v>7.6416559567700605E-3</v>
      </c>
      <c r="Q2684" s="354">
        <v>14.060023255813954</v>
      </c>
      <c r="R2684" s="249">
        <f t="shared" si="664"/>
        <v>14.402601645348838</v>
      </c>
      <c r="S2684" s="355">
        <v>0.1</v>
      </c>
      <c r="T2684" s="355"/>
      <c r="U2684" s="315">
        <f t="shared" si="665"/>
        <v>15.842861809883722</v>
      </c>
      <c r="V2684" s="315">
        <f t="shared" si="666"/>
        <v>16</v>
      </c>
      <c r="W2684" s="316">
        <f t="shared" si="667"/>
        <v>0</v>
      </c>
    </row>
    <row r="2685" spans="1:23" x14ac:dyDescent="0.25">
      <c r="A2685" s="204" t="s">
        <v>18359</v>
      </c>
      <c r="B2685" s="351" t="s">
        <v>22367</v>
      </c>
      <c r="C2685" s="352"/>
      <c r="D2685" s="353" t="s">
        <v>14859</v>
      </c>
      <c r="E2685" s="249">
        <f t="shared" si="656"/>
        <v>0</v>
      </c>
      <c r="F2685" s="336">
        <v>0</v>
      </c>
      <c r="G2685" s="258">
        <f t="shared" si="657"/>
        <v>0</v>
      </c>
      <c r="H2685" s="249">
        <f t="shared" si="658"/>
        <v>10.970999033578629</v>
      </c>
      <c r="I2685" s="336">
        <v>4.4286869749462854E-3</v>
      </c>
      <c r="J2685" s="258">
        <f t="shared" si="659"/>
        <v>4.4286869749462854E-3</v>
      </c>
      <c r="K2685" s="249">
        <f t="shared" si="660"/>
        <v>2447.3563776927954</v>
      </c>
      <c r="L2685" s="336">
        <v>0.98792965706828362</v>
      </c>
      <c r="M2685" s="258">
        <f t="shared" si="661"/>
        <v>0.98792965706828362</v>
      </c>
      <c r="N2685" s="251">
        <f t="shared" si="662"/>
        <v>18.930351273625867</v>
      </c>
      <c r="O2685" s="336">
        <v>7.6416559567700605E-3</v>
      </c>
      <c r="P2685" s="258">
        <f t="shared" si="663"/>
        <v>7.6416559567700605E-3</v>
      </c>
      <c r="Q2685" s="354">
        <v>2418.3240000000001</v>
      </c>
      <c r="R2685" s="249">
        <f t="shared" si="664"/>
        <v>2477.257728</v>
      </c>
      <c r="S2685" s="355">
        <v>0.1</v>
      </c>
      <c r="T2685" s="355"/>
      <c r="U2685" s="315">
        <f t="shared" si="665"/>
        <v>2724.9835008</v>
      </c>
      <c r="V2685" s="315">
        <f t="shared" si="666"/>
        <v>2725</v>
      </c>
      <c r="W2685" s="316">
        <f t="shared" si="667"/>
        <v>0</v>
      </c>
    </row>
    <row r="2686" spans="1:23" x14ac:dyDescent="0.25">
      <c r="A2686" s="204" t="s">
        <v>18360</v>
      </c>
      <c r="B2686" s="351" t="s">
        <v>22368</v>
      </c>
      <c r="C2686" s="352"/>
      <c r="D2686" s="353" t="s">
        <v>5</v>
      </c>
      <c r="E2686" s="249">
        <f t="shared" si="656"/>
        <v>0</v>
      </c>
      <c r="F2686" s="336">
        <v>0</v>
      </c>
      <c r="G2686" s="258">
        <f t="shared" si="657"/>
        <v>0</v>
      </c>
      <c r="H2686" s="249">
        <f t="shared" si="658"/>
        <v>6.378553962225976E-2</v>
      </c>
      <c r="I2686" s="336">
        <v>3.939668990556382E-3</v>
      </c>
      <c r="J2686" s="258">
        <f t="shared" si="659"/>
        <v>3.939668990556382E-3</v>
      </c>
      <c r="K2686" s="249">
        <f t="shared" si="660"/>
        <v>16.016677046684613</v>
      </c>
      <c r="L2686" s="336">
        <v>0.98925879229465485</v>
      </c>
      <c r="M2686" s="258">
        <f t="shared" si="661"/>
        <v>0.98925879229465485</v>
      </c>
      <c r="N2686" s="251">
        <f t="shared" si="662"/>
        <v>0.11006132326978153</v>
      </c>
      <c r="O2686" s="336">
        <v>6.7978602189992469E-3</v>
      </c>
      <c r="P2686" s="258">
        <f t="shared" si="663"/>
        <v>6.7978602189992469E-3</v>
      </c>
      <c r="Q2686" s="354">
        <v>15.805247093023256</v>
      </c>
      <c r="R2686" s="249">
        <f t="shared" si="664"/>
        <v>16.190583466569766</v>
      </c>
      <c r="S2686" s="355">
        <v>0.1</v>
      </c>
      <c r="T2686" s="355"/>
      <c r="U2686" s="315">
        <f t="shared" si="665"/>
        <v>17.809641813226744</v>
      </c>
      <c r="V2686" s="315">
        <f t="shared" si="666"/>
        <v>18</v>
      </c>
      <c r="W2686" s="316">
        <f t="shared" si="667"/>
        <v>0</v>
      </c>
    </row>
    <row r="2687" spans="1:23" x14ac:dyDescent="0.25">
      <c r="A2687" s="204" t="s">
        <v>18361</v>
      </c>
      <c r="B2687" s="351" t="s">
        <v>22369</v>
      </c>
      <c r="C2687" s="352"/>
      <c r="D2687" s="353" t="s">
        <v>14859</v>
      </c>
      <c r="E2687" s="249">
        <f t="shared" si="656"/>
        <v>0</v>
      </c>
      <c r="F2687" s="336">
        <v>0</v>
      </c>
      <c r="G2687" s="258">
        <f t="shared" si="657"/>
        <v>0</v>
      </c>
      <c r="H2687" s="249">
        <f t="shared" si="658"/>
        <v>10.971153176937488</v>
      </c>
      <c r="I2687" s="336">
        <v>3.939668990556382E-3</v>
      </c>
      <c r="J2687" s="258">
        <f t="shared" si="659"/>
        <v>3.939668990556382E-3</v>
      </c>
      <c r="K2687" s="249">
        <f t="shared" si="660"/>
        <v>2754.8888308265823</v>
      </c>
      <c r="L2687" s="336">
        <v>0.98926247079044438</v>
      </c>
      <c r="M2687" s="258">
        <f t="shared" si="661"/>
        <v>0.98926247079044438</v>
      </c>
      <c r="N2687" s="251">
        <f t="shared" si="662"/>
        <v>18.93061724648037</v>
      </c>
      <c r="O2687" s="336">
        <v>6.7978602189992469E-3</v>
      </c>
      <c r="P2687" s="258">
        <f t="shared" si="663"/>
        <v>6.7978602189992469E-3</v>
      </c>
      <c r="Q2687" s="354">
        <v>2718.5025000000001</v>
      </c>
      <c r="R2687" s="249">
        <f t="shared" si="664"/>
        <v>2784.7906012500002</v>
      </c>
      <c r="S2687" s="355">
        <v>0.1</v>
      </c>
      <c r="T2687" s="355"/>
      <c r="U2687" s="315">
        <f t="shared" si="665"/>
        <v>3063.2696613750004</v>
      </c>
      <c r="V2687" s="315">
        <f t="shared" si="666"/>
        <v>3075</v>
      </c>
      <c r="W2687" s="316">
        <f t="shared" si="667"/>
        <v>0</v>
      </c>
    </row>
    <row r="2688" spans="1:23" x14ac:dyDescent="0.25">
      <c r="A2688" s="204" t="s">
        <v>18362</v>
      </c>
      <c r="B2688" s="351" t="s">
        <v>22370</v>
      </c>
      <c r="C2688" s="352"/>
      <c r="D2688" s="353" t="s">
        <v>5</v>
      </c>
      <c r="E2688" s="249">
        <f t="shared" si="656"/>
        <v>0</v>
      </c>
      <c r="F2688" s="336">
        <v>0</v>
      </c>
      <c r="G2688" s="258">
        <f t="shared" si="657"/>
        <v>0</v>
      </c>
      <c r="H2688" s="249">
        <f t="shared" si="658"/>
        <v>6.3786239642979733E-2</v>
      </c>
      <c r="I2688" s="336">
        <v>3.5697144228461729E-3</v>
      </c>
      <c r="J2688" s="258">
        <f t="shared" si="659"/>
        <v>3.5697144228461729E-3</v>
      </c>
      <c r="K2688" s="249">
        <f t="shared" si="660"/>
        <v>17.694815072724413</v>
      </c>
      <c r="L2688" s="336">
        <v>0.99026744527104504</v>
      </c>
      <c r="M2688" s="258">
        <f t="shared" si="661"/>
        <v>0.99026744527104504</v>
      </c>
      <c r="N2688" s="251">
        <f t="shared" si="662"/>
        <v>0.1100625311486709</v>
      </c>
      <c r="O2688" s="336">
        <v>6.1595072394208467E-3</v>
      </c>
      <c r="P2688" s="258">
        <f t="shared" si="663"/>
        <v>6.1595072394208467E-3</v>
      </c>
      <c r="Q2688" s="354">
        <v>17.443255813953488</v>
      </c>
      <c r="R2688" s="249">
        <f t="shared" si="664"/>
        <v>17.868723401162789</v>
      </c>
      <c r="S2688" s="355">
        <v>0.1</v>
      </c>
      <c r="T2688" s="355"/>
      <c r="U2688" s="315">
        <f t="shared" si="665"/>
        <v>19.655595741279068</v>
      </c>
      <c r="V2688" s="315">
        <f t="shared" si="666"/>
        <v>20</v>
      </c>
      <c r="W2688" s="316">
        <f t="shared" si="667"/>
        <v>0</v>
      </c>
    </row>
    <row r="2689" spans="1:23" x14ac:dyDescent="0.25">
      <c r="A2689" s="204" t="s">
        <v>18363</v>
      </c>
      <c r="B2689" s="351" t="s">
        <v>22371</v>
      </c>
      <c r="C2689" s="352"/>
      <c r="D2689" s="353" t="s">
        <v>14859</v>
      </c>
      <c r="E2689" s="249">
        <f t="shared" si="656"/>
        <v>0</v>
      </c>
      <c r="F2689" s="336">
        <v>0</v>
      </c>
      <c r="G2689" s="258">
        <f t="shared" si="657"/>
        <v>0</v>
      </c>
      <c r="H2689" s="249">
        <f t="shared" si="658"/>
        <v>10.971269790316775</v>
      </c>
      <c r="I2689" s="336">
        <v>3.5697144228461729E-3</v>
      </c>
      <c r="J2689" s="258">
        <f t="shared" si="659"/>
        <v>3.5697144228461729E-3</v>
      </c>
      <c r="K2689" s="249">
        <f t="shared" si="660"/>
        <v>3043.5285817479598</v>
      </c>
      <c r="L2689" s="336">
        <v>0.99027077833773292</v>
      </c>
      <c r="M2689" s="258">
        <f t="shared" si="661"/>
        <v>0.99027077833773292</v>
      </c>
      <c r="N2689" s="251">
        <f t="shared" si="662"/>
        <v>18.93081846172306</v>
      </c>
      <c r="O2689" s="336">
        <v>6.1595072394208467E-3</v>
      </c>
      <c r="P2689" s="258">
        <f t="shared" si="663"/>
        <v>6.1595072394208467E-3</v>
      </c>
      <c r="Q2689" s="354">
        <v>3000.24</v>
      </c>
      <c r="R2689" s="249">
        <f t="shared" si="664"/>
        <v>3073.4306699999997</v>
      </c>
      <c r="S2689" s="355">
        <v>0.1</v>
      </c>
      <c r="T2689" s="355"/>
      <c r="U2689" s="315">
        <f t="shared" si="665"/>
        <v>3380.7737369999995</v>
      </c>
      <c r="V2689" s="315">
        <f t="shared" si="666"/>
        <v>3400</v>
      </c>
      <c r="W2689" s="316">
        <f t="shared" si="667"/>
        <v>0</v>
      </c>
    </row>
    <row r="2690" spans="1:23" x14ac:dyDescent="0.25">
      <c r="A2690" s="204" t="s">
        <v>18364</v>
      </c>
      <c r="B2690" s="351" t="s">
        <v>22372</v>
      </c>
      <c r="C2690" s="352"/>
      <c r="D2690" s="353" t="s">
        <v>5</v>
      </c>
      <c r="E2690" s="249">
        <f t="shared" ref="E2690:E2753" si="668">R2690*G2690</f>
        <v>0</v>
      </c>
      <c r="F2690" s="336">
        <v>0</v>
      </c>
      <c r="G2690" s="258">
        <f t="shared" ref="G2690:G2753" si="669">F2690</f>
        <v>0</v>
      </c>
      <c r="H2690" s="249">
        <f t="shared" ref="H2690:H2753" si="670">R2690*J2690</f>
        <v>6.3786239642979733E-2</v>
      </c>
      <c r="I2690" s="336">
        <v>3.5697144228461729E-3</v>
      </c>
      <c r="J2690" s="258">
        <f t="shared" ref="J2690:J2753" si="671">I2690</f>
        <v>3.5697144228461729E-3</v>
      </c>
      <c r="K2690" s="249">
        <f t="shared" ref="K2690:K2753" si="672">R2690*M2690</f>
        <v>17.694815072724413</v>
      </c>
      <c r="L2690" s="336">
        <v>0.99026744527104504</v>
      </c>
      <c r="M2690" s="258">
        <f t="shared" ref="M2690:M2753" si="673">L2690</f>
        <v>0.99026744527104504</v>
      </c>
      <c r="N2690" s="251">
        <f t="shared" ref="N2690:N2753" si="674">P2690*R2690</f>
        <v>0.1100625311486709</v>
      </c>
      <c r="O2690" s="336">
        <v>6.1595072394208467E-3</v>
      </c>
      <c r="P2690" s="258">
        <f t="shared" ref="P2690:P2753" si="675">O2690</f>
        <v>6.1595072394208467E-3</v>
      </c>
      <c r="Q2690" s="354">
        <v>17.443255813953488</v>
      </c>
      <c r="R2690" s="249">
        <f t="shared" ref="R2690:R2753" si="676">SUM(F2690*Q2690*1.0235,I2690*Q2690*1.0175,L2690*Q2690*1.0245,O2690*Q2690*1.0115)</f>
        <v>17.868723401162789</v>
      </c>
      <c r="S2690" s="355">
        <v>0.1</v>
      </c>
      <c r="T2690" s="355"/>
      <c r="U2690" s="315">
        <f t="shared" si="665"/>
        <v>19.655595741279068</v>
      </c>
      <c r="V2690" s="315">
        <f t="shared" si="666"/>
        <v>20</v>
      </c>
      <c r="W2690" s="316">
        <f t="shared" si="667"/>
        <v>0</v>
      </c>
    </row>
    <row r="2691" spans="1:23" x14ac:dyDescent="0.25">
      <c r="A2691" s="204" t="s">
        <v>18365</v>
      </c>
      <c r="B2691" s="351" t="s">
        <v>22373</v>
      </c>
      <c r="C2691" s="352"/>
      <c r="D2691" s="353" t="s">
        <v>14859</v>
      </c>
      <c r="E2691" s="249">
        <f t="shared" si="668"/>
        <v>0</v>
      </c>
      <c r="F2691" s="336">
        <v>0</v>
      </c>
      <c r="G2691" s="258">
        <f t="shared" si="669"/>
        <v>0</v>
      </c>
      <c r="H2691" s="249">
        <f t="shared" si="670"/>
        <v>10.971269790316775</v>
      </c>
      <c r="I2691" s="336">
        <v>3.5697144228461729E-3</v>
      </c>
      <c r="J2691" s="258">
        <f t="shared" si="671"/>
        <v>3.5697144228461729E-3</v>
      </c>
      <c r="K2691" s="249">
        <f t="shared" si="672"/>
        <v>3043.5285817479598</v>
      </c>
      <c r="L2691" s="336">
        <v>0.99027077833773292</v>
      </c>
      <c r="M2691" s="258">
        <f t="shared" si="673"/>
        <v>0.99027077833773292</v>
      </c>
      <c r="N2691" s="251">
        <f t="shared" si="674"/>
        <v>18.93081846172306</v>
      </c>
      <c r="O2691" s="336">
        <v>6.1595072394208467E-3</v>
      </c>
      <c r="P2691" s="258">
        <f t="shared" si="675"/>
        <v>6.1595072394208467E-3</v>
      </c>
      <c r="Q2691" s="354">
        <v>3000.24</v>
      </c>
      <c r="R2691" s="249">
        <f t="shared" si="676"/>
        <v>3073.4306699999997</v>
      </c>
      <c r="S2691" s="355">
        <v>0.1</v>
      </c>
      <c r="T2691" s="355"/>
      <c r="U2691" s="315">
        <f t="shared" si="665"/>
        <v>3380.7737369999995</v>
      </c>
      <c r="V2691" s="315">
        <f t="shared" si="666"/>
        <v>3400</v>
      </c>
      <c r="W2691" s="316">
        <f t="shared" si="667"/>
        <v>0</v>
      </c>
    </row>
    <row r="2692" spans="1:23" x14ac:dyDescent="0.25">
      <c r="A2692" s="204" t="s">
        <v>18366</v>
      </c>
      <c r="B2692" s="351" t="s">
        <v>22374</v>
      </c>
      <c r="C2692" s="352"/>
      <c r="D2692" s="353" t="s">
        <v>5</v>
      </c>
      <c r="E2692" s="249">
        <f t="shared" si="668"/>
        <v>0</v>
      </c>
      <c r="F2692" s="336">
        <v>0</v>
      </c>
      <c r="G2692" s="258">
        <f t="shared" si="669"/>
        <v>0</v>
      </c>
      <c r="H2692" s="249">
        <f t="shared" si="670"/>
        <v>6.3786447544412581E-2</v>
      </c>
      <c r="I2692" s="336">
        <v>3.4598404112267458E-3</v>
      </c>
      <c r="J2692" s="258">
        <f t="shared" si="671"/>
        <v>3.4598404112267458E-3</v>
      </c>
      <c r="K2692" s="249">
        <f t="shared" si="672"/>
        <v>18.262330920141167</v>
      </c>
      <c r="L2692" s="336">
        <v>0.99056700840263112</v>
      </c>
      <c r="M2692" s="258">
        <f t="shared" si="673"/>
        <v>0.99056700840263112</v>
      </c>
      <c r="N2692" s="251">
        <f t="shared" si="674"/>
        <v>0.11006288988055504</v>
      </c>
      <c r="O2692" s="336">
        <v>5.969920709567718E-3</v>
      </c>
      <c r="P2692" s="258">
        <f t="shared" si="675"/>
        <v>5.969920709567718E-3</v>
      </c>
      <c r="Q2692" s="354">
        <v>17.997200581395351</v>
      </c>
      <c r="R2692" s="249">
        <f t="shared" si="676"/>
        <v>18.436239815406978</v>
      </c>
      <c r="S2692" s="355">
        <v>0.1</v>
      </c>
      <c r="T2692" s="355"/>
      <c r="U2692" s="315">
        <f t="shared" si="665"/>
        <v>20.279863796947676</v>
      </c>
      <c r="V2692" s="315">
        <f t="shared" si="666"/>
        <v>21</v>
      </c>
      <c r="W2692" s="316">
        <f t="shared" si="667"/>
        <v>0</v>
      </c>
    </row>
    <row r="2693" spans="1:23" x14ac:dyDescent="0.25">
      <c r="A2693" s="204" t="s">
        <v>18367</v>
      </c>
      <c r="B2693" s="351" t="s">
        <v>22375</v>
      </c>
      <c r="C2693" s="352"/>
      <c r="D2693" s="353" t="s">
        <v>14859</v>
      </c>
      <c r="E2693" s="249">
        <f t="shared" si="668"/>
        <v>0</v>
      </c>
      <c r="F2693" s="336">
        <v>0</v>
      </c>
      <c r="G2693" s="258">
        <f t="shared" si="669"/>
        <v>0</v>
      </c>
      <c r="H2693" s="249">
        <f t="shared" si="670"/>
        <v>10.971304423703979</v>
      </c>
      <c r="I2693" s="336">
        <v>3.4598404112267463E-3</v>
      </c>
      <c r="J2693" s="258">
        <f t="shared" si="671"/>
        <v>3.4598404112267463E-3</v>
      </c>
      <c r="K2693" s="249">
        <f t="shared" si="672"/>
        <v>3141.1413106050031</v>
      </c>
      <c r="L2693" s="336">
        <v>0.99057023887920548</v>
      </c>
      <c r="M2693" s="258">
        <f t="shared" si="673"/>
        <v>0.99057023887920548</v>
      </c>
      <c r="N2693" s="251">
        <f t="shared" si="674"/>
        <v>18.930878221293138</v>
      </c>
      <c r="O2693" s="336">
        <v>5.9699207095677189E-3</v>
      </c>
      <c r="P2693" s="258">
        <f t="shared" si="675"/>
        <v>5.9699207095677189E-3</v>
      </c>
      <c r="Q2693" s="354">
        <v>3095.5185000000001</v>
      </c>
      <c r="R2693" s="249">
        <f t="shared" si="676"/>
        <v>3171.0434932500002</v>
      </c>
      <c r="S2693" s="355">
        <v>0.1</v>
      </c>
      <c r="T2693" s="355"/>
      <c r="U2693" s="315">
        <f t="shared" si="665"/>
        <v>3488.1478425750001</v>
      </c>
      <c r="V2693" s="315">
        <f t="shared" si="666"/>
        <v>3500</v>
      </c>
      <c r="W2693" s="316">
        <f t="shared" si="667"/>
        <v>0</v>
      </c>
    </row>
    <row r="2694" spans="1:23" x14ac:dyDescent="0.25">
      <c r="A2694" s="204" t="s">
        <v>18368</v>
      </c>
      <c r="B2694" s="351" t="s">
        <v>22376</v>
      </c>
      <c r="C2694" s="352"/>
      <c r="D2694" s="353" t="s">
        <v>5</v>
      </c>
      <c r="E2694" s="249">
        <f t="shared" si="668"/>
        <v>0</v>
      </c>
      <c r="F2694" s="336">
        <v>0</v>
      </c>
      <c r="G2694" s="258">
        <f t="shared" si="669"/>
        <v>0</v>
      </c>
      <c r="H2694" s="249">
        <f t="shared" si="670"/>
        <v>6.3786447544412581E-2</v>
      </c>
      <c r="I2694" s="336">
        <v>3.4598404112267458E-3</v>
      </c>
      <c r="J2694" s="258">
        <f t="shared" si="671"/>
        <v>3.4598404112267458E-3</v>
      </c>
      <c r="K2694" s="249">
        <f t="shared" si="672"/>
        <v>18.262330920141167</v>
      </c>
      <c r="L2694" s="336">
        <v>0.99056700840263112</v>
      </c>
      <c r="M2694" s="258">
        <f t="shared" si="673"/>
        <v>0.99056700840263112</v>
      </c>
      <c r="N2694" s="251">
        <f t="shared" si="674"/>
        <v>0.11006288988055504</v>
      </c>
      <c r="O2694" s="336">
        <v>5.969920709567718E-3</v>
      </c>
      <c r="P2694" s="258">
        <f t="shared" si="675"/>
        <v>5.969920709567718E-3</v>
      </c>
      <c r="Q2694" s="354">
        <v>17.997200581395351</v>
      </c>
      <c r="R2694" s="249">
        <f t="shared" si="676"/>
        <v>18.436239815406978</v>
      </c>
      <c r="S2694" s="355">
        <v>0.1</v>
      </c>
      <c r="T2694" s="355"/>
      <c r="U2694" s="315">
        <f t="shared" si="665"/>
        <v>20.279863796947676</v>
      </c>
      <c r="V2694" s="315">
        <f t="shared" si="666"/>
        <v>21</v>
      </c>
      <c r="W2694" s="316">
        <f t="shared" si="667"/>
        <v>0</v>
      </c>
    </row>
    <row r="2695" spans="1:23" x14ac:dyDescent="0.25">
      <c r="A2695" s="204" t="s">
        <v>18369</v>
      </c>
      <c r="B2695" s="351" t="s">
        <v>22377</v>
      </c>
      <c r="C2695" s="352"/>
      <c r="D2695" s="353" t="s">
        <v>14859</v>
      </c>
      <c r="E2695" s="249">
        <f t="shared" si="668"/>
        <v>0</v>
      </c>
      <c r="F2695" s="336">
        <v>0</v>
      </c>
      <c r="G2695" s="258">
        <f t="shared" si="669"/>
        <v>0</v>
      </c>
      <c r="H2695" s="249">
        <f t="shared" si="670"/>
        <v>10.971304423703979</v>
      </c>
      <c r="I2695" s="336">
        <v>3.4598404112267463E-3</v>
      </c>
      <c r="J2695" s="258">
        <f t="shared" si="671"/>
        <v>3.4598404112267463E-3</v>
      </c>
      <c r="K2695" s="249">
        <f t="shared" si="672"/>
        <v>3141.1413106050031</v>
      </c>
      <c r="L2695" s="336">
        <v>0.99057023887920548</v>
      </c>
      <c r="M2695" s="258">
        <f t="shared" si="673"/>
        <v>0.99057023887920548</v>
      </c>
      <c r="N2695" s="251">
        <f t="shared" si="674"/>
        <v>18.930878221293138</v>
      </c>
      <c r="O2695" s="336">
        <v>5.9699207095677189E-3</v>
      </c>
      <c r="P2695" s="258">
        <f t="shared" si="675"/>
        <v>5.9699207095677189E-3</v>
      </c>
      <c r="Q2695" s="354">
        <v>3095.5185000000001</v>
      </c>
      <c r="R2695" s="249">
        <f t="shared" si="676"/>
        <v>3171.0434932500002</v>
      </c>
      <c r="S2695" s="355">
        <v>0.1</v>
      </c>
      <c r="T2695" s="355"/>
      <c r="U2695" s="315">
        <f t="shared" si="665"/>
        <v>3488.1478425750001</v>
      </c>
      <c r="V2695" s="315">
        <f t="shared" si="666"/>
        <v>3500</v>
      </c>
      <c r="W2695" s="316">
        <f t="shared" si="667"/>
        <v>0</v>
      </c>
    </row>
    <row r="2696" spans="1:23" x14ac:dyDescent="0.25">
      <c r="A2696" s="204" t="s">
        <v>18370</v>
      </c>
      <c r="B2696" s="351" t="s">
        <v>22378</v>
      </c>
      <c r="C2696" s="352"/>
      <c r="D2696" s="353" t="s">
        <v>5</v>
      </c>
      <c r="E2696" s="249">
        <f t="shared" si="668"/>
        <v>0</v>
      </c>
      <c r="F2696" s="336">
        <v>0</v>
      </c>
      <c r="G2696" s="258">
        <f t="shared" si="669"/>
        <v>0</v>
      </c>
      <c r="H2696" s="249">
        <f t="shared" si="670"/>
        <v>6.378646913985718E-2</v>
      </c>
      <c r="I2696" s="336">
        <v>3.4484274156741171E-3</v>
      </c>
      <c r="J2696" s="258">
        <f t="shared" si="671"/>
        <v>3.4484274156741171E-3</v>
      </c>
      <c r="K2696" s="249">
        <f t="shared" si="672"/>
        <v>18.323354131611673</v>
      </c>
      <c r="L2696" s="336">
        <v>0.99059812506650957</v>
      </c>
      <c r="M2696" s="258">
        <f t="shared" si="673"/>
        <v>0.99059812506650957</v>
      </c>
      <c r="N2696" s="251">
        <f t="shared" si="674"/>
        <v>0.11006292714328297</v>
      </c>
      <c r="O2696" s="336">
        <v>5.95022769763377E-3</v>
      </c>
      <c r="P2696" s="258">
        <f t="shared" si="675"/>
        <v>5.95022769763377E-3</v>
      </c>
      <c r="Q2696" s="354">
        <v>18.056764534883722</v>
      </c>
      <c r="R2696" s="249">
        <f t="shared" si="676"/>
        <v>18.497263085755819</v>
      </c>
      <c r="S2696" s="355">
        <v>0.1</v>
      </c>
      <c r="T2696" s="355"/>
      <c r="U2696" s="315">
        <f t="shared" si="665"/>
        <v>20.346989394331402</v>
      </c>
      <c r="V2696" s="315">
        <f t="shared" si="666"/>
        <v>21</v>
      </c>
      <c r="W2696" s="316">
        <f t="shared" si="667"/>
        <v>0</v>
      </c>
    </row>
    <row r="2697" spans="1:23" ht="14.4" thickBot="1" x14ac:dyDescent="0.3">
      <c r="A2697" s="356" t="s">
        <v>18371</v>
      </c>
      <c r="B2697" s="357" t="s">
        <v>22379</v>
      </c>
      <c r="C2697" s="358"/>
      <c r="D2697" s="359" t="s">
        <v>14859</v>
      </c>
      <c r="E2697" s="266">
        <f t="shared" si="668"/>
        <v>0</v>
      </c>
      <c r="F2697" s="360">
        <v>0</v>
      </c>
      <c r="G2697" s="322">
        <f t="shared" si="669"/>
        <v>0</v>
      </c>
      <c r="H2697" s="266">
        <f t="shared" si="670"/>
        <v>10.971308021194307</v>
      </c>
      <c r="I2697" s="360">
        <v>3.4484274156741171E-3</v>
      </c>
      <c r="J2697" s="322">
        <f t="shared" si="671"/>
        <v>3.4484274156741171E-3</v>
      </c>
      <c r="K2697" s="266">
        <f t="shared" si="672"/>
        <v>3151.6373033000782</v>
      </c>
      <c r="L2697" s="360">
        <v>0.99060134488669205</v>
      </c>
      <c r="M2697" s="322">
        <f t="shared" si="673"/>
        <v>0.99060134488669205</v>
      </c>
      <c r="N2697" s="270">
        <f t="shared" si="674"/>
        <v>18.930884428727431</v>
      </c>
      <c r="O2697" s="360">
        <v>5.95022769763377E-3</v>
      </c>
      <c r="P2697" s="322">
        <f t="shared" si="675"/>
        <v>5.95022769763377E-3</v>
      </c>
      <c r="Q2697" s="361">
        <v>3105.7635</v>
      </c>
      <c r="R2697" s="266">
        <f t="shared" si="676"/>
        <v>3181.5394957500002</v>
      </c>
      <c r="S2697" s="362">
        <v>0.1</v>
      </c>
      <c r="T2697" s="362"/>
      <c r="U2697" s="324">
        <f t="shared" si="665"/>
        <v>3499.6934453250005</v>
      </c>
      <c r="V2697" s="324">
        <f t="shared" si="666"/>
        <v>3500</v>
      </c>
      <c r="W2697" s="325">
        <f t="shared" si="667"/>
        <v>0</v>
      </c>
    </row>
    <row r="2698" spans="1:23" x14ac:dyDescent="0.25">
      <c r="A2698" s="204" t="s">
        <v>18372</v>
      </c>
      <c r="B2698" s="351" t="s">
        <v>22380</v>
      </c>
      <c r="C2698" s="352"/>
      <c r="D2698" s="353" t="s">
        <v>5</v>
      </c>
      <c r="E2698" s="249">
        <f t="shared" si="668"/>
        <v>0</v>
      </c>
      <c r="F2698" s="336">
        <v>0</v>
      </c>
      <c r="G2698" s="258">
        <f t="shared" si="669"/>
        <v>0</v>
      </c>
      <c r="H2698" s="249">
        <f t="shared" si="670"/>
        <v>6.3787861017157291E-2</v>
      </c>
      <c r="I2698" s="336">
        <v>2.7128329537013645E-3</v>
      </c>
      <c r="J2698" s="258">
        <f t="shared" si="671"/>
        <v>2.7128329537013645E-3</v>
      </c>
      <c r="K2698" s="249">
        <f t="shared" si="672"/>
        <v>23.339463159438541</v>
      </c>
      <c r="L2698" s="336">
        <v>0.99260366739046879</v>
      </c>
      <c r="M2698" s="258">
        <f t="shared" si="673"/>
        <v>0.99260366739046879</v>
      </c>
      <c r="N2698" s="251">
        <f t="shared" si="674"/>
        <v>0.11006532881391846</v>
      </c>
      <c r="O2698" s="336">
        <v>4.6809666652101976E-3</v>
      </c>
      <c r="P2698" s="258">
        <f t="shared" si="675"/>
        <v>4.6809666652101976E-3</v>
      </c>
      <c r="Q2698" s="354">
        <v>22.952921511627906</v>
      </c>
      <c r="R2698" s="249">
        <f t="shared" si="676"/>
        <v>23.513375908430231</v>
      </c>
      <c r="S2698" s="355">
        <v>0.1</v>
      </c>
      <c r="T2698" s="355"/>
      <c r="U2698" s="315">
        <f t="shared" si="665"/>
        <v>25.864713499273254</v>
      </c>
      <c r="V2698" s="315">
        <f t="shared" si="666"/>
        <v>26</v>
      </c>
      <c r="W2698" s="316">
        <f t="shared" si="667"/>
        <v>0</v>
      </c>
    </row>
    <row r="2699" spans="1:23" x14ac:dyDescent="0.25">
      <c r="A2699" s="204" t="s">
        <v>18373</v>
      </c>
      <c r="B2699" s="351" t="s">
        <v>22381</v>
      </c>
      <c r="C2699" s="352"/>
      <c r="D2699" s="353" t="s">
        <v>14859</v>
      </c>
      <c r="E2699" s="249">
        <f t="shared" si="668"/>
        <v>0</v>
      </c>
      <c r="F2699" s="336">
        <v>0</v>
      </c>
      <c r="G2699" s="258">
        <f t="shared" si="669"/>
        <v>0</v>
      </c>
      <c r="H2699" s="249">
        <f t="shared" si="670"/>
        <v>10.971539887924665</v>
      </c>
      <c r="I2699" s="336">
        <v>2.7128329537013645E-3</v>
      </c>
      <c r="J2699" s="258">
        <f t="shared" si="671"/>
        <v>2.7128329537013645E-3</v>
      </c>
      <c r="K2699" s="249">
        <f t="shared" si="672"/>
        <v>4014.4080768495774</v>
      </c>
      <c r="L2699" s="336">
        <v>0.99260620038108838</v>
      </c>
      <c r="M2699" s="258">
        <f t="shared" si="673"/>
        <v>0.99260620038108838</v>
      </c>
      <c r="N2699" s="251">
        <f t="shared" si="674"/>
        <v>18.931284512497456</v>
      </c>
      <c r="O2699" s="336">
        <v>4.6809666652101968E-3</v>
      </c>
      <c r="P2699" s="258">
        <f t="shared" si="675"/>
        <v>4.6809666652101968E-3</v>
      </c>
      <c r="Q2699" s="354">
        <v>3947.9025000000001</v>
      </c>
      <c r="R2699" s="249">
        <f t="shared" si="676"/>
        <v>4044.3109012499999</v>
      </c>
      <c r="S2699" s="355">
        <v>0.1</v>
      </c>
      <c r="T2699" s="355"/>
      <c r="U2699" s="315">
        <f t="shared" si="665"/>
        <v>4448.741991375</v>
      </c>
      <c r="V2699" s="315">
        <f t="shared" si="666"/>
        <v>4450</v>
      </c>
      <c r="W2699" s="316">
        <f t="shared" si="667"/>
        <v>0</v>
      </c>
    </row>
    <row r="2700" spans="1:23" x14ac:dyDescent="0.25">
      <c r="A2700" s="204" t="s">
        <v>18374</v>
      </c>
      <c r="B2700" s="351" t="s">
        <v>22382</v>
      </c>
      <c r="C2700" s="352"/>
      <c r="D2700" s="353" t="s">
        <v>5</v>
      </c>
      <c r="E2700" s="249">
        <f t="shared" si="668"/>
        <v>0</v>
      </c>
      <c r="F2700" s="336">
        <v>0</v>
      </c>
      <c r="G2700" s="258">
        <f t="shared" si="669"/>
        <v>0</v>
      </c>
      <c r="H2700" s="249">
        <f t="shared" si="670"/>
        <v>6.3788288425876943E-2</v>
      </c>
      <c r="I2700" s="336">
        <v>2.4869513424835041E-3</v>
      </c>
      <c r="J2700" s="258">
        <f t="shared" si="671"/>
        <v>2.4869513424835041E-3</v>
      </c>
      <c r="K2700" s="249">
        <f t="shared" si="672"/>
        <v>25.475276456350496</v>
      </c>
      <c r="L2700" s="336">
        <v>0.99321951641451756</v>
      </c>
      <c r="M2700" s="258">
        <f t="shared" si="673"/>
        <v>0.99321951641451756</v>
      </c>
      <c r="N2700" s="251">
        <f t="shared" si="674"/>
        <v>0.11006606630347392</v>
      </c>
      <c r="O2700" s="336">
        <v>4.2912101595793785E-3</v>
      </c>
      <c r="P2700" s="258">
        <f t="shared" si="675"/>
        <v>4.2912101595793785E-3</v>
      </c>
      <c r="Q2700" s="354">
        <v>25.037659883720924</v>
      </c>
      <c r="R2700" s="249">
        <f t="shared" si="676"/>
        <v>25.649190370639531</v>
      </c>
      <c r="S2700" s="355">
        <v>0.1</v>
      </c>
      <c r="T2700" s="355"/>
      <c r="U2700" s="315">
        <f t="shared" si="665"/>
        <v>28.214109407703482</v>
      </c>
      <c r="V2700" s="315">
        <f t="shared" si="666"/>
        <v>29</v>
      </c>
      <c r="W2700" s="316">
        <f t="shared" si="667"/>
        <v>0</v>
      </c>
    </row>
    <row r="2701" spans="1:23" x14ac:dyDescent="0.25">
      <c r="A2701" s="204" t="s">
        <v>18375</v>
      </c>
      <c r="B2701" s="351" t="s">
        <v>22383</v>
      </c>
      <c r="C2701" s="352"/>
      <c r="D2701" s="353" t="s">
        <v>14859</v>
      </c>
      <c r="E2701" s="249">
        <f t="shared" si="668"/>
        <v>0</v>
      </c>
      <c r="F2701" s="336">
        <v>0</v>
      </c>
      <c r="G2701" s="258">
        <f t="shared" si="669"/>
        <v>0</v>
      </c>
      <c r="H2701" s="249">
        <f t="shared" si="670"/>
        <v>10.971611088067336</v>
      </c>
      <c r="I2701" s="336">
        <v>2.4869513424835036E-3</v>
      </c>
      <c r="J2701" s="258">
        <f t="shared" si="671"/>
        <v>2.4869513424835036E-3</v>
      </c>
      <c r="K2701" s="249">
        <f t="shared" si="672"/>
        <v>4381.7679702942869</v>
      </c>
      <c r="L2701" s="336">
        <v>0.99322183849793721</v>
      </c>
      <c r="M2701" s="258">
        <f t="shared" si="673"/>
        <v>0.99322183849793721</v>
      </c>
      <c r="N2701" s="251">
        <f t="shared" si="674"/>
        <v>18.931407367645598</v>
      </c>
      <c r="O2701" s="336">
        <v>4.2912101595793785E-3</v>
      </c>
      <c r="P2701" s="258">
        <f t="shared" si="675"/>
        <v>4.2912101595793785E-3</v>
      </c>
      <c r="Q2701" s="354">
        <v>4306.4774999999991</v>
      </c>
      <c r="R2701" s="249">
        <f t="shared" si="676"/>
        <v>4411.6709887499992</v>
      </c>
      <c r="S2701" s="355">
        <v>0.1</v>
      </c>
      <c r="T2701" s="355"/>
      <c r="U2701" s="315">
        <f t="shared" si="665"/>
        <v>4852.8380876249994</v>
      </c>
      <c r="V2701" s="315">
        <f t="shared" si="666"/>
        <v>4875</v>
      </c>
      <c r="W2701" s="316">
        <f t="shared" si="667"/>
        <v>0</v>
      </c>
    </row>
    <row r="2702" spans="1:23" x14ac:dyDescent="0.25">
      <c r="A2702" s="204" t="s">
        <v>18376</v>
      </c>
      <c r="B2702" s="351" t="s">
        <v>22384</v>
      </c>
      <c r="C2702" s="352"/>
      <c r="D2702" s="353" t="s">
        <v>5</v>
      </c>
      <c r="E2702" s="249">
        <f t="shared" si="668"/>
        <v>0</v>
      </c>
      <c r="F2702" s="336">
        <v>0</v>
      </c>
      <c r="G2702" s="258">
        <f t="shared" si="669"/>
        <v>0</v>
      </c>
      <c r="H2702" s="249">
        <f t="shared" si="670"/>
        <v>6.3788288425876943E-2</v>
      </c>
      <c r="I2702" s="336">
        <v>2.4869513424835041E-3</v>
      </c>
      <c r="J2702" s="258">
        <f t="shared" si="671"/>
        <v>2.4869513424835041E-3</v>
      </c>
      <c r="K2702" s="249">
        <f t="shared" si="672"/>
        <v>25.475276456350496</v>
      </c>
      <c r="L2702" s="336">
        <v>0.99321951641451756</v>
      </c>
      <c r="M2702" s="258">
        <f t="shared" si="673"/>
        <v>0.99321951641451756</v>
      </c>
      <c r="N2702" s="251">
        <f t="shared" si="674"/>
        <v>0.11006606630347392</v>
      </c>
      <c r="O2702" s="336">
        <v>4.2912101595793785E-3</v>
      </c>
      <c r="P2702" s="258">
        <f t="shared" si="675"/>
        <v>4.2912101595793785E-3</v>
      </c>
      <c r="Q2702" s="354">
        <v>25.037659883720924</v>
      </c>
      <c r="R2702" s="249">
        <f t="shared" si="676"/>
        <v>25.649190370639531</v>
      </c>
      <c r="S2702" s="355">
        <v>0.1</v>
      </c>
      <c r="T2702" s="355"/>
      <c r="U2702" s="315">
        <f t="shared" si="665"/>
        <v>28.214109407703482</v>
      </c>
      <c r="V2702" s="315">
        <f t="shared" si="666"/>
        <v>29</v>
      </c>
      <c r="W2702" s="316">
        <f t="shared" si="667"/>
        <v>0</v>
      </c>
    </row>
    <row r="2703" spans="1:23" x14ac:dyDescent="0.25">
      <c r="A2703" s="204" t="s">
        <v>18377</v>
      </c>
      <c r="B2703" s="351" t="s">
        <v>22385</v>
      </c>
      <c r="C2703" s="352"/>
      <c r="D2703" s="353" t="s">
        <v>14859</v>
      </c>
      <c r="E2703" s="249">
        <f t="shared" si="668"/>
        <v>0</v>
      </c>
      <c r="F2703" s="336">
        <v>0</v>
      </c>
      <c r="G2703" s="258">
        <f t="shared" si="669"/>
        <v>0</v>
      </c>
      <c r="H2703" s="249">
        <f t="shared" si="670"/>
        <v>10.971611088067336</v>
      </c>
      <c r="I2703" s="336">
        <v>2.4869513424835036E-3</v>
      </c>
      <c r="J2703" s="258">
        <f t="shared" si="671"/>
        <v>2.4869513424835036E-3</v>
      </c>
      <c r="K2703" s="249">
        <f t="shared" si="672"/>
        <v>4381.7679702942869</v>
      </c>
      <c r="L2703" s="336">
        <v>0.99322183849793721</v>
      </c>
      <c r="M2703" s="258">
        <f t="shared" si="673"/>
        <v>0.99322183849793721</v>
      </c>
      <c r="N2703" s="251">
        <f t="shared" si="674"/>
        <v>18.931407367645598</v>
      </c>
      <c r="O2703" s="336">
        <v>4.2912101595793785E-3</v>
      </c>
      <c r="P2703" s="258">
        <f t="shared" si="675"/>
        <v>4.2912101595793785E-3</v>
      </c>
      <c r="Q2703" s="354">
        <v>4306.4774999999991</v>
      </c>
      <c r="R2703" s="249">
        <f t="shared" si="676"/>
        <v>4411.6709887499992</v>
      </c>
      <c r="S2703" s="355">
        <v>0.1</v>
      </c>
      <c r="T2703" s="355"/>
      <c r="U2703" s="315">
        <f t="shared" si="665"/>
        <v>4852.8380876249994</v>
      </c>
      <c r="V2703" s="315">
        <f t="shared" si="666"/>
        <v>4875</v>
      </c>
      <c r="W2703" s="316">
        <f t="shared" si="667"/>
        <v>0</v>
      </c>
    </row>
    <row r="2704" spans="1:23" x14ac:dyDescent="0.25">
      <c r="A2704" s="204" t="s">
        <v>18378</v>
      </c>
      <c r="B2704" s="351" t="s">
        <v>22386</v>
      </c>
      <c r="C2704" s="352"/>
      <c r="D2704" s="353" t="s">
        <v>5</v>
      </c>
      <c r="E2704" s="249">
        <f t="shared" si="668"/>
        <v>0</v>
      </c>
      <c r="F2704" s="336">
        <v>0</v>
      </c>
      <c r="G2704" s="258">
        <f t="shared" si="669"/>
        <v>0</v>
      </c>
      <c r="H2704" s="249">
        <f t="shared" si="670"/>
        <v>6.3788288425876943E-2</v>
      </c>
      <c r="I2704" s="336">
        <v>2.4869513424835041E-3</v>
      </c>
      <c r="J2704" s="258">
        <f t="shared" si="671"/>
        <v>2.4869513424835041E-3</v>
      </c>
      <c r="K2704" s="249">
        <f t="shared" si="672"/>
        <v>25.475276456350496</v>
      </c>
      <c r="L2704" s="336">
        <v>0.99321951641451756</v>
      </c>
      <c r="M2704" s="258">
        <f t="shared" si="673"/>
        <v>0.99321951641451756</v>
      </c>
      <c r="N2704" s="251">
        <f t="shared" si="674"/>
        <v>0.11006606630347392</v>
      </c>
      <c r="O2704" s="336">
        <v>4.2912101595793785E-3</v>
      </c>
      <c r="P2704" s="258">
        <f t="shared" si="675"/>
        <v>4.2912101595793785E-3</v>
      </c>
      <c r="Q2704" s="354">
        <v>25.037659883720924</v>
      </c>
      <c r="R2704" s="249">
        <f t="shared" si="676"/>
        <v>25.649190370639531</v>
      </c>
      <c r="S2704" s="355">
        <v>0.1</v>
      </c>
      <c r="T2704" s="355"/>
      <c r="U2704" s="315">
        <f t="shared" si="665"/>
        <v>28.214109407703482</v>
      </c>
      <c r="V2704" s="315">
        <f t="shared" si="666"/>
        <v>29</v>
      </c>
      <c r="W2704" s="316">
        <f t="shared" si="667"/>
        <v>0</v>
      </c>
    </row>
    <row r="2705" spans="1:23" x14ac:dyDescent="0.25">
      <c r="A2705" s="204" t="s">
        <v>18379</v>
      </c>
      <c r="B2705" s="351" t="s">
        <v>22387</v>
      </c>
      <c r="C2705" s="352"/>
      <c r="D2705" s="353" t="s">
        <v>14859</v>
      </c>
      <c r="E2705" s="249">
        <f t="shared" si="668"/>
        <v>0</v>
      </c>
      <c r="F2705" s="336">
        <v>0</v>
      </c>
      <c r="G2705" s="258">
        <f t="shared" si="669"/>
        <v>0</v>
      </c>
      <c r="H2705" s="249">
        <f t="shared" si="670"/>
        <v>10.971611088067336</v>
      </c>
      <c r="I2705" s="336">
        <v>2.4869513424835036E-3</v>
      </c>
      <c r="J2705" s="258">
        <f t="shared" si="671"/>
        <v>2.4869513424835036E-3</v>
      </c>
      <c r="K2705" s="249">
        <f t="shared" si="672"/>
        <v>4381.7679702942869</v>
      </c>
      <c r="L2705" s="336">
        <v>0.99322183849793721</v>
      </c>
      <c r="M2705" s="258">
        <f t="shared" si="673"/>
        <v>0.99322183849793721</v>
      </c>
      <c r="N2705" s="251">
        <f t="shared" si="674"/>
        <v>18.931407367645598</v>
      </c>
      <c r="O2705" s="336">
        <v>4.2912101595793785E-3</v>
      </c>
      <c r="P2705" s="258">
        <f t="shared" si="675"/>
        <v>4.2912101595793785E-3</v>
      </c>
      <c r="Q2705" s="354">
        <v>4306.4774999999991</v>
      </c>
      <c r="R2705" s="249">
        <f t="shared" si="676"/>
        <v>4411.6709887499992</v>
      </c>
      <c r="S2705" s="355">
        <v>0.1</v>
      </c>
      <c r="T2705" s="355"/>
      <c r="U2705" s="315">
        <f t="shared" si="665"/>
        <v>4852.8380876249994</v>
      </c>
      <c r="V2705" s="315">
        <f t="shared" si="666"/>
        <v>4875</v>
      </c>
      <c r="W2705" s="316">
        <f t="shared" si="667"/>
        <v>0</v>
      </c>
    </row>
    <row r="2706" spans="1:23" x14ac:dyDescent="0.25">
      <c r="A2706" s="204" t="s">
        <v>18380</v>
      </c>
      <c r="B2706" s="351" t="s">
        <v>22388</v>
      </c>
      <c r="C2706" s="352"/>
      <c r="D2706" s="353" t="s">
        <v>5</v>
      </c>
      <c r="E2706" s="249">
        <f t="shared" si="668"/>
        <v>0</v>
      </c>
      <c r="F2706" s="336">
        <v>0</v>
      </c>
      <c r="G2706" s="258">
        <f t="shared" si="669"/>
        <v>0</v>
      </c>
      <c r="H2706" s="249">
        <f t="shared" si="670"/>
        <v>6.3788288425876943E-2</v>
      </c>
      <c r="I2706" s="336">
        <v>2.4869513424835041E-3</v>
      </c>
      <c r="J2706" s="258">
        <f t="shared" si="671"/>
        <v>2.4869513424835041E-3</v>
      </c>
      <c r="K2706" s="249">
        <f t="shared" si="672"/>
        <v>25.475276456350496</v>
      </c>
      <c r="L2706" s="336">
        <v>0.99321951641451756</v>
      </c>
      <c r="M2706" s="258">
        <f t="shared" si="673"/>
        <v>0.99321951641451756</v>
      </c>
      <c r="N2706" s="251">
        <f t="shared" si="674"/>
        <v>0.11006606630347392</v>
      </c>
      <c r="O2706" s="336">
        <v>4.2912101595793785E-3</v>
      </c>
      <c r="P2706" s="258">
        <f t="shared" si="675"/>
        <v>4.2912101595793785E-3</v>
      </c>
      <c r="Q2706" s="354">
        <v>25.037659883720924</v>
      </c>
      <c r="R2706" s="249">
        <f t="shared" si="676"/>
        <v>25.649190370639531</v>
      </c>
      <c r="S2706" s="355">
        <v>0.1</v>
      </c>
      <c r="T2706" s="355"/>
      <c r="U2706" s="315">
        <f t="shared" si="665"/>
        <v>28.214109407703482</v>
      </c>
      <c r="V2706" s="315">
        <f t="shared" si="666"/>
        <v>29</v>
      </c>
      <c r="W2706" s="316">
        <f t="shared" si="667"/>
        <v>0</v>
      </c>
    </row>
    <row r="2707" spans="1:23" x14ac:dyDescent="0.25">
      <c r="A2707" s="204" t="s">
        <v>18381</v>
      </c>
      <c r="B2707" s="351" t="s">
        <v>22389</v>
      </c>
      <c r="C2707" s="352"/>
      <c r="D2707" s="353" t="s">
        <v>14859</v>
      </c>
      <c r="E2707" s="249">
        <f t="shared" si="668"/>
        <v>0</v>
      </c>
      <c r="F2707" s="336">
        <v>0</v>
      </c>
      <c r="G2707" s="258">
        <f t="shared" si="669"/>
        <v>0</v>
      </c>
      <c r="H2707" s="249">
        <f t="shared" si="670"/>
        <v>10.971611088067336</v>
      </c>
      <c r="I2707" s="336">
        <v>2.4869513424835036E-3</v>
      </c>
      <c r="J2707" s="258">
        <f t="shared" si="671"/>
        <v>2.4869513424835036E-3</v>
      </c>
      <c r="K2707" s="249">
        <f t="shared" si="672"/>
        <v>4381.7679702942869</v>
      </c>
      <c r="L2707" s="336">
        <v>0.99322183849793721</v>
      </c>
      <c r="M2707" s="258">
        <f t="shared" si="673"/>
        <v>0.99322183849793721</v>
      </c>
      <c r="N2707" s="251">
        <f t="shared" si="674"/>
        <v>18.931407367645598</v>
      </c>
      <c r="O2707" s="336">
        <v>4.2912101595793785E-3</v>
      </c>
      <c r="P2707" s="258">
        <f t="shared" si="675"/>
        <v>4.2912101595793785E-3</v>
      </c>
      <c r="Q2707" s="354">
        <v>4306.4774999999991</v>
      </c>
      <c r="R2707" s="249">
        <f t="shared" si="676"/>
        <v>4411.6709887499992</v>
      </c>
      <c r="S2707" s="355">
        <v>0.1</v>
      </c>
      <c r="T2707" s="355"/>
      <c r="U2707" s="315">
        <f t="shared" si="665"/>
        <v>4852.8380876249994</v>
      </c>
      <c r="V2707" s="315">
        <f t="shared" si="666"/>
        <v>4875</v>
      </c>
      <c r="W2707" s="316">
        <f t="shared" si="667"/>
        <v>0</v>
      </c>
    </row>
    <row r="2708" spans="1:23" x14ac:dyDescent="0.25">
      <c r="A2708" s="204" t="s">
        <v>18382</v>
      </c>
      <c r="B2708" s="351" t="s">
        <v>22390</v>
      </c>
      <c r="C2708" s="352"/>
      <c r="D2708" s="353" t="s">
        <v>5</v>
      </c>
      <c r="E2708" s="249">
        <f t="shared" si="668"/>
        <v>0</v>
      </c>
      <c r="F2708" s="336">
        <v>0</v>
      </c>
      <c r="G2708" s="258">
        <f t="shared" si="669"/>
        <v>0</v>
      </c>
      <c r="H2708" s="249">
        <f t="shared" si="670"/>
        <v>6.3788316247617091E-2</v>
      </c>
      <c r="I2708" s="336">
        <v>2.4722478064860155E-3</v>
      </c>
      <c r="J2708" s="258">
        <f t="shared" si="671"/>
        <v>2.4722478064860155E-3</v>
      </c>
      <c r="K2708" s="249">
        <f t="shared" si="672"/>
        <v>25.627834556368725</v>
      </c>
      <c r="L2708" s="336">
        <v>0.99325960448651807</v>
      </c>
      <c r="M2708" s="258">
        <f t="shared" si="673"/>
        <v>0.99325960448651807</v>
      </c>
      <c r="N2708" s="251">
        <f t="shared" si="674"/>
        <v>0.11006611430961381</v>
      </c>
      <c r="O2708" s="336">
        <v>4.2658393523680267E-3</v>
      </c>
      <c r="P2708" s="258">
        <f t="shared" si="675"/>
        <v>4.2658393523680267E-3</v>
      </c>
      <c r="Q2708" s="354">
        <v>25.186569767441856</v>
      </c>
      <c r="R2708" s="249">
        <f t="shared" si="676"/>
        <v>25.801748546511622</v>
      </c>
      <c r="S2708" s="355">
        <v>0.1</v>
      </c>
      <c r="T2708" s="355"/>
      <c r="U2708" s="315">
        <f t="shared" si="665"/>
        <v>28.381923401162783</v>
      </c>
      <c r="V2708" s="315">
        <f t="shared" si="666"/>
        <v>29</v>
      </c>
      <c r="W2708" s="316">
        <f t="shared" si="667"/>
        <v>0</v>
      </c>
    </row>
    <row r="2709" spans="1:23" x14ac:dyDescent="0.25">
      <c r="A2709" s="204" t="s">
        <v>18383</v>
      </c>
      <c r="B2709" s="351" t="s">
        <v>22391</v>
      </c>
      <c r="C2709" s="352"/>
      <c r="D2709" s="353" t="s">
        <v>14859</v>
      </c>
      <c r="E2709" s="249">
        <f t="shared" si="668"/>
        <v>0</v>
      </c>
      <c r="F2709" s="336">
        <v>0</v>
      </c>
      <c r="G2709" s="258">
        <f t="shared" si="669"/>
        <v>0</v>
      </c>
      <c r="H2709" s="249">
        <f t="shared" si="670"/>
        <v>10.971615722768918</v>
      </c>
      <c r="I2709" s="336">
        <v>2.4722478064860155E-3</v>
      </c>
      <c r="J2709" s="258">
        <f t="shared" si="671"/>
        <v>2.4722478064860155E-3</v>
      </c>
      <c r="K2709" s="249">
        <f t="shared" si="672"/>
        <v>4408.0079639124533</v>
      </c>
      <c r="L2709" s="336">
        <v>0.99326191284114607</v>
      </c>
      <c r="M2709" s="258">
        <f t="shared" si="673"/>
        <v>0.99326191284114607</v>
      </c>
      <c r="N2709" s="251">
        <f t="shared" si="674"/>
        <v>18.931415364777742</v>
      </c>
      <c r="O2709" s="336">
        <v>4.2658393523680267E-3</v>
      </c>
      <c r="P2709" s="258">
        <f t="shared" si="675"/>
        <v>4.2658393523680267E-3</v>
      </c>
      <c r="Q2709" s="354">
        <v>4332.0899999999992</v>
      </c>
      <c r="R2709" s="249">
        <f t="shared" si="676"/>
        <v>4437.9109949999993</v>
      </c>
      <c r="S2709" s="355">
        <v>0.1</v>
      </c>
      <c r="T2709" s="355"/>
      <c r="U2709" s="315">
        <f t="shared" si="665"/>
        <v>4881.7020944999995</v>
      </c>
      <c r="V2709" s="315">
        <f t="shared" si="666"/>
        <v>4900</v>
      </c>
      <c r="W2709" s="316">
        <f t="shared" si="667"/>
        <v>0</v>
      </c>
    </row>
    <row r="2710" spans="1:23" x14ac:dyDescent="0.25">
      <c r="A2710" s="204" t="s">
        <v>18384</v>
      </c>
      <c r="B2710" s="351" t="s">
        <v>22392</v>
      </c>
      <c r="C2710" s="352"/>
      <c r="D2710" s="353" t="s">
        <v>5</v>
      </c>
      <c r="E2710" s="249">
        <f t="shared" si="668"/>
        <v>0</v>
      </c>
      <c r="F2710" s="336">
        <v>0</v>
      </c>
      <c r="G2710" s="258">
        <f t="shared" si="669"/>
        <v>0</v>
      </c>
      <c r="H2710" s="249">
        <f t="shared" si="670"/>
        <v>6.3788621319860572E-2</v>
      </c>
      <c r="I2710" s="336">
        <v>2.3110199074621025E-3</v>
      </c>
      <c r="J2710" s="258">
        <f t="shared" si="671"/>
        <v>2.3110199074621025E-3</v>
      </c>
      <c r="K2710" s="249">
        <f t="shared" si="672"/>
        <v>27.42802019990317</v>
      </c>
      <c r="L2710" s="336">
        <v>0.9936991800842303</v>
      </c>
      <c r="M2710" s="258">
        <f t="shared" si="673"/>
        <v>0.9936991800842303</v>
      </c>
      <c r="N2710" s="251">
        <f t="shared" si="674"/>
        <v>0.11006664070877901</v>
      </c>
      <c r="O2710" s="336">
        <v>3.9876421932679412E-3</v>
      </c>
      <c r="P2710" s="258">
        <f t="shared" si="675"/>
        <v>3.9876421932679412E-3</v>
      </c>
      <c r="Q2710" s="354">
        <v>26.943706395348833</v>
      </c>
      <c r="R2710" s="249">
        <f t="shared" si="676"/>
        <v>27.601935021802323</v>
      </c>
      <c r="S2710" s="355">
        <v>0.1</v>
      </c>
      <c r="T2710" s="355"/>
      <c r="U2710" s="315">
        <f t="shared" si="665"/>
        <v>30.362128523982555</v>
      </c>
      <c r="V2710" s="315">
        <f t="shared" si="666"/>
        <v>31</v>
      </c>
      <c r="W2710" s="316">
        <f t="shared" si="667"/>
        <v>0</v>
      </c>
    </row>
    <row r="2711" spans="1:23" x14ac:dyDescent="0.25">
      <c r="A2711" s="204" t="s">
        <v>18385</v>
      </c>
      <c r="B2711" s="351" t="s">
        <v>22393</v>
      </c>
      <c r="C2711" s="352"/>
      <c r="D2711" s="353" t="s">
        <v>14859</v>
      </c>
      <c r="E2711" s="249">
        <f t="shared" si="668"/>
        <v>0</v>
      </c>
      <c r="F2711" s="336">
        <v>0</v>
      </c>
      <c r="G2711" s="258">
        <f t="shared" si="669"/>
        <v>0</v>
      </c>
      <c r="H2711" s="249">
        <f t="shared" si="670"/>
        <v>10.971666543414969</v>
      </c>
      <c r="I2711" s="336">
        <v>2.3110199074621025E-3</v>
      </c>
      <c r="J2711" s="258">
        <f t="shared" si="671"/>
        <v>2.3110199074621025E-3</v>
      </c>
      <c r="K2711" s="249">
        <f t="shared" si="672"/>
        <v>4717.6398991512806</v>
      </c>
      <c r="L2711" s="336">
        <v>0.99370133789927007</v>
      </c>
      <c r="M2711" s="258">
        <f t="shared" si="673"/>
        <v>0.99370133789927007</v>
      </c>
      <c r="N2711" s="251">
        <f t="shared" si="674"/>
        <v>18.931503055304258</v>
      </c>
      <c r="O2711" s="336">
        <v>3.9876421932679412E-3</v>
      </c>
      <c r="P2711" s="258">
        <f t="shared" si="675"/>
        <v>3.9876421932679412E-3</v>
      </c>
      <c r="Q2711" s="354">
        <v>4634.3174999999992</v>
      </c>
      <c r="R2711" s="249">
        <f t="shared" si="676"/>
        <v>4747.5430687499993</v>
      </c>
      <c r="S2711" s="355">
        <v>0.1</v>
      </c>
      <c r="T2711" s="355"/>
      <c r="U2711" s="315">
        <f t="shared" si="665"/>
        <v>5222.2973756249994</v>
      </c>
      <c r="V2711" s="315">
        <f t="shared" si="666"/>
        <v>5225</v>
      </c>
      <c r="W2711" s="316">
        <f t="shared" si="667"/>
        <v>0</v>
      </c>
    </row>
    <row r="2712" spans="1:23" x14ac:dyDescent="0.25">
      <c r="A2712" s="204" t="s">
        <v>18386</v>
      </c>
      <c r="B2712" s="351" t="s">
        <v>22394</v>
      </c>
      <c r="C2712" s="352"/>
      <c r="D2712" s="353" t="s">
        <v>5</v>
      </c>
      <c r="E2712" s="249">
        <f t="shared" si="668"/>
        <v>0</v>
      </c>
      <c r="F2712" s="336">
        <v>0</v>
      </c>
      <c r="G2712" s="258">
        <f t="shared" si="669"/>
        <v>0</v>
      </c>
      <c r="H2712" s="249">
        <f t="shared" si="670"/>
        <v>6.3788720520843264E-2</v>
      </c>
      <c r="I2712" s="336">
        <v>2.2585930926276236E-3</v>
      </c>
      <c r="J2712" s="258">
        <f t="shared" si="671"/>
        <v>2.2585930926276236E-3</v>
      </c>
      <c r="K2712" s="249">
        <f t="shared" si="672"/>
        <v>28.068764268102033</v>
      </c>
      <c r="L2712" s="336">
        <v>0.9938421178053477</v>
      </c>
      <c r="M2712" s="258">
        <f t="shared" si="673"/>
        <v>0.9938421178053477</v>
      </c>
      <c r="N2712" s="251">
        <f t="shared" si="674"/>
        <v>0.11006681187910207</v>
      </c>
      <c r="O2712" s="336">
        <v>3.8971802382594283E-3</v>
      </c>
      <c r="P2712" s="258">
        <f t="shared" si="675"/>
        <v>3.8971802382594283E-3</v>
      </c>
      <c r="Q2712" s="354">
        <v>27.569127906976743</v>
      </c>
      <c r="R2712" s="249">
        <f t="shared" si="676"/>
        <v>28.242679360465115</v>
      </c>
      <c r="S2712" s="355">
        <v>0.1</v>
      </c>
      <c r="T2712" s="355"/>
      <c r="U2712" s="315">
        <f t="shared" si="665"/>
        <v>31.066947296511625</v>
      </c>
      <c r="V2712" s="315">
        <f t="shared" si="666"/>
        <v>32</v>
      </c>
      <c r="W2712" s="316">
        <f t="shared" si="667"/>
        <v>0</v>
      </c>
    </row>
    <row r="2713" spans="1:23" x14ac:dyDescent="0.25">
      <c r="A2713" s="204" t="s">
        <v>18387</v>
      </c>
      <c r="B2713" s="351" t="s">
        <v>22395</v>
      </c>
      <c r="C2713" s="352"/>
      <c r="D2713" s="353" t="s">
        <v>14859</v>
      </c>
      <c r="E2713" s="249">
        <f t="shared" si="668"/>
        <v>0</v>
      </c>
      <c r="F2713" s="336">
        <v>0</v>
      </c>
      <c r="G2713" s="258">
        <f t="shared" si="669"/>
        <v>0</v>
      </c>
      <c r="H2713" s="249">
        <f t="shared" si="670"/>
        <v>10.971683068871274</v>
      </c>
      <c r="I2713" s="336">
        <v>2.2585930926276236E-3</v>
      </c>
      <c r="J2713" s="258">
        <f t="shared" si="671"/>
        <v>2.2585930926276236E-3</v>
      </c>
      <c r="K2713" s="249">
        <f t="shared" si="672"/>
        <v>4827.8478803613116</v>
      </c>
      <c r="L2713" s="336">
        <v>0.99384422666911298</v>
      </c>
      <c r="M2713" s="258">
        <f t="shared" si="673"/>
        <v>0.99384422666911298</v>
      </c>
      <c r="N2713" s="251">
        <f t="shared" si="674"/>
        <v>18.9315315698171</v>
      </c>
      <c r="O2713" s="336">
        <v>3.8971802382594288E-3</v>
      </c>
      <c r="P2713" s="258">
        <f t="shared" si="675"/>
        <v>3.8971802382594288E-3</v>
      </c>
      <c r="Q2713" s="354">
        <v>4741.8899999999994</v>
      </c>
      <c r="R2713" s="249">
        <f t="shared" si="676"/>
        <v>4857.7510949999996</v>
      </c>
      <c r="S2713" s="355">
        <v>0.1</v>
      </c>
      <c r="T2713" s="355"/>
      <c r="U2713" s="315">
        <f t="shared" si="665"/>
        <v>5343.5262044999999</v>
      </c>
      <c r="V2713" s="315">
        <f t="shared" si="666"/>
        <v>5350</v>
      </c>
      <c r="W2713" s="316">
        <f t="shared" si="667"/>
        <v>0</v>
      </c>
    </row>
    <row r="2714" spans="1:23" x14ac:dyDescent="0.25">
      <c r="A2714" s="204" t="s">
        <v>18388</v>
      </c>
      <c r="B2714" s="351" t="s">
        <v>22396</v>
      </c>
      <c r="C2714" s="352"/>
      <c r="D2714" s="353" t="s">
        <v>5</v>
      </c>
      <c r="E2714" s="249">
        <f t="shared" si="668"/>
        <v>0</v>
      </c>
      <c r="F2714" s="336">
        <v>0</v>
      </c>
      <c r="G2714" s="258">
        <f t="shared" si="669"/>
        <v>0</v>
      </c>
      <c r="H2714" s="249">
        <f t="shared" si="670"/>
        <v>6.3788980661181244E-2</v>
      </c>
      <c r="I2714" s="336">
        <v>2.1211112959574115E-3</v>
      </c>
      <c r="J2714" s="258">
        <f t="shared" si="671"/>
        <v>2.1211112959574115E-3</v>
      </c>
      <c r="K2714" s="249">
        <f t="shared" si="672"/>
        <v>29.899461669314309</v>
      </c>
      <c r="L2714" s="336">
        <v>0.99421695146200217</v>
      </c>
      <c r="M2714" s="258">
        <f t="shared" si="673"/>
        <v>0.99421695146200217</v>
      </c>
      <c r="N2714" s="251">
        <f t="shared" si="674"/>
        <v>0.11006726074870488</v>
      </c>
      <c r="O2714" s="336">
        <v>3.6599567459657295E-3</v>
      </c>
      <c r="P2714" s="258">
        <f t="shared" si="675"/>
        <v>3.6599567459657295E-3</v>
      </c>
      <c r="Q2714" s="354">
        <v>29.356046511627905</v>
      </c>
      <c r="R2714" s="249">
        <f t="shared" si="676"/>
        <v>30.073377470930229</v>
      </c>
      <c r="S2714" s="355">
        <v>0.1</v>
      </c>
      <c r="T2714" s="355"/>
      <c r="U2714" s="315">
        <f t="shared" si="665"/>
        <v>33.080715218023251</v>
      </c>
      <c r="V2714" s="315">
        <f t="shared" si="666"/>
        <v>34</v>
      </c>
      <c r="W2714" s="316">
        <f t="shared" si="667"/>
        <v>0</v>
      </c>
    </row>
    <row r="2715" spans="1:23" x14ac:dyDescent="0.25">
      <c r="A2715" s="204" t="s">
        <v>18389</v>
      </c>
      <c r="B2715" s="351" t="s">
        <v>22397</v>
      </c>
      <c r="C2715" s="352"/>
      <c r="D2715" s="353" t="s">
        <v>14859</v>
      </c>
      <c r="E2715" s="249">
        <f t="shared" si="668"/>
        <v>0</v>
      </c>
      <c r="F2715" s="336">
        <v>0</v>
      </c>
      <c r="G2715" s="258">
        <f t="shared" si="669"/>
        <v>0</v>
      </c>
      <c r="H2715" s="249">
        <f t="shared" si="670"/>
        <v>10.9717264045084</v>
      </c>
      <c r="I2715" s="336">
        <v>2.1211112959574115E-3</v>
      </c>
      <c r="J2715" s="258">
        <f t="shared" si="671"/>
        <v>2.1211112959574115E-3</v>
      </c>
      <c r="K2715" s="249">
        <f t="shared" si="672"/>
        <v>5142.7278372504579</v>
      </c>
      <c r="L2715" s="336">
        <v>0.99421893195807698</v>
      </c>
      <c r="M2715" s="258">
        <f t="shared" si="673"/>
        <v>0.99421893195807698</v>
      </c>
      <c r="N2715" s="251">
        <f t="shared" si="674"/>
        <v>18.931606345034105</v>
      </c>
      <c r="O2715" s="336">
        <v>3.6599567459657295E-3</v>
      </c>
      <c r="P2715" s="258">
        <f t="shared" si="675"/>
        <v>3.6599567459657295E-3</v>
      </c>
      <c r="Q2715" s="354">
        <v>5049.24</v>
      </c>
      <c r="R2715" s="249">
        <f t="shared" si="676"/>
        <v>5172.6311699999997</v>
      </c>
      <c r="S2715" s="355">
        <v>0.1</v>
      </c>
      <c r="T2715" s="355"/>
      <c r="U2715" s="315">
        <f t="shared" si="665"/>
        <v>5689.8942869999992</v>
      </c>
      <c r="V2715" s="315">
        <f t="shared" si="666"/>
        <v>5700</v>
      </c>
      <c r="W2715" s="316">
        <f t="shared" si="667"/>
        <v>0</v>
      </c>
    </row>
    <row r="2716" spans="1:23" x14ac:dyDescent="0.25">
      <c r="A2716" s="204" t="s">
        <v>18390</v>
      </c>
      <c r="B2716" s="351" t="s">
        <v>22398</v>
      </c>
      <c r="C2716" s="352"/>
      <c r="D2716" s="353" t="s">
        <v>5</v>
      </c>
      <c r="E2716" s="249">
        <f t="shared" si="668"/>
        <v>0</v>
      </c>
      <c r="F2716" s="336">
        <v>0</v>
      </c>
      <c r="G2716" s="258">
        <f t="shared" si="669"/>
        <v>0</v>
      </c>
      <c r="H2716" s="249">
        <f t="shared" si="670"/>
        <v>6.3789423348654409E-2</v>
      </c>
      <c r="I2716" s="336">
        <v>1.8871550028241252E-3</v>
      </c>
      <c r="J2716" s="258">
        <f t="shared" si="671"/>
        <v>1.8871550028241252E-3</v>
      </c>
      <c r="K2716" s="249">
        <f t="shared" si="672"/>
        <v>33.627982280674559</v>
      </c>
      <c r="L2716" s="336">
        <v>0.99485481549183341</v>
      </c>
      <c r="M2716" s="258">
        <f t="shared" si="673"/>
        <v>0.99485481549183341</v>
      </c>
      <c r="N2716" s="251">
        <f t="shared" si="674"/>
        <v>0.11006802460159974</v>
      </c>
      <c r="O2716" s="336">
        <v>3.2562674558533921E-3</v>
      </c>
      <c r="P2716" s="258">
        <f t="shared" si="675"/>
        <v>3.2562674558533921E-3</v>
      </c>
      <c r="Q2716" s="354">
        <v>32.995404069767439</v>
      </c>
      <c r="R2716" s="249">
        <f t="shared" si="676"/>
        <v>33.801899289244183</v>
      </c>
      <c r="S2716" s="355">
        <v>0.1</v>
      </c>
      <c r="T2716" s="355"/>
      <c r="U2716" s="315">
        <f t="shared" si="665"/>
        <v>37.182089218168599</v>
      </c>
      <c r="V2716" s="315">
        <f t="shared" si="666"/>
        <v>38</v>
      </c>
      <c r="W2716" s="316">
        <f t="shared" si="667"/>
        <v>0</v>
      </c>
    </row>
    <row r="2717" spans="1:23" x14ac:dyDescent="0.25">
      <c r="A2717" s="204" t="s">
        <v>18391</v>
      </c>
      <c r="B2717" s="351" t="s">
        <v>22399</v>
      </c>
      <c r="C2717" s="352"/>
      <c r="D2717" s="353" t="s">
        <v>14859</v>
      </c>
      <c r="E2717" s="249">
        <f t="shared" si="668"/>
        <v>0</v>
      </c>
      <c r="F2717" s="336">
        <v>0</v>
      </c>
      <c r="G2717" s="258">
        <f t="shared" si="669"/>
        <v>0</v>
      </c>
      <c r="H2717" s="249">
        <f t="shared" si="670"/>
        <v>10.97180014987156</v>
      </c>
      <c r="I2717" s="336">
        <v>1.8871550028241252E-3</v>
      </c>
      <c r="J2717" s="258">
        <f t="shared" si="671"/>
        <v>1.8871550028241252E-3</v>
      </c>
      <c r="K2717" s="249">
        <f t="shared" si="672"/>
        <v>5784.0333890081929</v>
      </c>
      <c r="L2717" s="336">
        <v>0.99485657754132251</v>
      </c>
      <c r="M2717" s="258">
        <f t="shared" si="673"/>
        <v>0.99485657754132251</v>
      </c>
      <c r="N2717" s="251">
        <f t="shared" si="674"/>
        <v>18.931733591935242</v>
      </c>
      <c r="O2717" s="336">
        <v>3.2562674558533925E-3</v>
      </c>
      <c r="P2717" s="258">
        <f t="shared" si="675"/>
        <v>3.2562674558533925E-3</v>
      </c>
      <c r="Q2717" s="354">
        <v>5675.209499999999</v>
      </c>
      <c r="R2717" s="249">
        <f t="shared" si="676"/>
        <v>5813.9369227499992</v>
      </c>
      <c r="S2717" s="355">
        <v>0.1</v>
      </c>
      <c r="T2717" s="355"/>
      <c r="U2717" s="315">
        <f t="shared" si="665"/>
        <v>6395.3306150249991</v>
      </c>
      <c r="V2717" s="315">
        <f t="shared" si="666"/>
        <v>6400</v>
      </c>
      <c r="W2717" s="316">
        <f t="shared" si="667"/>
        <v>0</v>
      </c>
    </row>
    <row r="2718" spans="1:23" x14ac:dyDescent="0.25">
      <c r="A2718" s="204" t="s">
        <v>18392</v>
      </c>
      <c r="B2718" s="351" t="s">
        <v>22400</v>
      </c>
      <c r="C2718" s="352"/>
      <c r="D2718" s="353" t="s">
        <v>5</v>
      </c>
      <c r="E2718" s="249">
        <f t="shared" si="668"/>
        <v>0</v>
      </c>
      <c r="F2718" s="336">
        <v>0</v>
      </c>
      <c r="G2718" s="258">
        <f t="shared" si="669"/>
        <v>0</v>
      </c>
      <c r="H2718" s="249">
        <f t="shared" si="670"/>
        <v>6.3790650369013199E-2</v>
      </c>
      <c r="I2718" s="336">
        <v>1.2386859311821492E-3</v>
      </c>
      <c r="J2718" s="258">
        <f t="shared" si="671"/>
        <v>1.2386859311821492E-3</v>
      </c>
      <c r="K2718" s="249">
        <f t="shared" si="672"/>
        <v>51.324727336459709</v>
      </c>
      <c r="L2718" s="336">
        <v>0.99662281706904599</v>
      </c>
      <c r="M2718" s="258">
        <f t="shared" si="673"/>
        <v>0.99662281706904599</v>
      </c>
      <c r="N2718" s="251">
        <f t="shared" si="674"/>
        <v>0.11007014181319923</v>
      </c>
      <c r="O2718" s="336">
        <v>2.1373404302750809E-3</v>
      </c>
      <c r="P2718" s="258">
        <f t="shared" si="675"/>
        <v>2.1373404302750809E-3</v>
      </c>
      <c r="Q2718" s="354">
        <v>50.268950581395337</v>
      </c>
      <c r="R2718" s="249">
        <f t="shared" si="676"/>
        <v>51.498647690406969</v>
      </c>
      <c r="S2718" s="355">
        <v>0.1</v>
      </c>
      <c r="T2718" s="355"/>
      <c r="U2718" s="315">
        <f t="shared" si="665"/>
        <v>56.648512459447666</v>
      </c>
      <c r="V2718" s="315">
        <f t="shared" si="666"/>
        <v>57</v>
      </c>
      <c r="W2718" s="316">
        <f t="shared" si="667"/>
        <v>0</v>
      </c>
    </row>
    <row r="2719" spans="1:23" x14ac:dyDescent="0.25">
      <c r="A2719" s="204" t="s">
        <v>18393</v>
      </c>
      <c r="B2719" s="351" t="s">
        <v>22401</v>
      </c>
      <c r="C2719" s="352"/>
      <c r="D2719" s="353" t="s">
        <v>14859</v>
      </c>
      <c r="E2719" s="249">
        <f t="shared" si="668"/>
        <v>0</v>
      </c>
      <c r="F2719" s="336">
        <v>0</v>
      </c>
      <c r="G2719" s="258">
        <f t="shared" si="669"/>
        <v>0</v>
      </c>
      <c r="H2719" s="249">
        <f t="shared" si="670"/>
        <v>10.972004553807635</v>
      </c>
      <c r="I2719" s="336">
        <v>1.2386859311821492E-3</v>
      </c>
      <c r="J2719" s="258">
        <f t="shared" si="671"/>
        <v>1.2386859311821492E-3</v>
      </c>
      <c r="K2719" s="249">
        <f t="shared" si="672"/>
        <v>8827.8735569072705</v>
      </c>
      <c r="L2719" s="336">
        <v>0.99662397363854294</v>
      </c>
      <c r="M2719" s="258">
        <f t="shared" si="673"/>
        <v>0.99662397363854294</v>
      </c>
      <c r="N2719" s="251">
        <f t="shared" si="674"/>
        <v>18.932086288922974</v>
      </c>
      <c r="O2719" s="336">
        <v>2.1373404302750805E-3</v>
      </c>
      <c r="P2719" s="258">
        <f t="shared" si="675"/>
        <v>2.1373404302750805E-3</v>
      </c>
      <c r="Q2719" s="354">
        <v>8646.2594999999983</v>
      </c>
      <c r="R2719" s="249">
        <f t="shared" si="676"/>
        <v>8857.7776477499992</v>
      </c>
      <c r="S2719" s="355">
        <v>0.1</v>
      </c>
      <c r="T2719" s="355"/>
      <c r="U2719" s="315">
        <f t="shared" si="665"/>
        <v>9743.5554125249982</v>
      </c>
      <c r="V2719" s="315">
        <f t="shared" si="666"/>
        <v>9750</v>
      </c>
      <c r="W2719" s="316">
        <f t="shared" si="667"/>
        <v>0</v>
      </c>
    </row>
    <row r="2720" spans="1:23" x14ac:dyDescent="0.25">
      <c r="A2720" s="204" t="s">
        <v>18394</v>
      </c>
      <c r="B2720" s="351" t="s">
        <v>22402</v>
      </c>
      <c r="C2720" s="352"/>
      <c r="D2720" s="353" t="s">
        <v>5</v>
      </c>
      <c r="E2720" s="249">
        <f t="shared" si="668"/>
        <v>0</v>
      </c>
      <c r="F2720" s="336">
        <v>0</v>
      </c>
      <c r="G2720" s="258">
        <f t="shared" si="669"/>
        <v>0</v>
      </c>
      <c r="H2720" s="249">
        <f t="shared" si="670"/>
        <v>6.3790950203464411E-2</v>
      </c>
      <c r="I2720" s="336">
        <v>1.0802261576007605E-3</v>
      </c>
      <c r="J2720" s="258">
        <f t="shared" si="671"/>
        <v>1.0802261576007605E-3</v>
      </c>
      <c r="K2720" s="249">
        <f t="shared" si="672"/>
        <v>58.879407388169952</v>
      </c>
      <c r="L2720" s="336">
        <v>0.99705484558338553</v>
      </c>
      <c r="M2720" s="258">
        <f t="shared" si="673"/>
        <v>0.99705484558338553</v>
      </c>
      <c r="N2720" s="251">
        <f t="shared" si="674"/>
        <v>0.11007065917460526</v>
      </c>
      <c r="O2720" s="336">
        <v>1.8639196444875865E-3</v>
      </c>
      <c r="P2720" s="258">
        <f t="shared" si="675"/>
        <v>1.8639196444875865E-3</v>
      </c>
      <c r="Q2720" s="354">
        <v>57.642968023255804</v>
      </c>
      <c r="R2720" s="249">
        <f t="shared" si="676"/>
        <v>59.05332855959302</v>
      </c>
      <c r="S2720" s="355">
        <v>0.1</v>
      </c>
      <c r="T2720" s="355"/>
      <c r="U2720" s="315">
        <f t="shared" si="665"/>
        <v>64.958661415552328</v>
      </c>
      <c r="V2720" s="315">
        <f t="shared" si="666"/>
        <v>65</v>
      </c>
      <c r="W2720" s="316">
        <f t="shared" si="667"/>
        <v>0</v>
      </c>
    </row>
    <row r="2721" spans="1:23" x14ac:dyDescent="0.25">
      <c r="A2721" s="204" t="s">
        <v>18395</v>
      </c>
      <c r="B2721" s="351" t="s">
        <v>22403</v>
      </c>
      <c r="C2721" s="352"/>
      <c r="D2721" s="353" t="s">
        <v>14859</v>
      </c>
      <c r="E2721" s="249">
        <f t="shared" si="668"/>
        <v>0</v>
      </c>
      <c r="F2721" s="336">
        <v>0</v>
      </c>
      <c r="G2721" s="258">
        <f t="shared" si="669"/>
        <v>0</v>
      </c>
      <c r="H2721" s="249">
        <f t="shared" si="670"/>
        <v>10.972054501912863</v>
      </c>
      <c r="I2721" s="336">
        <v>1.0802261576007605E-3</v>
      </c>
      <c r="J2721" s="258">
        <f t="shared" si="671"/>
        <v>1.0802261576007605E-3</v>
      </c>
      <c r="K2721" s="249">
        <f t="shared" si="672"/>
        <v>10127.278530274198</v>
      </c>
      <c r="L2721" s="336">
        <v>0.99705585419791176</v>
      </c>
      <c r="M2721" s="258">
        <f t="shared" si="673"/>
        <v>0.99705585419791176</v>
      </c>
      <c r="N2721" s="251">
        <f t="shared" si="674"/>
        <v>18.932172473888862</v>
      </c>
      <c r="O2721" s="336">
        <v>1.8639196444875867E-3</v>
      </c>
      <c r="P2721" s="258">
        <f t="shared" si="675"/>
        <v>1.8639196444875867E-3</v>
      </c>
      <c r="Q2721" s="354">
        <v>9914.5904999999984</v>
      </c>
      <c r="R2721" s="249">
        <f t="shared" si="676"/>
        <v>10157.182757249999</v>
      </c>
      <c r="S2721" s="355">
        <v>0.1</v>
      </c>
      <c r="T2721" s="355"/>
      <c r="U2721" s="315">
        <f t="shared" si="665"/>
        <v>11172.901032974998</v>
      </c>
      <c r="V2721" s="315">
        <f t="shared" si="666"/>
        <v>11250</v>
      </c>
      <c r="W2721" s="316">
        <f t="shared" si="667"/>
        <v>0</v>
      </c>
    </row>
    <row r="2722" spans="1:23" x14ac:dyDescent="0.25">
      <c r="A2722" s="204" t="s">
        <v>18396</v>
      </c>
      <c r="B2722" s="351" t="s">
        <v>22404</v>
      </c>
      <c r="C2722" s="352"/>
      <c r="D2722" s="353" t="s">
        <v>5</v>
      </c>
      <c r="E2722" s="249">
        <f t="shared" si="668"/>
        <v>0</v>
      </c>
      <c r="F2722" s="336">
        <v>0</v>
      </c>
      <c r="G2722" s="258">
        <f t="shared" si="669"/>
        <v>0</v>
      </c>
      <c r="H2722" s="249">
        <f t="shared" si="670"/>
        <v>6.3791173518768687E-2</v>
      </c>
      <c r="I2722" s="336">
        <v>9.6220605548344267E-4</v>
      </c>
      <c r="J2722" s="258">
        <f t="shared" si="671"/>
        <v>9.6220605548344267E-4</v>
      </c>
      <c r="K2722" s="249">
        <f t="shared" si="672"/>
        <v>66.122868969724749</v>
      </c>
      <c r="L2722" s="336">
        <v>0.99737661841082026</v>
      </c>
      <c r="M2722" s="258">
        <f t="shared" si="673"/>
        <v>0.99737661841082026</v>
      </c>
      <c r="N2722" s="251">
        <f t="shared" si="674"/>
        <v>0.11007104450297341</v>
      </c>
      <c r="O2722" s="336">
        <v>1.6602771153439793E-3</v>
      </c>
      <c r="P2722" s="258">
        <f t="shared" si="675"/>
        <v>1.6602771153439793E-3</v>
      </c>
      <c r="Q2722" s="354">
        <v>64.713209302325581</v>
      </c>
      <c r="R2722" s="249">
        <f t="shared" si="676"/>
        <v>66.29679075</v>
      </c>
      <c r="S2722" s="355">
        <v>0.1</v>
      </c>
      <c r="T2722" s="355"/>
      <c r="U2722" s="315">
        <f t="shared" si="665"/>
        <v>72.926469824999998</v>
      </c>
      <c r="V2722" s="315">
        <f t="shared" si="666"/>
        <v>73</v>
      </c>
      <c r="W2722" s="316">
        <f t="shared" si="667"/>
        <v>0</v>
      </c>
    </row>
    <row r="2723" spans="1:23" x14ac:dyDescent="0.25">
      <c r="A2723" s="204" t="s">
        <v>18397</v>
      </c>
      <c r="B2723" s="351" t="s">
        <v>22405</v>
      </c>
      <c r="C2723" s="352"/>
      <c r="D2723" s="353" t="s">
        <v>14859</v>
      </c>
      <c r="E2723" s="249">
        <f t="shared" si="668"/>
        <v>0</v>
      </c>
      <c r="F2723" s="336">
        <v>0</v>
      </c>
      <c r="G2723" s="258">
        <f t="shared" si="669"/>
        <v>0</v>
      </c>
      <c r="H2723" s="249">
        <f t="shared" si="670"/>
        <v>10.972091703029253</v>
      </c>
      <c r="I2723" s="336">
        <v>9.6220605548344267E-4</v>
      </c>
      <c r="J2723" s="258">
        <f t="shared" si="671"/>
        <v>9.6220605548344267E-4</v>
      </c>
      <c r="K2723" s="249">
        <f t="shared" si="672"/>
        <v>11373.153925632922</v>
      </c>
      <c r="L2723" s="336">
        <v>0.99737751682917275</v>
      </c>
      <c r="M2723" s="258">
        <f t="shared" si="673"/>
        <v>0.99737751682917275</v>
      </c>
      <c r="N2723" s="251">
        <f t="shared" si="674"/>
        <v>18.932236664050475</v>
      </c>
      <c r="O2723" s="336">
        <v>1.6602771153439795E-3</v>
      </c>
      <c r="P2723" s="258">
        <f t="shared" si="675"/>
        <v>1.6602771153439795E-3</v>
      </c>
      <c r="Q2723" s="354">
        <v>11130.671999999999</v>
      </c>
      <c r="R2723" s="249">
        <f t="shared" si="676"/>
        <v>11403.058254</v>
      </c>
      <c r="S2723" s="355">
        <v>0.1</v>
      </c>
      <c r="T2723" s="355"/>
      <c r="U2723" s="315">
        <f t="shared" si="665"/>
        <v>12543.3640794</v>
      </c>
      <c r="V2723" s="315">
        <f t="shared" si="666"/>
        <v>12750</v>
      </c>
      <c r="W2723" s="316">
        <f t="shared" si="667"/>
        <v>0</v>
      </c>
    </row>
    <row r="2724" spans="1:23" x14ac:dyDescent="0.25">
      <c r="A2724" s="203" t="s">
        <v>18398</v>
      </c>
      <c r="B2724" s="345" t="s">
        <v>22406</v>
      </c>
      <c r="C2724" s="346"/>
      <c r="D2724" s="347"/>
      <c r="E2724" s="347"/>
      <c r="F2724" s="347"/>
      <c r="G2724" s="347"/>
      <c r="H2724" s="347"/>
      <c r="I2724" s="347"/>
      <c r="J2724" s="347"/>
      <c r="K2724" s="347"/>
      <c r="L2724" s="347"/>
      <c r="M2724" s="347"/>
      <c r="N2724" s="347"/>
      <c r="O2724" s="347"/>
      <c r="P2724" s="347"/>
      <c r="Q2724" s="347"/>
      <c r="R2724" s="347"/>
      <c r="S2724" s="347"/>
      <c r="T2724" s="348"/>
      <c r="U2724" s="349"/>
      <c r="V2724" s="349"/>
      <c r="W2724" s="350"/>
    </row>
    <row r="2725" spans="1:23" x14ac:dyDescent="0.25">
      <c r="A2725" s="204" t="s">
        <v>18399</v>
      </c>
      <c r="B2725" s="351" t="s">
        <v>22407</v>
      </c>
      <c r="C2725" s="352"/>
      <c r="D2725" s="353" t="s">
        <v>14859</v>
      </c>
      <c r="E2725" s="249">
        <f t="shared" si="668"/>
        <v>0</v>
      </c>
      <c r="F2725" s="336">
        <v>0</v>
      </c>
      <c r="G2725" s="258">
        <f t="shared" si="669"/>
        <v>0</v>
      </c>
      <c r="H2725" s="249">
        <f t="shared" si="670"/>
        <v>10.967465744666871</v>
      </c>
      <c r="I2725" s="336">
        <v>1.5638004292785494E-2</v>
      </c>
      <c r="J2725" s="258">
        <f t="shared" si="671"/>
        <v>1.5638004292785494E-2</v>
      </c>
      <c r="K2725" s="249">
        <f t="shared" si="672"/>
        <v>671.44238463708427</v>
      </c>
      <c r="L2725" s="336">
        <v>0.95737877261378068</v>
      </c>
      <c r="M2725" s="258">
        <f t="shared" si="673"/>
        <v>0.95737877261378068</v>
      </c>
      <c r="N2725" s="251">
        <f t="shared" si="674"/>
        <v>18.924254618248714</v>
      </c>
      <c r="O2725" s="336">
        <v>2.6983223093433789E-2</v>
      </c>
      <c r="P2725" s="258">
        <f t="shared" si="675"/>
        <v>2.6983223093433789E-2</v>
      </c>
      <c r="Q2725" s="354">
        <v>684.87</v>
      </c>
      <c r="R2725" s="249">
        <f t="shared" si="676"/>
        <v>701.33410499999991</v>
      </c>
      <c r="S2725" s="355">
        <v>0.1</v>
      </c>
      <c r="T2725" s="355"/>
      <c r="U2725" s="315">
        <f t="shared" ref="U2725:U2788" si="677">(R2725*S2725)+R2725</f>
        <v>771.46751549999988</v>
      </c>
      <c r="V2725" s="315">
        <f t="shared" ref="V2725:V2788" si="678">IF(U2725=0, 0, IF(U2725&lt;10, _xlfn.CEILING.MATH(U2725,1), IF(U2725&lt;100, _xlfn.CEILING.MATH(U2725,1),IF(U2725&lt;1000, _xlfn.CEILING.MATH(U2725,5), IF(U2725&lt;10000, _xlfn.CEILING.MATH(U2725, 25), IF(U2725&lt;100000, _xlfn.CEILING.MATH(U2725,250), IF(U2725&lt;1000000, _xlfn.CEILING.MATH(U2725,500), 0)))))))</f>
        <v>775</v>
      </c>
      <c r="W2725" s="316">
        <f t="shared" ref="W2725:W2788" si="679">C2725*V2725</f>
        <v>0</v>
      </c>
    </row>
    <row r="2726" spans="1:23" x14ac:dyDescent="0.25">
      <c r="A2726" s="204" t="s">
        <v>18400</v>
      </c>
      <c r="B2726" s="351" t="s">
        <v>22408</v>
      </c>
      <c r="C2726" s="352"/>
      <c r="D2726" s="353" t="s">
        <v>5</v>
      </c>
      <c r="E2726" s="249">
        <f t="shared" si="668"/>
        <v>0</v>
      </c>
      <c r="F2726" s="336">
        <v>0</v>
      </c>
      <c r="G2726" s="258">
        <f t="shared" si="669"/>
        <v>0</v>
      </c>
      <c r="H2726" s="249">
        <f t="shared" si="670"/>
        <v>6.3763404263447038E-2</v>
      </c>
      <c r="I2726" s="336">
        <v>1.5638004292785494E-2</v>
      </c>
      <c r="J2726" s="258">
        <f t="shared" si="671"/>
        <v>1.5638004292785494E-2</v>
      </c>
      <c r="K2726" s="249">
        <f t="shared" si="672"/>
        <v>3.9036182328117937</v>
      </c>
      <c r="L2726" s="336">
        <v>0.95736417130258289</v>
      </c>
      <c r="M2726" s="258">
        <f t="shared" si="673"/>
        <v>0.95736417130258289</v>
      </c>
      <c r="N2726" s="251">
        <f t="shared" si="674"/>
        <v>0.11002312892516351</v>
      </c>
      <c r="O2726" s="336">
        <v>2.6983223093433793E-2</v>
      </c>
      <c r="P2726" s="258">
        <f t="shared" si="675"/>
        <v>2.6983223093433793E-2</v>
      </c>
      <c r="Q2726" s="354">
        <v>3.9818023255813952</v>
      </c>
      <c r="R2726" s="249">
        <f t="shared" si="676"/>
        <v>4.0774643023255805</v>
      </c>
      <c r="S2726" s="355">
        <v>0.1</v>
      </c>
      <c r="T2726" s="355"/>
      <c r="U2726" s="315">
        <f t="shared" si="677"/>
        <v>4.485210732558139</v>
      </c>
      <c r="V2726" s="315">
        <f t="shared" si="678"/>
        <v>5</v>
      </c>
      <c r="W2726" s="316">
        <f t="shared" si="679"/>
        <v>0</v>
      </c>
    </row>
    <row r="2727" spans="1:23" x14ac:dyDescent="0.25">
      <c r="A2727" s="204" t="s">
        <v>18401</v>
      </c>
      <c r="B2727" s="351" t="s">
        <v>22409</v>
      </c>
      <c r="C2727" s="352"/>
      <c r="D2727" s="353" t="s">
        <v>14859</v>
      </c>
      <c r="E2727" s="249">
        <f t="shared" si="668"/>
        <v>0</v>
      </c>
      <c r="F2727" s="336">
        <v>0</v>
      </c>
      <c r="G2727" s="258">
        <f t="shared" si="669"/>
        <v>0</v>
      </c>
      <c r="H2727" s="249">
        <f t="shared" si="670"/>
        <v>10.968393543146441</v>
      </c>
      <c r="I2727" s="336">
        <v>1.2694574580625662E-2</v>
      </c>
      <c r="J2727" s="258">
        <f t="shared" si="671"/>
        <v>1.2694574580625662E-2</v>
      </c>
      <c r="K2727" s="249">
        <f t="shared" si="672"/>
        <v>834.12789468142432</v>
      </c>
      <c r="L2727" s="336">
        <v>0.96540106143711824</v>
      </c>
      <c r="M2727" s="258">
        <f t="shared" si="673"/>
        <v>0.96540106143711824</v>
      </c>
      <c r="N2727" s="251">
        <f t="shared" si="674"/>
        <v>18.925855525429153</v>
      </c>
      <c r="O2727" s="336">
        <v>2.1904363982256043E-2</v>
      </c>
      <c r="P2727" s="258">
        <f t="shared" si="675"/>
        <v>2.1904363982256043E-2</v>
      </c>
      <c r="Q2727" s="354">
        <v>843.66750000000002</v>
      </c>
      <c r="R2727" s="249">
        <f t="shared" si="676"/>
        <v>864.02214374999994</v>
      </c>
      <c r="S2727" s="355">
        <v>0.1</v>
      </c>
      <c r="T2727" s="355"/>
      <c r="U2727" s="315">
        <f t="shared" si="677"/>
        <v>950.42435812499991</v>
      </c>
      <c r="V2727" s="315">
        <f t="shared" si="678"/>
        <v>955</v>
      </c>
      <c r="W2727" s="316">
        <f t="shared" si="679"/>
        <v>0</v>
      </c>
    </row>
    <row r="2728" spans="1:23" x14ac:dyDescent="0.25">
      <c r="A2728" s="204" t="s">
        <v>18402</v>
      </c>
      <c r="B2728" s="351" t="s">
        <v>22410</v>
      </c>
      <c r="C2728" s="352"/>
      <c r="D2728" s="353" t="s">
        <v>5</v>
      </c>
      <c r="E2728" s="249">
        <f t="shared" si="668"/>
        <v>0</v>
      </c>
      <c r="F2728" s="336">
        <v>0</v>
      </c>
      <c r="G2728" s="258">
        <f t="shared" si="669"/>
        <v>0</v>
      </c>
      <c r="H2728" s="249">
        <f t="shared" si="670"/>
        <v>6.3768973762964309E-2</v>
      </c>
      <c r="I2728" s="336">
        <v>1.2694574580625662E-2</v>
      </c>
      <c r="J2728" s="258">
        <f t="shared" si="671"/>
        <v>1.2694574580625662E-2</v>
      </c>
      <c r="K2728" s="249">
        <f t="shared" si="672"/>
        <v>4.8494637384021591</v>
      </c>
      <c r="L2728" s="336">
        <v>0.96538920842630527</v>
      </c>
      <c r="M2728" s="258">
        <f t="shared" si="673"/>
        <v>0.96538920842630527</v>
      </c>
      <c r="N2728" s="251">
        <f t="shared" si="674"/>
        <v>0.11003273904197762</v>
      </c>
      <c r="O2728" s="336">
        <v>2.1904363982256043E-2</v>
      </c>
      <c r="P2728" s="258">
        <f t="shared" si="675"/>
        <v>2.1904363982256043E-2</v>
      </c>
      <c r="Q2728" s="354">
        <v>4.905043604651163</v>
      </c>
      <c r="R2728" s="249">
        <f t="shared" si="676"/>
        <v>5.0233249927325572</v>
      </c>
      <c r="S2728" s="355">
        <v>0.1</v>
      </c>
      <c r="T2728" s="355"/>
      <c r="U2728" s="315">
        <f t="shared" si="677"/>
        <v>5.5256574920058128</v>
      </c>
      <c r="V2728" s="315">
        <f t="shared" si="678"/>
        <v>6</v>
      </c>
      <c r="W2728" s="316">
        <f t="shared" si="679"/>
        <v>0</v>
      </c>
    </row>
    <row r="2729" spans="1:23" x14ac:dyDescent="0.25">
      <c r="A2729" s="204" t="s">
        <v>18403</v>
      </c>
      <c r="B2729" s="351" t="s">
        <v>22411</v>
      </c>
      <c r="C2729" s="352"/>
      <c r="D2729" s="353" t="s">
        <v>14859</v>
      </c>
      <c r="E2729" s="249">
        <f t="shared" si="668"/>
        <v>0</v>
      </c>
      <c r="F2729" s="336">
        <v>0</v>
      </c>
      <c r="G2729" s="258">
        <f t="shared" si="669"/>
        <v>0</v>
      </c>
      <c r="H2729" s="249">
        <f t="shared" si="670"/>
        <v>10.968417692185344</v>
      </c>
      <c r="I2729" s="336">
        <v>1.2617962040080585E-2</v>
      </c>
      <c r="J2729" s="258">
        <f t="shared" si="671"/>
        <v>1.2617962040080585E-2</v>
      </c>
      <c r="K2729" s="249">
        <f t="shared" si="672"/>
        <v>839.37583011345555</v>
      </c>
      <c r="L2729" s="336">
        <v>0.9656098681652705</v>
      </c>
      <c r="M2729" s="258">
        <f t="shared" si="673"/>
        <v>0.9656098681652705</v>
      </c>
      <c r="N2729" s="251">
        <f t="shared" si="674"/>
        <v>18.925897194359028</v>
      </c>
      <c r="O2729" s="336">
        <v>2.1772169794648851E-2</v>
      </c>
      <c r="P2729" s="258">
        <f t="shared" si="675"/>
        <v>2.1772169794648851E-2</v>
      </c>
      <c r="Q2729" s="354">
        <v>848.79000000000008</v>
      </c>
      <c r="R2729" s="249">
        <f t="shared" si="676"/>
        <v>869.27014499999996</v>
      </c>
      <c r="S2729" s="355">
        <v>0.1</v>
      </c>
      <c r="T2729" s="355"/>
      <c r="U2729" s="315">
        <f t="shared" si="677"/>
        <v>956.1971595</v>
      </c>
      <c r="V2729" s="315">
        <f t="shared" si="678"/>
        <v>960</v>
      </c>
      <c r="W2729" s="316">
        <f t="shared" si="679"/>
        <v>0</v>
      </c>
    </row>
    <row r="2730" spans="1:23" x14ac:dyDescent="0.25">
      <c r="A2730" s="204" t="s">
        <v>18404</v>
      </c>
      <c r="B2730" s="351" t="s">
        <v>22412</v>
      </c>
      <c r="C2730" s="352"/>
      <c r="D2730" s="353" t="s">
        <v>5</v>
      </c>
      <c r="E2730" s="249">
        <f t="shared" si="668"/>
        <v>0</v>
      </c>
      <c r="F2730" s="336">
        <v>0</v>
      </c>
      <c r="G2730" s="258">
        <f t="shared" si="669"/>
        <v>0</v>
      </c>
      <c r="H2730" s="249">
        <f t="shared" si="670"/>
        <v>6.3769118727699109E-2</v>
      </c>
      <c r="I2730" s="336">
        <v>1.2617962040080585E-2</v>
      </c>
      <c r="J2730" s="258">
        <f t="shared" si="671"/>
        <v>1.2617962040080585E-2</v>
      </c>
      <c r="K2730" s="249">
        <f t="shared" si="672"/>
        <v>4.879974978341262</v>
      </c>
      <c r="L2730" s="336">
        <v>0.96559808668810898</v>
      </c>
      <c r="M2730" s="258">
        <f t="shared" si="673"/>
        <v>0.96559808668810898</v>
      </c>
      <c r="N2730" s="251">
        <f t="shared" si="674"/>
        <v>0.1100329891772063</v>
      </c>
      <c r="O2730" s="336">
        <v>2.1772169794648851E-2</v>
      </c>
      <c r="P2730" s="258">
        <f t="shared" si="675"/>
        <v>2.1772169794648851E-2</v>
      </c>
      <c r="Q2730" s="354">
        <v>4.9348255813953497</v>
      </c>
      <c r="R2730" s="249">
        <f t="shared" si="676"/>
        <v>5.0538366279069775</v>
      </c>
      <c r="S2730" s="355">
        <v>0.1</v>
      </c>
      <c r="T2730" s="355"/>
      <c r="U2730" s="315">
        <f t="shared" si="677"/>
        <v>5.5592202906976755</v>
      </c>
      <c r="V2730" s="315">
        <f t="shared" si="678"/>
        <v>6</v>
      </c>
      <c r="W2730" s="316">
        <f t="shared" si="679"/>
        <v>0</v>
      </c>
    </row>
    <row r="2731" spans="1:23" x14ac:dyDescent="0.25">
      <c r="A2731" s="204" t="s">
        <v>18405</v>
      </c>
      <c r="B2731" s="351" t="s">
        <v>22413</v>
      </c>
      <c r="C2731" s="352"/>
      <c r="D2731" s="353" t="s">
        <v>14859</v>
      </c>
      <c r="E2731" s="249">
        <f t="shared" si="668"/>
        <v>0</v>
      </c>
      <c r="F2731" s="336">
        <v>0</v>
      </c>
      <c r="G2731" s="258">
        <f t="shared" si="669"/>
        <v>0</v>
      </c>
      <c r="H2731" s="249">
        <f t="shared" si="670"/>
        <v>10.968622592587934</v>
      </c>
      <c r="I2731" s="336">
        <v>1.1967917934277022E-2</v>
      </c>
      <c r="J2731" s="258">
        <f t="shared" si="671"/>
        <v>1.1967917934277022E-2</v>
      </c>
      <c r="K2731" s="249">
        <f t="shared" si="672"/>
        <v>886.60728290941699</v>
      </c>
      <c r="L2731" s="336">
        <v>0.96738155700265671</v>
      </c>
      <c r="M2731" s="258">
        <f t="shared" si="673"/>
        <v>0.96738155700265671</v>
      </c>
      <c r="N2731" s="251">
        <f t="shared" si="674"/>
        <v>18.926250747994867</v>
      </c>
      <c r="O2731" s="336">
        <v>2.0650525063066232E-2</v>
      </c>
      <c r="P2731" s="258">
        <f t="shared" si="675"/>
        <v>2.0650525063066232E-2</v>
      </c>
      <c r="Q2731" s="354">
        <v>894.89250000000004</v>
      </c>
      <c r="R2731" s="249">
        <f t="shared" si="676"/>
        <v>916.50215624999987</v>
      </c>
      <c r="S2731" s="355">
        <v>0.1</v>
      </c>
      <c r="T2731" s="355"/>
      <c r="U2731" s="315">
        <f t="shared" si="677"/>
        <v>1008.1523718749999</v>
      </c>
      <c r="V2731" s="315">
        <f t="shared" si="678"/>
        <v>1025</v>
      </c>
      <c r="W2731" s="316">
        <f t="shared" si="679"/>
        <v>0</v>
      </c>
    </row>
    <row r="2732" spans="1:23" x14ac:dyDescent="0.25">
      <c r="A2732" s="204" t="s">
        <v>18406</v>
      </c>
      <c r="B2732" s="351" t="s">
        <v>22414</v>
      </c>
      <c r="C2732" s="352"/>
      <c r="D2732" s="353" t="s">
        <v>5</v>
      </c>
      <c r="E2732" s="249">
        <f t="shared" si="668"/>
        <v>0</v>
      </c>
      <c r="F2732" s="336">
        <v>0</v>
      </c>
      <c r="G2732" s="258">
        <f t="shared" si="669"/>
        <v>0</v>
      </c>
      <c r="H2732" s="249">
        <f t="shared" si="670"/>
        <v>6.3770348728306392E-2</v>
      </c>
      <c r="I2732" s="336">
        <v>1.1967917934277022E-2</v>
      </c>
      <c r="J2732" s="258">
        <f t="shared" si="671"/>
        <v>1.1967917934277022E-2</v>
      </c>
      <c r="K2732" s="249">
        <f t="shared" si="672"/>
        <v>5.1545763414079708</v>
      </c>
      <c r="L2732" s="336">
        <v>0.96737038247610729</v>
      </c>
      <c r="M2732" s="258">
        <f t="shared" si="673"/>
        <v>0.96737038247610729</v>
      </c>
      <c r="N2732" s="251">
        <f t="shared" si="674"/>
        <v>0.11003511153119533</v>
      </c>
      <c r="O2732" s="336">
        <v>2.0650525063066232E-2</v>
      </c>
      <c r="P2732" s="258">
        <f t="shared" si="675"/>
        <v>2.0650525063066232E-2</v>
      </c>
      <c r="Q2732" s="354">
        <v>5.2028633720930237</v>
      </c>
      <c r="R2732" s="249">
        <f t="shared" si="676"/>
        <v>5.3284413444767438</v>
      </c>
      <c r="S2732" s="355">
        <v>0.1</v>
      </c>
      <c r="T2732" s="355"/>
      <c r="U2732" s="315">
        <f t="shared" si="677"/>
        <v>5.861285478924418</v>
      </c>
      <c r="V2732" s="315">
        <f t="shared" si="678"/>
        <v>6</v>
      </c>
      <c r="W2732" s="316">
        <f t="shared" si="679"/>
        <v>0</v>
      </c>
    </row>
    <row r="2733" spans="1:23" x14ac:dyDescent="0.25">
      <c r="A2733" s="204" t="s">
        <v>18407</v>
      </c>
      <c r="B2733" s="351" t="s">
        <v>22415</v>
      </c>
      <c r="C2733" s="352"/>
      <c r="D2733" s="353" t="s">
        <v>14859</v>
      </c>
      <c r="E2733" s="249">
        <f t="shared" si="668"/>
        <v>0</v>
      </c>
      <c r="F2733" s="336">
        <v>0</v>
      </c>
      <c r="G2733" s="258">
        <f t="shared" si="669"/>
        <v>0</v>
      </c>
      <c r="H2733" s="249">
        <f t="shared" si="670"/>
        <v>10.968735702983238</v>
      </c>
      <c r="I2733" s="336">
        <v>1.1609076541860965E-2</v>
      </c>
      <c r="J2733" s="258">
        <f t="shared" si="671"/>
        <v>1.1609076541860965E-2</v>
      </c>
      <c r="K2733" s="249">
        <f t="shared" si="672"/>
        <v>914.94618137814348</v>
      </c>
      <c r="L2733" s="336">
        <v>0.96835957569963382</v>
      </c>
      <c r="M2733" s="258">
        <f t="shared" si="673"/>
        <v>0.96835957569963382</v>
      </c>
      <c r="N2733" s="251">
        <f t="shared" si="674"/>
        <v>18.926445918873039</v>
      </c>
      <c r="O2733" s="336">
        <v>2.0031347758505194E-2</v>
      </c>
      <c r="P2733" s="258">
        <f t="shared" si="675"/>
        <v>2.0031347758505194E-2</v>
      </c>
      <c r="Q2733" s="354">
        <v>922.55399999999997</v>
      </c>
      <c r="R2733" s="249">
        <f t="shared" si="676"/>
        <v>944.84136299999977</v>
      </c>
      <c r="S2733" s="355">
        <v>0.1</v>
      </c>
      <c r="T2733" s="355"/>
      <c r="U2733" s="315">
        <f t="shared" si="677"/>
        <v>1039.3254992999998</v>
      </c>
      <c r="V2733" s="315">
        <f t="shared" si="678"/>
        <v>1050</v>
      </c>
      <c r="W2733" s="316">
        <f t="shared" si="679"/>
        <v>0</v>
      </c>
    </row>
    <row r="2734" spans="1:23" x14ac:dyDescent="0.25">
      <c r="A2734" s="204" t="s">
        <v>18408</v>
      </c>
      <c r="B2734" s="351" t="s">
        <v>22416</v>
      </c>
      <c r="C2734" s="352"/>
      <c r="D2734" s="353" t="s">
        <v>5</v>
      </c>
      <c r="E2734" s="249">
        <f t="shared" si="668"/>
        <v>0</v>
      </c>
      <c r="F2734" s="336">
        <v>0</v>
      </c>
      <c r="G2734" s="258">
        <f t="shared" si="669"/>
        <v>0</v>
      </c>
      <c r="H2734" s="249">
        <f t="shared" si="670"/>
        <v>6.377102772089574E-2</v>
      </c>
      <c r="I2734" s="336">
        <v>1.1609076541860965E-2</v>
      </c>
      <c r="J2734" s="258">
        <f t="shared" si="671"/>
        <v>1.1609076541860965E-2</v>
      </c>
      <c r="K2734" s="249">
        <f t="shared" si="672"/>
        <v>5.3193373201282057</v>
      </c>
      <c r="L2734" s="336">
        <v>0.96834873622573847</v>
      </c>
      <c r="M2734" s="258">
        <f t="shared" si="673"/>
        <v>0.96834873622573847</v>
      </c>
      <c r="N2734" s="251">
        <f t="shared" si="674"/>
        <v>0.11003628312625147</v>
      </c>
      <c r="O2734" s="336">
        <v>2.0031347758505194E-2</v>
      </c>
      <c r="P2734" s="258">
        <f t="shared" si="675"/>
        <v>2.0031347758505194E-2</v>
      </c>
      <c r="Q2734" s="354">
        <v>5.3636860465116278</v>
      </c>
      <c r="R2734" s="249">
        <f t="shared" si="676"/>
        <v>5.4932041744186035</v>
      </c>
      <c r="S2734" s="355">
        <v>0.1</v>
      </c>
      <c r="T2734" s="355"/>
      <c r="U2734" s="315">
        <f t="shared" si="677"/>
        <v>6.042524591860464</v>
      </c>
      <c r="V2734" s="315">
        <f t="shared" si="678"/>
        <v>7</v>
      </c>
      <c r="W2734" s="316">
        <f t="shared" si="679"/>
        <v>0</v>
      </c>
    </row>
    <row r="2735" spans="1:23" x14ac:dyDescent="0.25">
      <c r="A2735" s="204" t="s">
        <v>18409</v>
      </c>
      <c r="B2735" s="351" t="s">
        <v>22417</v>
      </c>
      <c r="C2735" s="352"/>
      <c r="D2735" s="353" t="s">
        <v>14859</v>
      </c>
      <c r="E2735" s="249">
        <f t="shared" si="668"/>
        <v>0</v>
      </c>
      <c r="F2735" s="336">
        <v>0</v>
      </c>
      <c r="G2735" s="258">
        <f t="shared" si="669"/>
        <v>0</v>
      </c>
      <c r="H2735" s="249">
        <f t="shared" si="670"/>
        <v>10.968902476819704</v>
      </c>
      <c r="I2735" s="336">
        <v>1.1079988516538512E-2</v>
      </c>
      <c r="J2735" s="258">
        <f t="shared" si="671"/>
        <v>1.1079988516538512E-2</v>
      </c>
      <c r="K2735" s="249">
        <f t="shared" si="672"/>
        <v>960.07853758768749</v>
      </c>
      <c r="L2735" s="336">
        <v>0.96980159992551263</v>
      </c>
      <c r="M2735" s="258">
        <f t="shared" si="673"/>
        <v>0.96980159992551263</v>
      </c>
      <c r="N2735" s="251">
        <f t="shared" si="674"/>
        <v>18.92673368549282</v>
      </c>
      <c r="O2735" s="336">
        <v>1.9118411557948804E-2</v>
      </c>
      <c r="P2735" s="258">
        <f t="shared" si="675"/>
        <v>1.9118411557948804E-2</v>
      </c>
      <c r="Q2735" s="354">
        <v>966.60750000000007</v>
      </c>
      <c r="R2735" s="249">
        <f t="shared" si="676"/>
        <v>989.97417375000009</v>
      </c>
      <c r="S2735" s="355">
        <v>0.1</v>
      </c>
      <c r="T2735" s="355"/>
      <c r="U2735" s="315">
        <f t="shared" si="677"/>
        <v>1088.971591125</v>
      </c>
      <c r="V2735" s="315">
        <f t="shared" si="678"/>
        <v>1100</v>
      </c>
      <c r="W2735" s="316">
        <f t="shared" si="679"/>
        <v>0</v>
      </c>
    </row>
    <row r="2736" spans="1:23" x14ac:dyDescent="0.25">
      <c r="A2736" s="204" t="s">
        <v>18410</v>
      </c>
      <c r="B2736" s="351" t="s">
        <v>22418</v>
      </c>
      <c r="C2736" s="352"/>
      <c r="D2736" s="353" t="s">
        <v>5</v>
      </c>
      <c r="E2736" s="249">
        <f t="shared" si="668"/>
        <v>0</v>
      </c>
      <c r="F2736" s="336">
        <v>0</v>
      </c>
      <c r="G2736" s="258">
        <f t="shared" si="669"/>
        <v>0</v>
      </c>
      <c r="H2736" s="249">
        <f t="shared" si="670"/>
        <v>6.3772028850798551E-2</v>
      </c>
      <c r="I2736" s="336">
        <v>1.1079988516538512E-2</v>
      </c>
      <c r="J2736" s="258">
        <f t="shared" si="671"/>
        <v>1.1079988516538512E-2</v>
      </c>
      <c r="K2736" s="249">
        <f t="shared" si="672"/>
        <v>5.5817346531237098</v>
      </c>
      <c r="L2736" s="336">
        <v>0.96979125446471282</v>
      </c>
      <c r="M2736" s="258">
        <f t="shared" si="673"/>
        <v>0.96979125446471282</v>
      </c>
      <c r="N2736" s="251">
        <f t="shared" si="674"/>
        <v>0.11003801056608375</v>
      </c>
      <c r="O2736" s="336">
        <v>1.9118411557948804E-2</v>
      </c>
      <c r="P2736" s="258">
        <f t="shared" si="675"/>
        <v>1.9118411557948804E-2</v>
      </c>
      <c r="Q2736" s="354">
        <v>5.6198110465116287</v>
      </c>
      <c r="R2736" s="249">
        <f t="shared" si="676"/>
        <v>5.7556042369186047</v>
      </c>
      <c r="S2736" s="355">
        <v>0.1</v>
      </c>
      <c r="T2736" s="355"/>
      <c r="U2736" s="315">
        <f t="shared" si="677"/>
        <v>6.3311646606104652</v>
      </c>
      <c r="V2736" s="315">
        <f t="shared" si="678"/>
        <v>7</v>
      </c>
      <c r="W2736" s="316">
        <f t="shared" si="679"/>
        <v>0</v>
      </c>
    </row>
    <row r="2737" spans="1:23" x14ac:dyDescent="0.25">
      <c r="A2737" s="204" t="s">
        <v>18411</v>
      </c>
      <c r="B2737" s="351" t="s">
        <v>22419</v>
      </c>
      <c r="C2737" s="352"/>
      <c r="D2737" s="353" t="s">
        <v>14859</v>
      </c>
      <c r="E2737" s="249">
        <f t="shared" si="668"/>
        <v>0</v>
      </c>
      <c r="F2737" s="336">
        <v>0</v>
      </c>
      <c r="G2737" s="258">
        <f t="shared" si="669"/>
        <v>0</v>
      </c>
      <c r="H2737" s="249">
        <f t="shared" si="670"/>
        <v>10.969078246899661</v>
      </c>
      <c r="I2737" s="336">
        <v>1.0522360015031944E-2</v>
      </c>
      <c r="J2737" s="258">
        <f t="shared" si="671"/>
        <v>1.0522360015031944E-2</v>
      </c>
      <c r="K2737" s="249">
        <f t="shared" si="672"/>
        <v>1012.5580710280575</v>
      </c>
      <c r="L2737" s="336">
        <v>0.9713214109394227</v>
      </c>
      <c r="M2737" s="258">
        <f t="shared" si="673"/>
        <v>0.9713214109394227</v>
      </c>
      <c r="N2737" s="251">
        <f t="shared" si="674"/>
        <v>18.927036975042551</v>
      </c>
      <c r="O2737" s="336">
        <v>1.8156229045545313E-2</v>
      </c>
      <c r="P2737" s="258">
        <f t="shared" si="675"/>
        <v>1.8156229045545313E-2</v>
      </c>
      <c r="Q2737" s="354">
        <v>1017.8325</v>
      </c>
      <c r="R2737" s="249">
        <f t="shared" si="676"/>
        <v>1042.4541862499998</v>
      </c>
      <c r="S2737" s="355">
        <v>0.1</v>
      </c>
      <c r="T2737" s="355"/>
      <c r="U2737" s="315">
        <f t="shared" si="677"/>
        <v>1146.6996048749997</v>
      </c>
      <c r="V2737" s="315">
        <f t="shared" si="678"/>
        <v>1150</v>
      </c>
      <c r="W2737" s="316">
        <f t="shared" si="679"/>
        <v>0</v>
      </c>
    </row>
    <row r="2738" spans="1:23" x14ac:dyDescent="0.25">
      <c r="A2738" s="204" t="s">
        <v>18412</v>
      </c>
      <c r="B2738" s="351" t="s">
        <v>22420</v>
      </c>
      <c r="C2738" s="352"/>
      <c r="D2738" s="353" t="s">
        <v>5</v>
      </c>
      <c r="E2738" s="249">
        <f t="shared" si="668"/>
        <v>0</v>
      </c>
      <c r="F2738" s="336">
        <v>0</v>
      </c>
      <c r="G2738" s="258">
        <f t="shared" si="669"/>
        <v>0</v>
      </c>
      <c r="H2738" s="249">
        <f t="shared" si="670"/>
        <v>6.3773083984426215E-2</v>
      </c>
      <c r="I2738" s="336">
        <v>1.0522360015031944E-2</v>
      </c>
      <c r="J2738" s="258">
        <f t="shared" si="671"/>
        <v>1.0522360015031944E-2</v>
      </c>
      <c r="K2738" s="249">
        <f t="shared" si="672"/>
        <v>5.8868481281263518</v>
      </c>
      <c r="L2738" s="336">
        <v>0.97131158614015556</v>
      </c>
      <c r="M2738" s="258">
        <f t="shared" si="673"/>
        <v>0.97131158614015556</v>
      </c>
      <c r="N2738" s="251">
        <f t="shared" si="674"/>
        <v>0.11003983118881384</v>
      </c>
      <c r="O2738" s="336">
        <v>1.8156229045545313E-2</v>
      </c>
      <c r="P2738" s="258">
        <f t="shared" si="675"/>
        <v>1.8156229045545313E-2</v>
      </c>
      <c r="Q2738" s="354">
        <v>5.9176308139534886</v>
      </c>
      <c r="R2738" s="249">
        <f t="shared" si="676"/>
        <v>6.0607205886627904</v>
      </c>
      <c r="S2738" s="355">
        <v>0.1</v>
      </c>
      <c r="T2738" s="355"/>
      <c r="U2738" s="315">
        <f t="shared" si="677"/>
        <v>6.6667926475290695</v>
      </c>
      <c r="V2738" s="315">
        <f t="shared" si="678"/>
        <v>7</v>
      </c>
      <c r="W2738" s="316">
        <f t="shared" si="679"/>
        <v>0</v>
      </c>
    </row>
    <row r="2739" spans="1:23" x14ac:dyDescent="0.25">
      <c r="A2739" s="204" t="s">
        <v>18413</v>
      </c>
      <c r="B2739" s="351" t="s">
        <v>22421</v>
      </c>
      <c r="C2739" s="352"/>
      <c r="D2739" s="353" t="s">
        <v>14859</v>
      </c>
      <c r="E2739" s="249">
        <f t="shared" si="668"/>
        <v>0</v>
      </c>
      <c r="F2739" s="336">
        <v>0</v>
      </c>
      <c r="G2739" s="258">
        <f t="shared" si="669"/>
        <v>0</v>
      </c>
      <c r="H2739" s="249">
        <f t="shared" si="670"/>
        <v>10.969252231469589</v>
      </c>
      <c r="I2739" s="336">
        <v>9.9703960230129035E-3</v>
      </c>
      <c r="J2739" s="258">
        <f t="shared" si="671"/>
        <v>9.9703960230129035E-3</v>
      </c>
      <c r="K2739" s="249">
        <f t="shared" si="672"/>
        <v>1070.2856105848182</v>
      </c>
      <c r="L2739" s="336">
        <v>0.97282578338825887</v>
      </c>
      <c r="M2739" s="258">
        <f t="shared" si="673"/>
        <v>0.97282578338825887</v>
      </c>
      <c r="N2739" s="251">
        <f t="shared" si="674"/>
        <v>18.927337183712229</v>
      </c>
      <c r="O2739" s="336">
        <v>1.7203820588728144E-2</v>
      </c>
      <c r="P2739" s="258">
        <f t="shared" si="675"/>
        <v>1.7203820588728144E-2</v>
      </c>
      <c r="Q2739" s="354">
        <v>1074.18</v>
      </c>
      <c r="R2739" s="249">
        <f t="shared" si="676"/>
        <v>1100.1822000000002</v>
      </c>
      <c r="S2739" s="355">
        <v>0.1</v>
      </c>
      <c r="T2739" s="355"/>
      <c r="U2739" s="315">
        <f t="shared" si="677"/>
        <v>1210.2004200000001</v>
      </c>
      <c r="V2739" s="315">
        <f t="shared" si="678"/>
        <v>1225</v>
      </c>
      <c r="W2739" s="316">
        <f t="shared" si="679"/>
        <v>0</v>
      </c>
    </row>
    <row r="2740" spans="1:23" x14ac:dyDescent="0.25">
      <c r="A2740" s="204" t="s">
        <v>18414</v>
      </c>
      <c r="B2740" s="351" t="s">
        <v>22422</v>
      </c>
      <c r="C2740" s="352"/>
      <c r="D2740" s="353" t="s">
        <v>5</v>
      </c>
      <c r="E2740" s="249">
        <f t="shared" si="668"/>
        <v>0</v>
      </c>
      <c r="F2740" s="336">
        <v>0</v>
      </c>
      <c r="G2740" s="258">
        <f t="shared" si="669"/>
        <v>0</v>
      </c>
      <c r="H2740" s="249">
        <f t="shared" si="670"/>
        <v>6.3774128399780999E-2</v>
      </c>
      <c r="I2740" s="336">
        <v>9.9703960230129035E-3</v>
      </c>
      <c r="J2740" s="258">
        <f t="shared" si="671"/>
        <v>9.9703960230129035E-3</v>
      </c>
      <c r="K2740" s="249">
        <f t="shared" si="672"/>
        <v>6.2224732675259702</v>
      </c>
      <c r="L2740" s="336">
        <v>0.97281647396153348</v>
      </c>
      <c r="M2740" s="258">
        <f t="shared" si="673"/>
        <v>0.97281647396153348</v>
      </c>
      <c r="N2740" s="251">
        <f t="shared" si="674"/>
        <v>0.11004163331726916</v>
      </c>
      <c r="O2740" s="336">
        <v>1.7203820588728144E-2</v>
      </c>
      <c r="P2740" s="258">
        <f t="shared" si="675"/>
        <v>1.7203820588728144E-2</v>
      </c>
      <c r="Q2740" s="354">
        <v>6.2452325581395352</v>
      </c>
      <c r="R2740" s="249">
        <f t="shared" si="676"/>
        <v>6.3963485755813956</v>
      </c>
      <c r="S2740" s="355">
        <v>0.1</v>
      </c>
      <c r="T2740" s="355"/>
      <c r="U2740" s="315">
        <f t="shared" si="677"/>
        <v>7.0359834331395348</v>
      </c>
      <c r="V2740" s="315">
        <f t="shared" si="678"/>
        <v>8</v>
      </c>
      <c r="W2740" s="316">
        <f t="shared" si="679"/>
        <v>0</v>
      </c>
    </row>
    <row r="2741" spans="1:23" x14ac:dyDescent="0.25">
      <c r="A2741" s="204" t="s">
        <v>18415</v>
      </c>
      <c r="B2741" s="351" t="s">
        <v>22423</v>
      </c>
      <c r="C2741" s="352"/>
      <c r="D2741" s="353" t="s">
        <v>14859</v>
      </c>
      <c r="E2741" s="249">
        <f t="shared" si="668"/>
        <v>0</v>
      </c>
      <c r="F2741" s="336">
        <v>0</v>
      </c>
      <c r="G2741" s="258">
        <f t="shared" si="669"/>
        <v>0</v>
      </c>
      <c r="H2741" s="249">
        <f t="shared" si="670"/>
        <v>10.969538311226335</v>
      </c>
      <c r="I2741" s="336">
        <v>9.0628113754783676E-3</v>
      </c>
      <c r="J2741" s="258">
        <f t="shared" si="671"/>
        <v>9.0628113754783676E-3</v>
      </c>
      <c r="K2741" s="249">
        <f t="shared" si="672"/>
        <v>1180.492857127246</v>
      </c>
      <c r="L2741" s="336">
        <v>0.97529939644722563</v>
      </c>
      <c r="M2741" s="258">
        <f t="shared" si="673"/>
        <v>0.97529939644722563</v>
      </c>
      <c r="N2741" s="251">
        <f t="shared" si="674"/>
        <v>18.927830811527794</v>
      </c>
      <c r="O2741" s="336">
        <v>1.5637792177296005E-2</v>
      </c>
      <c r="P2741" s="258">
        <f t="shared" si="675"/>
        <v>1.5637792177296005E-2</v>
      </c>
      <c r="Q2741" s="354">
        <v>1181.7525000000001</v>
      </c>
      <c r="R2741" s="249">
        <f t="shared" si="676"/>
        <v>1210.3902262500001</v>
      </c>
      <c r="S2741" s="355">
        <v>0.1</v>
      </c>
      <c r="T2741" s="355"/>
      <c r="U2741" s="315">
        <f t="shared" si="677"/>
        <v>1331.429248875</v>
      </c>
      <c r="V2741" s="315">
        <f t="shared" si="678"/>
        <v>1350</v>
      </c>
      <c r="W2741" s="316">
        <f t="shared" si="679"/>
        <v>0</v>
      </c>
    </row>
    <row r="2742" spans="1:23" x14ac:dyDescent="0.25">
      <c r="A2742" s="204" t="s">
        <v>18416</v>
      </c>
      <c r="B2742" s="351" t="s">
        <v>22424</v>
      </c>
      <c r="C2742" s="352"/>
      <c r="D2742" s="353" t="s">
        <v>5</v>
      </c>
      <c r="E2742" s="249">
        <f t="shared" si="668"/>
        <v>0</v>
      </c>
      <c r="F2742" s="336">
        <v>0</v>
      </c>
      <c r="G2742" s="258">
        <f t="shared" si="669"/>
        <v>0</v>
      </c>
      <c r="H2742" s="249">
        <f t="shared" si="670"/>
        <v>6.3775845713510429E-2</v>
      </c>
      <c r="I2742" s="336">
        <v>9.0628113754783676E-3</v>
      </c>
      <c r="J2742" s="258">
        <f t="shared" si="671"/>
        <v>9.0628113754783676E-3</v>
      </c>
      <c r="K2742" s="249">
        <f t="shared" si="672"/>
        <v>6.8632129240635589</v>
      </c>
      <c r="L2742" s="336">
        <v>0.97529093443847159</v>
      </c>
      <c r="M2742" s="258">
        <f t="shared" si="673"/>
        <v>0.97529093443847159</v>
      </c>
      <c r="N2742" s="251">
        <f t="shared" si="674"/>
        <v>0.11004459652527288</v>
      </c>
      <c r="O2742" s="336">
        <v>1.5637792177296005E-2</v>
      </c>
      <c r="P2742" s="258">
        <f t="shared" si="675"/>
        <v>1.5637792177296005E-2</v>
      </c>
      <c r="Q2742" s="354">
        <v>6.8706540697674425</v>
      </c>
      <c r="R2742" s="249">
        <f t="shared" si="676"/>
        <v>7.0370929142441856</v>
      </c>
      <c r="S2742" s="355">
        <v>0.1</v>
      </c>
      <c r="T2742" s="355"/>
      <c r="U2742" s="315">
        <f t="shared" si="677"/>
        <v>7.7408022056686043</v>
      </c>
      <c r="V2742" s="315">
        <f t="shared" si="678"/>
        <v>8</v>
      </c>
      <c r="W2742" s="316">
        <f t="shared" si="679"/>
        <v>0</v>
      </c>
    </row>
    <row r="2743" spans="1:23" x14ac:dyDescent="0.25">
      <c r="A2743" s="204" t="s">
        <v>18417</v>
      </c>
      <c r="B2743" s="351" t="s">
        <v>22425</v>
      </c>
      <c r="C2743" s="352"/>
      <c r="D2743" s="353" t="s">
        <v>14859</v>
      </c>
      <c r="E2743" s="249">
        <f t="shared" si="668"/>
        <v>0</v>
      </c>
      <c r="F2743" s="336">
        <v>0</v>
      </c>
      <c r="G2743" s="258">
        <f t="shared" si="669"/>
        <v>0</v>
      </c>
      <c r="H2743" s="249">
        <f t="shared" si="670"/>
        <v>10.96956286394267</v>
      </c>
      <c r="I2743" s="336">
        <v>8.9849181730666389E-3</v>
      </c>
      <c r="J2743" s="258">
        <f t="shared" si="671"/>
        <v>8.9849181730666389E-3</v>
      </c>
      <c r="K2743" s="249">
        <f t="shared" si="672"/>
        <v>1190.9887927090583</v>
      </c>
      <c r="L2743" s="336">
        <v>0.97551169360673995</v>
      </c>
      <c r="M2743" s="258">
        <f t="shared" si="673"/>
        <v>0.97551169360673995</v>
      </c>
      <c r="N2743" s="251">
        <f t="shared" si="674"/>
        <v>18.927873176999114</v>
      </c>
      <c r="O2743" s="336">
        <v>1.5503388220193415E-2</v>
      </c>
      <c r="P2743" s="258">
        <f t="shared" si="675"/>
        <v>1.5503388220193415E-2</v>
      </c>
      <c r="Q2743" s="354">
        <v>1191.9974999999999</v>
      </c>
      <c r="R2743" s="249">
        <f t="shared" si="676"/>
        <v>1220.8862287500001</v>
      </c>
      <c r="S2743" s="355">
        <v>0.1</v>
      </c>
      <c r="T2743" s="355"/>
      <c r="U2743" s="315">
        <f t="shared" si="677"/>
        <v>1342.9748516250002</v>
      </c>
      <c r="V2743" s="315">
        <f t="shared" si="678"/>
        <v>1350</v>
      </c>
      <c r="W2743" s="316">
        <f t="shared" si="679"/>
        <v>0</v>
      </c>
    </row>
    <row r="2744" spans="1:23" ht="14.4" thickBot="1" x14ac:dyDescent="0.3">
      <c r="A2744" s="356" t="s">
        <v>18418</v>
      </c>
      <c r="B2744" s="357" t="s">
        <v>22426</v>
      </c>
      <c r="C2744" s="358"/>
      <c r="D2744" s="359" t="s">
        <v>5</v>
      </c>
      <c r="E2744" s="266">
        <f t="shared" si="668"/>
        <v>0</v>
      </c>
      <c r="F2744" s="360">
        <v>0</v>
      </c>
      <c r="G2744" s="322">
        <f t="shared" si="669"/>
        <v>0</v>
      </c>
      <c r="H2744" s="266">
        <f t="shared" si="670"/>
        <v>6.3775993101488293E-2</v>
      </c>
      <c r="I2744" s="360">
        <v>8.9849181730666406E-3</v>
      </c>
      <c r="J2744" s="322">
        <f t="shared" si="671"/>
        <v>8.9849181730666406E-3</v>
      </c>
      <c r="K2744" s="266">
        <f t="shared" si="672"/>
        <v>6.9242357925702915</v>
      </c>
      <c r="L2744" s="360">
        <v>0.97550330432740007</v>
      </c>
      <c r="M2744" s="322">
        <f t="shared" si="673"/>
        <v>0.97550330432740007</v>
      </c>
      <c r="N2744" s="270">
        <f t="shared" si="674"/>
        <v>0.11004485084178371</v>
      </c>
      <c r="O2744" s="360">
        <v>1.5503388220193417E-2</v>
      </c>
      <c r="P2744" s="322">
        <f t="shared" si="675"/>
        <v>1.5503388220193417E-2</v>
      </c>
      <c r="Q2744" s="361">
        <v>6.9302180232558133</v>
      </c>
      <c r="R2744" s="266">
        <f t="shared" si="676"/>
        <v>7.0981161845930227</v>
      </c>
      <c r="S2744" s="362">
        <v>0.1</v>
      </c>
      <c r="T2744" s="362"/>
      <c r="U2744" s="324">
        <f t="shared" si="677"/>
        <v>7.8079278030523254</v>
      </c>
      <c r="V2744" s="324">
        <f t="shared" si="678"/>
        <v>8</v>
      </c>
      <c r="W2744" s="325">
        <f t="shared" si="679"/>
        <v>0</v>
      </c>
    </row>
    <row r="2745" spans="1:23" x14ac:dyDescent="0.25">
      <c r="A2745" s="204" t="s">
        <v>18419</v>
      </c>
      <c r="B2745" s="351" t="s">
        <v>22427</v>
      </c>
      <c r="C2745" s="352"/>
      <c r="D2745" s="353" t="s">
        <v>14859</v>
      </c>
      <c r="E2745" s="249">
        <f t="shared" si="668"/>
        <v>0</v>
      </c>
      <c r="F2745" s="336">
        <v>0</v>
      </c>
      <c r="G2745" s="258">
        <f t="shared" si="669"/>
        <v>0</v>
      </c>
      <c r="H2745" s="249">
        <f t="shared" si="670"/>
        <v>10.969598911741688</v>
      </c>
      <c r="I2745" s="336">
        <v>8.8705569566783875E-3</v>
      </c>
      <c r="J2745" s="258">
        <f t="shared" si="671"/>
        <v>8.8705569566783875E-3</v>
      </c>
      <c r="K2745" s="249">
        <f t="shared" si="672"/>
        <v>1206.7326982111356</v>
      </c>
      <c r="L2745" s="336">
        <v>0.97582338398081769</v>
      </c>
      <c r="M2745" s="258">
        <f t="shared" si="673"/>
        <v>0.97582338398081769</v>
      </c>
      <c r="N2745" s="251">
        <f t="shared" si="674"/>
        <v>18.92793537712291</v>
      </c>
      <c r="O2745" s="336">
        <v>1.5306059062503883E-2</v>
      </c>
      <c r="P2745" s="258">
        <f t="shared" si="675"/>
        <v>1.5306059062503883E-2</v>
      </c>
      <c r="Q2745" s="354">
        <v>1207.365</v>
      </c>
      <c r="R2745" s="249">
        <f t="shared" si="676"/>
        <v>1236.6302325000001</v>
      </c>
      <c r="S2745" s="355">
        <v>0.1</v>
      </c>
      <c r="T2745" s="355"/>
      <c r="U2745" s="315">
        <f t="shared" si="677"/>
        <v>1360.2932557500001</v>
      </c>
      <c r="V2745" s="315">
        <f t="shared" si="678"/>
        <v>1375</v>
      </c>
      <c r="W2745" s="316">
        <f t="shared" si="679"/>
        <v>0</v>
      </c>
    </row>
    <row r="2746" spans="1:23" x14ac:dyDescent="0.25">
      <c r="A2746" s="204" t="s">
        <v>18420</v>
      </c>
      <c r="B2746" s="351" t="s">
        <v>22428</v>
      </c>
      <c r="C2746" s="352"/>
      <c r="D2746" s="353" t="s">
        <v>5</v>
      </c>
      <c r="E2746" s="249">
        <f t="shared" si="668"/>
        <v>0</v>
      </c>
      <c r="F2746" s="336">
        <v>0</v>
      </c>
      <c r="G2746" s="258">
        <f t="shared" si="669"/>
        <v>0</v>
      </c>
      <c r="H2746" s="249">
        <f t="shared" si="670"/>
        <v>6.3776209493521308E-2</v>
      </c>
      <c r="I2746" s="336">
        <v>8.8705569566783875E-3</v>
      </c>
      <c r="J2746" s="258">
        <f t="shared" si="671"/>
        <v>8.8705569566783875E-3</v>
      </c>
      <c r="K2746" s="249">
        <f t="shared" si="672"/>
        <v>7.0157701081171346</v>
      </c>
      <c r="L2746" s="336">
        <v>0.97581510148132489</v>
      </c>
      <c r="M2746" s="258">
        <f t="shared" si="673"/>
        <v>0.97581510148132489</v>
      </c>
      <c r="N2746" s="251">
        <f t="shared" si="674"/>
        <v>0.11004522422411517</v>
      </c>
      <c r="O2746" s="336">
        <v>1.5306059062503881E-2</v>
      </c>
      <c r="P2746" s="258">
        <f t="shared" si="675"/>
        <v>1.5306059062503881E-2</v>
      </c>
      <c r="Q2746" s="354">
        <v>7.0195639534883725</v>
      </c>
      <c r="R2746" s="249">
        <f t="shared" si="676"/>
        <v>7.1896510901162785</v>
      </c>
      <c r="S2746" s="355">
        <v>0.1</v>
      </c>
      <c r="T2746" s="355"/>
      <c r="U2746" s="315">
        <f t="shared" si="677"/>
        <v>7.9086161991279065</v>
      </c>
      <c r="V2746" s="315">
        <f t="shared" si="678"/>
        <v>8</v>
      </c>
      <c r="W2746" s="316">
        <f t="shared" si="679"/>
        <v>0</v>
      </c>
    </row>
    <row r="2747" spans="1:23" x14ac:dyDescent="0.25">
      <c r="A2747" s="204" t="s">
        <v>18421</v>
      </c>
      <c r="B2747" s="351" t="s">
        <v>22429</v>
      </c>
      <c r="C2747" s="352"/>
      <c r="D2747" s="353" t="s">
        <v>14859</v>
      </c>
      <c r="E2747" s="249">
        <f t="shared" si="668"/>
        <v>0</v>
      </c>
      <c r="F2747" s="336">
        <v>0</v>
      </c>
      <c r="G2747" s="258">
        <f t="shared" si="669"/>
        <v>0</v>
      </c>
      <c r="H2747" s="249">
        <f t="shared" si="670"/>
        <v>10.969656994561946</v>
      </c>
      <c r="I2747" s="336">
        <v>8.68628989580102E-3</v>
      </c>
      <c r="J2747" s="258">
        <f t="shared" si="671"/>
        <v>8.68628989580102E-3</v>
      </c>
      <c r="K2747" s="249">
        <f t="shared" si="672"/>
        <v>1232.9725461569781</v>
      </c>
      <c r="L2747" s="336">
        <v>0.97632560204869911</v>
      </c>
      <c r="M2747" s="258">
        <f t="shared" si="673"/>
        <v>0.97632560204869911</v>
      </c>
      <c r="N2747" s="251">
        <f t="shared" si="674"/>
        <v>18.928035598459829</v>
      </c>
      <c r="O2747" s="336">
        <v>1.4988108055499797E-2</v>
      </c>
      <c r="P2747" s="258">
        <f t="shared" si="675"/>
        <v>1.4988108055499797E-2</v>
      </c>
      <c r="Q2747" s="354">
        <v>1232.9775</v>
      </c>
      <c r="R2747" s="249">
        <f t="shared" si="676"/>
        <v>1262.87023875</v>
      </c>
      <c r="S2747" s="355">
        <v>0.1</v>
      </c>
      <c r="T2747" s="355"/>
      <c r="U2747" s="315">
        <f t="shared" si="677"/>
        <v>1389.1572626249999</v>
      </c>
      <c r="V2747" s="315">
        <f t="shared" si="678"/>
        <v>1400</v>
      </c>
      <c r="W2747" s="316">
        <f t="shared" si="679"/>
        <v>0</v>
      </c>
    </row>
    <row r="2748" spans="1:23" x14ac:dyDescent="0.25">
      <c r="A2748" s="204" t="s">
        <v>18422</v>
      </c>
      <c r="B2748" s="351" t="s">
        <v>22430</v>
      </c>
      <c r="C2748" s="352"/>
      <c r="D2748" s="353" t="s">
        <v>5</v>
      </c>
      <c r="E2748" s="249">
        <f t="shared" si="668"/>
        <v>0</v>
      </c>
      <c r="F2748" s="336">
        <v>0</v>
      </c>
      <c r="G2748" s="258">
        <f t="shared" si="669"/>
        <v>0</v>
      </c>
      <c r="H2748" s="249">
        <f t="shared" si="670"/>
        <v>6.3776558160011404E-2</v>
      </c>
      <c r="I2748" s="336">
        <v>8.6862898958010182E-3</v>
      </c>
      <c r="J2748" s="258">
        <f t="shared" si="671"/>
        <v>8.6862898958010182E-3</v>
      </c>
      <c r="K2748" s="249">
        <f t="shared" si="672"/>
        <v>7.1683273333765749</v>
      </c>
      <c r="L2748" s="336">
        <v>0.97631749160061709</v>
      </c>
      <c r="M2748" s="258">
        <f t="shared" si="673"/>
        <v>0.97631749160061709</v>
      </c>
      <c r="N2748" s="251">
        <f t="shared" si="674"/>
        <v>0.11004582584472555</v>
      </c>
      <c r="O2748" s="336">
        <v>1.4988108055499796E-2</v>
      </c>
      <c r="P2748" s="258">
        <f t="shared" si="675"/>
        <v>1.4988108055499796E-2</v>
      </c>
      <c r="Q2748" s="354">
        <v>7.1684738372093024</v>
      </c>
      <c r="R2748" s="249">
        <f t="shared" si="676"/>
        <v>7.3422092659883713</v>
      </c>
      <c r="S2748" s="355">
        <v>0.1</v>
      </c>
      <c r="T2748" s="355"/>
      <c r="U2748" s="315">
        <f t="shared" si="677"/>
        <v>8.0764301925872086</v>
      </c>
      <c r="V2748" s="315">
        <f t="shared" si="678"/>
        <v>9</v>
      </c>
      <c r="W2748" s="316">
        <f t="shared" si="679"/>
        <v>0</v>
      </c>
    </row>
    <row r="2749" spans="1:23" x14ac:dyDescent="0.25">
      <c r="A2749" s="204" t="s">
        <v>18423</v>
      </c>
      <c r="B2749" s="351" t="s">
        <v>22431</v>
      </c>
      <c r="C2749" s="352"/>
      <c r="D2749" s="353" t="s">
        <v>14859</v>
      </c>
      <c r="E2749" s="249">
        <f t="shared" si="668"/>
        <v>0</v>
      </c>
      <c r="F2749" s="336">
        <v>0</v>
      </c>
      <c r="G2749" s="258">
        <f t="shared" si="669"/>
        <v>0</v>
      </c>
      <c r="H2749" s="249">
        <f t="shared" si="670"/>
        <v>10.96965926772404</v>
      </c>
      <c r="I2749" s="336">
        <v>8.6790783159184509E-3</v>
      </c>
      <c r="J2749" s="258">
        <f t="shared" si="671"/>
        <v>8.6790783159184509E-3</v>
      </c>
      <c r="K2749" s="249">
        <f t="shared" si="672"/>
        <v>1234.0221402114973</v>
      </c>
      <c r="L2749" s="336">
        <v>0.97634525713896736</v>
      </c>
      <c r="M2749" s="258">
        <f t="shared" si="673"/>
        <v>0.97634525713896736</v>
      </c>
      <c r="N2749" s="251">
        <f t="shared" si="674"/>
        <v>18.928039520778736</v>
      </c>
      <c r="O2749" s="336">
        <v>1.497566454511419E-2</v>
      </c>
      <c r="P2749" s="258">
        <f t="shared" si="675"/>
        <v>1.497566454511419E-2</v>
      </c>
      <c r="Q2749" s="354">
        <v>1234.002</v>
      </c>
      <c r="R2749" s="249">
        <f t="shared" si="676"/>
        <v>1263.9198390000001</v>
      </c>
      <c r="S2749" s="355">
        <v>0.1</v>
      </c>
      <c r="T2749" s="355"/>
      <c r="U2749" s="315">
        <f t="shared" si="677"/>
        <v>1390.3118229000002</v>
      </c>
      <c r="V2749" s="315">
        <f t="shared" si="678"/>
        <v>1400</v>
      </c>
      <c r="W2749" s="316">
        <f t="shared" si="679"/>
        <v>0</v>
      </c>
    </row>
    <row r="2750" spans="1:23" x14ac:dyDescent="0.25">
      <c r="A2750" s="204" t="s">
        <v>18424</v>
      </c>
      <c r="B2750" s="351" t="s">
        <v>22432</v>
      </c>
      <c r="C2750" s="352"/>
      <c r="D2750" s="353" t="s">
        <v>5</v>
      </c>
      <c r="E2750" s="249">
        <f t="shared" si="668"/>
        <v>0</v>
      </c>
      <c r="F2750" s="336">
        <v>0</v>
      </c>
      <c r="G2750" s="258">
        <f t="shared" si="669"/>
        <v>0</v>
      </c>
      <c r="H2750" s="249">
        <f t="shared" si="670"/>
        <v>6.3776571805620311E-2</v>
      </c>
      <c r="I2750" s="336">
        <v>8.6790783159184526E-3</v>
      </c>
      <c r="J2750" s="258">
        <f t="shared" si="671"/>
        <v>8.6790783159184526E-3</v>
      </c>
      <c r="K2750" s="249">
        <f t="shared" si="672"/>
        <v>7.1744296232077449</v>
      </c>
      <c r="L2750" s="336">
        <v>0.97633715342438665</v>
      </c>
      <c r="M2750" s="258">
        <f t="shared" si="673"/>
        <v>0.97633715342438665</v>
      </c>
      <c r="N2750" s="251">
        <f t="shared" si="674"/>
        <v>0.11004584939008995</v>
      </c>
      <c r="O2750" s="336">
        <v>1.4975664545114191E-2</v>
      </c>
      <c r="P2750" s="258">
        <f t="shared" si="675"/>
        <v>1.4975664545114191E-2</v>
      </c>
      <c r="Q2750" s="354">
        <v>7.1744302325581391</v>
      </c>
      <c r="R2750" s="249">
        <f t="shared" si="676"/>
        <v>7.3483115930232552</v>
      </c>
      <c r="S2750" s="355">
        <v>0.1</v>
      </c>
      <c r="T2750" s="355"/>
      <c r="U2750" s="315">
        <f t="shared" si="677"/>
        <v>8.0831427523255801</v>
      </c>
      <c r="V2750" s="315">
        <f t="shared" si="678"/>
        <v>9</v>
      </c>
      <c r="W2750" s="316">
        <f t="shared" si="679"/>
        <v>0</v>
      </c>
    </row>
    <row r="2751" spans="1:23" x14ac:dyDescent="0.25">
      <c r="A2751" s="204" t="s">
        <v>18425</v>
      </c>
      <c r="B2751" s="351" t="s">
        <v>22433</v>
      </c>
      <c r="C2751" s="352"/>
      <c r="D2751" s="353" t="s">
        <v>14859</v>
      </c>
      <c r="E2751" s="249">
        <f t="shared" si="668"/>
        <v>0</v>
      </c>
      <c r="F2751" s="336">
        <v>0</v>
      </c>
      <c r="G2751" s="258">
        <f t="shared" si="669"/>
        <v>0</v>
      </c>
      <c r="H2751" s="249">
        <f t="shared" si="670"/>
        <v>10.969755908778213</v>
      </c>
      <c r="I2751" s="336">
        <v>8.3724857136156482E-3</v>
      </c>
      <c r="J2751" s="258">
        <f t="shared" si="671"/>
        <v>8.3724857136156482E-3</v>
      </c>
      <c r="K2751" s="249">
        <f t="shared" si="672"/>
        <v>1280.3169828172518</v>
      </c>
      <c r="L2751" s="336">
        <v>0.9771808722707338</v>
      </c>
      <c r="M2751" s="258">
        <f t="shared" si="673"/>
        <v>0.9771808722707338</v>
      </c>
      <c r="N2751" s="251">
        <f t="shared" si="674"/>
        <v>18.92820627397025</v>
      </c>
      <c r="O2751" s="336">
        <v>1.4446642015650529E-2</v>
      </c>
      <c r="P2751" s="258">
        <f t="shared" si="675"/>
        <v>1.4446642015650529E-2</v>
      </c>
      <c r="Q2751" s="354">
        <v>1279.19</v>
      </c>
      <c r="R2751" s="249">
        <f t="shared" si="676"/>
        <v>1310.2149450000002</v>
      </c>
      <c r="S2751" s="355">
        <v>0.1</v>
      </c>
      <c r="T2751" s="355"/>
      <c r="U2751" s="315">
        <f t="shared" si="677"/>
        <v>1441.2364395000002</v>
      </c>
      <c r="V2751" s="315">
        <f t="shared" si="678"/>
        <v>1450</v>
      </c>
      <c r="W2751" s="316">
        <f t="shared" si="679"/>
        <v>0</v>
      </c>
    </row>
    <row r="2752" spans="1:23" x14ac:dyDescent="0.25">
      <c r="A2752" s="204" t="s">
        <v>18426</v>
      </c>
      <c r="B2752" s="351" t="s">
        <v>22434</v>
      </c>
      <c r="C2752" s="352"/>
      <c r="D2752" s="353" t="s">
        <v>5</v>
      </c>
      <c r="E2752" s="249">
        <f t="shared" si="668"/>
        <v>0</v>
      </c>
      <c r="F2752" s="336">
        <v>0</v>
      </c>
      <c r="G2752" s="258">
        <f t="shared" si="669"/>
        <v>0</v>
      </c>
      <c r="H2752" s="249">
        <f t="shared" si="670"/>
        <v>6.377715193408183E-2</v>
      </c>
      <c r="I2752" s="336">
        <v>8.3724857136156482E-3</v>
      </c>
      <c r="J2752" s="258">
        <f t="shared" si="671"/>
        <v>8.3724857136156482E-3</v>
      </c>
      <c r="K2752" s="249">
        <f t="shared" si="672"/>
        <v>7.4435856345548963</v>
      </c>
      <c r="L2752" s="336">
        <v>0.9771730548237556</v>
      </c>
      <c r="M2752" s="258">
        <f t="shared" si="673"/>
        <v>0.9771730548237556</v>
      </c>
      <c r="N2752" s="251">
        <f t="shared" si="674"/>
        <v>0.11004685039606275</v>
      </c>
      <c r="O2752" s="336">
        <v>1.4446642015650527E-2</v>
      </c>
      <c r="P2752" s="258">
        <f t="shared" si="675"/>
        <v>1.4446642015650527E-2</v>
      </c>
      <c r="Q2752" s="354">
        <v>7.4371511627906983</v>
      </c>
      <c r="R2752" s="249">
        <f t="shared" si="676"/>
        <v>7.6174691860465114</v>
      </c>
      <c r="S2752" s="355">
        <v>0.1</v>
      </c>
      <c r="T2752" s="355"/>
      <c r="U2752" s="315">
        <f t="shared" si="677"/>
        <v>8.379216104651162</v>
      </c>
      <c r="V2752" s="315">
        <f t="shared" si="678"/>
        <v>9</v>
      </c>
      <c r="W2752" s="316">
        <f t="shared" si="679"/>
        <v>0</v>
      </c>
    </row>
    <row r="2753" spans="1:23" x14ac:dyDescent="0.25">
      <c r="A2753" s="204" t="s">
        <v>18427</v>
      </c>
      <c r="B2753" s="351" t="s">
        <v>22435</v>
      </c>
      <c r="C2753" s="352"/>
      <c r="D2753" s="353" t="s">
        <v>14859</v>
      </c>
      <c r="E2753" s="249">
        <f t="shared" si="668"/>
        <v>0</v>
      </c>
      <c r="F2753" s="336">
        <v>0</v>
      </c>
      <c r="G2753" s="258">
        <f t="shared" si="669"/>
        <v>0</v>
      </c>
      <c r="H2753" s="249">
        <f t="shared" si="670"/>
        <v>10.969886292197767</v>
      </c>
      <c r="I2753" s="336">
        <v>7.9588458558824682E-3</v>
      </c>
      <c r="J2753" s="258">
        <f t="shared" si="671"/>
        <v>7.9588458558824682E-3</v>
      </c>
      <c r="K2753" s="249">
        <f t="shared" si="672"/>
        <v>1348.4279487085196</v>
      </c>
      <c r="L2753" s="336">
        <v>0.97830824364769287</v>
      </c>
      <c r="M2753" s="258">
        <f t="shared" si="673"/>
        <v>0.97830824364769287</v>
      </c>
      <c r="N2753" s="251">
        <f t="shared" si="674"/>
        <v>18.928431249282422</v>
      </c>
      <c r="O2753" s="336">
        <v>1.3732910496424651E-2</v>
      </c>
      <c r="P2753" s="258">
        <f t="shared" si="675"/>
        <v>1.3732910496424651E-2</v>
      </c>
      <c r="Q2753" s="354">
        <v>1345.6724999999999</v>
      </c>
      <c r="R2753" s="249">
        <f t="shared" si="676"/>
        <v>1378.3262662499999</v>
      </c>
      <c r="S2753" s="355">
        <v>0.1</v>
      </c>
      <c r="T2753" s="355"/>
      <c r="U2753" s="315">
        <f t="shared" si="677"/>
        <v>1516.1588928749998</v>
      </c>
      <c r="V2753" s="315">
        <f t="shared" si="678"/>
        <v>1525</v>
      </c>
      <c r="W2753" s="316">
        <f t="shared" si="679"/>
        <v>0</v>
      </c>
    </row>
    <row r="2754" spans="1:23" x14ac:dyDescent="0.25">
      <c r="A2754" s="204" t="s">
        <v>18428</v>
      </c>
      <c r="B2754" s="351" t="s">
        <v>22436</v>
      </c>
      <c r="C2754" s="352"/>
      <c r="D2754" s="353" t="s">
        <v>5</v>
      </c>
      <c r="E2754" s="249">
        <f t="shared" ref="E2754:E2817" si="680">R2754*G2754</f>
        <v>0</v>
      </c>
      <c r="F2754" s="336">
        <v>0</v>
      </c>
      <c r="G2754" s="258">
        <f t="shared" ref="G2754:G2817" si="681">F2754</f>
        <v>0</v>
      </c>
      <c r="H2754" s="249">
        <f t="shared" ref="H2754:H2817" si="682">R2754*J2754</f>
        <v>6.3777934615244045E-2</v>
      </c>
      <c r="I2754" s="336">
        <v>7.9588458558824699E-3</v>
      </c>
      <c r="J2754" s="258">
        <f t="shared" ref="J2754:J2817" si="683">I2754</f>
        <v>7.9588458558824699E-3</v>
      </c>
      <c r="K2754" s="249">
        <f t="shared" ref="K2754:K2817" si="684">R2754*M2754</f>
        <v>7.8395795544133362</v>
      </c>
      <c r="L2754" s="336">
        <v>0.97830081241906919</v>
      </c>
      <c r="M2754" s="258">
        <f t="shared" ref="M2754:M2817" si="685">L2754</f>
        <v>0.97830081241906919</v>
      </c>
      <c r="N2754" s="251">
        <f t="shared" ref="N2754:N2817" si="686">P2754*R2754</f>
        <v>0.11004820090473479</v>
      </c>
      <c r="O2754" s="336">
        <v>1.3732910496424651E-2</v>
      </c>
      <c r="P2754" s="258">
        <f t="shared" ref="P2754:P2817" si="687">O2754</f>
        <v>1.3732910496424651E-2</v>
      </c>
      <c r="Q2754" s="354">
        <v>7.8236773255813947</v>
      </c>
      <c r="R2754" s="249">
        <f t="shared" ref="R2754:R2817" si="688">SUM(F2754*Q2754*1.0235,I2754*Q2754*1.0175,L2754*Q2754*1.0245,O2754*Q2754*1.0115)</f>
        <v>8.0134652398255799</v>
      </c>
      <c r="S2754" s="355">
        <v>0.1</v>
      </c>
      <c r="T2754" s="355"/>
      <c r="U2754" s="315">
        <f t="shared" si="677"/>
        <v>8.8148117638081374</v>
      </c>
      <c r="V2754" s="315">
        <f t="shared" si="678"/>
        <v>9</v>
      </c>
      <c r="W2754" s="316">
        <f t="shared" si="679"/>
        <v>0</v>
      </c>
    </row>
    <row r="2755" spans="1:23" x14ac:dyDescent="0.25">
      <c r="A2755" s="204" t="s">
        <v>18429</v>
      </c>
      <c r="B2755" s="351" t="s">
        <v>22437</v>
      </c>
      <c r="C2755" s="352"/>
      <c r="D2755" s="353" t="s">
        <v>14859</v>
      </c>
      <c r="E2755" s="249">
        <f t="shared" si="680"/>
        <v>0</v>
      </c>
      <c r="F2755" s="336">
        <v>0</v>
      </c>
      <c r="G2755" s="258">
        <f t="shared" si="681"/>
        <v>0</v>
      </c>
      <c r="H2755" s="249">
        <f t="shared" si="682"/>
        <v>10.969905247415497</v>
      </c>
      <c r="I2755" s="336">
        <v>7.8987106516436294E-3</v>
      </c>
      <c r="J2755" s="258">
        <f t="shared" si="683"/>
        <v>7.8987106516436294E-3</v>
      </c>
      <c r="K2755" s="249">
        <f t="shared" si="684"/>
        <v>1358.9238995462599</v>
      </c>
      <c r="L2755" s="336">
        <v>0.97847214155728501</v>
      </c>
      <c r="M2755" s="258">
        <f t="shared" si="685"/>
        <v>0.97847214155728501</v>
      </c>
      <c r="N2755" s="251">
        <f t="shared" si="686"/>
        <v>18.928463956324777</v>
      </c>
      <c r="O2755" s="336">
        <v>1.3629147791071359E-2</v>
      </c>
      <c r="P2755" s="258">
        <f t="shared" si="687"/>
        <v>1.3629147791071359E-2</v>
      </c>
      <c r="Q2755" s="354">
        <v>1355.9175</v>
      </c>
      <c r="R2755" s="249">
        <f t="shared" si="688"/>
        <v>1388.8222687500001</v>
      </c>
      <c r="S2755" s="355">
        <v>0.1</v>
      </c>
      <c r="T2755" s="355"/>
      <c r="U2755" s="315">
        <f t="shared" si="677"/>
        <v>1527.7044956250002</v>
      </c>
      <c r="V2755" s="315">
        <f t="shared" si="678"/>
        <v>1550</v>
      </c>
      <c r="W2755" s="316">
        <f t="shared" si="679"/>
        <v>0</v>
      </c>
    </row>
    <row r="2756" spans="1:23" x14ac:dyDescent="0.25">
      <c r="A2756" s="204" t="s">
        <v>18430</v>
      </c>
      <c r="B2756" s="351" t="s">
        <v>22438</v>
      </c>
      <c r="C2756" s="352"/>
      <c r="D2756" s="353" t="s">
        <v>5</v>
      </c>
      <c r="E2756" s="249">
        <f t="shared" si="680"/>
        <v>0</v>
      </c>
      <c r="F2756" s="336">
        <v>0</v>
      </c>
      <c r="G2756" s="258">
        <f t="shared" si="681"/>
        <v>0</v>
      </c>
      <c r="H2756" s="249">
        <f t="shared" si="682"/>
        <v>6.3778048401888776E-2</v>
      </c>
      <c r="I2756" s="336">
        <v>7.8987106516436294E-3</v>
      </c>
      <c r="J2756" s="258">
        <f t="shared" si="683"/>
        <v>7.8987106516436294E-3</v>
      </c>
      <c r="K2756" s="249">
        <f t="shared" si="684"/>
        <v>7.9006025145315473</v>
      </c>
      <c r="L2756" s="336">
        <v>0.97846476647731151</v>
      </c>
      <c r="M2756" s="258">
        <f t="shared" si="685"/>
        <v>0.97846476647731151</v>
      </c>
      <c r="N2756" s="251">
        <f t="shared" si="686"/>
        <v>0.11004839724247475</v>
      </c>
      <c r="O2756" s="336">
        <v>1.3629147791071359E-2</v>
      </c>
      <c r="P2756" s="258">
        <f t="shared" si="687"/>
        <v>1.3629147791071359E-2</v>
      </c>
      <c r="Q2756" s="354">
        <v>7.8832412790697672</v>
      </c>
      <c r="R2756" s="249">
        <f t="shared" si="688"/>
        <v>8.0744885101744188</v>
      </c>
      <c r="S2756" s="355">
        <v>0.1</v>
      </c>
      <c r="T2756" s="355"/>
      <c r="U2756" s="315">
        <f t="shared" si="677"/>
        <v>8.8819373611918611</v>
      </c>
      <c r="V2756" s="315">
        <f t="shared" si="678"/>
        <v>9</v>
      </c>
      <c r="W2756" s="316">
        <f t="shared" si="679"/>
        <v>0</v>
      </c>
    </row>
    <row r="2757" spans="1:23" x14ac:dyDescent="0.25">
      <c r="A2757" s="204" t="s">
        <v>18431</v>
      </c>
      <c r="B2757" s="351" t="s">
        <v>22439</v>
      </c>
      <c r="C2757" s="352"/>
      <c r="D2757" s="353" t="s">
        <v>14859</v>
      </c>
      <c r="E2757" s="249">
        <f t="shared" si="680"/>
        <v>0</v>
      </c>
      <c r="F2757" s="336">
        <v>0</v>
      </c>
      <c r="G2757" s="258">
        <f t="shared" si="681"/>
        <v>0</v>
      </c>
      <c r="H2757" s="249">
        <f t="shared" si="682"/>
        <v>10.969905247415497</v>
      </c>
      <c r="I2757" s="336">
        <v>7.8987106516436294E-3</v>
      </c>
      <c r="J2757" s="258">
        <f t="shared" si="683"/>
        <v>7.8987106516436294E-3</v>
      </c>
      <c r="K2757" s="249">
        <f t="shared" si="684"/>
        <v>1358.9238995462599</v>
      </c>
      <c r="L2757" s="336">
        <v>0.97847214155728501</v>
      </c>
      <c r="M2757" s="258">
        <f t="shared" si="685"/>
        <v>0.97847214155728501</v>
      </c>
      <c r="N2757" s="251">
        <f t="shared" si="686"/>
        <v>18.928463956324777</v>
      </c>
      <c r="O2757" s="336">
        <v>1.3629147791071359E-2</v>
      </c>
      <c r="P2757" s="258">
        <f t="shared" si="687"/>
        <v>1.3629147791071359E-2</v>
      </c>
      <c r="Q2757" s="354">
        <v>1355.9175</v>
      </c>
      <c r="R2757" s="249">
        <f t="shared" si="688"/>
        <v>1388.8222687500001</v>
      </c>
      <c r="S2757" s="355">
        <v>0.1</v>
      </c>
      <c r="T2757" s="355"/>
      <c r="U2757" s="315">
        <f t="shared" si="677"/>
        <v>1527.7044956250002</v>
      </c>
      <c r="V2757" s="315">
        <f t="shared" si="678"/>
        <v>1550</v>
      </c>
      <c r="W2757" s="316">
        <f t="shared" si="679"/>
        <v>0</v>
      </c>
    </row>
    <row r="2758" spans="1:23" x14ac:dyDescent="0.25">
      <c r="A2758" s="204" t="s">
        <v>18432</v>
      </c>
      <c r="B2758" s="351" t="s">
        <v>22440</v>
      </c>
      <c r="C2758" s="352"/>
      <c r="D2758" s="353" t="s">
        <v>5</v>
      </c>
      <c r="E2758" s="249">
        <f t="shared" si="680"/>
        <v>0</v>
      </c>
      <c r="F2758" s="336">
        <v>0</v>
      </c>
      <c r="G2758" s="258">
        <f t="shared" si="681"/>
        <v>0</v>
      </c>
      <c r="H2758" s="249">
        <f t="shared" si="682"/>
        <v>6.3778048401888776E-2</v>
      </c>
      <c r="I2758" s="336">
        <v>7.8987106516436294E-3</v>
      </c>
      <c r="J2758" s="258">
        <f t="shared" si="683"/>
        <v>7.8987106516436294E-3</v>
      </c>
      <c r="K2758" s="249">
        <f t="shared" si="684"/>
        <v>7.9006025145315473</v>
      </c>
      <c r="L2758" s="336">
        <v>0.97846476647731151</v>
      </c>
      <c r="M2758" s="258">
        <f t="shared" si="685"/>
        <v>0.97846476647731151</v>
      </c>
      <c r="N2758" s="251">
        <f t="shared" si="686"/>
        <v>0.11004839724247475</v>
      </c>
      <c r="O2758" s="336">
        <v>1.3629147791071359E-2</v>
      </c>
      <c r="P2758" s="258">
        <f t="shared" si="687"/>
        <v>1.3629147791071359E-2</v>
      </c>
      <c r="Q2758" s="354">
        <v>7.8832412790697672</v>
      </c>
      <c r="R2758" s="249">
        <f t="shared" si="688"/>
        <v>8.0744885101744188</v>
      </c>
      <c r="S2758" s="355">
        <v>0.1</v>
      </c>
      <c r="T2758" s="355"/>
      <c r="U2758" s="315">
        <f t="shared" si="677"/>
        <v>8.8819373611918611</v>
      </c>
      <c r="V2758" s="315">
        <f t="shared" si="678"/>
        <v>9</v>
      </c>
      <c r="W2758" s="316">
        <f t="shared" si="679"/>
        <v>0</v>
      </c>
    </row>
    <row r="2759" spans="1:23" x14ac:dyDescent="0.25">
      <c r="A2759" s="204" t="s">
        <v>18433</v>
      </c>
      <c r="B2759" s="351" t="s">
        <v>22441</v>
      </c>
      <c r="C2759" s="352"/>
      <c r="D2759" s="353" t="s">
        <v>14859</v>
      </c>
      <c r="E2759" s="249">
        <f t="shared" si="680"/>
        <v>0</v>
      </c>
      <c r="F2759" s="336">
        <v>0</v>
      </c>
      <c r="G2759" s="258">
        <f t="shared" si="681"/>
        <v>0</v>
      </c>
      <c r="H2759" s="249">
        <f t="shared" si="682"/>
        <v>10.969914618012698</v>
      </c>
      <c r="I2759" s="336">
        <v>7.8689825427614192E-3</v>
      </c>
      <c r="J2759" s="258">
        <f t="shared" si="683"/>
        <v>7.8689825427614192E-3</v>
      </c>
      <c r="K2759" s="249">
        <f t="shared" si="684"/>
        <v>1364.1718752567888</v>
      </c>
      <c r="L2759" s="336">
        <v>0.97855316522659141</v>
      </c>
      <c r="M2759" s="258">
        <f t="shared" si="685"/>
        <v>0.97855316522659141</v>
      </c>
      <c r="N2759" s="251">
        <f t="shared" si="686"/>
        <v>18.928480125198377</v>
      </c>
      <c r="O2759" s="336">
        <v>1.3577852230647152E-2</v>
      </c>
      <c r="P2759" s="258">
        <f t="shared" si="687"/>
        <v>1.3577852230647152E-2</v>
      </c>
      <c r="Q2759" s="354">
        <v>1361.04</v>
      </c>
      <c r="R2759" s="249">
        <f t="shared" si="688"/>
        <v>1394.0702699999999</v>
      </c>
      <c r="S2759" s="355">
        <v>0.1</v>
      </c>
      <c r="T2759" s="355"/>
      <c r="U2759" s="315">
        <f t="shared" si="677"/>
        <v>1533.4772969999999</v>
      </c>
      <c r="V2759" s="315">
        <f t="shared" si="678"/>
        <v>1550</v>
      </c>
      <c r="W2759" s="316">
        <f t="shared" si="679"/>
        <v>0</v>
      </c>
    </row>
    <row r="2760" spans="1:23" x14ac:dyDescent="0.25">
      <c r="A2760" s="204" t="s">
        <v>18434</v>
      </c>
      <c r="B2760" s="351" t="s">
        <v>22442</v>
      </c>
      <c r="C2760" s="352"/>
      <c r="D2760" s="353" t="s">
        <v>5</v>
      </c>
      <c r="E2760" s="249">
        <f t="shared" si="680"/>
        <v>0</v>
      </c>
      <c r="F2760" s="336">
        <v>0</v>
      </c>
      <c r="G2760" s="258">
        <f t="shared" si="681"/>
        <v>0</v>
      </c>
      <c r="H2760" s="249">
        <f t="shared" si="682"/>
        <v>6.3778104652828765E-2</v>
      </c>
      <c r="I2760" s="336">
        <v>7.8689825427614192E-3</v>
      </c>
      <c r="J2760" s="258">
        <f t="shared" si="683"/>
        <v>7.8689825427614192E-3</v>
      </c>
      <c r="K2760" s="249">
        <f t="shared" si="684"/>
        <v>7.9311139963420585</v>
      </c>
      <c r="L2760" s="336">
        <v>0.97854581790395578</v>
      </c>
      <c r="M2760" s="258">
        <f t="shared" si="685"/>
        <v>0.97854581790395578</v>
      </c>
      <c r="N2760" s="251">
        <f t="shared" si="686"/>
        <v>0.11004849430292021</v>
      </c>
      <c r="O2760" s="336">
        <v>1.3577852230647154E-2</v>
      </c>
      <c r="P2760" s="258">
        <f t="shared" si="687"/>
        <v>1.3577852230647154E-2</v>
      </c>
      <c r="Q2760" s="354">
        <v>7.913023255813953</v>
      </c>
      <c r="R2760" s="249">
        <f t="shared" si="688"/>
        <v>8.1050001453488374</v>
      </c>
      <c r="S2760" s="355">
        <v>0.1</v>
      </c>
      <c r="T2760" s="355"/>
      <c r="U2760" s="315">
        <f t="shared" si="677"/>
        <v>8.9155001598837202</v>
      </c>
      <c r="V2760" s="315">
        <f t="shared" si="678"/>
        <v>9</v>
      </c>
      <c r="W2760" s="316">
        <f t="shared" si="679"/>
        <v>0</v>
      </c>
    </row>
    <row r="2761" spans="1:23" x14ac:dyDescent="0.25">
      <c r="A2761" s="204" t="s">
        <v>18435</v>
      </c>
      <c r="B2761" s="351" t="s">
        <v>22443</v>
      </c>
      <c r="C2761" s="352"/>
      <c r="D2761" s="353" t="s">
        <v>14859</v>
      </c>
      <c r="E2761" s="249">
        <f t="shared" si="680"/>
        <v>0</v>
      </c>
      <c r="F2761" s="336">
        <v>0</v>
      </c>
      <c r="G2761" s="258">
        <f t="shared" si="681"/>
        <v>0</v>
      </c>
      <c r="H2761" s="249">
        <f t="shared" si="682"/>
        <v>10.969992384729203</v>
      </c>
      <c r="I2761" s="336">
        <v>7.6222685536585294E-3</v>
      </c>
      <c r="J2761" s="258">
        <f t="shared" si="683"/>
        <v>7.6222685536585294E-3</v>
      </c>
      <c r="K2761" s="249">
        <f t="shared" si="684"/>
        <v>1409.3044740543655</v>
      </c>
      <c r="L2761" s="336">
        <v>0.97922558178512675</v>
      </c>
      <c r="M2761" s="258">
        <f t="shared" si="685"/>
        <v>0.97922558178512675</v>
      </c>
      <c r="N2761" s="251">
        <f t="shared" si="686"/>
        <v>18.928614310905289</v>
      </c>
      <c r="O2761" s="336">
        <v>1.3152149661214717E-2</v>
      </c>
      <c r="P2761" s="258">
        <f t="shared" si="687"/>
        <v>1.3152149661214717E-2</v>
      </c>
      <c r="Q2761" s="354">
        <v>1405.0934999999999</v>
      </c>
      <c r="R2761" s="249">
        <f t="shared" si="688"/>
        <v>1439.20308075</v>
      </c>
      <c r="S2761" s="355">
        <v>0.1</v>
      </c>
      <c r="T2761" s="355"/>
      <c r="U2761" s="315">
        <f t="shared" si="677"/>
        <v>1583.1233888250001</v>
      </c>
      <c r="V2761" s="315">
        <f t="shared" si="678"/>
        <v>1600</v>
      </c>
      <c r="W2761" s="316">
        <f t="shared" si="679"/>
        <v>0</v>
      </c>
    </row>
    <row r="2762" spans="1:23" x14ac:dyDescent="0.25">
      <c r="A2762" s="204" t="s">
        <v>18436</v>
      </c>
      <c r="B2762" s="351" t="s">
        <v>22444</v>
      </c>
      <c r="C2762" s="352"/>
      <c r="D2762" s="353" t="s">
        <v>5</v>
      </c>
      <c r="E2762" s="249">
        <f t="shared" si="680"/>
        <v>0</v>
      </c>
      <c r="F2762" s="336">
        <v>0</v>
      </c>
      <c r="G2762" s="258">
        <f t="shared" si="681"/>
        <v>0</v>
      </c>
      <c r="H2762" s="249">
        <f t="shared" si="682"/>
        <v>6.3778571480162041E-2</v>
      </c>
      <c r="I2762" s="336">
        <v>7.6222685536585302E-3</v>
      </c>
      <c r="J2762" s="258">
        <f t="shared" si="683"/>
        <v>7.6222685536585302E-3</v>
      </c>
      <c r="K2762" s="249">
        <f t="shared" si="684"/>
        <v>8.1935127860728585</v>
      </c>
      <c r="L2762" s="336">
        <v>0.97921846482102437</v>
      </c>
      <c r="M2762" s="258">
        <f t="shared" si="685"/>
        <v>0.97921846482102437</v>
      </c>
      <c r="N2762" s="251">
        <f t="shared" si="686"/>
        <v>0.11004929980890703</v>
      </c>
      <c r="O2762" s="336">
        <v>1.3152149661214717E-2</v>
      </c>
      <c r="P2762" s="258">
        <f t="shared" si="687"/>
        <v>1.3152149661214717E-2</v>
      </c>
      <c r="Q2762" s="354">
        <v>8.169148255813953</v>
      </c>
      <c r="R2762" s="249">
        <f t="shared" si="688"/>
        <v>8.3674002078488368</v>
      </c>
      <c r="S2762" s="355">
        <v>0.1</v>
      </c>
      <c r="T2762" s="355"/>
      <c r="U2762" s="315">
        <f t="shared" si="677"/>
        <v>9.2041402286337206</v>
      </c>
      <c r="V2762" s="315">
        <f t="shared" si="678"/>
        <v>10</v>
      </c>
      <c r="W2762" s="316">
        <f t="shared" si="679"/>
        <v>0</v>
      </c>
    </row>
    <row r="2763" spans="1:23" x14ac:dyDescent="0.25">
      <c r="A2763" s="204" t="s">
        <v>18437</v>
      </c>
      <c r="B2763" s="351" t="s">
        <v>22445</v>
      </c>
      <c r="C2763" s="352"/>
      <c r="D2763" s="353" t="s">
        <v>14859</v>
      </c>
      <c r="E2763" s="249">
        <f t="shared" si="680"/>
        <v>0</v>
      </c>
      <c r="F2763" s="336">
        <v>0</v>
      </c>
      <c r="G2763" s="258">
        <f t="shared" si="681"/>
        <v>0</v>
      </c>
      <c r="H2763" s="249">
        <f t="shared" si="682"/>
        <v>10.969992384729203</v>
      </c>
      <c r="I2763" s="336">
        <v>7.6222685536585294E-3</v>
      </c>
      <c r="J2763" s="258">
        <f t="shared" si="683"/>
        <v>7.6222685536585294E-3</v>
      </c>
      <c r="K2763" s="249">
        <f t="shared" si="684"/>
        <v>1409.3044740543655</v>
      </c>
      <c r="L2763" s="336">
        <v>0.97922558178512675</v>
      </c>
      <c r="M2763" s="258">
        <f t="shared" si="685"/>
        <v>0.97922558178512675</v>
      </c>
      <c r="N2763" s="251">
        <f t="shared" si="686"/>
        <v>18.928614310905289</v>
      </c>
      <c r="O2763" s="336">
        <v>1.3152149661214717E-2</v>
      </c>
      <c r="P2763" s="258">
        <f t="shared" si="687"/>
        <v>1.3152149661214717E-2</v>
      </c>
      <c r="Q2763" s="354">
        <v>1405.0934999999999</v>
      </c>
      <c r="R2763" s="249">
        <f t="shared" si="688"/>
        <v>1439.20308075</v>
      </c>
      <c r="S2763" s="355">
        <v>0.1</v>
      </c>
      <c r="T2763" s="355"/>
      <c r="U2763" s="315">
        <f t="shared" si="677"/>
        <v>1583.1233888250001</v>
      </c>
      <c r="V2763" s="315">
        <f t="shared" si="678"/>
        <v>1600</v>
      </c>
      <c r="W2763" s="316">
        <f t="shared" si="679"/>
        <v>0</v>
      </c>
    </row>
    <row r="2764" spans="1:23" x14ac:dyDescent="0.25">
      <c r="A2764" s="204" t="s">
        <v>18438</v>
      </c>
      <c r="B2764" s="351" t="s">
        <v>22446</v>
      </c>
      <c r="C2764" s="352"/>
      <c r="D2764" s="353" t="s">
        <v>5</v>
      </c>
      <c r="E2764" s="249">
        <f t="shared" si="680"/>
        <v>0</v>
      </c>
      <c r="F2764" s="336">
        <v>0</v>
      </c>
      <c r="G2764" s="258">
        <f t="shared" si="681"/>
        <v>0</v>
      </c>
      <c r="H2764" s="249">
        <f t="shared" si="682"/>
        <v>6.3778571480162041E-2</v>
      </c>
      <c r="I2764" s="336">
        <v>7.6222685536585302E-3</v>
      </c>
      <c r="J2764" s="258">
        <f t="shared" si="683"/>
        <v>7.6222685536585302E-3</v>
      </c>
      <c r="K2764" s="249">
        <f t="shared" si="684"/>
        <v>8.1935127860728585</v>
      </c>
      <c r="L2764" s="336">
        <v>0.97921846482102437</v>
      </c>
      <c r="M2764" s="258">
        <f t="shared" si="685"/>
        <v>0.97921846482102437</v>
      </c>
      <c r="N2764" s="251">
        <f t="shared" si="686"/>
        <v>0.11004929980890703</v>
      </c>
      <c r="O2764" s="336">
        <v>1.3152149661214717E-2</v>
      </c>
      <c r="P2764" s="258">
        <f t="shared" si="687"/>
        <v>1.3152149661214717E-2</v>
      </c>
      <c r="Q2764" s="354">
        <v>8.169148255813953</v>
      </c>
      <c r="R2764" s="249">
        <f t="shared" si="688"/>
        <v>8.3674002078488368</v>
      </c>
      <c r="S2764" s="355">
        <v>0.1</v>
      </c>
      <c r="T2764" s="355"/>
      <c r="U2764" s="315">
        <f t="shared" si="677"/>
        <v>9.2041402286337206</v>
      </c>
      <c r="V2764" s="315">
        <f t="shared" si="678"/>
        <v>10</v>
      </c>
      <c r="W2764" s="316">
        <f t="shared" si="679"/>
        <v>0</v>
      </c>
    </row>
    <row r="2765" spans="1:23" x14ac:dyDescent="0.25">
      <c r="A2765" s="204" t="s">
        <v>18439</v>
      </c>
      <c r="B2765" s="351" t="s">
        <v>22447</v>
      </c>
      <c r="C2765" s="352"/>
      <c r="D2765" s="353" t="s">
        <v>14859</v>
      </c>
      <c r="E2765" s="249">
        <f t="shared" si="680"/>
        <v>0</v>
      </c>
      <c r="F2765" s="336">
        <v>0</v>
      </c>
      <c r="G2765" s="258">
        <f t="shared" si="681"/>
        <v>0</v>
      </c>
      <c r="H2765" s="249">
        <f t="shared" si="682"/>
        <v>10.969992384729203</v>
      </c>
      <c r="I2765" s="336">
        <v>7.6222685536585294E-3</v>
      </c>
      <c r="J2765" s="258">
        <f t="shared" si="683"/>
        <v>7.6222685536585294E-3</v>
      </c>
      <c r="K2765" s="249">
        <f t="shared" si="684"/>
        <v>1409.3044740543655</v>
      </c>
      <c r="L2765" s="336">
        <v>0.97922558178512675</v>
      </c>
      <c r="M2765" s="258">
        <f t="shared" si="685"/>
        <v>0.97922558178512675</v>
      </c>
      <c r="N2765" s="251">
        <f t="shared" si="686"/>
        <v>18.928614310905289</v>
      </c>
      <c r="O2765" s="336">
        <v>1.3152149661214717E-2</v>
      </c>
      <c r="P2765" s="258">
        <f t="shared" si="687"/>
        <v>1.3152149661214717E-2</v>
      </c>
      <c r="Q2765" s="354">
        <v>1405.0934999999999</v>
      </c>
      <c r="R2765" s="249">
        <f t="shared" si="688"/>
        <v>1439.20308075</v>
      </c>
      <c r="S2765" s="355">
        <v>0.1</v>
      </c>
      <c r="T2765" s="355"/>
      <c r="U2765" s="315">
        <f t="shared" si="677"/>
        <v>1583.1233888250001</v>
      </c>
      <c r="V2765" s="315">
        <f t="shared" si="678"/>
        <v>1600</v>
      </c>
      <c r="W2765" s="316">
        <f t="shared" si="679"/>
        <v>0</v>
      </c>
    </row>
    <row r="2766" spans="1:23" x14ac:dyDescent="0.25">
      <c r="A2766" s="204" t="s">
        <v>18440</v>
      </c>
      <c r="B2766" s="351" t="s">
        <v>22448</v>
      </c>
      <c r="C2766" s="352"/>
      <c r="D2766" s="353" t="s">
        <v>5</v>
      </c>
      <c r="E2766" s="249">
        <f t="shared" si="680"/>
        <v>0</v>
      </c>
      <c r="F2766" s="336">
        <v>0</v>
      </c>
      <c r="G2766" s="258">
        <f t="shared" si="681"/>
        <v>0</v>
      </c>
      <c r="H2766" s="249">
        <f t="shared" si="682"/>
        <v>6.3778571480162041E-2</v>
      </c>
      <c r="I2766" s="336">
        <v>7.6222685536585302E-3</v>
      </c>
      <c r="J2766" s="258">
        <f t="shared" si="683"/>
        <v>7.6222685536585302E-3</v>
      </c>
      <c r="K2766" s="249">
        <f t="shared" si="684"/>
        <v>8.1935127860728585</v>
      </c>
      <c r="L2766" s="336">
        <v>0.97921846482102437</v>
      </c>
      <c r="M2766" s="258">
        <f t="shared" si="685"/>
        <v>0.97921846482102437</v>
      </c>
      <c r="N2766" s="251">
        <f t="shared" si="686"/>
        <v>0.11004929980890703</v>
      </c>
      <c r="O2766" s="336">
        <v>1.3152149661214717E-2</v>
      </c>
      <c r="P2766" s="258">
        <f t="shared" si="687"/>
        <v>1.3152149661214717E-2</v>
      </c>
      <c r="Q2766" s="354">
        <v>8.169148255813953</v>
      </c>
      <c r="R2766" s="249">
        <f t="shared" si="688"/>
        <v>8.3674002078488368</v>
      </c>
      <c r="S2766" s="355">
        <v>0.1</v>
      </c>
      <c r="T2766" s="355"/>
      <c r="U2766" s="315">
        <f t="shared" si="677"/>
        <v>9.2041402286337206</v>
      </c>
      <c r="V2766" s="315">
        <f t="shared" si="678"/>
        <v>10</v>
      </c>
      <c r="W2766" s="316">
        <f t="shared" si="679"/>
        <v>0</v>
      </c>
    </row>
    <row r="2767" spans="1:23" x14ac:dyDescent="0.25">
      <c r="A2767" s="204" t="s">
        <v>18441</v>
      </c>
      <c r="B2767" s="351" t="s">
        <v>22449</v>
      </c>
      <c r="C2767" s="352"/>
      <c r="D2767" s="353" t="s">
        <v>14859</v>
      </c>
      <c r="E2767" s="249">
        <f t="shared" si="680"/>
        <v>0</v>
      </c>
      <c r="F2767" s="336">
        <v>0</v>
      </c>
      <c r="G2767" s="258">
        <f t="shared" si="681"/>
        <v>0</v>
      </c>
      <c r="H2767" s="249">
        <f t="shared" si="682"/>
        <v>10.97000458524073</v>
      </c>
      <c r="I2767" s="336">
        <v>7.5835625750124798E-3</v>
      </c>
      <c r="J2767" s="258">
        <f t="shared" si="683"/>
        <v>7.5835625750124798E-3</v>
      </c>
      <c r="K2767" s="249">
        <f t="shared" si="684"/>
        <v>1416.651642551991</v>
      </c>
      <c r="L2767" s="336">
        <v>0.97933107455045609</v>
      </c>
      <c r="M2767" s="258">
        <f t="shared" si="685"/>
        <v>0.97933107455045609</v>
      </c>
      <c r="N2767" s="251">
        <f t="shared" si="686"/>
        <v>18.928635362768318</v>
      </c>
      <c r="O2767" s="336">
        <v>1.3085362874531338E-2</v>
      </c>
      <c r="P2767" s="258">
        <f t="shared" si="687"/>
        <v>1.3085362874531338E-2</v>
      </c>
      <c r="Q2767" s="354">
        <v>1412.2650000000001</v>
      </c>
      <c r="R2767" s="249">
        <f t="shared" si="688"/>
        <v>1446.5502825000001</v>
      </c>
      <c r="S2767" s="355">
        <v>0.1</v>
      </c>
      <c r="T2767" s="355"/>
      <c r="U2767" s="315">
        <f t="shared" si="677"/>
        <v>1591.2053107500001</v>
      </c>
      <c r="V2767" s="315">
        <f t="shared" si="678"/>
        <v>1600</v>
      </c>
      <c r="W2767" s="316">
        <f t="shared" si="679"/>
        <v>0</v>
      </c>
    </row>
    <row r="2768" spans="1:23" x14ac:dyDescent="0.25">
      <c r="A2768" s="204" t="s">
        <v>18442</v>
      </c>
      <c r="B2768" s="351" t="s">
        <v>22450</v>
      </c>
      <c r="C2768" s="352"/>
      <c r="D2768" s="353" t="s">
        <v>5</v>
      </c>
      <c r="E2768" s="249">
        <f t="shared" si="680"/>
        <v>0</v>
      </c>
      <c r="F2768" s="336">
        <v>0</v>
      </c>
      <c r="G2768" s="258">
        <f t="shared" si="681"/>
        <v>0</v>
      </c>
      <c r="H2768" s="249">
        <f t="shared" si="682"/>
        <v>6.3778644718849697E-2</v>
      </c>
      <c r="I2768" s="336">
        <v>7.5835625750124806E-3</v>
      </c>
      <c r="J2768" s="258">
        <f t="shared" si="683"/>
        <v>7.5835625750124806E-3</v>
      </c>
      <c r="K2768" s="249">
        <f t="shared" si="684"/>
        <v>8.2362288756373321</v>
      </c>
      <c r="L2768" s="336">
        <v>0.97932399372638967</v>
      </c>
      <c r="M2768" s="258">
        <f t="shared" si="685"/>
        <v>0.97932399372638967</v>
      </c>
      <c r="N2768" s="251">
        <f t="shared" si="686"/>
        <v>0.11004942618154456</v>
      </c>
      <c r="O2768" s="336">
        <v>1.3085362874531338E-2</v>
      </c>
      <c r="P2768" s="258">
        <f t="shared" si="687"/>
        <v>1.3085362874531338E-2</v>
      </c>
      <c r="Q2768" s="354">
        <v>8.2108430232558138</v>
      </c>
      <c r="R2768" s="249">
        <f t="shared" si="688"/>
        <v>8.4101164970930213</v>
      </c>
      <c r="S2768" s="355">
        <v>0.1</v>
      </c>
      <c r="T2768" s="355"/>
      <c r="U2768" s="315">
        <f t="shared" si="677"/>
        <v>9.2511281468023228</v>
      </c>
      <c r="V2768" s="315">
        <f t="shared" si="678"/>
        <v>10</v>
      </c>
      <c r="W2768" s="316">
        <f t="shared" si="679"/>
        <v>0</v>
      </c>
    </row>
    <row r="2769" spans="1:23" x14ac:dyDescent="0.25">
      <c r="A2769" s="204" t="s">
        <v>18443</v>
      </c>
      <c r="B2769" s="351" t="s">
        <v>22451</v>
      </c>
      <c r="C2769" s="352"/>
      <c r="D2769" s="353" t="s">
        <v>14859</v>
      </c>
      <c r="E2769" s="249">
        <f t="shared" si="680"/>
        <v>0</v>
      </c>
      <c r="F2769" s="336">
        <v>0</v>
      </c>
      <c r="G2769" s="258">
        <f t="shared" si="681"/>
        <v>0</v>
      </c>
      <c r="H2769" s="249">
        <f t="shared" si="682"/>
        <v>10.970155662229649</v>
      </c>
      <c r="I2769" s="336">
        <v>7.1042726130290772E-3</v>
      </c>
      <c r="J2769" s="258">
        <f t="shared" si="683"/>
        <v>7.1042726130290772E-3</v>
      </c>
      <c r="K2769" s="249">
        <f t="shared" si="684"/>
        <v>1514.2640540431387</v>
      </c>
      <c r="L2769" s="336">
        <v>0.98063737464292067</v>
      </c>
      <c r="M2769" s="258">
        <f t="shared" si="685"/>
        <v>0.98063737464292067</v>
      </c>
      <c r="N2769" s="251">
        <f t="shared" si="686"/>
        <v>18.92889604463155</v>
      </c>
      <c r="O2769" s="336">
        <v>1.2258352744050172E-2</v>
      </c>
      <c r="P2769" s="258">
        <f t="shared" si="687"/>
        <v>1.2258352744050172E-2</v>
      </c>
      <c r="Q2769" s="354">
        <v>1507.5435</v>
      </c>
      <c r="R2769" s="249">
        <f t="shared" si="688"/>
        <v>1544.1631057500001</v>
      </c>
      <c r="S2769" s="355">
        <v>0.1</v>
      </c>
      <c r="T2769" s="355"/>
      <c r="U2769" s="315">
        <f t="shared" si="677"/>
        <v>1698.5794163250002</v>
      </c>
      <c r="V2769" s="315">
        <f t="shared" si="678"/>
        <v>1700</v>
      </c>
      <c r="W2769" s="316">
        <f t="shared" si="679"/>
        <v>0</v>
      </c>
    </row>
    <row r="2770" spans="1:23" x14ac:dyDescent="0.25">
      <c r="A2770" s="204" t="s">
        <v>18444</v>
      </c>
      <c r="B2770" s="351" t="s">
        <v>22452</v>
      </c>
      <c r="C2770" s="352"/>
      <c r="D2770" s="353" t="s">
        <v>5</v>
      </c>
      <c r="E2770" s="249">
        <f t="shared" si="680"/>
        <v>0</v>
      </c>
      <c r="F2770" s="336">
        <v>0</v>
      </c>
      <c r="G2770" s="258">
        <f t="shared" si="681"/>
        <v>0</v>
      </c>
      <c r="H2770" s="249">
        <f t="shared" si="682"/>
        <v>6.3779551621841443E-2</v>
      </c>
      <c r="I2770" s="336">
        <v>7.1042726130290772E-3</v>
      </c>
      <c r="J2770" s="258">
        <f t="shared" si="683"/>
        <v>7.1042726130290772E-3</v>
      </c>
      <c r="K2770" s="249">
        <f t="shared" si="684"/>
        <v>8.8037428172795291</v>
      </c>
      <c r="L2770" s="336">
        <v>0.98063074133515882</v>
      </c>
      <c r="M2770" s="258">
        <f t="shared" si="685"/>
        <v>0.98063074133515882</v>
      </c>
      <c r="N2770" s="251">
        <f t="shared" si="686"/>
        <v>0.11005099103376563</v>
      </c>
      <c r="O2770" s="336">
        <v>1.2258352744050172E-2</v>
      </c>
      <c r="P2770" s="258">
        <f t="shared" si="687"/>
        <v>1.2258352744050172E-2</v>
      </c>
      <c r="Q2770" s="354">
        <v>8.7647877906976746</v>
      </c>
      <c r="R2770" s="249">
        <f t="shared" si="688"/>
        <v>8.97763291133721</v>
      </c>
      <c r="S2770" s="355">
        <v>0.1</v>
      </c>
      <c r="T2770" s="355"/>
      <c r="U2770" s="315">
        <f t="shared" si="677"/>
        <v>9.875396202470931</v>
      </c>
      <c r="V2770" s="315">
        <f t="shared" si="678"/>
        <v>10</v>
      </c>
      <c r="W2770" s="316">
        <f t="shared" si="679"/>
        <v>0</v>
      </c>
    </row>
    <row r="2771" spans="1:23" x14ac:dyDescent="0.25">
      <c r="A2771" s="204" t="s">
        <v>18445</v>
      </c>
      <c r="B2771" s="351" t="s">
        <v>22453</v>
      </c>
      <c r="C2771" s="352"/>
      <c r="D2771" s="353" t="s">
        <v>14859</v>
      </c>
      <c r="E2771" s="249">
        <f t="shared" si="680"/>
        <v>0</v>
      </c>
      <c r="F2771" s="336">
        <v>0</v>
      </c>
      <c r="G2771" s="258">
        <f t="shared" si="681"/>
        <v>0</v>
      </c>
      <c r="H2771" s="249">
        <f t="shared" si="682"/>
        <v>10.97023917084946</v>
      </c>
      <c r="I2771" s="336">
        <v>6.8393425035441976E-3</v>
      </c>
      <c r="J2771" s="258">
        <f t="shared" si="683"/>
        <v>6.8393425035441976E-3</v>
      </c>
      <c r="K2771" s="249">
        <f t="shared" si="684"/>
        <v>1574.0910406912142</v>
      </c>
      <c r="L2771" s="336">
        <v>0.98135943905896772</v>
      </c>
      <c r="M2771" s="258">
        <f t="shared" si="685"/>
        <v>0.98135943905896772</v>
      </c>
      <c r="N2771" s="251">
        <f t="shared" si="686"/>
        <v>18.929040137936319</v>
      </c>
      <c r="O2771" s="336">
        <v>1.1801218437488025E-2</v>
      </c>
      <c r="P2771" s="258">
        <f t="shared" si="687"/>
        <v>1.1801218437488025E-2</v>
      </c>
      <c r="Q2771" s="354">
        <v>1565.94</v>
      </c>
      <c r="R2771" s="249">
        <f t="shared" si="688"/>
        <v>1603.9903200000001</v>
      </c>
      <c r="S2771" s="355">
        <v>0.1</v>
      </c>
      <c r="T2771" s="355"/>
      <c r="U2771" s="315">
        <f t="shared" si="677"/>
        <v>1764.3893520000001</v>
      </c>
      <c r="V2771" s="315">
        <f t="shared" si="678"/>
        <v>1775</v>
      </c>
      <c r="W2771" s="316">
        <f t="shared" si="679"/>
        <v>0</v>
      </c>
    </row>
    <row r="2772" spans="1:23" x14ac:dyDescent="0.25">
      <c r="A2772" s="204" t="s">
        <v>18446</v>
      </c>
      <c r="B2772" s="351" t="s">
        <v>22454</v>
      </c>
      <c r="C2772" s="352"/>
      <c r="D2772" s="353" t="s">
        <v>5</v>
      </c>
      <c r="E2772" s="249">
        <f t="shared" si="680"/>
        <v>0</v>
      </c>
      <c r="F2772" s="336">
        <v>0</v>
      </c>
      <c r="G2772" s="258">
        <f t="shared" si="681"/>
        <v>0</v>
      </c>
      <c r="H2772" s="249">
        <f t="shared" si="682"/>
        <v>6.3780052917357624E-2</v>
      </c>
      <c r="I2772" s="336">
        <v>6.8393425035441976E-3</v>
      </c>
      <c r="J2772" s="258">
        <f t="shared" si="683"/>
        <v>6.8393425035441976E-3</v>
      </c>
      <c r="K2772" s="249">
        <f t="shared" si="684"/>
        <v>9.1515740915238233</v>
      </c>
      <c r="L2772" s="336">
        <v>0.98135305311825483</v>
      </c>
      <c r="M2772" s="258">
        <f t="shared" si="685"/>
        <v>0.98135305311825483</v>
      </c>
      <c r="N2772" s="251">
        <f t="shared" si="686"/>
        <v>0.11005185601426412</v>
      </c>
      <c r="O2772" s="336">
        <v>1.1801218437488027E-2</v>
      </c>
      <c r="P2772" s="258">
        <f t="shared" si="687"/>
        <v>1.1801218437488027E-2</v>
      </c>
      <c r="Q2772" s="354">
        <v>9.1043023255813953</v>
      </c>
      <c r="R2772" s="249">
        <f t="shared" si="688"/>
        <v>9.3254655523255821</v>
      </c>
      <c r="S2772" s="355">
        <v>0.1</v>
      </c>
      <c r="T2772" s="355"/>
      <c r="U2772" s="315">
        <f t="shared" si="677"/>
        <v>10.258012107558141</v>
      </c>
      <c r="V2772" s="315">
        <f t="shared" si="678"/>
        <v>11</v>
      </c>
      <c r="W2772" s="316">
        <f t="shared" si="679"/>
        <v>0</v>
      </c>
    </row>
    <row r="2773" spans="1:23" x14ac:dyDescent="0.25">
      <c r="A2773" s="203" t="s">
        <v>18447</v>
      </c>
      <c r="B2773" s="345" t="s">
        <v>18448</v>
      </c>
      <c r="C2773" s="346"/>
      <c r="D2773" s="347"/>
      <c r="E2773" s="347"/>
      <c r="F2773" s="347"/>
      <c r="G2773" s="347"/>
      <c r="H2773" s="347"/>
      <c r="I2773" s="347"/>
      <c r="J2773" s="347"/>
      <c r="K2773" s="347"/>
      <c r="L2773" s="347"/>
      <c r="M2773" s="347"/>
      <c r="N2773" s="347"/>
      <c r="O2773" s="347"/>
      <c r="P2773" s="347"/>
      <c r="Q2773" s="347"/>
      <c r="R2773" s="347"/>
      <c r="S2773" s="347"/>
      <c r="T2773" s="348"/>
      <c r="U2773" s="349"/>
      <c r="V2773" s="349"/>
      <c r="W2773" s="350"/>
    </row>
    <row r="2774" spans="1:23" x14ac:dyDescent="0.25">
      <c r="A2774" s="204" t="s">
        <v>18449</v>
      </c>
      <c r="B2774" s="351" t="s">
        <v>22455</v>
      </c>
      <c r="C2774" s="352"/>
      <c r="D2774" s="353" t="s">
        <v>5</v>
      </c>
      <c r="E2774" s="249">
        <f t="shared" si="680"/>
        <v>0</v>
      </c>
      <c r="F2774" s="336">
        <v>0</v>
      </c>
      <c r="G2774" s="258">
        <f t="shared" si="681"/>
        <v>0</v>
      </c>
      <c r="H2774" s="249">
        <f t="shared" si="682"/>
        <v>6.3633663654631342E-2</v>
      </c>
      <c r="I2774" s="336">
        <v>8.4204733076499741E-2</v>
      </c>
      <c r="J2774" s="258">
        <f t="shared" si="683"/>
        <v>8.4204733076499741E-2</v>
      </c>
      <c r="K2774" s="249">
        <f t="shared" si="684"/>
        <v>0.58220940256931131</v>
      </c>
      <c r="L2774" s="336">
        <v>0.77042220300338082</v>
      </c>
      <c r="M2774" s="258">
        <f t="shared" si="685"/>
        <v>0.77042220300338082</v>
      </c>
      <c r="N2774" s="251">
        <f t="shared" si="686"/>
        <v>0.10979926277661875</v>
      </c>
      <c r="O2774" s="336">
        <v>0.14529444138690148</v>
      </c>
      <c r="P2774" s="258">
        <f t="shared" si="687"/>
        <v>0.14529444138690148</v>
      </c>
      <c r="Q2774" s="354">
        <v>0.73947674418604648</v>
      </c>
      <c r="R2774" s="249">
        <f t="shared" si="688"/>
        <v>0.75570174418604652</v>
      </c>
      <c r="S2774" s="355">
        <v>0.1</v>
      </c>
      <c r="T2774" s="355"/>
      <c r="U2774" s="315">
        <f t="shared" si="677"/>
        <v>0.83127191860465122</v>
      </c>
      <c r="V2774" s="315">
        <f t="shared" si="678"/>
        <v>1</v>
      </c>
      <c r="W2774" s="316">
        <f t="shared" si="679"/>
        <v>0</v>
      </c>
    </row>
    <row r="2775" spans="1:23" x14ac:dyDescent="0.25">
      <c r="A2775" s="204" t="s">
        <v>18450</v>
      </c>
      <c r="B2775" s="351" t="s">
        <v>22456</v>
      </c>
      <c r="C2775" s="352"/>
      <c r="D2775" s="353" t="s">
        <v>14859</v>
      </c>
      <c r="E2775" s="249">
        <f t="shared" si="680"/>
        <v>0</v>
      </c>
      <c r="F2775" s="336">
        <v>0</v>
      </c>
      <c r="G2775" s="258">
        <f t="shared" si="681"/>
        <v>0</v>
      </c>
      <c r="H2775" s="249">
        <f t="shared" si="682"/>
        <v>10.945852826086956</v>
      </c>
      <c r="I2775" s="336">
        <v>8.4204733076499727E-2</v>
      </c>
      <c r="J2775" s="258">
        <f t="shared" si="683"/>
        <v>8.4204733076499727E-2</v>
      </c>
      <c r="K2775" s="249">
        <f t="shared" si="684"/>
        <v>100.15813043478258</v>
      </c>
      <c r="L2775" s="336">
        <v>0.77050082553659871</v>
      </c>
      <c r="M2775" s="258">
        <f t="shared" si="685"/>
        <v>0.77050082553659871</v>
      </c>
      <c r="N2775" s="251">
        <f t="shared" si="686"/>
        <v>18.886961739130431</v>
      </c>
      <c r="O2775" s="336">
        <v>0.14529444138690148</v>
      </c>
      <c r="P2775" s="258">
        <f t="shared" si="687"/>
        <v>0.14529444138690148</v>
      </c>
      <c r="Q2775" s="354">
        <v>127.19</v>
      </c>
      <c r="R2775" s="249">
        <f t="shared" si="688"/>
        <v>129.99094499999998</v>
      </c>
      <c r="S2775" s="355">
        <v>0.1</v>
      </c>
      <c r="T2775" s="355"/>
      <c r="U2775" s="315">
        <f t="shared" si="677"/>
        <v>142.99003949999997</v>
      </c>
      <c r="V2775" s="315">
        <f t="shared" si="678"/>
        <v>145</v>
      </c>
      <c r="W2775" s="316">
        <f t="shared" si="679"/>
        <v>0</v>
      </c>
    </row>
    <row r="2776" spans="1:23" x14ac:dyDescent="0.25">
      <c r="A2776" s="204" t="s">
        <v>18451</v>
      </c>
      <c r="B2776" s="351" t="s">
        <v>22457</v>
      </c>
      <c r="C2776" s="352"/>
      <c r="D2776" s="353" t="s">
        <v>5</v>
      </c>
      <c r="E2776" s="249">
        <f t="shared" si="680"/>
        <v>0</v>
      </c>
      <c r="F2776" s="336">
        <v>0</v>
      </c>
      <c r="G2776" s="258">
        <f t="shared" si="681"/>
        <v>0</v>
      </c>
      <c r="H2776" s="249">
        <f t="shared" si="682"/>
        <v>6.3644815772441188E-2</v>
      </c>
      <c r="I2776" s="336">
        <v>7.8310940499040319E-2</v>
      </c>
      <c r="J2776" s="258">
        <f t="shared" si="683"/>
        <v>7.8310940499040319E-2</v>
      </c>
      <c r="K2776" s="249">
        <f t="shared" si="684"/>
        <v>0.63919659164549059</v>
      </c>
      <c r="L2776" s="336">
        <v>0.78649117996526829</v>
      </c>
      <c r="M2776" s="258">
        <f t="shared" si="685"/>
        <v>0.78649117996526829</v>
      </c>
      <c r="N2776" s="251">
        <f t="shared" si="686"/>
        <v>0.1098185056465652</v>
      </c>
      <c r="O2776" s="336">
        <v>0.13512476007677546</v>
      </c>
      <c r="P2776" s="258">
        <f t="shared" si="687"/>
        <v>0.13512476007677546</v>
      </c>
      <c r="Q2776" s="354">
        <v>0.79513081395348828</v>
      </c>
      <c r="R2776" s="249">
        <f t="shared" si="688"/>
        <v>0.81271933866279056</v>
      </c>
      <c r="S2776" s="355">
        <v>0.1</v>
      </c>
      <c r="T2776" s="355"/>
      <c r="U2776" s="315">
        <f t="shared" si="677"/>
        <v>0.89399127252906962</v>
      </c>
      <c r="V2776" s="315">
        <f t="shared" si="678"/>
        <v>1</v>
      </c>
      <c r="W2776" s="316">
        <f t="shared" si="679"/>
        <v>0</v>
      </c>
    </row>
    <row r="2777" spans="1:23" x14ac:dyDescent="0.25">
      <c r="A2777" s="204" t="s">
        <v>18452</v>
      </c>
      <c r="B2777" s="351" t="s">
        <v>22458</v>
      </c>
      <c r="C2777" s="352"/>
      <c r="D2777" s="353" t="s">
        <v>14859</v>
      </c>
      <c r="E2777" s="249">
        <f t="shared" si="680"/>
        <v>0</v>
      </c>
      <c r="F2777" s="336">
        <v>0</v>
      </c>
      <c r="G2777" s="258">
        <f t="shared" si="681"/>
        <v>0</v>
      </c>
      <c r="H2777" s="249">
        <f t="shared" si="682"/>
        <v>10.947710608445298</v>
      </c>
      <c r="I2777" s="336">
        <v>7.8310940499040319E-2</v>
      </c>
      <c r="J2777" s="258">
        <f t="shared" si="683"/>
        <v>7.8310940499040319E-2</v>
      </c>
      <c r="K2777" s="249">
        <f t="shared" si="684"/>
        <v>109.96009331717848</v>
      </c>
      <c r="L2777" s="336">
        <v>0.78656429942418415</v>
      </c>
      <c r="M2777" s="258">
        <f t="shared" si="685"/>
        <v>0.78656429942418415</v>
      </c>
      <c r="N2777" s="251">
        <f t="shared" si="686"/>
        <v>18.8901673243762</v>
      </c>
      <c r="O2777" s="336">
        <v>0.13512476007677546</v>
      </c>
      <c r="P2777" s="258">
        <f t="shared" si="687"/>
        <v>0.13512476007677546</v>
      </c>
      <c r="Q2777" s="354">
        <v>136.76249999999999</v>
      </c>
      <c r="R2777" s="249">
        <f t="shared" si="688"/>
        <v>139.79797124999999</v>
      </c>
      <c r="S2777" s="355">
        <v>0.1</v>
      </c>
      <c r="T2777" s="355"/>
      <c r="U2777" s="315">
        <f t="shared" si="677"/>
        <v>153.77776837499999</v>
      </c>
      <c r="V2777" s="315">
        <f t="shared" si="678"/>
        <v>155</v>
      </c>
      <c r="W2777" s="316">
        <f t="shared" si="679"/>
        <v>0</v>
      </c>
    </row>
    <row r="2778" spans="1:23" x14ac:dyDescent="0.25">
      <c r="A2778" s="204" t="s">
        <v>18453</v>
      </c>
      <c r="B2778" s="351" t="s">
        <v>22459</v>
      </c>
      <c r="C2778" s="352"/>
      <c r="D2778" s="353" t="s">
        <v>5</v>
      </c>
      <c r="E2778" s="249">
        <f t="shared" si="680"/>
        <v>0</v>
      </c>
      <c r="F2778" s="336">
        <v>0</v>
      </c>
      <c r="G2778" s="258">
        <f t="shared" si="681"/>
        <v>0</v>
      </c>
      <c r="H2778" s="249">
        <f t="shared" si="682"/>
        <v>6.3654174937978605E-2</v>
      </c>
      <c r="I2778" s="336">
        <v>7.3364706849427683E-2</v>
      </c>
      <c r="J2778" s="258">
        <f t="shared" si="683"/>
        <v>7.3364706849427683E-2</v>
      </c>
      <c r="K2778" s="249">
        <f t="shared" si="684"/>
        <v>0.69409201790681185</v>
      </c>
      <c r="L2778" s="336">
        <v>0.79997670961687317</v>
      </c>
      <c r="M2778" s="258">
        <f t="shared" si="685"/>
        <v>0.79997670961687317</v>
      </c>
      <c r="N2778" s="251">
        <f t="shared" si="686"/>
        <v>0.10983465479494346</v>
      </c>
      <c r="O2778" s="336">
        <v>0.1265900824068556</v>
      </c>
      <c r="P2778" s="258">
        <f t="shared" si="687"/>
        <v>0.1265900824068556</v>
      </c>
      <c r="Q2778" s="354">
        <v>0.84873837209302327</v>
      </c>
      <c r="R2778" s="249">
        <f t="shared" si="688"/>
        <v>0.86764028197674414</v>
      </c>
      <c r="S2778" s="355">
        <v>0.1</v>
      </c>
      <c r="T2778" s="355"/>
      <c r="U2778" s="315">
        <f t="shared" si="677"/>
        <v>0.95440431017441862</v>
      </c>
      <c r="V2778" s="315">
        <f t="shared" si="678"/>
        <v>1</v>
      </c>
      <c r="W2778" s="316">
        <f t="shared" si="679"/>
        <v>0</v>
      </c>
    </row>
    <row r="2779" spans="1:23" x14ac:dyDescent="0.25">
      <c r="A2779" s="204" t="s">
        <v>18454</v>
      </c>
      <c r="B2779" s="351" t="s">
        <v>22460</v>
      </c>
      <c r="C2779" s="352"/>
      <c r="D2779" s="353" t="s">
        <v>14859</v>
      </c>
      <c r="E2779" s="249">
        <f t="shared" si="680"/>
        <v>0</v>
      </c>
      <c r="F2779" s="336">
        <v>0</v>
      </c>
      <c r="G2779" s="258">
        <f t="shared" si="681"/>
        <v>0</v>
      </c>
      <c r="H2779" s="249">
        <f t="shared" si="682"/>
        <v>10.949269710753994</v>
      </c>
      <c r="I2779" s="336">
        <v>7.3364706849427683E-2</v>
      </c>
      <c r="J2779" s="258">
        <f t="shared" si="683"/>
        <v>7.3364706849427683E-2</v>
      </c>
      <c r="K2779" s="249">
        <f t="shared" si="684"/>
        <v>119.40224624912146</v>
      </c>
      <c r="L2779" s="336">
        <v>0.80004521074371671</v>
      </c>
      <c r="M2779" s="258">
        <f t="shared" si="685"/>
        <v>0.80004521074371671</v>
      </c>
      <c r="N2779" s="251">
        <f t="shared" si="686"/>
        <v>18.892857540124535</v>
      </c>
      <c r="O2779" s="336">
        <v>0.1265900824068556</v>
      </c>
      <c r="P2779" s="258">
        <f t="shared" si="687"/>
        <v>0.1265900824068556</v>
      </c>
      <c r="Q2779" s="354">
        <v>145.983</v>
      </c>
      <c r="R2779" s="249">
        <f t="shared" si="688"/>
        <v>149.24437349999999</v>
      </c>
      <c r="S2779" s="355">
        <v>0.1</v>
      </c>
      <c r="T2779" s="355"/>
      <c r="U2779" s="315">
        <f t="shared" si="677"/>
        <v>164.16881085</v>
      </c>
      <c r="V2779" s="315">
        <f t="shared" si="678"/>
        <v>165</v>
      </c>
      <c r="W2779" s="316">
        <f t="shared" si="679"/>
        <v>0</v>
      </c>
    </row>
    <row r="2780" spans="1:23" x14ac:dyDescent="0.25">
      <c r="A2780" s="204" t="s">
        <v>18455</v>
      </c>
      <c r="B2780" s="351" t="s">
        <v>22461</v>
      </c>
      <c r="C2780" s="352"/>
      <c r="D2780" s="353" t="s">
        <v>5</v>
      </c>
      <c r="E2780" s="249">
        <f t="shared" si="680"/>
        <v>0</v>
      </c>
      <c r="F2780" s="336">
        <v>0</v>
      </c>
      <c r="G2780" s="258">
        <f t="shared" si="681"/>
        <v>0</v>
      </c>
      <c r="H2780" s="249">
        <f t="shared" si="682"/>
        <v>6.3659784100654426E-2</v>
      </c>
      <c r="I2780" s="336">
        <v>7.0400315519621379E-2</v>
      </c>
      <c r="J2780" s="258">
        <f t="shared" si="683"/>
        <v>7.0400315519621379E-2</v>
      </c>
      <c r="K2780" s="249">
        <f t="shared" si="684"/>
        <v>0.73069068716091967</v>
      </c>
      <c r="L2780" s="336">
        <v>0.80805889699599032</v>
      </c>
      <c r="M2780" s="258">
        <f t="shared" si="685"/>
        <v>0.80805889699599032</v>
      </c>
      <c r="N2780" s="251">
        <f t="shared" si="686"/>
        <v>0.10984433335014882</v>
      </c>
      <c r="O2780" s="336">
        <v>0.12147505422993493</v>
      </c>
      <c r="P2780" s="258">
        <f t="shared" si="687"/>
        <v>0.12147505422993493</v>
      </c>
      <c r="Q2780" s="354">
        <v>0.88447674418604649</v>
      </c>
      <c r="R2780" s="249">
        <f t="shared" si="688"/>
        <v>0.9042542441860465</v>
      </c>
      <c r="S2780" s="355">
        <v>0.1</v>
      </c>
      <c r="T2780" s="355"/>
      <c r="U2780" s="315">
        <f t="shared" si="677"/>
        <v>0.99467966860465118</v>
      </c>
      <c r="V2780" s="315">
        <f t="shared" si="678"/>
        <v>1</v>
      </c>
      <c r="W2780" s="316">
        <f t="shared" si="679"/>
        <v>0</v>
      </c>
    </row>
    <row r="2781" spans="1:23" x14ac:dyDescent="0.25">
      <c r="A2781" s="204" t="s">
        <v>18456</v>
      </c>
      <c r="B2781" s="351" t="s">
        <v>22462</v>
      </c>
      <c r="C2781" s="352"/>
      <c r="D2781" s="353" t="s">
        <v>14859</v>
      </c>
      <c r="E2781" s="249">
        <f t="shared" si="680"/>
        <v>0</v>
      </c>
      <c r="F2781" s="336">
        <v>0</v>
      </c>
      <c r="G2781" s="258">
        <f t="shared" si="681"/>
        <v>0</v>
      </c>
      <c r="H2781" s="249">
        <f t="shared" si="682"/>
        <v>10.950204116545059</v>
      </c>
      <c r="I2781" s="336">
        <v>7.0400315519621379E-2</v>
      </c>
      <c r="J2781" s="258">
        <f t="shared" si="683"/>
        <v>7.0400315519621379E-2</v>
      </c>
      <c r="K2781" s="249">
        <f t="shared" si="684"/>
        <v>125.69730103529872</v>
      </c>
      <c r="L2781" s="336">
        <v>0.80812463025044357</v>
      </c>
      <c r="M2781" s="258">
        <f t="shared" si="685"/>
        <v>0.80812463025044357</v>
      </c>
      <c r="N2781" s="251">
        <f t="shared" si="686"/>
        <v>18.894469848156181</v>
      </c>
      <c r="O2781" s="336">
        <v>0.12147505422993493</v>
      </c>
      <c r="P2781" s="258">
        <f t="shared" si="687"/>
        <v>0.12147505422993493</v>
      </c>
      <c r="Q2781" s="354">
        <v>152.13</v>
      </c>
      <c r="R2781" s="249">
        <f t="shared" si="688"/>
        <v>155.54197499999998</v>
      </c>
      <c r="S2781" s="355">
        <v>0.1</v>
      </c>
      <c r="T2781" s="355"/>
      <c r="U2781" s="315">
        <f t="shared" si="677"/>
        <v>171.09617249999997</v>
      </c>
      <c r="V2781" s="315">
        <f t="shared" si="678"/>
        <v>175</v>
      </c>
      <c r="W2781" s="316">
        <f t="shared" si="679"/>
        <v>0</v>
      </c>
    </row>
    <row r="2782" spans="1:23" x14ac:dyDescent="0.25">
      <c r="A2782" s="204" t="s">
        <v>18457</v>
      </c>
      <c r="B2782" s="351" t="s">
        <v>22463</v>
      </c>
      <c r="C2782" s="352"/>
      <c r="D2782" s="353" t="s">
        <v>5</v>
      </c>
      <c r="E2782" s="249">
        <f t="shared" si="680"/>
        <v>0</v>
      </c>
      <c r="F2782" s="336">
        <v>0</v>
      </c>
      <c r="G2782" s="258">
        <f t="shared" si="681"/>
        <v>0</v>
      </c>
      <c r="H2782" s="249">
        <f t="shared" si="682"/>
        <v>6.3659784100654426E-2</v>
      </c>
      <c r="I2782" s="336">
        <v>7.0400315519621379E-2</v>
      </c>
      <c r="J2782" s="258">
        <f t="shared" si="683"/>
        <v>7.0400315519621379E-2</v>
      </c>
      <c r="K2782" s="249">
        <f t="shared" si="684"/>
        <v>0.73069068716091967</v>
      </c>
      <c r="L2782" s="336">
        <v>0.80805889699599032</v>
      </c>
      <c r="M2782" s="258">
        <f t="shared" si="685"/>
        <v>0.80805889699599032</v>
      </c>
      <c r="N2782" s="251">
        <f t="shared" si="686"/>
        <v>0.10984433335014882</v>
      </c>
      <c r="O2782" s="336">
        <v>0.12147505422993493</v>
      </c>
      <c r="P2782" s="258">
        <f t="shared" si="687"/>
        <v>0.12147505422993493</v>
      </c>
      <c r="Q2782" s="354">
        <v>0.88447674418604649</v>
      </c>
      <c r="R2782" s="249">
        <f t="shared" si="688"/>
        <v>0.9042542441860465</v>
      </c>
      <c r="S2782" s="355">
        <v>0.1</v>
      </c>
      <c r="T2782" s="355"/>
      <c r="U2782" s="315">
        <f t="shared" si="677"/>
        <v>0.99467966860465118</v>
      </c>
      <c r="V2782" s="315">
        <f t="shared" si="678"/>
        <v>1</v>
      </c>
      <c r="W2782" s="316">
        <f t="shared" si="679"/>
        <v>0</v>
      </c>
    </row>
    <row r="2783" spans="1:23" x14ac:dyDescent="0.25">
      <c r="A2783" s="204" t="s">
        <v>18458</v>
      </c>
      <c r="B2783" s="351" t="s">
        <v>22464</v>
      </c>
      <c r="C2783" s="352"/>
      <c r="D2783" s="353" t="s">
        <v>14859</v>
      </c>
      <c r="E2783" s="249">
        <f t="shared" si="680"/>
        <v>0</v>
      </c>
      <c r="F2783" s="336">
        <v>0</v>
      </c>
      <c r="G2783" s="258">
        <f t="shared" si="681"/>
        <v>0</v>
      </c>
      <c r="H2783" s="249">
        <f t="shared" si="682"/>
        <v>10.950204116545059</v>
      </c>
      <c r="I2783" s="336">
        <v>7.0400315519621379E-2</v>
      </c>
      <c r="J2783" s="258">
        <f t="shared" si="683"/>
        <v>7.0400315519621379E-2</v>
      </c>
      <c r="K2783" s="249">
        <f t="shared" si="684"/>
        <v>125.69730103529872</v>
      </c>
      <c r="L2783" s="336">
        <v>0.80812463025044357</v>
      </c>
      <c r="M2783" s="258">
        <f t="shared" si="685"/>
        <v>0.80812463025044357</v>
      </c>
      <c r="N2783" s="251">
        <f t="shared" si="686"/>
        <v>18.894469848156181</v>
      </c>
      <c r="O2783" s="336">
        <v>0.12147505422993493</v>
      </c>
      <c r="P2783" s="258">
        <f t="shared" si="687"/>
        <v>0.12147505422993493</v>
      </c>
      <c r="Q2783" s="354">
        <v>152.13</v>
      </c>
      <c r="R2783" s="249">
        <f t="shared" si="688"/>
        <v>155.54197499999998</v>
      </c>
      <c r="S2783" s="355">
        <v>0.1</v>
      </c>
      <c r="T2783" s="355"/>
      <c r="U2783" s="315">
        <f t="shared" si="677"/>
        <v>171.09617249999997</v>
      </c>
      <c r="V2783" s="315">
        <f t="shared" si="678"/>
        <v>175</v>
      </c>
      <c r="W2783" s="316">
        <f t="shared" si="679"/>
        <v>0</v>
      </c>
    </row>
    <row r="2784" spans="1:23" x14ac:dyDescent="0.25">
      <c r="A2784" s="204" t="s">
        <v>18459</v>
      </c>
      <c r="B2784" s="351" t="s">
        <v>22465</v>
      </c>
      <c r="C2784" s="352"/>
      <c r="D2784" s="353" t="s">
        <v>5</v>
      </c>
      <c r="E2784" s="249">
        <f t="shared" si="680"/>
        <v>0</v>
      </c>
      <c r="F2784" s="336">
        <v>0</v>
      </c>
      <c r="G2784" s="258">
        <f t="shared" si="681"/>
        <v>0</v>
      </c>
      <c r="H2784" s="249">
        <f t="shared" si="682"/>
        <v>6.366327832019214E-2</v>
      </c>
      <c r="I2784" s="336">
        <v>6.8553652354251482E-2</v>
      </c>
      <c r="J2784" s="258">
        <f t="shared" si="683"/>
        <v>6.8553652354251482E-2</v>
      </c>
      <c r="K2784" s="249">
        <f t="shared" si="684"/>
        <v>0.75509046857678508</v>
      </c>
      <c r="L2784" s="336">
        <v>0.8130936835906496</v>
      </c>
      <c r="M2784" s="258">
        <f t="shared" si="685"/>
        <v>0.8130936835906496</v>
      </c>
      <c r="N2784" s="251">
        <f t="shared" si="686"/>
        <v>0.10985036259170408</v>
      </c>
      <c r="O2784" s="336">
        <v>0.11828865504262999</v>
      </c>
      <c r="P2784" s="258">
        <f t="shared" si="687"/>
        <v>0.11828865504262999</v>
      </c>
      <c r="Q2784" s="354">
        <v>0.90830232558139545</v>
      </c>
      <c r="R2784" s="249">
        <f t="shared" si="688"/>
        <v>0.92866355232558151</v>
      </c>
      <c r="S2784" s="355">
        <v>0.1</v>
      </c>
      <c r="T2784" s="355"/>
      <c r="U2784" s="315">
        <f t="shared" si="677"/>
        <v>1.0215299075581397</v>
      </c>
      <c r="V2784" s="315">
        <f t="shared" si="678"/>
        <v>2</v>
      </c>
      <c r="W2784" s="316">
        <f t="shared" si="679"/>
        <v>0</v>
      </c>
    </row>
    <row r="2785" spans="1:23" x14ac:dyDescent="0.25">
      <c r="A2785" s="204" t="s">
        <v>18460</v>
      </c>
      <c r="B2785" s="351" t="s">
        <v>22466</v>
      </c>
      <c r="C2785" s="352"/>
      <c r="D2785" s="353" t="s">
        <v>14859</v>
      </c>
      <c r="E2785" s="249">
        <f t="shared" si="680"/>
        <v>0</v>
      </c>
      <c r="F2785" s="336">
        <v>0</v>
      </c>
      <c r="G2785" s="258">
        <f t="shared" si="681"/>
        <v>0</v>
      </c>
      <c r="H2785" s="249">
        <f t="shared" si="682"/>
        <v>10.950786203241417</v>
      </c>
      <c r="I2785" s="336">
        <v>6.8553652354251482E-2</v>
      </c>
      <c r="J2785" s="258">
        <f t="shared" si="683"/>
        <v>6.8553652354251482E-2</v>
      </c>
      <c r="K2785" s="249">
        <f t="shared" si="684"/>
        <v>129.89411556371456</v>
      </c>
      <c r="L2785" s="336">
        <v>0.81315769260311843</v>
      </c>
      <c r="M2785" s="258">
        <f t="shared" si="685"/>
        <v>0.81315769260311843</v>
      </c>
      <c r="N2785" s="251">
        <f t="shared" si="686"/>
        <v>18.895474233044013</v>
      </c>
      <c r="O2785" s="336">
        <v>0.11828865504263</v>
      </c>
      <c r="P2785" s="258">
        <f t="shared" si="687"/>
        <v>0.11828865504263</v>
      </c>
      <c r="Q2785" s="354">
        <v>156.22800000000001</v>
      </c>
      <c r="R2785" s="249">
        <f t="shared" si="688"/>
        <v>159.740376</v>
      </c>
      <c r="S2785" s="355">
        <v>0.1</v>
      </c>
      <c r="T2785" s="355"/>
      <c r="U2785" s="315">
        <f t="shared" si="677"/>
        <v>175.7144136</v>
      </c>
      <c r="V2785" s="315">
        <f t="shared" si="678"/>
        <v>180</v>
      </c>
      <c r="W2785" s="316">
        <f t="shared" si="679"/>
        <v>0</v>
      </c>
    </row>
    <row r="2786" spans="1:23" x14ac:dyDescent="0.25">
      <c r="A2786" s="204" t="s">
        <v>18461</v>
      </c>
      <c r="B2786" s="351" t="s">
        <v>22467</v>
      </c>
      <c r="C2786" s="352"/>
      <c r="D2786" s="353" t="s">
        <v>5</v>
      </c>
      <c r="E2786" s="249">
        <f t="shared" si="680"/>
        <v>0</v>
      </c>
      <c r="F2786" s="336">
        <v>0</v>
      </c>
      <c r="G2786" s="258">
        <f t="shared" si="681"/>
        <v>0</v>
      </c>
      <c r="H2786" s="249">
        <f t="shared" si="682"/>
        <v>6.366327832019214E-2</v>
      </c>
      <c r="I2786" s="336">
        <v>6.8553652354251482E-2</v>
      </c>
      <c r="J2786" s="258">
        <f t="shared" si="683"/>
        <v>6.8553652354251482E-2</v>
      </c>
      <c r="K2786" s="249">
        <f t="shared" si="684"/>
        <v>0.75509046857678508</v>
      </c>
      <c r="L2786" s="336">
        <v>0.8130936835906496</v>
      </c>
      <c r="M2786" s="258">
        <f t="shared" si="685"/>
        <v>0.8130936835906496</v>
      </c>
      <c r="N2786" s="251">
        <f t="shared" si="686"/>
        <v>0.10985036259170408</v>
      </c>
      <c r="O2786" s="336">
        <v>0.11828865504262999</v>
      </c>
      <c r="P2786" s="258">
        <f t="shared" si="687"/>
        <v>0.11828865504262999</v>
      </c>
      <c r="Q2786" s="354">
        <v>0.90830232558139545</v>
      </c>
      <c r="R2786" s="249">
        <f t="shared" si="688"/>
        <v>0.92866355232558151</v>
      </c>
      <c r="S2786" s="355">
        <v>0.1</v>
      </c>
      <c r="T2786" s="355"/>
      <c r="U2786" s="315">
        <f t="shared" si="677"/>
        <v>1.0215299075581397</v>
      </c>
      <c r="V2786" s="315">
        <f t="shared" si="678"/>
        <v>2</v>
      </c>
      <c r="W2786" s="316">
        <f t="shared" si="679"/>
        <v>0</v>
      </c>
    </row>
    <row r="2787" spans="1:23" x14ac:dyDescent="0.25">
      <c r="A2787" s="204" t="s">
        <v>18462</v>
      </c>
      <c r="B2787" s="351" t="s">
        <v>22468</v>
      </c>
      <c r="C2787" s="352"/>
      <c r="D2787" s="353" t="s">
        <v>14859</v>
      </c>
      <c r="E2787" s="249">
        <f t="shared" si="680"/>
        <v>0</v>
      </c>
      <c r="F2787" s="336">
        <v>0</v>
      </c>
      <c r="G2787" s="258">
        <f t="shared" si="681"/>
        <v>0</v>
      </c>
      <c r="H2787" s="249">
        <f t="shared" si="682"/>
        <v>10.950786203241417</v>
      </c>
      <c r="I2787" s="336">
        <v>6.8553652354251482E-2</v>
      </c>
      <c r="J2787" s="258">
        <f t="shared" si="683"/>
        <v>6.8553652354251482E-2</v>
      </c>
      <c r="K2787" s="249">
        <f t="shared" si="684"/>
        <v>129.89411556371456</v>
      </c>
      <c r="L2787" s="336">
        <v>0.81315769260311843</v>
      </c>
      <c r="M2787" s="258">
        <f t="shared" si="685"/>
        <v>0.81315769260311843</v>
      </c>
      <c r="N2787" s="251">
        <f t="shared" si="686"/>
        <v>18.895474233044013</v>
      </c>
      <c r="O2787" s="336">
        <v>0.11828865504263</v>
      </c>
      <c r="P2787" s="258">
        <f t="shared" si="687"/>
        <v>0.11828865504263</v>
      </c>
      <c r="Q2787" s="354">
        <v>156.22800000000001</v>
      </c>
      <c r="R2787" s="249">
        <f t="shared" si="688"/>
        <v>159.740376</v>
      </c>
      <c r="S2787" s="355">
        <v>0.1</v>
      </c>
      <c r="T2787" s="355"/>
      <c r="U2787" s="315">
        <f t="shared" si="677"/>
        <v>175.7144136</v>
      </c>
      <c r="V2787" s="315">
        <f t="shared" si="678"/>
        <v>180</v>
      </c>
      <c r="W2787" s="316">
        <f t="shared" si="679"/>
        <v>0</v>
      </c>
    </row>
    <row r="2788" spans="1:23" x14ac:dyDescent="0.25">
      <c r="A2788" s="204" t="s">
        <v>18463</v>
      </c>
      <c r="B2788" s="351" t="s">
        <v>22469</v>
      </c>
      <c r="C2788" s="352"/>
      <c r="D2788" s="353" t="s">
        <v>5</v>
      </c>
      <c r="E2788" s="249">
        <f t="shared" si="680"/>
        <v>0</v>
      </c>
      <c r="F2788" s="336">
        <v>0</v>
      </c>
      <c r="G2788" s="258">
        <f t="shared" si="681"/>
        <v>0</v>
      </c>
      <c r="H2788" s="249">
        <f t="shared" si="682"/>
        <v>6.3664123419027246E-2</v>
      </c>
      <c r="I2788" s="336">
        <v>6.8107025325511522E-2</v>
      </c>
      <c r="J2788" s="258">
        <f t="shared" si="683"/>
        <v>6.8107025325511522E-2</v>
      </c>
      <c r="K2788" s="249">
        <f t="shared" si="684"/>
        <v>0.76119049151400453</v>
      </c>
      <c r="L2788" s="336">
        <v>0.81431137819748511</v>
      </c>
      <c r="M2788" s="258">
        <f t="shared" si="685"/>
        <v>0.81431137819748511</v>
      </c>
      <c r="N2788" s="251">
        <f t="shared" si="686"/>
        <v>0.10985182080145878</v>
      </c>
      <c r="O2788" s="336">
        <v>0.11751800448323556</v>
      </c>
      <c r="P2788" s="258">
        <f t="shared" si="687"/>
        <v>0.11751800448323556</v>
      </c>
      <c r="Q2788" s="354">
        <v>0.91425872093023253</v>
      </c>
      <c r="R2788" s="249">
        <f t="shared" si="688"/>
        <v>0.93476587936046518</v>
      </c>
      <c r="S2788" s="355">
        <v>0.1</v>
      </c>
      <c r="T2788" s="355"/>
      <c r="U2788" s="315">
        <f t="shared" si="677"/>
        <v>1.0282424672965118</v>
      </c>
      <c r="V2788" s="315">
        <f t="shared" si="678"/>
        <v>2</v>
      </c>
      <c r="W2788" s="316">
        <f t="shared" si="679"/>
        <v>0</v>
      </c>
    </row>
    <row r="2789" spans="1:23" x14ac:dyDescent="0.25">
      <c r="A2789" s="204" t="s">
        <v>18464</v>
      </c>
      <c r="B2789" s="351" t="s">
        <v>22470</v>
      </c>
      <c r="C2789" s="352"/>
      <c r="D2789" s="353" t="s">
        <v>14859</v>
      </c>
      <c r="E2789" s="249">
        <f t="shared" si="680"/>
        <v>0</v>
      </c>
      <c r="F2789" s="336">
        <v>0</v>
      </c>
      <c r="G2789" s="258">
        <f t="shared" si="681"/>
        <v>0</v>
      </c>
      <c r="H2789" s="249">
        <f t="shared" si="682"/>
        <v>10.950926984547145</v>
      </c>
      <c r="I2789" s="336">
        <v>6.8107025325511522E-2</v>
      </c>
      <c r="J2789" s="258">
        <f t="shared" si="683"/>
        <v>6.8107025325511522E-2</v>
      </c>
      <c r="K2789" s="249">
        <f t="shared" si="684"/>
        <v>130.943332115646</v>
      </c>
      <c r="L2789" s="336">
        <v>0.81437497019125293</v>
      </c>
      <c r="M2789" s="258">
        <f t="shared" si="685"/>
        <v>0.81437497019125293</v>
      </c>
      <c r="N2789" s="251">
        <f t="shared" si="686"/>
        <v>18.895717149806842</v>
      </c>
      <c r="O2789" s="336">
        <v>0.11751800448323557</v>
      </c>
      <c r="P2789" s="258">
        <f t="shared" si="687"/>
        <v>0.11751800448323557</v>
      </c>
      <c r="Q2789" s="354">
        <v>157.2525</v>
      </c>
      <c r="R2789" s="249">
        <f t="shared" si="688"/>
        <v>160.78997625</v>
      </c>
      <c r="S2789" s="355">
        <v>0.1</v>
      </c>
      <c r="T2789" s="355"/>
      <c r="U2789" s="315">
        <f t="shared" ref="U2789:U2852" si="689">(R2789*S2789)+R2789</f>
        <v>176.86897387499999</v>
      </c>
      <c r="V2789" s="315">
        <f t="shared" ref="V2789:V2852" si="690">IF(U2789=0, 0, IF(U2789&lt;10, _xlfn.CEILING.MATH(U2789,1), IF(U2789&lt;100, _xlfn.CEILING.MATH(U2789,1),IF(U2789&lt;1000, _xlfn.CEILING.MATH(U2789,5), IF(U2789&lt;10000, _xlfn.CEILING.MATH(U2789, 25), IF(U2789&lt;100000, _xlfn.CEILING.MATH(U2789,250), IF(U2789&lt;1000000, _xlfn.CEILING.MATH(U2789,500), 0)))))))</f>
        <v>180</v>
      </c>
      <c r="W2789" s="316">
        <f t="shared" ref="W2789:W2852" si="691">C2789*V2789</f>
        <v>0</v>
      </c>
    </row>
    <row r="2790" spans="1:23" x14ac:dyDescent="0.25">
      <c r="A2790" s="204" t="s">
        <v>18465</v>
      </c>
      <c r="B2790" s="351" t="s">
        <v>22471</v>
      </c>
      <c r="C2790" s="352"/>
      <c r="D2790" s="353" t="s">
        <v>5</v>
      </c>
      <c r="E2790" s="249">
        <f t="shared" si="680"/>
        <v>0</v>
      </c>
      <c r="F2790" s="336">
        <v>0</v>
      </c>
      <c r="G2790" s="258">
        <f t="shared" si="681"/>
        <v>0</v>
      </c>
      <c r="H2790" s="249">
        <f t="shared" si="682"/>
        <v>6.3672741338995698E-2</v>
      </c>
      <c r="I2790" s="336">
        <v>6.3552533200413014E-2</v>
      </c>
      <c r="J2790" s="258">
        <f t="shared" si="683"/>
        <v>6.3552533200413014E-2</v>
      </c>
      <c r="K2790" s="249">
        <f t="shared" si="684"/>
        <v>0.82829259279473</v>
      </c>
      <c r="L2790" s="336">
        <v>0.82672885439289834</v>
      </c>
      <c r="M2790" s="258">
        <f t="shared" si="685"/>
        <v>0.82672885439289834</v>
      </c>
      <c r="N2790" s="251">
        <f t="shared" si="686"/>
        <v>0.10986669093787492</v>
      </c>
      <c r="O2790" s="336">
        <v>0.10965927297326165</v>
      </c>
      <c r="P2790" s="258">
        <f t="shared" si="687"/>
        <v>0.10965927297326165</v>
      </c>
      <c r="Q2790" s="354">
        <v>0.97977906976744178</v>
      </c>
      <c r="R2790" s="249">
        <f t="shared" si="688"/>
        <v>1.001891476744186</v>
      </c>
      <c r="S2790" s="355">
        <v>0.1</v>
      </c>
      <c r="T2790" s="355"/>
      <c r="U2790" s="315">
        <f t="shared" si="689"/>
        <v>1.1020806244186045</v>
      </c>
      <c r="V2790" s="315">
        <f t="shared" si="690"/>
        <v>2</v>
      </c>
      <c r="W2790" s="316">
        <f t="shared" si="691"/>
        <v>0</v>
      </c>
    </row>
    <row r="2791" spans="1:23" ht="14.4" thickBot="1" x14ac:dyDescent="0.3">
      <c r="A2791" s="356" t="s">
        <v>18466</v>
      </c>
      <c r="B2791" s="357" t="s">
        <v>22472</v>
      </c>
      <c r="C2791" s="358"/>
      <c r="D2791" s="359" t="s">
        <v>14859</v>
      </c>
      <c r="E2791" s="266">
        <f t="shared" si="680"/>
        <v>0</v>
      </c>
      <c r="F2791" s="360">
        <v>0</v>
      </c>
      <c r="G2791" s="322">
        <f t="shared" si="681"/>
        <v>0</v>
      </c>
      <c r="H2791" s="266">
        <f t="shared" si="682"/>
        <v>10.952362606009899</v>
      </c>
      <c r="I2791" s="360">
        <v>6.3552533200413014E-2</v>
      </c>
      <c r="J2791" s="322">
        <f t="shared" si="683"/>
        <v>6.3552533200413014E-2</v>
      </c>
      <c r="K2791" s="266">
        <f t="shared" si="684"/>
        <v>142.48502209342402</v>
      </c>
      <c r="L2791" s="360">
        <v>0.8267881938263254</v>
      </c>
      <c r="M2791" s="322">
        <f t="shared" si="685"/>
        <v>0.8267881938263254</v>
      </c>
      <c r="N2791" s="270">
        <f t="shared" si="686"/>
        <v>18.898194300566097</v>
      </c>
      <c r="O2791" s="360">
        <v>0.10965927297326165</v>
      </c>
      <c r="P2791" s="322">
        <f t="shared" si="687"/>
        <v>0.10965927297326165</v>
      </c>
      <c r="Q2791" s="361">
        <v>168.52199999999999</v>
      </c>
      <c r="R2791" s="266">
        <f t="shared" si="688"/>
        <v>172.335579</v>
      </c>
      <c r="S2791" s="362">
        <v>0.1</v>
      </c>
      <c r="T2791" s="362"/>
      <c r="U2791" s="324">
        <f t="shared" si="689"/>
        <v>189.56913689999999</v>
      </c>
      <c r="V2791" s="324">
        <f t="shared" si="690"/>
        <v>190</v>
      </c>
      <c r="W2791" s="325">
        <f t="shared" si="691"/>
        <v>0</v>
      </c>
    </row>
    <row r="2792" spans="1:23" x14ac:dyDescent="0.25">
      <c r="A2792" s="204" t="s">
        <v>18467</v>
      </c>
      <c r="B2792" s="351" t="s">
        <v>22473</v>
      </c>
      <c r="C2792" s="352"/>
      <c r="D2792" s="353" t="s">
        <v>5</v>
      </c>
      <c r="E2792" s="249">
        <f t="shared" si="680"/>
        <v>0</v>
      </c>
      <c r="F2792" s="336">
        <v>0</v>
      </c>
      <c r="G2792" s="258">
        <f t="shared" si="681"/>
        <v>0</v>
      </c>
      <c r="H2792" s="249">
        <f t="shared" si="682"/>
        <v>6.3678979528377713E-2</v>
      </c>
      <c r="I2792" s="336">
        <v>6.02557069918562E-2</v>
      </c>
      <c r="J2792" s="258">
        <f t="shared" si="683"/>
        <v>6.02557069918562E-2</v>
      </c>
      <c r="K2792" s="249">
        <f t="shared" si="684"/>
        <v>0.8831965281600419</v>
      </c>
      <c r="L2792" s="336">
        <v>0.83571740017159668</v>
      </c>
      <c r="M2792" s="258">
        <f t="shared" si="685"/>
        <v>0.83571740017159668</v>
      </c>
      <c r="N2792" s="251">
        <f t="shared" si="686"/>
        <v>0.10987745487249488</v>
      </c>
      <c r="O2792" s="336">
        <v>0.10397063167222245</v>
      </c>
      <c r="P2792" s="258">
        <f t="shared" si="687"/>
        <v>0.10397063167222245</v>
      </c>
      <c r="Q2792" s="354">
        <v>1.0333866279069768</v>
      </c>
      <c r="R2792" s="249">
        <f t="shared" si="688"/>
        <v>1.0568124200581397</v>
      </c>
      <c r="S2792" s="355">
        <v>0.1</v>
      </c>
      <c r="T2792" s="355"/>
      <c r="U2792" s="315">
        <f t="shared" si="689"/>
        <v>1.1624936620639537</v>
      </c>
      <c r="V2792" s="315">
        <f t="shared" si="690"/>
        <v>2</v>
      </c>
      <c r="W2792" s="316">
        <f t="shared" si="691"/>
        <v>0</v>
      </c>
    </row>
    <row r="2793" spans="1:23" x14ac:dyDescent="0.25">
      <c r="A2793" s="204" t="s">
        <v>18468</v>
      </c>
      <c r="B2793" s="351" t="s">
        <v>22474</v>
      </c>
      <c r="C2793" s="352"/>
      <c r="D2793" s="353" t="s">
        <v>14859</v>
      </c>
      <c r="E2793" s="249">
        <f t="shared" si="680"/>
        <v>0</v>
      </c>
      <c r="F2793" s="336">
        <v>0</v>
      </c>
      <c r="G2793" s="258">
        <f t="shared" si="681"/>
        <v>0</v>
      </c>
      <c r="H2793" s="249">
        <f t="shared" si="682"/>
        <v>10.953401798599097</v>
      </c>
      <c r="I2793" s="336">
        <v>6.02557069918562E-2</v>
      </c>
      <c r="J2793" s="258">
        <f t="shared" si="683"/>
        <v>6.02557069918562E-2</v>
      </c>
      <c r="K2793" s="249">
        <f t="shared" si="684"/>
        <v>151.92859203421031</v>
      </c>
      <c r="L2793" s="336">
        <v>0.83577366133592135</v>
      </c>
      <c r="M2793" s="258">
        <f t="shared" si="685"/>
        <v>0.83577366133592135</v>
      </c>
      <c r="N2793" s="251">
        <f t="shared" si="686"/>
        <v>18.899987417190598</v>
      </c>
      <c r="O2793" s="336">
        <v>0.10397063167222245</v>
      </c>
      <c r="P2793" s="258">
        <f t="shared" si="687"/>
        <v>0.10397063167222245</v>
      </c>
      <c r="Q2793" s="354">
        <v>177.74250000000001</v>
      </c>
      <c r="R2793" s="249">
        <f t="shared" si="688"/>
        <v>181.78198125</v>
      </c>
      <c r="S2793" s="355">
        <v>0.1</v>
      </c>
      <c r="T2793" s="355"/>
      <c r="U2793" s="315">
        <f t="shared" si="689"/>
        <v>199.960179375</v>
      </c>
      <c r="V2793" s="315">
        <f t="shared" si="690"/>
        <v>200</v>
      </c>
      <c r="W2793" s="316">
        <f t="shared" si="691"/>
        <v>0</v>
      </c>
    </row>
    <row r="2794" spans="1:23" x14ac:dyDescent="0.25">
      <c r="A2794" s="204" t="s">
        <v>18469</v>
      </c>
      <c r="B2794" s="351" t="s">
        <v>22475</v>
      </c>
      <c r="C2794" s="352"/>
      <c r="D2794" s="353" t="s">
        <v>5</v>
      </c>
      <c r="E2794" s="249">
        <f t="shared" si="680"/>
        <v>0</v>
      </c>
      <c r="F2794" s="336">
        <v>0</v>
      </c>
      <c r="G2794" s="258">
        <f t="shared" si="681"/>
        <v>0</v>
      </c>
      <c r="H2794" s="249">
        <f t="shared" si="682"/>
        <v>6.369333963960952E-2</v>
      </c>
      <c r="I2794" s="336">
        <v>5.2666519141402975E-2</v>
      </c>
      <c r="J2794" s="258">
        <f t="shared" si="683"/>
        <v>5.2666519141402975E-2</v>
      </c>
      <c r="K2794" s="249">
        <f t="shared" si="684"/>
        <v>1.0357155522816239</v>
      </c>
      <c r="L2794" s="336">
        <v>0.85640874333062866</v>
      </c>
      <c r="M2794" s="258">
        <f t="shared" si="685"/>
        <v>0.85640874333062866</v>
      </c>
      <c r="N2794" s="251">
        <f t="shared" si="686"/>
        <v>0.10990223310363993</v>
      </c>
      <c r="O2794" s="336">
        <v>9.0875562440067864E-2</v>
      </c>
      <c r="P2794" s="258">
        <f t="shared" si="687"/>
        <v>9.0875562440067864E-2</v>
      </c>
      <c r="Q2794" s="354">
        <v>1.1822965116279069</v>
      </c>
      <c r="R2794" s="249">
        <f t="shared" si="688"/>
        <v>1.2093705959302326</v>
      </c>
      <c r="S2794" s="355">
        <v>0.1</v>
      </c>
      <c r="T2794" s="355"/>
      <c r="U2794" s="315">
        <f t="shared" si="689"/>
        <v>1.3303076555232558</v>
      </c>
      <c r="V2794" s="315">
        <f t="shared" si="690"/>
        <v>2</v>
      </c>
      <c r="W2794" s="316">
        <f t="shared" si="691"/>
        <v>0</v>
      </c>
    </row>
    <row r="2795" spans="1:23" x14ac:dyDescent="0.25">
      <c r="A2795" s="204" t="s">
        <v>18470</v>
      </c>
      <c r="B2795" s="351" t="s">
        <v>22476</v>
      </c>
      <c r="C2795" s="352"/>
      <c r="D2795" s="353" t="s">
        <v>14859</v>
      </c>
      <c r="E2795" s="249">
        <f t="shared" si="680"/>
        <v>0</v>
      </c>
      <c r="F2795" s="336">
        <v>0</v>
      </c>
      <c r="G2795" s="258">
        <f t="shared" si="681"/>
        <v>0</v>
      </c>
      <c r="H2795" s="249">
        <f t="shared" si="682"/>
        <v>10.95579398650144</v>
      </c>
      <c r="I2795" s="336">
        <v>5.2666519141402975E-2</v>
      </c>
      <c r="J2795" s="258">
        <f t="shared" si="683"/>
        <v>5.2666519141402975E-2</v>
      </c>
      <c r="K2795" s="249">
        <f t="shared" si="684"/>
        <v>178.16207839953529</v>
      </c>
      <c r="L2795" s="336">
        <v>0.85645791841852914</v>
      </c>
      <c r="M2795" s="258">
        <f t="shared" si="685"/>
        <v>0.85645791841852914</v>
      </c>
      <c r="N2795" s="251">
        <f t="shared" si="686"/>
        <v>18.904115113963265</v>
      </c>
      <c r="O2795" s="336">
        <v>9.0875562440067864E-2</v>
      </c>
      <c r="P2795" s="258">
        <f t="shared" si="687"/>
        <v>9.0875562440067864E-2</v>
      </c>
      <c r="Q2795" s="354">
        <v>203.35499999999999</v>
      </c>
      <c r="R2795" s="249">
        <f t="shared" si="688"/>
        <v>208.02198749999999</v>
      </c>
      <c r="S2795" s="355">
        <v>0.1</v>
      </c>
      <c r="T2795" s="355"/>
      <c r="U2795" s="315">
        <f t="shared" si="689"/>
        <v>228.82418625</v>
      </c>
      <c r="V2795" s="315">
        <f t="shared" si="690"/>
        <v>230</v>
      </c>
      <c r="W2795" s="316">
        <f t="shared" si="691"/>
        <v>0</v>
      </c>
    </row>
    <row r="2796" spans="1:23" x14ac:dyDescent="0.25">
      <c r="A2796" s="204" t="s">
        <v>18471</v>
      </c>
      <c r="B2796" s="351" t="s">
        <v>22477</v>
      </c>
      <c r="C2796" s="352"/>
      <c r="D2796" s="353" t="s">
        <v>5</v>
      </c>
      <c r="E2796" s="249">
        <f t="shared" si="680"/>
        <v>0</v>
      </c>
      <c r="F2796" s="336">
        <v>0</v>
      </c>
      <c r="G2796" s="258">
        <f t="shared" si="681"/>
        <v>0</v>
      </c>
      <c r="H2796" s="249">
        <f t="shared" si="682"/>
        <v>6.3706423848609237E-2</v>
      </c>
      <c r="I2796" s="336">
        <v>4.5751633986928109E-2</v>
      </c>
      <c r="J2796" s="258">
        <f t="shared" si="683"/>
        <v>4.5751633986928109E-2</v>
      </c>
      <c r="K2796" s="249">
        <f t="shared" si="684"/>
        <v>1.2187496902279691</v>
      </c>
      <c r="L2796" s="336">
        <v>0.87526165150155943</v>
      </c>
      <c r="M2796" s="258">
        <f t="shared" si="685"/>
        <v>0.87526165150155943</v>
      </c>
      <c r="N2796" s="251">
        <f t="shared" si="686"/>
        <v>0.1099248097779924</v>
      </c>
      <c r="O2796" s="336">
        <v>7.89439958990132E-2</v>
      </c>
      <c r="P2796" s="258">
        <f t="shared" si="687"/>
        <v>7.89439958990132E-2</v>
      </c>
      <c r="Q2796" s="354">
        <v>1.3609883720930234</v>
      </c>
      <c r="R2796" s="249">
        <f t="shared" si="688"/>
        <v>1.3924404069767446</v>
      </c>
      <c r="S2796" s="355">
        <v>0.1</v>
      </c>
      <c r="T2796" s="355"/>
      <c r="U2796" s="315">
        <f t="shared" si="689"/>
        <v>1.5316844476744191</v>
      </c>
      <c r="V2796" s="315">
        <f t="shared" si="690"/>
        <v>2</v>
      </c>
      <c r="W2796" s="316">
        <f t="shared" si="691"/>
        <v>0</v>
      </c>
    </row>
    <row r="2797" spans="1:23" x14ac:dyDescent="0.25">
      <c r="A2797" s="204" t="s">
        <v>18472</v>
      </c>
      <c r="B2797" s="351" t="s">
        <v>22478</v>
      </c>
      <c r="C2797" s="352"/>
      <c r="D2797" s="353" t="s">
        <v>14859</v>
      </c>
      <c r="E2797" s="249">
        <f t="shared" si="680"/>
        <v>0</v>
      </c>
      <c r="F2797" s="336">
        <v>0</v>
      </c>
      <c r="G2797" s="258">
        <f t="shared" si="681"/>
        <v>0</v>
      </c>
      <c r="H2797" s="249">
        <f t="shared" si="682"/>
        <v>10.957973627450981</v>
      </c>
      <c r="I2797" s="336">
        <v>4.5751633986928109E-2</v>
      </c>
      <c r="J2797" s="258">
        <f t="shared" si="683"/>
        <v>4.5751633986928109E-2</v>
      </c>
      <c r="K2797" s="249">
        <f t="shared" si="684"/>
        <v>209.64414530949637</v>
      </c>
      <c r="L2797" s="336">
        <v>0.87530437011405871</v>
      </c>
      <c r="M2797" s="258">
        <f t="shared" si="685"/>
        <v>0.87530437011405871</v>
      </c>
      <c r="N2797" s="251">
        <f t="shared" si="686"/>
        <v>18.907876063052672</v>
      </c>
      <c r="O2797" s="336">
        <v>7.89439958990132E-2</v>
      </c>
      <c r="P2797" s="258">
        <f t="shared" si="687"/>
        <v>7.89439958990132E-2</v>
      </c>
      <c r="Q2797" s="354">
        <v>234.09</v>
      </c>
      <c r="R2797" s="249">
        <f t="shared" si="688"/>
        <v>239.509995</v>
      </c>
      <c r="S2797" s="355">
        <v>0.1</v>
      </c>
      <c r="T2797" s="355"/>
      <c r="U2797" s="315">
        <f t="shared" si="689"/>
        <v>263.46099450000003</v>
      </c>
      <c r="V2797" s="315">
        <f t="shared" si="690"/>
        <v>265</v>
      </c>
      <c r="W2797" s="316">
        <f t="shared" si="691"/>
        <v>0</v>
      </c>
    </row>
    <row r="2798" spans="1:23" x14ac:dyDescent="0.25">
      <c r="A2798" s="204" t="s">
        <v>18473</v>
      </c>
      <c r="B2798" s="351" t="s">
        <v>22479</v>
      </c>
      <c r="C2798" s="352"/>
      <c r="D2798" s="353" t="s">
        <v>5</v>
      </c>
      <c r="E2798" s="249">
        <f t="shared" si="680"/>
        <v>0</v>
      </c>
      <c r="F2798" s="336">
        <v>0</v>
      </c>
      <c r="G2798" s="258">
        <f t="shared" si="681"/>
        <v>0</v>
      </c>
      <c r="H2798" s="249">
        <f t="shared" si="682"/>
        <v>6.37133915059825E-2</v>
      </c>
      <c r="I2798" s="336">
        <v>4.2069290596276225E-2</v>
      </c>
      <c r="J2798" s="258">
        <f t="shared" si="683"/>
        <v>4.2069290596276225E-2</v>
      </c>
      <c r="K2798" s="249">
        <f t="shared" si="684"/>
        <v>1.3407772341380333</v>
      </c>
      <c r="L2798" s="336">
        <v>0.88530128054049817</v>
      </c>
      <c r="M2798" s="258">
        <f t="shared" si="685"/>
        <v>0.88530128054049817</v>
      </c>
      <c r="N2798" s="251">
        <f t="shared" si="686"/>
        <v>0.10993683240247962</v>
      </c>
      <c r="O2798" s="336">
        <v>7.2590148479849168E-2</v>
      </c>
      <c r="P2798" s="258">
        <f t="shared" si="687"/>
        <v>7.2590148479849168E-2</v>
      </c>
      <c r="Q2798" s="354">
        <v>1.4801162790697673</v>
      </c>
      <c r="R2798" s="249">
        <f t="shared" si="688"/>
        <v>1.5144869476744187</v>
      </c>
      <c r="S2798" s="355">
        <v>0.1</v>
      </c>
      <c r="T2798" s="355"/>
      <c r="U2798" s="315">
        <f t="shared" si="689"/>
        <v>1.6659356424418605</v>
      </c>
      <c r="V2798" s="315">
        <f t="shared" si="690"/>
        <v>2</v>
      </c>
      <c r="W2798" s="316">
        <f t="shared" si="691"/>
        <v>0</v>
      </c>
    </row>
    <row r="2799" spans="1:23" x14ac:dyDescent="0.25">
      <c r="A2799" s="204" t="s">
        <v>18474</v>
      </c>
      <c r="B2799" s="351" t="s">
        <v>22480</v>
      </c>
      <c r="C2799" s="352"/>
      <c r="D2799" s="353" t="s">
        <v>14859</v>
      </c>
      <c r="E2799" s="249">
        <f t="shared" si="680"/>
        <v>0</v>
      </c>
      <c r="F2799" s="336">
        <v>0</v>
      </c>
      <c r="G2799" s="258">
        <f t="shared" si="681"/>
        <v>0</v>
      </c>
      <c r="H2799" s="249">
        <f t="shared" si="682"/>
        <v>10.959134338911147</v>
      </c>
      <c r="I2799" s="336">
        <v>4.2069290596276225E-2</v>
      </c>
      <c r="J2799" s="258">
        <f t="shared" si="683"/>
        <v>4.2069290596276225E-2</v>
      </c>
      <c r="K2799" s="249">
        <f t="shared" si="684"/>
        <v>230.63298680179113</v>
      </c>
      <c r="L2799" s="336">
        <v>0.88534056092387459</v>
      </c>
      <c r="M2799" s="258">
        <f t="shared" si="685"/>
        <v>0.88534056092387459</v>
      </c>
      <c r="N2799" s="251">
        <f t="shared" si="686"/>
        <v>18.909878859297663</v>
      </c>
      <c r="O2799" s="336">
        <v>7.2590148479849168E-2</v>
      </c>
      <c r="P2799" s="258">
        <f t="shared" si="687"/>
        <v>7.2590148479849168E-2</v>
      </c>
      <c r="Q2799" s="354">
        <v>254.57999999999998</v>
      </c>
      <c r="R2799" s="249">
        <f t="shared" si="688"/>
        <v>260.50199999999995</v>
      </c>
      <c r="S2799" s="355">
        <v>0.1</v>
      </c>
      <c r="T2799" s="355"/>
      <c r="U2799" s="315">
        <f t="shared" si="689"/>
        <v>286.55219999999997</v>
      </c>
      <c r="V2799" s="315">
        <f t="shared" si="690"/>
        <v>290</v>
      </c>
      <c r="W2799" s="316">
        <f t="shared" si="691"/>
        <v>0</v>
      </c>
    </row>
    <row r="2800" spans="1:23" x14ac:dyDescent="0.25">
      <c r="A2800" s="204" t="s">
        <v>18475</v>
      </c>
      <c r="B2800" s="351" t="s">
        <v>22481</v>
      </c>
      <c r="C2800" s="352"/>
      <c r="D2800" s="353" t="s">
        <v>5</v>
      </c>
      <c r="E2800" s="249">
        <f t="shared" si="680"/>
        <v>0</v>
      </c>
      <c r="F2800" s="336">
        <v>0</v>
      </c>
      <c r="G2800" s="258">
        <f t="shared" si="681"/>
        <v>0</v>
      </c>
      <c r="H2800" s="249">
        <f t="shared" si="682"/>
        <v>6.371705853742321E-2</v>
      </c>
      <c r="I2800" s="336">
        <v>4.0131297915870418E-2</v>
      </c>
      <c r="J2800" s="258">
        <f t="shared" si="683"/>
        <v>4.0131297915870418E-2</v>
      </c>
      <c r="K2800" s="249">
        <f t="shared" si="684"/>
        <v>1.4139951606744652</v>
      </c>
      <c r="L2800" s="336">
        <v>0.89058507010799104</v>
      </c>
      <c r="M2800" s="258">
        <f t="shared" si="685"/>
        <v>0.89058507010799104</v>
      </c>
      <c r="N2800" s="251">
        <f t="shared" si="686"/>
        <v>0.10994315982927927</v>
      </c>
      <c r="O2800" s="336">
        <v>6.9246161109737192E-2</v>
      </c>
      <c r="P2800" s="258">
        <f t="shared" si="687"/>
        <v>6.9246161109737192E-2</v>
      </c>
      <c r="Q2800" s="354">
        <v>1.5515930232558137</v>
      </c>
      <c r="R2800" s="249">
        <f t="shared" si="688"/>
        <v>1.5877148720930232</v>
      </c>
      <c r="S2800" s="355">
        <v>0.1</v>
      </c>
      <c r="T2800" s="355"/>
      <c r="U2800" s="315">
        <f t="shared" si="689"/>
        <v>1.7464863593023257</v>
      </c>
      <c r="V2800" s="315">
        <f t="shared" si="690"/>
        <v>2</v>
      </c>
      <c r="W2800" s="316">
        <f t="shared" si="691"/>
        <v>0</v>
      </c>
    </row>
    <row r="2801" spans="1:23" x14ac:dyDescent="0.25">
      <c r="A2801" s="204" t="s">
        <v>18476</v>
      </c>
      <c r="B2801" s="351" t="s">
        <v>22482</v>
      </c>
      <c r="C2801" s="352"/>
      <c r="D2801" s="353" t="s">
        <v>14859</v>
      </c>
      <c r="E2801" s="249">
        <f t="shared" si="680"/>
        <v>0</v>
      </c>
      <c r="F2801" s="336">
        <v>0</v>
      </c>
      <c r="G2801" s="258">
        <f t="shared" si="681"/>
        <v>0</v>
      </c>
      <c r="H2801" s="249">
        <f t="shared" si="682"/>
        <v>10.95974521358394</v>
      </c>
      <c r="I2801" s="336">
        <v>4.0131297915870418E-2</v>
      </c>
      <c r="J2801" s="258">
        <f t="shared" si="683"/>
        <v>4.0131297915870418E-2</v>
      </c>
      <c r="K2801" s="249">
        <f t="shared" si="684"/>
        <v>243.22652486885949</v>
      </c>
      <c r="L2801" s="336">
        <v>0.89062254097439253</v>
      </c>
      <c r="M2801" s="258">
        <f t="shared" si="685"/>
        <v>0.89062254097439253</v>
      </c>
      <c r="N2801" s="251">
        <f t="shared" si="686"/>
        <v>18.9109329175566</v>
      </c>
      <c r="O2801" s="336">
        <v>6.9246161109737192E-2</v>
      </c>
      <c r="P2801" s="258">
        <f t="shared" si="687"/>
        <v>6.9246161109737192E-2</v>
      </c>
      <c r="Q2801" s="354">
        <v>266.87399999999997</v>
      </c>
      <c r="R2801" s="249">
        <f t="shared" si="688"/>
        <v>273.09720299999998</v>
      </c>
      <c r="S2801" s="355">
        <v>0.1</v>
      </c>
      <c r="T2801" s="355"/>
      <c r="U2801" s="315">
        <f t="shared" si="689"/>
        <v>300.40692329999996</v>
      </c>
      <c r="V2801" s="315">
        <f t="shared" si="690"/>
        <v>305</v>
      </c>
      <c r="W2801" s="316">
        <f t="shared" si="691"/>
        <v>0</v>
      </c>
    </row>
    <row r="2802" spans="1:23" x14ac:dyDescent="0.25">
      <c r="A2802" s="204" t="s">
        <v>18477</v>
      </c>
      <c r="B2802" s="351" t="s">
        <v>22483</v>
      </c>
      <c r="C2802" s="352"/>
      <c r="D2802" s="353" t="s">
        <v>5</v>
      </c>
      <c r="E2802" s="249">
        <f t="shared" si="680"/>
        <v>0</v>
      </c>
      <c r="F2802" s="336">
        <v>0</v>
      </c>
      <c r="G2802" s="258">
        <f t="shared" si="681"/>
        <v>0</v>
      </c>
      <c r="H2802" s="249">
        <f t="shared" si="682"/>
        <v>6.3721966548906175E-2</v>
      </c>
      <c r="I2802" s="336">
        <v>3.7537458598391256E-2</v>
      </c>
      <c r="J2802" s="258">
        <f t="shared" si="683"/>
        <v>3.7537458598391256E-2</v>
      </c>
      <c r="K2802" s="249">
        <f t="shared" si="684"/>
        <v>1.523823665982549</v>
      </c>
      <c r="L2802" s="336">
        <v>0.89765697562343361</v>
      </c>
      <c r="M2802" s="258">
        <f t="shared" si="685"/>
        <v>0.89765697562343361</v>
      </c>
      <c r="N2802" s="251">
        <f t="shared" si="686"/>
        <v>0.10995162855497534</v>
      </c>
      <c r="O2802" s="336">
        <v>6.477051679722412E-2</v>
      </c>
      <c r="P2802" s="258">
        <f t="shared" si="687"/>
        <v>6.477051679722412E-2</v>
      </c>
      <c r="Q2802" s="354">
        <v>1.6588081395348837</v>
      </c>
      <c r="R2802" s="249">
        <f t="shared" si="688"/>
        <v>1.6975567587209301</v>
      </c>
      <c r="S2802" s="355">
        <v>0.1</v>
      </c>
      <c r="T2802" s="355"/>
      <c r="U2802" s="315">
        <f t="shared" si="689"/>
        <v>1.8673124345930232</v>
      </c>
      <c r="V2802" s="315">
        <f t="shared" si="690"/>
        <v>2</v>
      </c>
      <c r="W2802" s="316">
        <f t="shared" si="691"/>
        <v>0</v>
      </c>
    </row>
    <row r="2803" spans="1:23" x14ac:dyDescent="0.25">
      <c r="A2803" s="204" t="s">
        <v>18478</v>
      </c>
      <c r="B2803" s="351" t="s">
        <v>22484</v>
      </c>
      <c r="C2803" s="352"/>
      <c r="D2803" s="353" t="s">
        <v>14859</v>
      </c>
      <c r="E2803" s="249">
        <f t="shared" si="680"/>
        <v>0</v>
      </c>
      <c r="F2803" s="336">
        <v>0</v>
      </c>
      <c r="G2803" s="258">
        <f t="shared" si="681"/>
        <v>0</v>
      </c>
      <c r="H2803" s="249">
        <f t="shared" si="682"/>
        <v>10.960562817675202</v>
      </c>
      <c r="I2803" s="336">
        <v>3.7537458598391256E-2</v>
      </c>
      <c r="J2803" s="258">
        <f t="shared" si="683"/>
        <v>3.7537458598391256E-2</v>
      </c>
      <c r="K2803" s="249">
        <f t="shared" si="684"/>
        <v>262.11710099692448</v>
      </c>
      <c r="L2803" s="336">
        <v>0.89769202460438469</v>
      </c>
      <c r="M2803" s="258">
        <f t="shared" si="685"/>
        <v>0.89769202460438469</v>
      </c>
      <c r="N2803" s="251">
        <f t="shared" si="686"/>
        <v>18.912343685400348</v>
      </c>
      <c r="O2803" s="336">
        <v>6.477051679722412E-2</v>
      </c>
      <c r="P2803" s="258">
        <f t="shared" si="687"/>
        <v>6.477051679722412E-2</v>
      </c>
      <c r="Q2803" s="354">
        <v>285.315</v>
      </c>
      <c r="R2803" s="249">
        <f t="shared" si="688"/>
        <v>291.99000749999999</v>
      </c>
      <c r="S2803" s="355">
        <v>0.1</v>
      </c>
      <c r="T2803" s="355"/>
      <c r="U2803" s="315">
        <f t="shared" si="689"/>
        <v>321.18900824999997</v>
      </c>
      <c r="V2803" s="315">
        <f t="shared" si="690"/>
        <v>325</v>
      </c>
      <c r="W2803" s="316">
        <f t="shared" si="691"/>
        <v>0</v>
      </c>
    </row>
    <row r="2804" spans="1:23" x14ac:dyDescent="0.25">
      <c r="A2804" s="204" t="s">
        <v>18479</v>
      </c>
      <c r="B2804" s="351" t="s">
        <v>22485</v>
      </c>
      <c r="C2804" s="352"/>
      <c r="D2804" s="353" t="s">
        <v>5</v>
      </c>
      <c r="E2804" s="249">
        <f t="shared" si="680"/>
        <v>0</v>
      </c>
      <c r="F2804" s="336">
        <v>0</v>
      </c>
      <c r="G2804" s="258">
        <f t="shared" si="681"/>
        <v>0</v>
      </c>
      <c r="H2804" s="249">
        <f t="shared" si="682"/>
        <v>6.3723949924364004E-2</v>
      </c>
      <c r="I2804" s="336">
        <v>3.6489262753355081E-2</v>
      </c>
      <c r="J2804" s="258">
        <f t="shared" si="683"/>
        <v>3.6489262753355081E-2</v>
      </c>
      <c r="K2804" s="249">
        <f t="shared" si="684"/>
        <v>1.5726368747393618</v>
      </c>
      <c r="L2804" s="336">
        <v>0.9005148018302549</v>
      </c>
      <c r="M2804" s="258">
        <f t="shared" si="685"/>
        <v>0.9005148018302549</v>
      </c>
      <c r="N2804" s="251">
        <f t="shared" si="686"/>
        <v>0.10995505084988297</v>
      </c>
      <c r="O2804" s="336">
        <v>6.2961865143044055E-2</v>
      </c>
      <c r="P2804" s="258">
        <f t="shared" si="687"/>
        <v>6.2961865143044055E-2</v>
      </c>
      <c r="Q2804" s="354">
        <v>1.7064593023255812</v>
      </c>
      <c r="R2804" s="249">
        <f t="shared" si="688"/>
        <v>1.7463753749999997</v>
      </c>
      <c r="S2804" s="355">
        <v>0.1</v>
      </c>
      <c r="T2804" s="355"/>
      <c r="U2804" s="315">
        <f t="shared" si="689"/>
        <v>1.9210129124999997</v>
      </c>
      <c r="V2804" s="315">
        <f t="shared" si="690"/>
        <v>2</v>
      </c>
      <c r="W2804" s="316">
        <f t="shared" si="691"/>
        <v>0</v>
      </c>
    </row>
    <row r="2805" spans="1:23" x14ac:dyDescent="0.25">
      <c r="A2805" s="204" t="s">
        <v>18480</v>
      </c>
      <c r="B2805" s="351" t="s">
        <v>22486</v>
      </c>
      <c r="C2805" s="352"/>
      <c r="D2805" s="353" t="s">
        <v>14859</v>
      </c>
      <c r="E2805" s="249">
        <f t="shared" si="680"/>
        <v>0</v>
      </c>
      <c r="F2805" s="336">
        <v>0</v>
      </c>
      <c r="G2805" s="258">
        <f t="shared" si="681"/>
        <v>0</v>
      </c>
      <c r="H2805" s="249">
        <f t="shared" si="682"/>
        <v>10.960893219487515</v>
      </c>
      <c r="I2805" s="336">
        <v>3.6489262753355074E-2</v>
      </c>
      <c r="J2805" s="258">
        <f t="shared" si="683"/>
        <v>3.6489262753355074E-2</v>
      </c>
      <c r="K2805" s="249">
        <f t="shared" si="684"/>
        <v>270.51300249002418</v>
      </c>
      <c r="L2805" s="336">
        <v>0.90054887210360091</v>
      </c>
      <c r="M2805" s="258">
        <f t="shared" si="685"/>
        <v>0.90054887210360091</v>
      </c>
      <c r="N2805" s="251">
        <f t="shared" si="686"/>
        <v>18.912913790488261</v>
      </c>
      <c r="O2805" s="336">
        <v>6.2961865143044055E-2</v>
      </c>
      <c r="P2805" s="258">
        <f t="shared" si="687"/>
        <v>6.2961865143044055E-2</v>
      </c>
      <c r="Q2805" s="354">
        <v>293.51099999999997</v>
      </c>
      <c r="R2805" s="249">
        <f t="shared" si="688"/>
        <v>300.38680949999997</v>
      </c>
      <c r="S2805" s="355">
        <v>0.1</v>
      </c>
      <c r="T2805" s="355"/>
      <c r="U2805" s="315">
        <f t="shared" si="689"/>
        <v>330.42549044999998</v>
      </c>
      <c r="V2805" s="315">
        <f t="shared" si="690"/>
        <v>335</v>
      </c>
      <c r="W2805" s="316">
        <f t="shared" si="691"/>
        <v>0</v>
      </c>
    </row>
    <row r="2806" spans="1:23" x14ac:dyDescent="0.25">
      <c r="A2806" s="204" t="s">
        <v>18481</v>
      </c>
      <c r="B2806" s="351" t="s">
        <v>22487</v>
      </c>
      <c r="C2806" s="352"/>
      <c r="D2806" s="353" t="s">
        <v>5</v>
      </c>
      <c r="E2806" s="249">
        <f t="shared" si="680"/>
        <v>0</v>
      </c>
      <c r="F2806" s="336">
        <v>0</v>
      </c>
      <c r="G2806" s="258">
        <f t="shared" si="681"/>
        <v>0</v>
      </c>
      <c r="H2806" s="249">
        <f t="shared" si="682"/>
        <v>6.3725596681068017E-2</v>
      </c>
      <c r="I2806" s="336">
        <v>3.561896685041531E-2</v>
      </c>
      <c r="J2806" s="258">
        <f t="shared" si="683"/>
        <v>3.561896685041531E-2</v>
      </c>
      <c r="K2806" s="249">
        <f t="shared" si="684"/>
        <v>1.6153486742267078</v>
      </c>
      <c r="L2806" s="336">
        <v>0.90288759738262103</v>
      </c>
      <c r="M2806" s="258">
        <f t="shared" si="685"/>
        <v>0.90288759738262103</v>
      </c>
      <c r="N2806" s="251">
        <f t="shared" si="686"/>
        <v>0.10995789231243107</v>
      </c>
      <c r="O2806" s="336">
        <v>6.1460178094834256E-2</v>
      </c>
      <c r="P2806" s="258">
        <f t="shared" si="687"/>
        <v>6.1460178094834256E-2</v>
      </c>
      <c r="Q2806" s="354">
        <v>1.7481540697674418</v>
      </c>
      <c r="R2806" s="249">
        <f t="shared" si="688"/>
        <v>1.7890916642441859</v>
      </c>
      <c r="S2806" s="355">
        <v>0.1</v>
      </c>
      <c r="T2806" s="355"/>
      <c r="U2806" s="315">
        <f t="shared" si="689"/>
        <v>1.9680008306686045</v>
      </c>
      <c r="V2806" s="315">
        <f t="shared" si="690"/>
        <v>2</v>
      </c>
      <c r="W2806" s="316">
        <f t="shared" si="691"/>
        <v>0</v>
      </c>
    </row>
    <row r="2807" spans="1:23" x14ac:dyDescent="0.25">
      <c r="A2807" s="204" t="s">
        <v>18482</v>
      </c>
      <c r="B2807" s="351" t="s">
        <v>22488</v>
      </c>
      <c r="C2807" s="352"/>
      <c r="D2807" s="353" t="s">
        <v>14859</v>
      </c>
      <c r="E2807" s="249">
        <f t="shared" si="680"/>
        <v>0</v>
      </c>
      <c r="F2807" s="336">
        <v>0</v>
      </c>
      <c r="G2807" s="258">
        <f t="shared" si="681"/>
        <v>0</v>
      </c>
      <c r="H2807" s="249">
        <f t="shared" si="682"/>
        <v>10.961167545459082</v>
      </c>
      <c r="I2807" s="336">
        <v>3.561896685041531E-2</v>
      </c>
      <c r="J2807" s="258">
        <f t="shared" si="683"/>
        <v>3.561896685041531E-2</v>
      </c>
      <c r="K2807" s="249">
        <f t="shared" si="684"/>
        <v>277.85945656727819</v>
      </c>
      <c r="L2807" s="336">
        <v>0.9029208550547505</v>
      </c>
      <c r="M2807" s="258">
        <f t="shared" si="685"/>
        <v>0.9029208550547505</v>
      </c>
      <c r="N2807" s="251">
        <f t="shared" si="686"/>
        <v>18.913387137262728</v>
      </c>
      <c r="O2807" s="336">
        <v>6.1460178094834256E-2</v>
      </c>
      <c r="P2807" s="258">
        <f t="shared" si="687"/>
        <v>6.1460178094834256E-2</v>
      </c>
      <c r="Q2807" s="354">
        <v>300.6825</v>
      </c>
      <c r="R2807" s="249">
        <f t="shared" si="688"/>
        <v>307.73401124999998</v>
      </c>
      <c r="S2807" s="355">
        <v>0.1</v>
      </c>
      <c r="T2807" s="355"/>
      <c r="U2807" s="315">
        <f t="shared" si="689"/>
        <v>338.507412375</v>
      </c>
      <c r="V2807" s="315">
        <f t="shared" si="690"/>
        <v>340</v>
      </c>
      <c r="W2807" s="316">
        <f t="shared" si="691"/>
        <v>0</v>
      </c>
    </row>
    <row r="2808" spans="1:23" x14ac:dyDescent="0.25">
      <c r="A2808" s="204" t="s">
        <v>18483</v>
      </c>
      <c r="B2808" s="351" t="s">
        <v>22489</v>
      </c>
      <c r="C2808" s="352"/>
      <c r="D2808" s="353" t="s">
        <v>5</v>
      </c>
      <c r="E2808" s="249">
        <f t="shared" si="680"/>
        <v>0</v>
      </c>
      <c r="F2808" s="336">
        <v>0</v>
      </c>
      <c r="G2808" s="258">
        <f t="shared" si="681"/>
        <v>0</v>
      </c>
      <c r="H2808" s="249">
        <f t="shared" si="682"/>
        <v>6.372969455496745E-2</v>
      </c>
      <c r="I2808" s="336">
        <v>3.3453277858990223E-2</v>
      </c>
      <c r="J2808" s="258">
        <f t="shared" si="683"/>
        <v>3.3453277858990223E-2</v>
      </c>
      <c r="K2808" s="249">
        <f t="shared" si="684"/>
        <v>1.7312817153481479</v>
      </c>
      <c r="L2808" s="336">
        <v>0.90879218361507785</v>
      </c>
      <c r="M2808" s="258">
        <f t="shared" si="685"/>
        <v>0.90879218361507785</v>
      </c>
      <c r="N2808" s="251">
        <f t="shared" si="686"/>
        <v>0.10996496315366931</v>
      </c>
      <c r="O2808" s="336">
        <v>5.7723302972375282E-2</v>
      </c>
      <c r="P2808" s="258">
        <f t="shared" si="687"/>
        <v>5.7723302972375282E-2</v>
      </c>
      <c r="Q2808" s="354">
        <v>1.8613255813953486</v>
      </c>
      <c r="R2808" s="249">
        <f t="shared" si="688"/>
        <v>1.9050358779069763</v>
      </c>
      <c r="S2808" s="355">
        <v>0.1</v>
      </c>
      <c r="T2808" s="355"/>
      <c r="U2808" s="315">
        <f t="shared" si="689"/>
        <v>2.0955394656976738</v>
      </c>
      <c r="V2808" s="315">
        <f t="shared" si="690"/>
        <v>3</v>
      </c>
      <c r="W2808" s="316">
        <f t="shared" si="691"/>
        <v>0</v>
      </c>
    </row>
    <row r="2809" spans="1:23" x14ac:dyDescent="0.25">
      <c r="A2809" s="204" t="s">
        <v>18484</v>
      </c>
      <c r="B2809" s="351" t="s">
        <v>22490</v>
      </c>
      <c r="C2809" s="352"/>
      <c r="D2809" s="353" t="s">
        <v>14859</v>
      </c>
      <c r="E2809" s="249">
        <f t="shared" si="680"/>
        <v>0</v>
      </c>
      <c r="F2809" s="336">
        <v>0</v>
      </c>
      <c r="G2809" s="258">
        <f t="shared" si="681"/>
        <v>0</v>
      </c>
      <c r="H2809" s="249">
        <f t="shared" si="682"/>
        <v>10.961850192286068</v>
      </c>
      <c r="I2809" s="336">
        <v>3.3453277858990223E-2</v>
      </c>
      <c r="J2809" s="258">
        <f t="shared" si="683"/>
        <v>3.3453277858990223E-2</v>
      </c>
      <c r="K2809" s="249">
        <f t="shared" si="684"/>
        <v>297.80000077004382</v>
      </c>
      <c r="L2809" s="336">
        <v>0.90882341916863452</v>
      </c>
      <c r="M2809" s="258">
        <f t="shared" si="685"/>
        <v>0.90882341916863452</v>
      </c>
      <c r="N2809" s="251">
        <f t="shared" si="686"/>
        <v>18.914565037670076</v>
      </c>
      <c r="O2809" s="336">
        <v>5.7723302972375282E-2</v>
      </c>
      <c r="P2809" s="258">
        <f t="shared" si="687"/>
        <v>5.7723302972375282E-2</v>
      </c>
      <c r="Q2809" s="354">
        <v>320.14799999999997</v>
      </c>
      <c r="R2809" s="249">
        <f t="shared" si="688"/>
        <v>327.67641599999996</v>
      </c>
      <c r="S2809" s="355">
        <v>0.1</v>
      </c>
      <c r="T2809" s="355"/>
      <c r="U2809" s="315">
        <f t="shared" si="689"/>
        <v>360.44405759999995</v>
      </c>
      <c r="V2809" s="315">
        <f t="shared" si="690"/>
        <v>365</v>
      </c>
      <c r="W2809" s="316">
        <f t="shared" si="691"/>
        <v>0</v>
      </c>
    </row>
    <row r="2810" spans="1:23" x14ac:dyDescent="0.25">
      <c r="A2810" s="204" t="s">
        <v>18485</v>
      </c>
      <c r="B2810" s="351" t="s">
        <v>22491</v>
      </c>
      <c r="C2810" s="352"/>
      <c r="D2810" s="353" t="s">
        <v>5</v>
      </c>
      <c r="E2810" s="249">
        <f t="shared" si="680"/>
        <v>0</v>
      </c>
      <c r="F2810" s="336">
        <v>0</v>
      </c>
      <c r="G2810" s="258">
        <f t="shared" si="681"/>
        <v>0</v>
      </c>
      <c r="H2810" s="249">
        <f t="shared" si="682"/>
        <v>6.3735407319353718E-2</v>
      </c>
      <c r="I2810" s="336">
        <v>3.0434133969864243E-2</v>
      </c>
      <c r="J2810" s="258">
        <f t="shared" si="683"/>
        <v>3.0434133969864243E-2</v>
      </c>
      <c r="K2810" s="249">
        <f t="shared" si="684"/>
        <v>1.9204382780121694</v>
      </c>
      <c r="L2810" s="336">
        <v>0.91702364968066885</v>
      </c>
      <c r="M2810" s="258">
        <f t="shared" si="685"/>
        <v>0.91702364968066885</v>
      </c>
      <c r="N2810" s="251">
        <f t="shared" si="686"/>
        <v>0.10997482047261031</v>
      </c>
      <c r="O2810" s="336">
        <v>5.2513799791138294E-2</v>
      </c>
      <c r="P2810" s="258">
        <f t="shared" si="687"/>
        <v>5.2513799791138294E-2</v>
      </c>
      <c r="Q2810" s="354">
        <v>2.0459738372093024</v>
      </c>
      <c r="R2810" s="249">
        <f t="shared" si="688"/>
        <v>2.094208015988372</v>
      </c>
      <c r="S2810" s="355">
        <v>0.1</v>
      </c>
      <c r="T2810" s="355"/>
      <c r="U2810" s="315">
        <f t="shared" si="689"/>
        <v>2.3036288175872093</v>
      </c>
      <c r="V2810" s="315">
        <f t="shared" si="690"/>
        <v>3</v>
      </c>
      <c r="W2810" s="316">
        <f t="shared" si="691"/>
        <v>0</v>
      </c>
    </row>
    <row r="2811" spans="1:23" x14ac:dyDescent="0.25">
      <c r="A2811" s="204" t="s">
        <v>18486</v>
      </c>
      <c r="B2811" s="351" t="s">
        <v>22492</v>
      </c>
      <c r="C2811" s="352"/>
      <c r="D2811" s="353" t="s">
        <v>14859</v>
      </c>
      <c r="E2811" s="249">
        <f t="shared" si="680"/>
        <v>0</v>
      </c>
      <c r="F2811" s="336">
        <v>0</v>
      </c>
      <c r="G2811" s="258">
        <f t="shared" si="681"/>
        <v>0</v>
      </c>
      <c r="H2811" s="249">
        <f t="shared" si="682"/>
        <v>10.96280185663136</v>
      </c>
      <c r="I2811" s="336">
        <v>3.0434133969864247E-2</v>
      </c>
      <c r="J2811" s="258">
        <f t="shared" si="683"/>
        <v>3.0434133969864247E-2</v>
      </c>
      <c r="K2811" s="249">
        <f t="shared" si="684"/>
        <v>330.33501476820078</v>
      </c>
      <c r="L2811" s="336">
        <v>0.91705206623899749</v>
      </c>
      <c r="M2811" s="258">
        <f t="shared" si="685"/>
        <v>0.91705206623899749</v>
      </c>
      <c r="N2811" s="251">
        <f t="shared" si="686"/>
        <v>18.916207125167833</v>
      </c>
      <c r="O2811" s="336">
        <v>5.2513799791138301E-2</v>
      </c>
      <c r="P2811" s="258">
        <f t="shared" si="687"/>
        <v>5.2513799791138301E-2</v>
      </c>
      <c r="Q2811" s="354">
        <v>351.90749999999997</v>
      </c>
      <c r="R2811" s="249">
        <f t="shared" si="688"/>
        <v>360.21402374999997</v>
      </c>
      <c r="S2811" s="355">
        <v>0.1</v>
      </c>
      <c r="T2811" s="355"/>
      <c r="U2811" s="315">
        <f t="shared" si="689"/>
        <v>396.23542612499995</v>
      </c>
      <c r="V2811" s="315">
        <f t="shared" si="690"/>
        <v>400</v>
      </c>
      <c r="W2811" s="316">
        <f t="shared" si="691"/>
        <v>0</v>
      </c>
    </row>
    <row r="2812" spans="1:23" x14ac:dyDescent="0.25">
      <c r="A2812" s="204" t="s">
        <v>18487</v>
      </c>
      <c r="B2812" s="351" t="s">
        <v>22493</v>
      </c>
      <c r="C2812" s="352"/>
      <c r="D2812" s="353" t="s">
        <v>5</v>
      </c>
      <c r="E2812" s="249">
        <f t="shared" si="680"/>
        <v>0</v>
      </c>
      <c r="F2812" s="336">
        <v>0</v>
      </c>
      <c r="G2812" s="258">
        <f t="shared" si="681"/>
        <v>0</v>
      </c>
      <c r="H2812" s="249">
        <f t="shared" si="682"/>
        <v>6.374154805013113E-2</v>
      </c>
      <c r="I2812" s="336">
        <v>2.7188813745201979E-2</v>
      </c>
      <c r="J2812" s="258">
        <f t="shared" si="683"/>
        <v>2.7188813745201979E-2</v>
      </c>
      <c r="K2812" s="249">
        <f t="shared" si="684"/>
        <v>2.1706169442072287</v>
      </c>
      <c r="L2812" s="336">
        <v>0.92587176831373497</v>
      </c>
      <c r="M2812" s="258">
        <f t="shared" si="685"/>
        <v>0.92587176831373497</v>
      </c>
      <c r="N2812" s="251">
        <f t="shared" si="686"/>
        <v>0.1099854162433635</v>
      </c>
      <c r="O2812" s="336">
        <v>4.6914031560348506E-2</v>
      </c>
      <c r="P2812" s="258">
        <f t="shared" si="687"/>
        <v>4.6914031560348506E-2</v>
      </c>
      <c r="Q2812" s="354">
        <v>2.2901860465116277</v>
      </c>
      <c r="R2812" s="249">
        <f t="shared" si="688"/>
        <v>2.3444034244186041</v>
      </c>
      <c r="S2812" s="355">
        <v>0.1</v>
      </c>
      <c r="T2812" s="355"/>
      <c r="U2812" s="315">
        <f t="shared" si="689"/>
        <v>2.5788437668604645</v>
      </c>
      <c r="V2812" s="315">
        <f t="shared" si="690"/>
        <v>3</v>
      </c>
      <c r="W2812" s="316">
        <f t="shared" si="691"/>
        <v>0</v>
      </c>
    </row>
    <row r="2813" spans="1:23" x14ac:dyDescent="0.25">
      <c r="A2813" s="204" t="s">
        <v>18488</v>
      </c>
      <c r="B2813" s="351" t="s">
        <v>22494</v>
      </c>
      <c r="C2813" s="352"/>
      <c r="D2813" s="353" t="s">
        <v>14859</v>
      </c>
      <c r="E2813" s="249">
        <f t="shared" si="680"/>
        <v>0</v>
      </c>
      <c r="F2813" s="336">
        <v>0</v>
      </c>
      <c r="G2813" s="258">
        <f t="shared" si="681"/>
        <v>0</v>
      </c>
      <c r="H2813" s="249">
        <f t="shared" si="682"/>
        <v>10.963824814019375</v>
      </c>
      <c r="I2813" s="336">
        <v>2.7188813745201979E-2</v>
      </c>
      <c r="J2813" s="258">
        <f t="shared" si="683"/>
        <v>2.7188813745201979E-2</v>
      </c>
      <c r="K2813" s="249">
        <f t="shared" si="684"/>
        <v>373.36583695786874</v>
      </c>
      <c r="L2813" s="336">
        <v>0.92589715469444955</v>
      </c>
      <c r="M2813" s="258">
        <f t="shared" si="685"/>
        <v>0.92589715469444955</v>
      </c>
      <c r="N2813" s="251">
        <f t="shared" si="686"/>
        <v>18.917972228111861</v>
      </c>
      <c r="O2813" s="336">
        <v>4.6914031560348506E-2</v>
      </c>
      <c r="P2813" s="258">
        <f t="shared" si="687"/>
        <v>4.6914031560348506E-2</v>
      </c>
      <c r="Q2813" s="354">
        <v>393.91199999999998</v>
      </c>
      <c r="R2813" s="249">
        <f t="shared" si="688"/>
        <v>403.24763399999995</v>
      </c>
      <c r="S2813" s="355">
        <v>0.1</v>
      </c>
      <c r="T2813" s="355"/>
      <c r="U2813" s="315">
        <f t="shared" si="689"/>
        <v>443.57239739999994</v>
      </c>
      <c r="V2813" s="315">
        <f t="shared" si="690"/>
        <v>445</v>
      </c>
      <c r="W2813" s="316">
        <f t="shared" si="691"/>
        <v>0</v>
      </c>
    </row>
    <row r="2814" spans="1:23" x14ac:dyDescent="0.25">
      <c r="A2814" s="204" t="s">
        <v>18489</v>
      </c>
      <c r="B2814" s="351" t="s">
        <v>22495</v>
      </c>
      <c r="C2814" s="352"/>
      <c r="D2814" s="353" t="s">
        <v>5</v>
      </c>
      <c r="E2814" s="249">
        <f t="shared" si="680"/>
        <v>0</v>
      </c>
      <c r="F2814" s="336">
        <v>0</v>
      </c>
      <c r="G2814" s="258">
        <f t="shared" si="681"/>
        <v>0</v>
      </c>
      <c r="H2814" s="249">
        <f t="shared" si="682"/>
        <v>6.3743355479133679E-2</v>
      </c>
      <c r="I2814" s="336">
        <v>2.6233603997501562E-2</v>
      </c>
      <c r="J2814" s="258">
        <f t="shared" si="683"/>
        <v>2.6233603997501562E-2</v>
      </c>
      <c r="K2814" s="249">
        <f t="shared" si="684"/>
        <v>2.2560445948779657</v>
      </c>
      <c r="L2814" s="336">
        <v>0.92847607500214313</v>
      </c>
      <c r="M2814" s="258">
        <f t="shared" si="685"/>
        <v>0.92847607500214313</v>
      </c>
      <c r="N2814" s="251">
        <f t="shared" si="686"/>
        <v>0.10998853494438751</v>
      </c>
      <c r="O2814" s="336">
        <v>4.5265826505492886E-2</v>
      </c>
      <c r="P2814" s="258">
        <f t="shared" si="687"/>
        <v>4.5265826505492886E-2</v>
      </c>
      <c r="Q2814" s="354">
        <v>2.373575581395349</v>
      </c>
      <c r="R2814" s="249">
        <f t="shared" si="688"/>
        <v>2.4298360029069768</v>
      </c>
      <c r="S2814" s="355">
        <v>0.1</v>
      </c>
      <c r="T2814" s="355"/>
      <c r="U2814" s="315">
        <f t="shared" si="689"/>
        <v>2.6728196031976745</v>
      </c>
      <c r="V2814" s="315">
        <f t="shared" si="690"/>
        <v>3</v>
      </c>
      <c r="W2814" s="316">
        <f t="shared" si="691"/>
        <v>0</v>
      </c>
    </row>
    <row r="2815" spans="1:23" x14ac:dyDescent="0.25">
      <c r="A2815" s="204" t="s">
        <v>18490</v>
      </c>
      <c r="B2815" s="351" t="s">
        <v>22496</v>
      </c>
      <c r="C2815" s="352"/>
      <c r="D2815" s="353" t="s">
        <v>14859</v>
      </c>
      <c r="E2815" s="249">
        <f t="shared" si="680"/>
        <v>0</v>
      </c>
      <c r="F2815" s="336">
        <v>0</v>
      </c>
      <c r="G2815" s="258">
        <f t="shared" si="681"/>
        <v>0</v>
      </c>
      <c r="H2815" s="249">
        <f t="shared" si="682"/>
        <v>10.964125905683948</v>
      </c>
      <c r="I2815" s="336">
        <v>2.6233603997501565E-2</v>
      </c>
      <c r="J2815" s="258">
        <f t="shared" si="683"/>
        <v>2.6233603997501565E-2</v>
      </c>
      <c r="K2815" s="249">
        <f t="shared" si="684"/>
        <v>388.05941983548882</v>
      </c>
      <c r="L2815" s="336">
        <v>0.92850056949700555</v>
      </c>
      <c r="M2815" s="258">
        <f t="shared" si="685"/>
        <v>0.92850056949700555</v>
      </c>
      <c r="N2815" s="251">
        <f t="shared" si="686"/>
        <v>18.918491758827201</v>
      </c>
      <c r="O2815" s="336">
        <v>4.5265826505492893E-2</v>
      </c>
      <c r="P2815" s="258">
        <f t="shared" si="687"/>
        <v>4.5265826505492893E-2</v>
      </c>
      <c r="Q2815" s="354">
        <v>408.255</v>
      </c>
      <c r="R2815" s="249">
        <f t="shared" si="688"/>
        <v>417.94203749999997</v>
      </c>
      <c r="S2815" s="355">
        <v>0.1</v>
      </c>
      <c r="T2815" s="355"/>
      <c r="U2815" s="315">
        <f t="shared" si="689"/>
        <v>459.73624124999998</v>
      </c>
      <c r="V2815" s="315">
        <f t="shared" si="690"/>
        <v>460</v>
      </c>
      <c r="W2815" s="316">
        <f t="shared" si="691"/>
        <v>0</v>
      </c>
    </row>
    <row r="2816" spans="1:23" x14ac:dyDescent="0.25">
      <c r="A2816" s="204" t="s">
        <v>18491</v>
      </c>
      <c r="B2816" s="351" t="s">
        <v>22497</v>
      </c>
      <c r="C2816" s="352"/>
      <c r="D2816" s="353" t="s">
        <v>5</v>
      </c>
      <c r="E2816" s="249">
        <f t="shared" si="680"/>
        <v>0</v>
      </c>
      <c r="F2816" s="336">
        <v>0</v>
      </c>
      <c r="G2816" s="258">
        <f t="shared" si="681"/>
        <v>0</v>
      </c>
      <c r="H2816" s="249">
        <f t="shared" si="682"/>
        <v>6.3743603367797858E-2</v>
      </c>
      <c r="I2816" s="336">
        <v>2.6102597098736552E-2</v>
      </c>
      <c r="J2816" s="258">
        <f t="shared" si="683"/>
        <v>2.6102597098736552E-2</v>
      </c>
      <c r="K2816" s="249">
        <f t="shared" si="684"/>
        <v>2.2682485730981536</v>
      </c>
      <c r="L2816" s="336">
        <v>0.92883325534238015</v>
      </c>
      <c r="M2816" s="258">
        <f t="shared" si="685"/>
        <v>0.92883325534238015</v>
      </c>
      <c r="N2816" s="251">
        <f t="shared" si="686"/>
        <v>0.10998896267384725</v>
      </c>
      <c r="O2816" s="336">
        <v>4.503977538605522E-2</v>
      </c>
      <c r="P2816" s="258">
        <f t="shared" si="687"/>
        <v>4.503977538605522E-2</v>
      </c>
      <c r="Q2816" s="354">
        <v>2.3854883720930231</v>
      </c>
      <c r="R2816" s="249">
        <f t="shared" si="688"/>
        <v>2.4420406569767437</v>
      </c>
      <c r="S2816" s="355">
        <v>0.1</v>
      </c>
      <c r="T2816" s="355"/>
      <c r="U2816" s="315">
        <f t="shared" si="689"/>
        <v>2.6862447226744179</v>
      </c>
      <c r="V2816" s="315">
        <f t="shared" si="690"/>
        <v>3</v>
      </c>
      <c r="W2816" s="316">
        <f t="shared" si="691"/>
        <v>0</v>
      </c>
    </row>
    <row r="2817" spans="1:23" x14ac:dyDescent="0.25">
      <c r="A2817" s="204" t="s">
        <v>18492</v>
      </c>
      <c r="B2817" s="351" t="s">
        <v>22498</v>
      </c>
      <c r="C2817" s="352"/>
      <c r="D2817" s="353" t="s">
        <v>14859</v>
      </c>
      <c r="E2817" s="249">
        <f t="shared" si="680"/>
        <v>0</v>
      </c>
      <c r="F2817" s="336">
        <v>0</v>
      </c>
      <c r="G2817" s="258">
        <f t="shared" si="681"/>
        <v>0</v>
      </c>
      <c r="H2817" s="249">
        <f t="shared" si="682"/>
        <v>10.964167200368509</v>
      </c>
      <c r="I2817" s="336">
        <v>2.6102597098736552E-2</v>
      </c>
      <c r="J2817" s="258">
        <f t="shared" si="683"/>
        <v>2.6102597098736552E-2</v>
      </c>
      <c r="K2817" s="249">
        <f t="shared" si="684"/>
        <v>390.15850778723092</v>
      </c>
      <c r="L2817" s="336">
        <v>0.92885762751520828</v>
      </c>
      <c r="M2817" s="258">
        <f t="shared" si="685"/>
        <v>0.92885762751520828</v>
      </c>
      <c r="N2817" s="251">
        <f t="shared" si="686"/>
        <v>18.918563012400561</v>
      </c>
      <c r="O2817" s="336">
        <v>4.503977538605522E-2</v>
      </c>
      <c r="P2817" s="258">
        <f t="shared" si="687"/>
        <v>4.503977538605522E-2</v>
      </c>
      <c r="Q2817" s="354">
        <v>410.30399999999997</v>
      </c>
      <c r="R2817" s="249">
        <f t="shared" si="688"/>
        <v>420.04123799999996</v>
      </c>
      <c r="S2817" s="355">
        <v>0.1</v>
      </c>
      <c r="T2817" s="355"/>
      <c r="U2817" s="315">
        <f t="shared" si="689"/>
        <v>462.04536179999997</v>
      </c>
      <c r="V2817" s="315">
        <f t="shared" si="690"/>
        <v>465</v>
      </c>
      <c r="W2817" s="316">
        <f t="shared" si="691"/>
        <v>0</v>
      </c>
    </row>
    <row r="2818" spans="1:23" x14ac:dyDescent="0.25">
      <c r="A2818" s="204" t="s">
        <v>18493</v>
      </c>
      <c r="B2818" s="351" t="s">
        <v>22499</v>
      </c>
      <c r="C2818" s="352"/>
      <c r="D2818" s="353" t="s">
        <v>5</v>
      </c>
      <c r="E2818" s="249">
        <f t="shared" ref="E2818:E2881" si="692">R2818*G2818</f>
        <v>0</v>
      </c>
      <c r="F2818" s="336">
        <v>0</v>
      </c>
      <c r="G2818" s="258">
        <f t="shared" ref="G2818:G2881" si="693">F2818</f>
        <v>0</v>
      </c>
      <c r="H2818" s="249">
        <f t="shared" ref="H2818:H2881" si="694">R2818*J2818</f>
        <v>6.3743970593106158E-2</v>
      </c>
      <c r="I2818" s="336">
        <v>2.5908521871654846E-2</v>
      </c>
      <c r="J2818" s="258">
        <f t="shared" ref="J2818:J2881" si="695">I2818</f>
        <v>2.5908521871654846E-2</v>
      </c>
      <c r="K2818" s="249">
        <f t="shared" ref="K2818:K2881" si="696">R2818*M2818</f>
        <v>2.2865545529909466</v>
      </c>
      <c r="L2818" s="336">
        <v>0.92936238668045545</v>
      </c>
      <c r="M2818" s="258">
        <f t="shared" ref="M2818:M2881" si="697">L2818</f>
        <v>0.92936238668045545</v>
      </c>
      <c r="N2818" s="251">
        <f t="shared" ref="N2818:N2881" si="698">P2818*R2818</f>
        <v>0.10998959631751651</v>
      </c>
      <c r="O2818" s="336">
        <v>4.4704900484424048E-2</v>
      </c>
      <c r="P2818" s="258">
        <f t="shared" ref="P2818:P2881" si="699">O2818</f>
        <v>4.4704900484424048E-2</v>
      </c>
      <c r="Q2818" s="354">
        <v>2.4033575581395348</v>
      </c>
      <c r="R2818" s="249">
        <f t="shared" ref="R2818:R2881" si="700">SUM(F2818*Q2818*1.0235,I2818*Q2818*1.0175,L2818*Q2818*1.0245,O2818*Q2818*1.0115)</f>
        <v>2.4603476380813949</v>
      </c>
      <c r="S2818" s="355">
        <v>0.1</v>
      </c>
      <c r="T2818" s="355"/>
      <c r="U2818" s="315">
        <f t="shared" si="689"/>
        <v>2.7063824018895346</v>
      </c>
      <c r="V2818" s="315">
        <f t="shared" si="690"/>
        <v>3</v>
      </c>
      <c r="W2818" s="316">
        <f t="shared" si="691"/>
        <v>0</v>
      </c>
    </row>
    <row r="2819" spans="1:23" x14ac:dyDescent="0.25">
      <c r="A2819" s="204" t="s">
        <v>18494</v>
      </c>
      <c r="B2819" s="351" t="s">
        <v>22500</v>
      </c>
      <c r="C2819" s="352"/>
      <c r="D2819" s="353" t="s">
        <v>14859</v>
      </c>
      <c r="E2819" s="249">
        <f t="shared" si="692"/>
        <v>0</v>
      </c>
      <c r="F2819" s="336">
        <v>0</v>
      </c>
      <c r="G2819" s="258">
        <f t="shared" si="693"/>
        <v>0</v>
      </c>
      <c r="H2819" s="249">
        <f t="shared" si="694"/>
        <v>10.964228374820836</v>
      </c>
      <c r="I2819" s="336">
        <v>2.5908521871654846E-2</v>
      </c>
      <c r="J2819" s="258">
        <f t="shared" si="695"/>
        <v>2.5908521871654846E-2</v>
      </c>
      <c r="K2819" s="249">
        <f t="shared" si="696"/>
        <v>393.30714180686084</v>
      </c>
      <c r="L2819" s="336">
        <v>0.92938657764392107</v>
      </c>
      <c r="M2819" s="258">
        <f t="shared" si="697"/>
        <v>0.92938657764392107</v>
      </c>
      <c r="N2819" s="251">
        <f t="shared" si="698"/>
        <v>18.918668568318303</v>
      </c>
      <c r="O2819" s="336">
        <v>4.4704900484424041E-2</v>
      </c>
      <c r="P2819" s="258">
        <f t="shared" si="699"/>
        <v>4.4704900484424041E-2</v>
      </c>
      <c r="Q2819" s="354">
        <v>413.3775</v>
      </c>
      <c r="R2819" s="249">
        <f t="shared" si="700"/>
        <v>423.19003874999999</v>
      </c>
      <c r="S2819" s="355">
        <v>0.1</v>
      </c>
      <c r="T2819" s="355"/>
      <c r="U2819" s="315">
        <f t="shared" si="689"/>
        <v>465.50904262500001</v>
      </c>
      <c r="V2819" s="315">
        <f t="shared" si="690"/>
        <v>470</v>
      </c>
      <c r="W2819" s="316">
        <f t="shared" si="691"/>
        <v>0</v>
      </c>
    </row>
    <row r="2820" spans="1:23" x14ac:dyDescent="0.25">
      <c r="A2820" s="204" t="s">
        <v>18495</v>
      </c>
      <c r="B2820" s="351" t="s">
        <v>22501</v>
      </c>
      <c r="C2820" s="352"/>
      <c r="D2820" s="353" t="s">
        <v>5</v>
      </c>
      <c r="E2820" s="249">
        <f t="shared" si="692"/>
        <v>0</v>
      </c>
      <c r="F2820" s="336">
        <v>0</v>
      </c>
      <c r="G2820" s="258">
        <f t="shared" si="693"/>
        <v>0</v>
      </c>
      <c r="H2820" s="249">
        <f t="shared" si="694"/>
        <v>6.3744806578203667E-2</v>
      </c>
      <c r="I2820" s="336">
        <v>2.5466711370137611E-2</v>
      </c>
      <c r="J2820" s="258">
        <f t="shared" si="695"/>
        <v>2.5466711370137611E-2</v>
      </c>
      <c r="K2820" s="249">
        <f t="shared" si="696"/>
        <v>2.3292685629853804</v>
      </c>
      <c r="L2820" s="336">
        <v>0.93056694939234186</v>
      </c>
      <c r="M2820" s="258">
        <f t="shared" si="697"/>
        <v>0.93056694939234186</v>
      </c>
      <c r="N2820" s="251">
        <f t="shared" si="698"/>
        <v>0.10999103880160631</v>
      </c>
      <c r="O2820" s="336">
        <v>4.3942560795531556E-2</v>
      </c>
      <c r="P2820" s="258">
        <f t="shared" si="699"/>
        <v>4.3942560795531556E-2</v>
      </c>
      <c r="Q2820" s="354">
        <v>2.4450523255813952</v>
      </c>
      <c r="R2820" s="249">
        <f t="shared" si="700"/>
        <v>2.5030639273255808</v>
      </c>
      <c r="S2820" s="355">
        <v>0.1</v>
      </c>
      <c r="T2820" s="355"/>
      <c r="U2820" s="315">
        <f t="shared" si="689"/>
        <v>2.753370320058139</v>
      </c>
      <c r="V2820" s="315">
        <f t="shared" si="690"/>
        <v>3</v>
      </c>
      <c r="W2820" s="316">
        <f t="shared" si="691"/>
        <v>0</v>
      </c>
    </row>
    <row r="2821" spans="1:23" x14ac:dyDescent="0.25">
      <c r="A2821" s="204" t="s">
        <v>18496</v>
      </c>
      <c r="B2821" s="351" t="s">
        <v>22502</v>
      </c>
      <c r="C2821" s="352"/>
      <c r="D2821" s="353" t="s">
        <v>14859</v>
      </c>
      <c r="E2821" s="249">
        <f t="shared" si="692"/>
        <v>0</v>
      </c>
      <c r="F2821" s="336">
        <v>0</v>
      </c>
      <c r="G2821" s="258">
        <f t="shared" si="693"/>
        <v>0</v>
      </c>
      <c r="H2821" s="249">
        <f t="shared" si="694"/>
        <v>10.964367637909017</v>
      </c>
      <c r="I2821" s="336">
        <v>2.5466711370137608E-2</v>
      </c>
      <c r="J2821" s="258">
        <f t="shared" si="695"/>
        <v>2.5466711370137608E-2</v>
      </c>
      <c r="K2821" s="249">
        <f t="shared" si="696"/>
        <v>400.65396399667929</v>
      </c>
      <c r="L2821" s="336">
        <v>0.93059072783433083</v>
      </c>
      <c r="M2821" s="258">
        <f t="shared" si="697"/>
        <v>0.93059072783433083</v>
      </c>
      <c r="N2821" s="251">
        <f t="shared" si="698"/>
        <v>18.918908865411638</v>
      </c>
      <c r="O2821" s="336">
        <v>4.3942560795531556E-2</v>
      </c>
      <c r="P2821" s="258">
        <f t="shared" si="699"/>
        <v>4.3942560795531556E-2</v>
      </c>
      <c r="Q2821" s="354">
        <v>420.54899999999998</v>
      </c>
      <c r="R2821" s="249">
        <f t="shared" si="700"/>
        <v>430.53724049999994</v>
      </c>
      <c r="S2821" s="355">
        <v>0.1</v>
      </c>
      <c r="T2821" s="355"/>
      <c r="U2821" s="315">
        <f t="shared" si="689"/>
        <v>473.59096454999997</v>
      </c>
      <c r="V2821" s="315">
        <f t="shared" si="690"/>
        <v>475</v>
      </c>
      <c r="W2821" s="316">
        <f t="shared" si="691"/>
        <v>0</v>
      </c>
    </row>
    <row r="2822" spans="1:23" x14ac:dyDescent="0.25">
      <c r="A2822" s="204" t="s">
        <v>18497</v>
      </c>
      <c r="B2822" s="351" t="s">
        <v>22503</v>
      </c>
      <c r="C2822" s="352"/>
      <c r="D2822" s="353" t="s">
        <v>5</v>
      </c>
      <c r="E2822" s="249">
        <f t="shared" si="692"/>
        <v>0</v>
      </c>
      <c r="F2822" s="336">
        <v>0</v>
      </c>
      <c r="G2822" s="258">
        <f t="shared" si="693"/>
        <v>0</v>
      </c>
      <c r="H2822" s="249">
        <f t="shared" si="694"/>
        <v>6.3748190141261374E-2</v>
      </c>
      <c r="I2822" s="336">
        <v>2.367852914548367E-2</v>
      </c>
      <c r="J2822" s="258">
        <f t="shared" si="695"/>
        <v>2.367852914548367E-2</v>
      </c>
      <c r="K2822" s="249">
        <f t="shared" si="696"/>
        <v>2.5184314760395785</v>
      </c>
      <c r="L2822" s="336">
        <v>0.9354422921523694</v>
      </c>
      <c r="M2822" s="258">
        <f t="shared" si="697"/>
        <v>0.9354422921523694</v>
      </c>
      <c r="N2822" s="251">
        <f t="shared" si="698"/>
        <v>0.10999687710649021</v>
      </c>
      <c r="O2822" s="336">
        <v>4.0857069898089467E-2</v>
      </c>
      <c r="P2822" s="258">
        <f t="shared" si="699"/>
        <v>4.0857069898089467E-2</v>
      </c>
      <c r="Q2822" s="354">
        <v>2.6297005813953489</v>
      </c>
      <c r="R2822" s="249">
        <f t="shared" si="700"/>
        <v>2.6922360654069766</v>
      </c>
      <c r="S2822" s="355">
        <v>0.1</v>
      </c>
      <c r="T2822" s="355"/>
      <c r="U2822" s="315">
        <f t="shared" si="689"/>
        <v>2.961459671947674</v>
      </c>
      <c r="V2822" s="315">
        <f t="shared" si="690"/>
        <v>3</v>
      </c>
      <c r="W2822" s="316">
        <f t="shared" si="691"/>
        <v>0</v>
      </c>
    </row>
    <row r="2823" spans="1:23" x14ac:dyDescent="0.25">
      <c r="A2823" s="204" t="s">
        <v>18498</v>
      </c>
      <c r="B2823" s="351" t="s">
        <v>22504</v>
      </c>
      <c r="C2823" s="352"/>
      <c r="D2823" s="353" t="s">
        <v>14859</v>
      </c>
      <c r="E2823" s="249">
        <f t="shared" si="692"/>
        <v>0</v>
      </c>
      <c r="F2823" s="336">
        <v>0</v>
      </c>
      <c r="G2823" s="258">
        <f t="shared" si="693"/>
        <v>0</v>
      </c>
      <c r="H2823" s="249">
        <f t="shared" si="694"/>
        <v>10.964931290828051</v>
      </c>
      <c r="I2823" s="336">
        <v>2.367852914548367E-2</v>
      </c>
      <c r="J2823" s="258">
        <f t="shared" si="695"/>
        <v>2.367852914548367E-2</v>
      </c>
      <c r="K2823" s="249">
        <f t="shared" si="696"/>
        <v>433.19003551617448</v>
      </c>
      <c r="L2823" s="336">
        <v>0.93546440095642691</v>
      </c>
      <c r="M2823" s="258">
        <f t="shared" si="697"/>
        <v>0.93546440095642691</v>
      </c>
      <c r="N2823" s="251">
        <f t="shared" si="698"/>
        <v>18.919881442997422</v>
      </c>
      <c r="O2823" s="336">
        <v>4.0857069898089474E-2</v>
      </c>
      <c r="P2823" s="258">
        <f t="shared" si="699"/>
        <v>4.0857069898089474E-2</v>
      </c>
      <c r="Q2823" s="354">
        <v>452.30849999999998</v>
      </c>
      <c r="R2823" s="249">
        <f t="shared" si="700"/>
        <v>463.07484824999995</v>
      </c>
      <c r="S2823" s="355">
        <v>0.1</v>
      </c>
      <c r="T2823" s="355"/>
      <c r="U2823" s="315">
        <f t="shared" si="689"/>
        <v>509.38233307499996</v>
      </c>
      <c r="V2823" s="315">
        <f t="shared" si="690"/>
        <v>510</v>
      </c>
      <c r="W2823" s="316">
        <f t="shared" si="691"/>
        <v>0</v>
      </c>
    </row>
    <row r="2824" spans="1:23" x14ac:dyDescent="0.25">
      <c r="A2824" s="204" t="s">
        <v>18499</v>
      </c>
      <c r="B2824" s="351" t="s">
        <v>22505</v>
      </c>
      <c r="C2824" s="352"/>
      <c r="D2824" s="353" t="s">
        <v>5</v>
      </c>
      <c r="E2824" s="249">
        <f t="shared" si="692"/>
        <v>0</v>
      </c>
      <c r="F2824" s="336">
        <v>0</v>
      </c>
      <c r="G2824" s="258">
        <f t="shared" si="693"/>
        <v>0</v>
      </c>
      <c r="H2824" s="249">
        <f t="shared" si="694"/>
        <v>6.3750772275738166E-2</v>
      </c>
      <c r="I2824" s="336">
        <v>2.2313894618413654E-2</v>
      </c>
      <c r="J2824" s="258">
        <f t="shared" si="695"/>
        <v>2.2313894618413654E-2</v>
      </c>
      <c r="K2824" s="249">
        <f t="shared" si="696"/>
        <v>2.6831872659882805</v>
      </c>
      <c r="L2824" s="336">
        <v>0.93916286434568819</v>
      </c>
      <c r="M2824" s="258">
        <f t="shared" si="697"/>
        <v>0.93916286434568819</v>
      </c>
      <c r="N2824" s="251">
        <f t="shared" si="698"/>
        <v>0.11000133255421486</v>
      </c>
      <c r="O2824" s="336">
        <v>3.8502406400400029E-2</v>
      </c>
      <c r="P2824" s="258">
        <f t="shared" si="699"/>
        <v>3.8502406400400029E-2</v>
      </c>
      <c r="Q2824" s="354">
        <v>2.7905232558139534</v>
      </c>
      <c r="R2824" s="249">
        <f t="shared" si="700"/>
        <v>2.8569988953488368</v>
      </c>
      <c r="S2824" s="355">
        <v>0.1</v>
      </c>
      <c r="T2824" s="355"/>
      <c r="U2824" s="315">
        <f t="shared" si="689"/>
        <v>3.1426987848837205</v>
      </c>
      <c r="V2824" s="315">
        <f t="shared" si="690"/>
        <v>4</v>
      </c>
      <c r="W2824" s="316">
        <f t="shared" si="691"/>
        <v>0</v>
      </c>
    </row>
    <row r="2825" spans="1:23" x14ac:dyDescent="0.25">
      <c r="A2825" s="204" t="s">
        <v>18500</v>
      </c>
      <c r="B2825" s="351" t="s">
        <v>22506</v>
      </c>
      <c r="C2825" s="352"/>
      <c r="D2825" s="353" t="s">
        <v>14859</v>
      </c>
      <c r="E2825" s="249">
        <f t="shared" si="692"/>
        <v>0</v>
      </c>
      <c r="F2825" s="336">
        <v>0</v>
      </c>
      <c r="G2825" s="258">
        <f t="shared" si="693"/>
        <v>0</v>
      </c>
      <c r="H2825" s="249">
        <f t="shared" si="694"/>
        <v>10.96536143727733</v>
      </c>
      <c r="I2825" s="336">
        <v>2.2313894618413654E-2</v>
      </c>
      <c r="J2825" s="258">
        <f t="shared" si="695"/>
        <v>2.2313894618413654E-2</v>
      </c>
      <c r="K2825" s="249">
        <f t="shared" si="696"/>
        <v>461.52806990624413</v>
      </c>
      <c r="L2825" s="336">
        <v>0.93918369898118637</v>
      </c>
      <c r="M2825" s="258">
        <f t="shared" si="697"/>
        <v>0.93918369898118637</v>
      </c>
      <c r="N2825" s="251">
        <f t="shared" si="698"/>
        <v>18.920623656478529</v>
      </c>
      <c r="O2825" s="336">
        <v>3.8502406400400029E-2</v>
      </c>
      <c r="P2825" s="258">
        <f t="shared" si="699"/>
        <v>3.8502406400400029E-2</v>
      </c>
      <c r="Q2825" s="354">
        <v>479.96999999999997</v>
      </c>
      <c r="R2825" s="249">
        <f t="shared" si="700"/>
        <v>491.41405499999996</v>
      </c>
      <c r="S2825" s="355">
        <v>0.1</v>
      </c>
      <c r="T2825" s="355"/>
      <c r="U2825" s="315">
        <f t="shared" si="689"/>
        <v>540.55546049999998</v>
      </c>
      <c r="V2825" s="315">
        <f t="shared" si="690"/>
        <v>545</v>
      </c>
      <c r="W2825" s="316">
        <f t="shared" si="691"/>
        <v>0</v>
      </c>
    </row>
    <row r="2826" spans="1:23" x14ac:dyDescent="0.25">
      <c r="A2826" s="204" t="s">
        <v>18501</v>
      </c>
      <c r="B2826" s="351" t="s">
        <v>22507</v>
      </c>
      <c r="C2826" s="352"/>
      <c r="D2826" s="353" t="s">
        <v>5</v>
      </c>
      <c r="E2826" s="249">
        <f t="shared" si="692"/>
        <v>0</v>
      </c>
      <c r="F2826" s="336">
        <v>0</v>
      </c>
      <c r="G2826" s="258">
        <f t="shared" si="693"/>
        <v>0</v>
      </c>
      <c r="H2826" s="249">
        <f t="shared" si="694"/>
        <v>6.3753707311479543E-2</v>
      </c>
      <c r="I2826" s="336">
        <v>2.0762754990767265E-2</v>
      </c>
      <c r="J2826" s="258">
        <f t="shared" si="695"/>
        <v>2.0762754990767265E-2</v>
      </c>
      <c r="K2826" s="249">
        <f t="shared" si="696"/>
        <v>2.89676071005761</v>
      </c>
      <c r="L2826" s="336">
        <v>0.94339192850323017</v>
      </c>
      <c r="M2826" s="258">
        <f t="shared" si="697"/>
        <v>0.94339192850323017</v>
      </c>
      <c r="N2826" s="251">
        <f t="shared" si="698"/>
        <v>0.11000639692961173</v>
      </c>
      <c r="O2826" s="336">
        <v>3.5825930180147431E-2</v>
      </c>
      <c r="P2826" s="258">
        <f t="shared" si="699"/>
        <v>3.5825930180147431E-2</v>
      </c>
      <c r="Q2826" s="354">
        <v>2.9989970930232559</v>
      </c>
      <c r="R2826" s="249">
        <f t="shared" si="700"/>
        <v>3.0705803415697672</v>
      </c>
      <c r="S2826" s="355">
        <v>0.1</v>
      </c>
      <c r="T2826" s="355"/>
      <c r="U2826" s="315">
        <f t="shared" si="689"/>
        <v>3.3776383757267441</v>
      </c>
      <c r="V2826" s="315">
        <f t="shared" si="690"/>
        <v>4</v>
      </c>
      <c r="W2826" s="316">
        <f t="shared" si="691"/>
        <v>0</v>
      </c>
    </row>
    <row r="2827" spans="1:23" x14ac:dyDescent="0.25">
      <c r="A2827" s="204" t="s">
        <v>18502</v>
      </c>
      <c r="B2827" s="351" t="s">
        <v>22508</v>
      </c>
      <c r="C2827" s="352"/>
      <c r="D2827" s="353" t="s">
        <v>14859</v>
      </c>
      <c r="E2827" s="249">
        <f t="shared" si="692"/>
        <v>0</v>
      </c>
      <c r="F2827" s="336">
        <v>0</v>
      </c>
      <c r="G2827" s="258">
        <f t="shared" si="693"/>
        <v>0</v>
      </c>
      <c r="H2827" s="249">
        <f t="shared" si="694"/>
        <v>10.965850371999361</v>
      </c>
      <c r="I2827" s="336">
        <v>2.0762754990767265E-2</v>
      </c>
      <c r="J2827" s="258">
        <f t="shared" si="695"/>
        <v>2.0762754990767265E-2</v>
      </c>
      <c r="K2827" s="249">
        <f t="shared" si="696"/>
        <v>498.2627460694527</v>
      </c>
      <c r="L2827" s="336">
        <v>0.94341131482908536</v>
      </c>
      <c r="M2827" s="258">
        <f t="shared" si="697"/>
        <v>0.94341131482908536</v>
      </c>
      <c r="N2827" s="251">
        <f t="shared" si="698"/>
        <v>18.921467308547918</v>
      </c>
      <c r="O2827" s="336">
        <v>3.5825930180147438E-2</v>
      </c>
      <c r="P2827" s="258">
        <f t="shared" si="699"/>
        <v>3.5825930180147438E-2</v>
      </c>
      <c r="Q2827" s="354">
        <v>515.82749999999999</v>
      </c>
      <c r="R2827" s="249">
        <f t="shared" si="700"/>
        <v>528.15006374999996</v>
      </c>
      <c r="S2827" s="355">
        <v>0.1</v>
      </c>
      <c r="T2827" s="355"/>
      <c r="U2827" s="315">
        <f t="shared" si="689"/>
        <v>580.96507012500001</v>
      </c>
      <c r="V2827" s="315">
        <f t="shared" si="690"/>
        <v>585</v>
      </c>
      <c r="W2827" s="316">
        <f t="shared" si="691"/>
        <v>0</v>
      </c>
    </row>
    <row r="2828" spans="1:23" x14ac:dyDescent="0.25">
      <c r="A2828" s="204" t="s">
        <v>18503</v>
      </c>
      <c r="B2828" s="351" t="s">
        <v>22509</v>
      </c>
      <c r="C2828" s="352"/>
      <c r="D2828" s="353" t="s">
        <v>5</v>
      </c>
      <c r="E2828" s="249">
        <f t="shared" si="692"/>
        <v>0</v>
      </c>
      <c r="F2828" s="336">
        <v>0</v>
      </c>
      <c r="G2828" s="258">
        <f t="shared" si="693"/>
        <v>0</v>
      </c>
      <c r="H2828" s="249">
        <f t="shared" si="694"/>
        <v>6.3755208265783431E-2</v>
      </c>
      <c r="I2828" s="336">
        <v>1.996951432686795E-2</v>
      </c>
      <c r="J2828" s="258">
        <f t="shared" si="695"/>
        <v>1.996951432686795E-2</v>
      </c>
      <c r="K2828" s="249">
        <f t="shared" si="696"/>
        <v>3.018803158517593</v>
      </c>
      <c r="L2828" s="336">
        <v>0.94555463881003321</v>
      </c>
      <c r="M2828" s="258">
        <f t="shared" si="697"/>
        <v>0.94555463881003321</v>
      </c>
      <c r="N2828" s="251">
        <f t="shared" si="698"/>
        <v>0.11000898681154786</v>
      </c>
      <c r="O2828" s="336">
        <v>3.4457201191458418E-2</v>
      </c>
      <c r="P2828" s="258">
        <f t="shared" si="699"/>
        <v>3.4457201191458418E-2</v>
      </c>
      <c r="Q2828" s="354">
        <v>3.118125</v>
      </c>
      <c r="R2828" s="249">
        <f t="shared" si="700"/>
        <v>3.1926268822674415</v>
      </c>
      <c r="S2828" s="355">
        <v>0.1</v>
      </c>
      <c r="T2828" s="355"/>
      <c r="U2828" s="315">
        <f t="shared" si="689"/>
        <v>3.5118895704941857</v>
      </c>
      <c r="V2828" s="315">
        <f t="shared" si="690"/>
        <v>4</v>
      </c>
      <c r="W2828" s="316">
        <f t="shared" si="691"/>
        <v>0</v>
      </c>
    </row>
    <row r="2829" spans="1:23" x14ac:dyDescent="0.25">
      <c r="A2829" s="204" t="s">
        <v>18504</v>
      </c>
      <c r="B2829" s="351" t="s">
        <v>22510</v>
      </c>
      <c r="C2829" s="352"/>
      <c r="D2829" s="353" t="s">
        <v>14859</v>
      </c>
      <c r="E2829" s="249">
        <f t="shared" si="692"/>
        <v>0</v>
      </c>
      <c r="F2829" s="336">
        <v>0</v>
      </c>
      <c r="G2829" s="258">
        <f t="shared" si="693"/>
        <v>0</v>
      </c>
      <c r="H2829" s="249">
        <f t="shared" si="694"/>
        <v>10.966100409389028</v>
      </c>
      <c r="I2829" s="336">
        <v>1.996951432686795E-2</v>
      </c>
      <c r="J2829" s="258">
        <f t="shared" si="695"/>
        <v>1.996951432686795E-2</v>
      </c>
      <c r="K2829" s="249">
        <f t="shared" si="696"/>
        <v>519.25406959499844</v>
      </c>
      <c r="L2829" s="336">
        <v>0.94557328448167355</v>
      </c>
      <c r="M2829" s="258">
        <f t="shared" si="697"/>
        <v>0.94557328448167355</v>
      </c>
      <c r="N2829" s="251">
        <f t="shared" si="698"/>
        <v>18.921898745612438</v>
      </c>
      <c r="O2829" s="336">
        <v>3.4457201191458418E-2</v>
      </c>
      <c r="P2829" s="258">
        <f t="shared" si="699"/>
        <v>3.4457201191458418E-2</v>
      </c>
      <c r="Q2829" s="354">
        <v>536.3175</v>
      </c>
      <c r="R2829" s="249">
        <f t="shared" si="700"/>
        <v>549.14206874999991</v>
      </c>
      <c r="S2829" s="355">
        <v>0.1</v>
      </c>
      <c r="T2829" s="355"/>
      <c r="U2829" s="315">
        <f t="shared" si="689"/>
        <v>604.0562756249999</v>
      </c>
      <c r="V2829" s="315">
        <f t="shared" si="690"/>
        <v>605</v>
      </c>
      <c r="W2829" s="316">
        <f t="shared" si="691"/>
        <v>0</v>
      </c>
    </row>
    <row r="2830" spans="1:23" x14ac:dyDescent="0.25">
      <c r="A2830" s="204" t="s">
        <v>18505</v>
      </c>
      <c r="B2830" s="351" t="s">
        <v>22511</v>
      </c>
      <c r="C2830" s="352"/>
      <c r="D2830" s="353" t="s">
        <v>5</v>
      </c>
      <c r="E2830" s="249">
        <f t="shared" si="692"/>
        <v>0</v>
      </c>
      <c r="F2830" s="336">
        <v>0</v>
      </c>
      <c r="G2830" s="258">
        <f t="shared" si="693"/>
        <v>0</v>
      </c>
      <c r="H2830" s="249">
        <f t="shared" si="694"/>
        <v>6.3758800754190909E-2</v>
      </c>
      <c r="I2830" s="336">
        <v>1.8070916959833969E-2</v>
      </c>
      <c r="J2830" s="258">
        <f t="shared" si="695"/>
        <v>1.8070916959833969E-2</v>
      </c>
      <c r="K2830" s="249">
        <f t="shared" si="696"/>
        <v>3.3544213507899334</v>
      </c>
      <c r="L2830" s="336">
        <v>0.9507310200534872</v>
      </c>
      <c r="M2830" s="258">
        <f t="shared" si="697"/>
        <v>0.9507310200534872</v>
      </c>
      <c r="N2830" s="251">
        <f t="shared" si="698"/>
        <v>0.11001518561507451</v>
      </c>
      <c r="O2830" s="336">
        <v>3.1181190048340964E-2</v>
      </c>
      <c r="P2830" s="258">
        <f t="shared" si="699"/>
        <v>3.1181190048340964E-2</v>
      </c>
      <c r="Q2830" s="354">
        <v>3.4457267441860471</v>
      </c>
      <c r="R2830" s="249">
        <f t="shared" si="700"/>
        <v>3.5282548691860467</v>
      </c>
      <c r="S2830" s="355">
        <v>0.1</v>
      </c>
      <c r="T2830" s="355"/>
      <c r="U2830" s="315">
        <f t="shared" si="689"/>
        <v>3.8810803561046514</v>
      </c>
      <c r="V2830" s="315">
        <f t="shared" si="690"/>
        <v>4</v>
      </c>
      <c r="W2830" s="316">
        <f t="shared" si="691"/>
        <v>0</v>
      </c>
    </row>
    <row r="2831" spans="1:23" x14ac:dyDescent="0.25">
      <c r="A2831" s="204" t="s">
        <v>18506</v>
      </c>
      <c r="B2831" s="351" t="s">
        <v>22512</v>
      </c>
      <c r="C2831" s="352"/>
      <c r="D2831" s="353" t="s">
        <v>14859</v>
      </c>
      <c r="E2831" s="249">
        <f t="shared" si="692"/>
        <v>0</v>
      </c>
      <c r="F2831" s="336">
        <v>0</v>
      </c>
      <c r="G2831" s="258">
        <f t="shared" si="693"/>
        <v>0</v>
      </c>
      <c r="H2831" s="249">
        <f t="shared" si="694"/>
        <v>10.966698866265091</v>
      </c>
      <c r="I2831" s="336">
        <v>1.8070916959833969E-2</v>
      </c>
      <c r="J2831" s="258">
        <f t="shared" si="695"/>
        <v>1.8070916959833969E-2</v>
      </c>
      <c r="K2831" s="249">
        <f t="shared" si="696"/>
        <v>576.9804522566501</v>
      </c>
      <c r="L2831" s="336">
        <v>0.95074789299182494</v>
      </c>
      <c r="M2831" s="258">
        <f t="shared" si="697"/>
        <v>0.95074789299182494</v>
      </c>
      <c r="N2831" s="251">
        <f t="shared" si="698"/>
        <v>18.922931377084861</v>
      </c>
      <c r="O2831" s="336">
        <v>3.1181190048340964E-2</v>
      </c>
      <c r="P2831" s="258">
        <f t="shared" si="699"/>
        <v>3.1181190048340964E-2</v>
      </c>
      <c r="Q2831" s="354">
        <v>592.66500000000008</v>
      </c>
      <c r="R2831" s="249">
        <f t="shared" si="700"/>
        <v>606.87008250000008</v>
      </c>
      <c r="S2831" s="355">
        <v>0.1</v>
      </c>
      <c r="T2831" s="355"/>
      <c r="U2831" s="315">
        <f t="shared" si="689"/>
        <v>667.55709075000004</v>
      </c>
      <c r="V2831" s="315">
        <f t="shared" si="690"/>
        <v>670</v>
      </c>
      <c r="W2831" s="316">
        <f t="shared" si="691"/>
        <v>0</v>
      </c>
    </row>
    <row r="2832" spans="1:23" x14ac:dyDescent="0.25">
      <c r="A2832" s="204" t="s">
        <v>18507</v>
      </c>
      <c r="B2832" s="351" t="s">
        <v>22513</v>
      </c>
      <c r="C2832" s="352"/>
      <c r="D2832" s="353" t="s">
        <v>5</v>
      </c>
      <c r="E2832" s="249">
        <f t="shared" si="692"/>
        <v>0</v>
      </c>
      <c r="F2832" s="336">
        <v>0</v>
      </c>
      <c r="G2832" s="258">
        <f t="shared" si="693"/>
        <v>0</v>
      </c>
      <c r="H2832" s="249">
        <f t="shared" si="694"/>
        <v>6.3759035562119259E-2</v>
      </c>
      <c r="I2832" s="336">
        <v>1.7946823110682131E-2</v>
      </c>
      <c r="J2832" s="258">
        <f t="shared" si="695"/>
        <v>1.7946823110682131E-2</v>
      </c>
      <c r="K2832" s="249">
        <f t="shared" si="696"/>
        <v>3.378830018743519</v>
      </c>
      <c r="L2832" s="336">
        <v>0.95106935249001689</v>
      </c>
      <c r="M2832" s="258">
        <f t="shared" si="697"/>
        <v>0.95106935249001689</v>
      </c>
      <c r="N2832" s="251">
        <f t="shared" si="698"/>
        <v>0.11001559077385283</v>
      </c>
      <c r="O2832" s="336">
        <v>3.0967067328235832E-2</v>
      </c>
      <c r="P2832" s="258">
        <f t="shared" si="699"/>
        <v>3.0967067328235832E-2</v>
      </c>
      <c r="Q2832" s="354">
        <v>3.4695523255813954</v>
      </c>
      <c r="R2832" s="249">
        <f t="shared" si="700"/>
        <v>3.5526641773255809</v>
      </c>
      <c r="S2832" s="355">
        <v>0.1</v>
      </c>
      <c r="T2832" s="355"/>
      <c r="U2832" s="315">
        <f t="shared" si="689"/>
        <v>3.9079305950581391</v>
      </c>
      <c r="V2832" s="315">
        <f t="shared" si="690"/>
        <v>4</v>
      </c>
      <c r="W2832" s="316">
        <f t="shared" si="691"/>
        <v>0</v>
      </c>
    </row>
    <row r="2833" spans="1:23" x14ac:dyDescent="0.25">
      <c r="A2833" s="204" t="s">
        <v>18508</v>
      </c>
      <c r="B2833" s="351" t="s">
        <v>22514</v>
      </c>
      <c r="C2833" s="352"/>
      <c r="D2833" s="353" t="s">
        <v>14859</v>
      </c>
      <c r="E2833" s="249">
        <f t="shared" si="692"/>
        <v>0</v>
      </c>
      <c r="F2833" s="336">
        <v>0</v>
      </c>
      <c r="G2833" s="258">
        <f t="shared" si="693"/>
        <v>0</v>
      </c>
      <c r="H2833" s="249">
        <f t="shared" si="694"/>
        <v>10.966737981887281</v>
      </c>
      <c r="I2833" s="336">
        <v>1.7946823110682131E-2</v>
      </c>
      <c r="J2833" s="258">
        <f t="shared" si="695"/>
        <v>1.7946823110682131E-2</v>
      </c>
      <c r="K2833" s="249">
        <f t="shared" si="696"/>
        <v>581.17874664740521</v>
      </c>
      <c r="L2833" s="336">
        <v>0.95108610956108197</v>
      </c>
      <c r="M2833" s="258">
        <f t="shared" si="697"/>
        <v>0.95108610956108197</v>
      </c>
      <c r="N2833" s="251">
        <f t="shared" si="698"/>
        <v>18.922998870707467</v>
      </c>
      <c r="O2833" s="336">
        <v>3.0967067328235832E-2</v>
      </c>
      <c r="P2833" s="258">
        <f t="shared" si="699"/>
        <v>3.0967067328235832E-2</v>
      </c>
      <c r="Q2833" s="354">
        <v>596.76300000000003</v>
      </c>
      <c r="R2833" s="249">
        <f t="shared" si="700"/>
        <v>611.06848349999996</v>
      </c>
      <c r="S2833" s="355">
        <v>0.1</v>
      </c>
      <c r="T2833" s="355"/>
      <c r="U2833" s="315">
        <f t="shared" si="689"/>
        <v>672.17533184999991</v>
      </c>
      <c r="V2833" s="315">
        <f t="shared" si="690"/>
        <v>675</v>
      </c>
      <c r="W2833" s="316">
        <f t="shared" si="691"/>
        <v>0</v>
      </c>
    </row>
    <row r="2834" spans="1:23" x14ac:dyDescent="0.25">
      <c r="A2834" s="204" t="s">
        <v>18509</v>
      </c>
      <c r="B2834" s="351" t="s">
        <v>22515</v>
      </c>
      <c r="C2834" s="352"/>
      <c r="D2834" s="353" t="s">
        <v>5</v>
      </c>
      <c r="E2834" s="249">
        <f t="shared" si="692"/>
        <v>0</v>
      </c>
      <c r="F2834" s="336">
        <v>0</v>
      </c>
      <c r="G2834" s="258">
        <f t="shared" si="693"/>
        <v>0</v>
      </c>
      <c r="H2834" s="249">
        <f t="shared" si="694"/>
        <v>6.3761720072497044E-2</v>
      </c>
      <c r="I2834" s="336">
        <v>1.6528083853404693E-2</v>
      </c>
      <c r="J2834" s="258">
        <f t="shared" si="695"/>
        <v>1.6528083853404693E-2</v>
      </c>
      <c r="K2834" s="249">
        <f t="shared" si="696"/>
        <v>3.6839390513744439</v>
      </c>
      <c r="L2834" s="336">
        <v>0.95493743711303292</v>
      </c>
      <c r="M2834" s="258">
        <f t="shared" si="697"/>
        <v>0.95493743711303292</v>
      </c>
      <c r="N2834" s="251">
        <f t="shared" si="698"/>
        <v>0.11002022287019096</v>
      </c>
      <c r="O2834" s="336">
        <v>2.8519046649012017E-2</v>
      </c>
      <c r="P2834" s="258">
        <f t="shared" si="699"/>
        <v>2.8519046649012017E-2</v>
      </c>
      <c r="Q2834" s="354">
        <v>3.7673720930232562</v>
      </c>
      <c r="R2834" s="249">
        <f t="shared" si="700"/>
        <v>3.8577805290697675</v>
      </c>
      <c r="S2834" s="355">
        <v>0.1</v>
      </c>
      <c r="T2834" s="355"/>
      <c r="U2834" s="315">
        <f t="shared" si="689"/>
        <v>4.2435585819767443</v>
      </c>
      <c r="V2834" s="315">
        <f t="shared" si="690"/>
        <v>5</v>
      </c>
      <c r="W2834" s="316">
        <f t="shared" si="691"/>
        <v>0</v>
      </c>
    </row>
    <row r="2835" spans="1:23" x14ac:dyDescent="0.25">
      <c r="A2835" s="204" t="s">
        <v>18510</v>
      </c>
      <c r="B2835" s="351" t="s">
        <v>22516</v>
      </c>
      <c r="C2835" s="352"/>
      <c r="D2835" s="353" t="s">
        <v>14859</v>
      </c>
      <c r="E2835" s="249">
        <f t="shared" si="692"/>
        <v>0</v>
      </c>
      <c r="F2835" s="336">
        <v>0</v>
      </c>
      <c r="G2835" s="258">
        <f t="shared" si="693"/>
        <v>0</v>
      </c>
      <c r="H2835" s="249">
        <f t="shared" si="694"/>
        <v>10.967185182688567</v>
      </c>
      <c r="I2835" s="336">
        <v>1.6528083853404693E-2</v>
      </c>
      <c r="J2835" s="258">
        <f t="shared" si="695"/>
        <v>1.6528083853404693E-2</v>
      </c>
      <c r="K2835" s="249">
        <f t="shared" si="696"/>
        <v>633.65754030600544</v>
      </c>
      <c r="L2835" s="336">
        <v>0.95495286949758318</v>
      </c>
      <c r="M2835" s="258">
        <f t="shared" si="697"/>
        <v>0.95495286949758318</v>
      </c>
      <c r="N2835" s="251">
        <f t="shared" si="698"/>
        <v>18.923770511305761</v>
      </c>
      <c r="O2835" s="336">
        <v>2.8519046649012017E-2</v>
      </c>
      <c r="P2835" s="258">
        <f t="shared" si="699"/>
        <v>2.8519046649012017E-2</v>
      </c>
      <c r="Q2835" s="354">
        <v>647.98800000000006</v>
      </c>
      <c r="R2835" s="249">
        <f t="shared" si="700"/>
        <v>663.54849599999989</v>
      </c>
      <c r="S2835" s="355">
        <v>0.1</v>
      </c>
      <c r="T2835" s="355"/>
      <c r="U2835" s="315">
        <f t="shared" si="689"/>
        <v>729.90334559999985</v>
      </c>
      <c r="V2835" s="315">
        <f t="shared" si="690"/>
        <v>730</v>
      </c>
      <c r="W2835" s="316">
        <f t="shared" si="691"/>
        <v>0</v>
      </c>
    </row>
    <row r="2836" spans="1:23" x14ac:dyDescent="0.25">
      <c r="A2836" s="204" t="s">
        <v>18511</v>
      </c>
      <c r="B2836" s="351" t="s">
        <v>22517</v>
      </c>
      <c r="C2836" s="352"/>
      <c r="D2836" s="353" t="s">
        <v>5</v>
      </c>
      <c r="E2836" s="249">
        <f t="shared" si="692"/>
        <v>0</v>
      </c>
      <c r="F2836" s="336">
        <v>0</v>
      </c>
      <c r="G2836" s="258">
        <f t="shared" si="693"/>
        <v>0</v>
      </c>
      <c r="H2836" s="249">
        <f t="shared" si="694"/>
        <v>6.3762491687038875E-2</v>
      </c>
      <c r="I2836" s="336">
        <v>1.6120292603630456E-2</v>
      </c>
      <c r="J2836" s="258">
        <f t="shared" si="695"/>
        <v>1.6120292603630456E-2</v>
      </c>
      <c r="K2836" s="249">
        <f t="shared" si="696"/>
        <v>3.7815741801842524</v>
      </c>
      <c r="L2836" s="336">
        <v>0.9560492489238086</v>
      </c>
      <c r="M2836" s="258">
        <f t="shared" si="697"/>
        <v>0.9560492489238086</v>
      </c>
      <c r="N2836" s="251">
        <f t="shared" si="698"/>
        <v>0.11002155428351804</v>
      </c>
      <c r="O2836" s="336">
        <v>2.7815406845479996E-2</v>
      </c>
      <c r="P2836" s="258">
        <f t="shared" si="699"/>
        <v>2.7815406845479996E-2</v>
      </c>
      <c r="Q2836" s="354">
        <v>3.8626744186046511</v>
      </c>
      <c r="R2836" s="249">
        <f t="shared" si="700"/>
        <v>3.9554177616279067</v>
      </c>
      <c r="S2836" s="355">
        <v>0.1</v>
      </c>
      <c r="T2836" s="355"/>
      <c r="U2836" s="315">
        <f t="shared" si="689"/>
        <v>4.3509595377906978</v>
      </c>
      <c r="V2836" s="315">
        <f t="shared" si="690"/>
        <v>5</v>
      </c>
      <c r="W2836" s="316">
        <f t="shared" si="691"/>
        <v>0</v>
      </c>
    </row>
    <row r="2837" spans="1:23" x14ac:dyDescent="0.25">
      <c r="A2837" s="204" t="s">
        <v>18512</v>
      </c>
      <c r="B2837" s="351" t="s">
        <v>22518</v>
      </c>
      <c r="C2837" s="352"/>
      <c r="D2837" s="353" t="s">
        <v>14859</v>
      </c>
      <c r="E2837" s="249">
        <f t="shared" si="692"/>
        <v>0</v>
      </c>
      <c r="F2837" s="336">
        <v>0</v>
      </c>
      <c r="G2837" s="258">
        <f t="shared" si="693"/>
        <v>0</v>
      </c>
      <c r="H2837" s="249">
        <f t="shared" si="694"/>
        <v>10.967313722568408</v>
      </c>
      <c r="I2837" s="336">
        <v>1.6120292603630453E-2</v>
      </c>
      <c r="J2837" s="258">
        <f t="shared" si="695"/>
        <v>1.6120292603630453E-2</v>
      </c>
      <c r="K2837" s="249">
        <f t="shared" si="696"/>
        <v>650.45079397182315</v>
      </c>
      <c r="L2837" s="336">
        <v>0.95606430055088942</v>
      </c>
      <c r="M2837" s="258">
        <f t="shared" si="697"/>
        <v>0.95606430055088942</v>
      </c>
      <c r="N2837" s="251">
        <f t="shared" si="698"/>
        <v>18.92399230560823</v>
      </c>
      <c r="O2837" s="336">
        <v>2.7815406845479996E-2</v>
      </c>
      <c r="P2837" s="258">
        <f t="shared" si="699"/>
        <v>2.7815406845479996E-2</v>
      </c>
      <c r="Q2837" s="354">
        <v>664.38</v>
      </c>
      <c r="R2837" s="249">
        <f t="shared" si="700"/>
        <v>680.34209999999985</v>
      </c>
      <c r="S2837" s="355">
        <v>0.1</v>
      </c>
      <c r="T2837" s="355"/>
      <c r="U2837" s="315">
        <f t="shared" si="689"/>
        <v>748.37630999999988</v>
      </c>
      <c r="V2837" s="315">
        <f t="shared" si="690"/>
        <v>750</v>
      </c>
      <c r="W2837" s="316">
        <f t="shared" si="691"/>
        <v>0</v>
      </c>
    </row>
    <row r="2838" spans="1:23" ht="14.4" thickBot="1" x14ac:dyDescent="0.3">
      <c r="A2838" s="356" t="s">
        <v>18513</v>
      </c>
      <c r="B2838" s="357" t="s">
        <v>22519</v>
      </c>
      <c r="C2838" s="358"/>
      <c r="D2838" s="359" t="s">
        <v>5</v>
      </c>
      <c r="E2838" s="266">
        <f t="shared" si="692"/>
        <v>0</v>
      </c>
      <c r="F2838" s="360">
        <v>0</v>
      </c>
      <c r="G2838" s="322">
        <f t="shared" si="693"/>
        <v>0</v>
      </c>
      <c r="H2838" s="266">
        <f t="shared" si="694"/>
        <v>6.3764512034373097E-2</v>
      </c>
      <c r="I2838" s="360">
        <v>1.5052557459027107E-2</v>
      </c>
      <c r="J2838" s="322">
        <f t="shared" si="695"/>
        <v>1.5052557459027107E-2</v>
      </c>
      <c r="K2838" s="266">
        <f t="shared" si="696"/>
        <v>4.0622757154656401</v>
      </c>
      <c r="L2838" s="360">
        <v>0.95896034754401571</v>
      </c>
      <c r="M2838" s="322">
        <f t="shared" si="697"/>
        <v>0.95896034754401571</v>
      </c>
      <c r="N2838" s="270">
        <f t="shared" si="698"/>
        <v>0.11002504037303593</v>
      </c>
      <c r="O2838" s="360">
        <v>2.5973040321458536E-2</v>
      </c>
      <c r="P2838" s="322">
        <f t="shared" si="699"/>
        <v>2.5973040321458536E-2</v>
      </c>
      <c r="Q2838" s="361">
        <v>4.1366686046511632</v>
      </c>
      <c r="R2838" s="266">
        <f t="shared" si="700"/>
        <v>4.2361248052325582</v>
      </c>
      <c r="S2838" s="362">
        <v>0.1</v>
      </c>
      <c r="T2838" s="362"/>
      <c r="U2838" s="324">
        <f t="shared" si="689"/>
        <v>4.6597372857558144</v>
      </c>
      <c r="V2838" s="324">
        <f t="shared" si="690"/>
        <v>5</v>
      </c>
      <c r="W2838" s="325">
        <f t="shared" si="691"/>
        <v>0</v>
      </c>
    </row>
    <row r="2839" spans="1:23" x14ac:dyDescent="0.25">
      <c r="A2839" s="204" t="s">
        <v>18514</v>
      </c>
      <c r="B2839" s="351" t="s">
        <v>22520</v>
      </c>
      <c r="C2839" s="352"/>
      <c r="D2839" s="353" t="s">
        <v>14859</v>
      </c>
      <c r="E2839" s="249">
        <f t="shared" si="692"/>
        <v>0</v>
      </c>
      <c r="F2839" s="336">
        <v>0</v>
      </c>
      <c r="G2839" s="258">
        <f t="shared" si="693"/>
        <v>0</v>
      </c>
      <c r="H2839" s="249">
        <f t="shared" si="694"/>
        <v>10.967650283363339</v>
      </c>
      <c r="I2839" s="336">
        <v>1.5052557459027107E-2</v>
      </c>
      <c r="J2839" s="258">
        <f t="shared" si="695"/>
        <v>1.5052557459027107E-2</v>
      </c>
      <c r="K2839" s="249">
        <f t="shared" si="696"/>
        <v>698.73148817867616</v>
      </c>
      <c r="L2839" s="336">
        <v>0.95897440221951424</v>
      </c>
      <c r="M2839" s="258">
        <f t="shared" si="697"/>
        <v>0.95897440221951424</v>
      </c>
      <c r="N2839" s="251">
        <f t="shared" si="698"/>
        <v>18.924573037960268</v>
      </c>
      <c r="O2839" s="336">
        <v>2.5973040321458536E-2</v>
      </c>
      <c r="P2839" s="258">
        <f t="shared" si="699"/>
        <v>2.5973040321458536E-2</v>
      </c>
      <c r="Q2839" s="354">
        <v>711.50700000000006</v>
      </c>
      <c r="R2839" s="249">
        <f t="shared" si="700"/>
        <v>728.6237114999999</v>
      </c>
      <c r="S2839" s="355">
        <v>0.1</v>
      </c>
      <c r="T2839" s="355"/>
      <c r="U2839" s="315">
        <f t="shared" si="689"/>
        <v>801.48608264999984</v>
      </c>
      <c r="V2839" s="315">
        <f t="shared" si="690"/>
        <v>805</v>
      </c>
      <c r="W2839" s="316">
        <f t="shared" si="691"/>
        <v>0</v>
      </c>
    </row>
    <row r="2840" spans="1:23" x14ac:dyDescent="0.25">
      <c r="A2840" s="204" t="s">
        <v>18515</v>
      </c>
      <c r="B2840" s="351" t="s">
        <v>22521</v>
      </c>
      <c r="C2840" s="352"/>
      <c r="D2840" s="353" t="s">
        <v>5</v>
      </c>
      <c r="E2840" s="249">
        <f t="shared" si="692"/>
        <v>0</v>
      </c>
      <c r="F2840" s="336">
        <v>0</v>
      </c>
      <c r="G2840" s="258">
        <f t="shared" si="693"/>
        <v>0</v>
      </c>
      <c r="H2840" s="249">
        <f t="shared" si="694"/>
        <v>6.3765841346468441E-2</v>
      </c>
      <c r="I2840" s="336">
        <v>1.4350028137310074E-2</v>
      </c>
      <c r="J2840" s="258">
        <f t="shared" si="695"/>
        <v>1.4350028137310074E-2</v>
      </c>
      <c r="K2840" s="249">
        <f t="shared" si="696"/>
        <v>4.2697512103834141</v>
      </c>
      <c r="L2840" s="336">
        <v>0.96087574027922917</v>
      </c>
      <c r="M2840" s="258">
        <f t="shared" si="697"/>
        <v>0.96087574027922917</v>
      </c>
      <c r="N2840" s="251">
        <f t="shared" si="698"/>
        <v>0.11002733408802395</v>
      </c>
      <c r="O2840" s="336">
        <v>2.4760832864378163E-2</v>
      </c>
      <c r="P2840" s="258">
        <f t="shared" si="699"/>
        <v>2.4760832864378163E-2</v>
      </c>
      <c r="Q2840" s="354">
        <v>4.3391860465116281</v>
      </c>
      <c r="R2840" s="249">
        <f t="shared" si="700"/>
        <v>4.4436039244186043</v>
      </c>
      <c r="S2840" s="355">
        <v>0.1</v>
      </c>
      <c r="T2840" s="355"/>
      <c r="U2840" s="315">
        <f t="shared" si="689"/>
        <v>4.8879643168604652</v>
      </c>
      <c r="V2840" s="315">
        <f t="shared" si="690"/>
        <v>5</v>
      </c>
      <c r="W2840" s="316">
        <f t="shared" si="691"/>
        <v>0</v>
      </c>
    </row>
    <row r="2841" spans="1:23" x14ac:dyDescent="0.25">
      <c r="A2841" s="204" t="s">
        <v>18516</v>
      </c>
      <c r="B2841" s="351" t="s">
        <v>22522</v>
      </c>
      <c r="C2841" s="352"/>
      <c r="D2841" s="353" t="s">
        <v>14859</v>
      </c>
      <c r="E2841" s="249">
        <f t="shared" si="692"/>
        <v>0</v>
      </c>
      <c r="F2841" s="336">
        <v>0</v>
      </c>
      <c r="G2841" s="258">
        <f t="shared" si="693"/>
        <v>0</v>
      </c>
      <c r="H2841" s="249">
        <f t="shared" si="694"/>
        <v>10.967871727630838</v>
      </c>
      <c r="I2841" s="336">
        <v>1.4350028137310074E-2</v>
      </c>
      <c r="J2841" s="258">
        <f t="shared" si="695"/>
        <v>1.4350028137310074E-2</v>
      </c>
      <c r="K2841" s="249">
        <f t="shared" si="696"/>
        <v>734.41729313449616</v>
      </c>
      <c r="L2841" s="336">
        <v>0.96088913899831174</v>
      </c>
      <c r="M2841" s="258">
        <f t="shared" si="697"/>
        <v>0.96088913899831174</v>
      </c>
      <c r="N2841" s="251">
        <f t="shared" si="698"/>
        <v>18.924955137872818</v>
      </c>
      <c r="O2841" s="336">
        <v>2.4760832864378166E-2</v>
      </c>
      <c r="P2841" s="258">
        <f t="shared" si="699"/>
        <v>2.4760832864378166E-2</v>
      </c>
      <c r="Q2841" s="354">
        <v>746.34</v>
      </c>
      <c r="R2841" s="249">
        <f t="shared" si="700"/>
        <v>764.31011999999987</v>
      </c>
      <c r="S2841" s="355">
        <v>0.1</v>
      </c>
      <c r="T2841" s="355"/>
      <c r="U2841" s="315">
        <f t="shared" si="689"/>
        <v>840.74113199999988</v>
      </c>
      <c r="V2841" s="315">
        <f t="shared" si="690"/>
        <v>845</v>
      </c>
      <c r="W2841" s="316">
        <f t="shared" si="691"/>
        <v>0</v>
      </c>
    </row>
    <row r="2842" spans="1:23" x14ac:dyDescent="0.25">
      <c r="A2842" s="204" t="s">
        <v>18517</v>
      </c>
      <c r="B2842" s="351" t="s">
        <v>22523</v>
      </c>
      <c r="C2842" s="352"/>
      <c r="D2842" s="353" t="s">
        <v>5</v>
      </c>
      <c r="E2842" s="249">
        <f t="shared" si="692"/>
        <v>0</v>
      </c>
      <c r="F2842" s="336">
        <v>0</v>
      </c>
      <c r="G2842" s="258">
        <f t="shared" si="693"/>
        <v>0</v>
      </c>
      <c r="H2842" s="249">
        <f t="shared" si="694"/>
        <v>6.376735474152842E-2</v>
      </c>
      <c r="I2842" s="336">
        <v>1.3550212647244696E-2</v>
      </c>
      <c r="J2842" s="258">
        <f t="shared" si="695"/>
        <v>1.3550212647244696E-2</v>
      </c>
      <c r="K2842" s="249">
        <f t="shared" si="696"/>
        <v>4.5321471467269472</v>
      </c>
      <c r="L2842" s="336">
        <v>0.96305637634924868</v>
      </c>
      <c r="M2842" s="258">
        <f t="shared" si="697"/>
        <v>0.96305637634924868</v>
      </c>
      <c r="N2842" s="251">
        <f t="shared" si="698"/>
        <v>0.11002994543636277</v>
      </c>
      <c r="O2842" s="336">
        <v>2.3380759077598689E-2</v>
      </c>
      <c r="P2842" s="258">
        <f t="shared" si="699"/>
        <v>2.3380759077598689E-2</v>
      </c>
      <c r="Q2842" s="354">
        <v>4.595311046511628</v>
      </c>
      <c r="R2842" s="249">
        <f t="shared" si="700"/>
        <v>4.7060039869186037</v>
      </c>
      <c r="S2842" s="355">
        <v>0.1</v>
      </c>
      <c r="T2842" s="355"/>
      <c r="U2842" s="315">
        <f t="shared" si="689"/>
        <v>5.1766043856104638</v>
      </c>
      <c r="V2842" s="315">
        <f t="shared" si="690"/>
        <v>6</v>
      </c>
      <c r="W2842" s="316">
        <f t="shared" si="691"/>
        <v>0</v>
      </c>
    </row>
    <row r="2843" spans="1:23" x14ac:dyDescent="0.25">
      <c r="A2843" s="204" t="s">
        <v>18518</v>
      </c>
      <c r="B2843" s="351" t="s">
        <v>22524</v>
      </c>
      <c r="C2843" s="352"/>
      <c r="D2843" s="353" t="s">
        <v>14859</v>
      </c>
      <c r="E2843" s="249">
        <f t="shared" si="692"/>
        <v>0</v>
      </c>
      <c r="F2843" s="336">
        <v>0</v>
      </c>
      <c r="G2843" s="258">
        <f t="shared" si="693"/>
        <v>0</v>
      </c>
      <c r="H2843" s="249">
        <f t="shared" si="694"/>
        <v>10.968123837471461</v>
      </c>
      <c r="I2843" s="336">
        <v>1.3550212647244696E-2</v>
      </c>
      <c r="J2843" s="258">
        <f t="shared" si="695"/>
        <v>1.3550212647244696E-2</v>
      </c>
      <c r="K2843" s="249">
        <f t="shared" si="696"/>
        <v>779.54941676159729</v>
      </c>
      <c r="L2843" s="336">
        <v>0.9630690282751565</v>
      </c>
      <c r="M2843" s="258">
        <f t="shared" si="697"/>
        <v>0.9630690282751565</v>
      </c>
      <c r="N2843" s="251">
        <f t="shared" si="698"/>
        <v>18.925390150931147</v>
      </c>
      <c r="O2843" s="336">
        <v>2.3380759077598689E-2</v>
      </c>
      <c r="P2843" s="258">
        <f t="shared" si="699"/>
        <v>2.3380759077598689E-2</v>
      </c>
      <c r="Q2843" s="354">
        <v>790.39350000000002</v>
      </c>
      <c r="R2843" s="249">
        <f t="shared" si="700"/>
        <v>809.44293074999996</v>
      </c>
      <c r="S2843" s="355">
        <v>0.1</v>
      </c>
      <c r="T2843" s="355"/>
      <c r="U2843" s="315">
        <f t="shared" si="689"/>
        <v>890.38722382499998</v>
      </c>
      <c r="V2843" s="315">
        <f t="shared" si="690"/>
        <v>895</v>
      </c>
      <c r="W2843" s="316">
        <f t="shared" si="691"/>
        <v>0</v>
      </c>
    </row>
    <row r="2844" spans="1:23" x14ac:dyDescent="0.25">
      <c r="A2844" s="204" t="s">
        <v>18519</v>
      </c>
      <c r="B2844" s="351" t="s">
        <v>22525</v>
      </c>
      <c r="C2844" s="352"/>
      <c r="D2844" s="353" t="s">
        <v>5</v>
      </c>
      <c r="E2844" s="249">
        <f t="shared" si="692"/>
        <v>0</v>
      </c>
      <c r="F2844" s="336">
        <v>0</v>
      </c>
      <c r="G2844" s="258">
        <f t="shared" si="693"/>
        <v>0</v>
      </c>
      <c r="H2844" s="249">
        <f t="shared" si="694"/>
        <v>6.3769118727699109E-2</v>
      </c>
      <c r="I2844" s="336">
        <v>1.2617962040080585E-2</v>
      </c>
      <c r="J2844" s="258">
        <f t="shared" si="695"/>
        <v>1.2617962040080585E-2</v>
      </c>
      <c r="K2844" s="249">
        <f t="shared" si="696"/>
        <v>4.879974978341262</v>
      </c>
      <c r="L2844" s="336">
        <v>0.96559808668810898</v>
      </c>
      <c r="M2844" s="258">
        <f t="shared" si="697"/>
        <v>0.96559808668810898</v>
      </c>
      <c r="N2844" s="251">
        <f t="shared" si="698"/>
        <v>0.1100329891772063</v>
      </c>
      <c r="O2844" s="336">
        <v>2.1772169794648851E-2</v>
      </c>
      <c r="P2844" s="258">
        <f t="shared" si="699"/>
        <v>2.1772169794648851E-2</v>
      </c>
      <c r="Q2844" s="354">
        <v>4.9348255813953497</v>
      </c>
      <c r="R2844" s="249">
        <f t="shared" si="700"/>
        <v>5.0538366279069775</v>
      </c>
      <c r="S2844" s="355">
        <v>0.1</v>
      </c>
      <c r="T2844" s="355"/>
      <c r="U2844" s="315">
        <f t="shared" si="689"/>
        <v>5.5592202906976755</v>
      </c>
      <c r="V2844" s="315">
        <f t="shared" si="690"/>
        <v>6</v>
      </c>
      <c r="W2844" s="316">
        <f t="shared" si="691"/>
        <v>0</v>
      </c>
    </row>
    <row r="2845" spans="1:23" x14ac:dyDescent="0.25">
      <c r="A2845" s="204" t="s">
        <v>18520</v>
      </c>
      <c r="B2845" s="351" t="s">
        <v>22526</v>
      </c>
      <c r="C2845" s="352"/>
      <c r="D2845" s="353" t="s">
        <v>14859</v>
      </c>
      <c r="E2845" s="249">
        <f t="shared" si="692"/>
        <v>0</v>
      </c>
      <c r="F2845" s="336">
        <v>0</v>
      </c>
      <c r="G2845" s="258">
        <f t="shared" si="693"/>
        <v>0</v>
      </c>
      <c r="H2845" s="249">
        <f t="shared" si="694"/>
        <v>10.968417692185344</v>
      </c>
      <c r="I2845" s="336">
        <v>1.2617962040080585E-2</v>
      </c>
      <c r="J2845" s="258">
        <f t="shared" si="695"/>
        <v>1.2617962040080585E-2</v>
      </c>
      <c r="K2845" s="249">
        <f t="shared" si="696"/>
        <v>839.37583011345555</v>
      </c>
      <c r="L2845" s="336">
        <v>0.9656098681652705</v>
      </c>
      <c r="M2845" s="258">
        <f t="shared" si="697"/>
        <v>0.9656098681652705</v>
      </c>
      <c r="N2845" s="251">
        <f t="shared" si="698"/>
        <v>18.925897194359028</v>
      </c>
      <c r="O2845" s="336">
        <v>2.1772169794648851E-2</v>
      </c>
      <c r="P2845" s="258">
        <f t="shared" si="699"/>
        <v>2.1772169794648851E-2</v>
      </c>
      <c r="Q2845" s="354">
        <v>848.79000000000008</v>
      </c>
      <c r="R2845" s="249">
        <f t="shared" si="700"/>
        <v>869.27014499999996</v>
      </c>
      <c r="S2845" s="355">
        <v>0.1</v>
      </c>
      <c r="T2845" s="355"/>
      <c r="U2845" s="315">
        <f t="shared" si="689"/>
        <v>956.1971595</v>
      </c>
      <c r="V2845" s="315">
        <f t="shared" si="690"/>
        <v>960</v>
      </c>
      <c r="W2845" s="316">
        <f t="shared" si="691"/>
        <v>0</v>
      </c>
    </row>
    <row r="2846" spans="1:23" x14ac:dyDescent="0.25">
      <c r="A2846" s="204" t="s">
        <v>18521</v>
      </c>
      <c r="B2846" s="351" t="s">
        <v>22527</v>
      </c>
      <c r="C2846" s="352"/>
      <c r="D2846" s="353" t="s">
        <v>5</v>
      </c>
      <c r="E2846" s="249">
        <f t="shared" si="692"/>
        <v>0</v>
      </c>
      <c r="F2846" s="336">
        <v>0</v>
      </c>
      <c r="G2846" s="258">
        <f t="shared" si="693"/>
        <v>0</v>
      </c>
      <c r="H2846" s="249">
        <f t="shared" si="694"/>
        <v>6.3769118727699109E-2</v>
      </c>
      <c r="I2846" s="336">
        <v>1.2617962040080585E-2</v>
      </c>
      <c r="J2846" s="258">
        <f t="shared" si="695"/>
        <v>1.2617962040080585E-2</v>
      </c>
      <c r="K2846" s="249">
        <f t="shared" si="696"/>
        <v>4.879974978341262</v>
      </c>
      <c r="L2846" s="336">
        <v>0.96559808668810898</v>
      </c>
      <c r="M2846" s="258">
        <f t="shared" si="697"/>
        <v>0.96559808668810898</v>
      </c>
      <c r="N2846" s="251">
        <f t="shared" si="698"/>
        <v>0.1100329891772063</v>
      </c>
      <c r="O2846" s="336">
        <v>2.1772169794648851E-2</v>
      </c>
      <c r="P2846" s="258">
        <f t="shared" si="699"/>
        <v>2.1772169794648851E-2</v>
      </c>
      <c r="Q2846" s="354">
        <v>4.9348255813953497</v>
      </c>
      <c r="R2846" s="249">
        <f t="shared" si="700"/>
        <v>5.0538366279069775</v>
      </c>
      <c r="S2846" s="355">
        <v>0.1</v>
      </c>
      <c r="T2846" s="355"/>
      <c r="U2846" s="315">
        <f t="shared" si="689"/>
        <v>5.5592202906976755</v>
      </c>
      <c r="V2846" s="315">
        <f t="shared" si="690"/>
        <v>6</v>
      </c>
      <c r="W2846" s="316">
        <f t="shared" si="691"/>
        <v>0</v>
      </c>
    </row>
    <row r="2847" spans="1:23" x14ac:dyDescent="0.25">
      <c r="A2847" s="204" t="s">
        <v>18522</v>
      </c>
      <c r="B2847" s="351" t="s">
        <v>22528</v>
      </c>
      <c r="C2847" s="352"/>
      <c r="D2847" s="353" t="s">
        <v>14859</v>
      </c>
      <c r="E2847" s="249">
        <f t="shared" si="692"/>
        <v>0</v>
      </c>
      <c r="F2847" s="336">
        <v>0</v>
      </c>
      <c r="G2847" s="258">
        <f t="shared" si="693"/>
        <v>0</v>
      </c>
      <c r="H2847" s="249">
        <f t="shared" si="694"/>
        <v>10.968417692185344</v>
      </c>
      <c r="I2847" s="336">
        <v>1.2617962040080585E-2</v>
      </c>
      <c r="J2847" s="258">
        <f t="shared" si="695"/>
        <v>1.2617962040080585E-2</v>
      </c>
      <c r="K2847" s="249">
        <f t="shared" si="696"/>
        <v>839.37583011345555</v>
      </c>
      <c r="L2847" s="336">
        <v>0.9656098681652705</v>
      </c>
      <c r="M2847" s="258">
        <f t="shared" si="697"/>
        <v>0.9656098681652705</v>
      </c>
      <c r="N2847" s="251">
        <f t="shared" si="698"/>
        <v>18.925897194359028</v>
      </c>
      <c r="O2847" s="336">
        <v>2.1772169794648851E-2</v>
      </c>
      <c r="P2847" s="258">
        <f t="shared" si="699"/>
        <v>2.1772169794648851E-2</v>
      </c>
      <c r="Q2847" s="354">
        <v>848.79000000000008</v>
      </c>
      <c r="R2847" s="249">
        <f t="shared" si="700"/>
        <v>869.27014499999996</v>
      </c>
      <c r="S2847" s="355">
        <v>0.1</v>
      </c>
      <c r="T2847" s="355"/>
      <c r="U2847" s="315">
        <f t="shared" si="689"/>
        <v>956.1971595</v>
      </c>
      <c r="V2847" s="315">
        <f t="shared" si="690"/>
        <v>960</v>
      </c>
      <c r="W2847" s="316">
        <f t="shared" si="691"/>
        <v>0</v>
      </c>
    </row>
    <row r="2848" spans="1:23" x14ac:dyDescent="0.25">
      <c r="A2848" s="204" t="s">
        <v>18523</v>
      </c>
      <c r="B2848" s="351" t="s">
        <v>22529</v>
      </c>
      <c r="C2848" s="352"/>
      <c r="D2848" s="353" t="s">
        <v>5</v>
      </c>
      <c r="E2848" s="249">
        <f t="shared" si="692"/>
        <v>0</v>
      </c>
      <c r="F2848" s="336">
        <v>0</v>
      </c>
      <c r="G2848" s="258">
        <f t="shared" si="693"/>
        <v>0</v>
      </c>
      <c r="H2848" s="249">
        <f t="shared" si="694"/>
        <v>6.3773282393608008E-2</v>
      </c>
      <c r="I2848" s="336">
        <v>1.0417502571547381E-2</v>
      </c>
      <c r="J2848" s="258">
        <f t="shared" si="695"/>
        <v>1.0417502571547381E-2</v>
      </c>
      <c r="K2848" s="249">
        <f t="shared" si="696"/>
        <v>5.9478708575276533</v>
      </c>
      <c r="L2848" s="336">
        <v>0.97159747198046842</v>
      </c>
      <c r="M2848" s="258">
        <f t="shared" si="697"/>
        <v>0.97159747198046842</v>
      </c>
      <c r="N2848" s="251">
        <f t="shared" si="698"/>
        <v>0.11004017354191185</v>
      </c>
      <c r="O2848" s="336">
        <v>1.7975298554826852E-2</v>
      </c>
      <c r="P2848" s="258">
        <f t="shared" si="699"/>
        <v>1.7975298554826852E-2</v>
      </c>
      <c r="Q2848" s="354">
        <v>5.9771947674418593</v>
      </c>
      <c r="R2848" s="249">
        <f t="shared" si="700"/>
        <v>6.1217438590116267</v>
      </c>
      <c r="S2848" s="355">
        <v>0.1</v>
      </c>
      <c r="T2848" s="355"/>
      <c r="U2848" s="315">
        <f t="shared" si="689"/>
        <v>6.7339182449127897</v>
      </c>
      <c r="V2848" s="315">
        <f t="shared" si="690"/>
        <v>7</v>
      </c>
      <c r="W2848" s="316">
        <f t="shared" si="691"/>
        <v>0</v>
      </c>
    </row>
    <row r="2849" spans="1:23" x14ac:dyDescent="0.25">
      <c r="A2849" s="204" t="s">
        <v>18524</v>
      </c>
      <c r="B2849" s="351" t="s">
        <v>22530</v>
      </c>
      <c r="C2849" s="352"/>
      <c r="D2849" s="353" t="s">
        <v>14859</v>
      </c>
      <c r="E2849" s="249">
        <f t="shared" si="692"/>
        <v>0</v>
      </c>
      <c r="F2849" s="336">
        <v>0</v>
      </c>
      <c r="G2849" s="258">
        <f t="shared" si="693"/>
        <v>0</v>
      </c>
      <c r="H2849" s="249">
        <f t="shared" si="694"/>
        <v>10.969111299014424</v>
      </c>
      <c r="I2849" s="336">
        <v>1.0417502571547381E-2</v>
      </c>
      <c r="J2849" s="258">
        <f t="shared" si="695"/>
        <v>1.0417502571547381E-2</v>
      </c>
      <c r="K2849" s="249">
        <f t="shared" si="696"/>
        <v>1023.0539834448427</v>
      </c>
      <c r="L2849" s="336">
        <v>0.97160719887362568</v>
      </c>
      <c r="M2849" s="258">
        <f t="shared" si="697"/>
        <v>0.97160719887362568</v>
      </c>
      <c r="N2849" s="251">
        <f t="shared" si="698"/>
        <v>18.927094006142532</v>
      </c>
      <c r="O2849" s="336">
        <v>1.7975298554826852E-2</v>
      </c>
      <c r="P2849" s="258">
        <f t="shared" si="699"/>
        <v>1.7975298554826852E-2</v>
      </c>
      <c r="Q2849" s="354">
        <v>1028.0774999999999</v>
      </c>
      <c r="R2849" s="249">
        <f t="shared" si="700"/>
        <v>1052.9501887499998</v>
      </c>
      <c r="S2849" s="355">
        <v>0.1</v>
      </c>
      <c r="T2849" s="355"/>
      <c r="U2849" s="315">
        <f t="shared" si="689"/>
        <v>1158.2452076249997</v>
      </c>
      <c r="V2849" s="315">
        <f t="shared" si="690"/>
        <v>1175</v>
      </c>
      <c r="W2849" s="316">
        <f t="shared" si="691"/>
        <v>0</v>
      </c>
    </row>
    <row r="2850" spans="1:23" x14ac:dyDescent="0.25">
      <c r="A2850" s="204" t="s">
        <v>18525</v>
      </c>
      <c r="B2850" s="351" t="s">
        <v>22531</v>
      </c>
      <c r="C2850" s="352"/>
      <c r="D2850" s="353" t="s">
        <v>5</v>
      </c>
      <c r="E2850" s="249">
        <f t="shared" si="692"/>
        <v>0</v>
      </c>
      <c r="F2850" s="336">
        <v>0</v>
      </c>
      <c r="G2850" s="258">
        <f t="shared" si="693"/>
        <v>0</v>
      </c>
      <c r="H2850" s="249">
        <f t="shared" si="694"/>
        <v>6.3786886211933666E-2</v>
      </c>
      <c r="I2850" s="336">
        <v>3.2280086261070851E-3</v>
      </c>
      <c r="J2850" s="258">
        <f t="shared" si="695"/>
        <v>3.2280086261070851E-3</v>
      </c>
      <c r="K2850" s="249">
        <f t="shared" si="696"/>
        <v>19.586534690717318</v>
      </c>
      <c r="L2850" s="336">
        <v>0.99119908012303204</v>
      </c>
      <c r="M2850" s="258">
        <f t="shared" si="697"/>
        <v>0.99119908012303204</v>
      </c>
      <c r="N2850" s="251">
        <f t="shared" si="698"/>
        <v>0.11006364679706201</v>
      </c>
      <c r="O2850" s="336">
        <v>5.5698972372043819E-3</v>
      </c>
      <c r="P2850" s="258">
        <f t="shared" si="699"/>
        <v>5.5698972372043819E-3</v>
      </c>
      <c r="Q2850" s="354">
        <v>19.289738372093023</v>
      </c>
      <c r="R2850" s="249">
        <f t="shared" si="700"/>
        <v>19.760444781976744</v>
      </c>
      <c r="S2850" s="355">
        <v>0.1</v>
      </c>
      <c r="T2850" s="355"/>
      <c r="U2850" s="315">
        <f t="shared" si="689"/>
        <v>21.73648926017442</v>
      </c>
      <c r="V2850" s="315">
        <f t="shared" si="690"/>
        <v>22</v>
      </c>
      <c r="W2850" s="316">
        <f t="shared" si="691"/>
        <v>0</v>
      </c>
    </row>
    <row r="2851" spans="1:23" x14ac:dyDescent="0.25">
      <c r="A2851" s="204" t="s">
        <v>18526</v>
      </c>
      <c r="B2851" s="351" t="s">
        <v>22532</v>
      </c>
      <c r="C2851" s="352"/>
      <c r="D2851" s="353" t="s">
        <v>14859</v>
      </c>
      <c r="E2851" s="249">
        <f t="shared" si="692"/>
        <v>0</v>
      </c>
      <c r="F2851" s="336">
        <v>0</v>
      </c>
      <c r="G2851" s="258">
        <f t="shared" si="693"/>
        <v>0</v>
      </c>
      <c r="H2851" s="249">
        <f t="shared" si="694"/>
        <v>10.971377499400967</v>
      </c>
      <c r="I2851" s="336">
        <v>3.2280086261070851E-3</v>
      </c>
      <c r="J2851" s="258">
        <f t="shared" si="695"/>
        <v>3.2280086261070851E-3</v>
      </c>
      <c r="K2851" s="249">
        <f t="shared" si="696"/>
        <v>3368.9043656879071</v>
      </c>
      <c r="L2851" s="336">
        <v>0.99120209413668847</v>
      </c>
      <c r="M2851" s="258">
        <f t="shared" si="697"/>
        <v>0.99120209413668847</v>
      </c>
      <c r="N2851" s="251">
        <f t="shared" si="698"/>
        <v>18.931004312691861</v>
      </c>
      <c r="O2851" s="336">
        <v>5.5698972372043819E-3</v>
      </c>
      <c r="P2851" s="258">
        <f t="shared" si="699"/>
        <v>5.5698972372043819E-3</v>
      </c>
      <c r="Q2851" s="354">
        <v>3317.835</v>
      </c>
      <c r="R2851" s="249">
        <f t="shared" si="700"/>
        <v>3398.8067475000003</v>
      </c>
      <c r="S2851" s="355">
        <v>0.1</v>
      </c>
      <c r="T2851" s="355"/>
      <c r="U2851" s="315">
        <f t="shared" si="689"/>
        <v>3738.6874222500001</v>
      </c>
      <c r="V2851" s="315">
        <f t="shared" si="690"/>
        <v>3750</v>
      </c>
      <c r="W2851" s="316">
        <f t="shared" si="691"/>
        <v>0</v>
      </c>
    </row>
    <row r="2852" spans="1:23" x14ac:dyDescent="0.25">
      <c r="A2852" s="204" t="s">
        <v>18527</v>
      </c>
      <c r="B2852" s="351" t="s">
        <v>22533</v>
      </c>
      <c r="C2852" s="352"/>
      <c r="D2852" s="353" t="s">
        <v>5</v>
      </c>
      <c r="E2852" s="249">
        <f t="shared" si="692"/>
        <v>0</v>
      </c>
      <c r="F2852" s="336">
        <v>0</v>
      </c>
      <c r="G2852" s="258">
        <f t="shared" si="693"/>
        <v>0</v>
      </c>
      <c r="H2852" s="249">
        <f t="shared" si="694"/>
        <v>6.3786962573438036E-2</v>
      </c>
      <c r="I2852" s="336">
        <v>3.1876522673181269E-3</v>
      </c>
      <c r="J2852" s="258">
        <f t="shared" si="695"/>
        <v>3.1876522673181269E-3</v>
      </c>
      <c r="K2852" s="249">
        <f t="shared" si="696"/>
        <v>19.83672989095372</v>
      </c>
      <c r="L2852" s="336">
        <v>0.99130910866426802</v>
      </c>
      <c r="M2852" s="258">
        <f t="shared" si="697"/>
        <v>0.99130910866426802</v>
      </c>
      <c r="N2852" s="251">
        <f t="shared" si="698"/>
        <v>0.11006377855808915</v>
      </c>
      <c r="O2852" s="336">
        <v>5.5002627357646104E-3</v>
      </c>
      <c r="P2852" s="258">
        <f t="shared" si="699"/>
        <v>5.5002627357646104E-3</v>
      </c>
      <c r="Q2852" s="354">
        <v>19.533950581395349</v>
      </c>
      <c r="R2852" s="249">
        <f t="shared" si="700"/>
        <v>20.010640190406978</v>
      </c>
      <c r="S2852" s="355">
        <v>0.1</v>
      </c>
      <c r="T2852" s="355"/>
      <c r="U2852" s="315">
        <f t="shared" si="689"/>
        <v>22.011704209447675</v>
      </c>
      <c r="V2852" s="315">
        <f t="shared" si="690"/>
        <v>23</v>
      </c>
      <c r="W2852" s="316">
        <f t="shared" si="691"/>
        <v>0</v>
      </c>
    </row>
    <row r="2853" spans="1:23" x14ac:dyDescent="0.25">
      <c r="A2853" s="204" t="s">
        <v>18528</v>
      </c>
      <c r="B2853" s="351" t="s">
        <v>22534</v>
      </c>
      <c r="C2853" s="352"/>
      <c r="D2853" s="353" t="s">
        <v>14859</v>
      </c>
      <c r="E2853" s="249">
        <f t="shared" si="692"/>
        <v>0</v>
      </c>
      <c r="F2853" s="336">
        <v>0</v>
      </c>
      <c r="G2853" s="258">
        <f t="shared" si="693"/>
        <v>0</v>
      </c>
      <c r="H2853" s="249">
        <f t="shared" si="694"/>
        <v>10.971390220128818</v>
      </c>
      <c r="I2853" s="336">
        <v>3.1876522673181264E-3</v>
      </c>
      <c r="J2853" s="258">
        <f t="shared" si="695"/>
        <v>3.1876522673181264E-3</v>
      </c>
      <c r="K2853" s="249">
        <f t="shared" si="696"/>
        <v>3411.9379412676881</v>
      </c>
      <c r="L2853" s="336">
        <v>0.99131208499691725</v>
      </c>
      <c r="M2853" s="258">
        <f t="shared" si="697"/>
        <v>0.99131208499691725</v>
      </c>
      <c r="N2853" s="251">
        <f t="shared" si="698"/>
        <v>18.93102626218306</v>
      </c>
      <c r="O2853" s="336">
        <v>5.5002627357646104E-3</v>
      </c>
      <c r="P2853" s="258">
        <f t="shared" si="699"/>
        <v>5.5002627357646104E-3</v>
      </c>
      <c r="Q2853" s="354">
        <v>3359.8395</v>
      </c>
      <c r="R2853" s="249">
        <f t="shared" si="700"/>
        <v>3441.8403577499998</v>
      </c>
      <c r="S2853" s="355">
        <v>0.1</v>
      </c>
      <c r="T2853" s="355"/>
      <c r="U2853" s="315">
        <f t="shared" ref="U2853:U2916" si="701">(R2853*S2853)+R2853</f>
        <v>3786.0243935250001</v>
      </c>
      <c r="V2853" s="315">
        <f t="shared" ref="V2853:V2916" si="702">IF(U2853=0, 0, IF(U2853&lt;10, _xlfn.CEILING.MATH(U2853,1), IF(U2853&lt;100, _xlfn.CEILING.MATH(U2853,1),IF(U2853&lt;1000, _xlfn.CEILING.MATH(U2853,5), IF(U2853&lt;10000, _xlfn.CEILING.MATH(U2853, 25), IF(U2853&lt;100000, _xlfn.CEILING.MATH(U2853,250), IF(U2853&lt;1000000, _xlfn.CEILING.MATH(U2853,500), 0)))))))</f>
        <v>3800</v>
      </c>
      <c r="W2853" s="316">
        <f t="shared" ref="W2853:W2859" si="703">C2853*V2853</f>
        <v>0</v>
      </c>
    </row>
    <row r="2854" spans="1:23" x14ac:dyDescent="0.25">
      <c r="A2854" s="204" t="s">
        <v>18529</v>
      </c>
      <c r="B2854" s="351" t="s">
        <v>22535</v>
      </c>
      <c r="C2854" s="352"/>
      <c r="D2854" s="353" t="s">
        <v>5</v>
      </c>
      <c r="E2854" s="249">
        <f t="shared" si="692"/>
        <v>0</v>
      </c>
      <c r="F2854" s="336">
        <v>0</v>
      </c>
      <c r="G2854" s="258">
        <f t="shared" si="693"/>
        <v>0</v>
      </c>
      <c r="H2854" s="249">
        <f t="shared" si="694"/>
        <v>6.378893119791941E-2</v>
      </c>
      <c r="I2854" s="336">
        <v>2.1472521788294171E-3</v>
      </c>
      <c r="J2854" s="258">
        <f t="shared" si="695"/>
        <v>2.1472521788294171E-3</v>
      </c>
      <c r="K2854" s="249">
        <f t="shared" si="696"/>
        <v>29.533322182079107</v>
      </c>
      <c r="L2854" s="336">
        <v>0.99414568033409723</v>
      </c>
      <c r="M2854" s="258">
        <f t="shared" si="697"/>
        <v>0.99414568033409723</v>
      </c>
      <c r="N2854" s="251">
        <f t="shared" si="698"/>
        <v>0.11006717540033154</v>
      </c>
      <c r="O2854" s="336">
        <v>3.7050625830782097E-3</v>
      </c>
      <c r="P2854" s="258">
        <f t="shared" si="699"/>
        <v>3.7050625830782097E-3</v>
      </c>
      <c r="Q2854" s="354">
        <v>28.998662790697672</v>
      </c>
      <c r="R2854" s="249">
        <f t="shared" si="700"/>
        <v>29.707237848837206</v>
      </c>
      <c r="S2854" s="355">
        <v>0.1</v>
      </c>
      <c r="T2854" s="355"/>
      <c r="U2854" s="315">
        <f t="shared" si="701"/>
        <v>32.677961633720926</v>
      </c>
      <c r="V2854" s="315">
        <f t="shared" si="702"/>
        <v>33</v>
      </c>
      <c r="W2854" s="316">
        <f t="shared" si="703"/>
        <v>0</v>
      </c>
    </row>
    <row r="2855" spans="1:23" x14ac:dyDescent="0.25">
      <c r="A2855" s="204" t="s">
        <v>18530</v>
      </c>
      <c r="B2855" s="351" t="s">
        <v>22536</v>
      </c>
      <c r="C2855" s="352"/>
      <c r="D2855" s="353" t="s">
        <v>14859</v>
      </c>
      <c r="E2855" s="249">
        <f t="shared" si="692"/>
        <v>0</v>
      </c>
      <c r="F2855" s="336">
        <v>0</v>
      </c>
      <c r="G2855" s="258">
        <f t="shared" si="693"/>
        <v>0</v>
      </c>
      <c r="H2855" s="249">
        <f t="shared" si="694"/>
        <v>10.971718164640711</v>
      </c>
      <c r="I2855" s="336">
        <v>2.1472521788294171E-3</v>
      </c>
      <c r="J2855" s="258">
        <f t="shared" si="695"/>
        <v>2.1472521788294171E-3</v>
      </c>
      <c r="K2855" s="249">
        <f t="shared" si="696"/>
        <v>5079.7518447081366</v>
      </c>
      <c r="L2855" s="336">
        <v>0.99414768523809249</v>
      </c>
      <c r="M2855" s="258">
        <f t="shared" si="697"/>
        <v>0.99414768523809249</v>
      </c>
      <c r="N2855" s="251">
        <f t="shared" si="698"/>
        <v>18.931592127223187</v>
      </c>
      <c r="O2855" s="336">
        <v>3.7050625830782097E-3</v>
      </c>
      <c r="P2855" s="258">
        <f t="shared" si="699"/>
        <v>3.7050625830782097E-3</v>
      </c>
      <c r="Q2855" s="354">
        <v>4987.7699999999995</v>
      </c>
      <c r="R2855" s="249">
        <f t="shared" si="700"/>
        <v>5109.6551549999995</v>
      </c>
      <c r="S2855" s="355">
        <v>0.1</v>
      </c>
      <c r="T2855" s="355"/>
      <c r="U2855" s="315">
        <f t="shared" si="701"/>
        <v>5620.6206704999995</v>
      </c>
      <c r="V2855" s="315">
        <f t="shared" si="702"/>
        <v>5625</v>
      </c>
      <c r="W2855" s="316">
        <f t="shared" si="703"/>
        <v>0</v>
      </c>
    </row>
    <row r="2856" spans="1:23" x14ac:dyDescent="0.25">
      <c r="A2856" s="204" t="s">
        <v>18531</v>
      </c>
      <c r="B2856" s="351" t="s">
        <v>22537</v>
      </c>
      <c r="C2856" s="352"/>
      <c r="D2856" s="353" t="s">
        <v>5</v>
      </c>
      <c r="E2856" s="249">
        <f t="shared" si="692"/>
        <v>0</v>
      </c>
      <c r="F2856" s="336">
        <v>0</v>
      </c>
      <c r="G2856" s="258">
        <f t="shared" si="693"/>
        <v>0</v>
      </c>
      <c r="H2856" s="249">
        <f t="shared" si="694"/>
        <v>6.378893119791941E-2</v>
      </c>
      <c r="I2856" s="336">
        <v>2.1472521788294171E-3</v>
      </c>
      <c r="J2856" s="258">
        <f t="shared" si="695"/>
        <v>2.1472521788294171E-3</v>
      </c>
      <c r="K2856" s="249">
        <f t="shared" si="696"/>
        <v>29.533322182079107</v>
      </c>
      <c r="L2856" s="336">
        <v>0.99414568033409723</v>
      </c>
      <c r="M2856" s="258">
        <f t="shared" si="697"/>
        <v>0.99414568033409723</v>
      </c>
      <c r="N2856" s="251">
        <f t="shared" si="698"/>
        <v>0.11006717540033154</v>
      </c>
      <c r="O2856" s="336">
        <v>3.7050625830782097E-3</v>
      </c>
      <c r="P2856" s="258">
        <f t="shared" si="699"/>
        <v>3.7050625830782097E-3</v>
      </c>
      <c r="Q2856" s="354">
        <v>28.998662790697672</v>
      </c>
      <c r="R2856" s="249">
        <f t="shared" si="700"/>
        <v>29.707237848837206</v>
      </c>
      <c r="S2856" s="355">
        <v>0.1</v>
      </c>
      <c r="T2856" s="355"/>
      <c r="U2856" s="315">
        <f t="shared" si="701"/>
        <v>32.677961633720926</v>
      </c>
      <c r="V2856" s="315">
        <f t="shared" si="702"/>
        <v>33</v>
      </c>
      <c r="W2856" s="316">
        <f t="shared" si="703"/>
        <v>0</v>
      </c>
    </row>
    <row r="2857" spans="1:23" x14ac:dyDescent="0.25">
      <c r="A2857" s="204" t="s">
        <v>18532</v>
      </c>
      <c r="B2857" s="351" t="s">
        <v>22538</v>
      </c>
      <c r="C2857" s="352"/>
      <c r="D2857" s="353" t="s">
        <v>14859</v>
      </c>
      <c r="E2857" s="249">
        <f t="shared" si="692"/>
        <v>0</v>
      </c>
      <c r="F2857" s="336">
        <v>0</v>
      </c>
      <c r="G2857" s="258">
        <f t="shared" si="693"/>
        <v>0</v>
      </c>
      <c r="H2857" s="249">
        <f t="shared" si="694"/>
        <v>10.971718164640711</v>
      </c>
      <c r="I2857" s="336">
        <v>2.1472521788294171E-3</v>
      </c>
      <c r="J2857" s="258">
        <f t="shared" si="695"/>
        <v>2.1472521788294171E-3</v>
      </c>
      <c r="K2857" s="249">
        <f t="shared" si="696"/>
        <v>5079.7518447081366</v>
      </c>
      <c r="L2857" s="336">
        <v>0.99414768523809249</v>
      </c>
      <c r="M2857" s="258">
        <f t="shared" si="697"/>
        <v>0.99414768523809249</v>
      </c>
      <c r="N2857" s="251">
        <f t="shared" si="698"/>
        <v>18.931592127223187</v>
      </c>
      <c r="O2857" s="336">
        <v>3.7050625830782097E-3</v>
      </c>
      <c r="P2857" s="258">
        <f t="shared" si="699"/>
        <v>3.7050625830782097E-3</v>
      </c>
      <c r="Q2857" s="354">
        <v>4987.7699999999995</v>
      </c>
      <c r="R2857" s="249">
        <f t="shared" si="700"/>
        <v>5109.6551549999995</v>
      </c>
      <c r="S2857" s="355">
        <v>0.1</v>
      </c>
      <c r="T2857" s="355"/>
      <c r="U2857" s="315">
        <f t="shared" si="701"/>
        <v>5620.6206704999995</v>
      </c>
      <c r="V2857" s="315">
        <f t="shared" si="702"/>
        <v>5625</v>
      </c>
      <c r="W2857" s="316">
        <f t="shared" si="703"/>
        <v>0</v>
      </c>
    </row>
    <row r="2858" spans="1:23" x14ac:dyDescent="0.25">
      <c r="A2858" s="204" t="s">
        <v>18533</v>
      </c>
      <c r="B2858" s="351" t="s">
        <v>22539</v>
      </c>
      <c r="C2858" s="352"/>
      <c r="D2858" s="353" t="s">
        <v>5</v>
      </c>
      <c r="E2858" s="249">
        <f t="shared" si="692"/>
        <v>0</v>
      </c>
      <c r="F2858" s="336">
        <v>0</v>
      </c>
      <c r="G2858" s="258">
        <f t="shared" si="693"/>
        <v>0</v>
      </c>
      <c r="H2858" s="249">
        <f t="shared" si="694"/>
        <v>6.3790042511235254E-2</v>
      </c>
      <c r="I2858" s="336">
        <v>1.5599332243710511E-3</v>
      </c>
      <c r="J2858" s="258">
        <f t="shared" si="695"/>
        <v>1.5599332243710511E-3</v>
      </c>
      <c r="K2858" s="249">
        <f t="shared" si="696"/>
        <v>40.718884607109779</v>
      </c>
      <c r="L2858" s="336">
        <v>0.99574696077015545</v>
      </c>
      <c r="M2858" s="258">
        <f t="shared" si="697"/>
        <v>0.99574696077015545</v>
      </c>
      <c r="N2858" s="251">
        <f t="shared" si="698"/>
        <v>0.11006909296056279</v>
      </c>
      <c r="O2858" s="336">
        <v>2.6916494851892646E-3</v>
      </c>
      <c r="P2858" s="258">
        <f t="shared" si="699"/>
        <v>2.6916494851892646E-3</v>
      </c>
      <c r="Q2858" s="354">
        <v>39.916735465116275</v>
      </c>
      <c r="R2858" s="249">
        <f t="shared" si="700"/>
        <v>40.892803303779068</v>
      </c>
      <c r="S2858" s="355">
        <v>0.1</v>
      </c>
      <c r="T2858" s="355"/>
      <c r="U2858" s="315">
        <f t="shared" si="701"/>
        <v>44.982083634156979</v>
      </c>
      <c r="V2858" s="315">
        <f t="shared" si="702"/>
        <v>45</v>
      </c>
      <c r="W2858" s="316">
        <f t="shared" si="703"/>
        <v>0</v>
      </c>
    </row>
    <row r="2859" spans="1:23" x14ac:dyDescent="0.25">
      <c r="A2859" s="204" t="s">
        <v>18534</v>
      </c>
      <c r="B2859" s="351" t="s">
        <v>22540</v>
      </c>
      <c r="C2859" s="352"/>
      <c r="D2859" s="353" t="s">
        <v>14859</v>
      </c>
      <c r="E2859" s="249">
        <f t="shared" si="692"/>
        <v>0</v>
      </c>
      <c r="F2859" s="336">
        <v>0</v>
      </c>
      <c r="G2859" s="258">
        <f t="shared" si="693"/>
        <v>0</v>
      </c>
      <c r="H2859" s="249">
        <f t="shared" si="694"/>
        <v>10.971903293448346</v>
      </c>
      <c r="I2859" s="336">
        <v>1.5599332243710511E-3</v>
      </c>
      <c r="J2859" s="258">
        <f t="shared" si="695"/>
        <v>1.5599332243710511E-3</v>
      </c>
      <c r="K2859" s="249">
        <f t="shared" si="696"/>
        <v>7003.6685983913849</v>
      </c>
      <c r="L2859" s="336">
        <v>0.99574841729043972</v>
      </c>
      <c r="M2859" s="258">
        <f t="shared" si="697"/>
        <v>0.99574841729043972</v>
      </c>
      <c r="N2859" s="251">
        <f t="shared" si="698"/>
        <v>18.931911565165773</v>
      </c>
      <c r="O2859" s="336">
        <v>2.6916494851892646E-3</v>
      </c>
      <c r="P2859" s="258">
        <f t="shared" si="699"/>
        <v>2.6916494851892646E-3</v>
      </c>
      <c r="Q2859" s="354">
        <v>6865.6784999999991</v>
      </c>
      <c r="R2859" s="249">
        <f t="shared" si="700"/>
        <v>7033.572413249999</v>
      </c>
      <c r="S2859" s="355">
        <v>0.1</v>
      </c>
      <c r="T2859" s="355"/>
      <c r="U2859" s="315">
        <f t="shared" si="701"/>
        <v>7736.9296545749985</v>
      </c>
      <c r="V2859" s="315">
        <f t="shared" si="702"/>
        <v>7750</v>
      </c>
      <c r="W2859" s="316">
        <f t="shared" si="703"/>
        <v>0</v>
      </c>
    </row>
    <row r="2860" spans="1:23" x14ac:dyDescent="0.25">
      <c r="A2860" s="203" t="s">
        <v>18535</v>
      </c>
      <c r="B2860" s="345" t="s">
        <v>18536</v>
      </c>
      <c r="C2860" s="346"/>
      <c r="D2860" s="347"/>
      <c r="E2860" s="347"/>
      <c r="F2860" s="347"/>
      <c r="G2860" s="347"/>
      <c r="H2860" s="347"/>
      <c r="I2860" s="347"/>
      <c r="J2860" s="347"/>
      <c r="K2860" s="347"/>
      <c r="L2860" s="347"/>
      <c r="M2860" s="347"/>
      <c r="N2860" s="347"/>
      <c r="O2860" s="347"/>
      <c r="P2860" s="347"/>
      <c r="Q2860" s="347"/>
      <c r="R2860" s="347"/>
      <c r="S2860" s="347"/>
      <c r="T2860" s="348"/>
      <c r="U2860" s="349"/>
      <c r="V2860" s="349"/>
      <c r="W2860" s="350"/>
    </row>
    <row r="2861" spans="1:23" x14ac:dyDescent="0.25">
      <c r="A2861" s="204" t="s">
        <v>18537</v>
      </c>
      <c r="B2861" s="351" t="s">
        <v>22541</v>
      </c>
      <c r="C2861" s="352"/>
      <c r="D2861" s="353" t="s">
        <v>14859</v>
      </c>
      <c r="E2861" s="249">
        <f t="shared" si="692"/>
        <v>0</v>
      </c>
      <c r="F2861" s="336">
        <v>0</v>
      </c>
      <c r="G2861" s="258">
        <f t="shared" si="693"/>
        <v>0</v>
      </c>
      <c r="H2861" s="249">
        <f t="shared" si="694"/>
        <v>10.962177171232442</v>
      </c>
      <c r="I2861" s="336">
        <v>3.2415941015699487E-2</v>
      </c>
      <c r="J2861" s="258">
        <f t="shared" si="695"/>
        <v>3.2415941015699487E-2</v>
      </c>
      <c r="K2861" s="249">
        <f t="shared" si="696"/>
        <v>308.29511209213121</v>
      </c>
      <c r="L2861" s="336">
        <v>0.91165067056505433</v>
      </c>
      <c r="M2861" s="258">
        <f t="shared" si="697"/>
        <v>0.91165067056505433</v>
      </c>
      <c r="N2861" s="251">
        <f t="shared" si="698"/>
        <v>18.915129236636371</v>
      </c>
      <c r="O2861" s="336">
        <v>5.5933388419246173E-2</v>
      </c>
      <c r="P2861" s="258">
        <f t="shared" si="699"/>
        <v>5.5933388419246173E-2</v>
      </c>
      <c r="Q2861" s="354">
        <v>330.39299999999997</v>
      </c>
      <c r="R2861" s="249">
        <f t="shared" si="700"/>
        <v>338.17241849999999</v>
      </c>
      <c r="S2861" s="355">
        <v>0.1</v>
      </c>
      <c r="T2861" s="355"/>
      <c r="U2861" s="315">
        <f t="shared" si="701"/>
        <v>371.98966035000001</v>
      </c>
      <c r="V2861" s="315">
        <f t="shared" si="702"/>
        <v>375</v>
      </c>
      <c r="W2861" s="316">
        <f t="shared" ref="W2861:W2916" si="704">C2861*V2861</f>
        <v>0</v>
      </c>
    </row>
    <row r="2862" spans="1:23" x14ac:dyDescent="0.25">
      <c r="A2862" s="204" t="s">
        <v>18538</v>
      </c>
      <c r="B2862" s="351" t="s">
        <v>22542</v>
      </c>
      <c r="C2862" s="352"/>
      <c r="D2862" s="353" t="s">
        <v>5</v>
      </c>
      <c r="E2862" s="249">
        <f t="shared" si="692"/>
        <v>0</v>
      </c>
      <c r="F2862" s="336">
        <v>0</v>
      </c>
      <c r="G2862" s="258">
        <f t="shared" si="693"/>
        <v>0</v>
      </c>
      <c r="H2862" s="249">
        <f t="shared" si="694"/>
        <v>6.3731657383236828E-2</v>
      </c>
      <c r="I2862" s="336">
        <v>3.2415941015699494E-2</v>
      </c>
      <c r="J2862" s="258">
        <f t="shared" si="695"/>
        <v>3.2415941015699494E-2</v>
      </c>
      <c r="K2862" s="249">
        <f t="shared" si="696"/>
        <v>1.7922996341950741</v>
      </c>
      <c r="L2862" s="336">
        <v>0.91162040357997887</v>
      </c>
      <c r="M2862" s="258">
        <f t="shared" si="697"/>
        <v>0.91162040357997887</v>
      </c>
      <c r="N2862" s="251">
        <f t="shared" si="698"/>
        <v>0.10996834999460472</v>
      </c>
      <c r="O2862" s="336">
        <v>5.593338841924618E-2</v>
      </c>
      <c r="P2862" s="258">
        <f t="shared" si="699"/>
        <v>5.593338841924618E-2</v>
      </c>
      <c r="Q2862" s="354">
        <v>1.9208895348837207</v>
      </c>
      <c r="R2862" s="249">
        <f t="shared" si="700"/>
        <v>1.9660591482558134</v>
      </c>
      <c r="S2862" s="355">
        <v>0.1</v>
      </c>
      <c r="T2862" s="355"/>
      <c r="U2862" s="315">
        <f t="shared" si="701"/>
        <v>2.1626650630813948</v>
      </c>
      <c r="V2862" s="315">
        <f t="shared" si="702"/>
        <v>3</v>
      </c>
      <c r="W2862" s="316">
        <f t="shared" si="704"/>
        <v>0</v>
      </c>
    </row>
    <row r="2863" spans="1:23" x14ac:dyDescent="0.25">
      <c r="A2863" s="204" t="s">
        <v>18539</v>
      </c>
      <c r="B2863" s="351" t="s">
        <v>22543</v>
      </c>
      <c r="C2863" s="352"/>
      <c r="D2863" s="353" t="s">
        <v>14859</v>
      </c>
      <c r="E2863" s="249">
        <f t="shared" si="692"/>
        <v>0</v>
      </c>
      <c r="F2863" s="336">
        <v>0</v>
      </c>
      <c r="G2863" s="258">
        <f t="shared" si="693"/>
        <v>0</v>
      </c>
      <c r="H2863" s="249">
        <f t="shared" si="694"/>
        <v>10.962177171232442</v>
      </c>
      <c r="I2863" s="336">
        <v>3.2415941015699487E-2</v>
      </c>
      <c r="J2863" s="258">
        <f t="shared" si="695"/>
        <v>3.2415941015699487E-2</v>
      </c>
      <c r="K2863" s="249">
        <f t="shared" si="696"/>
        <v>308.29511209213121</v>
      </c>
      <c r="L2863" s="336">
        <v>0.91165067056505433</v>
      </c>
      <c r="M2863" s="258">
        <f t="shared" si="697"/>
        <v>0.91165067056505433</v>
      </c>
      <c r="N2863" s="251">
        <f t="shared" si="698"/>
        <v>18.915129236636371</v>
      </c>
      <c r="O2863" s="336">
        <v>5.5933388419246173E-2</v>
      </c>
      <c r="P2863" s="258">
        <f t="shared" si="699"/>
        <v>5.5933388419246173E-2</v>
      </c>
      <c r="Q2863" s="354">
        <v>330.39299999999997</v>
      </c>
      <c r="R2863" s="249">
        <f t="shared" si="700"/>
        <v>338.17241849999999</v>
      </c>
      <c r="S2863" s="355">
        <v>0.1</v>
      </c>
      <c r="T2863" s="355"/>
      <c r="U2863" s="315">
        <f t="shared" si="701"/>
        <v>371.98966035000001</v>
      </c>
      <c r="V2863" s="315">
        <f t="shared" si="702"/>
        <v>375</v>
      </c>
      <c r="W2863" s="316">
        <f t="shared" si="704"/>
        <v>0</v>
      </c>
    </row>
    <row r="2864" spans="1:23" x14ac:dyDescent="0.25">
      <c r="A2864" s="204" t="s">
        <v>18540</v>
      </c>
      <c r="B2864" s="351" t="s">
        <v>22544</v>
      </c>
      <c r="C2864" s="352"/>
      <c r="D2864" s="353" t="s">
        <v>5</v>
      </c>
      <c r="E2864" s="249">
        <f t="shared" si="692"/>
        <v>0</v>
      </c>
      <c r="F2864" s="336">
        <v>0</v>
      </c>
      <c r="G2864" s="258">
        <f t="shared" si="693"/>
        <v>0</v>
      </c>
      <c r="H2864" s="249">
        <f t="shared" si="694"/>
        <v>6.3731657383236828E-2</v>
      </c>
      <c r="I2864" s="336">
        <v>3.2415941015699494E-2</v>
      </c>
      <c r="J2864" s="258">
        <f t="shared" si="695"/>
        <v>3.2415941015699494E-2</v>
      </c>
      <c r="K2864" s="249">
        <f t="shared" si="696"/>
        <v>1.7922996341950741</v>
      </c>
      <c r="L2864" s="336">
        <v>0.91162040357997887</v>
      </c>
      <c r="M2864" s="258">
        <f t="shared" si="697"/>
        <v>0.91162040357997887</v>
      </c>
      <c r="N2864" s="251">
        <f t="shared" si="698"/>
        <v>0.10996834999460472</v>
      </c>
      <c r="O2864" s="336">
        <v>5.593338841924618E-2</v>
      </c>
      <c r="P2864" s="258">
        <f t="shared" si="699"/>
        <v>5.593338841924618E-2</v>
      </c>
      <c r="Q2864" s="354">
        <v>1.9208895348837207</v>
      </c>
      <c r="R2864" s="249">
        <f t="shared" si="700"/>
        <v>1.9660591482558134</v>
      </c>
      <c r="S2864" s="355">
        <v>0.1</v>
      </c>
      <c r="T2864" s="355"/>
      <c r="U2864" s="315">
        <f t="shared" si="701"/>
        <v>2.1626650630813948</v>
      </c>
      <c r="V2864" s="315">
        <f t="shared" si="702"/>
        <v>3</v>
      </c>
      <c r="W2864" s="316">
        <f t="shared" si="704"/>
        <v>0</v>
      </c>
    </row>
    <row r="2865" spans="1:23" x14ac:dyDescent="0.25">
      <c r="A2865" s="204" t="s">
        <v>18541</v>
      </c>
      <c r="B2865" s="351" t="s">
        <v>22545</v>
      </c>
      <c r="C2865" s="352"/>
      <c r="D2865" s="353" t="s">
        <v>14859</v>
      </c>
      <c r="E2865" s="249">
        <f t="shared" si="692"/>
        <v>0</v>
      </c>
      <c r="F2865" s="336">
        <v>0</v>
      </c>
      <c r="G2865" s="258">
        <f t="shared" si="693"/>
        <v>0</v>
      </c>
      <c r="H2865" s="249">
        <f t="shared" si="694"/>
        <v>10.962177171232442</v>
      </c>
      <c r="I2865" s="336">
        <v>3.2415941015699487E-2</v>
      </c>
      <c r="J2865" s="258">
        <f t="shared" si="695"/>
        <v>3.2415941015699487E-2</v>
      </c>
      <c r="K2865" s="249">
        <f t="shared" si="696"/>
        <v>308.29511209213121</v>
      </c>
      <c r="L2865" s="336">
        <v>0.91165067056505433</v>
      </c>
      <c r="M2865" s="258">
        <f t="shared" si="697"/>
        <v>0.91165067056505433</v>
      </c>
      <c r="N2865" s="251">
        <f t="shared" si="698"/>
        <v>18.915129236636371</v>
      </c>
      <c r="O2865" s="336">
        <v>5.5933388419246173E-2</v>
      </c>
      <c r="P2865" s="258">
        <f t="shared" si="699"/>
        <v>5.5933388419246173E-2</v>
      </c>
      <c r="Q2865" s="354">
        <v>330.39299999999997</v>
      </c>
      <c r="R2865" s="249">
        <f t="shared" si="700"/>
        <v>338.17241849999999</v>
      </c>
      <c r="S2865" s="355">
        <v>0.1</v>
      </c>
      <c r="T2865" s="355"/>
      <c r="U2865" s="315">
        <f t="shared" si="701"/>
        <v>371.98966035000001</v>
      </c>
      <c r="V2865" s="315">
        <f t="shared" si="702"/>
        <v>375</v>
      </c>
      <c r="W2865" s="316">
        <f t="shared" si="704"/>
        <v>0</v>
      </c>
    </row>
    <row r="2866" spans="1:23" x14ac:dyDescent="0.25">
      <c r="A2866" s="204" t="s">
        <v>18542</v>
      </c>
      <c r="B2866" s="351" t="s">
        <v>22546</v>
      </c>
      <c r="C2866" s="352"/>
      <c r="D2866" s="353" t="s">
        <v>5</v>
      </c>
      <c r="E2866" s="249">
        <f t="shared" si="692"/>
        <v>0</v>
      </c>
      <c r="F2866" s="336">
        <v>0</v>
      </c>
      <c r="G2866" s="258">
        <f t="shared" si="693"/>
        <v>0</v>
      </c>
      <c r="H2866" s="249">
        <f t="shared" si="694"/>
        <v>6.3731657383236828E-2</v>
      </c>
      <c r="I2866" s="336">
        <v>3.2415941015699494E-2</v>
      </c>
      <c r="J2866" s="258">
        <f t="shared" si="695"/>
        <v>3.2415941015699494E-2</v>
      </c>
      <c r="K2866" s="249">
        <f t="shared" si="696"/>
        <v>1.7922996341950741</v>
      </c>
      <c r="L2866" s="336">
        <v>0.91162040357997887</v>
      </c>
      <c r="M2866" s="258">
        <f t="shared" si="697"/>
        <v>0.91162040357997887</v>
      </c>
      <c r="N2866" s="251">
        <f t="shared" si="698"/>
        <v>0.10996834999460472</v>
      </c>
      <c r="O2866" s="336">
        <v>5.593338841924618E-2</v>
      </c>
      <c r="P2866" s="258">
        <f t="shared" si="699"/>
        <v>5.593338841924618E-2</v>
      </c>
      <c r="Q2866" s="354">
        <v>1.9208895348837207</v>
      </c>
      <c r="R2866" s="249">
        <f t="shared" si="700"/>
        <v>1.9660591482558134</v>
      </c>
      <c r="S2866" s="355">
        <v>0.1</v>
      </c>
      <c r="T2866" s="355"/>
      <c r="U2866" s="315">
        <f t="shared" si="701"/>
        <v>2.1626650630813948</v>
      </c>
      <c r="V2866" s="315">
        <f t="shared" si="702"/>
        <v>3</v>
      </c>
      <c r="W2866" s="316">
        <f t="shared" si="704"/>
        <v>0</v>
      </c>
    </row>
    <row r="2867" spans="1:23" x14ac:dyDescent="0.25">
      <c r="A2867" s="204" t="s">
        <v>18543</v>
      </c>
      <c r="B2867" s="351" t="s">
        <v>22547</v>
      </c>
      <c r="C2867" s="352"/>
      <c r="D2867" s="353" t="s">
        <v>14859</v>
      </c>
      <c r="E2867" s="249">
        <f t="shared" si="692"/>
        <v>0</v>
      </c>
      <c r="F2867" s="336">
        <v>0</v>
      </c>
      <c r="G2867" s="258">
        <f t="shared" si="693"/>
        <v>0</v>
      </c>
      <c r="H2867" s="249">
        <f t="shared" si="694"/>
        <v>10.96280185663136</v>
      </c>
      <c r="I2867" s="336">
        <v>3.0434133969864247E-2</v>
      </c>
      <c r="J2867" s="258">
        <f t="shared" si="695"/>
        <v>3.0434133969864247E-2</v>
      </c>
      <c r="K2867" s="249">
        <f t="shared" si="696"/>
        <v>330.33501476820078</v>
      </c>
      <c r="L2867" s="336">
        <v>0.91705206623899749</v>
      </c>
      <c r="M2867" s="258">
        <f t="shared" si="697"/>
        <v>0.91705206623899749</v>
      </c>
      <c r="N2867" s="251">
        <f t="shared" si="698"/>
        <v>18.916207125167833</v>
      </c>
      <c r="O2867" s="336">
        <v>5.2513799791138301E-2</v>
      </c>
      <c r="P2867" s="258">
        <f t="shared" si="699"/>
        <v>5.2513799791138301E-2</v>
      </c>
      <c r="Q2867" s="354">
        <v>351.90749999999997</v>
      </c>
      <c r="R2867" s="249">
        <f t="shared" si="700"/>
        <v>360.21402374999997</v>
      </c>
      <c r="S2867" s="355">
        <v>0.1</v>
      </c>
      <c r="T2867" s="355"/>
      <c r="U2867" s="315">
        <f t="shared" si="701"/>
        <v>396.23542612499995</v>
      </c>
      <c r="V2867" s="315">
        <f t="shared" si="702"/>
        <v>400</v>
      </c>
      <c r="W2867" s="316">
        <f t="shared" si="704"/>
        <v>0</v>
      </c>
    </row>
    <row r="2868" spans="1:23" x14ac:dyDescent="0.25">
      <c r="A2868" s="204" t="s">
        <v>18544</v>
      </c>
      <c r="B2868" s="351" t="s">
        <v>22548</v>
      </c>
      <c r="C2868" s="352"/>
      <c r="D2868" s="353" t="s">
        <v>5</v>
      </c>
      <c r="E2868" s="249">
        <f t="shared" si="692"/>
        <v>0</v>
      </c>
      <c r="F2868" s="336">
        <v>0</v>
      </c>
      <c r="G2868" s="258">
        <f t="shared" si="693"/>
        <v>0</v>
      </c>
      <c r="H2868" s="249">
        <f t="shared" si="694"/>
        <v>6.3735407319353718E-2</v>
      </c>
      <c r="I2868" s="336">
        <v>3.0434133969864243E-2</v>
      </c>
      <c r="J2868" s="258">
        <f t="shared" si="695"/>
        <v>3.0434133969864243E-2</v>
      </c>
      <c r="K2868" s="249">
        <f t="shared" si="696"/>
        <v>1.9204382780121694</v>
      </c>
      <c r="L2868" s="336">
        <v>0.91702364968066885</v>
      </c>
      <c r="M2868" s="258">
        <f t="shared" si="697"/>
        <v>0.91702364968066885</v>
      </c>
      <c r="N2868" s="251">
        <f t="shared" si="698"/>
        <v>0.10997482047261031</v>
      </c>
      <c r="O2868" s="336">
        <v>5.2513799791138294E-2</v>
      </c>
      <c r="P2868" s="258">
        <f t="shared" si="699"/>
        <v>5.2513799791138294E-2</v>
      </c>
      <c r="Q2868" s="354">
        <v>2.0459738372093024</v>
      </c>
      <c r="R2868" s="249">
        <f t="shared" si="700"/>
        <v>2.094208015988372</v>
      </c>
      <c r="S2868" s="355">
        <v>0.1</v>
      </c>
      <c r="T2868" s="355"/>
      <c r="U2868" s="315">
        <f t="shared" si="701"/>
        <v>2.3036288175872093</v>
      </c>
      <c r="V2868" s="315">
        <f t="shared" si="702"/>
        <v>3</v>
      </c>
      <c r="W2868" s="316">
        <f t="shared" si="704"/>
        <v>0</v>
      </c>
    </row>
    <row r="2869" spans="1:23" x14ac:dyDescent="0.25">
      <c r="A2869" s="204" t="s">
        <v>18545</v>
      </c>
      <c r="B2869" s="351" t="s">
        <v>22549</v>
      </c>
      <c r="C2869" s="352"/>
      <c r="D2869" s="353" t="s">
        <v>14859</v>
      </c>
      <c r="E2869" s="249">
        <f t="shared" si="692"/>
        <v>0</v>
      </c>
      <c r="F2869" s="336">
        <v>0</v>
      </c>
      <c r="G2869" s="258">
        <f t="shared" si="693"/>
        <v>0</v>
      </c>
      <c r="H2869" s="249">
        <f t="shared" si="694"/>
        <v>10.963824814019375</v>
      </c>
      <c r="I2869" s="336">
        <v>2.7188813745201979E-2</v>
      </c>
      <c r="J2869" s="258">
        <f t="shared" si="695"/>
        <v>2.7188813745201979E-2</v>
      </c>
      <c r="K2869" s="249">
        <f t="shared" si="696"/>
        <v>373.36583695786874</v>
      </c>
      <c r="L2869" s="336">
        <v>0.92589715469444955</v>
      </c>
      <c r="M2869" s="258">
        <f t="shared" si="697"/>
        <v>0.92589715469444955</v>
      </c>
      <c r="N2869" s="251">
        <f t="shared" si="698"/>
        <v>18.917972228111861</v>
      </c>
      <c r="O2869" s="336">
        <v>4.6914031560348506E-2</v>
      </c>
      <c r="P2869" s="258">
        <f t="shared" si="699"/>
        <v>4.6914031560348506E-2</v>
      </c>
      <c r="Q2869" s="354">
        <v>393.91199999999998</v>
      </c>
      <c r="R2869" s="249">
        <f t="shared" si="700"/>
        <v>403.24763399999995</v>
      </c>
      <c r="S2869" s="355">
        <v>0.1</v>
      </c>
      <c r="T2869" s="355"/>
      <c r="U2869" s="315">
        <f t="shared" si="701"/>
        <v>443.57239739999994</v>
      </c>
      <c r="V2869" s="315">
        <f t="shared" si="702"/>
        <v>445</v>
      </c>
      <c r="W2869" s="316">
        <f t="shared" si="704"/>
        <v>0</v>
      </c>
    </row>
    <row r="2870" spans="1:23" x14ac:dyDescent="0.25">
      <c r="A2870" s="204" t="s">
        <v>18546</v>
      </c>
      <c r="B2870" s="351" t="s">
        <v>22550</v>
      </c>
      <c r="C2870" s="352"/>
      <c r="D2870" s="353" t="s">
        <v>5</v>
      </c>
      <c r="E2870" s="249">
        <f t="shared" si="692"/>
        <v>0</v>
      </c>
      <c r="F2870" s="336">
        <v>0</v>
      </c>
      <c r="G2870" s="258">
        <f t="shared" si="693"/>
        <v>0</v>
      </c>
      <c r="H2870" s="249">
        <f t="shared" si="694"/>
        <v>6.374154805013113E-2</v>
      </c>
      <c r="I2870" s="336">
        <v>2.7188813745201979E-2</v>
      </c>
      <c r="J2870" s="258">
        <f t="shared" si="695"/>
        <v>2.7188813745201979E-2</v>
      </c>
      <c r="K2870" s="249">
        <f t="shared" si="696"/>
        <v>2.1706169442072287</v>
      </c>
      <c r="L2870" s="336">
        <v>0.92587176831373497</v>
      </c>
      <c r="M2870" s="258">
        <f t="shared" si="697"/>
        <v>0.92587176831373497</v>
      </c>
      <c r="N2870" s="251">
        <f t="shared" si="698"/>
        <v>0.1099854162433635</v>
      </c>
      <c r="O2870" s="336">
        <v>4.6914031560348506E-2</v>
      </c>
      <c r="P2870" s="258">
        <f t="shared" si="699"/>
        <v>4.6914031560348506E-2</v>
      </c>
      <c r="Q2870" s="354">
        <v>2.2901860465116277</v>
      </c>
      <c r="R2870" s="249">
        <f t="shared" si="700"/>
        <v>2.3444034244186041</v>
      </c>
      <c r="S2870" s="355">
        <v>0.1</v>
      </c>
      <c r="T2870" s="355"/>
      <c r="U2870" s="315">
        <f t="shared" si="701"/>
        <v>2.5788437668604645</v>
      </c>
      <c r="V2870" s="315">
        <f t="shared" si="702"/>
        <v>3</v>
      </c>
      <c r="W2870" s="316">
        <f t="shared" si="704"/>
        <v>0</v>
      </c>
    </row>
    <row r="2871" spans="1:23" x14ac:dyDescent="0.25">
      <c r="A2871" s="204" t="s">
        <v>18547</v>
      </c>
      <c r="B2871" s="351" t="s">
        <v>22551</v>
      </c>
      <c r="C2871" s="352"/>
      <c r="D2871" s="353" t="s">
        <v>14859</v>
      </c>
      <c r="E2871" s="249">
        <f t="shared" si="692"/>
        <v>0</v>
      </c>
      <c r="F2871" s="336">
        <v>0</v>
      </c>
      <c r="G2871" s="258">
        <f t="shared" si="693"/>
        <v>0</v>
      </c>
      <c r="H2871" s="249">
        <f t="shared" si="694"/>
        <v>10.965208030815903</v>
      </c>
      <c r="I2871" s="336">
        <v>2.2800574804406837E-2</v>
      </c>
      <c r="J2871" s="258">
        <f t="shared" si="695"/>
        <v>2.2800574804406837E-2</v>
      </c>
      <c r="K2871" s="249">
        <f t="shared" si="696"/>
        <v>451.03248551405068</v>
      </c>
      <c r="L2871" s="336">
        <v>0.93785725690563626</v>
      </c>
      <c r="M2871" s="258">
        <f t="shared" si="697"/>
        <v>0.93785725690563626</v>
      </c>
      <c r="N2871" s="251">
        <f t="shared" si="698"/>
        <v>18.920358955133324</v>
      </c>
      <c r="O2871" s="336">
        <v>3.9342168289956896E-2</v>
      </c>
      <c r="P2871" s="258">
        <f t="shared" si="699"/>
        <v>3.9342168289956896E-2</v>
      </c>
      <c r="Q2871" s="354">
        <v>469.72499999999997</v>
      </c>
      <c r="R2871" s="249">
        <f t="shared" si="700"/>
        <v>480.91805249999993</v>
      </c>
      <c r="S2871" s="355">
        <v>0.1</v>
      </c>
      <c r="T2871" s="355"/>
      <c r="U2871" s="315">
        <f t="shared" si="701"/>
        <v>529.00985774999992</v>
      </c>
      <c r="V2871" s="315">
        <f t="shared" si="702"/>
        <v>530</v>
      </c>
      <c r="W2871" s="316">
        <f t="shared" si="704"/>
        <v>0</v>
      </c>
    </row>
    <row r="2872" spans="1:23" x14ac:dyDescent="0.25">
      <c r="A2872" s="204" t="s">
        <v>18548</v>
      </c>
      <c r="B2872" s="351" t="s">
        <v>22552</v>
      </c>
      <c r="C2872" s="352"/>
      <c r="D2872" s="353" t="s">
        <v>5</v>
      </c>
      <c r="E2872" s="249">
        <f t="shared" si="692"/>
        <v>0</v>
      </c>
      <c r="F2872" s="336">
        <v>0</v>
      </c>
      <c r="G2872" s="258">
        <f t="shared" si="693"/>
        <v>0</v>
      </c>
      <c r="H2872" s="249">
        <f t="shared" si="694"/>
        <v>6.3749851389110657E-2</v>
      </c>
      <c r="I2872" s="336">
        <v>2.2800574804406837E-2</v>
      </c>
      <c r="J2872" s="258">
        <f t="shared" si="695"/>
        <v>2.2800574804406837E-2</v>
      </c>
      <c r="K2872" s="249">
        <f t="shared" si="696"/>
        <v>2.6221665063667565</v>
      </c>
      <c r="L2872" s="336">
        <v>0.93783596785353129</v>
      </c>
      <c r="M2872" s="258">
        <f t="shared" si="697"/>
        <v>0.93783596785353129</v>
      </c>
      <c r="N2872" s="251">
        <f t="shared" si="698"/>
        <v>0.10999974357336738</v>
      </c>
      <c r="O2872" s="336">
        <v>3.9342168289956889E-2</v>
      </c>
      <c r="P2872" s="258">
        <f t="shared" si="699"/>
        <v>3.9342168289956889E-2</v>
      </c>
      <c r="Q2872" s="354">
        <v>2.7309593023255814</v>
      </c>
      <c r="R2872" s="249">
        <f t="shared" si="700"/>
        <v>2.7959756249999996</v>
      </c>
      <c r="S2872" s="355">
        <v>0.1</v>
      </c>
      <c r="T2872" s="355"/>
      <c r="U2872" s="315">
        <f t="shared" si="701"/>
        <v>3.0755731874999994</v>
      </c>
      <c r="V2872" s="315">
        <f t="shared" si="702"/>
        <v>4</v>
      </c>
      <c r="W2872" s="316">
        <f t="shared" si="704"/>
        <v>0</v>
      </c>
    </row>
    <row r="2873" spans="1:23" x14ac:dyDescent="0.25">
      <c r="A2873" s="204" t="s">
        <v>18549</v>
      </c>
      <c r="B2873" s="351" t="s">
        <v>22553</v>
      </c>
      <c r="C2873" s="352"/>
      <c r="D2873" s="353" t="s">
        <v>14859</v>
      </c>
      <c r="E2873" s="249">
        <f t="shared" si="692"/>
        <v>0</v>
      </c>
      <c r="F2873" s="336">
        <v>0</v>
      </c>
      <c r="G2873" s="258">
        <f t="shared" si="693"/>
        <v>0</v>
      </c>
      <c r="H2873" s="249">
        <f t="shared" si="694"/>
        <v>10.965254750824082</v>
      </c>
      <c r="I2873" s="336">
        <v>2.2652356130571483E-2</v>
      </c>
      <c r="J2873" s="258">
        <f t="shared" si="695"/>
        <v>2.2652356130571483E-2</v>
      </c>
      <c r="K2873" s="249">
        <f t="shared" si="696"/>
        <v>454.18115892912647</v>
      </c>
      <c r="L2873" s="336">
        <v>0.93826122544805024</v>
      </c>
      <c r="M2873" s="258">
        <f t="shared" si="697"/>
        <v>0.93826122544805024</v>
      </c>
      <c r="N2873" s="251">
        <f t="shared" si="698"/>
        <v>18.920439570049396</v>
      </c>
      <c r="O2873" s="336">
        <v>3.9086418421378243E-2</v>
      </c>
      <c r="P2873" s="258">
        <f t="shared" si="699"/>
        <v>3.9086418421378243E-2</v>
      </c>
      <c r="Q2873" s="354">
        <v>472.79849999999999</v>
      </c>
      <c r="R2873" s="249">
        <f t="shared" si="700"/>
        <v>484.06685324999995</v>
      </c>
      <c r="S2873" s="355">
        <v>0.1</v>
      </c>
      <c r="T2873" s="355"/>
      <c r="U2873" s="315">
        <f t="shared" si="701"/>
        <v>532.47353857499991</v>
      </c>
      <c r="V2873" s="315">
        <f t="shared" si="702"/>
        <v>535</v>
      </c>
      <c r="W2873" s="316">
        <f t="shared" si="704"/>
        <v>0</v>
      </c>
    </row>
    <row r="2874" spans="1:23" x14ac:dyDescent="0.25">
      <c r="A2874" s="204" t="s">
        <v>18550</v>
      </c>
      <c r="B2874" s="351" t="s">
        <v>22554</v>
      </c>
      <c r="C2874" s="352"/>
      <c r="D2874" s="353" t="s">
        <v>5</v>
      </c>
      <c r="E2874" s="249">
        <f t="shared" si="692"/>
        <v>0</v>
      </c>
      <c r="F2874" s="336">
        <v>0</v>
      </c>
      <c r="G2874" s="258">
        <f t="shared" si="693"/>
        <v>0</v>
      </c>
      <c r="H2874" s="249">
        <f t="shared" si="694"/>
        <v>6.3750131845555377E-2</v>
      </c>
      <c r="I2874" s="336">
        <v>2.2652356130571483E-2</v>
      </c>
      <c r="J2874" s="258">
        <f t="shared" si="695"/>
        <v>2.2652356130571483E-2</v>
      </c>
      <c r="K2874" s="249">
        <f t="shared" si="696"/>
        <v>2.6404727228282532</v>
      </c>
      <c r="L2874" s="336">
        <v>0.93824007478873128</v>
      </c>
      <c r="M2874" s="258">
        <f t="shared" si="697"/>
        <v>0.93824007478873128</v>
      </c>
      <c r="N2874" s="251">
        <f t="shared" si="698"/>
        <v>0.1100002274982132</v>
      </c>
      <c r="O2874" s="336">
        <v>3.9086418421378243E-2</v>
      </c>
      <c r="P2874" s="258">
        <f t="shared" si="699"/>
        <v>3.9086418421378243E-2</v>
      </c>
      <c r="Q2874" s="354">
        <v>2.748828488372093</v>
      </c>
      <c r="R2874" s="249">
        <f t="shared" si="700"/>
        <v>2.8142826061046509</v>
      </c>
      <c r="S2874" s="355">
        <v>0.1</v>
      </c>
      <c r="T2874" s="355"/>
      <c r="U2874" s="315">
        <f t="shared" si="701"/>
        <v>3.0957108667151161</v>
      </c>
      <c r="V2874" s="315">
        <f t="shared" si="702"/>
        <v>4</v>
      </c>
      <c r="W2874" s="316">
        <f t="shared" si="704"/>
        <v>0</v>
      </c>
    </row>
    <row r="2875" spans="1:23" x14ac:dyDescent="0.25">
      <c r="A2875" s="204" t="s">
        <v>18551</v>
      </c>
      <c r="B2875" s="351" t="s">
        <v>22555</v>
      </c>
      <c r="C2875" s="352"/>
      <c r="D2875" s="353" t="s">
        <v>14859</v>
      </c>
      <c r="E2875" s="249">
        <f t="shared" si="692"/>
        <v>0</v>
      </c>
      <c r="F2875" s="336">
        <v>0</v>
      </c>
      <c r="G2875" s="258">
        <f t="shared" si="693"/>
        <v>0</v>
      </c>
      <c r="H2875" s="249">
        <f t="shared" si="694"/>
        <v>10.965346391964223</v>
      </c>
      <c r="I2875" s="336">
        <v>2.2361625696451896E-2</v>
      </c>
      <c r="J2875" s="258">
        <f t="shared" si="695"/>
        <v>2.2361625696451896E-2</v>
      </c>
      <c r="K2875" s="249">
        <f t="shared" si="696"/>
        <v>460.47851066209751</v>
      </c>
      <c r="L2875" s="336">
        <v>0.93905360839594487</v>
      </c>
      <c r="M2875" s="258">
        <f t="shared" si="697"/>
        <v>0.93905360839594487</v>
      </c>
      <c r="N2875" s="251">
        <f t="shared" si="698"/>
        <v>18.920597695938266</v>
      </c>
      <c r="O2875" s="336">
        <v>3.858476590760327E-2</v>
      </c>
      <c r="P2875" s="258">
        <f t="shared" si="699"/>
        <v>3.858476590760327E-2</v>
      </c>
      <c r="Q2875" s="354">
        <v>478.94549999999998</v>
      </c>
      <c r="R2875" s="249">
        <f t="shared" si="700"/>
        <v>490.36445474999999</v>
      </c>
      <c r="S2875" s="355">
        <v>0.1</v>
      </c>
      <c r="T2875" s="355"/>
      <c r="U2875" s="315">
        <f t="shared" si="701"/>
        <v>539.40090022499999</v>
      </c>
      <c r="V2875" s="315">
        <f t="shared" si="702"/>
        <v>540</v>
      </c>
      <c r="W2875" s="316">
        <f t="shared" si="704"/>
        <v>0</v>
      </c>
    </row>
    <row r="2876" spans="1:23" x14ac:dyDescent="0.25">
      <c r="A2876" s="204" t="s">
        <v>18552</v>
      </c>
      <c r="B2876" s="351" t="s">
        <v>22556</v>
      </c>
      <c r="C2876" s="352"/>
      <c r="D2876" s="353" t="s">
        <v>5</v>
      </c>
      <c r="E2876" s="249">
        <f t="shared" si="692"/>
        <v>0</v>
      </c>
      <c r="F2876" s="336">
        <v>0</v>
      </c>
      <c r="G2876" s="258">
        <f t="shared" si="693"/>
        <v>0</v>
      </c>
      <c r="H2876" s="249">
        <f t="shared" si="694"/>
        <v>6.3750681959935829E-2</v>
      </c>
      <c r="I2876" s="336">
        <v>2.2361625696451896E-2</v>
      </c>
      <c r="J2876" s="258">
        <f t="shared" si="695"/>
        <v>2.2361625696451896E-2</v>
      </c>
      <c r="K2876" s="249">
        <f t="shared" si="696"/>
        <v>2.6770851851925594</v>
      </c>
      <c r="L2876" s="336">
        <v>0.9390327291936138</v>
      </c>
      <c r="M2876" s="258">
        <f t="shared" si="697"/>
        <v>0.9390327291936138</v>
      </c>
      <c r="N2876" s="251">
        <f t="shared" si="698"/>
        <v>0.11000117671518336</v>
      </c>
      <c r="O2876" s="336">
        <v>3.8584765907603263E-2</v>
      </c>
      <c r="P2876" s="258">
        <f t="shared" si="699"/>
        <v>3.8584765907603263E-2</v>
      </c>
      <c r="Q2876" s="354">
        <v>2.7845668604651164</v>
      </c>
      <c r="R2876" s="249">
        <f t="shared" si="700"/>
        <v>2.8508965683139533</v>
      </c>
      <c r="S2876" s="355">
        <v>0.1</v>
      </c>
      <c r="T2876" s="355"/>
      <c r="U2876" s="315">
        <f t="shared" si="701"/>
        <v>3.1359862251453485</v>
      </c>
      <c r="V2876" s="315">
        <f t="shared" si="702"/>
        <v>4</v>
      </c>
      <c r="W2876" s="316">
        <f t="shared" si="704"/>
        <v>0</v>
      </c>
    </row>
    <row r="2877" spans="1:23" x14ac:dyDescent="0.25">
      <c r="A2877" s="204" t="s">
        <v>18553</v>
      </c>
      <c r="B2877" s="351" t="s">
        <v>22557</v>
      </c>
      <c r="C2877" s="352"/>
      <c r="D2877" s="353" t="s">
        <v>14859</v>
      </c>
      <c r="E2877" s="249">
        <f t="shared" si="692"/>
        <v>0</v>
      </c>
      <c r="F2877" s="336">
        <v>0</v>
      </c>
      <c r="G2877" s="258">
        <f t="shared" si="693"/>
        <v>0</v>
      </c>
      <c r="H2877" s="249">
        <f t="shared" si="694"/>
        <v>10.966718491459758</v>
      </c>
      <c r="I2877" s="336">
        <v>1.8008656261665271E-2</v>
      </c>
      <c r="J2877" s="258">
        <f t="shared" si="695"/>
        <v>1.8008656261665271E-2</v>
      </c>
      <c r="K2877" s="249">
        <f t="shared" si="696"/>
        <v>579.07959926837418</v>
      </c>
      <c r="L2877" s="336">
        <v>0.95091758391428471</v>
      </c>
      <c r="M2877" s="258">
        <f t="shared" si="697"/>
        <v>0.95091758391428471</v>
      </c>
      <c r="N2877" s="251">
        <f t="shared" si="698"/>
        <v>18.922965240165855</v>
      </c>
      <c r="O2877" s="336">
        <v>3.1073759824049876E-2</v>
      </c>
      <c r="P2877" s="258">
        <f t="shared" si="699"/>
        <v>3.1073759824049876E-2</v>
      </c>
      <c r="Q2877" s="354">
        <v>594.71400000000006</v>
      </c>
      <c r="R2877" s="249">
        <f t="shared" si="700"/>
        <v>608.9692829999999</v>
      </c>
      <c r="S2877" s="355">
        <v>0.1</v>
      </c>
      <c r="T2877" s="355"/>
      <c r="U2877" s="315">
        <f t="shared" si="701"/>
        <v>669.86621129999992</v>
      </c>
      <c r="V2877" s="315">
        <f t="shared" si="702"/>
        <v>670</v>
      </c>
      <c r="W2877" s="316">
        <f t="shared" si="704"/>
        <v>0</v>
      </c>
    </row>
    <row r="2878" spans="1:23" x14ac:dyDescent="0.25">
      <c r="A2878" s="204" t="s">
        <v>18554</v>
      </c>
      <c r="B2878" s="351" t="s">
        <v>22558</v>
      </c>
      <c r="C2878" s="352"/>
      <c r="D2878" s="353" t="s">
        <v>5</v>
      </c>
      <c r="E2878" s="249">
        <f t="shared" si="692"/>
        <v>0</v>
      </c>
      <c r="F2878" s="336">
        <v>0</v>
      </c>
      <c r="G2878" s="258">
        <f t="shared" si="693"/>
        <v>0</v>
      </c>
      <c r="H2878" s="249">
        <f t="shared" si="694"/>
        <v>6.3758918562653255E-2</v>
      </c>
      <c r="I2878" s="336">
        <v>1.8008656261665271E-2</v>
      </c>
      <c r="J2878" s="258">
        <f t="shared" si="695"/>
        <v>1.8008656261665271E-2</v>
      </c>
      <c r="K2878" s="249">
        <f t="shared" si="696"/>
        <v>3.3666256836638926</v>
      </c>
      <c r="L2878" s="336">
        <v>0.9509007691091852</v>
      </c>
      <c r="M2878" s="258">
        <f t="shared" si="697"/>
        <v>0.9509007691091852</v>
      </c>
      <c r="N2878" s="251">
        <f t="shared" si="698"/>
        <v>0.1100153888924213</v>
      </c>
      <c r="O2878" s="336">
        <v>3.1073759824049876E-2</v>
      </c>
      <c r="P2878" s="258">
        <f t="shared" si="699"/>
        <v>3.1073759824049876E-2</v>
      </c>
      <c r="Q2878" s="354">
        <v>3.4576395348837212</v>
      </c>
      <c r="R2878" s="249">
        <f t="shared" si="700"/>
        <v>3.540459523255814</v>
      </c>
      <c r="S2878" s="355">
        <v>0.1</v>
      </c>
      <c r="T2878" s="355"/>
      <c r="U2878" s="315">
        <f t="shared" si="701"/>
        <v>3.8945054755813953</v>
      </c>
      <c r="V2878" s="315">
        <f t="shared" si="702"/>
        <v>4</v>
      </c>
      <c r="W2878" s="316">
        <f t="shared" si="704"/>
        <v>0</v>
      </c>
    </row>
    <row r="2879" spans="1:23" x14ac:dyDescent="0.25">
      <c r="A2879" s="204" t="s">
        <v>18555</v>
      </c>
      <c r="B2879" s="351" t="s">
        <v>22559</v>
      </c>
      <c r="C2879" s="352"/>
      <c r="D2879" s="353" t="s">
        <v>14859</v>
      </c>
      <c r="E2879" s="249">
        <f t="shared" si="692"/>
        <v>0</v>
      </c>
      <c r="F2879" s="336">
        <v>0</v>
      </c>
      <c r="G2879" s="258">
        <f t="shared" si="693"/>
        <v>0</v>
      </c>
      <c r="H2879" s="249">
        <f t="shared" si="694"/>
        <v>10.966718491459758</v>
      </c>
      <c r="I2879" s="336">
        <v>1.8008656261665271E-2</v>
      </c>
      <c r="J2879" s="258">
        <f t="shared" si="695"/>
        <v>1.8008656261665271E-2</v>
      </c>
      <c r="K2879" s="249">
        <f t="shared" si="696"/>
        <v>579.07959926837418</v>
      </c>
      <c r="L2879" s="336">
        <v>0.95091758391428471</v>
      </c>
      <c r="M2879" s="258">
        <f t="shared" si="697"/>
        <v>0.95091758391428471</v>
      </c>
      <c r="N2879" s="251">
        <f t="shared" si="698"/>
        <v>18.922965240165855</v>
      </c>
      <c r="O2879" s="336">
        <v>3.1073759824049876E-2</v>
      </c>
      <c r="P2879" s="258">
        <f t="shared" si="699"/>
        <v>3.1073759824049876E-2</v>
      </c>
      <c r="Q2879" s="354">
        <v>594.71400000000006</v>
      </c>
      <c r="R2879" s="249">
        <f t="shared" si="700"/>
        <v>608.9692829999999</v>
      </c>
      <c r="S2879" s="355">
        <v>0.1</v>
      </c>
      <c r="T2879" s="355"/>
      <c r="U2879" s="315">
        <f t="shared" si="701"/>
        <v>669.86621129999992</v>
      </c>
      <c r="V2879" s="315">
        <f t="shared" si="702"/>
        <v>670</v>
      </c>
      <c r="W2879" s="316">
        <f t="shared" si="704"/>
        <v>0</v>
      </c>
    </row>
    <row r="2880" spans="1:23" x14ac:dyDescent="0.25">
      <c r="A2880" s="204" t="s">
        <v>18556</v>
      </c>
      <c r="B2880" s="351" t="s">
        <v>22560</v>
      </c>
      <c r="C2880" s="352"/>
      <c r="D2880" s="353" t="s">
        <v>5</v>
      </c>
      <c r="E2880" s="249">
        <f t="shared" si="692"/>
        <v>0</v>
      </c>
      <c r="F2880" s="336">
        <v>0</v>
      </c>
      <c r="G2880" s="258">
        <f t="shared" si="693"/>
        <v>0</v>
      </c>
      <c r="H2880" s="249">
        <f t="shared" si="694"/>
        <v>6.3758918562653255E-2</v>
      </c>
      <c r="I2880" s="336">
        <v>1.8008656261665271E-2</v>
      </c>
      <c r="J2880" s="258">
        <f t="shared" si="695"/>
        <v>1.8008656261665271E-2</v>
      </c>
      <c r="K2880" s="249">
        <f t="shared" si="696"/>
        <v>3.3666256836638926</v>
      </c>
      <c r="L2880" s="336">
        <v>0.9509007691091852</v>
      </c>
      <c r="M2880" s="258">
        <f t="shared" si="697"/>
        <v>0.9509007691091852</v>
      </c>
      <c r="N2880" s="251">
        <f t="shared" si="698"/>
        <v>0.1100153888924213</v>
      </c>
      <c r="O2880" s="336">
        <v>3.1073759824049876E-2</v>
      </c>
      <c r="P2880" s="258">
        <f t="shared" si="699"/>
        <v>3.1073759824049876E-2</v>
      </c>
      <c r="Q2880" s="354">
        <v>3.4576395348837212</v>
      </c>
      <c r="R2880" s="249">
        <f t="shared" si="700"/>
        <v>3.540459523255814</v>
      </c>
      <c r="S2880" s="355">
        <v>0.1</v>
      </c>
      <c r="T2880" s="355"/>
      <c r="U2880" s="315">
        <f t="shared" si="701"/>
        <v>3.8945054755813953</v>
      </c>
      <c r="V2880" s="315">
        <f t="shared" si="702"/>
        <v>4</v>
      </c>
      <c r="W2880" s="316">
        <f t="shared" si="704"/>
        <v>0</v>
      </c>
    </row>
    <row r="2881" spans="1:23" x14ac:dyDescent="0.25">
      <c r="A2881" s="204" t="s">
        <v>18557</v>
      </c>
      <c r="B2881" s="351" t="s">
        <v>22561</v>
      </c>
      <c r="C2881" s="352"/>
      <c r="D2881" s="353" t="s">
        <v>14859</v>
      </c>
      <c r="E2881" s="249">
        <f t="shared" si="692"/>
        <v>0</v>
      </c>
      <c r="F2881" s="336">
        <v>0</v>
      </c>
      <c r="G2881" s="258">
        <f t="shared" si="693"/>
        <v>0</v>
      </c>
      <c r="H2881" s="249">
        <f t="shared" si="694"/>
        <v>10.966961840481465</v>
      </c>
      <c r="I2881" s="336">
        <v>1.7236634366082939E-2</v>
      </c>
      <c r="J2881" s="258">
        <f t="shared" si="695"/>
        <v>1.7236634366082939E-2</v>
      </c>
      <c r="K2881" s="249">
        <f t="shared" si="696"/>
        <v>606.36854252300134</v>
      </c>
      <c r="L2881" s="336">
        <v>0.95302172202185231</v>
      </c>
      <c r="M2881" s="258">
        <f t="shared" si="697"/>
        <v>0.95302172202185231</v>
      </c>
      <c r="N2881" s="251">
        <f t="shared" si="698"/>
        <v>18.923385136517037</v>
      </c>
      <c r="O2881" s="336">
        <v>2.9741643612064678E-2</v>
      </c>
      <c r="P2881" s="258">
        <f t="shared" si="699"/>
        <v>2.9741643612064678E-2</v>
      </c>
      <c r="Q2881" s="354">
        <v>621.351</v>
      </c>
      <c r="R2881" s="249">
        <f t="shared" si="700"/>
        <v>636.2588894999999</v>
      </c>
      <c r="S2881" s="355">
        <v>0.1</v>
      </c>
      <c r="T2881" s="355"/>
      <c r="U2881" s="315">
        <f t="shared" si="701"/>
        <v>699.88477844999989</v>
      </c>
      <c r="V2881" s="315">
        <f t="shared" si="702"/>
        <v>700</v>
      </c>
      <c r="W2881" s="316">
        <f t="shared" si="704"/>
        <v>0</v>
      </c>
    </row>
    <row r="2882" spans="1:23" x14ac:dyDescent="0.25">
      <c r="A2882" s="204" t="s">
        <v>18558</v>
      </c>
      <c r="B2882" s="351" t="s">
        <v>22562</v>
      </c>
      <c r="C2882" s="352"/>
      <c r="D2882" s="353" t="s">
        <v>5</v>
      </c>
      <c r="E2882" s="249">
        <f t="shared" ref="E2882:E2945" si="705">R2882*G2882</f>
        <v>0</v>
      </c>
      <c r="F2882" s="336">
        <v>0</v>
      </c>
      <c r="G2882" s="258">
        <f t="shared" ref="G2882:G2945" si="706">F2882</f>
        <v>0</v>
      </c>
      <c r="H2882" s="249">
        <f t="shared" ref="H2882:H2945" si="707">R2882*J2882</f>
        <v>6.3760379367223188E-2</v>
      </c>
      <c r="I2882" s="336">
        <v>1.7236634366082942E-2</v>
      </c>
      <c r="J2882" s="258">
        <f t="shared" ref="J2882:J2945" si="708">I2882</f>
        <v>1.7236634366082942E-2</v>
      </c>
      <c r="K2882" s="249">
        <f t="shared" ref="K2882:K2945" si="709">R2882*M2882</f>
        <v>3.5252822037983722</v>
      </c>
      <c r="L2882" s="336">
        <v>0.9530056280588588</v>
      </c>
      <c r="M2882" s="258">
        <f t="shared" ref="M2882:M2945" si="710">L2882</f>
        <v>0.9530056280588588</v>
      </c>
      <c r="N2882" s="251">
        <f t="shared" ref="N2882:N2945" si="711">P2882*R2882</f>
        <v>0.11001790949638508</v>
      </c>
      <c r="O2882" s="336">
        <v>2.9741643612064678E-2</v>
      </c>
      <c r="P2882" s="258">
        <f t="shared" ref="P2882:P2945" si="712">O2882</f>
        <v>2.9741643612064678E-2</v>
      </c>
      <c r="Q2882" s="354">
        <v>3.6125058139534882</v>
      </c>
      <c r="R2882" s="249">
        <f t="shared" ref="R2882:R2944" si="713">SUM(F2882*Q2882*1.0235,I2882*Q2882*1.0175,L2882*Q2882*1.0245,O2882*Q2882*1.0115)</f>
        <v>3.6991200261627903</v>
      </c>
      <c r="S2882" s="355">
        <v>0.1</v>
      </c>
      <c r="T2882" s="355"/>
      <c r="U2882" s="315">
        <f t="shared" si="701"/>
        <v>4.0690320287790698</v>
      </c>
      <c r="V2882" s="315">
        <f t="shared" si="702"/>
        <v>5</v>
      </c>
      <c r="W2882" s="316">
        <f t="shared" si="704"/>
        <v>0</v>
      </c>
    </row>
    <row r="2883" spans="1:23" x14ac:dyDescent="0.25">
      <c r="A2883" s="204" t="s">
        <v>18559</v>
      </c>
      <c r="B2883" s="351" t="s">
        <v>22563</v>
      </c>
      <c r="C2883" s="352"/>
      <c r="D2883" s="353" t="s">
        <v>14859</v>
      </c>
      <c r="E2883" s="249">
        <f t="shared" si="705"/>
        <v>0</v>
      </c>
      <c r="F2883" s="336">
        <v>0</v>
      </c>
      <c r="G2883" s="258">
        <f t="shared" si="706"/>
        <v>0</v>
      </c>
      <c r="H2883" s="249">
        <f t="shared" si="707"/>
        <v>10.968364174366478</v>
      </c>
      <c r="I2883" s="336">
        <v>1.2787746687991517E-2</v>
      </c>
      <c r="J2883" s="258">
        <f t="shared" si="708"/>
        <v>1.2787746687991517E-2</v>
      </c>
      <c r="K2883" s="249">
        <f t="shared" si="709"/>
        <v>827.83037322574626</v>
      </c>
      <c r="L2883" s="336">
        <v>0.96514712177194462</v>
      </c>
      <c r="M2883" s="258">
        <f t="shared" si="710"/>
        <v>0.96514712177194462</v>
      </c>
      <c r="N2883" s="251">
        <f t="shared" si="711"/>
        <v>18.925804849887257</v>
      </c>
      <c r="O2883" s="336">
        <v>2.2065131540063794E-2</v>
      </c>
      <c r="P2883" s="258">
        <f t="shared" si="712"/>
        <v>2.2065131540063794E-2</v>
      </c>
      <c r="Q2883" s="354">
        <v>837.52050000000008</v>
      </c>
      <c r="R2883" s="249">
        <f t="shared" si="713"/>
        <v>857.72454225000001</v>
      </c>
      <c r="S2883" s="355">
        <v>0.1</v>
      </c>
      <c r="T2883" s="355"/>
      <c r="U2883" s="315">
        <f t="shared" si="701"/>
        <v>943.49699647500006</v>
      </c>
      <c r="V2883" s="315">
        <f t="shared" si="702"/>
        <v>945</v>
      </c>
      <c r="W2883" s="316">
        <f t="shared" si="704"/>
        <v>0</v>
      </c>
    </row>
    <row r="2884" spans="1:23" ht="14.4" thickBot="1" x14ac:dyDescent="0.3">
      <c r="A2884" s="356" t="s">
        <v>18560</v>
      </c>
      <c r="B2884" s="357" t="s">
        <v>22564</v>
      </c>
      <c r="C2884" s="358"/>
      <c r="D2884" s="359" t="s">
        <v>5</v>
      </c>
      <c r="E2884" s="266">
        <f t="shared" si="705"/>
        <v>0</v>
      </c>
      <c r="F2884" s="360">
        <v>0</v>
      </c>
      <c r="G2884" s="322">
        <f t="shared" si="706"/>
        <v>0</v>
      </c>
      <c r="H2884" s="266">
        <f t="shared" si="707"/>
        <v>6.376879746454453E-2</v>
      </c>
      <c r="I2884" s="360">
        <v>1.2787746687991519E-2</v>
      </c>
      <c r="J2884" s="322">
        <f t="shared" si="708"/>
        <v>1.2787746687991519E-2</v>
      </c>
      <c r="K2884" s="266">
        <f t="shared" si="709"/>
        <v>4.8128502568570823</v>
      </c>
      <c r="L2884" s="360">
        <v>0.9651351817656999</v>
      </c>
      <c r="M2884" s="322">
        <f t="shared" si="710"/>
        <v>0.9651351817656999</v>
      </c>
      <c r="N2884" s="270">
        <f t="shared" si="711"/>
        <v>0.11003243484078269</v>
      </c>
      <c r="O2884" s="360">
        <v>2.2065131540063794E-2</v>
      </c>
      <c r="P2884" s="322">
        <f t="shared" si="712"/>
        <v>2.2065131540063794E-2</v>
      </c>
      <c r="Q2884" s="361">
        <v>4.8693052325581396</v>
      </c>
      <c r="R2884" s="266">
        <f t="shared" si="713"/>
        <v>4.9867110305232547</v>
      </c>
      <c r="S2884" s="362">
        <v>0.1</v>
      </c>
      <c r="T2884" s="362"/>
      <c r="U2884" s="324">
        <f t="shared" si="701"/>
        <v>5.4853821335755804</v>
      </c>
      <c r="V2884" s="324">
        <f t="shared" si="702"/>
        <v>6</v>
      </c>
      <c r="W2884" s="325">
        <f t="shared" si="704"/>
        <v>0</v>
      </c>
    </row>
    <row r="2885" spans="1:23" x14ac:dyDescent="0.25">
      <c r="A2885" s="203" t="s">
        <v>18561</v>
      </c>
      <c r="B2885" s="345" t="s">
        <v>9141</v>
      </c>
      <c r="C2885" s="346"/>
      <c r="D2885" s="347"/>
      <c r="E2885" s="347"/>
      <c r="F2885" s="347"/>
      <c r="G2885" s="347"/>
      <c r="H2885" s="347"/>
      <c r="I2885" s="347"/>
      <c r="J2885" s="347"/>
      <c r="K2885" s="347"/>
      <c r="L2885" s="347"/>
      <c r="M2885" s="347"/>
      <c r="N2885" s="347"/>
      <c r="O2885" s="347"/>
      <c r="P2885" s="347"/>
      <c r="Q2885" s="347"/>
      <c r="R2885" s="347"/>
      <c r="S2885" s="347"/>
      <c r="T2885" s="348"/>
      <c r="U2885" s="349"/>
      <c r="V2885" s="349"/>
      <c r="W2885" s="350"/>
    </row>
    <row r="2886" spans="1:23" x14ac:dyDescent="0.25">
      <c r="A2886" s="204" t="s">
        <v>18562</v>
      </c>
      <c r="B2886" s="351" t="s">
        <v>18563</v>
      </c>
      <c r="C2886" s="352"/>
      <c r="D2886" s="353" t="s">
        <v>5</v>
      </c>
      <c r="E2886" s="249">
        <f t="shared" si="705"/>
        <v>0</v>
      </c>
      <c r="F2886" s="336">
        <v>0</v>
      </c>
      <c r="G2886" s="258">
        <f t="shared" si="706"/>
        <v>0</v>
      </c>
      <c r="H2886" s="249">
        <f t="shared" si="707"/>
        <v>6.3781213081395366E-2</v>
      </c>
      <c r="I2886" s="336">
        <v>6.4285714285714293E-3</v>
      </c>
      <c r="J2886" s="258">
        <f t="shared" si="708"/>
        <v>6.4285714285714293E-3</v>
      </c>
      <c r="K2886" s="249">
        <f t="shared" si="709"/>
        <v>9.7476869639363901</v>
      </c>
      <c r="L2886" s="336">
        <v>0.98247899159663876</v>
      </c>
      <c r="M2886" s="258">
        <f t="shared" si="710"/>
        <v>0.98247899159663876</v>
      </c>
      <c r="N2886" s="251">
        <f t="shared" si="711"/>
        <v>0.11005385786593709</v>
      </c>
      <c r="O2886" s="336">
        <v>1.1092436974789916E-2</v>
      </c>
      <c r="P2886" s="258">
        <f t="shared" si="712"/>
        <v>1.1092436974789916E-2</v>
      </c>
      <c r="Q2886" s="354">
        <v>9.6860465116279073</v>
      </c>
      <c r="R2886" s="249">
        <f t="shared" si="713"/>
        <v>9.9215220348837221</v>
      </c>
      <c r="S2886" s="355">
        <v>0.1</v>
      </c>
      <c r="T2886" s="355"/>
      <c r="U2886" s="315">
        <f t="shared" si="701"/>
        <v>10.913674238372094</v>
      </c>
      <c r="V2886" s="315">
        <f t="shared" si="702"/>
        <v>11</v>
      </c>
      <c r="W2886" s="316">
        <f t="shared" si="704"/>
        <v>0</v>
      </c>
    </row>
    <row r="2887" spans="1:23" x14ac:dyDescent="0.25">
      <c r="A2887" s="204" t="s">
        <v>18564</v>
      </c>
      <c r="B2887" s="351" t="s">
        <v>18565</v>
      </c>
      <c r="C2887" s="352"/>
      <c r="D2887" s="353" t="s">
        <v>14859</v>
      </c>
      <c r="E2887" s="249">
        <f t="shared" si="705"/>
        <v>0</v>
      </c>
      <c r="F2887" s="336">
        <v>0</v>
      </c>
      <c r="G2887" s="258">
        <f t="shared" si="706"/>
        <v>0</v>
      </c>
      <c r="H2887" s="249">
        <f t="shared" si="707"/>
        <v>10.970368650000001</v>
      </c>
      <c r="I2887" s="336">
        <v>6.4285714285714293E-3</v>
      </c>
      <c r="J2887" s="258">
        <f t="shared" si="708"/>
        <v>6.4285714285714293E-3</v>
      </c>
      <c r="K2887" s="249">
        <f t="shared" si="709"/>
        <v>1676.6021577970589</v>
      </c>
      <c r="L2887" s="336">
        <v>0.98247899159663865</v>
      </c>
      <c r="M2887" s="258">
        <f t="shared" si="710"/>
        <v>0.98247899159663865</v>
      </c>
      <c r="N2887" s="251">
        <f t="shared" si="711"/>
        <v>18.929263552941176</v>
      </c>
      <c r="O2887" s="336">
        <v>1.1092436974789916E-2</v>
      </c>
      <c r="P2887" s="258">
        <f t="shared" si="712"/>
        <v>1.1092436974789916E-2</v>
      </c>
      <c r="Q2887" s="354">
        <v>1666</v>
      </c>
      <c r="R2887" s="249">
        <f t="shared" si="713"/>
        <v>1706.50179</v>
      </c>
      <c r="S2887" s="355">
        <v>0.1</v>
      </c>
      <c r="T2887" s="355"/>
      <c r="U2887" s="315">
        <f t="shared" si="701"/>
        <v>1877.151969</v>
      </c>
      <c r="V2887" s="315">
        <f t="shared" si="702"/>
        <v>1900</v>
      </c>
      <c r="W2887" s="316">
        <f t="shared" si="704"/>
        <v>0</v>
      </c>
    </row>
    <row r="2888" spans="1:23" x14ac:dyDescent="0.25">
      <c r="A2888" s="204" t="s">
        <v>18566</v>
      </c>
      <c r="B2888" s="351" t="s">
        <v>18567</v>
      </c>
      <c r="C2888" s="352"/>
      <c r="D2888" s="353" t="s">
        <v>5</v>
      </c>
      <c r="E2888" s="249">
        <f t="shared" si="705"/>
        <v>0</v>
      </c>
      <c r="F2888" s="336">
        <v>0</v>
      </c>
      <c r="G2888" s="258">
        <f t="shared" si="706"/>
        <v>0</v>
      </c>
      <c r="H2888" s="249">
        <f t="shared" si="707"/>
        <v>6.3781648914168584E-2</v>
      </c>
      <c r="I2888" s="336">
        <v>6.1907514450867066E-3</v>
      </c>
      <c r="J2888" s="258">
        <f t="shared" si="708"/>
        <v>6.1907514450867066E-3</v>
      </c>
      <c r="K2888" s="249">
        <f t="shared" si="709"/>
        <v>10.128895078404019</v>
      </c>
      <c r="L2888" s="336">
        <v>0.98312716763005792</v>
      </c>
      <c r="M2888" s="258">
        <f t="shared" si="710"/>
        <v>0.98312716763005792</v>
      </c>
      <c r="N2888" s="251">
        <f t="shared" si="711"/>
        <v>0.1100546098911144</v>
      </c>
      <c r="O2888" s="336">
        <v>1.0682080924855493E-2</v>
      </c>
      <c r="P2888" s="258">
        <f t="shared" si="712"/>
        <v>1.0682080924855493E-2</v>
      </c>
      <c r="Q2888" s="354">
        <v>10.05813953488372</v>
      </c>
      <c r="R2888" s="249">
        <f t="shared" si="713"/>
        <v>10.302731337209302</v>
      </c>
      <c r="S2888" s="355">
        <v>0.1</v>
      </c>
      <c r="T2888" s="355"/>
      <c r="U2888" s="315">
        <f t="shared" si="701"/>
        <v>11.333004470930232</v>
      </c>
      <c r="V2888" s="315">
        <f t="shared" si="702"/>
        <v>12</v>
      </c>
      <c r="W2888" s="316">
        <f t="shared" si="704"/>
        <v>0</v>
      </c>
    </row>
    <row r="2889" spans="1:23" x14ac:dyDescent="0.25">
      <c r="A2889" s="204" t="s">
        <v>18568</v>
      </c>
      <c r="B2889" s="351" t="s">
        <v>18569</v>
      </c>
      <c r="C2889" s="352"/>
      <c r="D2889" s="353" t="s">
        <v>14859</v>
      </c>
      <c r="E2889" s="249">
        <f t="shared" si="705"/>
        <v>0</v>
      </c>
      <c r="F2889" s="336">
        <v>0</v>
      </c>
      <c r="G2889" s="258">
        <f t="shared" si="706"/>
        <v>0</v>
      </c>
      <c r="H2889" s="249">
        <f t="shared" si="707"/>
        <v>10.970443613236995</v>
      </c>
      <c r="I2889" s="336">
        <v>6.1907514450867058E-3</v>
      </c>
      <c r="J2889" s="258">
        <f t="shared" si="708"/>
        <v>6.1907514450867058E-3</v>
      </c>
      <c r="K2889" s="249">
        <f t="shared" si="709"/>
        <v>1742.1699534854913</v>
      </c>
      <c r="L2889" s="336">
        <v>0.98312716763005781</v>
      </c>
      <c r="M2889" s="258">
        <f t="shared" si="710"/>
        <v>0.98312716763005781</v>
      </c>
      <c r="N2889" s="251">
        <f t="shared" si="711"/>
        <v>18.929392901271676</v>
      </c>
      <c r="O2889" s="336">
        <v>1.0682080924855491E-2</v>
      </c>
      <c r="P2889" s="258">
        <f t="shared" si="712"/>
        <v>1.0682080924855491E-2</v>
      </c>
      <c r="Q2889" s="354">
        <v>1730</v>
      </c>
      <c r="R2889" s="249">
        <f t="shared" si="713"/>
        <v>1772.06979</v>
      </c>
      <c r="S2889" s="355">
        <v>0.1</v>
      </c>
      <c r="T2889" s="355"/>
      <c r="U2889" s="315">
        <f t="shared" si="701"/>
        <v>1949.2767690000001</v>
      </c>
      <c r="V2889" s="315">
        <f t="shared" si="702"/>
        <v>1950</v>
      </c>
      <c r="W2889" s="316">
        <f t="shared" si="704"/>
        <v>0</v>
      </c>
    </row>
    <row r="2890" spans="1:23" x14ac:dyDescent="0.25">
      <c r="A2890" s="204" t="s">
        <v>18570</v>
      </c>
      <c r="B2890" s="351" t="s">
        <v>18571</v>
      </c>
      <c r="C2890" s="352"/>
      <c r="D2890" s="353" t="s">
        <v>5</v>
      </c>
      <c r="E2890" s="249">
        <f t="shared" si="705"/>
        <v>0</v>
      </c>
      <c r="F2890" s="336">
        <v>0</v>
      </c>
      <c r="G2890" s="258">
        <f t="shared" si="706"/>
        <v>0</v>
      </c>
      <c r="H2890" s="249">
        <f t="shared" si="707"/>
        <v>6.3782286428082063E-2</v>
      </c>
      <c r="I2890" s="336">
        <v>5.8428805237315884E-3</v>
      </c>
      <c r="J2890" s="258">
        <f t="shared" si="708"/>
        <v>5.8428805237315884E-3</v>
      </c>
      <c r="K2890" s="249">
        <f t="shared" si="709"/>
        <v>10.742402061796332</v>
      </c>
      <c r="L2890" s="336">
        <v>0.98407528641571207</v>
      </c>
      <c r="M2890" s="258">
        <f t="shared" si="710"/>
        <v>0.98407528641571207</v>
      </c>
      <c r="N2890" s="251">
        <f t="shared" si="711"/>
        <v>0.11005570991512198</v>
      </c>
      <c r="O2890" s="336">
        <v>1.0081833060556464E-2</v>
      </c>
      <c r="P2890" s="258">
        <f t="shared" si="712"/>
        <v>1.0081833060556464E-2</v>
      </c>
      <c r="Q2890" s="354">
        <v>10.656976744186046</v>
      </c>
      <c r="R2890" s="249">
        <f t="shared" si="713"/>
        <v>10.916240058139534</v>
      </c>
      <c r="S2890" s="355">
        <v>0.1</v>
      </c>
      <c r="T2890" s="355"/>
      <c r="U2890" s="315">
        <f t="shared" si="701"/>
        <v>12.007864063953487</v>
      </c>
      <c r="V2890" s="315">
        <f t="shared" si="702"/>
        <v>13</v>
      </c>
      <c r="W2890" s="316">
        <f t="shared" si="704"/>
        <v>0</v>
      </c>
    </row>
    <row r="2891" spans="1:23" x14ac:dyDescent="0.25">
      <c r="A2891" s="204" t="s">
        <v>18572</v>
      </c>
      <c r="B2891" s="351" t="s">
        <v>18573</v>
      </c>
      <c r="C2891" s="352"/>
      <c r="D2891" s="353" t="s">
        <v>14859</v>
      </c>
      <c r="E2891" s="249">
        <f t="shared" si="705"/>
        <v>0</v>
      </c>
      <c r="F2891" s="336">
        <v>0</v>
      </c>
      <c r="G2891" s="258">
        <f t="shared" si="706"/>
        <v>0</v>
      </c>
      <c r="H2891" s="249">
        <f t="shared" si="707"/>
        <v>10.970553265630116</v>
      </c>
      <c r="I2891" s="336">
        <v>5.8428805237315884E-3</v>
      </c>
      <c r="J2891" s="258">
        <f t="shared" si="708"/>
        <v>5.8428805237315884E-3</v>
      </c>
      <c r="K2891" s="249">
        <f t="shared" si="709"/>
        <v>1847.6931546289688</v>
      </c>
      <c r="L2891" s="336">
        <v>0.98407528641571196</v>
      </c>
      <c r="M2891" s="258">
        <f t="shared" si="710"/>
        <v>0.98407528641571196</v>
      </c>
      <c r="N2891" s="251">
        <f t="shared" si="711"/>
        <v>18.929582105400982</v>
      </c>
      <c r="O2891" s="336">
        <v>1.0081833060556464E-2</v>
      </c>
      <c r="P2891" s="258">
        <f t="shared" si="712"/>
        <v>1.0081833060556464E-2</v>
      </c>
      <c r="Q2891" s="354">
        <v>1833</v>
      </c>
      <c r="R2891" s="249">
        <f t="shared" si="713"/>
        <v>1877.59329</v>
      </c>
      <c r="S2891" s="355">
        <v>0.1</v>
      </c>
      <c r="T2891" s="355"/>
      <c r="U2891" s="315">
        <f t="shared" si="701"/>
        <v>2065.3526190000002</v>
      </c>
      <c r="V2891" s="315">
        <f t="shared" si="702"/>
        <v>2075</v>
      </c>
      <c r="W2891" s="316">
        <f t="shared" si="704"/>
        <v>0</v>
      </c>
    </row>
    <row r="2892" spans="1:23" x14ac:dyDescent="0.25">
      <c r="A2892" s="204" t="s">
        <v>18574</v>
      </c>
      <c r="B2892" s="351" t="s">
        <v>18575</v>
      </c>
      <c r="C2892" s="352"/>
      <c r="D2892" s="353" t="s">
        <v>5</v>
      </c>
      <c r="E2892" s="249">
        <f t="shared" si="705"/>
        <v>0</v>
      </c>
      <c r="F2892" s="336">
        <v>0</v>
      </c>
      <c r="G2892" s="258">
        <f t="shared" si="706"/>
        <v>0</v>
      </c>
      <c r="H2892" s="249">
        <f t="shared" si="707"/>
        <v>6.3783647843023261E-2</v>
      </c>
      <c r="I2892" s="336">
        <v>5.1000000000000004E-3</v>
      </c>
      <c r="J2892" s="258">
        <f t="shared" si="708"/>
        <v>5.1000000000000004E-3</v>
      </c>
      <c r="K2892" s="249">
        <f t="shared" si="709"/>
        <v>12.332755909412791</v>
      </c>
      <c r="L2892" s="336">
        <v>0.98610000000000009</v>
      </c>
      <c r="M2892" s="258">
        <f t="shared" si="710"/>
        <v>0.98610000000000009</v>
      </c>
      <c r="N2892" s="251">
        <f t="shared" si="711"/>
        <v>0.11005805902325581</v>
      </c>
      <c r="O2892" s="336">
        <v>8.8000000000000005E-3</v>
      </c>
      <c r="P2892" s="258">
        <f t="shared" si="712"/>
        <v>8.8000000000000005E-3</v>
      </c>
      <c r="Q2892" s="354">
        <v>12.209302325581396</v>
      </c>
      <c r="R2892" s="249">
        <f t="shared" si="713"/>
        <v>12.50659761627907</v>
      </c>
      <c r="S2892" s="355">
        <v>0.1</v>
      </c>
      <c r="T2892" s="355"/>
      <c r="U2892" s="315">
        <f t="shared" si="701"/>
        <v>13.757257377906978</v>
      </c>
      <c r="V2892" s="315">
        <f t="shared" si="702"/>
        <v>14</v>
      </c>
      <c r="W2892" s="316">
        <f t="shared" si="704"/>
        <v>0</v>
      </c>
    </row>
    <row r="2893" spans="1:23" x14ac:dyDescent="0.25">
      <c r="A2893" s="204" t="s">
        <v>18576</v>
      </c>
      <c r="B2893" s="351" t="s">
        <v>18577</v>
      </c>
      <c r="C2893" s="352"/>
      <c r="D2893" s="353" t="s">
        <v>14859</v>
      </c>
      <c r="E2893" s="249">
        <f t="shared" si="705"/>
        <v>0</v>
      </c>
      <c r="F2893" s="336">
        <v>0</v>
      </c>
      <c r="G2893" s="258">
        <f t="shared" si="706"/>
        <v>0</v>
      </c>
      <c r="H2893" s="249">
        <f t="shared" si="707"/>
        <v>10.970787429000001</v>
      </c>
      <c r="I2893" s="336">
        <v>5.1000000000000004E-3</v>
      </c>
      <c r="J2893" s="258">
        <f t="shared" si="708"/>
        <v>5.1000000000000004E-3</v>
      </c>
      <c r="K2893" s="249">
        <f t="shared" si="709"/>
        <v>2121.234016419</v>
      </c>
      <c r="L2893" s="336">
        <v>0.98609999999999998</v>
      </c>
      <c r="M2893" s="258">
        <f t="shared" si="710"/>
        <v>0.98609999999999998</v>
      </c>
      <c r="N2893" s="251">
        <f t="shared" si="711"/>
        <v>18.929986152000001</v>
      </c>
      <c r="O2893" s="336">
        <v>8.8000000000000005E-3</v>
      </c>
      <c r="P2893" s="258">
        <f t="shared" si="712"/>
        <v>8.8000000000000005E-3</v>
      </c>
      <c r="Q2893" s="354">
        <v>2100</v>
      </c>
      <c r="R2893" s="249">
        <f t="shared" si="713"/>
        <v>2151.1347900000001</v>
      </c>
      <c r="S2893" s="355">
        <v>0.1</v>
      </c>
      <c r="T2893" s="355"/>
      <c r="U2893" s="315">
        <f t="shared" si="701"/>
        <v>2366.2482690000002</v>
      </c>
      <c r="V2893" s="315">
        <f t="shared" si="702"/>
        <v>2375</v>
      </c>
      <c r="W2893" s="316">
        <f t="shared" si="704"/>
        <v>0</v>
      </c>
    </row>
    <row r="2894" spans="1:23" x14ac:dyDescent="0.25">
      <c r="A2894" s="204" t="s">
        <v>18578</v>
      </c>
      <c r="B2894" s="351" t="s">
        <v>18579</v>
      </c>
      <c r="C2894" s="352"/>
      <c r="D2894" s="353" t="s">
        <v>5</v>
      </c>
      <c r="E2894" s="249">
        <f t="shared" si="705"/>
        <v>0</v>
      </c>
      <c r="F2894" s="336">
        <v>0</v>
      </c>
      <c r="G2894" s="258">
        <f t="shared" si="706"/>
        <v>0</v>
      </c>
      <c r="H2894" s="249">
        <f t="shared" si="707"/>
        <v>6.3783736016070652E-2</v>
      </c>
      <c r="I2894" s="336">
        <v>5.0518867924528301E-3</v>
      </c>
      <c r="J2894" s="258">
        <f t="shared" si="708"/>
        <v>5.0518867924528301E-3</v>
      </c>
      <c r="K2894" s="249">
        <f t="shared" si="709"/>
        <v>12.45188357607476</v>
      </c>
      <c r="L2894" s="336">
        <v>0.98623113207547175</v>
      </c>
      <c r="M2894" s="258">
        <f t="shared" si="710"/>
        <v>0.98623113207547175</v>
      </c>
      <c r="N2894" s="251">
        <f t="shared" si="711"/>
        <v>0.11005821116498464</v>
      </c>
      <c r="O2894" s="336">
        <v>8.7169811320754707E-3</v>
      </c>
      <c r="P2894" s="258">
        <f t="shared" si="712"/>
        <v>8.7169811320754707E-3</v>
      </c>
      <c r="Q2894" s="354">
        <v>12.325581395348838</v>
      </c>
      <c r="R2894" s="249">
        <f t="shared" si="713"/>
        <v>12.625725523255815</v>
      </c>
      <c r="S2894" s="355">
        <v>0.1</v>
      </c>
      <c r="T2894" s="355"/>
      <c r="U2894" s="315">
        <f t="shared" si="701"/>
        <v>13.888298075581396</v>
      </c>
      <c r="V2894" s="315">
        <f t="shared" si="702"/>
        <v>14</v>
      </c>
      <c r="W2894" s="316">
        <f t="shared" si="704"/>
        <v>0</v>
      </c>
    </row>
    <row r="2895" spans="1:23" x14ac:dyDescent="0.25">
      <c r="A2895" s="204" t="s">
        <v>18580</v>
      </c>
      <c r="B2895" s="351" t="s">
        <v>18581</v>
      </c>
      <c r="C2895" s="352"/>
      <c r="D2895" s="353" t="s">
        <v>14859</v>
      </c>
      <c r="E2895" s="249">
        <f t="shared" si="705"/>
        <v>0</v>
      </c>
      <c r="F2895" s="336">
        <v>0</v>
      </c>
      <c r="G2895" s="258">
        <f t="shared" si="706"/>
        <v>0</v>
      </c>
      <c r="H2895" s="249">
        <f t="shared" si="707"/>
        <v>10.970802594764152</v>
      </c>
      <c r="I2895" s="336">
        <v>5.051886792452831E-3</v>
      </c>
      <c r="J2895" s="258">
        <f t="shared" si="708"/>
        <v>5.051886792452831E-3</v>
      </c>
      <c r="K2895" s="249">
        <f t="shared" si="709"/>
        <v>2141.723975084858</v>
      </c>
      <c r="L2895" s="336">
        <v>0.98623113207547164</v>
      </c>
      <c r="M2895" s="258">
        <f t="shared" si="710"/>
        <v>0.98623113207547164</v>
      </c>
      <c r="N2895" s="251">
        <f t="shared" si="711"/>
        <v>18.930012320377358</v>
      </c>
      <c r="O2895" s="336">
        <v>8.7169811320754725E-3</v>
      </c>
      <c r="P2895" s="258">
        <f t="shared" si="712"/>
        <v>8.7169811320754725E-3</v>
      </c>
      <c r="Q2895" s="354">
        <v>2120</v>
      </c>
      <c r="R2895" s="249">
        <f t="shared" si="713"/>
        <v>2171.6247899999998</v>
      </c>
      <c r="S2895" s="355">
        <v>0.1</v>
      </c>
      <c r="T2895" s="355"/>
      <c r="U2895" s="315">
        <f t="shared" si="701"/>
        <v>2388.7872689999999</v>
      </c>
      <c r="V2895" s="315">
        <f t="shared" si="702"/>
        <v>2400</v>
      </c>
      <c r="W2895" s="316">
        <f t="shared" si="704"/>
        <v>0</v>
      </c>
    </row>
    <row r="2896" spans="1:23" x14ac:dyDescent="0.25">
      <c r="A2896" s="204" t="s">
        <v>18582</v>
      </c>
      <c r="B2896" s="351" t="s">
        <v>18583</v>
      </c>
      <c r="C2896" s="352"/>
      <c r="D2896" s="353" t="s">
        <v>5</v>
      </c>
      <c r="E2896" s="249">
        <f t="shared" si="705"/>
        <v>0</v>
      </c>
      <c r="F2896" s="336">
        <v>0</v>
      </c>
      <c r="G2896" s="258">
        <f t="shared" si="706"/>
        <v>0</v>
      </c>
      <c r="H2896" s="249">
        <f t="shared" si="707"/>
        <v>6.3783822541023702E-2</v>
      </c>
      <c r="I2896" s="336">
        <v>5.0046728971962617E-3</v>
      </c>
      <c r="J2896" s="258">
        <f t="shared" si="708"/>
        <v>5.0046728971962617E-3</v>
      </c>
      <c r="K2896" s="249">
        <f t="shared" si="709"/>
        <v>12.571011247228595</v>
      </c>
      <c r="L2896" s="336">
        <v>0.98635981308411225</v>
      </c>
      <c r="M2896" s="258">
        <f t="shared" si="710"/>
        <v>0.98635981308411225</v>
      </c>
      <c r="N2896" s="251">
        <f t="shared" si="711"/>
        <v>0.11005836046294284</v>
      </c>
      <c r="O2896" s="336">
        <v>8.6355140186915886E-3</v>
      </c>
      <c r="P2896" s="258">
        <f t="shared" si="712"/>
        <v>8.6355140186915886E-3</v>
      </c>
      <c r="Q2896" s="354">
        <v>12.44186046511628</v>
      </c>
      <c r="R2896" s="249">
        <f t="shared" si="713"/>
        <v>12.74485343023256</v>
      </c>
      <c r="S2896" s="355">
        <v>0.1</v>
      </c>
      <c r="T2896" s="355"/>
      <c r="U2896" s="315">
        <f t="shared" si="701"/>
        <v>14.019338773255816</v>
      </c>
      <c r="V2896" s="315">
        <f t="shared" si="702"/>
        <v>15</v>
      </c>
      <c r="W2896" s="316">
        <f t="shared" si="704"/>
        <v>0</v>
      </c>
    </row>
    <row r="2897" spans="1:23" x14ac:dyDescent="0.25">
      <c r="A2897" s="204" t="s">
        <v>18584</v>
      </c>
      <c r="B2897" s="351" t="s">
        <v>18585</v>
      </c>
      <c r="C2897" s="352"/>
      <c r="D2897" s="353" t="s">
        <v>14859</v>
      </c>
      <c r="E2897" s="249">
        <f t="shared" si="705"/>
        <v>0</v>
      </c>
      <c r="F2897" s="336">
        <v>0</v>
      </c>
      <c r="G2897" s="258">
        <f t="shared" si="706"/>
        <v>0</v>
      </c>
      <c r="H2897" s="249">
        <f t="shared" si="707"/>
        <v>10.970817477056075</v>
      </c>
      <c r="I2897" s="336">
        <v>5.0046728971962617E-3</v>
      </c>
      <c r="J2897" s="258">
        <f t="shared" si="708"/>
        <v>5.0046728971962617E-3</v>
      </c>
      <c r="K2897" s="249">
        <f t="shared" si="709"/>
        <v>2162.2139345233177</v>
      </c>
      <c r="L2897" s="336">
        <v>0.98635981308411214</v>
      </c>
      <c r="M2897" s="258">
        <f t="shared" si="710"/>
        <v>0.98635981308411214</v>
      </c>
      <c r="N2897" s="251">
        <f t="shared" si="711"/>
        <v>18.930037999626169</v>
      </c>
      <c r="O2897" s="336">
        <v>8.6355140186915886E-3</v>
      </c>
      <c r="P2897" s="258">
        <f t="shared" si="712"/>
        <v>8.6355140186915886E-3</v>
      </c>
      <c r="Q2897" s="354">
        <v>2140</v>
      </c>
      <c r="R2897" s="249">
        <f t="shared" si="713"/>
        <v>2192.1147900000001</v>
      </c>
      <c r="S2897" s="355">
        <v>0.1</v>
      </c>
      <c r="T2897" s="355"/>
      <c r="U2897" s="315">
        <f t="shared" si="701"/>
        <v>2411.3262690000001</v>
      </c>
      <c r="V2897" s="315">
        <f t="shared" si="702"/>
        <v>2425</v>
      </c>
      <c r="W2897" s="316">
        <f t="shared" si="704"/>
        <v>0</v>
      </c>
    </row>
    <row r="2898" spans="1:23" x14ac:dyDescent="0.25">
      <c r="A2898" s="204" t="s">
        <v>18586</v>
      </c>
      <c r="B2898" s="351" t="s">
        <v>18587</v>
      </c>
      <c r="C2898" s="352"/>
      <c r="D2898" s="353" t="s">
        <v>5</v>
      </c>
      <c r="E2898" s="249">
        <f t="shared" si="705"/>
        <v>0</v>
      </c>
      <c r="F2898" s="336">
        <v>0</v>
      </c>
      <c r="G2898" s="258">
        <f t="shared" si="706"/>
        <v>0</v>
      </c>
      <c r="H2898" s="249">
        <f t="shared" si="707"/>
        <v>6.3783990828088333E-2</v>
      </c>
      <c r="I2898" s="336">
        <v>4.9128440366972481E-3</v>
      </c>
      <c r="J2898" s="258">
        <f t="shared" si="708"/>
        <v>4.9128440366972481E-3</v>
      </c>
      <c r="K2898" s="249">
        <f t="shared" si="709"/>
        <v>12.809266602517335</v>
      </c>
      <c r="L2898" s="336">
        <v>0.98661009174311931</v>
      </c>
      <c r="M2898" s="258">
        <f t="shared" si="710"/>
        <v>0.98661009174311931</v>
      </c>
      <c r="N2898" s="251">
        <f t="shared" si="711"/>
        <v>0.11005865084062301</v>
      </c>
      <c r="O2898" s="336">
        <v>8.4770642201834872E-3</v>
      </c>
      <c r="P2898" s="258">
        <f t="shared" si="712"/>
        <v>8.4770642201834872E-3</v>
      </c>
      <c r="Q2898" s="354">
        <v>12.674418604651162</v>
      </c>
      <c r="R2898" s="249">
        <f t="shared" si="713"/>
        <v>12.983109244186046</v>
      </c>
      <c r="S2898" s="355">
        <v>0.1</v>
      </c>
      <c r="T2898" s="355"/>
      <c r="U2898" s="315">
        <f t="shared" si="701"/>
        <v>14.281420168604651</v>
      </c>
      <c r="V2898" s="315">
        <f t="shared" si="702"/>
        <v>15</v>
      </c>
      <c r="W2898" s="316">
        <f t="shared" si="704"/>
        <v>0</v>
      </c>
    </row>
    <row r="2899" spans="1:23" x14ac:dyDescent="0.25">
      <c r="A2899" s="204" t="s">
        <v>18588</v>
      </c>
      <c r="B2899" s="351" t="s">
        <v>18589</v>
      </c>
      <c r="C2899" s="352"/>
      <c r="D2899" s="353" t="s">
        <v>14859</v>
      </c>
      <c r="E2899" s="249">
        <f t="shared" si="705"/>
        <v>0</v>
      </c>
      <c r="F2899" s="336">
        <v>0</v>
      </c>
      <c r="G2899" s="258">
        <f t="shared" si="706"/>
        <v>0</v>
      </c>
      <c r="H2899" s="249">
        <f t="shared" si="707"/>
        <v>10.970846422431194</v>
      </c>
      <c r="I2899" s="336">
        <v>4.9128440366972481E-3</v>
      </c>
      <c r="J2899" s="258">
        <f t="shared" si="708"/>
        <v>4.9128440366972481E-3</v>
      </c>
      <c r="K2899" s="249">
        <f t="shared" si="709"/>
        <v>2203.1938556329815</v>
      </c>
      <c r="L2899" s="336">
        <v>0.9866100917431192</v>
      </c>
      <c r="M2899" s="258">
        <f t="shared" si="710"/>
        <v>0.9866100917431192</v>
      </c>
      <c r="N2899" s="251">
        <f t="shared" si="711"/>
        <v>18.930087944587157</v>
      </c>
      <c r="O2899" s="336">
        <v>8.4770642201834872E-3</v>
      </c>
      <c r="P2899" s="258">
        <f t="shared" si="712"/>
        <v>8.4770642201834872E-3</v>
      </c>
      <c r="Q2899" s="354">
        <v>2180</v>
      </c>
      <c r="R2899" s="249">
        <f t="shared" si="713"/>
        <v>2233.0947900000001</v>
      </c>
      <c r="S2899" s="355">
        <v>0.1</v>
      </c>
      <c r="T2899" s="355"/>
      <c r="U2899" s="315">
        <f t="shared" si="701"/>
        <v>2456.4042690000001</v>
      </c>
      <c r="V2899" s="315">
        <f t="shared" si="702"/>
        <v>2475</v>
      </c>
      <c r="W2899" s="316">
        <f t="shared" si="704"/>
        <v>0</v>
      </c>
    </row>
    <row r="2900" spans="1:23" x14ac:dyDescent="0.25">
      <c r="A2900" s="204" t="s">
        <v>18590</v>
      </c>
      <c r="B2900" s="351" t="s">
        <v>18591</v>
      </c>
      <c r="C2900" s="352"/>
      <c r="D2900" s="353" t="s">
        <v>5</v>
      </c>
      <c r="E2900" s="249">
        <f t="shared" si="705"/>
        <v>0</v>
      </c>
      <c r="F2900" s="336">
        <v>0</v>
      </c>
      <c r="G2900" s="258">
        <f t="shared" si="706"/>
        <v>0</v>
      </c>
      <c r="H2900" s="249">
        <f t="shared" si="707"/>
        <v>6.3783990828088333E-2</v>
      </c>
      <c r="I2900" s="336">
        <v>4.9128440366972481E-3</v>
      </c>
      <c r="J2900" s="258">
        <f t="shared" si="708"/>
        <v>4.9128440366972481E-3</v>
      </c>
      <c r="K2900" s="249">
        <f t="shared" si="709"/>
        <v>12.809266602517335</v>
      </c>
      <c r="L2900" s="336">
        <v>0.98661009174311931</v>
      </c>
      <c r="M2900" s="258">
        <f t="shared" si="710"/>
        <v>0.98661009174311931</v>
      </c>
      <c r="N2900" s="251">
        <f t="shared" si="711"/>
        <v>0.11005865084062301</v>
      </c>
      <c r="O2900" s="336">
        <v>8.4770642201834872E-3</v>
      </c>
      <c r="P2900" s="258">
        <f t="shared" si="712"/>
        <v>8.4770642201834872E-3</v>
      </c>
      <c r="Q2900" s="354">
        <v>12.674418604651162</v>
      </c>
      <c r="R2900" s="249">
        <f t="shared" si="713"/>
        <v>12.983109244186046</v>
      </c>
      <c r="S2900" s="355">
        <v>0.1</v>
      </c>
      <c r="T2900" s="355"/>
      <c r="U2900" s="315">
        <f t="shared" si="701"/>
        <v>14.281420168604651</v>
      </c>
      <c r="V2900" s="315">
        <f t="shared" si="702"/>
        <v>15</v>
      </c>
      <c r="W2900" s="316">
        <f t="shared" si="704"/>
        <v>0</v>
      </c>
    </row>
    <row r="2901" spans="1:23" x14ac:dyDescent="0.25">
      <c r="A2901" s="204" t="s">
        <v>18592</v>
      </c>
      <c r="B2901" s="351" t="s">
        <v>18593</v>
      </c>
      <c r="C2901" s="352"/>
      <c r="D2901" s="353" t="s">
        <v>14859</v>
      </c>
      <c r="E2901" s="249">
        <f t="shared" si="705"/>
        <v>0</v>
      </c>
      <c r="F2901" s="336">
        <v>0</v>
      </c>
      <c r="G2901" s="258">
        <f t="shared" si="706"/>
        <v>0</v>
      </c>
      <c r="H2901" s="249">
        <f t="shared" si="707"/>
        <v>10.970846422431194</v>
      </c>
      <c r="I2901" s="336">
        <v>4.9128440366972481E-3</v>
      </c>
      <c r="J2901" s="258">
        <f t="shared" si="708"/>
        <v>4.9128440366972481E-3</v>
      </c>
      <c r="K2901" s="249">
        <f t="shared" si="709"/>
        <v>2203.1938556329815</v>
      </c>
      <c r="L2901" s="336">
        <v>0.9866100917431192</v>
      </c>
      <c r="M2901" s="258">
        <f t="shared" si="710"/>
        <v>0.9866100917431192</v>
      </c>
      <c r="N2901" s="251">
        <f t="shared" si="711"/>
        <v>18.930087944587157</v>
      </c>
      <c r="O2901" s="336">
        <v>8.4770642201834872E-3</v>
      </c>
      <c r="P2901" s="258">
        <f t="shared" si="712"/>
        <v>8.4770642201834872E-3</v>
      </c>
      <c r="Q2901" s="354">
        <v>2180</v>
      </c>
      <c r="R2901" s="249">
        <f t="shared" si="713"/>
        <v>2233.0947900000001</v>
      </c>
      <c r="S2901" s="355">
        <v>0.1</v>
      </c>
      <c r="T2901" s="355"/>
      <c r="U2901" s="315">
        <f t="shared" si="701"/>
        <v>2456.4042690000001</v>
      </c>
      <c r="V2901" s="315">
        <f t="shared" si="702"/>
        <v>2475</v>
      </c>
      <c r="W2901" s="316">
        <f t="shared" si="704"/>
        <v>0</v>
      </c>
    </row>
    <row r="2902" spans="1:23" x14ac:dyDescent="0.25">
      <c r="A2902" s="204" t="s">
        <v>18594</v>
      </c>
      <c r="B2902" s="351" t="s">
        <v>18595</v>
      </c>
      <c r="C2902" s="352"/>
      <c r="D2902" s="353" t="s">
        <v>5</v>
      </c>
      <c r="E2902" s="249">
        <f t="shared" si="705"/>
        <v>0</v>
      </c>
      <c r="F2902" s="336">
        <v>0</v>
      </c>
      <c r="G2902" s="258">
        <f t="shared" si="706"/>
        <v>0</v>
      </c>
      <c r="H2902" s="249">
        <f t="shared" si="707"/>
        <v>6.3787657774858675E-2</v>
      </c>
      <c r="I2902" s="336">
        <v>2.9119086460032625E-3</v>
      </c>
      <c r="J2902" s="258">
        <f t="shared" si="708"/>
        <v>2.9119086460032625E-3</v>
      </c>
      <c r="K2902" s="249">
        <f t="shared" si="709"/>
        <v>21.731936840848004</v>
      </c>
      <c r="L2902" s="336">
        <v>0.99206362153344207</v>
      </c>
      <c r="M2902" s="258">
        <f t="shared" si="710"/>
        <v>0.99206362153344207</v>
      </c>
      <c r="N2902" s="251">
        <f t="shared" si="711"/>
        <v>0.11006497812132478</v>
      </c>
      <c r="O2902" s="336">
        <v>5.0244698205546487E-3</v>
      </c>
      <c r="P2902" s="258">
        <f t="shared" si="712"/>
        <v>5.0244698205546487E-3</v>
      </c>
      <c r="Q2902" s="354">
        <v>21.38372093023256</v>
      </c>
      <c r="R2902" s="249">
        <f t="shared" si="713"/>
        <v>21.905789476744186</v>
      </c>
      <c r="S2902" s="355">
        <v>0.1</v>
      </c>
      <c r="T2902" s="355"/>
      <c r="U2902" s="315">
        <f t="shared" si="701"/>
        <v>24.096368424418603</v>
      </c>
      <c r="V2902" s="315">
        <f t="shared" si="702"/>
        <v>25</v>
      </c>
      <c r="W2902" s="316">
        <f t="shared" si="704"/>
        <v>0</v>
      </c>
    </row>
    <row r="2903" spans="1:23" x14ac:dyDescent="0.25">
      <c r="A2903" s="204" t="s">
        <v>18596</v>
      </c>
      <c r="B2903" s="351" t="s">
        <v>18597</v>
      </c>
      <c r="C2903" s="352"/>
      <c r="D2903" s="353" t="s">
        <v>14859</v>
      </c>
      <c r="E2903" s="249">
        <f t="shared" si="705"/>
        <v>0</v>
      </c>
      <c r="F2903" s="336">
        <v>0</v>
      </c>
      <c r="G2903" s="258">
        <f t="shared" si="706"/>
        <v>0</v>
      </c>
      <c r="H2903" s="249">
        <f t="shared" si="707"/>
        <v>10.971477137275695</v>
      </c>
      <c r="I2903" s="336">
        <v>2.911908646003263E-3</v>
      </c>
      <c r="J2903" s="258">
        <f t="shared" si="708"/>
        <v>2.911908646003263E-3</v>
      </c>
      <c r="K2903" s="249">
        <f t="shared" si="709"/>
        <v>3737.8931366258566</v>
      </c>
      <c r="L2903" s="336">
        <v>0.99206362153344207</v>
      </c>
      <c r="M2903" s="258">
        <f t="shared" si="710"/>
        <v>0.99206362153344207</v>
      </c>
      <c r="N2903" s="251">
        <f t="shared" si="711"/>
        <v>18.931176236867866</v>
      </c>
      <c r="O2903" s="336">
        <v>5.0244698205546496E-3</v>
      </c>
      <c r="P2903" s="258">
        <f t="shared" si="712"/>
        <v>5.0244698205546496E-3</v>
      </c>
      <c r="Q2903" s="354">
        <v>3678</v>
      </c>
      <c r="R2903" s="249">
        <f t="shared" si="713"/>
        <v>3767.7957900000001</v>
      </c>
      <c r="S2903" s="355">
        <v>0.1</v>
      </c>
      <c r="T2903" s="355"/>
      <c r="U2903" s="315">
        <f t="shared" si="701"/>
        <v>4144.5753690000001</v>
      </c>
      <c r="V2903" s="315">
        <f t="shared" si="702"/>
        <v>4150</v>
      </c>
      <c r="W2903" s="316">
        <f t="shared" si="704"/>
        <v>0</v>
      </c>
    </row>
    <row r="2904" spans="1:23" x14ac:dyDescent="0.25">
      <c r="A2904" s="204" t="s">
        <v>18598</v>
      </c>
      <c r="B2904" s="351" t="s">
        <v>18599</v>
      </c>
      <c r="C2904" s="352"/>
      <c r="D2904" s="353" t="s">
        <v>5</v>
      </c>
      <c r="E2904" s="249">
        <f t="shared" si="705"/>
        <v>0</v>
      </c>
      <c r="F2904" s="336">
        <v>0</v>
      </c>
      <c r="G2904" s="258">
        <f t="shared" si="706"/>
        <v>0</v>
      </c>
      <c r="H2904" s="249">
        <f t="shared" si="707"/>
        <v>6.3788244108517758E-2</v>
      </c>
      <c r="I2904" s="336">
        <v>2.5919651500484033E-3</v>
      </c>
      <c r="J2904" s="258">
        <f t="shared" si="708"/>
        <v>2.5919651500484033E-3</v>
      </c>
      <c r="K2904" s="249">
        <f t="shared" si="709"/>
        <v>24.436138731173454</v>
      </c>
      <c r="L2904" s="336">
        <v>0.99293562439496608</v>
      </c>
      <c r="M2904" s="258">
        <f t="shared" si="710"/>
        <v>0.99293562439496608</v>
      </c>
      <c r="N2904" s="251">
        <f t="shared" si="711"/>
        <v>0.11006598983430514</v>
      </c>
      <c r="O2904" s="336">
        <v>4.4724104549854794E-3</v>
      </c>
      <c r="P2904" s="258">
        <f t="shared" si="712"/>
        <v>4.4724104549854794E-3</v>
      </c>
      <c r="Q2904" s="354">
        <v>24.023255813953487</v>
      </c>
      <c r="R2904" s="249">
        <f t="shared" si="713"/>
        <v>24.609992965116277</v>
      </c>
      <c r="S2904" s="355">
        <v>0.1</v>
      </c>
      <c r="T2904" s="355"/>
      <c r="U2904" s="315">
        <f t="shared" si="701"/>
        <v>27.070992261627904</v>
      </c>
      <c r="V2904" s="315">
        <f t="shared" si="702"/>
        <v>28</v>
      </c>
      <c r="W2904" s="316">
        <f t="shared" si="704"/>
        <v>0</v>
      </c>
    </row>
    <row r="2905" spans="1:23" x14ac:dyDescent="0.25">
      <c r="A2905" s="204" t="s">
        <v>18600</v>
      </c>
      <c r="B2905" s="351" t="s">
        <v>18601</v>
      </c>
      <c r="C2905" s="352"/>
      <c r="D2905" s="353" t="s">
        <v>14859</v>
      </c>
      <c r="E2905" s="249">
        <f t="shared" si="705"/>
        <v>0</v>
      </c>
      <c r="F2905" s="336">
        <v>0</v>
      </c>
      <c r="G2905" s="258">
        <f t="shared" si="706"/>
        <v>0</v>
      </c>
      <c r="H2905" s="249">
        <f t="shared" si="707"/>
        <v>10.971577986665054</v>
      </c>
      <c r="I2905" s="336">
        <v>2.5919651500484029E-3</v>
      </c>
      <c r="J2905" s="258">
        <f t="shared" si="708"/>
        <v>2.5919651500484029E-3</v>
      </c>
      <c r="K2905" s="249">
        <f t="shared" si="709"/>
        <v>4203.0158617618345</v>
      </c>
      <c r="L2905" s="336">
        <v>0.99293562439496619</v>
      </c>
      <c r="M2905" s="258">
        <f t="shared" si="710"/>
        <v>0.99293562439496619</v>
      </c>
      <c r="N2905" s="251">
        <f t="shared" si="711"/>
        <v>18.931350251500483</v>
      </c>
      <c r="O2905" s="336">
        <v>4.4724104549854794E-3</v>
      </c>
      <c r="P2905" s="258">
        <f t="shared" si="712"/>
        <v>4.4724104549854794E-3</v>
      </c>
      <c r="Q2905" s="354">
        <v>4132</v>
      </c>
      <c r="R2905" s="249">
        <f t="shared" si="713"/>
        <v>4232.9187899999997</v>
      </c>
      <c r="S2905" s="355">
        <v>0.1</v>
      </c>
      <c r="T2905" s="355"/>
      <c r="U2905" s="315">
        <f t="shared" si="701"/>
        <v>4656.2106690000001</v>
      </c>
      <c r="V2905" s="315">
        <f t="shared" si="702"/>
        <v>4675</v>
      </c>
      <c r="W2905" s="316">
        <f t="shared" si="704"/>
        <v>0</v>
      </c>
    </row>
    <row r="2906" spans="1:23" x14ac:dyDescent="0.25">
      <c r="A2906" s="204" t="s">
        <v>18602</v>
      </c>
      <c r="B2906" s="351" t="s">
        <v>18603</v>
      </c>
      <c r="C2906" s="352"/>
      <c r="D2906" s="353" t="s">
        <v>5</v>
      </c>
      <c r="E2906" s="249">
        <f t="shared" si="705"/>
        <v>0</v>
      </c>
      <c r="F2906" s="336">
        <v>0</v>
      </c>
      <c r="G2906" s="258">
        <f t="shared" si="706"/>
        <v>0</v>
      </c>
      <c r="H2906" s="249">
        <f t="shared" si="707"/>
        <v>6.3780540302576447E-2</v>
      </c>
      <c r="I2906" s="336">
        <v>6.7956852791878179E-3</v>
      </c>
      <c r="J2906" s="258">
        <f t="shared" si="708"/>
        <v>6.7956852791878179E-3</v>
      </c>
      <c r="K2906" s="249">
        <f t="shared" si="709"/>
        <v>9.2116132161931166</v>
      </c>
      <c r="L2906" s="336">
        <v>0.98147842639593919</v>
      </c>
      <c r="M2906" s="258">
        <f t="shared" si="710"/>
        <v>0.98147842639593919</v>
      </c>
      <c r="N2906" s="251">
        <f t="shared" si="711"/>
        <v>0.1100526969926809</v>
      </c>
      <c r="O2906" s="336">
        <v>1.1725888324873096E-2</v>
      </c>
      <c r="P2906" s="258">
        <f t="shared" si="712"/>
        <v>1.1725888324873096E-2</v>
      </c>
      <c r="Q2906" s="354">
        <v>9.1627906976744189</v>
      </c>
      <c r="R2906" s="249">
        <f t="shared" si="713"/>
        <v>9.3854464534883721</v>
      </c>
      <c r="S2906" s="355">
        <v>0.1</v>
      </c>
      <c r="T2906" s="355"/>
      <c r="U2906" s="315">
        <f t="shared" si="701"/>
        <v>10.32399109883721</v>
      </c>
      <c r="V2906" s="315">
        <f t="shared" si="702"/>
        <v>11</v>
      </c>
      <c r="W2906" s="316">
        <f t="shared" si="704"/>
        <v>0</v>
      </c>
    </row>
    <row r="2907" spans="1:23" x14ac:dyDescent="0.25">
      <c r="A2907" s="204" t="s">
        <v>18604</v>
      </c>
      <c r="B2907" s="351" t="s">
        <v>18605</v>
      </c>
      <c r="C2907" s="352"/>
      <c r="D2907" s="353" t="s">
        <v>14859</v>
      </c>
      <c r="E2907" s="249">
        <f t="shared" si="705"/>
        <v>0</v>
      </c>
      <c r="F2907" s="336">
        <v>0</v>
      </c>
      <c r="G2907" s="258">
        <f t="shared" si="706"/>
        <v>0</v>
      </c>
      <c r="H2907" s="249">
        <f t="shared" si="707"/>
        <v>10.970252932043149</v>
      </c>
      <c r="I2907" s="336">
        <v>6.7956852791878179E-3</v>
      </c>
      <c r="J2907" s="258">
        <f t="shared" si="708"/>
        <v>6.7956852791878179E-3</v>
      </c>
      <c r="K2907" s="249">
        <f t="shared" si="709"/>
        <v>1584.3974731852159</v>
      </c>
      <c r="L2907" s="336">
        <v>0.98147842639593907</v>
      </c>
      <c r="M2907" s="258">
        <f t="shared" si="710"/>
        <v>0.98147842639593907</v>
      </c>
      <c r="N2907" s="251">
        <f t="shared" si="711"/>
        <v>18.929063882741119</v>
      </c>
      <c r="O2907" s="336">
        <v>1.1725888324873097E-2</v>
      </c>
      <c r="P2907" s="258">
        <f t="shared" si="712"/>
        <v>1.1725888324873097E-2</v>
      </c>
      <c r="Q2907" s="354">
        <v>1576</v>
      </c>
      <c r="R2907" s="249">
        <f t="shared" si="713"/>
        <v>1614.2967900000001</v>
      </c>
      <c r="S2907" s="355">
        <v>0.1</v>
      </c>
      <c r="T2907" s="355"/>
      <c r="U2907" s="315">
        <f t="shared" si="701"/>
        <v>1775.7264690000002</v>
      </c>
      <c r="V2907" s="315">
        <f t="shared" si="702"/>
        <v>1800</v>
      </c>
      <c r="W2907" s="316">
        <f t="shared" si="704"/>
        <v>0</v>
      </c>
    </row>
    <row r="2908" spans="1:23" x14ac:dyDescent="0.25">
      <c r="A2908" s="204" t="s">
        <v>18606</v>
      </c>
      <c r="B2908" s="351" t="s">
        <v>18607</v>
      </c>
      <c r="C2908" s="352"/>
      <c r="D2908" s="353" t="s">
        <v>5</v>
      </c>
      <c r="E2908" s="249">
        <f t="shared" si="705"/>
        <v>0</v>
      </c>
      <c r="F2908" s="336">
        <v>0</v>
      </c>
      <c r="G2908" s="258">
        <f t="shared" si="706"/>
        <v>0</v>
      </c>
      <c r="H2908" s="249">
        <f t="shared" si="707"/>
        <v>6.3783603123678659E-2</v>
      </c>
      <c r="I2908" s="336">
        <v>5.1244019138755991E-3</v>
      </c>
      <c r="J2908" s="258">
        <f t="shared" si="708"/>
        <v>5.1244019138755991E-3</v>
      </c>
      <c r="K2908" s="249">
        <f t="shared" si="709"/>
        <v>12.273192077806556</v>
      </c>
      <c r="L2908" s="336">
        <v>0.9860334928229666</v>
      </c>
      <c r="M2908" s="258">
        <f t="shared" si="710"/>
        <v>0.9860334928229666</v>
      </c>
      <c r="N2908" s="251">
        <f t="shared" si="711"/>
        <v>0.11005798186046513</v>
      </c>
      <c r="O2908" s="336">
        <v>8.8421052631578959E-3</v>
      </c>
      <c r="P2908" s="258">
        <f t="shared" si="712"/>
        <v>8.8421052631578959E-3</v>
      </c>
      <c r="Q2908" s="354">
        <v>12.151162790697674</v>
      </c>
      <c r="R2908" s="249">
        <f t="shared" si="713"/>
        <v>12.447033662790698</v>
      </c>
      <c r="S2908" s="355">
        <v>0.1</v>
      </c>
      <c r="T2908" s="355"/>
      <c r="U2908" s="315">
        <f t="shared" si="701"/>
        <v>13.691737029069769</v>
      </c>
      <c r="V2908" s="315">
        <f t="shared" si="702"/>
        <v>14</v>
      </c>
      <c r="W2908" s="316">
        <f t="shared" si="704"/>
        <v>0</v>
      </c>
    </row>
    <row r="2909" spans="1:23" x14ac:dyDescent="0.25">
      <c r="A2909" s="204" t="s">
        <v>18608</v>
      </c>
      <c r="B2909" s="351" t="s">
        <v>18609</v>
      </c>
      <c r="C2909" s="352"/>
      <c r="D2909" s="353" t="s">
        <v>14859</v>
      </c>
      <c r="E2909" s="249">
        <f t="shared" si="705"/>
        <v>0</v>
      </c>
      <c r="F2909" s="336">
        <v>0</v>
      </c>
      <c r="G2909" s="258">
        <f t="shared" si="706"/>
        <v>0</v>
      </c>
      <c r="H2909" s="249">
        <f t="shared" si="707"/>
        <v>10.970779737272728</v>
      </c>
      <c r="I2909" s="336">
        <v>5.1244019138755982E-3</v>
      </c>
      <c r="J2909" s="258">
        <f t="shared" si="708"/>
        <v>5.1244019138755982E-3</v>
      </c>
      <c r="K2909" s="249">
        <f t="shared" si="709"/>
        <v>2110.9890373827275</v>
      </c>
      <c r="L2909" s="336">
        <v>0.98603349282296648</v>
      </c>
      <c r="M2909" s="258">
        <f t="shared" si="710"/>
        <v>0.98603349282296648</v>
      </c>
      <c r="N2909" s="251">
        <f t="shared" si="711"/>
        <v>18.929972880000001</v>
      </c>
      <c r="O2909" s="336">
        <v>8.8421052631578942E-3</v>
      </c>
      <c r="P2909" s="258">
        <f t="shared" si="712"/>
        <v>8.8421052631578942E-3</v>
      </c>
      <c r="Q2909" s="354">
        <v>2090</v>
      </c>
      <c r="R2909" s="249">
        <f t="shared" si="713"/>
        <v>2140.8897900000002</v>
      </c>
      <c r="S2909" s="355">
        <v>0.1</v>
      </c>
      <c r="T2909" s="355"/>
      <c r="U2909" s="315">
        <f t="shared" si="701"/>
        <v>2354.9787690000003</v>
      </c>
      <c r="V2909" s="315">
        <f t="shared" si="702"/>
        <v>2375</v>
      </c>
      <c r="W2909" s="316">
        <f t="shared" si="704"/>
        <v>0</v>
      </c>
    </row>
    <row r="2910" spans="1:23" x14ac:dyDescent="0.25">
      <c r="A2910" s="204" t="s">
        <v>18610</v>
      </c>
      <c r="B2910" s="351" t="s">
        <v>18611</v>
      </c>
      <c r="C2910" s="352"/>
      <c r="D2910" s="353" t="s">
        <v>5</v>
      </c>
      <c r="E2910" s="249">
        <f t="shared" si="705"/>
        <v>0</v>
      </c>
      <c r="F2910" s="336">
        <v>0</v>
      </c>
      <c r="G2910" s="258">
        <f t="shared" si="706"/>
        <v>0</v>
      </c>
      <c r="H2910" s="249">
        <f t="shared" si="707"/>
        <v>6.378232136367086E-2</v>
      </c>
      <c r="I2910" s="336">
        <v>5.8238172920065251E-3</v>
      </c>
      <c r="J2910" s="258">
        <f t="shared" si="708"/>
        <v>5.8238172920065251E-3</v>
      </c>
      <c r="K2910" s="249">
        <f t="shared" si="709"/>
        <v>10.778140338672751</v>
      </c>
      <c r="L2910" s="336">
        <v>0.98412724306688426</v>
      </c>
      <c r="M2910" s="258">
        <f t="shared" si="710"/>
        <v>0.98412724306688426</v>
      </c>
      <c r="N2910" s="251">
        <f t="shared" si="711"/>
        <v>0.11005577019613794</v>
      </c>
      <c r="O2910" s="336">
        <v>1.0048939641109297E-2</v>
      </c>
      <c r="P2910" s="258">
        <f t="shared" si="712"/>
        <v>1.0048939641109297E-2</v>
      </c>
      <c r="Q2910" s="354">
        <v>10.69186046511628</v>
      </c>
      <c r="R2910" s="249">
        <f t="shared" si="713"/>
        <v>10.951978430232559</v>
      </c>
      <c r="S2910" s="355">
        <v>0.1</v>
      </c>
      <c r="T2910" s="355"/>
      <c r="U2910" s="315">
        <f t="shared" si="701"/>
        <v>12.047176273255815</v>
      </c>
      <c r="V2910" s="315">
        <f t="shared" si="702"/>
        <v>13</v>
      </c>
      <c r="W2910" s="316">
        <f t="shared" si="704"/>
        <v>0</v>
      </c>
    </row>
    <row r="2911" spans="1:23" x14ac:dyDescent="0.25">
      <c r="A2911" s="204" t="s">
        <v>18612</v>
      </c>
      <c r="B2911" s="351" t="s">
        <v>18613</v>
      </c>
      <c r="C2911" s="352"/>
      <c r="D2911" s="353" t="s">
        <v>14859</v>
      </c>
      <c r="E2911" s="249">
        <f t="shared" si="705"/>
        <v>0</v>
      </c>
      <c r="F2911" s="336">
        <v>0</v>
      </c>
      <c r="G2911" s="258">
        <f t="shared" si="706"/>
        <v>0</v>
      </c>
      <c r="H2911" s="249">
        <f t="shared" si="707"/>
        <v>10.970559274551388</v>
      </c>
      <c r="I2911" s="336">
        <v>5.823817292006526E-3</v>
      </c>
      <c r="J2911" s="258">
        <f t="shared" si="708"/>
        <v>5.823817292006526E-3</v>
      </c>
      <c r="K2911" s="249">
        <f t="shared" si="709"/>
        <v>1853.8401382517127</v>
      </c>
      <c r="L2911" s="336">
        <v>0.98412724306688415</v>
      </c>
      <c r="M2911" s="258">
        <f t="shared" si="710"/>
        <v>0.98412724306688415</v>
      </c>
      <c r="N2911" s="251">
        <f t="shared" si="711"/>
        <v>18.929592473735728</v>
      </c>
      <c r="O2911" s="336">
        <v>1.0048939641109299E-2</v>
      </c>
      <c r="P2911" s="258">
        <f t="shared" si="712"/>
        <v>1.0048939641109299E-2</v>
      </c>
      <c r="Q2911" s="354">
        <v>1839</v>
      </c>
      <c r="R2911" s="249">
        <f t="shared" si="713"/>
        <v>1883.74029</v>
      </c>
      <c r="S2911" s="355">
        <v>0.1</v>
      </c>
      <c r="T2911" s="355"/>
      <c r="U2911" s="315">
        <f t="shared" si="701"/>
        <v>2072.1143189999998</v>
      </c>
      <c r="V2911" s="315">
        <f t="shared" si="702"/>
        <v>2075</v>
      </c>
      <c r="W2911" s="316">
        <f t="shared" si="704"/>
        <v>0</v>
      </c>
    </row>
    <row r="2912" spans="1:23" x14ac:dyDescent="0.25">
      <c r="A2912" s="204" t="s">
        <v>18614</v>
      </c>
      <c r="B2912" s="351" t="s">
        <v>18615</v>
      </c>
      <c r="C2912" s="352"/>
      <c r="D2912" s="353" t="s">
        <v>5</v>
      </c>
      <c r="E2912" s="249">
        <f t="shared" si="705"/>
        <v>0</v>
      </c>
      <c r="F2912" s="336">
        <v>0</v>
      </c>
      <c r="G2912" s="258">
        <f t="shared" si="706"/>
        <v>0</v>
      </c>
      <c r="H2912" s="249">
        <f t="shared" si="707"/>
        <v>6.3782918559584081E-2</v>
      </c>
      <c r="I2912" s="336">
        <v>5.4979466119096515E-3</v>
      </c>
      <c r="J2912" s="258">
        <f t="shared" si="708"/>
        <v>5.4979466119096515E-3</v>
      </c>
      <c r="K2912" s="249">
        <f t="shared" si="709"/>
        <v>11.4273858040444</v>
      </c>
      <c r="L2912" s="336">
        <v>0.9850154004106777</v>
      </c>
      <c r="M2912" s="258">
        <f t="shared" si="710"/>
        <v>0.9850154004106777</v>
      </c>
      <c r="N2912" s="251">
        <f t="shared" si="711"/>
        <v>0.11005680065183134</v>
      </c>
      <c r="O2912" s="336">
        <v>9.4866529774127305E-3</v>
      </c>
      <c r="P2912" s="258">
        <f t="shared" si="712"/>
        <v>9.4866529774127305E-3</v>
      </c>
      <c r="Q2912" s="354">
        <v>11.325581395348838</v>
      </c>
      <c r="R2912" s="249">
        <f t="shared" si="713"/>
        <v>11.601225523255815</v>
      </c>
      <c r="S2912" s="355">
        <v>0.1</v>
      </c>
      <c r="T2912" s="355"/>
      <c r="U2912" s="315">
        <f t="shared" si="701"/>
        <v>12.761348075581397</v>
      </c>
      <c r="V2912" s="315">
        <f t="shared" si="702"/>
        <v>13</v>
      </c>
      <c r="W2912" s="316">
        <f t="shared" si="704"/>
        <v>0</v>
      </c>
    </row>
    <row r="2913" spans="1:23" x14ac:dyDescent="0.25">
      <c r="A2913" s="204" t="s">
        <v>18616</v>
      </c>
      <c r="B2913" s="351" t="s">
        <v>18617</v>
      </c>
      <c r="C2913" s="352"/>
      <c r="D2913" s="353" t="s">
        <v>14859</v>
      </c>
      <c r="E2913" s="249">
        <f t="shared" si="705"/>
        <v>0</v>
      </c>
      <c r="F2913" s="336">
        <v>0</v>
      </c>
      <c r="G2913" s="258">
        <f t="shared" si="706"/>
        <v>0</v>
      </c>
      <c r="H2913" s="249">
        <f t="shared" si="707"/>
        <v>10.970661992248463</v>
      </c>
      <c r="I2913" s="336">
        <v>5.4979466119096515E-3</v>
      </c>
      <c r="J2913" s="258">
        <f t="shared" si="708"/>
        <v>5.4979466119096515E-3</v>
      </c>
      <c r="K2913" s="249">
        <f t="shared" si="709"/>
        <v>1965.5103582956367</v>
      </c>
      <c r="L2913" s="336">
        <v>0.98501540041067759</v>
      </c>
      <c r="M2913" s="258">
        <f t="shared" si="710"/>
        <v>0.98501540041067759</v>
      </c>
      <c r="N2913" s="251">
        <f t="shared" si="711"/>
        <v>18.929769712114989</v>
      </c>
      <c r="O2913" s="336">
        <v>9.4866529774127305E-3</v>
      </c>
      <c r="P2913" s="258">
        <f t="shared" si="712"/>
        <v>9.4866529774127305E-3</v>
      </c>
      <c r="Q2913" s="354">
        <v>1948</v>
      </c>
      <c r="R2913" s="249">
        <f t="shared" si="713"/>
        <v>1995.4107900000001</v>
      </c>
      <c r="S2913" s="355">
        <v>0.1</v>
      </c>
      <c r="T2913" s="355"/>
      <c r="U2913" s="315">
        <f t="shared" si="701"/>
        <v>2194.951869</v>
      </c>
      <c r="V2913" s="315">
        <f t="shared" si="702"/>
        <v>2200</v>
      </c>
      <c r="W2913" s="316">
        <f t="shared" si="704"/>
        <v>0</v>
      </c>
    </row>
    <row r="2914" spans="1:23" x14ac:dyDescent="0.25">
      <c r="A2914" s="204" t="s">
        <v>18618</v>
      </c>
      <c r="B2914" s="351" t="s">
        <v>18619</v>
      </c>
      <c r="C2914" s="352"/>
      <c r="D2914" s="353" t="s">
        <v>5</v>
      </c>
      <c r="E2914" s="249">
        <f t="shared" si="705"/>
        <v>0</v>
      </c>
      <c r="F2914" s="336">
        <v>0</v>
      </c>
      <c r="G2914" s="258">
        <f t="shared" si="706"/>
        <v>0</v>
      </c>
      <c r="H2914" s="249">
        <f t="shared" si="707"/>
        <v>6.3783744741961301E-2</v>
      </c>
      <c r="I2914" s="336">
        <v>5.0471253534401517E-3</v>
      </c>
      <c r="J2914" s="258">
        <f t="shared" si="708"/>
        <v>5.0471253534401517E-3</v>
      </c>
      <c r="K2914" s="249">
        <f t="shared" si="709"/>
        <v>12.463796342990104</v>
      </c>
      <c r="L2914" s="336">
        <v>0.98624410933082007</v>
      </c>
      <c r="M2914" s="258">
        <f t="shared" si="710"/>
        <v>0.98624410933082007</v>
      </c>
      <c r="N2914" s="251">
        <f t="shared" si="711"/>
        <v>0.1100582262214234</v>
      </c>
      <c r="O2914" s="336">
        <v>8.7087653157398685E-3</v>
      </c>
      <c r="P2914" s="258">
        <f t="shared" si="712"/>
        <v>8.7087653157398685E-3</v>
      </c>
      <c r="Q2914" s="354">
        <v>12.337209302325581</v>
      </c>
      <c r="R2914" s="249">
        <f t="shared" si="713"/>
        <v>12.637638313953488</v>
      </c>
      <c r="S2914" s="355">
        <v>0.1</v>
      </c>
      <c r="T2914" s="355"/>
      <c r="U2914" s="315">
        <f t="shared" si="701"/>
        <v>13.901402145348836</v>
      </c>
      <c r="V2914" s="315">
        <f t="shared" si="702"/>
        <v>14</v>
      </c>
      <c r="W2914" s="316">
        <f t="shared" si="704"/>
        <v>0</v>
      </c>
    </row>
    <row r="2915" spans="1:23" x14ac:dyDescent="0.25">
      <c r="A2915" s="204" t="s">
        <v>18620</v>
      </c>
      <c r="B2915" s="351" t="s">
        <v>18621</v>
      </c>
      <c r="C2915" s="352"/>
      <c r="D2915" s="353" t="s">
        <v>14859</v>
      </c>
      <c r="E2915" s="249">
        <f t="shared" si="705"/>
        <v>0</v>
      </c>
      <c r="F2915" s="336">
        <v>0</v>
      </c>
      <c r="G2915" s="258">
        <f t="shared" si="706"/>
        <v>0</v>
      </c>
      <c r="H2915" s="249">
        <f t="shared" si="707"/>
        <v>10.970804095617341</v>
      </c>
      <c r="I2915" s="336">
        <v>5.0471253534401508E-3</v>
      </c>
      <c r="J2915" s="258">
        <f t="shared" si="708"/>
        <v>5.0471253534401508E-3</v>
      </c>
      <c r="K2915" s="249">
        <f t="shared" si="709"/>
        <v>2143.7729709942978</v>
      </c>
      <c r="L2915" s="336">
        <v>0.98624410933081996</v>
      </c>
      <c r="M2915" s="258">
        <f t="shared" si="710"/>
        <v>0.98624410933081996</v>
      </c>
      <c r="N2915" s="251">
        <f t="shared" si="711"/>
        <v>18.930014910084825</v>
      </c>
      <c r="O2915" s="336">
        <v>8.7087653157398685E-3</v>
      </c>
      <c r="P2915" s="258">
        <f t="shared" si="712"/>
        <v>8.7087653157398685E-3</v>
      </c>
      <c r="Q2915" s="354">
        <v>2122</v>
      </c>
      <c r="R2915" s="249">
        <f t="shared" si="713"/>
        <v>2173.6737899999998</v>
      </c>
      <c r="S2915" s="355">
        <v>0.1</v>
      </c>
      <c r="T2915" s="355"/>
      <c r="U2915" s="315">
        <f t="shared" si="701"/>
        <v>2391.0411689999996</v>
      </c>
      <c r="V2915" s="315">
        <f t="shared" si="702"/>
        <v>2400</v>
      </c>
      <c r="W2915" s="316">
        <f t="shared" si="704"/>
        <v>0</v>
      </c>
    </row>
    <row r="2916" spans="1:23" x14ac:dyDescent="0.25">
      <c r="A2916" s="204" t="s">
        <v>18622</v>
      </c>
      <c r="B2916" s="351" t="s">
        <v>18623</v>
      </c>
      <c r="C2916" s="352"/>
      <c r="D2916" s="353" t="s">
        <v>5</v>
      </c>
      <c r="E2916" s="249">
        <f t="shared" si="705"/>
        <v>0</v>
      </c>
      <c r="F2916" s="336">
        <v>0</v>
      </c>
      <c r="G2916" s="258">
        <f t="shared" si="706"/>
        <v>0</v>
      </c>
      <c r="H2916" s="249">
        <f t="shared" si="707"/>
        <v>6.378694570519941E-2</v>
      </c>
      <c r="I2916" s="336">
        <v>3.3004622496147925E-3</v>
      </c>
      <c r="J2916" s="258">
        <f t="shared" si="708"/>
        <v>3.3004622496147925E-3</v>
      </c>
      <c r="K2916" s="249">
        <f t="shared" si="709"/>
        <v>19.152819595540361</v>
      </c>
      <c r="L2916" s="336">
        <v>0.99100462249614785</v>
      </c>
      <c r="M2916" s="258">
        <f t="shared" si="710"/>
        <v>0.99100462249614785</v>
      </c>
      <c r="N2916" s="251">
        <f t="shared" si="711"/>
        <v>0.11006374945210877</v>
      </c>
      <c r="O2916" s="336">
        <v>5.6949152542372884E-3</v>
      </c>
      <c r="P2916" s="258">
        <f t="shared" si="712"/>
        <v>5.6949152542372884E-3</v>
      </c>
      <c r="Q2916" s="354">
        <v>18.86627906976744</v>
      </c>
      <c r="R2916" s="249">
        <f t="shared" si="713"/>
        <v>19.32667029069767</v>
      </c>
      <c r="S2916" s="355">
        <v>0.1</v>
      </c>
      <c r="T2916" s="355"/>
      <c r="U2916" s="315">
        <f t="shared" si="701"/>
        <v>21.259337319767436</v>
      </c>
      <c r="V2916" s="315">
        <f t="shared" si="702"/>
        <v>22</v>
      </c>
      <c r="W2916" s="316">
        <f t="shared" si="704"/>
        <v>0</v>
      </c>
    </row>
    <row r="2917" spans="1:23" x14ac:dyDescent="0.25">
      <c r="A2917" s="204" t="s">
        <v>18624</v>
      </c>
      <c r="B2917" s="351" t="s">
        <v>18625</v>
      </c>
      <c r="C2917" s="352"/>
      <c r="D2917" s="353" t="s">
        <v>14859</v>
      </c>
      <c r="E2917" s="249">
        <f t="shared" si="705"/>
        <v>0</v>
      </c>
      <c r="F2917" s="336">
        <v>0</v>
      </c>
      <c r="G2917" s="258">
        <f t="shared" si="706"/>
        <v>0</v>
      </c>
      <c r="H2917" s="249">
        <f t="shared" si="707"/>
        <v>10.971354661294299</v>
      </c>
      <c r="I2917" s="336">
        <v>3.300462249614792E-3</v>
      </c>
      <c r="J2917" s="258">
        <f t="shared" si="708"/>
        <v>3.300462249614792E-3</v>
      </c>
      <c r="K2917" s="249">
        <f t="shared" si="709"/>
        <v>3294.2849704329428</v>
      </c>
      <c r="L2917" s="336">
        <v>0.99100462249614796</v>
      </c>
      <c r="M2917" s="258">
        <f t="shared" si="710"/>
        <v>0.99100462249614796</v>
      </c>
      <c r="N2917" s="251">
        <f t="shared" si="711"/>
        <v>18.930964905762711</v>
      </c>
      <c r="O2917" s="336">
        <v>5.6949152542372884E-3</v>
      </c>
      <c r="P2917" s="258">
        <f t="shared" si="712"/>
        <v>5.6949152542372884E-3</v>
      </c>
      <c r="Q2917" s="354">
        <v>3245</v>
      </c>
      <c r="R2917" s="249">
        <f t="shared" si="713"/>
        <v>3324.1872899999998</v>
      </c>
      <c r="S2917" s="355">
        <v>0.1</v>
      </c>
      <c r="T2917" s="355"/>
      <c r="U2917" s="315">
        <f t="shared" ref="U2917:U3012" si="714">(R2917*S2917)+R2917</f>
        <v>3656.6060189999998</v>
      </c>
      <c r="V2917" s="315">
        <f t="shared" ref="V2917:V3012" si="715">IF(U2917=0, 0, IF(U2917&lt;10, _xlfn.CEILING.MATH(U2917,1), IF(U2917&lt;100, _xlfn.CEILING.MATH(U2917,1),IF(U2917&lt;1000, _xlfn.CEILING.MATH(U2917,5), IF(U2917&lt;10000, _xlfn.CEILING.MATH(U2917, 25), IF(U2917&lt;100000, _xlfn.CEILING.MATH(U2917,250), IF(U2917&lt;1000000, _xlfn.CEILING.MATH(U2917,500), 0)))))))</f>
        <v>3675</v>
      </c>
      <c r="W2917" s="316">
        <f>C2917*V2917</f>
        <v>0</v>
      </c>
    </row>
    <row r="2918" spans="1:23" x14ac:dyDescent="0.25">
      <c r="A2918" s="204" t="s">
        <v>18626</v>
      </c>
      <c r="B2918" s="351" t="s">
        <v>18627</v>
      </c>
      <c r="C2918" s="352"/>
      <c r="D2918" s="353" t="s">
        <v>5</v>
      </c>
      <c r="E2918" s="249">
        <f t="shared" si="705"/>
        <v>0</v>
      </c>
      <c r="F2918" s="336">
        <v>0</v>
      </c>
      <c r="G2918" s="258">
        <f t="shared" si="706"/>
        <v>0</v>
      </c>
      <c r="H2918" s="249">
        <f t="shared" si="707"/>
        <v>6.3788315444604601E-2</v>
      </c>
      <c r="I2918" s="336">
        <v>2.553039332538737E-3</v>
      </c>
      <c r="J2918" s="258">
        <f t="shared" si="708"/>
        <v>2.553039332538737E-3</v>
      </c>
      <c r="K2918" s="249">
        <f t="shared" si="709"/>
        <v>24.811391443724393</v>
      </c>
      <c r="L2918" s="336">
        <v>0.99304171632896299</v>
      </c>
      <c r="M2918" s="258">
        <f t="shared" si="710"/>
        <v>0.99304171632896299</v>
      </c>
      <c r="N2918" s="251">
        <f t="shared" si="711"/>
        <v>0.1100661129240236</v>
      </c>
      <c r="O2918" s="336">
        <v>4.4052443384982121E-3</v>
      </c>
      <c r="P2918" s="258">
        <f t="shared" si="712"/>
        <v>4.4052443384982121E-3</v>
      </c>
      <c r="Q2918" s="354">
        <v>24.38953488372093</v>
      </c>
      <c r="R2918" s="249">
        <f t="shared" si="713"/>
        <v>24.985245872093021</v>
      </c>
      <c r="S2918" s="355">
        <v>0.1</v>
      </c>
      <c r="T2918" s="355"/>
      <c r="U2918" s="315">
        <f t="shared" si="714"/>
        <v>27.483770459302324</v>
      </c>
      <c r="V2918" s="315">
        <f t="shared" si="715"/>
        <v>28</v>
      </c>
      <c r="W2918" s="316">
        <f>C2918*V2918</f>
        <v>0</v>
      </c>
    </row>
    <row r="2919" spans="1:23" x14ac:dyDescent="0.25">
      <c r="A2919" s="204" t="s">
        <v>18628</v>
      </c>
      <c r="B2919" s="351" t="s">
        <v>18629</v>
      </c>
      <c r="C2919" s="352"/>
      <c r="D2919" s="353" t="s">
        <v>14859</v>
      </c>
      <c r="E2919" s="249">
        <f t="shared" si="705"/>
        <v>0</v>
      </c>
      <c r="F2919" s="336">
        <v>0</v>
      </c>
      <c r="G2919" s="258">
        <f t="shared" si="706"/>
        <v>0</v>
      </c>
      <c r="H2919" s="249">
        <f t="shared" si="707"/>
        <v>10.971590256471993</v>
      </c>
      <c r="I2919" s="336">
        <v>2.553039332538737E-3</v>
      </c>
      <c r="J2919" s="258">
        <f t="shared" si="708"/>
        <v>2.553039332538737E-3</v>
      </c>
      <c r="K2919" s="249">
        <f t="shared" si="709"/>
        <v>4267.5593283205963</v>
      </c>
      <c r="L2919" s="336">
        <v>0.9930417163289631</v>
      </c>
      <c r="M2919" s="258">
        <f t="shared" si="710"/>
        <v>0.9930417163289631</v>
      </c>
      <c r="N2919" s="251">
        <f t="shared" si="711"/>
        <v>18.931371422932063</v>
      </c>
      <c r="O2919" s="336">
        <v>4.4052443384982121E-3</v>
      </c>
      <c r="P2919" s="258">
        <f t="shared" si="712"/>
        <v>4.4052443384982121E-3</v>
      </c>
      <c r="Q2919" s="354">
        <v>4195</v>
      </c>
      <c r="R2919" s="249">
        <f t="shared" si="713"/>
        <v>4297.4622900000004</v>
      </c>
      <c r="S2919" s="355">
        <v>0.1</v>
      </c>
      <c r="T2919" s="355"/>
      <c r="U2919" s="315">
        <f t="shared" si="714"/>
        <v>4727.2085190000007</v>
      </c>
      <c r="V2919" s="315">
        <f t="shared" si="715"/>
        <v>4750</v>
      </c>
      <c r="W2919" s="316">
        <f>C2919*V2919</f>
        <v>0</v>
      </c>
    </row>
    <row r="2920" spans="1:23" x14ac:dyDescent="0.25">
      <c r="A2920" s="204" t="s">
        <v>18630</v>
      </c>
      <c r="B2920" s="351" t="s">
        <v>18631</v>
      </c>
      <c r="C2920" s="352"/>
      <c r="D2920" s="353" t="s">
        <v>5</v>
      </c>
      <c r="E2920" s="249">
        <f t="shared" si="705"/>
        <v>0</v>
      </c>
      <c r="F2920" s="336">
        <v>0</v>
      </c>
      <c r="G2920" s="258">
        <f t="shared" si="706"/>
        <v>0</v>
      </c>
      <c r="H2920" s="249">
        <f t="shared" si="707"/>
        <v>6.3789519093916766E-2</v>
      </c>
      <c r="I2920" s="336">
        <v>1.8962464589235128E-3</v>
      </c>
      <c r="J2920" s="258">
        <f t="shared" si="708"/>
        <v>1.8962464589235128E-3</v>
      </c>
      <c r="K2920" s="249">
        <f t="shared" si="709"/>
        <v>33.466030605050463</v>
      </c>
      <c r="L2920" s="336">
        <v>0.99483179886685558</v>
      </c>
      <c r="M2920" s="258">
        <f t="shared" si="710"/>
        <v>0.99483179886685558</v>
      </c>
      <c r="N2920" s="251">
        <f t="shared" si="711"/>
        <v>0.11006818980911127</v>
      </c>
      <c r="O2920" s="336">
        <v>3.271954674220963E-3</v>
      </c>
      <c r="P2920" s="258">
        <f t="shared" si="712"/>
        <v>3.271954674220963E-3</v>
      </c>
      <c r="Q2920" s="354">
        <v>32.837209302325583</v>
      </c>
      <c r="R2920" s="249">
        <f t="shared" si="713"/>
        <v>33.639888313953492</v>
      </c>
      <c r="S2920" s="355">
        <v>0.1</v>
      </c>
      <c r="T2920" s="355"/>
      <c r="U2920" s="315">
        <f t="shared" si="714"/>
        <v>37.003877145348838</v>
      </c>
      <c r="V2920" s="315">
        <f t="shared" si="715"/>
        <v>38</v>
      </c>
      <c r="W2920" s="316">
        <f>C2920*V2920</f>
        <v>0</v>
      </c>
    </row>
    <row r="2921" spans="1:23" x14ac:dyDescent="0.25">
      <c r="A2921" s="204" t="s">
        <v>18632</v>
      </c>
      <c r="B2921" s="351" t="s">
        <v>18633</v>
      </c>
      <c r="C2921" s="352"/>
      <c r="D2921" s="353" t="s">
        <v>14859</v>
      </c>
      <c r="E2921" s="249">
        <f t="shared" si="705"/>
        <v>0</v>
      </c>
      <c r="F2921" s="336">
        <v>0</v>
      </c>
      <c r="G2921" s="258">
        <f t="shared" si="706"/>
        <v>0</v>
      </c>
      <c r="H2921" s="249">
        <f t="shared" si="707"/>
        <v>10.971797284153682</v>
      </c>
      <c r="I2921" s="336">
        <v>1.896246458923513E-3</v>
      </c>
      <c r="J2921" s="258">
        <f t="shared" si="708"/>
        <v>1.896246458923513E-3</v>
      </c>
      <c r="K2921" s="249">
        <f t="shared" si="709"/>
        <v>5756.1572640686791</v>
      </c>
      <c r="L2921" s="336">
        <v>0.99483179886685558</v>
      </c>
      <c r="M2921" s="258">
        <f t="shared" si="710"/>
        <v>0.99483179886685558</v>
      </c>
      <c r="N2921" s="251">
        <f t="shared" si="711"/>
        <v>18.931728647167137</v>
      </c>
      <c r="O2921" s="336">
        <v>3.2719546742209634E-3</v>
      </c>
      <c r="P2921" s="258">
        <f t="shared" si="712"/>
        <v>3.2719546742209634E-3</v>
      </c>
      <c r="Q2921" s="354">
        <v>5648</v>
      </c>
      <c r="R2921" s="249">
        <f t="shared" si="713"/>
        <v>5786.0607899999995</v>
      </c>
      <c r="S2921" s="355">
        <v>0.1</v>
      </c>
      <c r="T2921" s="355"/>
      <c r="U2921" s="315">
        <f t="shared" si="714"/>
        <v>6364.6668689999997</v>
      </c>
      <c r="V2921" s="315">
        <f t="shared" si="715"/>
        <v>6375</v>
      </c>
      <c r="W2921" s="316">
        <f>C2921*V2921</f>
        <v>0</v>
      </c>
    </row>
    <row r="2922" spans="1:23" x14ac:dyDescent="0.25">
      <c r="A2922" s="199" t="s">
        <v>18634</v>
      </c>
      <c r="B2922" s="307" t="s">
        <v>18635</v>
      </c>
      <c r="C2922" s="308"/>
      <c r="D2922" s="309"/>
      <c r="E2922" s="310"/>
      <c r="F2922" s="311"/>
      <c r="G2922" s="311"/>
      <c r="H2922" s="310"/>
      <c r="I2922" s="311"/>
      <c r="J2922" s="311"/>
      <c r="K2922" s="310"/>
      <c r="L2922" s="311"/>
      <c r="M2922" s="311"/>
      <c r="N2922" s="310"/>
      <c r="O2922" s="311"/>
      <c r="P2922" s="311"/>
      <c r="Q2922" s="310"/>
      <c r="R2922" s="310"/>
      <c r="S2922" s="309"/>
      <c r="T2922" s="309"/>
      <c r="U2922" s="309"/>
      <c r="V2922" s="309"/>
      <c r="W2922" s="312"/>
    </row>
    <row r="2923" spans="1:23" ht="20.399999999999999" x14ac:dyDescent="0.25">
      <c r="A2923" s="180" t="s">
        <v>18636</v>
      </c>
      <c r="B2923" s="364" t="s">
        <v>22565</v>
      </c>
      <c r="C2923" s="365"/>
      <c r="D2923" s="260" t="s">
        <v>14865</v>
      </c>
      <c r="E2923" s="249">
        <f t="shared" si="705"/>
        <v>0</v>
      </c>
      <c r="F2923" s="336">
        <v>0</v>
      </c>
      <c r="G2923" s="258">
        <f t="shared" si="706"/>
        <v>0</v>
      </c>
      <c r="H2923" s="249">
        <f t="shared" si="707"/>
        <v>52.812385120000002</v>
      </c>
      <c r="I2923" s="336">
        <v>1</v>
      </c>
      <c r="J2923" s="258">
        <f t="shared" si="708"/>
        <v>1</v>
      </c>
      <c r="K2923" s="249">
        <f t="shared" si="709"/>
        <v>0</v>
      </c>
      <c r="L2923" s="336">
        <v>0</v>
      </c>
      <c r="M2923" s="258">
        <f t="shared" si="710"/>
        <v>0</v>
      </c>
      <c r="N2923" s="251">
        <f t="shared" si="711"/>
        <v>0</v>
      </c>
      <c r="O2923" s="336">
        <v>0</v>
      </c>
      <c r="P2923" s="258">
        <f t="shared" si="712"/>
        <v>0</v>
      </c>
      <c r="Q2923" s="366">
        <v>51.904063999999998</v>
      </c>
      <c r="R2923" s="249">
        <f t="shared" si="713"/>
        <v>52.812385120000002</v>
      </c>
      <c r="S2923" s="367">
        <v>0.05</v>
      </c>
      <c r="T2923" s="367"/>
      <c r="U2923" s="315">
        <f t="shared" si="714"/>
        <v>55.453004376000003</v>
      </c>
      <c r="V2923" s="315">
        <f t="shared" si="715"/>
        <v>56</v>
      </c>
      <c r="W2923" s="316">
        <f t="shared" ref="W2923:W3012" si="716">C2923*V2923</f>
        <v>0</v>
      </c>
    </row>
    <row r="2924" spans="1:23" ht="20.399999999999999" x14ac:dyDescent="0.25">
      <c r="A2924" s="180" t="s">
        <v>18637</v>
      </c>
      <c r="B2924" s="364" t="s">
        <v>22566</v>
      </c>
      <c r="C2924" s="365"/>
      <c r="D2924" s="260" t="s">
        <v>18638</v>
      </c>
      <c r="E2924" s="249">
        <f t="shared" si="705"/>
        <v>0</v>
      </c>
      <c r="F2924" s="336">
        <v>0</v>
      </c>
      <c r="G2924" s="258">
        <f t="shared" si="706"/>
        <v>0</v>
      </c>
      <c r="H2924" s="249">
        <f t="shared" si="707"/>
        <v>6.5404981400000004</v>
      </c>
      <c r="I2924" s="336">
        <v>1</v>
      </c>
      <c r="J2924" s="258">
        <f t="shared" si="708"/>
        <v>1</v>
      </c>
      <c r="K2924" s="249">
        <f t="shared" si="709"/>
        <v>0</v>
      </c>
      <c r="L2924" s="336">
        <v>0</v>
      </c>
      <c r="M2924" s="258">
        <f t="shared" si="710"/>
        <v>0</v>
      </c>
      <c r="N2924" s="251">
        <f t="shared" si="711"/>
        <v>0</v>
      </c>
      <c r="O2924" s="336">
        <v>0</v>
      </c>
      <c r="P2924" s="258">
        <f t="shared" si="712"/>
        <v>0</v>
      </c>
      <c r="Q2924" s="366">
        <v>6.4280080000000002</v>
      </c>
      <c r="R2924" s="249">
        <f t="shared" si="713"/>
        <v>6.5404981400000004</v>
      </c>
      <c r="S2924" s="367">
        <v>0.05</v>
      </c>
      <c r="T2924" s="367"/>
      <c r="U2924" s="315">
        <f t="shared" si="714"/>
        <v>6.8675230470000006</v>
      </c>
      <c r="V2924" s="315">
        <f t="shared" si="715"/>
        <v>7</v>
      </c>
      <c r="W2924" s="316">
        <f t="shared" si="716"/>
        <v>0</v>
      </c>
    </row>
    <row r="2925" spans="1:23" ht="20.399999999999999" x14ac:dyDescent="0.25">
      <c r="A2925" s="180" t="s">
        <v>18639</v>
      </c>
      <c r="B2925" s="364" t="s">
        <v>18640</v>
      </c>
      <c r="C2925" s="365"/>
      <c r="D2925" s="260" t="s">
        <v>14865</v>
      </c>
      <c r="E2925" s="249">
        <f t="shared" si="705"/>
        <v>0</v>
      </c>
      <c r="F2925" s="336">
        <v>0</v>
      </c>
      <c r="G2925" s="258">
        <f t="shared" si="706"/>
        <v>0</v>
      </c>
      <c r="H2925" s="249">
        <f t="shared" si="707"/>
        <v>43.120412719999997</v>
      </c>
      <c r="I2925" s="336">
        <v>1</v>
      </c>
      <c r="J2925" s="258">
        <f t="shared" si="708"/>
        <v>1</v>
      </c>
      <c r="K2925" s="249">
        <f t="shared" si="709"/>
        <v>0</v>
      </c>
      <c r="L2925" s="336">
        <v>0</v>
      </c>
      <c r="M2925" s="258">
        <f t="shared" si="710"/>
        <v>0</v>
      </c>
      <c r="N2925" s="251">
        <f t="shared" si="711"/>
        <v>0</v>
      </c>
      <c r="O2925" s="336">
        <v>0</v>
      </c>
      <c r="P2925" s="258">
        <f t="shared" si="712"/>
        <v>0</v>
      </c>
      <c r="Q2925" s="366">
        <v>42.378783999999996</v>
      </c>
      <c r="R2925" s="249">
        <f t="shared" si="713"/>
        <v>43.120412719999997</v>
      </c>
      <c r="S2925" s="367">
        <v>0.05</v>
      </c>
      <c r="T2925" s="367"/>
      <c r="U2925" s="315">
        <f t="shared" si="714"/>
        <v>45.276433355999998</v>
      </c>
      <c r="V2925" s="315">
        <f t="shared" si="715"/>
        <v>46</v>
      </c>
      <c r="W2925" s="316">
        <f t="shared" si="716"/>
        <v>0</v>
      </c>
    </row>
    <row r="2926" spans="1:23" ht="20.399999999999999" x14ac:dyDescent="0.25">
      <c r="A2926" s="180" t="s">
        <v>18641</v>
      </c>
      <c r="B2926" s="364" t="s">
        <v>18640</v>
      </c>
      <c r="C2926" s="365"/>
      <c r="D2926" s="260" t="s">
        <v>18638</v>
      </c>
      <c r="E2926" s="249">
        <f t="shared" si="705"/>
        <v>0</v>
      </c>
      <c r="F2926" s="336">
        <v>0</v>
      </c>
      <c r="G2926" s="258">
        <f t="shared" si="706"/>
        <v>0</v>
      </c>
      <c r="H2926" s="249">
        <f t="shared" si="707"/>
        <v>5.3290015899999998</v>
      </c>
      <c r="I2926" s="336">
        <v>1</v>
      </c>
      <c r="J2926" s="258">
        <f t="shared" si="708"/>
        <v>1</v>
      </c>
      <c r="K2926" s="249">
        <f t="shared" si="709"/>
        <v>0</v>
      </c>
      <c r="L2926" s="336">
        <v>0</v>
      </c>
      <c r="M2926" s="258">
        <f t="shared" si="710"/>
        <v>0</v>
      </c>
      <c r="N2926" s="251">
        <f t="shared" si="711"/>
        <v>0</v>
      </c>
      <c r="O2926" s="336">
        <v>0</v>
      </c>
      <c r="P2926" s="258">
        <f t="shared" si="712"/>
        <v>0</v>
      </c>
      <c r="Q2926" s="366">
        <v>5.2373479999999999</v>
      </c>
      <c r="R2926" s="249">
        <f t="shared" si="713"/>
        <v>5.3290015899999998</v>
      </c>
      <c r="S2926" s="367">
        <v>0.05</v>
      </c>
      <c r="T2926" s="367"/>
      <c r="U2926" s="315">
        <f t="shared" si="714"/>
        <v>5.5954516695000001</v>
      </c>
      <c r="V2926" s="315">
        <f t="shared" si="715"/>
        <v>6</v>
      </c>
      <c r="W2926" s="316">
        <f t="shared" si="716"/>
        <v>0</v>
      </c>
    </row>
    <row r="2927" spans="1:23" x14ac:dyDescent="0.25">
      <c r="A2927" s="180" t="s">
        <v>18642</v>
      </c>
      <c r="B2927" s="368" t="s">
        <v>22567</v>
      </c>
      <c r="C2927" s="365"/>
      <c r="D2927" s="260" t="s">
        <v>14865</v>
      </c>
      <c r="E2927" s="249">
        <f t="shared" si="705"/>
        <v>0</v>
      </c>
      <c r="F2927" s="336">
        <v>0</v>
      </c>
      <c r="G2927" s="258">
        <f t="shared" si="706"/>
        <v>0</v>
      </c>
      <c r="H2927" s="249">
        <f t="shared" si="707"/>
        <v>107.27319960500002</v>
      </c>
      <c r="I2927" s="336">
        <v>1</v>
      </c>
      <c r="J2927" s="258">
        <f t="shared" si="708"/>
        <v>1</v>
      </c>
      <c r="K2927" s="249">
        <f t="shared" si="709"/>
        <v>0</v>
      </c>
      <c r="L2927" s="336">
        <v>0</v>
      </c>
      <c r="M2927" s="258">
        <f t="shared" si="710"/>
        <v>0</v>
      </c>
      <c r="N2927" s="251">
        <f t="shared" si="711"/>
        <v>0</v>
      </c>
      <c r="O2927" s="336">
        <v>0</v>
      </c>
      <c r="P2927" s="258">
        <f t="shared" si="712"/>
        <v>0</v>
      </c>
      <c r="Q2927" s="366">
        <v>105.428206</v>
      </c>
      <c r="R2927" s="249">
        <f t="shared" si="713"/>
        <v>107.27319960500002</v>
      </c>
      <c r="S2927" s="367">
        <v>0.05</v>
      </c>
      <c r="T2927" s="367"/>
      <c r="U2927" s="315">
        <f t="shared" si="714"/>
        <v>112.63685958525002</v>
      </c>
      <c r="V2927" s="315">
        <f t="shared" si="715"/>
        <v>115</v>
      </c>
      <c r="W2927" s="316">
        <f t="shared" si="716"/>
        <v>0</v>
      </c>
    </row>
    <row r="2928" spans="1:23" x14ac:dyDescent="0.25">
      <c r="A2928" s="180" t="s">
        <v>18643</v>
      </c>
      <c r="B2928" s="368" t="s">
        <v>22567</v>
      </c>
      <c r="C2928" s="365"/>
      <c r="D2928" s="260" t="s">
        <v>18638</v>
      </c>
      <c r="E2928" s="249">
        <f t="shared" si="705"/>
        <v>0</v>
      </c>
      <c r="F2928" s="336">
        <v>0</v>
      </c>
      <c r="G2928" s="258">
        <f t="shared" si="706"/>
        <v>0</v>
      </c>
      <c r="H2928" s="249">
        <f t="shared" si="707"/>
        <v>13.368449950625003</v>
      </c>
      <c r="I2928" s="336">
        <v>1</v>
      </c>
      <c r="J2928" s="258">
        <f t="shared" si="708"/>
        <v>1</v>
      </c>
      <c r="K2928" s="249">
        <f t="shared" si="709"/>
        <v>0</v>
      </c>
      <c r="L2928" s="336">
        <v>0</v>
      </c>
      <c r="M2928" s="258">
        <f t="shared" si="710"/>
        <v>0</v>
      </c>
      <c r="N2928" s="251">
        <f t="shared" si="711"/>
        <v>0</v>
      </c>
      <c r="O2928" s="336">
        <v>0</v>
      </c>
      <c r="P2928" s="258">
        <f t="shared" si="712"/>
        <v>0</v>
      </c>
      <c r="Q2928" s="366">
        <v>13.138525750000001</v>
      </c>
      <c r="R2928" s="249">
        <f t="shared" si="713"/>
        <v>13.368449950625003</v>
      </c>
      <c r="S2928" s="367">
        <v>0.05</v>
      </c>
      <c r="T2928" s="367"/>
      <c r="U2928" s="315">
        <f t="shared" si="714"/>
        <v>14.036872448156252</v>
      </c>
      <c r="V2928" s="315">
        <f t="shared" si="715"/>
        <v>15</v>
      </c>
      <c r="W2928" s="316">
        <f t="shared" si="716"/>
        <v>0</v>
      </c>
    </row>
    <row r="2929" spans="1:23" ht="21" thickBot="1" x14ac:dyDescent="0.3">
      <c r="A2929" s="369" t="s">
        <v>18644</v>
      </c>
      <c r="B2929" s="412" t="s">
        <v>22568</v>
      </c>
      <c r="C2929" s="370"/>
      <c r="D2929" s="371" t="s">
        <v>14865</v>
      </c>
      <c r="E2929" s="266">
        <f t="shared" si="705"/>
        <v>0</v>
      </c>
      <c r="F2929" s="360">
        <v>0</v>
      </c>
      <c r="G2929" s="322">
        <f t="shared" si="706"/>
        <v>0</v>
      </c>
      <c r="H2929" s="266">
        <f t="shared" si="707"/>
        <v>51.653184000000003</v>
      </c>
      <c r="I2929" s="360">
        <v>1</v>
      </c>
      <c r="J2929" s="322">
        <f t="shared" si="708"/>
        <v>1</v>
      </c>
      <c r="K2929" s="266">
        <f t="shared" si="709"/>
        <v>0</v>
      </c>
      <c r="L2929" s="360">
        <v>0</v>
      </c>
      <c r="M2929" s="322">
        <f t="shared" si="710"/>
        <v>0</v>
      </c>
      <c r="N2929" s="270">
        <f t="shared" si="711"/>
        <v>0</v>
      </c>
      <c r="O2929" s="360">
        <v>0</v>
      </c>
      <c r="P2929" s="322">
        <f t="shared" si="712"/>
        <v>0</v>
      </c>
      <c r="Q2929" s="372">
        <v>50.764800000000001</v>
      </c>
      <c r="R2929" s="266">
        <f t="shared" si="713"/>
        <v>51.653184000000003</v>
      </c>
      <c r="S2929" s="373">
        <v>0.05</v>
      </c>
      <c r="T2929" s="373"/>
      <c r="U2929" s="324">
        <f t="shared" si="714"/>
        <v>54.235843200000005</v>
      </c>
      <c r="V2929" s="324">
        <f t="shared" si="715"/>
        <v>55</v>
      </c>
      <c r="W2929" s="325">
        <f t="shared" si="716"/>
        <v>0</v>
      </c>
    </row>
    <row r="2930" spans="1:23" ht="20.399999999999999" x14ac:dyDescent="0.25">
      <c r="A2930" s="180" t="s">
        <v>18644</v>
      </c>
      <c r="B2930" s="364" t="s">
        <v>22568</v>
      </c>
      <c r="C2930" s="365"/>
      <c r="D2930" s="260" t="s">
        <v>18638</v>
      </c>
      <c r="E2930" s="249">
        <f t="shared" si="705"/>
        <v>0</v>
      </c>
      <c r="F2930" s="336">
        <v>0</v>
      </c>
      <c r="G2930" s="258">
        <f t="shared" si="706"/>
        <v>0</v>
      </c>
      <c r="H2930" s="249">
        <f t="shared" si="707"/>
        <v>6.3955980000000006</v>
      </c>
      <c r="I2930" s="336">
        <v>1</v>
      </c>
      <c r="J2930" s="258">
        <f t="shared" si="708"/>
        <v>1</v>
      </c>
      <c r="K2930" s="249">
        <f t="shared" si="709"/>
        <v>0</v>
      </c>
      <c r="L2930" s="336">
        <v>0</v>
      </c>
      <c r="M2930" s="258">
        <f t="shared" si="710"/>
        <v>0</v>
      </c>
      <c r="N2930" s="251">
        <f t="shared" si="711"/>
        <v>0</v>
      </c>
      <c r="O2930" s="336">
        <v>0</v>
      </c>
      <c r="P2930" s="258">
        <f t="shared" si="712"/>
        <v>0</v>
      </c>
      <c r="Q2930" s="366">
        <v>6.2856000000000005</v>
      </c>
      <c r="R2930" s="249">
        <f t="shared" si="713"/>
        <v>6.3955980000000006</v>
      </c>
      <c r="S2930" s="367">
        <v>0.05</v>
      </c>
      <c r="T2930" s="367"/>
      <c r="U2930" s="315">
        <f t="shared" si="714"/>
        <v>6.7153779000000009</v>
      </c>
      <c r="V2930" s="315">
        <f t="shared" si="715"/>
        <v>7</v>
      </c>
      <c r="W2930" s="316">
        <f t="shared" si="716"/>
        <v>0</v>
      </c>
    </row>
    <row r="2931" spans="1:23" ht="20.399999999999999" x14ac:dyDescent="0.25">
      <c r="A2931" s="180" t="s">
        <v>18645</v>
      </c>
      <c r="B2931" s="364" t="s">
        <v>22569</v>
      </c>
      <c r="C2931" s="365"/>
      <c r="D2931" s="260" t="s">
        <v>14865</v>
      </c>
      <c r="E2931" s="249">
        <f t="shared" si="705"/>
        <v>0</v>
      </c>
      <c r="F2931" s="336">
        <v>0</v>
      </c>
      <c r="G2931" s="258">
        <f t="shared" si="706"/>
        <v>0</v>
      </c>
      <c r="H2931" s="249">
        <f t="shared" si="707"/>
        <v>45.835212610000006</v>
      </c>
      <c r="I2931" s="336">
        <v>1</v>
      </c>
      <c r="J2931" s="258">
        <f t="shared" si="708"/>
        <v>1</v>
      </c>
      <c r="K2931" s="249">
        <f t="shared" si="709"/>
        <v>0</v>
      </c>
      <c r="L2931" s="336">
        <v>0</v>
      </c>
      <c r="M2931" s="258">
        <f t="shared" si="710"/>
        <v>0</v>
      </c>
      <c r="N2931" s="251">
        <f t="shared" si="711"/>
        <v>0</v>
      </c>
      <c r="O2931" s="336">
        <v>0</v>
      </c>
      <c r="P2931" s="258">
        <f t="shared" si="712"/>
        <v>0</v>
      </c>
      <c r="Q2931" s="366">
        <v>45.046892</v>
      </c>
      <c r="R2931" s="249">
        <f t="shared" si="713"/>
        <v>45.835212610000006</v>
      </c>
      <c r="S2931" s="367">
        <v>0.05</v>
      </c>
      <c r="T2931" s="367"/>
      <c r="U2931" s="315">
        <f t="shared" si="714"/>
        <v>48.126973240500007</v>
      </c>
      <c r="V2931" s="315">
        <f t="shared" si="715"/>
        <v>49</v>
      </c>
      <c r="W2931" s="316">
        <f t="shared" si="716"/>
        <v>0</v>
      </c>
    </row>
    <row r="2932" spans="1:23" ht="20.399999999999999" x14ac:dyDescent="0.25">
      <c r="A2932" s="180" t="s">
        <v>18645</v>
      </c>
      <c r="B2932" s="364" t="s">
        <v>22569</v>
      </c>
      <c r="C2932" s="365"/>
      <c r="D2932" s="260" t="s">
        <v>18638</v>
      </c>
      <c r="E2932" s="249">
        <f t="shared" si="705"/>
        <v>0</v>
      </c>
      <c r="F2932" s="336">
        <v>0</v>
      </c>
      <c r="G2932" s="258">
        <f t="shared" si="706"/>
        <v>0</v>
      </c>
      <c r="H2932" s="249">
        <f t="shared" si="707"/>
        <v>5.7192265762500005</v>
      </c>
      <c r="I2932" s="336">
        <v>1</v>
      </c>
      <c r="J2932" s="258">
        <f t="shared" si="708"/>
        <v>1</v>
      </c>
      <c r="K2932" s="249">
        <f t="shared" si="709"/>
        <v>0</v>
      </c>
      <c r="L2932" s="336">
        <v>0</v>
      </c>
      <c r="M2932" s="258">
        <f t="shared" si="710"/>
        <v>0</v>
      </c>
      <c r="N2932" s="251">
        <f t="shared" si="711"/>
        <v>0</v>
      </c>
      <c r="O2932" s="336">
        <v>0</v>
      </c>
      <c r="P2932" s="258">
        <f t="shared" si="712"/>
        <v>0</v>
      </c>
      <c r="Q2932" s="366">
        <v>5.6208615000000002</v>
      </c>
      <c r="R2932" s="249">
        <f t="shared" si="713"/>
        <v>5.7192265762500005</v>
      </c>
      <c r="S2932" s="367">
        <v>0.05</v>
      </c>
      <c r="T2932" s="367"/>
      <c r="U2932" s="315">
        <f t="shared" si="714"/>
        <v>6.0051879050625008</v>
      </c>
      <c r="V2932" s="315">
        <f t="shared" si="715"/>
        <v>7</v>
      </c>
      <c r="W2932" s="316">
        <f t="shared" si="716"/>
        <v>0</v>
      </c>
    </row>
    <row r="2933" spans="1:23" ht="30.6" x14ac:dyDescent="0.25">
      <c r="A2933" s="180" t="s">
        <v>18646</v>
      </c>
      <c r="B2933" s="364" t="s">
        <v>22570</v>
      </c>
      <c r="C2933" s="365"/>
      <c r="D2933" s="260" t="s">
        <v>14865</v>
      </c>
      <c r="E2933" s="249">
        <f t="shared" si="705"/>
        <v>0</v>
      </c>
      <c r="F2933" s="336">
        <v>0</v>
      </c>
      <c r="G2933" s="258">
        <f t="shared" si="706"/>
        <v>0</v>
      </c>
      <c r="H2933" s="249">
        <f t="shared" si="707"/>
        <v>47.193959724999992</v>
      </c>
      <c r="I2933" s="336">
        <v>1</v>
      </c>
      <c r="J2933" s="258">
        <f t="shared" si="708"/>
        <v>1</v>
      </c>
      <c r="K2933" s="249">
        <f t="shared" si="709"/>
        <v>0</v>
      </c>
      <c r="L2933" s="336">
        <v>0</v>
      </c>
      <c r="M2933" s="258">
        <f t="shared" si="710"/>
        <v>0</v>
      </c>
      <c r="N2933" s="251">
        <f t="shared" si="711"/>
        <v>0</v>
      </c>
      <c r="O2933" s="336">
        <v>0</v>
      </c>
      <c r="P2933" s="258">
        <f t="shared" si="712"/>
        <v>0</v>
      </c>
      <c r="Q2933" s="366">
        <v>46.382269999999991</v>
      </c>
      <c r="R2933" s="249">
        <f t="shared" si="713"/>
        <v>47.193959724999992</v>
      </c>
      <c r="S2933" s="367">
        <v>0.05</v>
      </c>
      <c r="T2933" s="367"/>
      <c r="U2933" s="315">
        <f t="shared" si="714"/>
        <v>49.55365771124999</v>
      </c>
      <c r="V2933" s="315">
        <f t="shared" si="715"/>
        <v>50</v>
      </c>
      <c r="W2933" s="316">
        <f t="shared" si="716"/>
        <v>0</v>
      </c>
    </row>
    <row r="2934" spans="1:23" ht="30.6" x14ac:dyDescent="0.25">
      <c r="A2934" s="180" t="s">
        <v>18646</v>
      </c>
      <c r="B2934" s="364" t="s">
        <v>22570</v>
      </c>
      <c r="C2934" s="365"/>
      <c r="D2934" s="260" t="s">
        <v>18638</v>
      </c>
      <c r="E2934" s="249">
        <f t="shared" si="705"/>
        <v>0</v>
      </c>
      <c r="F2934" s="336">
        <v>0</v>
      </c>
      <c r="G2934" s="258">
        <f t="shared" si="706"/>
        <v>0</v>
      </c>
      <c r="H2934" s="249">
        <f t="shared" si="707"/>
        <v>11.783993228749999</v>
      </c>
      <c r="I2934" s="336">
        <v>1</v>
      </c>
      <c r="J2934" s="258">
        <f t="shared" si="708"/>
        <v>1</v>
      </c>
      <c r="K2934" s="249">
        <f t="shared" si="709"/>
        <v>0</v>
      </c>
      <c r="L2934" s="336">
        <v>0</v>
      </c>
      <c r="M2934" s="258">
        <f t="shared" si="710"/>
        <v>0</v>
      </c>
      <c r="N2934" s="251">
        <f t="shared" si="711"/>
        <v>11.783993228749999</v>
      </c>
      <c r="O2934" s="336">
        <v>1</v>
      </c>
      <c r="P2934" s="258">
        <f t="shared" si="712"/>
        <v>1</v>
      </c>
      <c r="Q2934" s="366">
        <v>5.8077837499999987</v>
      </c>
      <c r="R2934" s="249">
        <f t="shared" si="713"/>
        <v>11.783993228749999</v>
      </c>
      <c r="S2934" s="367">
        <v>0.05</v>
      </c>
      <c r="T2934" s="367"/>
      <c r="U2934" s="315">
        <f t="shared" si="714"/>
        <v>12.373192890187498</v>
      </c>
      <c r="V2934" s="315">
        <f t="shared" si="715"/>
        <v>13</v>
      </c>
      <c r="W2934" s="316">
        <f t="shared" si="716"/>
        <v>0</v>
      </c>
    </row>
    <row r="2935" spans="1:23" ht="20.399999999999999" x14ac:dyDescent="0.25">
      <c r="A2935" s="180" t="s">
        <v>18647</v>
      </c>
      <c r="B2935" s="364" t="s">
        <v>22571</v>
      </c>
      <c r="C2935" s="365"/>
      <c r="D2935" s="260" t="s">
        <v>14865</v>
      </c>
      <c r="E2935" s="249">
        <f t="shared" si="705"/>
        <v>0</v>
      </c>
      <c r="F2935" s="336">
        <v>0</v>
      </c>
      <c r="G2935" s="258">
        <f t="shared" si="706"/>
        <v>0</v>
      </c>
      <c r="H2935" s="249">
        <f t="shared" si="707"/>
        <v>59.931258750000005</v>
      </c>
      <c r="I2935" s="336">
        <v>1</v>
      </c>
      <c r="J2935" s="258">
        <f t="shared" si="708"/>
        <v>1</v>
      </c>
      <c r="K2935" s="249">
        <f t="shared" si="709"/>
        <v>0</v>
      </c>
      <c r="L2935" s="336">
        <v>0</v>
      </c>
      <c r="M2935" s="258">
        <f t="shared" si="710"/>
        <v>0</v>
      </c>
      <c r="N2935" s="251">
        <f t="shared" si="711"/>
        <v>0</v>
      </c>
      <c r="O2935" s="336">
        <v>0</v>
      </c>
      <c r="P2935" s="258">
        <f t="shared" si="712"/>
        <v>0</v>
      </c>
      <c r="Q2935" s="366">
        <v>58.900500000000001</v>
      </c>
      <c r="R2935" s="249">
        <f t="shared" si="713"/>
        <v>59.931258750000005</v>
      </c>
      <c r="S2935" s="367">
        <v>0.05</v>
      </c>
      <c r="T2935" s="367"/>
      <c r="U2935" s="315">
        <f t="shared" si="714"/>
        <v>62.927821687500007</v>
      </c>
      <c r="V2935" s="315">
        <f t="shared" si="715"/>
        <v>63</v>
      </c>
      <c r="W2935" s="316">
        <f t="shared" si="716"/>
        <v>0</v>
      </c>
    </row>
    <row r="2936" spans="1:23" ht="20.399999999999999" x14ac:dyDescent="0.25">
      <c r="A2936" s="180" t="s">
        <v>18647</v>
      </c>
      <c r="B2936" s="364" t="s">
        <v>22571</v>
      </c>
      <c r="C2936" s="365"/>
      <c r="D2936" s="260" t="s">
        <v>18638</v>
      </c>
      <c r="E2936" s="249">
        <f t="shared" si="705"/>
        <v>0</v>
      </c>
      <c r="F2936" s="336">
        <v>0</v>
      </c>
      <c r="G2936" s="258">
        <f t="shared" si="706"/>
        <v>0</v>
      </c>
      <c r="H2936" s="249">
        <f t="shared" si="707"/>
        <v>3.8889449666202127</v>
      </c>
      <c r="I2936" s="336">
        <v>0.29850746268656719</v>
      </c>
      <c r="J2936" s="258">
        <f t="shared" si="708"/>
        <v>0.29850746268656719</v>
      </c>
      <c r="K2936" s="249">
        <f t="shared" si="709"/>
        <v>0</v>
      </c>
      <c r="L2936" s="336">
        <v>0</v>
      </c>
      <c r="M2936" s="258">
        <f t="shared" si="710"/>
        <v>0</v>
      </c>
      <c r="N2936" s="251">
        <f t="shared" si="711"/>
        <v>13.027965638177712</v>
      </c>
      <c r="O2936" s="336">
        <v>1</v>
      </c>
      <c r="P2936" s="258">
        <f t="shared" si="712"/>
        <v>1</v>
      </c>
      <c r="Q2936" s="366">
        <v>9.9054555722891564</v>
      </c>
      <c r="R2936" s="249">
        <f t="shared" si="713"/>
        <v>13.027965638177712</v>
      </c>
      <c r="S2936" s="367">
        <v>0.05</v>
      </c>
      <c r="T2936" s="367"/>
      <c r="U2936" s="315">
        <f t="shared" si="714"/>
        <v>13.679363920086598</v>
      </c>
      <c r="V2936" s="315">
        <f t="shared" si="715"/>
        <v>14</v>
      </c>
      <c r="W2936" s="316">
        <f t="shared" si="716"/>
        <v>0</v>
      </c>
    </row>
    <row r="2937" spans="1:23" ht="20.399999999999999" x14ac:dyDescent="0.25">
      <c r="A2937" s="180" t="s">
        <v>18648</v>
      </c>
      <c r="B2937" s="364" t="s">
        <v>22572</v>
      </c>
      <c r="C2937" s="365"/>
      <c r="D2937" s="260" t="s">
        <v>14865</v>
      </c>
      <c r="E2937" s="249">
        <f t="shared" si="705"/>
        <v>0</v>
      </c>
      <c r="F2937" s="336">
        <v>0</v>
      </c>
      <c r="G2937" s="258">
        <f t="shared" si="706"/>
        <v>0</v>
      </c>
      <c r="H2937" s="249">
        <f t="shared" si="707"/>
        <v>87.697467247500029</v>
      </c>
      <c r="I2937" s="336">
        <v>1</v>
      </c>
      <c r="J2937" s="258">
        <f t="shared" si="708"/>
        <v>1</v>
      </c>
      <c r="K2937" s="249">
        <f t="shared" si="709"/>
        <v>0</v>
      </c>
      <c r="L2937" s="336">
        <v>0</v>
      </c>
      <c r="M2937" s="258">
        <f t="shared" si="710"/>
        <v>0</v>
      </c>
      <c r="N2937" s="251">
        <f t="shared" si="711"/>
        <v>0</v>
      </c>
      <c r="O2937" s="336">
        <v>0</v>
      </c>
      <c r="P2937" s="258">
        <f t="shared" si="712"/>
        <v>0</v>
      </c>
      <c r="Q2937" s="366">
        <v>86.189157000000023</v>
      </c>
      <c r="R2937" s="249">
        <f t="shared" si="713"/>
        <v>87.697467247500029</v>
      </c>
      <c r="S2937" s="367">
        <v>0.05</v>
      </c>
      <c r="T2937" s="367"/>
      <c r="U2937" s="315">
        <f t="shared" si="714"/>
        <v>92.082340609875033</v>
      </c>
      <c r="V2937" s="315">
        <f t="shared" si="715"/>
        <v>93</v>
      </c>
      <c r="W2937" s="316">
        <f t="shared" si="716"/>
        <v>0</v>
      </c>
    </row>
    <row r="2938" spans="1:23" ht="20.399999999999999" x14ac:dyDescent="0.25">
      <c r="A2938" s="180" t="s">
        <v>18648</v>
      </c>
      <c r="B2938" s="364" t="s">
        <v>22572</v>
      </c>
      <c r="C2938" s="365"/>
      <c r="D2938" s="260" t="s">
        <v>18638</v>
      </c>
      <c r="E2938" s="249">
        <f t="shared" si="705"/>
        <v>0</v>
      </c>
      <c r="F2938" s="336">
        <v>0</v>
      </c>
      <c r="G2938" s="258">
        <f t="shared" si="706"/>
        <v>0</v>
      </c>
      <c r="H2938" s="249">
        <f t="shared" si="707"/>
        <v>21.869909397242751</v>
      </c>
      <c r="I2938" s="336">
        <v>1.000929053340982</v>
      </c>
      <c r="J2938" s="258">
        <f t="shared" si="708"/>
        <v>1.000929053340982</v>
      </c>
      <c r="K2938" s="249">
        <f t="shared" si="709"/>
        <v>0</v>
      </c>
      <c r="L2938" s="336">
        <v>0</v>
      </c>
      <c r="M2938" s="258">
        <f t="shared" si="710"/>
        <v>0</v>
      </c>
      <c r="N2938" s="251">
        <f t="shared" si="711"/>
        <v>21.849609944125007</v>
      </c>
      <c r="O2938" s="336">
        <v>1</v>
      </c>
      <c r="P2938" s="258">
        <f t="shared" si="712"/>
        <v>1</v>
      </c>
      <c r="Q2938" s="366">
        <v>10.763644625000003</v>
      </c>
      <c r="R2938" s="249">
        <f t="shared" si="713"/>
        <v>21.849609944125007</v>
      </c>
      <c r="S2938" s="367">
        <v>0.05</v>
      </c>
      <c r="T2938" s="367"/>
      <c r="U2938" s="315">
        <f t="shared" si="714"/>
        <v>22.942090441331256</v>
      </c>
      <c r="V2938" s="315">
        <f t="shared" si="715"/>
        <v>23</v>
      </c>
      <c r="W2938" s="316">
        <f t="shared" si="716"/>
        <v>0</v>
      </c>
    </row>
    <row r="2939" spans="1:23" ht="20.399999999999999" x14ac:dyDescent="0.25">
      <c r="A2939" s="180" t="s">
        <v>18649</v>
      </c>
      <c r="B2939" s="364" t="s">
        <v>22573</v>
      </c>
      <c r="C2939" s="365"/>
      <c r="D2939" s="260" t="s">
        <v>14865</v>
      </c>
      <c r="E2939" s="249">
        <f t="shared" si="705"/>
        <v>0</v>
      </c>
      <c r="F2939" s="336">
        <v>0</v>
      </c>
      <c r="G2939" s="258">
        <f t="shared" si="706"/>
        <v>0</v>
      </c>
      <c r="H2939" s="249">
        <f t="shared" si="707"/>
        <v>65.115631363749998</v>
      </c>
      <c r="I2939" s="336">
        <v>1</v>
      </c>
      <c r="J2939" s="258">
        <f t="shared" si="708"/>
        <v>1</v>
      </c>
      <c r="K2939" s="249">
        <f t="shared" si="709"/>
        <v>0</v>
      </c>
      <c r="L2939" s="336">
        <v>0</v>
      </c>
      <c r="M2939" s="258">
        <f t="shared" si="710"/>
        <v>0</v>
      </c>
      <c r="N2939" s="251">
        <f t="shared" si="711"/>
        <v>0</v>
      </c>
      <c r="O2939" s="336">
        <v>0</v>
      </c>
      <c r="P2939" s="258">
        <f t="shared" si="712"/>
        <v>0</v>
      </c>
      <c r="Q2939" s="366">
        <v>63.99570649999999</v>
      </c>
      <c r="R2939" s="249">
        <f t="shared" si="713"/>
        <v>65.115631363749998</v>
      </c>
      <c r="S2939" s="367">
        <v>0.05</v>
      </c>
      <c r="T2939" s="367"/>
      <c r="U2939" s="315">
        <f t="shared" si="714"/>
        <v>68.371412931937499</v>
      </c>
      <c r="V2939" s="315">
        <f t="shared" si="715"/>
        <v>69</v>
      </c>
      <c r="W2939" s="316">
        <f t="shared" si="716"/>
        <v>0</v>
      </c>
    </row>
    <row r="2940" spans="1:23" ht="20.399999999999999" x14ac:dyDescent="0.25">
      <c r="A2940" s="180" t="s">
        <v>18649</v>
      </c>
      <c r="B2940" s="364" t="s">
        <v>22573</v>
      </c>
      <c r="C2940" s="365"/>
      <c r="D2940" s="260" t="s">
        <v>18638</v>
      </c>
      <c r="E2940" s="249">
        <f t="shared" si="705"/>
        <v>0</v>
      </c>
      <c r="F2940" s="336">
        <v>0</v>
      </c>
      <c r="G2940" s="258">
        <f t="shared" si="706"/>
        <v>0</v>
      </c>
      <c r="H2940" s="249">
        <f t="shared" si="707"/>
        <v>16.2309110610625</v>
      </c>
      <c r="I2940" s="336">
        <v>1</v>
      </c>
      <c r="J2940" s="258">
        <f t="shared" si="708"/>
        <v>1</v>
      </c>
      <c r="K2940" s="249">
        <f t="shared" si="709"/>
        <v>0</v>
      </c>
      <c r="L2940" s="336">
        <v>0</v>
      </c>
      <c r="M2940" s="258">
        <f t="shared" si="710"/>
        <v>0</v>
      </c>
      <c r="N2940" s="251">
        <f t="shared" si="711"/>
        <v>16.2309110610625</v>
      </c>
      <c r="O2940" s="336">
        <v>1</v>
      </c>
      <c r="P2940" s="258">
        <f t="shared" si="712"/>
        <v>1</v>
      </c>
      <c r="Q2940" s="366">
        <v>7.9994633124999988</v>
      </c>
      <c r="R2940" s="249">
        <f t="shared" si="713"/>
        <v>16.2309110610625</v>
      </c>
      <c r="S2940" s="367">
        <v>0.05</v>
      </c>
      <c r="T2940" s="367"/>
      <c r="U2940" s="315">
        <f t="shared" si="714"/>
        <v>17.042456614115626</v>
      </c>
      <c r="V2940" s="315">
        <f t="shared" si="715"/>
        <v>18</v>
      </c>
      <c r="W2940" s="316">
        <f t="shared" si="716"/>
        <v>0</v>
      </c>
    </row>
    <row r="2941" spans="1:23" ht="20.399999999999999" x14ac:dyDescent="0.25">
      <c r="A2941" s="180" t="s">
        <v>18650</v>
      </c>
      <c r="B2941" s="364" t="s">
        <v>22574</v>
      </c>
      <c r="C2941" s="365"/>
      <c r="D2941" s="260" t="s">
        <v>14865</v>
      </c>
      <c r="E2941" s="249">
        <f t="shared" si="705"/>
        <v>0</v>
      </c>
      <c r="F2941" s="336">
        <v>0</v>
      </c>
      <c r="G2941" s="258">
        <f t="shared" si="706"/>
        <v>0</v>
      </c>
      <c r="H2941" s="249">
        <f t="shared" si="707"/>
        <v>65.795257769999992</v>
      </c>
      <c r="I2941" s="336">
        <v>1</v>
      </c>
      <c r="J2941" s="258">
        <f t="shared" si="708"/>
        <v>1</v>
      </c>
      <c r="K2941" s="249">
        <f t="shared" si="709"/>
        <v>0</v>
      </c>
      <c r="L2941" s="336">
        <v>0</v>
      </c>
      <c r="M2941" s="258">
        <f t="shared" si="710"/>
        <v>0</v>
      </c>
      <c r="N2941" s="251">
        <f t="shared" si="711"/>
        <v>0</v>
      </c>
      <c r="O2941" s="336">
        <v>0</v>
      </c>
      <c r="P2941" s="258">
        <f t="shared" si="712"/>
        <v>0</v>
      </c>
      <c r="Q2941" s="366">
        <v>64.663643999999991</v>
      </c>
      <c r="R2941" s="249">
        <f t="shared" si="713"/>
        <v>65.795257769999992</v>
      </c>
      <c r="S2941" s="367">
        <v>0.05</v>
      </c>
      <c r="T2941" s="367"/>
      <c r="U2941" s="315">
        <f t="shared" si="714"/>
        <v>69.085020658499985</v>
      </c>
      <c r="V2941" s="315">
        <f t="shared" si="715"/>
        <v>70</v>
      </c>
      <c r="W2941" s="316">
        <f t="shared" si="716"/>
        <v>0</v>
      </c>
    </row>
    <row r="2942" spans="1:23" ht="20.399999999999999" x14ac:dyDescent="0.25">
      <c r="A2942" s="180" t="s">
        <v>18650</v>
      </c>
      <c r="B2942" s="364" t="s">
        <v>22574</v>
      </c>
      <c r="C2942" s="365"/>
      <c r="D2942" s="260" t="s">
        <v>18638</v>
      </c>
      <c r="E2942" s="249">
        <f t="shared" si="705"/>
        <v>0</v>
      </c>
      <c r="F2942" s="336">
        <v>0</v>
      </c>
      <c r="G2942" s="258">
        <f t="shared" si="706"/>
        <v>0</v>
      </c>
      <c r="H2942" s="249">
        <f t="shared" si="707"/>
        <v>3.8795131729749279</v>
      </c>
      <c r="I2942" s="336">
        <v>0.35026269702276702</v>
      </c>
      <c r="J2942" s="258">
        <f t="shared" si="708"/>
        <v>0.35026269702276702</v>
      </c>
      <c r="K2942" s="249">
        <f t="shared" si="709"/>
        <v>0</v>
      </c>
      <c r="L2942" s="336">
        <v>0</v>
      </c>
      <c r="M2942" s="258">
        <f t="shared" si="710"/>
        <v>0</v>
      </c>
      <c r="N2942" s="251">
        <f t="shared" si="711"/>
        <v>11.076010108843422</v>
      </c>
      <c r="O2942" s="336">
        <v>1</v>
      </c>
      <c r="P2942" s="258">
        <f t="shared" si="712"/>
        <v>1</v>
      </c>
      <c r="Q2942" s="366">
        <v>8.0971361236842103</v>
      </c>
      <c r="R2942" s="249">
        <f t="shared" si="713"/>
        <v>11.076010108843422</v>
      </c>
      <c r="S2942" s="367">
        <v>0.05</v>
      </c>
      <c r="T2942" s="367"/>
      <c r="U2942" s="315">
        <f t="shared" si="714"/>
        <v>11.629810614285592</v>
      </c>
      <c r="V2942" s="315">
        <f t="shared" si="715"/>
        <v>12</v>
      </c>
      <c r="W2942" s="316">
        <f t="shared" si="716"/>
        <v>0</v>
      </c>
    </row>
    <row r="2943" spans="1:23" ht="21" x14ac:dyDescent="0.25">
      <c r="A2943" s="202" t="s">
        <v>15248</v>
      </c>
      <c r="B2943" s="255" t="s">
        <v>15249</v>
      </c>
      <c r="C2943" s="248"/>
      <c r="D2943" s="247" t="s">
        <v>11</v>
      </c>
      <c r="E2943" s="249">
        <f t="shared" si="705"/>
        <v>1211.0375519654999</v>
      </c>
      <c r="F2943" s="258">
        <v>0.7</v>
      </c>
      <c r="G2943" s="258">
        <f t="shared" si="706"/>
        <v>0.7</v>
      </c>
      <c r="H2943" s="249">
        <f t="shared" si="707"/>
        <v>0</v>
      </c>
      <c r="I2943" s="314"/>
      <c r="J2943" s="258">
        <f t="shared" si="708"/>
        <v>0</v>
      </c>
      <c r="K2943" s="249">
        <f t="shared" si="709"/>
        <v>432.51341141624999</v>
      </c>
      <c r="L2943" s="258">
        <v>0.25</v>
      </c>
      <c r="M2943" s="258">
        <f t="shared" si="710"/>
        <v>0.25</v>
      </c>
      <c r="N2943" s="251">
        <f t="shared" si="711"/>
        <v>86.50268228325001</v>
      </c>
      <c r="O2943" s="258">
        <v>0.05</v>
      </c>
      <c r="P2943" s="258">
        <f t="shared" si="712"/>
        <v>0.05</v>
      </c>
      <c r="Q2943" s="249">
        <v>1690.9091000000001</v>
      </c>
      <c r="R2943" s="249">
        <f t="shared" si="713"/>
        <v>1730.053645665</v>
      </c>
      <c r="S2943" s="258">
        <v>0.1</v>
      </c>
      <c r="T2943" s="169">
        <f t="shared" ref="T2943:T2967" si="717">Q2943+Q2943*S2943</f>
        <v>1860.0000100000002</v>
      </c>
      <c r="U2943" s="315">
        <f t="shared" si="714"/>
        <v>1903.0590102315</v>
      </c>
      <c r="V2943" s="315">
        <f t="shared" si="715"/>
        <v>1925</v>
      </c>
      <c r="W2943" s="316">
        <f t="shared" si="716"/>
        <v>0</v>
      </c>
    </row>
    <row r="2944" spans="1:23" ht="31.2" x14ac:dyDescent="0.25">
      <c r="A2944" s="202" t="s">
        <v>15250</v>
      </c>
      <c r="B2944" s="255" t="s">
        <v>15251</v>
      </c>
      <c r="C2944" s="248"/>
      <c r="D2944" s="247" t="s">
        <v>11</v>
      </c>
      <c r="E2944" s="249">
        <f t="shared" si="705"/>
        <v>97.989878930999993</v>
      </c>
      <c r="F2944" s="258">
        <v>0.7</v>
      </c>
      <c r="G2944" s="258">
        <f t="shared" si="706"/>
        <v>0.7</v>
      </c>
      <c r="H2944" s="249">
        <f t="shared" si="707"/>
        <v>0</v>
      </c>
      <c r="I2944" s="314"/>
      <c r="J2944" s="258">
        <f t="shared" si="708"/>
        <v>0</v>
      </c>
      <c r="K2944" s="249">
        <f t="shared" si="709"/>
        <v>34.996385332499997</v>
      </c>
      <c r="L2944" s="258">
        <v>0.25</v>
      </c>
      <c r="M2944" s="258">
        <f t="shared" si="710"/>
        <v>0.25</v>
      </c>
      <c r="N2944" s="251">
        <f t="shared" si="711"/>
        <v>6.9992770664999995</v>
      </c>
      <c r="O2944" s="258">
        <v>0.05</v>
      </c>
      <c r="P2944" s="258">
        <f t="shared" si="712"/>
        <v>0.05</v>
      </c>
      <c r="Q2944" s="249">
        <v>136.81819999999999</v>
      </c>
      <c r="R2944" s="249">
        <f t="shared" si="713"/>
        <v>139.98554132999999</v>
      </c>
      <c r="S2944" s="258">
        <v>0.1</v>
      </c>
      <c r="T2944" s="169">
        <f t="shared" si="717"/>
        <v>150.50001999999998</v>
      </c>
      <c r="U2944" s="315">
        <f t="shared" si="714"/>
        <v>153.98409546299999</v>
      </c>
      <c r="V2944" s="315">
        <f t="shared" si="715"/>
        <v>155</v>
      </c>
      <c r="W2944" s="316">
        <f t="shared" si="716"/>
        <v>0</v>
      </c>
    </row>
    <row r="2945" spans="1:23" x14ac:dyDescent="0.25">
      <c r="A2945" s="202" t="s">
        <v>15252</v>
      </c>
      <c r="B2945" s="313" t="s">
        <v>15253</v>
      </c>
      <c r="C2945" s="248"/>
      <c r="D2945" s="247" t="s">
        <v>11</v>
      </c>
      <c r="E2945" s="249">
        <f t="shared" si="705"/>
        <v>543.66469803449991</v>
      </c>
      <c r="F2945" s="258">
        <v>0.7</v>
      </c>
      <c r="G2945" s="258">
        <f t="shared" si="706"/>
        <v>0.7</v>
      </c>
      <c r="H2945" s="249">
        <f t="shared" si="707"/>
        <v>0</v>
      </c>
      <c r="I2945" s="314"/>
      <c r="J2945" s="258">
        <f t="shared" si="708"/>
        <v>0</v>
      </c>
      <c r="K2945" s="249">
        <f t="shared" si="709"/>
        <v>194.16596358375</v>
      </c>
      <c r="L2945" s="258">
        <v>0.25</v>
      </c>
      <c r="M2945" s="258">
        <f t="shared" si="710"/>
        <v>0.25</v>
      </c>
      <c r="N2945" s="251">
        <f t="shared" si="711"/>
        <v>38.833192716750006</v>
      </c>
      <c r="O2945" s="258">
        <v>0.05</v>
      </c>
      <c r="P2945" s="258">
        <f t="shared" si="712"/>
        <v>0.05</v>
      </c>
      <c r="Q2945" s="249">
        <v>759.09090000000003</v>
      </c>
      <c r="R2945" s="249">
        <f>SUM(F2945*Q2945*1.0235,I2945*Q2945*1.0175,L2945*Q2945*1.0245,O2945*Q2945*1.0115)</f>
        <v>776.663854335</v>
      </c>
      <c r="S2945" s="258">
        <v>0.1</v>
      </c>
      <c r="T2945" s="169">
        <f t="shared" si="717"/>
        <v>834.99999000000003</v>
      </c>
      <c r="U2945" s="315">
        <f t="shared" si="714"/>
        <v>854.33023976849995</v>
      </c>
      <c r="V2945" s="315">
        <f t="shared" si="715"/>
        <v>855</v>
      </c>
      <c r="W2945" s="316">
        <f t="shared" si="716"/>
        <v>0</v>
      </c>
    </row>
    <row r="2946" spans="1:23" x14ac:dyDescent="0.25">
      <c r="A2946" s="202" t="s">
        <v>15254</v>
      </c>
      <c r="B2946" s="313" t="s">
        <v>15255</v>
      </c>
      <c r="C2946" s="248"/>
      <c r="D2946" s="247" t="s">
        <v>11</v>
      </c>
      <c r="E2946" s="249">
        <f t="shared" ref="E2946:E3009" si="718">R2946*G2946</f>
        <v>7629.4352402589993</v>
      </c>
      <c r="F2946" s="258">
        <v>0.35</v>
      </c>
      <c r="G2946" s="258">
        <f t="shared" ref="G2946:G3009" si="719">F2946</f>
        <v>0.35</v>
      </c>
      <c r="H2946" s="249">
        <f t="shared" ref="H2946:H3009" si="720">R2946*J2946</f>
        <v>9809.2738803330012</v>
      </c>
      <c r="I2946" s="314">
        <v>0.45</v>
      </c>
      <c r="J2946" s="258">
        <f t="shared" ref="J2946:J3009" si="721">I2946</f>
        <v>0.45</v>
      </c>
      <c r="K2946" s="249">
        <f t="shared" ref="K2946:K3009" si="722">R2946*M2946</f>
        <v>3269.7579601110001</v>
      </c>
      <c r="L2946" s="258">
        <v>0.15</v>
      </c>
      <c r="M2946" s="258">
        <f t="shared" ref="M2946:M3009" si="723">L2946</f>
        <v>0.15</v>
      </c>
      <c r="N2946" s="251">
        <f t="shared" ref="N2946:N3009" si="724">P2946*R2946</f>
        <v>1089.919320037</v>
      </c>
      <c r="O2946" s="258">
        <v>0.05</v>
      </c>
      <c r="P2946" s="258">
        <f t="shared" ref="P2946:P3009" si="725">O2946</f>
        <v>0.05</v>
      </c>
      <c r="Q2946" s="249">
        <v>21363.636399999999</v>
      </c>
      <c r="R2946" s="249">
        <f>SUM(F2946*Q2946*1.0235,I2946*Q2946*1.0175,L2946*Q2946*1.0245,O2946*Q2946*1.0115)</f>
        <v>21798.386400740001</v>
      </c>
      <c r="S2946" s="258">
        <v>0.1</v>
      </c>
      <c r="T2946" s="169">
        <f t="shared" si="717"/>
        <v>23500.000039999999</v>
      </c>
      <c r="U2946" s="315">
        <f t="shared" si="714"/>
        <v>23978.225040814003</v>
      </c>
      <c r="V2946" s="315">
        <f t="shared" si="715"/>
        <v>24000</v>
      </c>
      <c r="W2946" s="316">
        <f t="shared" si="716"/>
        <v>0</v>
      </c>
    </row>
    <row r="2947" spans="1:23" x14ac:dyDescent="0.25">
      <c r="A2947" s="200" t="s">
        <v>15256</v>
      </c>
      <c r="B2947" s="313" t="s">
        <v>15257</v>
      </c>
      <c r="C2947" s="248"/>
      <c r="D2947" s="247" t="s">
        <v>11</v>
      </c>
      <c r="E2947" s="249">
        <f t="shared" si="718"/>
        <v>7634.8854619760023</v>
      </c>
      <c r="F2947" s="258">
        <v>0.4</v>
      </c>
      <c r="G2947" s="258">
        <f t="shared" si="719"/>
        <v>0.4</v>
      </c>
      <c r="H2947" s="249">
        <f t="shared" si="720"/>
        <v>4771.8034137350014</v>
      </c>
      <c r="I2947" s="258">
        <v>0.25</v>
      </c>
      <c r="J2947" s="258">
        <f t="shared" si="721"/>
        <v>0.25</v>
      </c>
      <c r="K2947" s="249">
        <f t="shared" si="722"/>
        <v>5726.1640964820017</v>
      </c>
      <c r="L2947" s="258">
        <v>0.3</v>
      </c>
      <c r="M2947" s="258">
        <f t="shared" si="723"/>
        <v>0.3</v>
      </c>
      <c r="N2947" s="251">
        <f t="shared" si="724"/>
        <v>954.36068274700028</v>
      </c>
      <c r="O2947" s="258">
        <v>0.05</v>
      </c>
      <c r="P2947" s="258">
        <f t="shared" si="725"/>
        <v>0.05</v>
      </c>
      <c r="Q2947" s="249">
        <v>18681.818200000002</v>
      </c>
      <c r="R2947" s="249">
        <f>SUM(F2947*Q2947*1.0235,I2947*Q2947*1.0175,L2947*Q2947*1.0245,O2947*Q2947*1.0115)</f>
        <v>19087.213654940006</v>
      </c>
      <c r="S2947" s="258">
        <v>0.1</v>
      </c>
      <c r="T2947" s="169">
        <f t="shared" si="717"/>
        <v>20550.000020000003</v>
      </c>
      <c r="U2947" s="315">
        <f t="shared" si="714"/>
        <v>20995.935020434008</v>
      </c>
      <c r="V2947" s="315">
        <f t="shared" si="715"/>
        <v>21000</v>
      </c>
      <c r="W2947" s="316">
        <f t="shared" si="716"/>
        <v>0</v>
      </c>
    </row>
    <row r="2948" spans="1:23" ht="21" x14ac:dyDescent="0.25">
      <c r="A2948" s="200" t="s">
        <v>15258</v>
      </c>
      <c r="B2948" s="255" t="s">
        <v>22575</v>
      </c>
      <c r="C2948" s="248"/>
      <c r="D2948" s="247" t="s">
        <v>11</v>
      </c>
      <c r="E2948" s="249">
        <f t="shared" si="718"/>
        <v>8217.4909025999987</v>
      </c>
      <c r="F2948" s="258">
        <v>0.35</v>
      </c>
      <c r="G2948" s="258">
        <f t="shared" si="719"/>
        <v>0.35</v>
      </c>
      <c r="H2948" s="249">
        <f t="shared" si="720"/>
        <v>11739.272717999998</v>
      </c>
      <c r="I2948" s="258">
        <v>0.5</v>
      </c>
      <c r="J2948" s="258">
        <f t="shared" si="721"/>
        <v>0.5</v>
      </c>
      <c r="K2948" s="249">
        <f t="shared" si="722"/>
        <v>2347.8545435999999</v>
      </c>
      <c r="L2948" s="258">
        <v>0.1</v>
      </c>
      <c r="M2948" s="258">
        <f t="shared" si="723"/>
        <v>0.1</v>
      </c>
      <c r="N2948" s="251">
        <f t="shared" si="724"/>
        <v>1173.9272718</v>
      </c>
      <c r="O2948" s="258">
        <v>0.05</v>
      </c>
      <c r="P2948" s="258">
        <f t="shared" si="725"/>
        <v>0.05</v>
      </c>
      <c r="Q2948" s="249">
        <v>23018.181799999998</v>
      </c>
      <c r="R2948" s="249">
        <f>SUM(F2948*Q2948*1.0235,I2948*Q2948*1.0175,L2948*Q2948*1.0245,O2948*Q2948*1.0115)</f>
        <v>23478.545435999997</v>
      </c>
      <c r="S2948" s="258">
        <v>0.1</v>
      </c>
      <c r="T2948" s="169">
        <f t="shared" si="717"/>
        <v>25319.999979999997</v>
      </c>
      <c r="U2948" s="315">
        <f t="shared" si="714"/>
        <v>25826.399979599995</v>
      </c>
      <c r="V2948" s="315">
        <f t="shared" si="715"/>
        <v>26000</v>
      </c>
      <c r="W2948" s="316">
        <f t="shared" si="716"/>
        <v>0</v>
      </c>
    </row>
    <row r="2949" spans="1:23" ht="21" x14ac:dyDescent="0.25">
      <c r="A2949" s="200" t="s">
        <v>15259</v>
      </c>
      <c r="B2949" s="255" t="s">
        <v>22576</v>
      </c>
      <c r="C2949" s="248"/>
      <c r="D2949" s="247" t="s">
        <v>11</v>
      </c>
      <c r="E2949" s="249">
        <f t="shared" si="718"/>
        <v>7258.4099916570003</v>
      </c>
      <c r="F2949" s="258">
        <v>0.3</v>
      </c>
      <c r="G2949" s="258">
        <f t="shared" si="719"/>
        <v>0.3</v>
      </c>
      <c r="H2949" s="249">
        <f t="shared" si="720"/>
        <v>13307.084984704503</v>
      </c>
      <c r="I2949" s="258">
        <v>0.55000000000000004</v>
      </c>
      <c r="J2949" s="258">
        <f t="shared" si="721"/>
        <v>0.55000000000000004</v>
      </c>
      <c r="K2949" s="249">
        <f t="shared" si="722"/>
        <v>2419.4699972190006</v>
      </c>
      <c r="L2949" s="258">
        <v>0.1</v>
      </c>
      <c r="M2949" s="258">
        <f t="shared" si="723"/>
        <v>0.1</v>
      </c>
      <c r="N2949" s="251">
        <f t="shared" si="724"/>
        <v>1209.7349986095003</v>
      </c>
      <c r="O2949" s="258">
        <v>0.05</v>
      </c>
      <c r="P2949" s="258">
        <f t="shared" si="725"/>
        <v>0.05</v>
      </c>
      <c r="Q2949" s="249">
        <v>23727.272700000001</v>
      </c>
      <c r="R2949" s="249">
        <f>SUM(F2949*Q2949*1.0235,I2949*Q2949*1.0175,L2949*Q2949*1.0245,O2949*Q2949*1.0115)</f>
        <v>24194.699972190003</v>
      </c>
      <c r="S2949" s="258">
        <v>0.1</v>
      </c>
      <c r="T2949" s="169">
        <f t="shared" si="717"/>
        <v>26099.999970000001</v>
      </c>
      <c r="U2949" s="315">
        <f t="shared" si="714"/>
        <v>26614.169969409002</v>
      </c>
      <c r="V2949" s="315">
        <f t="shared" si="715"/>
        <v>26750</v>
      </c>
      <c r="W2949" s="316">
        <f t="shared" si="716"/>
        <v>0</v>
      </c>
    </row>
    <row r="2950" spans="1:23" x14ac:dyDescent="0.25">
      <c r="A2950" s="200" t="s">
        <v>18651</v>
      </c>
      <c r="B2950" s="313" t="s">
        <v>18652</v>
      </c>
      <c r="C2950" s="248"/>
      <c r="D2950" s="247" t="s">
        <v>11</v>
      </c>
      <c r="E2950" s="249">
        <f t="shared" si="718"/>
        <v>0</v>
      </c>
      <c r="F2950" s="258"/>
      <c r="G2950" s="258">
        <f t="shared" si="719"/>
        <v>0</v>
      </c>
      <c r="H2950" s="249">
        <f t="shared" si="720"/>
        <v>87</v>
      </c>
      <c r="I2950" s="258">
        <f>87/379</f>
        <v>0.22955145118733508</v>
      </c>
      <c r="J2950" s="258">
        <f t="shared" si="721"/>
        <v>0.22955145118733508</v>
      </c>
      <c r="K2950" s="249">
        <f t="shared" si="722"/>
        <v>242</v>
      </c>
      <c r="L2950" s="258">
        <f>242/379</f>
        <v>0.63852242744063326</v>
      </c>
      <c r="M2950" s="258">
        <f t="shared" si="723"/>
        <v>0.63852242744063326</v>
      </c>
      <c r="N2950" s="251">
        <f t="shared" si="724"/>
        <v>50</v>
      </c>
      <c r="O2950" s="258">
        <f>50/379</f>
        <v>0.13192612137203166</v>
      </c>
      <c r="P2950" s="258">
        <f t="shared" si="725"/>
        <v>0.13192612137203166</v>
      </c>
      <c r="Q2950" s="249"/>
      <c r="R2950" s="249">
        <v>379</v>
      </c>
      <c r="S2950" s="258">
        <v>0.2</v>
      </c>
      <c r="T2950" s="169">
        <f t="shared" si="717"/>
        <v>0</v>
      </c>
      <c r="U2950" s="315">
        <f t="shared" si="714"/>
        <v>454.8</v>
      </c>
      <c r="V2950" s="315">
        <f>IF(U2950=0, 0, IF(U2950&lt;10, _xlfn.CEILING.MATH(U2950,1), IF(U2950&lt;100, _xlfn.CEILING.MATH(U2950,1),IF(U2950&lt;1000, _xlfn.CEILING.MATH(U2950,5), IF(U2950&lt;10000, _xlfn.CEILING.MATH(U2950, 25), IF(U2950&lt;100000, _xlfn.CEILING.MATH(U2950,250), IF(U2950&lt;1000000, _xlfn.CEILING.MATH(U2950,500), 0)))))))</f>
        <v>455</v>
      </c>
      <c r="W2950" s="316">
        <f t="shared" si="716"/>
        <v>0</v>
      </c>
    </row>
    <row r="2951" spans="1:23" x14ac:dyDescent="0.25">
      <c r="A2951" s="200" t="s">
        <v>18653</v>
      </c>
      <c r="B2951" s="313" t="s">
        <v>18654</v>
      </c>
      <c r="C2951" s="248"/>
      <c r="D2951" s="247" t="s">
        <v>11</v>
      </c>
      <c r="E2951" s="249">
        <f t="shared" si="718"/>
        <v>0</v>
      </c>
      <c r="F2951" s="258"/>
      <c r="G2951" s="258">
        <f t="shared" si="719"/>
        <v>0</v>
      </c>
      <c r="H2951" s="249">
        <f t="shared" si="720"/>
        <v>90</v>
      </c>
      <c r="I2951" s="258">
        <f>90/415</f>
        <v>0.21686746987951808</v>
      </c>
      <c r="J2951" s="258">
        <f t="shared" si="721"/>
        <v>0.21686746987951808</v>
      </c>
      <c r="K2951" s="249">
        <f t="shared" si="722"/>
        <v>275</v>
      </c>
      <c r="L2951" s="258">
        <f>275/415</f>
        <v>0.66265060240963858</v>
      </c>
      <c r="M2951" s="258">
        <f t="shared" si="723"/>
        <v>0.66265060240963858</v>
      </c>
      <c r="N2951" s="251">
        <f t="shared" si="724"/>
        <v>50</v>
      </c>
      <c r="O2951" s="258">
        <f>50/415</f>
        <v>0.12048192771084337</v>
      </c>
      <c r="P2951" s="258">
        <f t="shared" si="725"/>
        <v>0.12048192771084337</v>
      </c>
      <c r="Q2951" s="249"/>
      <c r="R2951" s="249">
        <v>415</v>
      </c>
      <c r="S2951" s="258">
        <v>0.2</v>
      </c>
      <c r="T2951" s="169">
        <f t="shared" si="717"/>
        <v>0</v>
      </c>
      <c r="U2951" s="315">
        <f t="shared" si="714"/>
        <v>498</v>
      </c>
      <c r="V2951" s="315">
        <f>IF(U2951=0, 0, IF(U2951&lt;10, _xlfn.CEILING.MATH(U2951,1), IF(U2951&lt;100, _xlfn.CEILING.MATH(U2951,1),IF(U2951&lt;1000, _xlfn.CEILING.MATH(U2951,5), IF(U2951&lt;10000, _xlfn.CEILING.MATH(U2951, 25), IF(U2951&lt;100000, _xlfn.CEILING.MATH(U2951,250), IF(U2951&lt;1000000, _xlfn.CEILING.MATH(U2951,500), 0)))))))</f>
        <v>500</v>
      </c>
      <c r="W2951" s="316">
        <f t="shared" si="716"/>
        <v>0</v>
      </c>
    </row>
    <row r="2952" spans="1:23" x14ac:dyDescent="0.25">
      <c r="A2952" s="200" t="s">
        <v>18655</v>
      </c>
      <c r="B2952" s="313" t="s">
        <v>18656</v>
      </c>
      <c r="C2952" s="248"/>
      <c r="D2952" s="247" t="s">
        <v>11</v>
      </c>
      <c r="E2952" s="249">
        <f t="shared" si="718"/>
        <v>0</v>
      </c>
      <c r="F2952" s="258"/>
      <c r="G2952" s="258">
        <f t="shared" si="719"/>
        <v>0</v>
      </c>
      <c r="H2952" s="249">
        <f t="shared" si="720"/>
        <v>219.99999999999997</v>
      </c>
      <c r="I2952" s="258">
        <f>220/355</f>
        <v>0.61971830985915488</v>
      </c>
      <c r="J2952" s="258">
        <f t="shared" si="721"/>
        <v>0.61971830985915488</v>
      </c>
      <c r="K2952" s="249">
        <f t="shared" si="722"/>
        <v>85</v>
      </c>
      <c r="L2952" s="258">
        <f>85/355</f>
        <v>0.23943661971830985</v>
      </c>
      <c r="M2952" s="258">
        <f t="shared" si="723"/>
        <v>0.23943661971830985</v>
      </c>
      <c r="N2952" s="251">
        <f t="shared" si="724"/>
        <v>50</v>
      </c>
      <c r="O2952" s="258">
        <f>50/355</f>
        <v>0.14084507042253522</v>
      </c>
      <c r="P2952" s="258">
        <f t="shared" si="725"/>
        <v>0.14084507042253522</v>
      </c>
      <c r="Q2952" s="249"/>
      <c r="R2952" s="249">
        <v>355</v>
      </c>
      <c r="S2952" s="258">
        <v>0.2</v>
      </c>
      <c r="T2952" s="169">
        <f t="shared" si="717"/>
        <v>0</v>
      </c>
      <c r="U2952" s="315">
        <f t="shared" si="714"/>
        <v>426</v>
      </c>
      <c r="V2952" s="315">
        <f>IF(U2952=0, 0, IF(U2952&lt;10, _xlfn.CEILING.MATH(U2952,1), IF(U2952&lt;100, _xlfn.CEILING.MATH(U2952,1),IF(U2952&lt;1000, _xlfn.CEILING.MATH(U2952,5), IF(U2952&lt;10000, _xlfn.CEILING.MATH(U2952, 25), IF(U2952&lt;100000, _xlfn.CEILING.MATH(U2952,250), IF(U2952&lt;1000000, _xlfn.CEILING.MATH(U2952,500), 0)))))))</f>
        <v>430</v>
      </c>
      <c r="W2952" s="316">
        <f t="shared" si="716"/>
        <v>0</v>
      </c>
    </row>
    <row r="2953" spans="1:23" x14ac:dyDescent="0.25">
      <c r="A2953" s="200" t="s">
        <v>18657</v>
      </c>
      <c r="B2953" s="313" t="s">
        <v>18658</v>
      </c>
      <c r="C2953" s="248"/>
      <c r="D2953" s="247" t="s">
        <v>11</v>
      </c>
      <c r="E2953" s="249">
        <f t="shared" si="718"/>
        <v>0</v>
      </c>
      <c r="F2953" s="258"/>
      <c r="G2953" s="258">
        <f t="shared" si="719"/>
        <v>0</v>
      </c>
      <c r="H2953" s="249">
        <f t="shared" si="720"/>
        <v>341</v>
      </c>
      <c r="I2953" s="258">
        <f>341/526</f>
        <v>0.64828897338403046</v>
      </c>
      <c r="J2953" s="258">
        <f t="shared" si="721"/>
        <v>0.64828897338403046</v>
      </c>
      <c r="K2953" s="249">
        <f t="shared" si="722"/>
        <v>115</v>
      </c>
      <c r="L2953" s="258">
        <f>115/526</f>
        <v>0.21863117870722434</v>
      </c>
      <c r="M2953" s="258">
        <f t="shared" si="723"/>
        <v>0.21863117870722434</v>
      </c>
      <c r="N2953" s="251">
        <f t="shared" si="724"/>
        <v>70</v>
      </c>
      <c r="O2953" s="258">
        <f>70/526</f>
        <v>0.13307984790874525</v>
      </c>
      <c r="P2953" s="258">
        <f t="shared" si="725"/>
        <v>0.13307984790874525</v>
      </c>
      <c r="Q2953" s="249"/>
      <c r="R2953" s="249">
        <v>526</v>
      </c>
      <c r="S2953" s="258">
        <v>0.2</v>
      </c>
      <c r="T2953" s="169">
        <f t="shared" si="717"/>
        <v>0</v>
      </c>
      <c r="U2953" s="315">
        <f t="shared" si="714"/>
        <v>631.20000000000005</v>
      </c>
      <c r="V2953" s="315">
        <f>IF(U2953=0, 0, IF(U2953&lt;10, _xlfn.CEILING.MATH(U2953,1), IF(U2953&lt;100, _xlfn.CEILING.MATH(U2953,1),IF(U2953&lt;1000, _xlfn.CEILING.MATH(U2953,5), IF(U2953&lt;10000, _xlfn.CEILING.MATH(U2953, 25), IF(U2953&lt;100000, _xlfn.CEILING.MATH(U2953,250), IF(U2953&lt;1000000, _xlfn.CEILING.MATH(U2953,500), 0)))))))</f>
        <v>635</v>
      </c>
      <c r="W2953" s="316">
        <f t="shared" si="716"/>
        <v>0</v>
      </c>
    </row>
    <row r="2954" spans="1:23" x14ac:dyDescent="0.25">
      <c r="A2954" s="200" t="s">
        <v>18659</v>
      </c>
      <c r="B2954" s="313" t="s">
        <v>18660</v>
      </c>
      <c r="C2954" s="248"/>
      <c r="D2954" s="247" t="s">
        <v>11</v>
      </c>
      <c r="E2954" s="249">
        <f t="shared" si="718"/>
        <v>0</v>
      </c>
      <c r="F2954" s="258"/>
      <c r="G2954" s="258">
        <f t="shared" si="719"/>
        <v>0</v>
      </c>
      <c r="H2954" s="249">
        <f t="shared" si="720"/>
        <v>438.9</v>
      </c>
      <c r="I2954" s="258">
        <f>438.9/635.9</f>
        <v>0.69020286208523352</v>
      </c>
      <c r="J2954" s="258">
        <f t="shared" si="721"/>
        <v>0.69020286208523352</v>
      </c>
      <c r="K2954" s="249">
        <f t="shared" si="722"/>
        <v>122</v>
      </c>
      <c r="L2954" s="258">
        <f>122/635.9</f>
        <v>0.1918540651045762</v>
      </c>
      <c r="M2954" s="258">
        <f t="shared" si="723"/>
        <v>0.1918540651045762</v>
      </c>
      <c r="N2954" s="251">
        <f t="shared" si="724"/>
        <v>75</v>
      </c>
      <c r="O2954" s="258">
        <f>75/635.9</f>
        <v>0.11794307281019029</v>
      </c>
      <c r="P2954" s="258">
        <f t="shared" si="725"/>
        <v>0.11794307281019029</v>
      </c>
      <c r="Q2954" s="249"/>
      <c r="R2954" s="249">
        <v>635.9</v>
      </c>
      <c r="S2954" s="258">
        <v>0.2</v>
      </c>
      <c r="T2954" s="169">
        <f t="shared" si="717"/>
        <v>0</v>
      </c>
      <c r="U2954" s="315">
        <f t="shared" si="714"/>
        <v>763.07999999999993</v>
      </c>
      <c r="V2954" s="315">
        <f>IF(U2954=0, 0, IF(U2954&lt;10, _xlfn.CEILING.MATH(U2954,1), IF(U2954&lt;100, _xlfn.CEILING.MATH(U2954,1),IF(U2954&lt;1000, _xlfn.CEILING.MATH(U2954,1), IF(U2954&lt;10000, _xlfn.CEILING.MATH(U2954, 25), IF(U2954&lt;100000, _xlfn.CEILING.MATH(U2954,250), IF(U2954&lt;1000000, _xlfn.CEILING.MATH(U2954,500), 0)))))))</f>
        <v>764</v>
      </c>
      <c r="W2954" s="316">
        <f t="shared" si="716"/>
        <v>0</v>
      </c>
    </row>
    <row r="2955" spans="1:23" x14ac:dyDescent="0.25">
      <c r="A2955" s="200" t="s">
        <v>18661</v>
      </c>
      <c r="B2955" s="313" t="s">
        <v>18662</v>
      </c>
      <c r="C2955" s="248"/>
      <c r="D2955" s="247" t="s">
        <v>11</v>
      </c>
      <c r="E2955" s="249">
        <f t="shared" si="718"/>
        <v>0</v>
      </c>
      <c r="F2955" s="258"/>
      <c r="G2955" s="258">
        <f t="shared" si="719"/>
        <v>0</v>
      </c>
      <c r="H2955" s="249">
        <f t="shared" si="720"/>
        <v>548.9</v>
      </c>
      <c r="I2955" s="258">
        <f>548.9/755.9</f>
        <v>0.72615425320809635</v>
      </c>
      <c r="J2955" s="258">
        <f t="shared" si="721"/>
        <v>0.72615425320809635</v>
      </c>
      <c r="K2955" s="249">
        <f t="shared" si="722"/>
        <v>132</v>
      </c>
      <c r="L2955" s="258">
        <f>132/755.9</f>
        <v>0.17462627331657626</v>
      </c>
      <c r="M2955" s="258">
        <f t="shared" si="723"/>
        <v>0.17462627331657626</v>
      </c>
      <c r="N2955" s="251">
        <f t="shared" si="724"/>
        <v>75</v>
      </c>
      <c r="O2955" s="258">
        <f>75/755.9</f>
        <v>9.9219473475327433E-2</v>
      </c>
      <c r="P2955" s="258">
        <f t="shared" si="725"/>
        <v>9.9219473475327433E-2</v>
      </c>
      <c r="Q2955" s="249"/>
      <c r="R2955" s="249">
        <v>755.9</v>
      </c>
      <c r="S2955" s="258">
        <v>0.2</v>
      </c>
      <c r="T2955" s="169">
        <f t="shared" si="717"/>
        <v>0</v>
      </c>
      <c r="U2955" s="315">
        <f t="shared" si="714"/>
        <v>907.07999999999993</v>
      </c>
      <c r="V2955" s="315">
        <f>IF(U2955=0, 0, IF(U2955&lt;10, _xlfn.CEILING.MATH(U2955,1), IF(U2955&lt;100, _xlfn.CEILING.MATH(U2955,1),IF(U2955&lt;1000, _xlfn.CEILING.MATH(U2955,5), IF(U2955&lt;10000, _xlfn.CEILING.MATH(U2955, 25), IF(U2955&lt;100000, _xlfn.CEILING.MATH(U2955,250), IF(U2955&lt;1000000, _xlfn.CEILING.MATH(U2955,500), 0)))))))</f>
        <v>910</v>
      </c>
      <c r="W2955" s="316">
        <f t="shared" si="716"/>
        <v>0</v>
      </c>
    </row>
    <row r="2956" spans="1:23" x14ac:dyDescent="0.25">
      <c r="A2956" s="200" t="s">
        <v>18663</v>
      </c>
      <c r="B2956" s="313" t="s">
        <v>18664</v>
      </c>
      <c r="C2956" s="248"/>
      <c r="D2956" s="247" t="s">
        <v>11</v>
      </c>
      <c r="E2956" s="249">
        <f t="shared" si="718"/>
        <v>0</v>
      </c>
      <c r="F2956" s="258"/>
      <c r="G2956" s="258">
        <f t="shared" si="719"/>
        <v>0</v>
      </c>
      <c r="H2956" s="249">
        <f t="shared" si="720"/>
        <v>1320</v>
      </c>
      <c r="I2956" s="258">
        <f>1320/1675</f>
        <v>0.78805970149253735</v>
      </c>
      <c r="J2956" s="258">
        <f t="shared" si="721"/>
        <v>0.78805970149253735</v>
      </c>
      <c r="K2956" s="249">
        <f t="shared" si="722"/>
        <v>260</v>
      </c>
      <c r="L2956" s="258">
        <f>260/1675</f>
        <v>0.15522388059701492</v>
      </c>
      <c r="M2956" s="258">
        <f t="shared" si="723"/>
        <v>0.15522388059701492</v>
      </c>
      <c r="N2956" s="251">
        <f t="shared" si="724"/>
        <v>95</v>
      </c>
      <c r="O2956" s="258">
        <f>95/1675</f>
        <v>5.6716417910447764E-2</v>
      </c>
      <c r="P2956" s="258">
        <f t="shared" si="725"/>
        <v>5.6716417910447764E-2</v>
      </c>
      <c r="Q2956" s="249"/>
      <c r="R2956" s="249">
        <v>1675</v>
      </c>
      <c r="S2956" s="258">
        <v>0.2</v>
      </c>
      <c r="T2956" s="169">
        <f t="shared" si="717"/>
        <v>0</v>
      </c>
      <c r="U2956" s="315">
        <f t="shared" si="714"/>
        <v>2010</v>
      </c>
      <c r="V2956" s="315">
        <f>IF(U2956=0, 0, IF(U2956&lt;10, _xlfn.CEILING.MATH(U2956,1), IF(U2956&lt;100, _xlfn.CEILING.MATH(U2956,1),IF(U2956&lt;1000, _xlfn.CEILING.MATH(U2956,5), IF(U2956&lt;10000, _xlfn.CEILING.MATH(U2956, 25), IF(U2956&lt;100000, _xlfn.CEILING.MATH(U2956,250), IF(U2956&lt;1000000, _xlfn.CEILING.MATH(U2956,500), 0)))))))</f>
        <v>2025</v>
      </c>
      <c r="W2956" s="316">
        <f t="shared" si="716"/>
        <v>0</v>
      </c>
    </row>
    <row r="2957" spans="1:23" x14ac:dyDescent="0.25">
      <c r="A2957" s="200" t="s">
        <v>18665</v>
      </c>
      <c r="B2957" s="313" t="s">
        <v>18666</v>
      </c>
      <c r="C2957" s="248"/>
      <c r="D2957" s="247" t="s">
        <v>11</v>
      </c>
      <c r="E2957" s="249">
        <f t="shared" si="718"/>
        <v>0</v>
      </c>
      <c r="F2957" s="258"/>
      <c r="G2957" s="258">
        <f t="shared" si="719"/>
        <v>0</v>
      </c>
      <c r="H2957" s="249">
        <f t="shared" si="720"/>
        <v>4873</v>
      </c>
      <c r="I2957" s="258">
        <f>4873/5568</f>
        <v>0.87517959770114939</v>
      </c>
      <c r="J2957" s="258">
        <f t="shared" si="721"/>
        <v>0.87517959770114939</v>
      </c>
      <c r="K2957" s="249">
        <f t="shared" si="722"/>
        <v>580</v>
      </c>
      <c r="L2957" s="258">
        <f>580/5568</f>
        <v>0.10416666666666667</v>
      </c>
      <c r="M2957" s="258">
        <f t="shared" si="723"/>
        <v>0.10416666666666667</v>
      </c>
      <c r="N2957" s="251">
        <f t="shared" si="724"/>
        <v>115</v>
      </c>
      <c r="O2957" s="258">
        <f>115/5568</f>
        <v>2.0653735632183909E-2</v>
      </c>
      <c r="P2957" s="258">
        <f t="shared" si="725"/>
        <v>2.0653735632183909E-2</v>
      </c>
      <c r="Q2957" s="249"/>
      <c r="R2957" s="249">
        <v>5568</v>
      </c>
      <c r="S2957" s="258">
        <v>0.2</v>
      </c>
      <c r="T2957" s="169">
        <f t="shared" si="717"/>
        <v>0</v>
      </c>
      <c r="U2957" s="315">
        <f t="shared" si="714"/>
        <v>6681.6</v>
      </c>
      <c r="V2957" s="315">
        <f>IF(U2957=0, 0, IF(U2957&lt;10, _xlfn.CEILING.MATH(U2957,1), IF(U2957&lt;100, _xlfn.CEILING.MATH(U2957,1),IF(U2957&lt;1000, _xlfn.CEILING.MATH(U2957,5), IF(U2957&lt;10000, _xlfn.CEILING.MATH(U2957, 25), IF(U2957&lt;100000, _xlfn.CEILING.MATH(U2957,250), IF(U2957&lt;1000000, _xlfn.CEILING.MATH(U2957,500), 0)))))))</f>
        <v>6700</v>
      </c>
      <c r="W2957" s="316">
        <f t="shared" si="716"/>
        <v>0</v>
      </c>
    </row>
    <row r="2958" spans="1:23" ht="21" x14ac:dyDescent="0.25">
      <c r="A2958" s="200" t="s">
        <v>15260</v>
      </c>
      <c r="B2958" s="255" t="s">
        <v>15261</v>
      </c>
      <c r="C2958" s="248"/>
      <c r="D2958" s="247" t="s">
        <v>11</v>
      </c>
      <c r="E2958" s="249">
        <f t="shared" si="718"/>
        <v>323.98649721900006</v>
      </c>
      <c r="F2958" s="258">
        <v>0.3</v>
      </c>
      <c r="G2958" s="258">
        <f t="shared" si="719"/>
        <v>0.3</v>
      </c>
      <c r="H2958" s="249">
        <f t="shared" si="720"/>
        <v>593.9752449015001</v>
      </c>
      <c r="I2958" s="258">
        <v>0.55000000000000004</v>
      </c>
      <c r="J2958" s="258">
        <f t="shared" si="721"/>
        <v>0.55000000000000004</v>
      </c>
      <c r="K2958" s="249">
        <f t="shared" si="722"/>
        <v>107.99549907300002</v>
      </c>
      <c r="L2958" s="258">
        <v>0.1</v>
      </c>
      <c r="M2958" s="258">
        <f t="shared" si="723"/>
        <v>0.1</v>
      </c>
      <c r="N2958" s="251">
        <f t="shared" si="724"/>
        <v>53.99774953650001</v>
      </c>
      <c r="O2958" s="258">
        <v>0.05</v>
      </c>
      <c r="P2958" s="258">
        <f t="shared" si="725"/>
        <v>0.05</v>
      </c>
      <c r="Q2958" s="249">
        <v>1059.0908999999999</v>
      </c>
      <c r="R2958" s="249">
        <f>SUM(F2958*Q2958*1.0235,I2958*Q2958*1.0175,L2958*Q2958*1.0245,O2958*Q2958*1.0115)</f>
        <v>1079.9549907300002</v>
      </c>
      <c r="S2958" s="258">
        <v>0.1</v>
      </c>
      <c r="T2958" s="169">
        <f t="shared" si="717"/>
        <v>1164.9999899999998</v>
      </c>
      <c r="U2958" s="315">
        <f t="shared" si="714"/>
        <v>1187.9504898030002</v>
      </c>
      <c r="V2958" s="315">
        <f t="shared" si="715"/>
        <v>1200</v>
      </c>
      <c r="W2958" s="316">
        <f t="shared" si="716"/>
        <v>0</v>
      </c>
    </row>
    <row r="2959" spans="1:23" x14ac:dyDescent="0.25">
      <c r="A2959" s="200" t="s">
        <v>15262</v>
      </c>
      <c r="B2959" s="313" t="s">
        <v>22577</v>
      </c>
      <c r="C2959" s="248"/>
      <c r="D2959" s="247" t="s">
        <v>11</v>
      </c>
      <c r="E2959" s="249">
        <f t="shared" si="718"/>
        <v>1069.2931095000001</v>
      </c>
      <c r="F2959" s="258">
        <v>0.3</v>
      </c>
      <c r="G2959" s="258">
        <f t="shared" si="719"/>
        <v>0.3</v>
      </c>
      <c r="H2959" s="249">
        <f t="shared" si="720"/>
        <v>1960.3707007500002</v>
      </c>
      <c r="I2959" s="258">
        <v>0.55000000000000004</v>
      </c>
      <c r="J2959" s="258">
        <f t="shared" si="721"/>
        <v>0.55000000000000004</v>
      </c>
      <c r="K2959" s="249">
        <f t="shared" si="722"/>
        <v>356.43103650000006</v>
      </c>
      <c r="L2959" s="258">
        <v>0.1</v>
      </c>
      <c r="M2959" s="258">
        <f t="shared" si="723"/>
        <v>0.1</v>
      </c>
      <c r="N2959" s="251">
        <f t="shared" si="724"/>
        <v>178.21551825000003</v>
      </c>
      <c r="O2959" s="258">
        <v>0.05</v>
      </c>
      <c r="P2959" s="258">
        <f t="shared" si="725"/>
        <v>0.05</v>
      </c>
      <c r="Q2959" s="249">
        <v>3495.45</v>
      </c>
      <c r="R2959" s="249">
        <f>SUM(F2959*Q2959*1.0235,I2959*Q2959*1.0175,L2959*Q2959*1.0245,O2959*Q2959*1.0115)</f>
        <v>3564.3103650000003</v>
      </c>
      <c r="S2959" s="258">
        <v>0.1</v>
      </c>
      <c r="T2959" s="169">
        <f t="shared" si="717"/>
        <v>3844.9949999999999</v>
      </c>
      <c r="U2959" s="315">
        <f t="shared" si="714"/>
        <v>3920.7414015000004</v>
      </c>
      <c r="V2959" s="315">
        <f t="shared" si="715"/>
        <v>3925</v>
      </c>
      <c r="W2959" s="316">
        <f t="shared" si="716"/>
        <v>0</v>
      </c>
    </row>
    <row r="2960" spans="1:23" x14ac:dyDescent="0.25">
      <c r="A2960" s="200" t="s">
        <v>15260</v>
      </c>
      <c r="B2960" s="313" t="s">
        <v>15263</v>
      </c>
      <c r="C2960" s="248"/>
      <c r="D2960" s="247" t="s">
        <v>11</v>
      </c>
      <c r="E2960" s="249">
        <f t="shared" si="718"/>
        <v>24216.948011124001</v>
      </c>
      <c r="F2960" s="258">
        <v>0.3</v>
      </c>
      <c r="G2960" s="258">
        <f t="shared" si="719"/>
        <v>0.3</v>
      </c>
      <c r="H2960" s="249">
        <f t="shared" si="720"/>
        <v>44397.738020394005</v>
      </c>
      <c r="I2960" s="258">
        <v>0.55000000000000004</v>
      </c>
      <c r="J2960" s="258">
        <f t="shared" si="721"/>
        <v>0.55000000000000004</v>
      </c>
      <c r="K2960" s="249">
        <f t="shared" si="722"/>
        <v>8072.3160037080006</v>
      </c>
      <c r="L2960" s="258">
        <v>0.1</v>
      </c>
      <c r="M2960" s="258">
        <f t="shared" si="723"/>
        <v>0.1</v>
      </c>
      <c r="N2960" s="251">
        <f t="shared" si="724"/>
        <v>4036.1580018540003</v>
      </c>
      <c r="O2960" s="258">
        <v>0.05</v>
      </c>
      <c r="P2960" s="258">
        <f t="shared" si="725"/>
        <v>0.05</v>
      </c>
      <c r="Q2960" s="249">
        <v>79163.636400000003</v>
      </c>
      <c r="R2960" s="249">
        <f>SUM(F2960*Q2960*1.0235,I2960*Q2960*1.0175,L2960*Q2960*1.0245,O2960*Q2960*1.0115)</f>
        <v>80723.160037080001</v>
      </c>
      <c r="S2960" s="258">
        <v>0.1</v>
      </c>
      <c r="T2960" s="169">
        <f t="shared" si="717"/>
        <v>87080.000039999999</v>
      </c>
      <c r="U2960" s="315">
        <f t="shared" si="714"/>
        <v>88795.476040787995</v>
      </c>
      <c r="V2960" s="315">
        <f t="shared" si="715"/>
        <v>89000</v>
      </c>
      <c r="W2960" s="316">
        <f t="shared" si="716"/>
        <v>0</v>
      </c>
    </row>
    <row r="2961" spans="1:23" ht="21" x14ac:dyDescent="0.25">
      <c r="A2961" s="200" t="s">
        <v>18667</v>
      </c>
      <c r="B2961" s="255" t="s">
        <v>18668</v>
      </c>
      <c r="C2961" s="248"/>
      <c r="D2961" s="247" t="s">
        <v>11</v>
      </c>
      <c r="E2961" s="249">
        <f t="shared" si="718"/>
        <v>1274.6533293619275</v>
      </c>
      <c r="F2961" s="258">
        <f>1250/3777</f>
        <v>0.33095048980672492</v>
      </c>
      <c r="G2961" s="258">
        <f t="shared" si="719"/>
        <v>0.33095048980672492</v>
      </c>
      <c r="H2961" s="249">
        <f t="shared" si="720"/>
        <v>2342.3029580354782</v>
      </c>
      <c r="I2961" s="258">
        <f>2297/3777</f>
        <v>0.60815462006883769</v>
      </c>
      <c r="J2961" s="258">
        <f t="shared" si="721"/>
        <v>0.60815462006883769</v>
      </c>
      <c r="K2961" s="249">
        <f t="shared" si="722"/>
        <v>178.45146611066986</v>
      </c>
      <c r="L2961" s="258">
        <f>175/3777</f>
        <v>4.6333068572941491E-2</v>
      </c>
      <c r="M2961" s="258">
        <f t="shared" si="723"/>
        <v>4.6333068572941491E-2</v>
      </c>
      <c r="N2961" s="251">
        <f t="shared" si="724"/>
        <v>56.084746491924811</v>
      </c>
      <c r="O2961" s="258">
        <f>55/3777</f>
        <v>1.4561821551495897E-2</v>
      </c>
      <c r="P2961" s="258">
        <f t="shared" si="725"/>
        <v>1.4561821551495897E-2</v>
      </c>
      <c r="Q2961" s="249">
        <v>3777</v>
      </c>
      <c r="R2961" s="249">
        <f>SUM(F2961*Q2961*1.0235,I2961*Q2961*1.0175,L2961*Q2961*1.0245,O2961*Q2961*1.0115)</f>
        <v>3851.4925000000003</v>
      </c>
      <c r="S2961" s="258">
        <v>0.2</v>
      </c>
      <c r="T2961" s="169">
        <f t="shared" si="717"/>
        <v>4532.3999999999996</v>
      </c>
      <c r="U2961" s="315">
        <f>(R2961*S2961)+R2961+20</f>
        <v>4641.7910000000002</v>
      </c>
      <c r="V2961" s="315">
        <f t="shared" ref="V2961:V2974" si="726">IF(U2961=0, 0, IF(U2961&lt;10, _xlfn.CEILING.MATH(U2961,1), IF(U2961&lt;100, _xlfn.CEILING.MATH(U2961,1),IF(U2961&lt;1000, _xlfn.CEILING.MATH(U2961,5), IF(U2961&lt;10000, _xlfn.CEILING.MATH(U2961, 50), IF(U2961&lt;100000, _xlfn.CEILING.MATH(U2961,250), IF(U2961&lt;1000000, _xlfn.CEILING.MATH(U2961,500), 0)))))))</f>
        <v>4650</v>
      </c>
      <c r="W2961" s="316">
        <f t="shared" si="716"/>
        <v>0</v>
      </c>
    </row>
    <row r="2962" spans="1:23" x14ac:dyDescent="0.25">
      <c r="A2962" s="200" t="s">
        <v>18669</v>
      </c>
      <c r="B2962" s="313" t="s">
        <v>18670</v>
      </c>
      <c r="C2962" s="248"/>
      <c r="D2962" s="247" t="s">
        <v>11</v>
      </c>
      <c r="E2962" s="249">
        <f t="shared" si="718"/>
        <v>54.8</v>
      </c>
      <c r="F2962" s="258">
        <f>54.8/2079.05</f>
        <v>2.635819244366417E-2</v>
      </c>
      <c r="G2962" s="258">
        <f t="shared" si="719"/>
        <v>2.635819244366417E-2</v>
      </c>
      <c r="H2962" s="249">
        <f t="shared" si="720"/>
        <v>1668</v>
      </c>
      <c r="I2962" s="258">
        <f>1668/2079.05</f>
        <v>0.80228950722685832</v>
      </c>
      <c r="J2962" s="258">
        <f t="shared" si="721"/>
        <v>0.80228950722685832</v>
      </c>
      <c r="K2962" s="249">
        <f t="shared" si="722"/>
        <v>150.82</v>
      </c>
      <c r="L2962" s="258">
        <f>150.82/2079.05</f>
        <v>7.2542747889661127E-2</v>
      </c>
      <c r="M2962" s="258">
        <f t="shared" si="723"/>
        <v>7.2542747889661127E-2</v>
      </c>
      <c r="N2962" s="251">
        <f t="shared" si="724"/>
        <v>205.43</v>
      </c>
      <c r="O2962" s="258">
        <f>205.43/2079.05</f>
        <v>9.8809552439816262E-2</v>
      </c>
      <c r="P2962" s="258">
        <f t="shared" si="725"/>
        <v>9.8809552439816262E-2</v>
      </c>
      <c r="Q2962" s="249"/>
      <c r="R2962" s="249">
        <v>2079.0500000000002</v>
      </c>
      <c r="S2962" s="258">
        <v>0.1</v>
      </c>
      <c r="T2962" s="169">
        <f t="shared" si="717"/>
        <v>0</v>
      </c>
      <c r="U2962" s="315">
        <f t="shared" ref="U2962:U2974" si="727">(R2962*S2962)+R2962</f>
        <v>2286.9550000000004</v>
      </c>
      <c r="V2962" s="315">
        <f>IF(U2962=0, 0, IF(U2962&lt;10, _xlfn.CEILING.MATH(U2962,1), IF(U2962&lt;100, _xlfn.CEILING.MATH(U2962,1),IF(U2962&lt;1000, _xlfn.CEILING.MATH(U2962,5), IF(U2962&lt;10000, _xlfn.CEILING.MATH(U2962, 25), IF(U2962&lt;100000, _xlfn.CEILING.MATH(U2962,250), IF(U2962&lt;1000000, _xlfn.CEILING.MATH(U2962,500), 0)))))))</f>
        <v>2300</v>
      </c>
      <c r="W2962" s="316">
        <f t="shared" si="716"/>
        <v>0</v>
      </c>
    </row>
    <row r="2963" spans="1:23" x14ac:dyDescent="0.25">
      <c r="A2963" s="200" t="s">
        <v>18669</v>
      </c>
      <c r="B2963" s="313" t="s">
        <v>18670</v>
      </c>
      <c r="C2963" s="248"/>
      <c r="D2963" s="247" t="s">
        <v>15992</v>
      </c>
      <c r="E2963" s="249">
        <f t="shared" si="718"/>
        <v>1.0782896908771706</v>
      </c>
      <c r="F2963" s="258">
        <f>54.8/2079.05</f>
        <v>2.635819244366417E-2</v>
      </c>
      <c r="G2963" s="258">
        <f t="shared" si="719"/>
        <v>2.635819244366417E-2</v>
      </c>
      <c r="H2963" s="249">
        <f t="shared" si="720"/>
        <v>32.82093438655329</v>
      </c>
      <c r="I2963" s="258">
        <f>1668/2079.05</f>
        <v>0.80228950722685832</v>
      </c>
      <c r="J2963" s="258">
        <f t="shared" si="721"/>
        <v>0.80228950722685832</v>
      </c>
      <c r="K2963" s="249">
        <f t="shared" si="722"/>
        <v>2.9676578682134096</v>
      </c>
      <c r="L2963" s="258">
        <f>150.82/2079.05</f>
        <v>7.2542747889661127E-2</v>
      </c>
      <c r="M2963" s="258">
        <f t="shared" si="723"/>
        <v>7.2542747889661127E-2</v>
      </c>
      <c r="N2963" s="251">
        <f t="shared" si="724"/>
        <v>4.0422089634470284</v>
      </c>
      <c r="O2963" s="258">
        <f>205.43/2079.05</f>
        <v>9.8809552439816262E-2</v>
      </c>
      <c r="P2963" s="258">
        <f t="shared" si="725"/>
        <v>9.8809552439816262E-2</v>
      </c>
      <c r="Q2963" s="249"/>
      <c r="R2963" s="249">
        <f>45/1.1</f>
        <v>40.909090909090907</v>
      </c>
      <c r="S2963" s="258">
        <v>0.1</v>
      </c>
      <c r="T2963" s="169">
        <f t="shared" si="717"/>
        <v>0</v>
      </c>
      <c r="U2963" s="315">
        <f t="shared" si="727"/>
        <v>45</v>
      </c>
      <c r="V2963" s="315">
        <f>IF(U2963=0, 0, IF(U2963&lt;10, _xlfn.CEILING.MATH(U2963,1), IF(U2963&lt;100, _xlfn.CEILING.MATH(U2963,1),IF(U2963&lt;1000, _xlfn.CEILING.MATH(U2963,5), IF(U2963&lt;10000, _xlfn.CEILING.MATH(U2963, 50), IF(U2963&lt;100000, _xlfn.CEILING.MATH(U2963,250), IF(U2963&lt;1000000, _xlfn.CEILING.MATH(U2963,500), 0)))))))</f>
        <v>45</v>
      </c>
      <c r="W2963" s="316">
        <f t="shared" si="716"/>
        <v>0</v>
      </c>
    </row>
    <row r="2964" spans="1:23" ht="14.4" thickBot="1" x14ac:dyDescent="0.3">
      <c r="A2964" s="263" t="s">
        <v>18671</v>
      </c>
      <c r="B2964" s="321" t="s">
        <v>18672</v>
      </c>
      <c r="C2964" s="265"/>
      <c r="D2964" s="264" t="s">
        <v>11</v>
      </c>
      <c r="E2964" s="266">
        <f t="shared" si="718"/>
        <v>54.8</v>
      </c>
      <c r="F2964" s="322">
        <f>54.8/2356.99</f>
        <v>2.3249992575276095E-2</v>
      </c>
      <c r="G2964" s="322">
        <f t="shared" si="719"/>
        <v>2.3249992575276095E-2</v>
      </c>
      <c r="H2964" s="266">
        <f t="shared" si="720"/>
        <v>1883</v>
      </c>
      <c r="I2964" s="322">
        <f>1883/2356.99</f>
        <v>0.798900292321987</v>
      </c>
      <c r="J2964" s="322">
        <f t="shared" si="721"/>
        <v>0.798900292321987</v>
      </c>
      <c r="K2964" s="266">
        <f t="shared" si="722"/>
        <v>150.82</v>
      </c>
      <c r="L2964" s="322">
        <f>150.82/2356.99</f>
        <v>6.3988391974509867E-2</v>
      </c>
      <c r="M2964" s="322">
        <f t="shared" si="723"/>
        <v>6.3988391974509867E-2</v>
      </c>
      <c r="N2964" s="270">
        <f t="shared" si="724"/>
        <v>268.37</v>
      </c>
      <c r="O2964" s="322">
        <f>268.37/2356.99</f>
        <v>0.11386132312822711</v>
      </c>
      <c r="P2964" s="322">
        <f t="shared" si="725"/>
        <v>0.11386132312822711</v>
      </c>
      <c r="Q2964" s="266"/>
      <c r="R2964" s="266">
        <v>2356.9899999999998</v>
      </c>
      <c r="S2964" s="322">
        <v>0.1</v>
      </c>
      <c r="T2964" s="291">
        <f t="shared" si="717"/>
        <v>0</v>
      </c>
      <c r="U2964" s="324">
        <f t="shared" si="727"/>
        <v>2592.6889999999999</v>
      </c>
      <c r="V2964" s="324">
        <f>IF(U2964=0, 0, IF(U2964&lt;10, _xlfn.CEILING.MATH(U2964,1), IF(U2964&lt;100, _xlfn.CEILING.MATH(U2964,1),IF(U2964&lt;1000, _xlfn.CEILING.MATH(U2964,5), IF(U2964&lt;10000, _xlfn.CEILING.MATH(U2964, 50), IF(U2964&lt;100000, _xlfn.CEILING.MATH(U2964,250), IF(U2964&lt;1000000, _xlfn.CEILING.MATH(U2964,500), 0)))))))</f>
        <v>2600</v>
      </c>
      <c r="W2964" s="325">
        <f t="shared" si="716"/>
        <v>0</v>
      </c>
    </row>
    <row r="2965" spans="1:23" x14ac:dyDescent="0.25">
      <c r="A2965" s="200" t="s">
        <v>18671</v>
      </c>
      <c r="B2965" s="313" t="s">
        <v>18672</v>
      </c>
      <c r="C2965" s="248"/>
      <c r="D2965" s="247" t="s">
        <v>15992</v>
      </c>
      <c r="E2965" s="249">
        <f t="shared" si="718"/>
        <v>1.0356814874441167</v>
      </c>
      <c r="F2965" s="258">
        <f>54.8/2356.99</f>
        <v>2.3249992575276095E-2</v>
      </c>
      <c r="G2965" s="258">
        <f t="shared" si="719"/>
        <v>2.3249992575276095E-2</v>
      </c>
      <c r="H2965" s="249">
        <f t="shared" si="720"/>
        <v>35.587376657979419</v>
      </c>
      <c r="I2965" s="258">
        <f>1883/2356.99</f>
        <v>0.798900292321987</v>
      </c>
      <c r="J2965" s="258">
        <f t="shared" si="721"/>
        <v>0.798900292321987</v>
      </c>
      <c r="K2965" s="249">
        <f t="shared" si="722"/>
        <v>2.8503920061372572</v>
      </c>
      <c r="L2965" s="258">
        <f>150.82/2356.99</f>
        <v>6.3988391974509867E-2</v>
      </c>
      <c r="M2965" s="258">
        <f t="shared" si="723"/>
        <v>6.3988391974509867E-2</v>
      </c>
      <c r="N2965" s="251">
        <f t="shared" si="724"/>
        <v>5.072004393893752</v>
      </c>
      <c r="O2965" s="258">
        <f>268.37/2356.99</f>
        <v>0.11386132312822711</v>
      </c>
      <c r="P2965" s="258">
        <f t="shared" si="725"/>
        <v>0.11386132312822711</v>
      </c>
      <c r="Q2965" s="249"/>
      <c r="R2965" s="249">
        <f>49/1.1</f>
        <v>44.54545454545454</v>
      </c>
      <c r="S2965" s="258">
        <v>0.1</v>
      </c>
      <c r="T2965" s="169">
        <f t="shared" si="717"/>
        <v>0</v>
      </c>
      <c r="U2965" s="315">
        <f t="shared" si="727"/>
        <v>48.999999999999993</v>
      </c>
      <c r="V2965" s="315">
        <f>IF(U2965=0, 0, IF(U2965&lt;10, _xlfn.CEILING.MATH(U2965,1), IF(U2965&lt;100, _xlfn.CEILING.MATH(U2965,1),IF(U2965&lt;1000, _xlfn.CEILING.MATH(U2965,5), IF(U2965&lt;10000, _xlfn.CEILING.MATH(U2965, 50), IF(U2965&lt;100000, _xlfn.CEILING.MATH(U2965,250), IF(U2965&lt;1000000, _xlfn.CEILING.MATH(U2965,500), 0)))))))</f>
        <v>49</v>
      </c>
      <c r="W2965" s="316">
        <f t="shared" si="716"/>
        <v>0</v>
      </c>
    </row>
    <row r="2966" spans="1:23" x14ac:dyDescent="0.25">
      <c r="A2966" s="200" t="s">
        <v>18673</v>
      </c>
      <c r="B2966" s="313" t="s">
        <v>18674</v>
      </c>
      <c r="C2966" s="248"/>
      <c r="D2966" s="247" t="s">
        <v>11</v>
      </c>
      <c r="E2966" s="249">
        <f t="shared" si="718"/>
        <v>93.77</v>
      </c>
      <c r="F2966" s="258">
        <f>93.77/2699.29</f>
        <v>3.4738764638108537E-2</v>
      </c>
      <c r="G2966" s="258">
        <f t="shared" si="719"/>
        <v>3.4738764638108537E-2</v>
      </c>
      <c r="H2966" s="249">
        <f t="shared" si="720"/>
        <v>2042</v>
      </c>
      <c r="I2966" s="258">
        <f>2042/2699.29</f>
        <v>0.75649522652252998</v>
      </c>
      <c r="J2966" s="258">
        <f t="shared" si="721"/>
        <v>0.75649522652252998</v>
      </c>
      <c r="K2966" s="249">
        <f t="shared" si="722"/>
        <v>167.52</v>
      </c>
      <c r="L2966" s="258">
        <f>167.52/2699.29</f>
        <v>6.2060764126862997E-2</v>
      </c>
      <c r="M2966" s="258">
        <f t="shared" si="723"/>
        <v>6.2060764126862997E-2</v>
      </c>
      <c r="N2966" s="251">
        <f t="shared" si="724"/>
        <v>395.99999999999994</v>
      </c>
      <c r="O2966" s="258">
        <f>396/2699.29</f>
        <v>0.14670524471249846</v>
      </c>
      <c r="P2966" s="258">
        <f t="shared" si="725"/>
        <v>0.14670524471249846</v>
      </c>
      <c r="Q2966" s="249"/>
      <c r="R2966" s="249">
        <v>2699.29</v>
      </c>
      <c r="S2966" s="258">
        <v>0.1</v>
      </c>
      <c r="T2966" s="169">
        <f t="shared" si="717"/>
        <v>0</v>
      </c>
      <c r="U2966" s="315">
        <f t="shared" si="727"/>
        <v>2969.2190000000001</v>
      </c>
      <c r="V2966" s="315">
        <f>IF(U2966=0, 0, IF(U2966&lt;10, _xlfn.CEILING.MATH(U2966,1), IF(U2966&lt;100, _xlfn.CEILING.MATH(U2966,1),IF(U2966&lt;1000, _xlfn.CEILING.MATH(U2966,5), IF(U2966&lt;10000, _xlfn.CEILING.MATH(U2966, 50), IF(U2966&lt;100000, _xlfn.CEILING.MATH(U2966,250), IF(U2966&lt;1000000, _xlfn.CEILING.MATH(U2966,500), 0)))))))</f>
        <v>3000</v>
      </c>
      <c r="W2966" s="316">
        <f t="shared" si="716"/>
        <v>0</v>
      </c>
    </row>
    <row r="2967" spans="1:23" x14ac:dyDescent="0.25">
      <c r="A2967" s="200" t="s">
        <v>18673</v>
      </c>
      <c r="B2967" s="313" t="s">
        <v>18674</v>
      </c>
      <c r="C2967" s="248"/>
      <c r="D2967" s="247" t="s">
        <v>15992</v>
      </c>
      <c r="E2967" s="249">
        <f t="shared" si="718"/>
        <v>1.76851892703098</v>
      </c>
      <c r="F2967" s="258">
        <f>93.77/2699.29</f>
        <v>3.4738764638108537E-2</v>
      </c>
      <c r="G2967" s="258">
        <f t="shared" si="719"/>
        <v>3.4738764638108537E-2</v>
      </c>
      <c r="H2967" s="249">
        <f t="shared" si="720"/>
        <v>38.512484259328794</v>
      </c>
      <c r="I2967" s="258">
        <f>2042/2699.29</f>
        <v>0.75649522652252998</v>
      </c>
      <c r="J2967" s="258">
        <f t="shared" si="721"/>
        <v>0.75649522652252998</v>
      </c>
      <c r="K2967" s="249">
        <f t="shared" si="722"/>
        <v>3.159457082822116</v>
      </c>
      <c r="L2967" s="258">
        <f>167.52/2699.29</f>
        <v>6.2060764126862997E-2</v>
      </c>
      <c r="M2967" s="258">
        <f t="shared" si="723"/>
        <v>6.2060764126862997E-2</v>
      </c>
      <c r="N2967" s="251">
        <f t="shared" si="724"/>
        <v>7.4686306399090121</v>
      </c>
      <c r="O2967" s="258">
        <f>396/2699.29</f>
        <v>0.14670524471249846</v>
      </c>
      <c r="P2967" s="258">
        <f t="shared" si="725"/>
        <v>0.14670524471249846</v>
      </c>
      <c r="Q2967" s="249"/>
      <c r="R2967" s="249">
        <f>56/1.1</f>
        <v>50.909090909090907</v>
      </c>
      <c r="S2967" s="258">
        <v>0.1</v>
      </c>
      <c r="T2967" s="169">
        <f t="shared" si="717"/>
        <v>0</v>
      </c>
      <c r="U2967" s="315">
        <f t="shared" si="727"/>
        <v>56</v>
      </c>
      <c r="V2967" s="315">
        <f>IF(U2967=0, 0, IF(U2967&lt;10, _xlfn.CEILING.MATH(U2967,1), IF(U2967&lt;100, _xlfn.CEILING.MATH(U2967,1),IF(U2967&lt;1000, _xlfn.CEILING.MATH(U2967,5), IF(U2967&lt;10000, _xlfn.CEILING.MATH(U2967, 50), IF(U2967&lt;100000, _xlfn.CEILING.MATH(U2967,250), IF(U2967&lt;1000000, _xlfn.CEILING.MATH(U2967,500), 0)))))))</f>
        <v>56</v>
      </c>
      <c r="W2967" s="316">
        <f t="shared" si="716"/>
        <v>0</v>
      </c>
    </row>
    <row r="2968" spans="1:23" x14ac:dyDescent="0.25">
      <c r="A2968" s="200" t="s">
        <v>18675</v>
      </c>
      <c r="B2968" s="313" t="s">
        <v>18676</v>
      </c>
      <c r="C2968" s="248"/>
      <c r="D2968" s="247" t="s">
        <v>14859</v>
      </c>
      <c r="E2968" s="249">
        <f t="shared" si="718"/>
        <v>0</v>
      </c>
      <c r="F2968" s="258"/>
      <c r="G2968" s="258">
        <f t="shared" si="719"/>
        <v>0</v>
      </c>
      <c r="H2968" s="249">
        <f t="shared" si="720"/>
        <v>0</v>
      </c>
      <c r="I2968" s="258"/>
      <c r="J2968" s="258">
        <f t="shared" si="721"/>
        <v>0</v>
      </c>
      <c r="K2968" s="249">
        <f t="shared" si="722"/>
        <v>0</v>
      </c>
      <c r="L2968" s="258"/>
      <c r="M2968" s="258">
        <f t="shared" si="723"/>
        <v>0</v>
      </c>
      <c r="N2968" s="251">
        <f t="shared" si="724"/>
        <v>0</v>
      </c>
      <c r="O2968" s="258"/>
      <c r="P2968" s="258">
        <f t="shared" si="725"/>
        <v>0</v>
      </c>
      <c r="Q2968" s="249"/>
      <c r="R2968" s="249">
        <v>230</v>
      </c>
      <c r="S2968" s="258">
        <v>0.25</v>
      </c>
      <c r="T2968" s="169"/>
      <c r="U2968" s="315">
        <f t="shared" si="727"/>
        <v>287.5</v>
      </c>
      <c r="V2968" s="315">
        <f t="shared" si="726"/>
        <v>290</v>
      </c>
      <c r="W2968" s="316">
        <f t="shared" si="716"/>
        <v>0</v>
      </c>
    </row>
    <row r="2969" spans="1:23" x14ac:dyDescent="0.25">
      <c r="A2969" s="200" t="s">
        <v>18677</v>
      </c>
      <c r="B2969" s="313" t="s">
        <v>18676</v>
      </c>
      <c r="C2969" s="248"/>
      <c r="D2969" s="247" t="s">
        <v>15992</v>
      </c>
      <c r="E2969" s="249">
        <f t="shared" si="718"/>
        <v>0</v>
      </c>
      <c r="F2969" s="258"/>
      <c r="G2969" s="258">
        <f t="shared" si="719"/>
        <v>0</v>
      </c>
      <c r="H2969" s="249">
        <f t="shared" si="720"/>
        <v>0</v>
      </c>
      <c r="I2969" s="258"/>
      <c r="J2969" s="258">
        <f t="shared" si="721"/>
        <v>0</v>
      </c>
      <c r="K2969" s="249">
        <f t="shared" si="722"/>
        <v>0</v>
      </c>
      <c r="L2969" s="258"/>
      <c r="M2969" s="258">
        <f t="shared" si="723"/>
        <v>0</v>
      </c>
      <c r="N2969" s="251">
        <f t="shared" si="724"/>
        <v>0</v>
      </c>
      <c r="O2969" s="258"/>
      <c r="P2969" s="258">
        <f t="shared" si="725"/>
        <v>0</v>
      </c>
      <c r="Q2969" s="249"/>
      <c r="R2969" s="249">
        <v>345</v>
      </c>
      <c r="S2969" s="258">
        <v>0.25</v>
      </c>
      <c r="T2969" s="169"/>
      <c r="U2969" s="315">
        <f t="shared" si="727"/>
        <v>431.25</v>
      </c>
      <c r="V2969" s="315">
        <f t="shared" si="726"/>
        <v>435</v>
      </c>
      <c r="W2969" s="316">
        <f t="shared" si="716"/>
        <v>0</v>
      </c>
    </row>
    <row r="2970" spans="1:23" x14ac:dyDescent="0.25">
      <c r="A2970" s="200" t="s">
        <v>18678</v>
      </c>
      <c r="B2970" s="313" t="s">
        <v>18676</v>
      </c>
      <c r="C2970" s="248"/>
      <c r="D2970" s="247" t="s">
        <v>14865</v>
      </c>
      <c r="E2970" s="249">
        <f t="shared" si="718"/>
        <v>0</v>
      </c>
      <c r="F2970" s="258"/>
      <c r="G2970" s="258">
        <f t="shared" si="719"/>
        <v>0</v>
      </c>
      <c r="H2970" s="249">
        <f t="shared" si="720"/>
        <v>0</v>
      </c>
      <c r="I2970" s="258"/>
      <c r="J2970" s="258">
        <f t="shared" si="721"/>
        <v>0</v>
      </c>
      <c r="K2970" s="249">
        <f t="shared" si="722"/>
        <v>0</v>
      </c>
      <c r="L2970" s="258"/>
      <c r="M2970" s="258">
        <f t="shared" si="723"/>
        <v>0</v>
      </c>
      <c r="N2970" s="251">
        <f t="shared" si="724"/>
        <v>0</v>
      </c>
      <c r="O2970" s="258"/>
      <c r="P2970" s="258">
        <f t="shared" si="725"/>
        <v>0</v>
      </c>
      <c r="Q2970" s="249"/>
      <c r="R2970" s="249">
        <v>86</v>
      </c>
      <c r="S2970" s="258">
        <v>0.25</v>
      </c>
      <c r="T2970" s="169"/>
      <c r="U2970" s="315">
        <f t="shared" si="727"/>
        <v>107.5</v>
      </c>
      <c r="V2970" s="315">
        <f t="shared" si="726"/>
        <v>110</v>
      </c>
      <c r="W2970" s="316">
        <f t="shared" si="716"/>
        <v>0</v>
      </c>
    </row>
    <row r="2971" spans="1:23" x14ac:dyDescent="0.25">
      <c r="A2971" s="200" t="s">
        <v>18679</v>
      </c>
      <c r="B2971" s="313" t="s">
        <v>18680</v>
      </c>
      <c r="C2971" s="248"/>
      <c r="D2971" s="247" t="s">
        <v>14865</v>
      </c>
      <c r="E2971" s="249">
        <f t="shared" si="718"/>
        <v>0</v>
      </c>
      <c r="F2971" s="258"/>
      <c r="G2971" s="258">
        <f t="shared" si="719"/>
        <v>0</v>
      </c>
      <c r="H2971" s="249">
        <f t="shared" si="720"/>
        <v>0</v>
      </c>
      <c r="I2971" s="258"/>
      <c r="J2971" s="258">
        <f t="shared" si="721"/>
        <v>0</v>
      </c>
      <c r="K2971" s="249">
        <f t="shared" si="722"/>
        <v>0</v>
      </c>
      <c r="L2971" s="258"/>
      <c r="M2971" s="258">
        <f t="shared" si="723"/>
        <v>0</v>
      </c>
      <c r="N2971" s="251">
        <f t="shared" si="724"/>
        <v>0</v>
      </c>
      <c r="O2971" s="258"/>
      <c r="P2971" s="258">
        <f t="shared" si="725"/>
        <v>0</v>
      </c>
      <c r="Q2971" s="249"/>
      <c r="R2971" s="249">
        <v>415</v>
      </c>
      <c r="S2971" s="258">
        <v>0.25</v>
      </c>
      <c r="T2971" s="169"/>
      <c r="U2971" s="315">
        <f t="shared" si="727"/>
        <v>518.75</v>
      </c>
      <c r="V2971" s="315">
        <f t="shared" si="726"/>
        <v>520</v>
      </c>
      <c r="W2971" s="316">
        <f t="shared" si="716"/>
        <v>0</v>
      </c>
    </row>
    <row r="2972" spans="1:23" x14ac:dyDescent="0.25">
      <c r="A2972" s="200" t="s">
        <v>18681</v>
      </c>
      <c r="B2972" s="313" t="s">
        <v>18680</v>
      </c>
      <c r="C2972" s="248"/>
      <c r="D2972" s="247" t="s">
        <v>15992</v>
      </c>
      <c r="E2972" s="249">
        <f t="shared" si="718"/>
        <v>0</v>
      </c>
      <c r="F2972" s="258"/>
      <c r="G2972" s="258">
        <f t="shared" si="719"/>
        <v>0</v>
      </c>
      <c r="H2972" s="249">
        <f t="shared" si="720"/>
        <v>0</v>
      </c>
      <c r="I2972" s="258"/>
      <c r="J2972" s="258">
        <f t="shared" si="721"/>
        <v>0</v>
      </c>
      <c r="K2972" s="249">
        <f t="shared" si="722"/>
        <v>0</v>
      </c>
      <c r="L2972" s="258"/>
      <c r="M2972" s="258">
        <f t="shared" si="723"/>
        <v>0</v>
      </c>
      <c r="N2972" s="251">
        <f t="shared" si="724"/>
        <v>0</v>
      </c>
      <c r="O2972" s="258"/>
      <c r="P2972" s="258">
        <f t="shared" si="725"/>
        <v>0</v>
      </c>
      <c r="Q2972" s="249"/>
      <c r="R2972" s="249">
        <v>825</v>
      </c>
      <c r="S2972" s="258">
        <v>0.25</v>
      </c>
      <c r="T2972" s="169"/>
      <c r="U2972" s="315">
        <f t="shared" si="727"/>
        <v>1031.25</v>
      </c>
      <c r="V2972" s="315">
        <f t="shared" si="726"/>
        <v>1050</v>
      </c>
      <c r="W2972" s="316">
        <f t="shared" si="716"/>
        <v>0</v>
      </c>
    </row>
    <row r="2973" spans="1:23" x14ac:dyDescent="0.25">
      <c r="A2973" s="200" t="s">
        <v>18682</v>
      </c>
      <c r="B2973" s="313" t="s">
        <v>18680</v>
      </c>
      <c r="C2973" s="248"/>
      <c r="D2973" s="247" t="s">
        <v>14859</v>
      </c>
      <c r="E2973" s="249">
        <f t="shared" si="718"/>
        <v>0</v>
      </c>
      <c r="F2973" s="258"/>
      <c r="G2973" s="258">
        <f t="shared" si="719"/>
        <v>0</v>
      </c>
      <c r="H2973" s="249">
        <f t="shared" si="720"/>
        <v>0</v>
      </c>
      <c r="I2973" s="258"/>
      <c r="J2973" s="258">
        <f t="shared" si="721"/>
        <v>0</v>
      </c>
      <c r="K2973" s="249">
        <f t="shared" si="722"/>
        <v>0</v>
      </c>
      <c r="L2973" s="258"/>
      <c r="M2973" s="258">
        <f t="shared" si="723"/>
        <v>0</v>
      </c>
      <c r="N2973" s="251">
        <f t="shared" si="724"/>
        <v>0</v>
      </c>
      <c r="O2973" s="258"/>
      <c r="P2973" s="258">
        <f t="shared" si="725"/>
        <v>0</v>
      </c>
      <c r="Q2973" s="249"/>
      <c r="R2973" s="249">
        <v>3522</v>
      </c>
      <c r="S2973" s="258">
        <v>0.25</v>
      </c>
      <c r="T2973" s="169"/>
      <c r="U2973" s="315">
        <f t="shared" si="727"/>
        <v>4402.5</v>
      </c>
      <c r="V2973" s="315">
        <f t="shared" si="726"/>
        <v>4450</v>
      </c>
      <c r="W2973" s="316">
        <f t="shared" si="716"/>
        <v>0</v>
      </c>
    </row>
    <row r="2974" spans="1:23" x14ac:dyDescent="0.25">
      <c r="A2974" s="200" t="s">
        <v>18683</v>
      </c>
      <c r="B2974" s="313" t="s">
        <v>18684</v>
      </c>
      <c r="C2974" s="248"/>
      <c r="D2974" s="247" t="s">
        <v>14859</v>
      </c>
      <c r="E2974" s="249">
        <f t="shared" si="718"/>
        <v>0</v>
      </c>
      <c r="F2974" s="258"/>
      <c r="G2974" s="258">
        <f t="shared" si="719"/>
        <v>0</v>
      </c>
      <c r="H2974" s="249">
        <f t="shared" si="720"/>
        <v>0</v>
      </c>
      <c r="I2974" s="258"/>
      <c r="J2974" s="258">
        <f t="shared" si="721"/>
        <v>0</v>
      </c>
      <c r="K2974" s="249">
        <f t="shared" si="722"/>
        <v>0</v>
      </c>
      <c r="L2974" s="258"/>
      <c r="M2974" s="258">
        <f t="shared" si="723"/>
        <v>0</v>
      </c>
      <c r="N2974" s="251">
        <f t="shared" si="724"/>
        <v>0</v>
      </c>
      <c r="O2974" s="258"/>
      <c r="P2974" s="258">
        <f t="shared" si="725"/>
        <v>0</v>
      </c>
      <c r="Q2974" s="249">
        <v>336.7</v>
      </c>
      <c r="R2974" s="249">
        <v>344.95</v>
      </c>
      <c r="S2974" s="258">
        <v>0.2</v>
      </c>
      <c r="T2974" s="169"/>
      <c r="U2974" s="315">
        <f t="shared" si="727"/>
        <v>413.94</v>
      </c>
      <c r="V2974" s="315">
        <f t="shared" si="726"/>
        <v>415</v>
      </c>
      <c r="W2974" s="316">
        <f t="shared" si="716"/>
        <v>0</v>
      </c>
    </row>
    <row r="2975" spans="1:23" x14ac:dyDescent="0.25">
      <c r="A2975" s="200" t="s">
        <v>18685</v>
      </c>
      <c r="B2975" s="313" t="s">
        <v>18684</v>
      </c>
      <c r="C2975" s="248"/>
      <c r="D2975" s="247" t="s">
        <v>15992</v>
      </c>
      <c r="E2975" s="249">
        <f t="shared" si="718"/>
        <v>0</v>
      </c>
      <c r="F2975" s="258"/>
      <c r="G2975" s="258">
        <f t="shared" si="719"/>
        <v>0</v>
      </c>
      <c r="H2975" s="249">
        <f t="shared" si="720"/>
        <v>0</v>
      </c>
      <c r="I2975" s="258"/>
      <c r="J2975" s="258">
        <f t="shared" si="721"/>
        <v>0</v>
      </c>
      <c r="K2975" s="249">
        <f t="shared" si="722"/>
        <v>0</v>
      </c>
      <c r="L2975" s="258"/>
      <c r="M2975" s="258">
        <f t="shared" si="723"/>
        <v>0</v>
      </c>
      <c r="N2975" s="251">
        <f t="shared" si="724"/>
        <v>0</v>
      </c>
      <c r="O2975" s="258"/>
      <c r="P2975" s="258">
        <f t="shared" si="725"/>
        <v>0</v>
      </c>
      <c r="Q2975" s="249">
        <v>129.86000000000001</v>
      </c>
      <c r="R2975" s="249">
        <v>133.05000000000001</v>
      </c>
      <c r="S2975" s="258">
        <v>0.2</v>
      </c>
      <c r="T2975" s="169"/>
      <c r="U2975" s="315">
        <f>(R2975*S2975)+R2975</f>
        <v>159.66000000000003</v>
      </c>
      <c r="V2975" s="315">
        <f>IF(U2975=0, 0, IF(U2975&lt;10, _xlfn.CEILING.MATH(U2975,1), IF(U2975&lt;100, _xlfn.CEILING.MATH(U2975,1),IF(U2975&lt;1000, _xlfn.CEILING.MATH(U2975,5), IF(U2975&lt;10000, _xlfn.CEILING.MATH(U2975, 50), IF(U2975&lt;100000, _xlfn.CEILING.MATH(U2975,250), IF(U2975&lt;1000000, _xlfn.CEILING.MATH(U2975,500), 0)))))))</f>
        <v>160</v>
      </c>
      <c r="W2975" s="316">
        <f t="shared" si="716"/>
        <v>0</v>
      </c>
    </row>
    <row r="2976" spans="1:23" x14ac:dyDescent="0.25">
      <c r="A2976" s="200" t="s">
        <v>18686</v>
      </c>
      <c r="B2976" s="313" t="s">
        <v>18687</v>
      </c>
      <c r="C2976" s="248"/>
      <c r="D2976" s="247" t="s">
        <v>14859</v>
      </c>
      <c r="E2976" s="249">
        <f t="shared" si="718"/>
        <v>0</v>
      </c>
      <c r="F2976" s="258"/>
      <c r="G2976" s="258">
        <f t="shared" si="719"/>
        <v>0</v>
      </c>
      <c r="H2976" s="249">
        <f t="shared" si="720"/>
        <v>0</v>
      </c>
      <c r="I2976" s="258"/>
      <c r="J2976" s="258">
        <f t="shared" si="721"/>
        <v>0</v>
      </c>
      <c r="K2976" s="249">
        <f t="shared" si="722"/>
        <v>0</v>
      </c>
      <c r="L2976" s="258"/>
      <c r="M2976" s="258">
        <f t="shared" si="723"/>
        <v>0</v>
      </c>
      <c r="N2976" s="251">
        <f t="shared" si="724"/>
        <v>0</v>
      </c>
      <c r="O2976" s="258"/>
      <c r="P2976" s="258">
        <f t="shared" si="725"/>
        <v>0</v>
      </c>
      <c r="Q2976" s="249">
        <v>252.38</v>
      </c>
      <c r="R2976" s="249">
        <v>258.57</v>
      </c>
      <c r="S2976" s="258">
        <v>0.2</v>
      </c>
      <c r="T2976" s="169"/>
      <c r="U2976" s="315">
        <f>(R2976*S2976)+R2976</f>
        <v>310.28399999999999</v>
      </c>
      <c r="V2976" s="315">
        <f>IF(U2976=0, 0, IF(U2976&lt;10, _xlfn.CEILING.MATH(U2976,1), IF(U2976&lt;100, _xlfn.CEILING.MATH(U2976,1),IF(U2976&lt;1000, _xlfn.CEILING.MATH(U2976,5), IF(U2976&lt;10000, _xlfn.CEILING.MATH(U2976, 50), IF(U2976&lt;100000, _xlfn.CEILING.MATH(U2976,250), IF(U2976&lt;1000000, _xlfn.CEILING.MATH(U2976,500), 0)))))))</f>
        <v>315</v>
      </c>
      <c r="W2976" s="316">
        <f t="shared" si="716"/>
        <v>0</v>
      </c>
    </row>
    <row r="2977" spans="1:23" x14ac:dyDescent="0.25">
      <c r="A2977" s="200" t="s">
        <v>18688</v>
      </c>
      <c r="B2977" s="313" t="s">
        <v>18687</v>
      </c>
      <c r="C2977" s="248"/>
      <c r="D2977" s="247" t="s">
        <v>15992</v>
      </c>
      <c r="E2977" s="249">
        <f t="shared" si="718"/>
        <v>0</v>
      </c>
      <c r="F2977" s="258"/>
      <c r="G2977" s="258">
        <f t="shared" si="719"/>
        <v>0</v>
      </c>
      <c r="H2977" s="249">
        <f t="shared" si="720"/>
        <v>0</v>
      </c>
      <c r="I2977" s="258"/>
      <c r="J2977" s="258">
        <f t="shared" si="721"/>
        <v>0</v>
      </c>
      <c r="K2977" s="249">
        <f t="shared" si="722"/>
        <v>0</v>
      </c>
      <c r="L2977" s="258"/>
      <c r="M2977" s="258">
        <f t="shared" si="723"/>
        <v>0</v>
      </c>
      <c r="N2977" s="251">
        <f t="shared" si="724"/>
        <v>0</v>
      </c>
      <c r="O2977" s="258"/>
      <c r="P2977" s="258">
        <f t="shared" si="725"/>
        <v>0</v>
      </c>
      <c r="Q2977" s="249">
        <v>97.35</v>
      </c>
      <c r="R2977" s="249">
        <v>100</v>
      </c>
      <c r="S2977" s="258">
        <v>0.2</v>
      </c>
      <c r="T2977" s="169"/>
      <c r="U2977" s="315">
        <f>(R2977*S2977)+R2977</f>
        <v>120</v>
      </c>
      <c r="V2977" s="315">
        <f>IF(U2977=0, 0, IF(U2977&lt;10, _xlfn.CEILING.MATH(U2977,1), IF(U2977&lt;100, _xlfn.CEILING.MATH(U2977,1),IF(U2977&lt;1000, _xlfn.CEILING.MATH(U2977,5), IF(U2977&lt;10000, _xlfn.CEILING.MATH(U2977, 50), IF(U2977&lt;100000, _xlfn.CEILING.MATH(U2977,250), IF(U2977&lt;1000000, _xlfn.CEILING.MATH(U2977,500), 0)))))))</f>
        <v>120</v>
      </c>
      <c r="W2977" s="316">
        <f t="shared" si="716"/>
        <v>0</v>
      </c>
    </row>
    <row r="2978" spans="1:23" x14ac:dyDescent="0.25">
      <c r="A2978" s="195" t="s">
        <v>18689</v>
      </c>
      <c r="B2978" s="317" t="s">
        <v>22578</v>
      </c>
      <c r="C2978" s="318"/>
      <c r="D2978" s="319"/>
      <c r="E2978" s="319"/>
      <c r="F2978" s="319"/>
      <c r="G2978" s="319"/>
      <c r="H2978" s="319"/>
      <c r="I2978" s="319"/>
      <c r="J2978" s="319"/>
      <c r="K2978" s="319"/>
      <c r="L2978" s="319"/>
      <c r="M2978" s="319"/>
      <c r="N2978" s="319"/>
      <c r="O2978" s="319"/>
      <c r="P2978" s="319"/>
      <c r="Q2978" s="319"/>
      <c r="R2978" s="319"/>
      <c r="S2978" s="319"/>
      <c r="T2978" s="319"/>
      <c r="U2978" s="320"/>
      <c r="V2978" s="320"/>
      <c r="W2978" s="306"/>
    </row>
    <row r="2979" spans="1:23" x14ac:dyDescent="0.25">
      <c r="A2979" s="200" t="s">
        <v>18690</v>
      </c>
      <c r="B2979" s="313" t="s">
        <v>22579</v>
      </c>
      <c r="C2979" s="248"/>
      <c r="D2979" s="247" t="s">
        <v>14865</v>
      </c>
      <c r="E2979" s="249">
        <f t="shared" si="718"/>
        <v>10.5</v>
      </c>
      <c r="F2979" s="258">
        <v>0.5</v>
      </c>
      <c r="G2979" s="258">
        <f t="shared" si="719"/>
        <v>0.5</v>
      </c>
      <c r="H2979" s="249">
        <f t="shared" si="720"/>
        <v>8.4</v>
      </c>
      <c r="I2979" s="258">
        <v>0.4</v>
      </c>
      <c r="J2979" s="258">
        <f t="shared" si="721"/>
        <v>0.4</v>
      </c>
      <c r="K2979" s="249">
        <f t="shared" si="722"/>
        <v>1.4700000000000002</v>
      </c>
      <c r="L2979" s="258">
        <v>7.0000000000000007E-2</v>
      </c>
      <c r="M2979" s="258">
        <f t="shared" si="723"/>
        <v>7.0000000000000007E-2</v>
      </c>
      <c r="N2979" s="251">
        <f t="shared" si="724"/>
        <v>0.63</v>
      </c>
      <c r="O2979" s="258">
        <v>0.03</v>
      </c>
      <c r="P2979" s="258">
        <f t="shared" si="725"/>
        <v>0.03</v>
      </c>
      <c r="Q2979" s="249"/>
      <c r="R2979" s="249">
        <v>21</v>
      </c>
      <c r="S2979" s="258">
        <v>0.1</v>
      </c>
      <c r="T2979" s="169"/>
      <c r="U2979" s="315">
        <f>(R2979*S2979)+R2979-0.1</f>
        <v>23</v>
      </c>
      <c r="V2979" s="315">
        <f>IF(U2979=0, 0, IF(U2979&lt;10, _xlfn.CEILING.MATH(U2979,1), IF(U2979&lt;100, _xlfn.CEILING.MATH(U2979,1),IF(U2979&lt;1000, _xlfn.CEILING.MATH(U2979,5), IF(U2979&lt;10000, _xlfn.CEILING.MATH(U2979, 25), IF(U2979&lt;100000, _xlfn.CEILING.MATH(U2979,250), IF(U2979&lt;1000000, _xlfn.CEILING.MATH(U2979,500), 0)))))))</f>
        <v>23</v>
      </c>
      <c r="W2979" s="316">
        <f t="shared" si="716"/>
        <v>0</v>
      </c>
    </row>
    <row r="2980" spans="1:23" x14ac:dyDescent="0.25">
      <c r="A2980" s="200" t="s">
        <v>18691</v>
      </c>
      <c r="B2980" s="313" t="s">
        <v>22580</v>
      </c>
      <c r="C2980" s="248"/>
      <c r="D2980" s="247" t="s">
        <v>15992</v>
      </c>
      <c r="E2980" s="249">
        <f t="shared" si="718"/>
        <v>21</v>
      </c>
      <c r="F2980" s="258">
        <v>0.5</v>
      </c>
      <c r="G2980" s="258">
        <f t="shared" si="719"/>
        <v>0.5</v>
      </c>
      <c r="H2980" s="249">
        <f t="shared" si="720"/>
        <v>16.8</v>
      </c>
      <c r="I2980" s="258">
        <v>0.4</v>
      </c>
      <c r="J2980" s="258">
        <f t="shared" si="721"/>
        <v>0.4</v>
      </c>
      <c r="K2980" s="249">
        <f t="shared" si="722"/>
        <v>2.9400000000000004</v>
      </c>
      <c r="L2980" s="258">
        <v>7.0000000000000007E-2</v>
      </c>
      <c r="M2980" s="258">
        <f t="shared" si="723"/>
        <v>7.0000000000000007E-2</v>
      </c>
      <c r="N2980" s="251">
        <f t="shared" si="724"/>
        <v>1.26</v>
      </c>
      <c r="O2980" s="258">
        <v>0.03</v>
      </c>
      <c r="P2980" s="258">
        <f t="shared" si="725"/>
        <v>0.03</v>
      </c>
      <c r="Q2980" s="249"/>
      <c r="R2980" s="249">
        <v>42</v>
      </c>
      <c r="S2980" s="258">
        <v>0.1</v>
      </c>
      <c r="T2980" s="169"/>
      <c r="U2980" s="315">
        <f>(R2980*S2980)+R2980-0.2</f>
        <v>46</v>
      </c>
      <c r="V2980" s="315">
        <f>IF(U2980=0, 0, IF(U2980&lt;10, _xlfn.CEILING.MATH(U2980,1), IF(U2980&lt;100, _xlfn.CEILING.MATH(U2980,1),IF(U2980&lt;1000, _xlfn.CEILING.MATH(U2980,5), IF(U2980&lt;10000, _xlfn.CEILING.MATH(U2980, 25), IF(U2980&lt;100000, _xlfn.CEILING.MATH(U2980,250), IF(U2980&lt;1000000, _xlfn.CEILING.MATH(U2980,500), 0)))))))</f>
        <v>46</v>
      </c>
      <c r="W2980" s="316">
        <f t="shared" si="716"/>
        <v>0</v>
      </c>
    </row>
    <row r="2981" spans="1:23" x14ac:dyDescent="0.25">
      <c r="A2981" s="200" t="s">
        <v>18692</v>
      </c>
      <c r="B2981" s="313" t="s">
        <v>22581</v>
      </c>
      <c r="C2981" s="248"/>
      <c r="D2981" s="247" t="s">
        <v>14859</v>
      </c>
      <c r="E2981" s="249">
        <f t="shared" si="718"/>
        <v>63</v>
      </c>
      <c r="F2981" s="258">
        <v>0.5</v>
      </c>
      <c r="G2981" s="258">
        <f t="shared" si="719"/>
        <v>0.5</v>
      </c>
      <c r="H2981" s="249">
        <f t="shared" si="720"/>
        <v>50.400000000000006</v>
      </c>
      <c r="I2981" s="258">
        <v>0.4</v>
      </c>
      <c r="J2981" s="258">
        <f t="shared" si="721"/>
        <v>0.4</v>
      </c>
      <c r="K2981" s="249">
        <f t="shared" si="722"/>
        <v>8.82</v>
      </c>
      <c r="L2981" s="258">
        <v>7.0000000000000007E-2</v>
      </c>
      <c r="M2981" s="258">
        <f t="shared" si="723"/>
        <v>7.0000000000000007E-2</v>
      </c>
      <c r="N2981" s="251">
        <f t="shared" si="724"/>
        <v>3.78</v>
      </c>
      <c r="O2981" s="258">
        <v>0.03</v>
      </c>
      <c r="P2981" s="258">
        <f t="shared" si="725"/>
        <v>0.03</v>
      </c>
      <c r="Q2981" s="249"/>
      <c r="R2981" s="249">
        <v>126</v>
      </c>
      <c r="S2981" s="258">
        <v>0.1</v>
      </c>
      <c r="T2981" s="169"/>
      <c r="U2981" s="315">
        <f>(R2981*S2981)+R2981-0.6</f>
        <v>138</v>
      </c>
      <c r="V2981" s="315">
        <f>IF(U2981=0, 0, IF(U2981&lt;10, _xlfn.CEILING.MATH(U2981,1), IF(U2981&lt;100, _xlfn.CEILING.MATH(U2981,1),IF(U2981&lt;1000, _xlfn.CEILING.MATH(U2981,1), IF(U2981&lt;10000, _xlfn.CEILING.MATH(U2981, 25), IF(U2981&lt;100000, _xlfn.CEILING.MATH(U2981,250), IF(U2981&lt;1000000, _xlfn.CEILING.MATH(U2981,500), 0)))))))</f>
        <v>138</v>
      </c>
      <c r="W2981" s="316">
        <f t="shared" si="716"/>
        <v>0</v>
      </c>
    </row>
    <row r="2982" spans="1:23" x14ac:dyDescent="0.25">
      <c r="A2982" s="200" t="s">
        <v>18693</v>
      </c>
      <c r="B2982" s="313" t="s">
        <v>22582</v>
      </c>
      <c r="C2982" s="248"/>
      <c r="D2982" s="247" t="s">
        <v>14865</v>
      </c>
      <c r="E2982" s="249">
        <f t="shared" si="718"/>
        <v>4</v>
      </c>
      <c r="F2982" s="258">
        <v>0.4</v>
      </c>
      <c r="G2982" s="258">
        <f t="shared" si="719"/>
        <v>0.4</v>
      </c>
      <c r="H2982" s="249">
        <f t="shared" si="720"/>
        <v>4</v>
      </c>
      <c r="I2982" s="258">
        <v>0.4</v>
      </c>
      <c r="J2982" s="258">
        <f t="shared" si="721"/>
        <v>0.4</v>
      </c>
      <c r="K2982" s="249">
        <f t="shared" si="722"/>
        <v>1.75</v>
      </c>
      <c r="L2982" s="258">
        <v>0.17499999999999999</v>
      </c>
      <c r="M2982" s="258">
        <f t="shared" si="723"/>
        <v>0.17499999999999999</v>
      </c>
      <c r="N2982" s="251">
        <f t="shared" si="724"/>
        <v>0.25</v>
      </c>
      <c r="O2982" s="258">
        <v>2.5000000000000001E-2</v>
      </c>
      <c r="P2982" s="258">
        <f t="shared" si="725"/>
        <v>2.5000000000000001E-2</v>
      </c>
      <c r="Q2982" s="249"/>
      <c r="R2982" s="249">
        <v>10</v>
      </c>
      <c r="S2982" s="258">
        <v>0.1</v>
      </c>
      <c r="T2982" s="169"/>
      <c r="U2982" s="315">
        <f>(R2982*S2982)+R2982</f>
        <v>11</v>
      </c>
      <c r="V2982" s="315">
        <f>IF(U2982=0, 0, IF(U2982&lt;10, _xlfn.CEILING.MATH(U2982,1), IF(U2982&lt;100, _xlfn.CEILING.MATH(U2982,1),IF(U2982&lt;1000, _xlfn.CEILING.MATH(U2982,5), IF(U2982&lt;10000, _xlfn.CEILING.MATH(U2982, 25), IF(U2982&lt;100000, _xlfn.CEILING.MATH(U2982,250), IF(U2982&lt;1000000, _xlfn.CEILING.MATH(U2982,500), 0)))))))</f>
        <v>11</v>
      </c>
      <c r="W2982" s="316">
        <f t="shared" si="716"/>
        <v>0</v>
      </c>
    </row>
    <row r="2983" spans="1:23" x14ac:dyDescent="0.25">
      <c r="A2983" s="200" t="s">
        <v>18694</v>
      </c>
      <c r="B2983" s="313" t="s">
        <v>22583</v>
      </c>
      <c r="C2983" s="248"/>
      <c r="D2983" s="247" t="s">
        <v>15992</v>
      </c>
      <c r="E2983" s="249">
        <f t="shared" si="718"/>
        <v>10</v>
      </c>
      <c r="F2983" s="258">
        <v>0.5</v>
      </c>
      <c r="G2983" s="258">
        <f t="shared" si="719"/>
        <v>0.5</v>
      </c>
      <c r="H2983" s="249">
        <f t="shared" si="720"/>
        <v>7</v>
      </c>
      <c r="I2983" s="258">
        <v>0.35</v>
      </c>
      <c r="J2983" s="258">
        <f t="shared" si="721"/>
        <v>0.35</v>
      </c>
      <c r="K2983" s="249">
        <f t="shared" si="722"/>
        <v>2.5</v>
      </c>
      <c r="L2983" s="258">
        <v>0.125</v>
      </c>
      <c r="M2983" s="258">
        <f t="shared" si="723"/>
        <v>0.125</v>
      </c>
      <c r="N2983" s="251">
        <f t="shared" si="724"/>
        <v>0.5</v>
      </c>
      <c r="O2983" s="258">
        <v>2.5000000000000001E-2</v>
      </c>
      <c r="P2983" s="258">
        <f t="shared" si="725"/>
        <v>2.5000000000000001E-2</v>
      </c>
      <c r="Q2983" s="249"/>
      <c r="R2983" s="249">
        <v>20</v>
      </c>
      <c r="S2983" s="258">
        <v>0.1</v>
      </c>
      <c r="T2983" s="169"/>
      <c r="U2983" s="315">
        <f>(R2983*S2983)+R2983</f>
        <v>22</v>
      </c>
      <c r="V2983" s="315">
        <f>IF(U2983=0, 0, IF(U2983&lt;10, _xlfn.CEILING.MATH(U2983,1), IF(U2983&lt;100, _xlfn.CEILING.MATH(U2983,1),IF(U2983&lt;1000, _xlfn.CEILING.MATH(U2983,5), IF(U2983&lt;10000, _xlfn.CEILING.MATH(U2983, 25), IF(U2983&lt;100000, _xlfn.CEILING.MATH(U2983,250), IF(U2983&lt;1000000, _xlfn.CEILING.MATH(U2983,500), 0)))))))</f>
        <v>22</v>
      </c>
      <c r="W2983" s="316">
        <f t="shared" si="716"/>
        <v>0</v>
      </c>
    </row>
    <row r="2984" spans="1:23" x14ac:dyDescent="0.25">
      <c r="A2984" s="200" t="s">
        <v>18695</v>
      </c>
      <c r="B2984" s="313" t="s">
        <v>22584</v>
      </c>
      <c r="C2984" s="248"/>
      <c r="D2984" s="247" t="s">
        <v>14859</v>
      </c>
      <c r="E2984" s="249">
        <f t="shared" si="718"/>
        <v>36</v>
      </c>
      <c r="F2984" s="258">
        <v>0.6</v>
      </c>
      <c r="G2984" s="258">
        <f t="shared" si="719"/>
        <v>0.6</v>
      </c>
      <c r="H2984" s="249">
        <f t="shared" si="720"/>
        <v>15</v>
      </c>
      <c r="I2984" s="258">
        <v>0.25</v>
      </c>
      <c r="J2984" s="258">
        <f t="shared" si="721"/>
        <v>0.25</v>
      </c>
      <c r="K2984" s="249">
        <f t="shared" si="722"/>
        <v>7.5</v>
      </c>
      <c r="L2984" s="258">
        <v>0.125</v>
      </c>
      <c r="M2984" s="258">
        <f t="shared" si="723"/>
        <v>0.125</v>
      </c>
      <c r="N2984" s="251">
        <f t="shared" si="724"/>
        <v>1.5</v>
      </c>
      <c r="O2984" s="258">
        <v>2.5000000000000001E-2</v>
      </c>
      <c r="P2984" s="258">
        <f t="shared" si="725"/>
        <v>2.5000000000000001E-2</v>
      </c>
      <c r="Q2984" s="249"/>
      <c r="R2984" s="249">
        <v>60</v>
      </c>
      <c r="S2984" s="258">
        <v>0.1</v>
      </c>
      <c r="T2984" s="169"/>
      <c r="U2984" s="315">
        <f>(R2984*S2984)+R2984</f>
        <v>66</v>
      </c>
      <c r="V2984" s="315">
        <f>IF(U2984=0, 0, IF(U2984&lt;10, _xlfn.CEILING.MATH(U2984,1), IF(U2984&lt;100, _xlfn.CEILING.MATH(U2984,1),IF(U2984&lt;1000, _xlfn.CEILING.MATH(U2984,5), IF(U2984&lt;10000, _xlfn.CEILING.MATH(U2984, 25), IF(U2984&lt;100000, _xlfn.CEILING.MATH(U2984,250), IF(U2984&lt;1000000, _xlfn.CEILING.MATH(U2984,500), 0)))))))</f>
        <v>66</v>
      </c>
      <c r="W2984" s="316">
        <f t="shared" si="716"/>
        <v>0</v>
      </c>
    </row>
    <row r="2985" spans="1:23" x14ac:dyDescent="0.25">
      <c r="A2985" s="195" t="s">
        <v>15264</v>
      </c>
      <c r="B2985" s="317" t="s">
        <v>15265</v>
      </c>
      <c r="C2985" s="318"/>
      <c r="D2985" s="319"/>
      <c r="E2985" s="319"/>
      <c r="F2985" s="319"/>
      <c r="G2985" s="319"/>
      <c r="H2985" s="319"/>
      <c r="I2985" s="319"/>
      <c r="J2985" s="319"/>
      <c r="K2985" s="319"/>
      <c r="L2985" s="319"/>
      <c r="M2985" s="319"/>
      <c r="N2985" s="319"/>
      <c r="O2985" s="319"/>
      <c r="P2985" s="319"/>
      <c r="Q2985" s="319"/>
      <c r="R2985" s="319"/>
      <c r="S2985" s="319"/>
      <c r="T2985" s="319"/>
      <c r="U2985" s="320"/>
      <c r="V2985" s="320"/>
      <c r="W2985" s="306"/>
    </row>
    <row r="2986" spans="1:23" ht="21" x14ac:dyDescent="0.25">
      <c r="A2986" s="202" t="s">
        <v>15266</v>
      </c>
      <c r="B2986" s="255" t="s">
        <v>15267</v>
      </c>
      <c r="C2986" s="248"/>
      <c r="D2986" s="247" t="s">
        <v>1</v>
      </c>
      <c r="E2986" s="249">
        <f t="shared" si="718"/>
        <v>6.5542599525000007</v>
      </c>
      <c r="F2986" s="258">
        <v>0.75</v>
      </c>
      <c r="G2986" s="258">
        <f t="shared" si="719"/>
        <v>0.75</v>
      </c>
      <c r="H2986" s="249">
        <f t="shared" si="720"/>
        <v>0</v>
      </c>
      <c r="I2986" s="314"/>
      <c r="J2986" s="258">
        <f t="shared" si="721"/>
        <v>0</v>
      </c>
      <c r="K2986" s="249">
        <f t="shared" si="722"/>
        <v>1.7478026540000002</v>
      </c>
      <c r="L2986" s="258">
        <v>0.2</v>
      </c>
      <c r="M2986" s="258">
        <f t="shared" si="723"/>
        <v>0.2</v>
      </c>
      <c r="N2986" s="251">
        <f t="shared" si="724"/>
        <v>0.43695066350000006</v>
      </c>
      <c r="O2986" s="258">
        <v>0.05</v>
      </c>
      <c r="P2986" s="258">
        <f t="shared" si="725"/>
        <v>0.05</v>
      </c>
      <c r="Q2986" s="249">
        <v>8.5417000000000005</v>
      </c>
      <c r="R2986" s="249">
        <f>SUM(F2986*Q2986*1.0235,I2986*Q2986*1.0175,L2986*Q2986*1.0245,O2986*Q2986*1.0115)</f>
        <v>8.7390132700000009</v>
      </c>
      <c r="S2986" s="258">
        <v>0.1</v>
      </c>
      <c r="T2986" s="169">
        <f>Q2986+Q2986*S2986</f>
        <v>9.3958700000000004</v>
      </c>
      <c r="U2986" s="315">
        <f t="shared" si="714"/>
        <v>9.6129145970000014</v>
      </c>
      <c r="V2986" s="315">
        <f t="shared" si="715"/>
        <v>10</v>
      </c>
      <c r="W2986" s="316">
        <f t="shared" si="716"/>
        <v>0</v>
      </c>
    </row>
    <row r="2987" spans="1:23" ht="21" x14ac:dyDescent="0.25">
      <c r="A2987" s="202" t="s">
        <v>15266</v>
      </c>
      <c r="B2987" s="255" t="s">
        <v>15268</v>
      </c>
      <c r="C2987" s="248"/>
      <c r="D2987" s="247" t="s">
        <v>1</v>
      </c>
      <c r="E2987" s="249">
        <f t="shared" si="718"/>
        <v>7.4988370275000005</v>
      </c>
      <c r="F2987" s="258">
        <v>0.75</v>
      </c>
      <c r="G2987" s="258">
        <f t="shared" si="719"/>
        <v>0.75</v>
      </c>
      <c r="H2987" s="249">
        <f t="shared" si="720"/>
        <v>0</v>
      </c>
      <c r="I2987" s="314"/>
      <c r="J2987" s="258">
        <f t="shared" si="721"/>
        <v>0</v>
      </c>
      <c r="K2987" s="249">
        <f t="shared" si="722"/>
        <v>1.9996898740000004</v>
      </c>
      <c r="L2987" s="258">
        <v>0.2</v>
      </c>
      <c r="M2987" s="258">
        <f t="shared" si="723"/>
        <v>0.2</v>
      </c>
      <c r="N2987" s="251">
        <f t="shared" si="724"/>
        <v>0.49992246850000011</v>
      </c>
      <c r="O2987" s="258">
        <v>0.05</v>
      </c>
      <c r="P2987" s="258">
        <f t="shared" si="725"/>
        <v>0.05</v>
      </c>
      <c r="Q2987" s="249">
        <v>9.7727000000000004</v>
      </c>
      <c r="R2987" s="249">
        <f>SUM(F2987*Q2987*1.0235,I2987*Q2987*1.0175,L2987*Q2987*1.0245,O2987*Q2987*1.0115)</f>
        <v>9.9984493700000012</v>
      </c>
      <c r="S2987" s="258">
        <v>0.1</v>
      </c>
      <c r="T2987" s="169">
        <f>Q2987+Q2987*S2987</f>
        <v>10.749970000000001</v>
      </c>
      <c r="U2987" s="315">
        <f t="shared" si="714"/>
        <v>10.998294307000002</v>
      </c>
      <c r="V2987" s="315">
        <f t="shared" si="715"/>
        <v>11</v>
      </c>
      <c r="W2987" s="316">
        <f t="shared" si="716"/>
        <v>0</v>
      </c>
    </row>
    <row r="2988" spans="1:23" ht="21" x14ac:dyDescent="0.25">
      <c r="A2988" s="200" t="s">
        <v>15269</v>
      </c>
      <c r="B2988" s="255" t="s">
        <v>15270</v>
      </c>
      <c r="C2988" s="248"/>
      <c r="D2988" s="247" t="s">
        <v>11</v>
      </c>
      <c r="E2988" s="249">
        <f t="shared" si="718"/>
        <v>173.82102736250002</v>
      </c>
      <c r="F2988" s="258">
        <v>0.25</v>
      </c>
      <c r="G2988" s="258">
        <f t="shared" si="719"/>
        <v>0.25</v>
      </c>
      <c r="H2988" s="249">
        <f t="shared" si="720"/>
        <v>382.40626019750005</v>
      </c>
      <c r="I2988" s="258">
        <v>0.55000000000000004</v>
      </c>
      <c r="J2988" s="258">
        <f t="shared" si="721"/>
        <v>0.55000000000000004</v>
      </c>
      <c r="K2988" s="249">
        <f t="shared" si="722"/>
        <v>104.29261641750001</v>
      </c>
      <c r="L2988" s="258">
        <v>0.15</v>
      </c>
      <c r="M2988" s="258">
        <f t="shared" si="723"/>
        <v>0.15</v>
      </c>
      <c r="N2988" s="251">
        <f t="shared" si="724"/>
        <v>34.764205472500002</v>
      </c>
      <c r="O2988" s="258">
        <v>0.05</v>
      </c>
      <c r="P2988" s="258">
        <f t="shared" si="725"/>
        <v>0.05</v>
      </c>
      <c r="Q2988" s="249">
        <v>681.81820000000005</v>
      </c>
      <c r="R2988" s="249">
        <f>SUM(F2988*Q2988*1.0235,I2988*Q2988*1.0175,L2988*Q2988*1.0245,O2988*Q2988*1.0115)</f>
        <v>695.28410945000007</v>
      </c>
      <c r="S2988" s="258">
        <v>0.1</v>
      </c>
      <c r="T2988" s="169">
        <f>Q2988+Q2988*S2988</f>
        <v>750.00002000000006</v>
      </c>
      <c r="U2988" s="315">
        <f t="shared" si="714"/>
        <v>764.81252039500009</v>
      </c>
      <c r="V2988" s="315">
        <f t="shared" si="715"/>
        <v>765</v>
      </c>
      <c r="W2988" s="316">
        <f t="shared" si="716"/>
        <v>0</v>
      </c>
    </row>
    <row r="2989" spans="1:23" ht="21" x14ac:dyDescent="0.25">
      <c r="A2989" s="200" t="s">
        <v>15271</v>
      </c>
      <c r="B2989" s="255" t="s">
        <v>15272</v>
      </c>
      <c r="C2989" s="248"/>
      <c r="D2989" s="247" t="s">
        <v>11</v>
      </c>
      <c r="E2989" s="249">
        <f t="shared" si="718"/>
        <v>214.37926368125002</v>
      </c>
      <c r="F2989" s="258">
        <v>0.25</v>
      </c>
      <c r="G2989" s="258">
        <f t="shared" si="719"/>
        <v>0.25</v>
      </c>
      <c r="H2989" s="249">
        <f t="shared" si="720"/>
        <v>471.63438009875011</v>
      </c>
      <c r="I2989" s="258">
        <v>0.55000000000000004</v>
      </c>
      <c r="J2989" s="258">
        <f t="shared" si="721"/>
        <v>0.55000000000000004</v>
      </c>
      <c r="K2989" s="249">
        <f t="shared" si="722"/>
        <v>128.62755820875</v>
      </c>
      <c r="L2989" s="258">
        <v>0.15</v>
      </c>
      <c r="M2989" s="258">
        <f t="shared" si="723"/>
        <v>0.15</v>
      </c>
      <c r="N2989" s="251">
        <f t="shared" si="724"/>
        <v>42.87585273625001</v>
      </c>
      <c r="O2989" s="258">
        <v>0.05</v>
      </c>
      <c r="P2989" s="258">
        <f t="shared" si="725"/>
        <v>0.05</v>
      </c>
      <c r="Q2989" s="249">
        <v>840.90909999999997</v>
      </c>
      <c r="R2989" s="249">
        <f>SUM(F2989*Q2989*1.0235,I2989*Q2989*1.0175,L2989*Q2989*1.0245,O2989*Q2989*1.0115)</f>
        <v>857.51705472500009</v>
      </c>
      <c r="S2989" s="258">
        <v>0.1</v>
      </c>
      <c r="T2989" s="169">
        <f>Q2989+Q2989*S2989</f>
        <v>925.00000999999997</v>
      </c>
      <c r="U2989" s="315">
        <f t="shared" si="714"/>
        <v>943.26876019750011</v>
      </c>
      <c r="V2989" s="315">
        <f t="shared" si="715"/>
        <v>945</v>
      </c>
      <c r="W2989" s="316">
        <f t="shared" si="716"/>
        <v>0</v>
      </c>
    </row>
    <row r="2990" spans="1:23" ht="21" x14ac:dyDescent="0.25">
      <c r="A2990" s="200" t="s">
        <v>15269</v>
      </c>
      <c r="B2990" s="255" t="s">
        <v>15273</v>
      </c>
      <c r="C2990" s="248"/>
      <c r="D2990" s="247" t="s">
        <v>1</v>
      </c>
      <c r="E2990" s="249">
        <f t="shared" si="718"/>
        <v>0</v>
      </c>
      <c r="F2990" s="314"/>
      <c r="G2990" s="258">
        <f t="shared" si="719"/>
        <v>0</v>
      </c>
      <c r="H2990" s="249">
        <f t="shared" si="720"/>
        <v>63.425020296000007</v>
      </c>
      <c r="I2990" s="258">
        <v>0.55000000000000004</v>
      </c>
      <c r="J2990" s="258">
        <f t="shared" si="721"/>
        <v>0.55000000000000004</v>
      </c>
      <c r="K2990" s="249">
        <f t="shared" si="722"/>
        <v>0</v>
      </c>
      <c r="L2990" s="314"/>
      <c r="M2990" s="258">
        <f t="shared" si="723"/>
        <v>0</v>
      </c>
      <c r="N2990" s="251">
        <f t="shared" si="724"/>
        <v>51.893198424000005</v>
      </c>
      <c r="O2990" s="258">
        <v>0.45</v>
      </c>
      <c r="P2990" s="258">
        <f t="shared" si="725"/>
        <v>0.45</v>
      </c>
      <c r="Q2990" s="249">
        <v>113.63639999999999</v>
      </c>
      <c r="R2990" s="249">
        <f>SUM(F2990*Q2990*1.0235,I2990*Q2990*1.0175,L2990*Q2990*1.0245,O2990*Q2990*1.0115)</f>
        <v>115.31821872</v>
      </c>
      <c r="S2990" s="258">
        <v>0.1</v>
      </c>
      <c r="T2990" s="169">
        <f>Q2990+Q2990*S2990</f>
        <v>125.00004</v>
      </c>
      <c r="U2990" s="315">
        <f t="shared" si="714"/>
        <v>126.850040592</v>
      </c>
      <c r="V2990" s="315">
        <f t="shared" si="715"/>
        <v>130</v>
      </c>
      <c r="W2990" s="316">
        <f t="shared" si="716"/>
        <v>0</v>
      </c>
    </row>
    <row r="2991" spans="1:23" x14ac:dyDescent="0.25">
      <c r="A2991" s="195" t="s">
        <v>15274</v>
      </c>
      <c r="B2991" s="317" t="s">
        <v>15275</v>
      </c>
      <c r="C2991" s="318"/>
      <c r="D2991" s="319"/>
      <c r="E2991" s="319"/>
      <c r="F2991" s="319"/>
      <c r="G2991" s="319"/>
      <c r="H2991" s="319"/>
      <c r="I2991" s="319"/>
      <c r="J2991" s="319"/>
      <c r="K2991" s="319"/>
      <c r="L2991" s="319"/>
      <c r="M2991" s="319"/>
      <c r="N2991" s="319"/>
      <c r="O2991" s="319"/>
      <c r="P2991" s="319"/>
      <c r="Q2991" s="319"/>
      <c r="R2991" s="319"/>
      <c r="S2991" s="319"/>
      <c r="T2991" s="319"/>
      <c r="U2991" s="320"/>
      <c r="V2991" s="320"/>
      <c r="W2991" s="306"/>
    </row>
    <row r="2992" spans="1:23" x14ac:dyDescent="0.25">
      <c r="A2992" s="200">
        <v>210001</v>
      </c>
      <c r="B2992" s="313" t="s">
        <v>22585</v>
      </c>
      <c r="C2992" s="248"/>
      <c r="D2992" s="247" t="s">
        <v>15276</v>
      </c>
      <c r="E2992" s="249">
        <f t="shared" si="718"/>
        <v>76.357479638000001</v>
      </c>
      <c r="F2992" s="258">
        <v>0.55000000000000004</v>
      </c>
      <c r="G2992" s="258">
        <f t="shared" si="719"/>
        <v>0.55000000000000004</v>
      </c>
      <c r="H2992" s="249">
        <f t="shared" si="720"/>
        <v>0</v>
      </c>
      <c r="I2992" s="314"/>
      <c r="J2992" s="258">
        <f t="shared" si="721"/>
        <v>0</v>
      </c>
      <c r="K2992" s="249">
        <f t="shared" si="722"/>
        <v>0</v>
      </c>
      <c r="L2992" s="314"/>
      <c r="M2992" s="258">
        <f t="shared" si="723"/>
        <v>0</v>
      </c>
      <c r="N2992" s="251">
        <f t="shared" si="724"/>
        <v>62.474301521999998</v>
      </c>
      <c r="O2992" s="258">
        <v>0.45</v>
      </c>
      <c r="P2992" s="258">
        <f t="shared" si="725"/>
        <v>0.45</v>
      </c>
      <c r="Q2992" s="249">
        <v>136.36359999999999</v>
      </c>
      <c r="R2992" s="249">
        <f t="shared" ref="R2992:R3002" si="728">SUM(F2992*Q2992*1.0235,I2992*Q2992*1.0175,L2992*Q2992*1.0245,O2992*Q2992*1.0115)</f>
        <v>138.83178115999999</v>
      </c>
      <c r="S2992" s="258">
        <v>0.1</v>
      </c>
      <c r="T2992" s="169">
        <f t="shared" ref="T2992:T3055" si="729">Q2992+Q2992*S2992</f>
        <v>149.99995999999999</v>
      </c>
      <c r="U2992" s="315">
        <f t="shared" si="714"/>
        <v>152.714959276</v>
      </c>
      <c r="V2992" s="315">
        <f t="shared" si="715"/>
        <v>155</v>
      </c>
      <c r="W2992" s="316">
        <f t="shared" si="716"/>
        <v>0</v>
      </c>
    </row>
    <row r="2993" spans="1:23" x14ac:dyDescent="0.25">
      <c r="A2993" s="200">
        <f>A2992+1</f>
        <v>210002</v>
      </c>
      <c r="B2993" s="313" t="s">
        <v>22586</v>
      </c>
      <c r="C2993" s="294"/>
      <c r="D2993" s="247" t="s">
        <v>15276</v>
      </c>
      <c r="E2993" s="249">
        <f t="shared" si="718"/>
        <v>71.266984728500006</v>
      </c>
      <c r="F2993" s="258">
        <v>0.55000000000000004</v>
      </c>
      <c r="G2993" s="258">
        <f t="shared" si="719"/>
        <v>0.55000000000000004</v>
      </c>
      <c r="H2993" s="249">
        <f t="shared" si="720"/>
        <v>0</v>
      </c>
      <c r="I2993" s="314"/>
      <c r="J2993" s="258">
        <f t="shared" si="721"/>
        <v>0</v>
      </c>
      <c r="K2993" s="249">
        <f t="shared" si="722"/>
        <v>0</v>
      </c>
      <c r="L2993" s="314"/>
      <c r="M2993" s="258">
        <f t="shared" si="723"/>
        <v>0</v>
      </c>
      <c r="N2993" s="251">
        <f t="shared" si="724"/>
        <v>58.309351141500002</v>
      </c>
      <c r="O2993" s="258">
        <v>0.45</v>
      </c>
      <c r="P2993" s="258">
        <f t="shared" si="725"/>
        <v>0.45</v>
      </c>
      <c r="Q2993" s="249">
        <v>127.2727</v>
      </c>
      <c r="R2993" s="249">
        <f t="shared" si="728"/>
        <v>129.57633587000001</v>
      </c>
      <c r="S2993" s="258">
        <v>0.1</v>
      </c>
      <c r="T2993" s="169">
        <f t="shared" si="729"/>
        <v>139.99996999999999</v>
      </c>
      <c r="U2993" s="315">
        <f t="shared" si="714"/>
        <v>142.53396945700001</v>
      </c>
      <c r="V2993" s="315">
        <f t="shared" si="715"/>
        <v>145</v>
      </c>
      <c r="W2993" s="316">
        <f t="shared" si="716"/>
        <v>0</v>
      </c>
    </row>
    <row r="2994" spans="1:23" x14ac:dyDescent="0.25">
      <c r="A2994" s="200">
        <f>A2993+1</f>
        <v>210003</v>
      </c>
      <c r="B2994" s="313" t="s">
        <v>22587</v>
      </c>
      <c r="C2994" s="293"/>
      <c r="D2994" s="247" t="s">
        <v>15276</v>
      </c>
      <c r="E2994" s="249">
        <f t="shared" si="718"/>
        <v>63.631270362000002</v>
      </c>
      <c r="F2994" s="258">
        <v>0.55000000000000004</v>
      </c>
      <c r="G2994" s="258">
        <f t="shared" si="719"/>
        <v>0.55000000000000004</v>
      </c>
      <c r="H2994" s="249">
        <f t="shared" si="720"/>
        <v>0</v>
      </c>
      <c r="I2994" s="314"/>
      <c r="J2994" s="258">
        <f t="shared" si="721"/>
        <v>0</v>
      </c>
      <c r="K2994" s="249">
        <f t="shared" si="722"/>
        <v>0</v>
      </c>
      <c r="L2994" s="314"/>
      <c r="M2994" s="258">
        <f t="shared" si="723"/>
        <v>0</v>
      </c>
      <c r="N2994" s="251">
        <f t="shared" si="724"/>
        <v>52.061948477999998</v>
      </c>
      <c r="O2994" s="258">
        <v>0.45</v>
      </c>
      <c r="P2994" s="258">
        <f t="shared" si="725"/>
        <v>0.45</v>
      </c>
      <c r="Q2994" s="249">
        <v>113.63639999999999</v>
      </c>
      <c r="R2994" s="249">
        <f t="shared" si="728"/>
        <v>115.69321884</v>
      </c>
      <c r="S2994" s="258">
        <v>0.1</v>
      </c>
      <c r="T2994" s="169">
        <f t="shared" si="729"/>
        <v>125.00004</v>
      </c>
      <c r="U2994" s="315">
        <f t="shared" si="714"/>
        <v>127.262540724</v>
      </c>
      <c r="V2994" s="315">
        <f t="shared" si="715"/>
        <v>130</v>
      </c>
      <c r="W2994" s="316">
        <f t="shared" si="716"/>
        <v>0</v>
      </c>
    </row>
    <row r="2995" spans="1:23" x14ac:dyDescent="0.25">
      <c r="A2995" s="200">
        <f>A2994+1</f>
        <v>210004</v>
      </c>
      <c r="B2995" s="313" t="s">
        <v>22588</v>
      </c>
      <c r="C2995" s="248"/>
      <c r="D2995" s="247" t="s">
        <v>15276</v>
      </c>
      <c r="E2995" s="249">
        <f t="shared" si="718"/>
        <v>61.085994909500009</v>
      </c>
      <c r="F2995" s="258">
        <v>0.55000000000000004</v>
      </c>
      <c r="G2995" s="258">
        <f t="shared" si="719"/>
        <v>0.55000000000000004</v>
      </c>
      <c r="H2995" s="249">
        <f t="shared" si="720"/>
        <v>0</v>
      </c>
      <c r="I2995" s="314"/>
      <c r="J2995" s="258">
        <f t="shared" si="721"/>
        <v>0</v>
      </c>
      <c r="K2995" s="249">
        <f t="shared" si="722"/>
        <v>0</v>
      </c>
      <c r="L2995" s="314"/>
      <c r="M2995" s="258">
        <f t="shared" si="723"/>
        <v>0</v>
      </c>
      <c r="N2995" s="251">
        <f t="shared" si="724"/>
        <v>49.979450380500005</v>
      </c>
      <c r="O2995" s="258">
        <v>0.45</v>
      </c>
      <c r="P2995" s="258">
        <f t="shared" si="725"/>
        <v>0.45</v>
      </c>
      <c r="Q2995" s="249">
        <v>109.0909</v>
      </c>
      <c r="R2995" s="249">
        <f t="shared" si="728"/>
        <v>111.06544529000001</v>
      </c>
      <c r="S2995" s="258">
        <v>0.1</v>
      </c>
      <c r="T2995" s="169">
        <f t="shared" si="729"/>
        <v>119.99999000000001</v>
      </c>
      <c r="U2995" s="315">
        <f t="shared" si="714"/>
        <v>122.17198981900002</v>
      </c>
      <c r="V2995" s="315">
        <f t="shared" si="715"/>
        <v>125</v>
      </c>
      <c r="W2995" s="316">
        <f t="shared" si="716"/>
        <v>0</v>
      </c>
    </row>
    <row r="2996" spans="1:23" x14ac:dyDescent="0.25">
      <c r="A2996" s="200">
        <f>A2995+1</f>
        <v>210005</v>
      </c>
      <c r="B2996" s="313" t="s">
        <v>22589</v>
      </c>
      <c r="C2996" s="294"/>
      <c r="D2996" s="247" t="s">
        <v>15276</v>
      </c>
      <c r="E2996" s="249">
        <f t="shared" si="718"/>
        <v>55.995500000000014</v>
      </c>
      <c r="F2996" s="258">
        <v>0.55000000000000004</v>
      </c>
      <c r="G2996" s="258">
        <f t="shared" si="719"/>
        <v>0.55000000000000004</v>
      </c>
      <c r="H2996" s="249">
        <f t="shared" si="720"/>
        <v>0</v>
      </c>
      <c r="I2996" s="314"/>
      <c r="J2996" s="258">
        <f t="shared" si="721"/>
        <v>0</v>
      </c>
      <c r="K2996" s="249">
        <f t="shared" si="722"/>
        <v>0</v>
      </c>
      <c r="L2996" s="314"/>
      <c r="M2996" s="258">
        <f t="shared" si="723"/>
        <v>0</v>
      </c>
      <c r="N2996" s="251">
        <f t="shared" si="724"/>
        <v>45.81450000000001</v>
      </c>
      <c r="O2996" s="258">
        <v>0.45</v>
      </c>
      <c r="P2996" s="258">
        <f t="shared" si="725"/>
        <v>0.45</v>
      </c>
      <c r="Q2996" s="249">
        <v>100</v>
      </c>
      <c r="R2996" s="249">
        <f t="shared" si="728"/>
        <v>101.81000000000002</v>
      </c>
      <c r="S2996" s="258">
        <v>0.1</v>
      </c>
      <c r="T2996" s="169">
        <f t="shared" si="729"/>
        <v>110</v>
      </c>
      <c r="U2996" s="315">
        <f t="shared" si="714"/>
        <v>111.99100000000001</v>
      </c>
      <c r="V2996" s="315">
        <f t="shared" si="715"/>
        <v>115</v>
      </c>
      <c r="W2996" s="316">
        <f t="shared" si="716"/>
        <v>0</v>
      </c>
    </row>
    <row r="2997" spans="1:23" x14ac:dyDescent="0.25">
      <c r="A2997" s="200">
        <f>A2996+1</f>
        <v>210006</v>
      </c>
      <c r="B2997" s="313" t="s">
        <v>22590</v>
      </c>
      <c r="C2997" s="293"/>
      <c r="D2997" s="247" t="s">
        <v>15276</v>
      </c>
      <c r="E2997" s="249">
        <f t="shared" si="718"/>
        <v>45.81451018100001</v>
      </c>
      <c r="F2997" s="258">
        <v>0.55000000000000004</v>
      </c>
      <c r="G2997" s="258">
        <f t="shared" si="719"/>
        <v>0.55000000000000004</v>
      </c>
      <c r="H2997" s="249">
        <f t="shared" si="720"/>
        <v>0</v>
      </c>
      <c r="I2997" s="314"/>
      <c r="J2997" s="258">
        <f t="shared" si="721"/>
        <v>0</v>
      </c>
      <c r="K2997" s="249">
        <f t="shared" si="722"/>
        <v>0</v>
      </c>
      <c r="L2997" s="314"/>
      <c r="M2997" s="258">
        <f t="shared" si="723"/>
        <v>0</v>
      </c>
      <c r="N2997" s="251">
        <f t="shared" si="724"/>
        <v>37.484599239000005</v>
      </c>
      <c r="O2997" s="258">
        <v>0.45</v>
      </c>
      <c r="P2997" s="258">
        <f t="shared" si="725"/>
        <v>0.45</v>
      </c>
      <c r="Q2997" s="249">
        <v>81.818200000000004</v>
      </c>
      <c r="R2997" s="249">
        <f t="shared" si="728"/>
        <v>83.299109420000008</v>
      </c>
      <c r="S2997" s="258">
        <v>0.1</v>
      </c>
      <c r="T2997" s="169">
        <f t="shared" si="729"/>
        <v>90.000020000000006</v>
      </c>
      <c r="U2997" s="315">
        <f t="shared" si="714"/>
        <v>91.629020362000006</v>
      </c>
      <c r="V2997" s="315">
        <f t="shared" si="715"/>
        <v>92</v>
      </c>
      <c r="W2997" s="316">
        <f t="shared" si="716"/>
        <v>0</v>
      </c>
    </row>
    <row r="2998" spans="1:23" x14ac:dyDescent="0.25">
      <c r="A2998" s="200">
        <v>210103</v>
      </c>
      <c r="B2998" s="313" t="s">
        <v>15277</v>
      </c>
      <c r="C2998" s="248"/>
      <c r="D2998" s="247" t="s">
        <v>2</v>
      </c>
      <c r="E2998" s="249">
        <f t="shared" si="718"/>
        <v>4.24360914768</v>
      </c>
      <c r="F2998" s="258">
        <v>0.73</v>
      </c>
      <c r="G2998" s="258">
        <f t="shared" si="719"/>
        <v>0.73</v>
      </c>
      <c r="H2998" s="249">
        <f t="shared" si="720"/>
        <v>0</v>
      </c>
      <c r="I2998" s="314"/>
      <c r="J2998" s="258">
        <f t="shared" si="721"/>
        <v>0</v>
      </c>
      <c r="K2998" s="249">
        <f t="shared" si="722"/>
        <v>1.2788959075200002</v>
      </c>
      <c r="L2998" s="258">
        <v>0.22</v>
      </c>
      <c r="M2998" s="258">
        <f t="shared" si="723"/>
        <v>0.22</v>
      </c>
      <c r="N2998" s="251">
        <f t="shared" si="724"/>
        <v>0.29065816080000001</v>
      </c>
      <c r="O2998" s="258">
        <v>0.05</v>
      </c>
      <c r="P2998" s="258">
        <f t="shared" si="725"/>
        <v>0.05</v>
      </c>
      <c r="Q2998" s="249">
        <v>5.6818</v>
      </c>
      <c r="R2998" s="249">
        <f t="shared" si="728"/>
        <v>5.8131632160000004</v>
      </c>
      <c r="S2998" s="258">
        <v>0.1</v>
      </c>
      <c r="T2998" s="169">
        <f t="shared" si="729"/>
        <v>6.2499799999999999</v>
      </c>
      <c r="U2998" s="315">
        <f t="shared" si="714"/>
        <v>6.3944795376000005</v>
      </c>
      <c r="V2998" s="315">
        <f t="shared" si="715"/>
        <v>7</v>
      </c>
      <c r="W2998" s="316">
        <f t="shared" si="716"/>
        <v>0</v>
      </c>
    </row>
    <row r="2999" spans="1:23" x14ac:dyDescent="0.25">
      <c r="A2999" s="200">
        <v>210104</v>
      </c>
      <c r="B2999" s="313" t="s">
        <v>15278</v>
      </c>
      <c r="C2999" s="294"/>
      <c r="D2999" s="247" t="s">
        <v>2</v>
      </c>
      <c r="E2999" s="249">
        <f t="shared" si="718"/>
        <v>4.4133744261599999</v>
      </c>
      <c r="F2999" s="258">
        <v>0.73</v>
      </c>
      <c r="G2999" s="258">
        <f t="shared" si="719"/>
        <v>0.73</v>
      </c>
      <c r="H2999" s="249">
        <f t="shared" si="720"/>
        <v>0</v>
      </c>
      <c r="I2999" s="314"/>
      <c r="J2999" s="258">
        <f t="shared" si="721"/>
        <v>0</v>
      </c>
      <c r="K2999" s="249">
        <f t="shared" si="722"/>
        <v>1.33005804624</v>
      </c>
      <c r="L2999" s="258">
        <v>0.22</v>
      </c>
      <c r="M2999" s="258">
        <f t="shared" si="723"/>
        <v>0.22</v>
      </c>
      <c r="N2999" s="251">
        <f t="shared" si="724"/>
        <v>0.30228591960000006</v>
      </c>
      <c r="O2999" s="258">
        <v>0.05</v>
      </c>
      <c r="P2999" s="258">
        <f t="shared" si="725"/>
        <v>0.05</v>
      </c>
      <c r="Q2999" s="249">
        <v>5.9090999999999996</v>
      </c>
      <c r="R2999" s="249">
        <f t="shared" si="728"/>
        <v>6.0457183920000004</v>
      </c>
      <c r="S2999" s="258">
        <v>0.1</v>
      </c>
      <c r="T2999" s="169">
        <f t="shared" si="729"/>
        <v>6.5000099999999996</v>
      </c>
      <c r="U2999" s="315">
        <f t="shared" si="714"/>
        <v>6.6502902312000005</v>
      </c>
      <c r="V2999" s="315">
        <f t="shared" si="715"/>
        <v>7</v>
      </c>
      <c r="W2999" s="316">
        <f t="shared" si="716"/>
        <v>0</v>
      </c>
    </row>
    <row r="3000" spans="1:23" x14ac:dyDescent="0.25">
      <c r="A3000" s="200">
        <v>210106</v>
      </c>
      <c r="B3000" s="313" t="s">
        <v>15279</v>
      </c>
      <c r="C3000" s="293"/>
      <c r="D3000" s="247" t="s">
        <v>2</v>
      </c>
      <c r="E3000" s="249">
        <f t="shared" si="718"/>
        <v>4.9225955738400007</v>
      </c>
      <c r="F3000" s="258">
        <v>0.73</v>
      </c>
      <c r="G3000" s="258">
        <f t="shared" si="719"/>
        <v>0.73</v>
      </c>
      <c r="H3000" s="249">
        <f t="shared" si="720"/>
        <v>0</v>
      </c>
      <c r="I3000" s="314"/>
      <c r="J3000" s="258">
        <f t="shared" si="721"/>
        <v>0</v>
      </c>
      <c r="K3000" s="249">
        <f t="shared" si="722"/>
        <v>1.4835219537600002</v>
      </c>
      <c r="L3000" s="258">
        <v>0.22</v>
      </c>
      <c r="M3000" s="258">
        <f t="shared" si="723"/>
        <v>0.22</v>
      </c>
      <c r="N3000" s="251">
        <f t="shared" si="724"/>
        <v>0.33716408040000007</v>
      </c>
      <c r="O3000" s="258">
        <v>0.05</v>
      </c>
      <c r="P3000" s="258">
        <f t="shared" si="725"/>
        <v>0.05</v>
      </c>
      <c r="Q3000" s="249">
        <v>6.5909000000000004</v>
      </c>
      <c r="R3000" s="249">
        <f t="shared" si="728"/>
        <v>6.7432816080000011</v>
      </c>
      <c r="S3000" s="258">
        <v>0.1</v>
      </c>
      <c r="T3000" s="169">
        <f t="shared" si="729"/>
        <v>7.2499900000000004</v>
      </c>
      <c r="U3000" s="315">
        <f t="shared" si="714"/>
        <v>7.4176097688000011</v>
      </c>
      <c r="V3000" s="315">
        <f t="shared" si="715"/>
        <v>8</v>
      </c>
      <c r="W3000" s="316">
        <f t="shared" si="716"/>
        <v>0</v>
      </c>
    </row>
    <row r="3001" spans="1:23" x14ac:dyDescent="0.25">
      <c r="A3001" s="200">
        <v>210108</v>
      </c>
      <c r="B3001" s="292" t="s">
        <v>15280</v>
      </c>
      <c r="C3001" s="293"/>
      <c r="D3001" s="247" t="s">
        <v>2</v>
      </c>
      <c r="E3001" s="249">
        <f t="shared" si="718"/>
        <v>5.2621261307999996</v>
      </c>
      <c r="F3001" s="258">
        <v>0.73</v>
      </c>
      <c r="G3001" s="258">
        <f t="shared" si="719"/>
        <v>0.73</v>
      </c>
      <c r="H3001" s="249">
        <f t="shared" si="720"/>
        <v>0</v>
      </c>
      <c r="I3001" s="314"/>
      <c r="J3001" s="258">
        <f t="shared" si="721"/>
        <v>0</v>
      </c>
      <c r="K3001" s="249">
        <f t="shared" si="722"/>
        <v>1.5858462312000001</v>
      </c>
      <c r="L3001" s="258">
        <v>0.22</v>
      </c>
      <c r="M3001" s="258">
        <f t="shared" si="723"/>
        <v>0.22</v>
      </c>
      <c r="N3001" s="251">
        <f t="shared" si="724"/>
        <v>0.36041959800000001</v>
      </c>
      <c r="O3001" s="258">
        <v>0.05</v>
      </c>
      <c r="P3001" s="258">
        <f t="shared" si="725"/>
        <v>0.05</v>
      </c>
      <c r="Q3001" s="249">
        <v>7.0454999999999997</v>
      </c>
      <c r="R3001" s="249">
        <f t="shared" si="728"/>
        <v>7.2083919600000002</v>
      </c>
      <c r="S3001" s="258">
        <v>0.1</v>
      </c>
      <c r="T3001" s="169">
        <f t="shared" si="729"/>
        <v>7.7500499999999999</v>
      </c>
      <c r="U3001" s="315">
        <f t="shared" si="714"/>
        <v>7.9292311560000002</v>
      </c>
      <c r="V3001" s="315">
        <f t="shared" si="715"/>
        <v>8</v>
      </c>
      <c r="W3001" s="316">
        <f t="shared" si="716"/>
        <v>0</v>
      </c>
    </row>
    <row r="3002" spans="1:23" x14ac:dyDescent="0.25">
      <c r="A3002" s="200">
        <v>210112</v>
      </c>
      <c r="B3002" s="295" t="s">
        <v>15281</v>
      </c>
      <c r="C3002" s="296"/>
      <c r="D3002" s="247" t="s">
        <v>11</v>
      </c>
      <c r="E3002" s="249">
        <f t="shared" si="718"/>
        <v>14.134662352499999</v>
      </c>
      <c r="F3002" s="258">
        <v>0.95</v>
      </c>
      <c r="G3002" s="258">
        <f t="shared" si="719"/>
        <v>0.95</v>
      </c>
      <c r="H3002" s="249">
        <f t="shared" si="720"/>
        <v>0</v>
      </c>
      <c r="I3002" s="314"/>
      <c r="J3002" s="258">
        <f t="shared" si="721"/>
        <v>0</v>
      </c>
      <c r="K3002" s="249">
        <f t="shared" si="722"/>
        <v>0</v>
      </c>
      <c r="L3002" s="314"/>
      <c r="M3002" s="258">
        <f t="shared" si="723"/>
        <v>0</v>
      </c>
      <c r="N3002" s="251">
        <f t="shared" si="724"/>
        <v>0.74392959750000009</v>
      </c>
      <c r="O3002" s="258">
        <v>0.05</v>
      </c>
      <c r="P3002" s="258">
        <f t="shared" si="725"/>
        <v>0.05</v>
      </c>
      <c r="Q3002" s="249">
        <v>14.545500000000001</v>
      </c>
      <c r="R3002" s="249">
        <f t="shared" si="728"/>
        <v>14.878591950000001</v>
      </c>
      <c r="S3002" s="258">
        <v>0.1</v>
      </c>
      <c r="T3002" s="169">
        <f t="shared" si="729"/>
        <v>16.000050000000002</v>
      </c>
      <c r="U3002" s="315">
        <f t="shared" si="714"/>
        <v>16.366451144999999</v>
      </c>
      <c r="V3002" s="315">
        <f t="shared" si="715"/>
        <v>17</v>
      </c>
      <c r="W3002" s="316">
        <f t="shared" si="716"/>
        <v>0</v>
      </c>
    </row>
    <row r="3003" spans="1:23" x14ac:dyDescent="0.25">
      <c r="A3003" s="200">
        <v>210113</v>
      </c>
      <c r="B3003" s="295" t="s">
        <v>15282</v>
      </c>
      <c r="C3003" s="293"/>
      <c r="D3003" s="247" t="s">
        <v>11</v>
      </c>
      <c r="E3003" s="249">
        <f t="shared" si="718"/>
        <v>28.95</v>
      </c>
      <c r="F3003" s="258">
        <f>28.95/46.6</f>
        <v>0.621244635193133</v>
      </c>
      <c r="G3003" s="258">
        <f t="shared" si="719"/>
        <v>0.621244635193133</v>
      </c>
      <c r="H3003" s="249">
        <f t="shared" si="720"/>
        <v>0</v>
      </c>
      <c r="I3003" s="314"/>
      <c r="J3003" s="258">
        <f t="shared" si="721"/>
        <v>0</v>
      </c>
      <c r="K3003" s="249">
        <f t="shared" si="722"/>
        <v>11.75</v>
      </c>
      <c r="L3003" s="314">
        <f>11.75/46.6</f>
        <v>0.2521459227467811</v>
      </c>
      <c r="M3003" s="258">
        <f t="shared" si="723"/>
        <v>0.2521459227467811</v>
      </c>
      <c r="N3003" s="251">
        <f t="shared" si="724"/>
        <v>5.9</v>
      </c>
      <c r="O3003" s="258">
        <f>5.9/46.6</f>
        <v>0.12660944206008584</v>
      </c>
      <c r="P3003" s="258">
        <f t="shared" si="725"/>
        <v>0.12660944206008584</v>
      </c>
      <c r="Q3003" s="249">
        <v>0</v>
      </c>
      <c r="R3003" s="249">
        <v>46.6</v>
      </c>
      <c r="S3003" s="258">
        <v>0.1</v>
      </c>
      <c r="T3003" s="169">
        <f t="shared" si="729"/>
        <v>0</v>
      </c>
      <c r="U3003" s="315">
        <f>(R3003*S3003)+R3003-0.26</f>
        <v>51.000000000000007</v>
      </c>
      <c r="V3003" s="315">
        <f t="shared" si="715"/>
        <v>51</v>
      </c>
      <c r="W3003" s="316">
        <f t="shared" si="716"/>
        <v>0</v>
      </c>
    </row>
    <row r="3004" spans="1:23" x14ac:dyDescent="0.25">
      <c r="A3004" s="200">
        <v>210114</v>
      </c>
      <c r="B3004" s="292" t="s">
        <v>15283</v>
      </c>
      <c r="C3004" s="297"/>
      <c r="D3004" s="247" t="s">
        <v>11</v>
      </c>
      <c r="E3004" s="249">
        <f t="shared" si="718"/>
        <v>29.999999999999996</v>
      </c>
      <c r="F3004" s="258">
        <f>30/48.35</f>
        <v>0.62047569803516023</v>
      </c>
      <c r="G3004" s="258">
        <f t="shared" si="719"/>
        <v>0.62047569803516023</v>
      </c>
      <c r="H3004" s="249">
        <f t="shared" si="720"/>
        <v>0</v>
      </c>
      <c r="I3004" s="314"/>
      <c r="J3004" s="258">
        <f t="shared" si="721"/>
        <v>0</v>
      </c>
      <c r="K3004" s="249">
        <f t="shared" si="722"/>
        <v>12.449999999999998</v>
      </c>
      <c r="L3004" s="314">
        <f>12.45/48.35</f>
        <v>0.25749741468459147</v>
      </c>
      <c r="M3004" s="258">
        <f t="shared" si="723"/>
        <v>0.25749741468459147</v>
      </c>
      <c r="N3004" s="251">
        <f t="shared" si="724"/>
        <v>5.9</v>
      </c>
      <c r="O3004" s="258">
        <f>5.9/48.35</f>
        <v>0.1220268872802482</v>
      </c>
      <c r="P3004" s="258">
        <f t="shared" si="725"/>
        <v>0.1220268872802482</v>
      </c>
      <c r="Q3004" s="249">
        <v>0</v>
      </c>
      <c r="R3004" s="249">
        <v>48.35</v>
      </c>
      <c r="S3004" s="258">
        <v>0.1</v>
      </c>
      <c r="T3004" s="169">
        <f t="shared" si="729"/>
        <v>0</v>
      </c>
      <c r="U3004" s="315">
        <f>(R3004*S3004)+R3004-0.2</f>
        <v>52.984999999999999</v>
      </c>
      <c r="V3004" s="315">
        <f t="shared" si="715"/>
        <v>53</v>
      </c>
      <c r="W3004" s="316">
        <f t="shared" si="716"/>
        <v>0</v>
      </c>
    </row>
    <row r="3005" spans="1:23" x14ac:dyDescent="0.25">
      <c r="A3005" s="200">
        <v>210116</v>
      </c>
      <c r="B3005" s="292" t="s">
        <v>15284</v>
      </c>
      <c r="C3005" s="297"/>
      <c r="D3005" s="247" t="s">
        <v>11</v>
      </c>
      <c r="E3005" s="249">
        <f t="shared" si="718"/>
        <v>32.5</v>
      </c>
      <c r="F3005" s="258">
        <f>32.5/52.4</f>
        <v>0.62022900763358779</v>
      </c>
      <c r="G3005" s="258">
        <f t="shared" si="719"/>
        <v>0.62022900763358779</v>
      </c>
      <c r="H3005" s="249">
        <f t="shared" si="720"/>
        <v>0</v>
      </c>
      <c r="I3005" s="314"/>
      <c r="J3005" s="258">
        <f t="shared" si="721"/>
        <v>0</v>
      </c>
      <c r="K3005" s="249">
        <f t="shared" si="722"/>
        <v>14</v>
      </c>
      <c r="L3005" s="314">
        <f>14/52.4</f>
        <v>0.26717557251908397</v>
      </c>
      <c r="M3005" s="258">
        <f t="shared" si="723"/>
        <v>0.26717557251908397</v>
      </c>
      <c r="N3005" s="251">
        <f t="shared" si="724"/>
        <v>5.9</v>
      </c>
      <c r="O3005" s="258">
        <f>5.9/52.4</f>
        <v>0.11259541984732825</v>
      </c>
      <c r="P3005" s="258">
        <f t="shared" si="725"/>
        <v>0.11259541984732825</v>
      </c>
      <c r="Q3005" s="249">
        <v>0</v>
      </c>
      <c r="R3005" s="249">
        <v>52.4</v>
      </c>
      <c r="S3005" s="258">
        <v>0.1</v>
      </c>
      <c r="T3005" s="169">
        <f t="shared" si="729"/>
        <v>0</v>
      </c>
      <c r="U3005" s="315">
        <f t="shared" si="714"/>
        <v>57.64</v>
      </c>
      <c r="V3005" s="315">
        <f t="shared" si="715"/>
        <v>58</v>
      </c>
      <c r="W3005" s="316">
        <f t="shared" si="716"/>
        <v>0</v>
      </c>
    </row>
    <row r="3006" spans="1:23" x14ac:dyDescent="0.25">
      <c r="A3006" s="200">
        <v>210118</v>
      </c>
      <c r="B3006" s="292" t="s">
        <v>15285</v>
      </c>
      <c r="C3006" s="297"/>
      <c r="D3006" s="247" t="s">
        <v>2</v>
      </c>
      <c r="E3006" s="249">
        <f t="shared" si="718"/>
        <v>34</v>
      </c>
      <c r="F3006" s="258">
        <f>34/55.2</f>
        <v>0.61594202898550721</v>
      </c>
      <c r="G3006" s="258">
        <f t="shared" si="719"/>
        <v>0.61594202898550721</v>
      </c>
      <c r="H3006" s="249">
        <f t="shared" si="720"/>
        <v>0</v>
      </c>
      <c r="I3006" s="314"/>
      <c r="J3006" s="258">
        <f t="shared" si="721"/>
        <v>0</v>
      </c>
      <c r="K3006" s="249">
        <f t="shared" si="722"/>
        <v>15.3</v>
      </c>
      <c r="L3006" s="314">
        <f>15.3/55.2</f>
        <v>0.27717391304347827</v>
      </c>
      <c r="M3006" s="258">
        <f t="shared" si="723"/>
        <v>0.27717391304347827</v>
      </c>
      <c r="N3006" s="251">
        <f t="shared" si="724"/>
        <v>5.9</v>
      </c>
      <c r="O3006" s="258">
        <f>5.9/55.2</f>
        <v>0.1068840579710145</v>
      </c>
      <c r="P3006" s="258">
        <f t="shared" si="725"/>
        <v>0.1068840579710145</v>
      </c>
      <c r="Q3006" s="249">
        <v>0</v>
      </c>
      <c r="R3006" s="249">
        <v>55.2</v>
      </c>
      <c r="S3006" s="258">
        <v>0.1</v>
      </c>
      <c r="T3006" s="169">
        <f t="shared" si="729"/>
        <v>0</v>
      </c>
      <c r="U3006" s="315">
        <f t="shared" si="714"/>
        <v>60.720000000000006</v>
      </c>
      <c r="V3006" s="315">
        <f t="shared" si="715"/>
        <v>61</v>
      </c>
      <c r="W3006" s="316">
        <f t="shared" si="716"/>
        <v>0</v>
      </c>
    </row>
    <row r="3007" spans="1:23" x14ac:dyDescent="0.25">
      <c r="A3007" s="200">
        <v>210119</v>
      </c>
      <c r="B3007" s="292" t="s">
        <v>15286</v>
      </c>
      <c r="C3007" s="297"/>
      <c r="D3007" s="247" t="s">
        <v>2</v>
      </c>
      <c r="E3007" s="249">
        <f t="shared" si="718"/>
        <v>36</v>
      </c>
      <c r="F3007" s="258">
        <f>36/58.15</f>
        <v>0.61908856405846946</v>
      </c>
      <c r="G3007" s="258">
        <f t="shared" si="719"/>
        <v>0.61908856405846946</v>
      </c>
      <c r="H3007" s="249">
        <f t="shared" si="720"/>
        <v>0</v>
      </c>
      <c r="I3007" s="314"/>
      <c r="J3007" s="258">
        <f t="shared" si="721"/>
        <v>0</v>
      </c>
      <c r="K3007" s="249">
        <f t="shared" si="722"/>
        <v>16.25</v>
      </c>
      <c r="L3007" s="314">
        <f>16.25/58.15</f>
        <v>0.27944969905417028</v>
      </c>
      <c r="M3007" s="258">
        <f t="shared" si="723"/>
        <v>0.27944969905417028</v>
      </c>
      <c r="N3007" s="251">
        <f t="shared" si="724"/>
        <v>5.9</v>
      </c>
      <c r="O3007" s="258">
        <f>5.9/58.15</f>
        <v>0.10146173688736028</v>
      </c>
      <c r="P3007" s="258">
        <f t="shared" si="725"/>
        <v>0.10146173688736028</v>
      </c>
      <c r="Q3007" s="249">
        <v>0</v>
      </c>
      <c r="R3007" s="249">
        <v>58.15</v>
      </c>
      <c r="S3007" s="258">
        <v>0.1</v>
      </c>
      <c r="T3007" s="169">
        <f t="shared" si="729"/>
        <v>0</v>
      </c>
      <c r="U3007" s="315">
        <f t="shared" si="714"/>
        <v>63.964999999999996</v>
      </c>
      <c r="V3007" s="315">
        <f t="shared" si="715"/>
        <v>64</v>
      </c>
      <c r="W3007" s="316">
        <f t="shared" si="716"/>
        <v>0</v>
      </c>
    </row>
    <row r="3008" spans="1:23" ht="14.4" thickBot="1" x14ac:dyDescent="0.3">
      <c r="A3008" s="263">
        <v>210223</v>
      </c>
      <c r="B3008" s="298" t="s">
        <v>22591</v>
      </c>
      <c r="C3008" s="413"/>
      <c r="D3008" s="264" t="s">
        <v>2</v>
      </c>
      <c r="E3008" s="266">
        <f t="shared" si="718"/>
        <v>8.5446084662399997</v>
      </c>
      <c r="F3008" s="322">
        <v>0.32</v>
      </c>
      <c r="G3008" s="322">
        <f t="shared" si="719"/>
        <v>0.32</v>
      </c>
      <c r="H3008" s="266">
        <f t="shared" si="720"/>
        <v>15.220083830489997</v>
      </c>
      <c r="I3008" s="322">
        <v>0.56999999999999995</v>
      </c>
      <c r="J3008" s="322">
        <f t="shared" si="721"/>
        <v>0.56999999999999995</v>
      </c>
      <c r="K3008" s="266">
        <f t="shared" si="722"/>
        <v>2.2696616238449998</v>
      </c>
      <c r="L3008" s="322">
        <v>8.5000000000000006E-2</v>
      </c>
      <c r="M3008" s="322">
        <f t="shared" si="723"/>
        <v>8.5000000000000006E-2</v>
      </c>
      <c r="N3008" s="270">
        <f t="shared" si="724"/>
        <v>0.66754753642499998</v>
      </c>
      <c r="O3008" s="322">
        <v>2.5000000000000001E-2</v>
      </c>
      <c r="P3008" s="322">
        <f t="shared" si="725"/>
        <v>2.5000000000000001E-2</v>
      </c>
      <c r="Q3008" s="266">
        <v>26.181799999999999</v>
      </c>
      <c r="R3008" s="266">
        <f>SUM(F3008*Q3008*1.0235,I3008*Q3008*1.0175,L3008*Q3008*1.0245,O3008*Q3008*1.0115)</f>
        <v>26.701901456999998</v>
      </c>
      <c r="S3008" s="322">
        <v>0.1</v>
      </c>
      <c r="T3008" s="291">
        <f t="shared" si="729"/>
        <v>28.799979999999998</v>
      </c>
      <c r="U3008" s="324">
        <f t="shared" si="714"/>
        <v>29.372091602699999</v>
      </c>
      <c r="V3008" s="324">
        <f t="shared" si="715"/>
        <v>30</v>
      </c>
      <c r="W3008" s="325">
        <f t="shared" si="716"/>
        <v>0</v>
      </c>
    </row>
    <row r="3009" spans="1:23" x14ac:dyDescent="0.25">
      <c r="A3009" s="200">
        <v>210224</v>
      </c>
      <c r="B3009" s="292" t="s">
        <v>22592</v>
      </c>
      <c r="C3009" s="297"/>
      <c r="D3009" s="247" t="s">
        <v>2</v>
      </c>
      <c r="E3009" s="249">
        <f t="shared" si="718"/>
        <v>8.3962793006399998</v>
      </c>
      <c r="F3009" s="258">
        <v>0.32</v>
      </c>
      <c r="G3009" s="258">
        <f t="shared" si="719"/>
        <v>0.32</v>
      </c>
      <c r="H3009" s="249">
        <f t="shared" si="720"/>
        <v>14.955872504264997</v>
      </c>
      <c r="I3009" s="258">
        <v>0.56999999999999995</v>
      </c>
      <c r="J3009" s="258">
        <f t="shared" si="721"/>
        <v>0.56999999999999995</v>
      </c>
      <c r="K3009" s="249">
        <f t="shared" si="722"/>
        <v>2.2302616892325</v>
      </c>
      <c r="L3009" s="258">
        <v>8.5000000000000006E-2</v>
      </c>
      <c r="M3009" s="258">
        <f t="shared" si="723"/>
        <v>8.5000000000000006E-2</v>
      </c>
      <c r="N3009" s="251">
        <f t="shared" si="724"/>
        <v>0.65595932036249993</v>
      </c>
      <c r="O3009" s="258">
        <v>2.5000000000000001E-2</v>
      </c>
      <c r="P3009" s="258">
        <f t="shared" si="725"/>
        <v>2.5000000000000001E-2</v>
      </c>
      <c r="Q3009" s="249">
        <v>25.7273</v>
      </c>
      <c r="R3009" s="249">
        <f t="shared" ref="R3009:R3072" si="730">SUM(F3009*Q3009*1.0235,I3009*Q3009*1.0175,L3009*Q3009*1.0245,O3009*Q3009*1.0115)</f>
        <v>26.238372814499996</v>
      </c>
      <c r="S3009" s="258">
        <v>0.1</v>
      </c>
      <c r="T3009" s="169">
        <f t="shared" si="729"/>
        <v>28.30003</v>
      </c>
      <c r="U3009" s="315">
        <f t="shared" si="714"/>
        <v>28.862210095949997</v>
      </c>
      <c r="V3009" s="315">
        <f t="shared" si="715"/>
        <v>29</v>
      </c>
      <c r="W3009" s="316">
        <f t="shared" si="716"/>
        <v>0</v>
      </c>
    </row>
    <row r="3010" spans="1:23" x14ac:dyDescent="0.25">
      <c r="A3010" s="200">
        <v>210225</v>
      </c>
      <c r="B3010" s="292" t="s">
        <v>22593</v>
      </c>
      <c r="C3010" s="297"/>
      <c r="D3010" s="247" t="s">
        <v>2</v>
      </c>
      <c r="E3010" s="249">
        <f t="shared" ref="E3010:E3073" si="731">R3010*G3010</f>
        <v>9.6423748344000018</v>
      </c>
      <c r="F3010" s="258">
        <v>0.32</v>
      </c>
      <c r="G3010" s="258">
        <f t="shared" ref="G3010:G3073" si="732">F3010</f>
        <v>0.32</v>
      </c>
      <c r="H3010" s="249">
        <f t="shared" ref="H3010:H3073" si="733">R3010*J3010</f>
        <v>17.175480173775</v>
      </c>
      <c r="I3010" s="258">
        <v>0.56999999999999995</v>
      </c>
      <c r="J3010" s="258">
        <f t="shared" ref="J3010:J3073" si="734">I3010</f>
        <v>0.56999999999999995</v>
      </c>
      <c r="K3010" s="249">
        <f t="shared" ref="K3010:K3073" si="735">R3010*M3010</f>
        <v>2.5612558153875007</v>
      </c>
      <c r="L3010" s="258">
        <v>8.5000000000000006E-2</v>
      </c>
      <c r="M3010" s="258">
        <f t="shared" ref="M3010:M3073" si="736">L3010</f>
        <v>8.5000000000000006E-2</v>
      </c>
      <c r="N3010" s="251">
        <f t="shared" ref="N3010:N3073" si="737">P3010*R3010</f>
        <v>0.75331053393750014</v>
      </c>
      <c r="O3010" s="258">
        <v>2.5000000000000001E-2</v>
      </c>
      <c r="P3010" s="258">
        <f t="shared" ref="P3010:P3073" si="738">O3010</f>
        <v>2.5000000000000001E-2</v>
      </c>
      <c r="Q3010" s="249">
        <v>29.545500000000001</v>
      </c>
      <c r="R3010" s="249">
        <f t="shared" si="730"/>
        <v>30.132421357500004</v>
      </c>
      <c r="S3010" s="258">
        <v>0.1</v>
      </c>
      <c r="T3010" s="169">
        <f t="shared" si="729"/>
        <v>32.500050000000002</v>
      </c>
      <c r="U3010" s="315">
        <f t="shared" si="714"/>
        <v>33.145663493250005</v>
      </c>
      <c r="V3010" s="315">
        <f t="shared" si="715"/>
        <v>34</v>
      </c>
      <c r="W3010" s="316">
        <f t="shared" si="716"/>
        <v>0</v>
      </c>
    </row>
    <row r="3011" spans="1:23" x14ac:dyDescent="0.25">
      <c r="A3011" s="200">
        <v>210226</v>
      </c>
      <c r="B3011" s="292" t="s">
        <v>22594</v>
      </c>
      <c r="C3011" s="297"/>
      <c r="D3011" s="247" t="s">
        <v>2</v>
      </c>
      <c r="E3011" s="249">
        <f t="shared" si="731"/>
        <v>9.34568386752</v>
      </c>
      <c r="F3011" s="258">
        <v>0.32</v>
      </c>
      <c r="G3011" s="258">
        <f t="shared" si="732"/>
        <v>0.32</v>
      </c>
      <c r="H3011" s="249">
        <f t="shared" si="733"/>
        <v>16.646999389019996</v>
      </c>
      <c r="I3011" s="258">
        <v>0.56999999999999995</v>
      </c>
      <c r="J3011" s="258">
        <f t="shared" si="734"/>
        <v>0.56999999999999995</v>
      </c>
      <c r="K3011" s="249">
        <f t="shared" si="735"/>
        <v>2.4824472773099999</v>
      </c>
      <c r="L3011" s="258">
        <v>8.5000000000000006E-2</v>
      </c>
      <c r="M3011" s="258">
        <f t="shared" si="736"/>
        <v>8.5000000000000006E-2</v>
      </c>
      <c r="N3011" s="251">
        <f t="shared" si="737"/>
        <v>0.73013155215000003</v>
      </c>
      <c r="O3011" s="258">
        <v>2.5000000000000001E-2</v>
      </c>
      <c r="P3011" s="258">
        <f t="shared" si="738"/>
        <v>2.5000000000000001E-2</v>
      </c>
      <c r="Q3011" s="249">
        <v>28.636399999999998</v>
      </c>
      <c r="R3011" s="249">
        <f t="shared" si="730"/>
        <v>29.205262085999998</v>
      </c>
      <c r="S3011" s="258">
        <v>0.1</v>
      </c>
      <c r="T3011" s="169">
        <f t="shared" si="729"/>
        <v>31.500039999999998</v>
      </c>
      <c r="U3011" s="315">
        <f t="shared" si="714"/>
        <v>32.1257882946</v>
      </c>
      <c r="V3011" s="315">
        <f t="shared" si="715"/>
        <v>33</v>
      </c>
      <c r="W3011" s="316">
        <f t="shared" si="716"/>
        <v>0</v>
      </c>
    </row>
    <row r="3012" spans="1:23" x14ac:dyDescent="0.25">
      <c r="A3012" s="200">
        <v>210227</v>
      </c>
      <c r="B3012" s="292" t="s">
        <v>22595</v>
      </c>
      <c r="C3012" s="297"/>
      <c r="D3012" s="247" t="s">
        <v>2</v>
      </c>
      <c r="E3012" s="249">
        <f t="shared" si="731"/>
        <v>10.532415099360001</v>
      </c>
      <c r="F3012" s="258">
        <v>0.32</v>
      </c>
      <c r="G3012" s="258">
        <f t="shared" si="732"/>
        <v>0.32</v>
      </c>
      <c r="H3012" s="249">
        <f t="shared" si="733"/>
        <v>18.760864395734998</v>
      </c>
      <c r="I3012" s="258">
        <v>0.56999999999999995</v>
      </c>
      <c r="J3012" s="258">
        <f t="shared" si="734"/>
        <v>0.56999999999999995</v>
      </c>
      <c r="K3012" s="249">
        <f t="shared" si="735"/>
        <v>2.7976727607675005</v>
      </c>
      <c r="L3012" s="258">
        <v>8.5000000000000006E-2</v>
      </c>
      <c r="M3012" s="258">
        <f t="shared" si="736"/>
        <v>8.5000000000000006E-2</v>
      </c>
      <c r="N3012" s="251">
        <f t="shared" si="737"/>
        <v>0.82284492963750011</v>
      </c>
      <c r="O3012" s="258">
        <v>2.5000000000000001E-2</v>
      </c>
      <c r="P3012" s="258">
        <f t="shared" si="738"/>
        <v>2.5000000000000001E-2</v>
      </c>
      <c r="Q3012" s="249">
        <v>32.2727</v>
      </c>
      <c r="R3012" s="249">
        <f t="shared" si="730"/>
        <v>32.913797185500002</v>
      </c>
      <c r="S3012" s="258">
        <v>0.1</v>
      </c>
      <c r="T3012" s="169">
        <f t="shared" si="729"/>
        <v>35.499969999999998</v>
      </c>
      <c r="U3012" s="315">
        <f t="shared" si="714"/>
        <v>36.205176904049999</v>
      </c>
      <c r="V3012" s="315">
        <f t="shared" si="715"/>
        <v>37</v>
      </c>
      <c r="W3012" s="316">
        <f t="shared" si="716"/>
        <v>0</v>
      </c>
    </row>
    <row r="3013" spans="1:23" x14ac:dyDescent="0.25">
      <c r="A3013" s="200">
        <v>210228</v>
      </c>
      <c r="B3013" s="292" t="s">
        <v>22596</v>
      </c>
      <c r="C3013" s="297"/>
      <c r="D3013" s="247" t="s">
        <v>2</v>
      </c>
      <c r="E3013" s="249">
        <f t="shared" si="731"/>
        <v>10.309905033120002</v>
      </c>
      <c r="F3013" s="258">
        <v>0.32</v>
      </c>
      <c r="G3013" s="258">
        <f t="shared" si="732"/>
        <v>0.32</v>
      </c>
      <c r="H3013" s="249">
        <f t="shared" si="733"/>
        <v>18.364518340244999</v>
      </c>
      <c r="I3013" s="258">
        <v>0.56999999999999995</v>
      </c>
      <c r="J3013" s="258">
        <f t="shared" si="734"/>
        <v>0.56999999999999995</v>
      </c>
      <c r="K3013" s="249">
        <f t="shared" si="735"/>
        <v>2.7385685244225004</v>
      </c>
      <c r="L3013" s="258">
        <v>8.5000000000000006E-2</v>
      </c>
      <c r="M3013" s="258">
        <f t="shared" si="736"/>
        <v>8.5000000000000006E-2</v>
      </c>
      <c r="N3013" s="251">
        <f t="shared" si="737"/>
        <v>0.80546133071250015</v>
      </c>
      <c r="O3013" s="258">
        <v>2.5000000000000001E-2</v>
      </c>
      <c r="P3013" s="258">
        <f t="shared" si="738"/>
        <v>2.5000000000000001E-2</v>
      </c>
      <c r="Q3013" s="249">
        <v>31.590900000000001</v>
      </c>
      <c r="R3013" s="249">
        <f t="shared" si="730"/>
        <v>32.218453228500003</v>
      </c>
      <c r="S3013" s="258">
        <v>0.1</v>
      </c>
      <c r="T3013" s="169">
        <f t="shared" si="729"/>
        <v>34.749990000000004</v>
      </c>
      <c r="U3013" s="315">
        <f t="shared" ref="U3013:U3076" si="739">(R3013*S3013)+R3013</f>
        <v>35.440298551350004</v>
      </c>
      <c r="V3013" s="315">
        <f t="shared" ref="V3013:V3076" si="740">IF(U3013=0, 0, IF(U3013&lt;10, _xlfn.CEILING.MATH(U3013,1), IF(U3013&lt;100, _xlfn.CEILING.MATH(U3013,1),IF(U3013&lt;1000, _xlfn.CEILING.MATH(U3013,5), IF(U3013&lt;10000, _xlfn.CEILING.MATH(U3013, 25), IF(U3013&lt;100000, _xlfn.CEILING.MATH(U3013,250), IF(U3013&lt;1000000, _xlfn.CEILING.MATH(U3013,500), 0)))))))</f>
        <v>36</v>
      </c>
      <c r="W3013" s="316">
        <f t="shared" ref="W3013:W3076" si="741">C3013*V3013</f>
        <v>0</v>
      </c>
    </row>
    <row r="3014" spans="1:23" x14ac:dyDescent="0.25">
      <c r="A3014" s="200">
        <v>210229</v>
      </c>
      <c r="B3014" s="292" t="s">
        <v>22597</v>
      </c>
      <c r="C3014" s="297"/>
      <c r="D3014" s="247" t="s">
        <v>2</v>
      </c>
      <c r="E3014" s="249">
        <f t="shared" si="731"/>
        <v>11.229643766879999</v>
      </c>
      <c r="F3014" s="258">
        <v>0.32</v>
      </c>
      <c r="G3014" s="258">
        <f t="shared" si="732"/>
        <v>0.32</v>
      </c>
      <c r="H3014" s="249">
        <f t="shared" si="733"/>
        <v>20.002802959754998</v>
      </c>
      <c r="I3014" s="258">
        <v>0.56999999999999995</v>
      </c>
      <c r="J3014" s="258">
        <f t="shared" si="734"/>
        <v>0.56999999999999995</v>
      </c>
      <c r="K3014" s="249">
        <f t="shared" si="735"/>
        <v>2.9828741255774998</v>
      </c>
      <c r="L3014" s="258">
        <v>8.5000000000000006E-2</v>
      </c>
      <c r="M3014" s="258">
        <f t="shared" si="736"/>
        <v>8.5000000000000006E-2</v>
      </c>
      <c r="N3014" s="251">
        <f t="shared" si="737"/>
        <v>0.87731591928749997</v>
      </c>
      <c r="O3014" s="258">
        <v>2.5000000000000001E-2</v>
      </c>
      <c r="P3014" s="258">
        <f t="shared" si="738"/>
        <v>2.5000000000000001E-2</v>
      </c>
      <c r="Q3014" s="249">
        <v>34.409100000000002</v>
      </c>
      <c r="R3014" s="249">
        <f t="shared" si="730"/>
        <v>35.092636771499997</v>
      </c>
      <c r="S3014" s="258">
        <v>0.1</v>
      </c>
      <c r="T3014" s="169">
        <f t="shared" si="729"/>
        <v>37.850010000000005</v>
      </c>
      <c r="U3014" s="315">
        <f t="shared" si="739"/>
        <v>38.601900448649999</v>
      </c>
      <c r="V3014" s="315">
        <f t="shared" si="740"/>
        <v>39</v>
      </c>
      <c r="W3014" s="316">
        <f t="shared" si="741"/>
        <v>0</v>
      </c>
    </row>
    <row r="3015" spans="1:23" x14ac:dyDescent="0.25">
      <c r="A3015" s="200">
        <v>210230</v>
      </c>
      <c r="B3015" s="292" t="s">
        <v>22598</v>
      </c>
      <c r="C3015" s="297"/>
      <c r="D3015" s="247" t="s">
        <v>2</v>
      </c>
      <c r="E3015" s="249">
        <f t="shared" si="731"/>
        <v>16.355295270750002</v>
      </c>
      <c r="F3015" s="258">
        <v>0.47499999999999998</v>
      </c>
      <c r="G3015" s="258">
        <f t="shared" si="732"/>
        <v>0.47499999999999998</v>
      </c>
      <c r="H3015" s="249">
        <f t="shared" si="733"/>
        <v>13.772880228000004</v>
      </c>
      <c r="I3015" s="258">
        <v>0.4</v>
      </c>
      <c r="J3015" s="258">
        <f t="shared" si="734"/>
        <v>0.4</v>
      </c>
      <c r="K3015" s="249">
        <f t="shared" si="735"/>
        <v>3.4432200570000009</v>
      </c>
      <c r="L3015" s="258">
        <v>0.1</v>
      </c>
      <c r="M3015" s="258">
        <f t="shared" si="736"/>
        <v>0.1</v>
      </c>
      <c r="N3015" s="251">
        <f t="shared" si="737"/>
        <v>0.86080501425000022</v>
      </c>
      <c r="O3015" s="258">
        <v>2.5000000000000001E-2</v>
      </c>
      <c r="P3015" s="258">
        <f t="shared" si="738"/>
        <v>2.5000000000000001E-2</v>
      </c>
      <c r="Q3015" s="249">
        <v>33.7273</v>
      </c>
      <c r="R3015" s="249">
        <f t="shared" si="730"/>
        <v>34.432200570000006</v>
      </c>
      <c r="S3015" s="258">
        <v>0.1</v>
      </c>
      <c r="T3015" s="169">
        <f t="shared" si="729"/>
        <v>37.100029999999997</v>
      </c>
      <c r="U3015" s="315">
        <f t="shared" si="739"/>
        <v>37.875420627000004</v>
      </c>
      <c r="V3015" s="315">
        <f t="shared" si="740"/>
        <v>38</v>
      </c>
      <c r="W3015" s="316">
        <f t="shared" si="741"/>
        <v>0</v>
      </c>
    </row>
    <row r="3016" spans="1:23" x14ac:dyDescent="0.25">
      <c r="A3016" s="200">
        <v>210242</v>
      </c>
      <c r="B3016" s="292" t="s">
        <v>15287</v>
      </c>
      <c r="C3016" s="293"/>
      <c r="D3016" s="165" t="s">
        <v>11</v>
      </c>
      <c r="E3016" s="249">
        <f t="shared" si="731"/>
        <v>35.591901604800007</v>
      </c>
      <c r="F3016" s="258">
        <v>0.3</v>
      </c>
      <c r="G3016" s="258">
        <f t="shared" si="732"/>
        <v>0.3</v>
      </c>
      <c r="H3016" s="249">
        <f t="shared" si="733"/>
        <v>75.33619173016001</v>
      </c>
      <c r="I3016" s="258">
        <v>0.63500000000000001</v>
      </c>
      <c r="J3016" s="258">
        <f t="shared" si="734"/>
        <v>0.63500000000000001</v>
      </c>
      <c r="K3016" s="249">
        <f t="shared" si="735"/>
        <v>5.9319836008000015</v>
      </c>
      <c r="L3016" s="258">
        <v>0.05</v>
      </c>
      <c r="M3016" s="258">
        <f t="shared" si="736"/>
        <v>0.05</v>
      </c>
      <c r="N3016" s="251">
        <f t="shared" si="737"/>
        <v>1.7795950802400002</v>
      </c>
      <c r="O3016" s="258">
        <v>1.4999999999999999E-2</v>
      </c>
      <c r="P3016" s="258">
        <f t="shared" si="738"/>
        <v>1.4999999999999999E-2</v>
      </c>
      <c r="Q3016" s="249">
        <v>116.36360000000001</v>
      </c>
      <c r="R3016" s="249">
        <f t="shared" si="730"/>
        <v>118.63967201600002</v>
      </c>
      <c r="S3016" s="258">
        <v>0.1</v>
      </c>
      <c r="T3016" s="169">
        <f t="shared" si="729"/>
        <v>127.99996</v>
      </c>
      <c r="U3016" s="315">
        <f t="shared" si="739"/>
        <v>130.50363921760001</v>
      </c>
      <c r="V3016" s="315">
        <f t="shared" si="740"/>
        <v>135</v>
      </c>
      <c r="W3016" s="316">
        <f t="shared" si="741"/>
        <v>0</v>
      </c>
    </row>
    <row r="3017" spans="1:23" x14ac:dyDescent="0.25">
      <c r="A3017" s="200">
        <f>A3016+1</f>
        <v>210243</v>
      </c>
      <c r="B3017" s="292" t="s">
        <v>15288</v>
      </c>
      <c r="C3017" s="293"/>
      <c r="D3017" s="165" t="s">
        <v>11</v>
      </c>
      <c r="E3017" s="249">
        <f t="shared" si="731"/>
        <v>36.426095401199994</v>
      </c>
      <c r="F3017" s="258">
        <v>0.3</v>
      </c>
      <c r="G3017" s="258">
        <f t="shared" si="732"/>
        <v>0.3</v>
      </c>
      <c r="H3017" s="249">
        <f t="shared" si="733"/>
        <v>77.101901932539988</v>
      </c>
      <c r="I3017" s="258">
        <v>0.63500000000000001</v>
      </c>
      <c r="J3017" s="258">
        <f t="shared" si="734"/>
        <v>0.63500000000000001</v>
      </c>
      <c r="K3017" s="249">
        <f t="shared" si="735"/>
        <v>6.071015900199999</v>
      </c>
      <c r="L3017" s="258">
        <v>0.05</v>
      </c>
      <c r="M3017" s="258">
        <f t="shared" si="736"/>
        <v>0.05</v>
      </c>
      <c r="N3017" s="251">
        <f t="shared" si="737"/>
        <v>1.8213047700599996</v>
      </c>
      <c r="O3017" s="258">
        <v>1.4999999999999999E-2</v>
      </c>
      <c r="P3017" s="258">
        <f t="shared" si="738"/>
        <v>1.4999999999999999E-2</v>
      </c>
      <c r="Q3017" s="249">
        <v>119.0909</v>
      </c>
      <c r="R3017" s="249">
        <f t="shared" si="730"/>
        <v>121.42031800399998</v>
      </c>
      <c r="S3017" s="258">
        <v>0.1</v>
      </c>
      <c r="T3017" s="169">
        <f t="shared" si="729"/>
        <v>130.99999</v>
      </c>
      <c r="U3017" s="315">
        <f t="shared" si="739"/>
        <v>133.56234980439999</v>
      </c>
      <c r="V3017" s="315">
        <f t="shared" si="740"/>
        <v>135</v>
      </c>
      <c r="W3017" s="316">
        <f t="shared" si="741"/>
        <v>0</v>
      </c>
    </row>
    <row r="3018" spans="1:23" x14ac:dyDescent="0.25">
      <c r="A3018" s="200">
        <f>A3017+1</f>
        <v>210244</v>
      </c>
      <c r="B3018" s="292" t="s">
        <v>15289</v>
      </c>
      <c r="C3018" s="293"/>
      <c r="D3018" s="165" t="s">
        <v>11</v>
      </c>
      <c r="E3018" s="249">
        <f t="shared" si="731"/>
        <v>41.709261604800005</v>
      </c>
      <c r="F3018" s="258">
        <v>0.3</v>
      </c>
      <c r="G3018" s="258">
        <f t="shared" si="732"/>
        <v>0.3</v>
      </c>
      <c r="H3018" s="249">
        <f t="shared" si="733"/>
        <v>88.284603730160015</v>
      </c>
      <c r="I3018" s="258">
        <v>0.63500000000000001</v>
      </c>
      <c r="J3018" s="258">
        <f t="shared" si="734"/>
        <v>0.63500000000000001</v>
      </c>
      <c r="K3018" s="249">
        <f t="shared" si="735"/>
        <v>6.9515436008000009</v>
      </c>
      <c r="L3018" s="258">
        <v>0.05</v>
      </c>
      <c r="M3018" s="258">
        <f t="shared" si="736"/>
        <v>0.05</v>
      </c>
      <c r="N3018" s="251">
        <f t="shared" si="737"/>
        <v>2.0854630802400003</v>
      </c>
      <c r="O3018" s="258">
        <v>1.4999999999999999E-2</v>
      </c>
      <c r="P3018" s="258">
        <f t="shared" si="738"/>
        <v>1.4999999999999999E-2</v>
      </c>
      <c r="Q3018" s="249">
        <v>136.36359999999999</v>
      </c>
      <c r="R3018" s="249">
        <f t="shared" si="730"/>
        <v>139.03087201600002</v>
      </c>
      <c r="S3018" s="258">
        <v>0.1</v>
      </c>
      <c r="T3018" s="169">
        <f t="shared" si="729"/>
        <v>149.99995999999999</v>
      </c>
      <c r="U3018" s="315">
        <f t="shared" si="739"/>
        <v>152.93395921760003</v>
      </c>
      <c r="V3018" s="315">
        <f t="shared" si="740"/>
        <v>155</v>
      </c>
      <c r="W3018" s="316">
        <f t="shared" si="741"/>
        <v>0</v>
      </c>
    </row>
    <row r="3019" spans="1:23" x14ac:dyDescent="0.25">
      <c r="A3019" s="200">
        <f>A3018+2</f>
        <v>210246</v>
      </c>
      <c r="B3019" s="292" t="s">
        <v>15290</v>
      </c>
      <c r="C3019" s="293"/>
      <c r="D3019" s="165" t="s">
        <v>11</v>
      </c>
      <c r="E3019" s="249">
        <f t="shared" si="731"/>
        <v>62.563922994000002</v>
      </c>
      <c r="F3019" s="258">
        <v>0.3</v>
      </c>
      <c r="G3019" s="258">
        <f t="shared" si="732"/>
        <v>0.3</v>
      </c>
      <c r="H3019" s="249">
        <f t="shared" si="733"/>
        <v>132.42697033730002</v>
      </c>
      <c r="I3019" s="258">
        <v>0.63500000000000001</v>
      </c>
      <c r="J3019" s="258">
        <f t="shared" si="734"/>
        <v>0.63500000000000001</v>
      </c>
      <c r="K3019" s="249">
        <f t="shared" si="735"/>
        <v>10.427320499000002</v>
      </c>
      <c r="L3019" s="258">
        <v>0.05</v>
      </c>
      <c r="M3019" s="258">
        <f t="shared" si="736"/>
        <v>0.05</v>
      </c>
      <c r="N3019" s="251">
        <f t="shared" si="737"/>
        <v>3.1281961497000004</v>
      </c>
      <c r="O3019" s="258">
        <v>1.4999999999999999E-2</v>
      </c>
      <c r="P3019" s="258">
        <f t="shared" si="738"/>
        <v>1.4999999999999999E-2</v>
      </c>
      <c r="Q3019" s="249">
        <v>204.5455</v>
      </c>
      <c r="R3019" s="249">
        <f t="shared" si="730"/>
        <v>208.54640998000002</v>
      </c>
      <c r="S3019" s="258">
        <v>0.1</v>
      </c>
      <c r="T3019" s="169">
        <f t="shared" si="729"/>
        <v>225.00005000000002</v>
      </c>
      <c r="U3019" s="315">
        <f t="shared" si="739"/>
        <v>229.40105097800003</v>
      </c>
      <c r="V3019" s="315">
        <f t="shared" si="740"/>
        <v>230</v>
      </c>
      <c r="W3019" s="316">
        <f t="shared" si="741"/>
        <v>0</v>
      </c>
    </row>
    <row r="3020" spans="1:23" x14ac:dyDescent="0.25">
      <c r="A3020" s="200">
        <f>A3019+2</f>
        <v>210248</v>
      </c>
      <c r="B3020" s="292" t="s">
        <v>15291</v>
      </c>
      <c r="C3020" s="293"/>
      <c r="D3020" s="165" t="s">
        <v>11</v>
      </c>
      <c r="E3020" s="249">
        <f t="shared" si="731"/>
        <v>57.932379411749999</v>
      </c>
      <c r="F3020" s="258">
        <v>0.25</v>
      </c>
      <c r="G3020" s="258">
        <f t="shared" si="732"/>
        <v>0.25</v>
      </c>
      <c r="H3020" s="249">
        <f t="shared" si="733"/>
        <v>147.148243705845</v>
      </c>
      <c r="I3020" s="258">
        <v>0.63500000000000001</v>
      </c>
      <c r="J3020" s="258">
        <f t="shared" si="734"/>
        <v>0.63500000000000001</v>
      </c>
      <c r="K3020" s="249">
        <f t="shared" si="735"/>
        <v>23.172951764700002</v>
      </c>
      <c r="L3020" s="258">
        <v>0.1</v>
      </c>
      <c r="M3020" s="258">
        <f t="shared" si="736"/>
        <v>0.1</v>
      </c>
      <c r="N3020" s="251">
        <f t="shared" si="737"/>
        <v>3.4759427647049996</v>
      </c>
      <c r="O3020" s="258">
        <v>1.4999999999999999E-2</v>
      </c>
      <c r="P3020" s="258">
        <f t="shared" si="738"/>
        <v>1.4999999999999999E-2</v>
      </c>
      <c r="Q3020" s="249">
        <v>227.27269999999999</v>
      </c>
      <c r="R3020" s="249">
        <f t="shared" si="730"/>
        <v>231.72951764699999</v>
      </c>
      <c r="S3020" s="258">
        <v>0.1</v>
      </c>
      <c r="T3020" s="169">
        <f t="shared" si="729"/>
        <v>249.99996999999999</v>
      </c>
      <c r="U3020" s="315">
        <f t="shared" si="739"/>
        <v>254.9024694117</v>
      </c>
      <c r="V3020" s="315">
        <f t="shared" si="740"/>
        <v>255</v>
      </c>
      <c r="W3020" s="316">
        <f t="shared" si="741"/>
        <v>0</v>
      </c>
    </row>
    <row r="3021" spans="1:23" x14ac:dyDescent="0.25">
      <c r="A3021" s="200">
        <f>A3020+2</f>
        <v>210250</v>
      </c>
      <c r="B3021" s="292" t="s">
        <v>15292</v>
      </c>
      <c r="C3021" s="293"/>
      <c r="D3021" s="165" t="s">
        <v>11</v>
      </c>
      <c r="E3021" s="249">
        <f t="shared" si="731"/>
        <v>67.201577451000006</v>
      </c>
      <c r="F3021" s="258">
        <v>0.25</v>
      </c>
      <c r="G3021" s="258">
        <f t="shared" si="732"/>
        <v>0.25</v>
      </c>
      <c r="H3021" s="249">
        <f t="shared" si="733"/>
        <v>170.69200672554001</v>
      </c>
      <c r="I3021" s="258">
        <v>0.63500000000000001</v>
      </c>
      <c r="J3021" s="258">
        <f t="shared" si="734"/>
        <v>0.63500000000000001</v>
      </c>
      <c r="K3021" s="249">
        <f t="shared" si="735"/>
        <v>26.880630980400003</v>
      </c>
      <c r="L3021" s="258">
        <v>0.1</v>
      </c>
      <c r="M3021" s="258">
        <f t="shared" si="736"/>
        <v>0.1</v>
      </c>
      <c r="N3021" s="251">
        <f t="shared" si="737"/>
        <v>4.0320946470600001</v>
      </c>
      <c r="O3021" s="258">
        <v>1.4999999999999999E-2</v>
      </c>
      <c r="P3021" s="258">
        <f t="shared" si="738"/>
        <v>1.4999999999999999E-2</v>
      </c>
      <c r="Q3021" s="249">
        <v>263.63639999999998</v>
      </c>
      <c r="R3021" s="249">
        <f t="shared" si="730"/>
        <v>268.80630980400002</v>
      </c>
      <c r="S3021" s="258">
        <v>0.1</v>
      </c>
      <c r="T3021" s="169">
        <f t="shared" si="729"/>
        <v>290.00003999999996</v>
      </c>
      <c r="U3021" s="315">
        <f t="shared" si="739"/>
        <v>295.68694078440001</v>
      </c>
      <c r="V3021" s="315">
        <f t="shared" si="740"/>
        <v>300</v>
      </c>
      <c r="W3021" s="316">
        <f t="shared" si="741"/>
        <v>0</v>
      </c>
    </row>
    <row r="3022" spans="1:23" x14ac:dyDescent="0.25">
      <c r="A3022" s="177">
        <v>210301</v>
      </c>
      <c r="B3022" s="292" t="s">
        <v>15293</v>
      </c>
      <c r="C3022" s="293"/>
      <c r="D3022" s="165" t="s">
        <v>2</v>
      </c>
      <c r="E3022" s="249">
        <f t="shared" si="731"/>
        <v>1.4653215130499999</v>
      </c>
      <c r="F3022" s="258">
        <v>0.9</v>
      </c>
      <c r="G3022" s="258">
        <f t="shared" si="732"/>
        <v>0.9</v>
      </c>
      <c r="H3022" s="249">
        <f t="shared" si="733"/>
        <v>0</v>
      </c>
      <c r="I3022" s="314"/>
      <c r="J3022" s="258">
        <f t="shared" si="734"/>
        <v>0</v>
      </c>
      <c r="K3022" s="249">
        <f t="shared" si="735"/>
        <v>0.1383914762325</v>
      </c>
      <c r="L3022" s="258">
        <v>8.5000000000000006E-2</v>
      </c>
      <c r="M3022" s="258">
        <f t="shared" si="736"/>
        <v>8.5000000000000006E-2</v>
      </c>
      <c r="N3022" s="251">
        <f t="shared" si="737"/>
        <v>2.4422025217499997E-2</v>
      </c>
      <c r="O3022" s="258">
        <v>1.4999999999999999E-2</v>
      </c>
      <c r="P3022" s="258">
        <f t="shared" si="738"/>
        <v>1.4999999999999999E-2</v>
      </c>
      <c r="Q3022" s="249">
        <v>1.5909</v>
      </c>
      <c r="R3022" s="249">
        <f t="shared" si="730"/>
        <v>1.6281350145</v>
      </c>
      <c r="S3022" s="258">
        <v>0.1</v>
      </c>
      <c r="T3022" s="169">
        <f t="shared" si="729"/>
        <v>1.7499899999999999</v>
      </c>
      <c r="U3022" s="315">
        <f t="shared" si="739"/>
        <v>1.79094851595</v>
      </c>
      <c r="V3022" s="315">
        <f t="shared" si="740"/>
        <v>2</v>
      </c>
      <c r="W3022" s="316">
        <f t="shared" si="741"/>
        <v>0</v>
      </c>
    </row>
    <row r="3023" spans="1:23" x14ac:dyDescent="0.25">
      <c r="A3023" s="177">
        <f t="shared" ref="A3023:A3028" si="742">A3022+1</f>
        <v>210302</v>
      </c>
      <c r="B3023" s="292" t="s">
        <v>15294</v>
      </c>
      <c r="C3023" s="293"/>
      <c r="D3023" s="165" t="s">
        <v>2</v>
      </c>
      <c r="E3023" s="249">
        <f t="shared" si="731"/>
        <v>1.5909547108500002</v>
      </c>
      <c r="F3023" s="258">
        <v>0.9</v>
      </c>
      <c r="G3023" s="258">
        <f t="shared" si="732"/>
        <v>0.9</v>
      </c>
      <c r="H3023" s="249">
        <f t="shared" si="733"/>
        <v>0</v>
      </c>
      <c r="I3023" s="314"/>
      <c r="J3023" s="258">
        <f t="shared" si="734"/>
        <v>0</v>
      </c>
      <c r="K3023" s="249">
        <f t="shared" si="735"/>
        <v>0.15025683380250002</v>
      </c>
      <c r="L3023" s="258">
        <v>8.5000000000000006E-2</v>
      </c>
      <c r="M3023" s="258">
        <f t="shared" si="736"/>
        <v>8.5000000000000006E-2</v>
      </c>
      <c r="N3023" s="251">
        <f t="shared" si="737"/>
        <v>2.65159118475E-2</v>
      </c>
      <c r="O3023" s="258">
        <v>1.4999999999999999E-2</v>
      </c>
      <c r="P3023" s="258">
        <f t="shared" si="738"/>
        <v>1.4999999999999999E-2</v>
      </c>
      <c r="Q3023" s="249">
        <v>1.7273000000000001</v>
      </c>
      <c r="R3023" s="249">
        <f t="shared" si="730"/>
        <v>1.7677274565000001</v>
      </c>
      <c r="S3023" s="258">
        <v>0.1</v>
      </c>
      <c r="T3023" s="169">
        <f t="shared" si="729"/>
        <v>1.9000300000000001</v>
      </c>
      <c r="U3023" s="315">
        <f t="shared" si="739"/>
        <v>1.94450020215</v>
      </c>
      <c r="V3023" s="315">
        <f t="shared" si="740"/>
        <v>2</v>
      </c>
      <c r="W3023" s="316">
        <f t="shared" si="741"/>
        <v>0</v>
      </c>
    </row>
    <row r="3024" spans="1:23" x14ac:dyDescent="0.25">
      <c r="A3024" s="177">
        <f t="shared" si="742"/>
        <v>210303</v>
      </c>
      <c r="B3024" s="292" t="s">
        <v>15295</v>
      </c>
      <c r="C3024" s="293"/>
      <c r="D3024" s="165" t="s">
        <v>2</v>
      </c>
      <c r="E3024" s="249">
        <f t="shared" si="731"/>
        <v>2.0933032891500001</v>
      </c>
      <c r="F3024" s="258">
        <v>0.9</v>
      </c>
      <c r="G3024" s="258">
        <f t="shared" si="732"/>
        <v>0.9</v>
      </c>
      <c r="H3024" s="249">
        <f t="shared" si="733"/>
        <v>0</v>
      </c>
      <c r="I3024" s="314"/>
      <c r="J3024" s="258">
        <f t="shared" si="734"/>
        <v>0</v>
      </c>
      <c r="K3024" s="249">
        <f t="shared" si="735"/>
        <v>0.19770086619750002</v>
      </c>
      <c r="L3024" s="258">
        <v>8.5000000000000006E-2</v>
      </c>
      <c r="M3024" s="258">
        <f t="shared" si="736"/>
        <v>8.5000000000000006E-2</v>
      </c>
      <c r="N3024" s="251">
        <f t="shared" si="737"/>
        <v>3.4888388152499998E-2</v>
      </c>
      <c r="O3024" s="258">
        <v>1.4999999999999999E-2</v>
      </c>
      <c r="P3024" s="258">
        <f t="shared" si="738"/>
        <v>1.4999999999999999E-2</v>
      </c>
      <c r="Q3024" s="249">
        <v>2.2726999999999999</v>
      </c>
      <c r="R3024" s="249">
        <f t="shared" si="730"/>
        <v>2.3258925435000002</v>
      </c>
      <c r="S3024" s="258">
        <v>0.1</v>
      </c>
      <c r="T3024" s="169">
        <f t="shared" si="729"/>
        <v>2.4999699999999998</v>
      </c>
      <c r="U3024" s="315">
        <f t="shared" si="739"/>
        <v>2.5584817978500003</v>
      </c>
      <c r="V3024" s="315">
        <f t="shared" si="740"/>
        <v>3</v>
      </c>
      <c r="W3024" s="316">
        <f t="shared" si="741"/>
        <v>0</v>
      </c>
    </row>
    <row r="3025" spans="1:23" x14ac:dyDescent="0.25">
      <c r="A3025" s="177">
        <f t="shared" si="742"/>
        <v>210304</v>
      </c>
      <c r="B3025" s="292" t="s">
        <v>22599</v>
      </c>
      <c r="C3025" s="293"/>
      <c r="D3025" s="165" t="s">
        <v>2</v>
      </c>
      <c r="E3025" s="249">
        <f t="shared" si="731"/>
        <v>0.92106450000000017</v>
      </c>
      <c r="F3025" s="258">
        <v>0.9</v>
      </c>
      <c r="G3025" s="258">
        <f t="shared" si="732"/>
        <v>0.9</v>
      </c>
      <c r="H3025" s="249">
        <f t="shared" si="733"/>
        <v>0</v>
      </c>
      <c r="I3025" s="314"/>
      <c r="J3025" s="258">
        <f t="shared" si="734"/>
        <v>0</v>
      </c>
      <c r="K3025" s="249">
        <f t="shared" si="735"/>
        <v>8.6989425000000023E-2</v>
      </c>
      <c r="L3025" s="258">
        <v>8.5000000000000006E-2</v>
      </c>
      <c r="M3025" s="258">
        <f t="shared" si="736"/>
        <v>8.5000000000000006E-2</v>
      </c>
      <c r="N3025" s="251">
        <f t="shared" si="737"/>
        <v>1.5351075E-2</v>
      </c>
      <c r="O3025" s="258">
        <v>1.4999999999999999E-2</v>
      </c>
      <c r="P3025" s="258">
        <f t="shared" si="738"/>
        <v>1.4999999999999999E-2</v>
      </c>
      <c r="Q3025" s="249">
        <v>1</v>
      </c>
      <c r="R3025" s="249">
        <f t="shared" si="730"/>
        <v>1.0234050000000001</v>
      </c>
      <c r="S3025" s="258">
        <v>0.1</v>
      </c>
      <c r="T3025" s="169">
        <f t="shared" si="729"/>
        <v>1.1000000000000001</v>
      </c>
      <c r="U3025" s="315">
        <f t="shared" si="739"/>
        <v>1.1257455000000001</v>
      </c>
      <c r="V3025" s="315">
        <f t="shared" si="740"/>
        <v>2</v>
      </c>
      <c r="W3025" s="316">
        <f t="shared" si="741"/>
        <v>0</v>
      </c>
    </row>
    <row r="3026" spans="1:23" x14ac:dyDescent="0.25">
      <c r="A3026" s="177">
        <f t="shared" si="742"/>
        <v>210305</v>
      </c>
      <c r="B3026" s="292" t="s">
        <v>15296</v>
      </c>
      <c r="C3026" s="293"/>
      <c r="D3026" s="165" t="s">
        <v>2</v>
      </c>
      <c r="E3026" s="249">
        <f t="shared" si="731"/>
        <v>9.1269202369500011</v>
      </c>
      <c r="F3026" s="258">
        <v>0.9</v>
      </c>
      <c r="G3026" s="258">
        <f t="shared" si="732"/>
        <v>0.9</v>
      </c>
      <c r="H3026" s="249">
        <f t="shared" si="733"/>
        <v>0</v>
      </c>
      <c r="I3026" s="314"/>
      <c r="J3026" s="258">
        <f t="shared" si="734"/>
        <v>0</v>
      </c>
      <c r="K3026" s="249">
        <f t="shared" si="735"/>
        <v>0.86198691126750016</v>
      </c>
      <c r="L3026" s="258">
        <v>8.5000000000000006E-2</v>
      </c>
      <c r="M3026" s="258">
        <f t="shared" si="736"/>
        <v>8.5000000000000006E-2</v>
      </c>
      <c r="N3026" s="251">
        <f t="shared" si="737"/>
        <v>0.15211533728250001</v>
      </c>
      <c r="O3026" s="258">
        <v>1.4999999999999999E-2</v>
      </c>
      <c r="P3026" s="258">
        <f t="shared" si="738"/>
        <v>1.4999999999999999E-2</v>
      </c>
      <c r="Q3026" s="249">
        <v>9.9091000000000005</v>
      </c>
      <c r="R3026" s="249">
        <f t="shared" si="730"/>
        <v>10.141022485500001</v>
      </c>
      <c r="S3026" s="258">
        <v>0.1</v>
      </c>
      <c r="T3026" s="169">
        <f t="shared" si="729"/>
        <v>10.90001</v>
      </c>
      <c r="U3026" s="315">
        <f t="shared" si="739"/>
        <v>11.15512473405</v>
      </c>
      <c r="V3026" s="315">
        <f t="shared" si="740"/>
        <v>12</v>
      </c>
      <c r="W3026" s="316">
        <f t="shared" si="741"/>
        <v>0</v>
      </c>
    </row>
    <row r="3027" spans="1:23" x14ac:dyDescent="0.25">
      <c r="A3027" s="177">
        <f t="shared" si="742"/>
        <v>210306</v>
      </c>
      <c r="B3027" s="292" t="s">
        <v>15297</v>
      </c>
      <c r="C3027" s="293"/>
      <c r="D3027" s="165" t="s">
        <v>2</v>
      </c>
      <c r="E3027" s="249">
        <f t="shared" si="731"/>
        <v>14.234591315250002</v>
      </c>
      <c r="F3027" s="258">
        <v>0.9</v>
      </c>
      <c r="G3027" s="258">
        <f t="shared" si="732"/>
        <v>0.9</v>
      </c>
      <c r="H3027" s="249">
        <f t="shared" si="733"/>
        <v>0</v>
      </c>
      <c r="I3027" s="314"/>
      <c r="J3027" s="258">
        <f t="shared" si="734"/>
        <v>0</v>
      </c>
      <c r="K3027" s="249">
        <f t="shared" si="735"/>
        <v>1.3443780686625002</v>
      </c>
      <c r="L3027" s="258">
        <v>8.5000000000000006E-2</v>
      </c>
      <c r="M3027" s="258">
        <f t="shared" si="736"/>
        <v>8.5000000000000006E-2</v>
      </c>
      <c r="N3027" s="251">
        <f t="shared" si="737"/>
        <v>0.23724318858750001</v>
      </c>
      <c r="O3027" s="258">
        <v>1.4999999999999999E-2</v>
      </c>
      <c r="P3027" s="258">
        <f t="shared" si="738"/>
        <v>1.4999999999999999E-2</v>
      </c>
      <c r="Q3027" s="249">
        <v>15.454499999999999</v>
      </c>
      <c r="R3027" s="249">
        <f t="shared" si="730"/>
        <v>15.816212572500001</v>
      </c>
      <c r="S3027" s="258">
        <v>0.1</v>
      </c>
      <c r="T3027" s="169">
        <f t="shared" si="729"/>
        <v>16.999949999999998</v>
      </c>
      <c r="U3027" s="315">
        <f t="shared" si="739"/>
        <v>17.397833829750002</v>
      </c>
      <c r="V3027" s="315">
        <f t="shared" si="740"/>
        <v>18</v>
      </c>
      <c r="W3027" s="316">
        <f t="shared" si="741"/>
        <v>0</v>
      </c>
    </row>
    <row r="3028" spans="1:23" x14ac:dyDescent="0.25">
      <c r="A3028" s="177">
        <f t="shared" si="742"/>
        <v>210307</v>
      </c>
      <c r="B3028" s="292" t="s">
        <v>15298</v>
      </c>
      <c r="C3028" s="293"/>
      <c r="D3028" s="165" t="s">
        <v>11</v>
      </c>
      <c r="E3028" s="249">
        <f t="shared" si="731"/>
        <v>19.049271776100003</v>
      </c>
      <c r="F3028" s="258">
        <v>0.9</v>
      </c>
      <c r="G3028" s="258">
        <f t="shared" si="732"/>
        <v>0.9</v>
      </c>
      <c r="H3028" s="249">
        <f t="shared" si="733"/>
        <v>0</v>
      </c>
      <c r="I3028" s="314"/>
      <c r="J3028" s="258">
        <f t="shared" si="734"/>
        <v>0</v>
      </c>
      <c r="K3028" s="249">
        <f t="shared" si="735"/>
        <v>1.7990978899650005</v>
      </c>
      <c r="L3028" s="258">
        <v>8.5000000000000006E-2</v>
      </c>
      <c r="M3028" s="258">
        <f t="shared" si="736"/>
        <v>8.5000000000000006E-2</v>
      </c>
      <c r="N3028" s="251">
        <f t="shared" si="737"/>
        <v>0.31748786293500003</v>
      </c>
      <c r="O3028" s="258">
        <v>1.4999999999999999E-2</v>
      </c>
      <c r="P3028" s="258">
        <f t="shared" si="738"/>
        <v>1.4999999999999999E-2</v>
      </c>
      <c r="Q3028" s="249">
        <v>20.681799999999999</v>
      </c>
      <c r="R3028" s="249">
        <f t="shared" si="730"/>
        <v>21.165857529000004</v>
      </c>
      <c r="S3028" s="258">
        <v>0.1</v>
      </c>
      <c r="T3028" s="169">
        <f t="shared" si="729"/>
        <v>22.749980000000001</v>
      </c>
      <c r="U3028" s="315">
        <f t="shared" si="739"/>
        <v>23.282443281900004</v>
      </c>
      <c r="V3028" s="315">
        <f t="shared" si="740"/>
        <v>24</v>
      </c>
      <c r="W3028" s="316">
        <f t="shared" si="741"/>
        <v>0</v>
      </c>
    </row>
    <row r="3029" spans="1:23" x14ac:dyDescent="0.25">
      <c r="A3029" s="177">
        <v>210401</v>
      </c>
      <c r="B3029" s="292" t="s">
        <v>22600</v>
      </c>
      <c r="C3029" s="293"/>
      <c r="D3029" s="165" t="s">
        <v>2</v>
      </c>
      <c r="E3029" s="249">
        <f t="shared" si="731"/>
        <v>2.9090904131249999</v>
      </c>
      <c r="F3029" s="258">
        <v>0.57499999999999996</v>
      </c>
      <c r="G3029" s="258">
        <f t="shared" si="732"/>
        <v>0.57499999999999996</v>
      </c>
      <c r="H3029" s="249">
        <f t="shared" si="733"/>
        <v>1.77075068625</v>
      </c>
      <c r="I3029" s="258">
        <v>0.35</v>
      </c>
      <c r="J3029" s="258">
        <f t="shared" si="734"/>
        <v>0.35</v>
      </c>
      <c r="K3029" s="249">
        <f t="shared" si="735"/>
        <v>0.25296438375000002</v>
      </c>
      <c r="L3029" s="258">
        <v>0.05</v>
      </c>
      <c r="M3029" s="258">
        <f t="shared" si="736"/>
        <v>0.05</v>
      </c>
      <c r="N3029" s="251">
        <f t="shared" si="737"/>
        <v>0.12648219187500001</v>
      </c>
      <c r="O3029" s="258">
        <v>2.5000000000000001E-2</v>
      </c>
      <c r="P3029" s="258">
        <f t="shared" si="738"/>
        <v>2.5000000000000001E-2</v>
      </c>
      <c r="Q3029" s="249">
        <v>4.9545000000000003</v>
      </c>
      <c r="R3029" s="249">
        <f t="shared" si="730"/>
        <v>5.0592876750000002</v>
      </c>
      <c r="S3029" s="258">
        <v>0.1</v>
      </c>
      <c r="T3029" s="169">
        <f t="shared" si="729"/>
        <v>5.4499500000000003</v>
      </c>
      <c r="U3029" s="315">
        <f t="shared" si="739"/>
        <v>5.5652164425000006</v>
      </c>
      <c r="V3029" s="315">
        <f t="shared" si="740"/>
        <v>6</v>
      </c>
      <c r="W3029" s="316">
        <f t="shared" si="741"/>
        <v>0</v>
      </c>
    </row>
    <row r="3030" spans="1:23" x14ac:dyDescent="0.25">
      <c r="A3030" s="177">
        <f>A3029+1</f>
        <v>210402</v>
      </c>
      <c r="B3030" s="292" t="s">
        <v>22601</v>
      </c>
      <c r="C3030" s="293"/>
      <c r="D3030" s="165" t="s">
        <v>2</v>
      </c>
      <c r="E3030" s="249">
        <f t="shared" si="731"/>
        <v>2.5354797097499997</v>
      </c>
      <c r="F3030" s="258">
        <v>0.57499999999999996</v>
      </c>
      <c r="G3030" s="258">
        <f t="shared" si="732"/>
        <v>0.57499999999999996</v>
      </c>
      <c r="H3030" s="249">
        <f t="shared" si="733"/>
        <v>1.5433354754999997</v>
      </c>
      <c r="I3030" s="258">
        <v>0.35</v>
      </c>
      <c r="J3030" s="258">
        <f t="shared" si="734"/>
        <v>0.35</v>
      </c>
      <c r="K3030" s="249">
        <f t="shared" si="735"/>
        <v>0.22047649650000001</v>
      </c>
      <c r="L3030" s="258">
        <v>0.05</v>
      </c>
      <c r="M3030" s="258">
        <f t="shared" si="736"/>
        <v>0.05</v>
      </c>
      <c r="N3030" s="251">
        <f t="shared" si="737"/>
        <v>0.11023824825</v>
      </c>
      <c r="O3030" s="258">
        <v>2.5000000000000001E-2</v>
      </c>
      <c r="P3030" s="258">
        <f t="shared" si="738"/>
        <v>2.5000000000000001E-2</v>
      </c>
      <c r="Q3030" s="249">
        <v>4.3182</v>
      </c>
      <c r="R3030" s="249">
        <f t="shared" si="730"/>
        <v>4.4095299299999997</v>
      </c>
      <c r="S3030" s="258">
        <v>0.1</v>
      </c>
      <c r="T3030" s="169">
        <f t="shared" si="729"/>
        <v>4.7500200000000001</v>
      </c>
      <c r="U3030" s="315">
        <f t="shared" si="739"/>
        <v>4.8504829229999995</v>
      </c>
      <c r="V3030" s="315">
        <f t="shared" si="740"/>
        <v>5</v>
      </c>
      <c r="W3030" s="316">
        <f t="shared" si="741"/>
        <v>0</v>
      </c>
    </row>
    <row r="3031" spans="1:23" x14ac:dyDescent="0.25">
      <c r="A3031" s="177">
        <f>A3030+1</f>
        <v>210403</v>
      </c>
      <c r="B3031" s="292" t="s">
        <v>22602</v>
      </c>
      <c r="C3031" s="293"/>
      <c r="D3031" s="165" t="s">
        <v>2</v>
      </c>
      <c r="E3031" s="249">
        <f t="shared" si="731"/>
        <v>3.3895057478750004</v>
      </c>
      <c r="F3031" s="258">
        <v>0.57499999999999996</v>
      </c>
      <c r="G3031" s="258">
        <f t="shared" si="732"/>
        <v>0.57499999999999996</v>
      </c>
      <c r="H3031" s="249">
        <f t="shared" si="733"/>
        <v>2.0631774117500004</v>
      </c>
      <c r="I3031" s="258">
        <v>0.35</v>
      </c>
      <c r="J3031" s="258">
        <f t="shared" si="734"/>
        <v>0.35</v>
      </c>
      <c r="K3031" s="249">
        <f t="shared" si="735"/>
        <v>0.29473963025000005</v>
      </c>
      <c r="L3031" s="258">
        <v>0.05</v>
      </c>
      <c r="M3031" s="258">
        <f t="shared" si="736"/>
        <v>0.05</v>
      </c>
      <c r="N3031" s="251">
        <f t="shared" si="737"/>
        <v>0.14736981512500003</v>
      </c>
      <c r="O3031" s="258">
        <v>2.5000000000000001E-2</v>
      </c>
      <c r="P3031" s="258">
        <f t="shared" si="738"/>
        <v>2.5000000000000001E-2</v>
      </c>
      <c r="Q3031" s="249">
        <v>5.7727000000000004</v>
      </c>
      <c r="R3031" s="249">
        <f t="shared" si="730"/>
        <v>5.894792605000001</v>
      </c>
      <c r="S3031" s="258">
        <v>0.1</v>
      </c>
      <c r="T3031" s="169">
        <f t="shared" si="729"/>
        <v>6.3499700000000008</v>
      </c>
      <c r="U3031" s="315">
        <f t="shared" si="739"/>
        <v>6.4842718655000011</v>
      </c>
      <c r="V3031" s="315">
        <f t="shared" si="740"/>
        <v>7</v>
      </c>
      <c r="W3031" s="316">
        <f t="shared" si="741"/>
        <v>0</v>
      </c>
    </row>
    <row r="3032" spans="1:23" x14ac:dyDescent="0.25">
      <c r="A3032" s="177">
        <f>A3031+1</f>
        <v>210404</v>
      </c>
      <c r="B3032" s="292" t="s">
        <v>22603</v>
      </c>
      <c r="C3032" s="293"/>
      <c r="D3032" s="165" t="s">
        <v>2</v>
      </c>
      <c r="E3032" s="249">
        <f t="shared" si="731"/>
        <v>3.2561027118749997</v>
      </c>
      <c r="F3032" s="258">
        <v>0.57499999999999996</v>
      </c>
      <c r="G3032" s="258">
        <f t="shared" si="732"/>
        <v>0.57499999999999996</v>
      </c>
      <c r="H3032" s="249">
        <f t="shared" si="733"/>
        <v>1.9819755637499998</v>
      </c>
      <c r="I3032" s="258">
        <v>0.35</v>
      </c>
      <c r="J3032" s="258">
        <f t="shared" si="734"/>
        <v>0.35</v>
      </c>
      <c r="K3032" s="249">
        <f t="shared" si="735"/>
        <v>0.28313936625000002</v>
      </c>
      <c r="L3032" s="258">
        <v>0.05</v>
      </c>
      <c r="M3032" s="258">
        <f t="shared" si="736"/>
        <v>0.05</v>
      </c>
      <c r="N3032" s="251">
        <f t="shared" si="737"/>
        <v>0.14156968312500001</v>
      </c>
      <c r="O3032" s="258">
        <v>2.5000000000000001E-2</v>
      </c>
      <c r="P3032" s="258">
        <f t="shared" si="738"/>
        <v>2.5000000000000001E-2</v>
      </c>
      <c r="Q3032" s="249">
        <v>5.5454999999999997</v>
      </c>
      <c r="R3032" s="249">
        <f t="shared" si="730"/>
        <v>5.662787325</v>
      </c>
      <c r="S3032" s="258">
        <v>0.1</v>
      </c>
      <c r="T3032" s="169">
        <f t="shared" si="729"/>
        <v>6.1000499999999995</v>
      </c>
      <c r="U3032" s="315">
        <f t="shared" si="739"/>
        <v>6.2290660574999999</v>
      </c>
      <c r="V3032" s="315">
        <f t="shared" si="740"/>
        <v>7</v>
      </c>
      <c r="W3032" s="316">
        <f t="shared" si="741"/>
        <v>0</v>
      </c>
    </row>
    <row r="3033" spans="1:23" x14ac:dyDescent="0.25">
      <c r="A3033" s="177">
        <f t="shared" ref="A3033:A3038" si="743">A3032+1</f>
        <v>210405</v>
      </c>
      <c r="B3033" s="292" t="s">
        <v>22604</v>
      </c>
      <c r="C3033" s="293"/>
      <c r="D3033" s="165" t="s">
        <v>2</v>
      </c>
      <c r="E3033" s="249">
        <f t="shared" si="731"/>
        <v>6.2986548771249984</v>
      </c>
      <c r="F3033" s="258">
        <v>0.57499999999999996</v>
      </c>
      <c r="G3033" s="258">
        <f t="shared" si="732"/>
        <v>0.57499999999999996</v>
      </c>
      <c r="H3033" s="249">
        <f t="shared" si="733"/>
        <v>3.833963838249999</v>
      </c>
      <c r="I3033" s="258">
        <v>0.35</v>
      </c>
      <c r="J3033" s="258">
        <f t="shared" si="734"/>
        <v>0.35</v>
      </c>
      <c r="K3033" s="249">
        <f t="shared" si="735"/>
        <v>0.54770911974999992</v>
      </c>
      <c r="L3033" s="258">
        <v>0.05</v>
      </c>
      <c r="M3033" s="258">
        <f t="shared" si="736"/>
        <v>0.05</v>
      </c>
      <c r="N3033" s="251">
        <f t="shared" si="737"/>
        <v>0.27385455987499996</v>
      </c>
      <c r="O3033" s="258">
        <v>2.5000000000000001E-2</v>
      </c>
      <c r="P3033" s="258">
        <f t="shared" si="738"/>
        <v>2.5000000000000001E-2</v>
      </c>
      <c r="Q3033" s="249">
        <v>10.7273</v>
      </c>
      <c r="R3033" s="249">
        <f t="shared" si="730"/>
        <v>10.954182394999998</v>
      </c>
      <c r="S3033" s="258">
        <v>0.1</v>
      </c>
      <c r="T3033" s="169">
        <f t="shared" si="729"/>
        <v>11.80003</v>
      </c>
      <c r="U3033" s="315">
        <f t="shared" si="739"/>
        <v>12.049600634499999</v>
      </c>
      <c r="V3033" s="315">
        <f t="shared" si="740"/>
        <v>13</v>
      </c>
      <c r="W3033" s="316">
        <f t="shared" si="741"/>
        <v>0</v>
      </c>
    </row>
    <row r="3034" spans="1:23" x14ac:dyDescent="0.25">
      <c r="A3034" s="177">
        <f t="shared" si="743"/>
        <v>210406</v>
      </c>
      <c r="B3034" s="292" t="s">
        <v>22605</v>
      </c>
      <c r="C3034" s="293"/>
      <c r="D3034" s="165" t="s">
        <v>2</v>
      </c>
      <c r="E3034" s="249">
        <f t="shared" si="731"/>
        <v>5.9249854576249978</v>
      </c>
      <c r="F3034" s="258">
        <v>0.57499999999999996</v>
      </c>
      <c r="G3034" s="258">
        <f t="shared" si="732"/>
        <v>0.57499999999999996</v>
      </c>
      <c r="H3034" s="249">
        <f t="shared" si="733"/>
        <v>3.6065128872499987</v>
      </c>
      <c r="I3034" s="258">
        <v>0.35</v>
      </c>
      <c r="J3034" s="258">
        <f t="shared" si="734"/>
        <v>0.35</v>
      </c>
      <c r="K3034" s="249">
        <f t="shared" si="735"/>
        <v>0.51521612674999984</v>
      </c>
      <c r="L3034" s="258">
        <v>0.05</v>
      </c>
      <c r="M3034" s="258">
        <f t="shared" si="736"/>
        <v>0.05</v>
      </c>
      <c r="N3034" s="251">
        <f t="shared" si="737"/>
        <v>0.25760806337499992</v>
      </c>
      <c r="O3034" s="258">
        <v>2.5000000000000001E-2</v>
      </c>
      <c r="P3034" s="258">
        <f t="shared" si="738"/>
        <v>2.5000000000000001E-2</v>
      </c>
      <c r="Q3034" s="249">
        <v>10.0909</v>
      </c>
      <c r="R3034" s="249">
        <f t="shared" si="730"/>
        <v>10.304322534999997</v>
      </c>
      <c r="S3034" s="258">
        <v>0.1</v>
      </c>
      <c r="T3034" s="169">
        <f t="shared" si="729"/>
        <v>11.09999</v>
      </c>
      <c r="U3034" s="315">
        <f t="shared" si="739"/>
        <v>11.334754788499996</v>
      </c>
      <c r="V3034" s="315">
        <f t="shared" si="740"/>
        <v>12</v>
      </c>
      <c r="W3034" s="316">
        <f t="shared" si="741"/>
        <v>0</v>
      </c>
    </row>
    <row r="3035" spans="1:23" x14ac:dyDescent="0.25">
      <c r="A3035" s="177">
        <f t="shared" si="743"/>
        <v>210407</v>
      </c>
      <c r="B3035" s="292" t="s">
        <v>22606</v>
      </c>
      <c r="C3035" s="293"/>
      <c r="D3035" s="165" t="s">
        <v>2</v>
      </c>
      <c r="E3035" s="249">
        <f t="shared" si="731"/>
        <v>20.230347288124999</v>
      </c>
      <c r="F3035" s="258">
        <v>0.57499999999999996</v>
      </c>
      <c r="G3035" s="258">
        <f t="shared" si="732"/>
        <v>0.57499999999999996</v>
      </c>
      <c r="H3035" s="249">
        <f t="shared" si="733"/>
        <v>12.314124436249999</v>
      </c>
      <c r="I3035" s="258">
        <v>0.35</v>
      </c>
      <c r="J3035" s="258">
        <f t="shared" si="734"/>
        <v>0.35</v>
      </c>
      <c r="K3035" s="249">
        <f t="shared" si="735"/>
        <v>1.7591606337500001</v>
      </c>
      <c r="L3035" s="258">
        <v>0.05</v>
      </c>
      <c r="M3035" s="258">
        <f t="shared" si="736"/>
        <v>0.05</v>
      </c>
      <c r="N3035" s="251">
        <f t="shared" si="737"/>
        <v>0.87958031687500005</v>
      </c>
      <c r="O3035" s="258">
        <v>2.5000000000000001E-2</v>
      </c>
      <c r="P3035" s="258">
        <f t="shared" si="738"/>
        <v>2.5000000000000001E-2</v>
      </c>
      <c r="Q3035" s="249">
        <v>34.454500000000003</v>
      </c>
      <c r="R3035" s="249">
        <f t="shared" si="730"/>
        <v>35.183212675</v>
      </c>
      <c r="S3035" s="258">
        <v>0.1</v>
      </c>
      <c r="T3035" s="169">
        <f t="shared" si="729"/>
        <v>37.899950000000004</v>
      </c>
      <c r="U3035" s="315">
        <f t="shared" si="739"/>
        <v>38.701533942499999</v>
      </c>
      <c r="V3035" s="315">
        <f t="shared" si="740"/>
        <v>39</v>
      </c>
      <c r="W3035" s="316">
        <f t="shared" si="741"/>
        <v>0</v>
      </c>
    </row>
    <row r="3036" spans="1:23" x14ac:dyDescent="0.25">
      <c r="A3036" s="177">
        <f t="shared" si="743"/>
        <v>210408</v>
      </c>
      <c r="B3036" s="292" t="s">
        <v>22607</v>
      </c>
      <c r="C3036" s="293"/>
      <c r="D3036" s="165" t="s">
        <v>2</v>
      </c>
      <c r="E3036" s="249">
        <f t="shared" si="731"/>
        <v>19.803363627124998</v>
      </c>
      <c r="F3036" s="258">
        <v>0.57499999999999996</v>
      </c>
      <c r="G3036" s="258">
        <f t="shared" si="732"/>
        <v>0.57499999999999996</v>
      </c>
      <c r="H3036" s="249">
        <f t="shared" si="733"/>
        <v>12.054221338250001</v>
      </c>
      <c r="I3036" s="258">
        <v>0.35</v>
      </c>
      <c r="J3036" s="258">
        <f t="shared" si="734"/>
        <v>0.35</v>
      </c>
      <c r="K3036" s="249">
        <f t="shared" si="735"/>
        <v>1.7220316197500001</v>
      </c>
      <c r="L3036" s="258">
        <v>0.05</v>
      </c>
      <c r="M3036" s="258">
        <f t="shared" si="736"/>
        <v>0.05</v>
      </c>
      <c r="N3036" s="251">
        <f t="shared" si="737"/>
        <v>0.86101580987500004</v>
      </c>
      <c r="O3036" s="258">
        <v>2.5000000000000001E-2</v>
      </c>
      <c r="P3036" s="258">
        <f t="shared" si="738"/>
        <v>2.5000000000000001E-2</v>
      </c>
      <c r="Q3036" s="249">
        <v>33.7273</v>
      </c>
      <c r="R3036" s="249">
        <f t="shared" si="730"/>
        <v>34.440632395000002</v>
      </c>
      <c r="S3036" s="258">
        <v>0.1</v>
      </c>
      <c r="T3036" s="169">
        <f t="shared" si="729"/>
        <v>37.100029999999997</v>
      </c>
      <c r="U3036" s="315">
        <f t="shared" si="739"/>
        <v>37.884695634500005</v>
      </c>
      <c r="V3036" s="315">
        <f t="shared" si="740"/>
        <v>38</v>
      </c>
      <c r="W3036" s="316">
        <f t="shared" si="741"/>
        <v>0</v>
      </c>
    </row>
    <row r="3037" spans="1:23" ht="21" x14ac:dyDescent="0.25">
      <c r="A3037" s="177">
        <f t="shared" si="743"/>
        <v>210409</v>
      </c>
      <c r="B3037" s="168" t="s">
        <v>22608</v>
      </c>
      <c r="C3037" s="248"/>
      <c r="D3037" s="165" t="s">
        <v>2</v>
      </c>
      <c r="E3037" s="249">
        <f t="shared" si="731"/>
        <v>43.663424330500007</v>
      </c>
      <c r="F3037" s="258">
        <v>0.57499999999999996</v>
      </c>
      <c r="G3037" s="258">
        <f t="shared" si="732"/>
        <v>0.57499999999999996</v>
      </c>
      <c r="H3037" s="249">
        <f t="shared" si="733"/>
        <v>26.577736549000004</v>
      </c>
      <c r="I3037" s="258">
        <v>0.35</v>
      </c>
      <c r="J3037" s="258">
        <f t="shared" si="734"/>
        <v>0.35</v>
      </c>
      <c r="K3037" s="249">
        <f t="shared" si="735"/>
        <v>3.7968195070000008</v>
      </c>
      <c r="L3037" s="258">
        <v>0.05</v>
      </c>
      <c r="M3037" s="258">
        <f t="shared" si="736"/>
        <v>0.05</v>
      </c>
      <c r="N3037" s="251">
        <f t="shared" si="737"/>
        <v>1.8984097535000004</v>
      </c>
      <c r="O3037" s="258">
        <v>2.5000000000000001E-2</v>
      </c>
      <c r="P3037" s="258">
        <f t="shared" si="738"/>
        <v>2.5000000000000001E-2</v>
      </c>
      <c r="Q3037" s="249">
        <v>74.363600000000005</v>
      </c>
      <c r="R3037" s="249">
        <f t="shared" si="730"/>
        <v>75.936390140000015</v>
      </c>
      <c r="S3037" s="258">
        <v>0.1</v>
      </c>
      <c r="T3037" s="169">
        <f t="shared" si="729"/>
        <v>81.799959999999999</v>
      </c>
      <c r="U3037" s="315">
        <f t="shared" si="739"/>
        <v>83.530029154000019</v>
      </c>
      <c r="V3037" s="315">
        <f t="shared" si="740"/>
        <v>84</v>
      </c>
      <c r="W3037" s="316">
        <f t="shared" si="741"/>
        <v>0</v>
      </c>
    </row>
    <row r="3038" spans="1:23" x14ac:dyDescent="0.25">
      <c r="A3038" s="177">
        <f t="shared" si="743"/>
        <v>210410</v>
      </c>
      <c r="B3038" s="292" t="s">
        <v>22609</v>
      </c>
      <c r="C3038" s="293"/>
      <c r="D3038" s="165" t="s">
        <v>2</v>
      </c>
      <c r="E3038" s="249">
        <f t="shared" si="731"/>
        <v>43.209724832625</v>
      </c>
      <c r="F3038" s="258">
        <v>0.57499999999999996</v>
      </c>
      <c r="G3038" s="258">
        <f t="shared" si="732"/>
        <v>0.57499999999999996</v>
      </c>
      <c r="H3038" s="249">
        <f t="shared" si="733"/>
        <v>26.301571637250003</v>
      </c>
      <c r="I3038" s="258">
        <v>0.35</v>
      </c>
      <c r="J3038" s="258">
        <f t="shared" si="734"/>
        <v>0.35</v>
      </c>
      <c r="K3038" s="249">
        <f t="shared" si="735"/>
        <v>3.7573673767500004</v>
      </c>
      <c r="L3038" s="258">
        <v>0.05</v>
      </c>
      <c r="M3038" s="258">
        <f t="shared" si="736"/>
        <v>0.05</v>
      </c>
      <c r="N3038" s="251">
        <f t="shared" si="737"/>
        <v>1.8786836883750002</v>
      </c>
      <c r="O3038" s="258">
        <v>2.5000000000000001E-2</v>
      </c>
      <c r="P3038" s="258">
        <f t="shared" si="738"/>
        <v>2.5000000000000001E-2</v>
      </c>
      <c r="Q3038" s="249">
        <v>73.590900000000005</v>
      </c>
      <c r="R3038" s="249">
        <f t="shared" si="730"/>
        <v>75.147347535000009</v>
      </c>
      <c r="S3038" s="258">
        <v>0.1</v>
      </c>
      <c r="T3038" s="169">
        <f t="shared" si="729"/>
        <v>80.94999</v>
      </c>
      <c r="U3038" s="315">
        <f t="shared" si="739"/>
        <v>82.662082288500017</v>
      </c>
      <c r="V3038" s="315">
        <f t="shared" si="740"/>
        <v>83</v>
      </c>
      <c r="W3038" s="316">
        <f t="shared" si="741"/>
        <v>0</v>
      </c>
    </row>
    <row r="3039" spans="1:23" x14ac:dyDescent="0.25">
      <c r="A3039" s="177">
        <v>210420</v>
      </c>
      <c r="B3039" s="292" t="s">
        <v>15299</v>
      </c>
      <c r="C3039" s="293"/>
      <c r="D3039" s="165" t="s">
        <v>11</v>
      </c>
      <c r="E3039" s="249">
        <f t="shared" si="731"/>
        <v>50.04297535380001</v>
      </c>
      <c r="F3039" s="258">
        <v>0.65</v>
      </c>
      <c r="G3039" s="258">
        <f t="shared" si="732"/>
        <v>0.65</v>
      </c>
      <c r="H3039" s="249">
        <f t="shared" si="733"/>
        <v>20.787082070040007</v>
      </c>
      <c r="I3039" s="258">
        <v>0.27</v>
      </c>
      <c r="J3039" s="258">
        <f t="shared" si="734"/>
        <v>0.27</v>
      </c>
      <c r="K3039" s="249">
        <f t="shared" si="735"/>
        <v>3.8494596426000012</v>
      </c>
      <c r="L3039" s="258">
        <v>0.05</v>
      </c>
      <c r="M3039" s="258">
        <f t="shared" si="736"/>
        <v>0.05</v>
      </c>
      <c r="N3039" s="251">
        <f t="shared" si="737"/>
        <v>2.3096757855600005</v>
      </c>
      <c r="O3039" s="258">
        <v>0.03</v>
      </c>
      <c r="P3039" s="258">
        <f t="shared" si="738"/>
        <v>0.03</v>
      </c>
      <c r="Q3039" s="249">
        <v>75.363600000000005</v>
      </c>
      <c r="R3039" s="249">
        <f t="shared" si="730"/>
        <v>76.989192852000016</v>
      </c>
      <c r="S3039" s="258">
        <v>0.1</v>
      </c>
      <c r="T3039" s="169">
        <f t="shared" si="729"/>
        <v>82.899960000000007</v>
      </c>
      <c r="U3039" s="315">
        <f t="shared" si="739"/>
        <v>84.688112137200022</v>
      </c>
      <c r="V3039" s="315">
        <f t="shared" si="740"/>
        <v>85</v>
      </c>
      <c r="W3039" s="316">
        <f t="shared" si="741"/>
        <v>0</v>
      </c>
    </row>
    <row r="3040" spans="1:23" x14ac:dyDescent="0.25">
      <c r="A3040" s="177">
        <v>210501</v>
      </c>
      <c r="B3040" s="292" t="s">
        <v>22610</v>
      </c>
      <c r="C3040" s="293"/>
      <c r="D3040" s="165" t="s">
        <v>11</v>
      </c>
      <c r="E3040" s="249">
        <f t="shared" si="731"/>
        <v>28.871740800000001</v>
      </c>
      <c r="F3040" s="258">
        <v>0.9</v>
      </c>
      <c r="G3040" s="258">
        <f t="shared" si="732"/>
        <v>0.9</v>
      </c>
      <c r="H3040" s="249">
        <f t="shared" si="733"/>
        <v>0</v>
      </c>
      <c r="I3040" s="314"/>
      <c r="J3040" s="258">
        <f t="shared" si="734"/>
        <v>0</v>
      </c>
      <c r="K3040" s="249">
        <f t="shared" si="735"/>
        <v>1.6039856000000001</v>
      </c>
      <c r="L3040" s="258">
        <v>0.05</v>
      </c>
      <c r="M3040" s="258">
        <f t="shared" si="736"/>
        <v>0.05</v>
      </c>
      <c r="N3040" s="251">
        <f t="shared" si="737"/>
        <v>1.6039856000000001</v>
      </c>
      <c r="O3040" s="258">
        <v>0.05</v>
      </c>
      <c r="P3040" s="258">
        <f t="shared" si="738"/>
        <v>0.05</v>
      </c>
      <c r="Q3040" s="249">
        <v>31.36</v>
      </c>
      <c r="R3040" s="249">
        <f t="shared" si="730"/>
        <v>32.079712000000001</v>
      </c>
      <c r="S3040" s="258">
        <v>0.1</v>
      </c>
      <c r="T3040" s="169">
        <f t="shared" si="729"/>
        <v>34.496000000000002</v>
      </c>
      <c r="U3040" s="315">
        <f t="shared" si="739"/>
        <v>35.287683200000004</v>
      </c>
      <c r="V3040" s="315">
        <f t="shared" si="740"/>
        <v>36</v>
      </c>
      <c r="W3040" s="316">
        <f t="shared" si="741"/>
        <v>0</v>
      </c>
    </row>
    <row r="3041" spans="1:23" x14ac:dyDescent="0.25">
      <c r="A3041" s="177">
        <f t="shared" ref="A3041:A3046" si="744">A3040+1</f>
        <v>210502</v>
      </c>
      <c r="B3041" s="292" t="s">
        <v>15300</v>
      </c>
      <c r="C3041" s="293"/>
      <c r="D3041" s="165" t="s">
        <v>11</v>
      </c>
      <c r="E3041" s="249">
        <f t="shared" si="731"/>
        <v>36.407762302500011</v>
      </c>
      <c r="F3041" s="258">
        <v>0.9</v>
      </c>
      <c r="G3041" s="258">
        <f t="shared" si="732"/>
        <v>0.9</v>
      </c>
      <c r="H3041" s="249">
        <f t="shared" si="733"/>
        <v>0</v>
      </c>
      <c r="I3041" s="314"/>
      <c r="J3041" s="258">
        <f t="shared" si="734"/>
        <v>0</v>
      </c>
      <c r="K3041" s="249">
        <f t="shared" si="735"/>
        <v>2.0226534612500005</v>
      </c>
      <c r="L3041" s="258">
        <v>0.05</v>
      </c>
      <c r="M3041" s="258">
        <f t="shared" si="736"/>
        <v>0.05</v>
      </c>
      <c r="N3041" s="251">
        <f t="shared" si="737"/>
        <v>2.0226534612500005</v>
      </c>
      <c r="O3041" s="258">
        <v>0.05</v>
      </c>
      <c r="P3041" s="258">
        <f t="shared" si="738"/>
        <v>0.05</v>
      </c>
      <c r="Q3041" s="249">
        <v>39.545499999999997</v>
      </c>
      <c r="R3041" s="249">
        <f t="shared" si="730"/>
        <v>40.453069225000007</v>
      </c>
      <c r="S3041" s="258">
        <v>0.1</v>
      </c>
      <c r="T3041" s="169">
        <f t="shared" si="729"/>
        <v>43.500049999999995</v>
      </c>
      <c r="U3041" s="315">
        <f t="shared" si="739"/>
        <v>44.498376147500011</v>
      </c>
      <c r="V3041" s="315">
        <f t="shared" si="740"/>
        <v>45</v>
      </c>
      <c r="W3041" s="316">
        <f t="shared" si="741"/>
        <v>0</v>
      </c>
    </row>
    <row r="3042" spans="1:23" x14ac:dyDescent="0.25">
      <c r="A3042" s="200">
        <f t="shared" si="744"/>
        <v>210503</v>
      </c>
      <c r="B3042" s="313" t="s">
        <v>15301</v>
      </c>
      <c r="C3042" s="248"/>
      <c r="D3042" s="247" t="s">
        <v>11</v>
      </c>
      <c r="E3042" s="249">
        <f t="shared" si="731"/>
        <v>39.755540079000006</v>
      </c>
      <c r="F3042" s="258">
        <v>0.9</v>
      </c>
      <c r="G3042" s="258">
        <f t="shared" si="732"/>
        <v>0.9</v>
      </c>
      <c r="H3042" s="249">
        <f t="shared" si="733"/>
        <v>0</v>
      </c>
      <c r="I3042" s="314"/>
      <c r="J3042" s="258">
        <f t="shared" si="734"/>
        <v>0</v>
      </c>
      <c r="K3042" s="249">
        <f t="shared" si="735"/>
        <v>2.2086411155000003</v>
      </c>
      <c r="L3042" s="258">
        <v>0.05</v>
      </c>
      <c r="M3042" s="258">
        <f t="shared" si="736"/>
        <v>0.05</v>
      </c>
      <c r="N3042" s="251">
        <f t="shared" si="737"/>
        <v>2.2086411155000003</v>
      </c>
      <c r="O3042" s="258">
        <v>0.05</v>
      </c>
      <c r="P3042" s="258">
        <f t="shared" si="738"/>
        <v>0.05</v>
      </c>
      <c r="Q3042" s="249">
        <v>43.181800000000003</v>
      </c>
      <c r="R3042" s="249">
        <f t="shared" si="730"/>
        <v>44.172822310000008</v>
      </c>
      <c r="S3042" s="258">
        <v>0.1</v>
      </c>
      <c r="T3042" s="169">
        <f t="shared" si="729"/>
        <v>47.499980000000001</v>
      </c>
      <c r="U3042" s="315">
        <f t="shared" si="739"/>
        <v>48.590104541000009</v>
      </c>
      <c r="V3042" s="315">
        <f t="shared" si="740"/>
        <v>49</v>
      </c>
      <c r="W3042" s="316">
        <f t="shared" si="741"/>
        <v>0</v>
      </c>
    </row>
    <row r="3043" spans="1:23" x14ac:dyDescent="0.25">
      <c r="A3043" s="200">
        <f t="shared" si="744"/>
        <v>210504</v>
      </c>
      <c r="B3043" s="313" t="s">
        <v>15302</v>
      </c>
      <c r="C3043" s="248"/>
      <c r="D3043" s="247" t="s">
        <v>11</v>
      </c>
      <c r="E3043" s="249">
        <f t="shared" si="731"/>
        <v>12.135890079000003</v>
      </c>
      <c r="F3043" s="258">
        <v>0.9</v>
      </c>
      <c r="G3043" s="258">
        <f t="shared" si="732"/>
        <v>0.9</v>
      </c>
      <c r="H3043" s="249">
        <f t="shared" si="733"/>
        <v>0</v>
      </c>
      <c r="I3043" s="314"/>
      <c r="J3043" s="258">
        <f t="shared" si="734"/>
        <v>0</v>
      </c>
      <c r="K3043" s="249">
        <f t="shared" si="735"/>
        <v>0.67421611550000016</v>
      </c>
      <c r="L3043" s="258">
        <v>0.05</v>
      </c>
      <c r="M3043" s="258">
        <f t="shared" si="736"/>
        <v>0.05</v>
      </c>
      <c r="N3043" s="251">
        <f t="shared" si="737"/>
        <v>0.67421611550000016</v>
      </c>
      <c r="O3043" s="258">
        <v>0.05</v>
      </c>
      <c r="P3043" s="258">
        <f t="shared" si="738"/>
        <v>0.05</v>
      </c>
      <c r="Q3043" s="249">
        <v>13.181800000000001</v>
      </c>
      <c r="R3043" s="249">
        <f t="shared" si="730"/>
        <v>13.484322310000003</v>
      </c>
      <c r="S3043" s="258">
        <v>0.1</v>
      </c>
      <c r="T3043" s="169">
        <f t="shared" si="729"/>
        <v>14.499980000000001</v>
      </c>
      <c r="U3043" s="315">
        <f t="shared" si="739"/>
        <v>14.832754541000003</v>
      </c>
      <c r="V3043" s="315">
        <f t="shared" si="740"/>
        <v>15</v>
      </c>
      <c r="W3043" s="316">
        <f t="shared" si="741"/>
        <v>0</v>
      </c>
    </row>
    <row r="3044" spans="1:23" ht="21" x14ac:dyDescent="0.25">
      <c r="A3044" s="200">
        <f t="shared" si="744"/>
        <v>210505</v>
      </c>
      <c r="B3044" s="255" t="s">
        <v>15303</v>
      </c>
      <c r="C3044" s="248"/>
      <c r="D3044" s="247" t="s">
        <v>11</v>
      </c>
      <c r="E3044" s="249">
        <f t="shared" si="731"/>
        <v>11.926625197500002</v>
      </c>
      <c r="F3044" s="258">
        <v>0.9</v>
      </c>
      <c r="G3044" s="258">
        <f t="shared" si="732"/>
        <v>0.9</v>
      </c>
      <c r="H3044" s="249">
        <f t="shared" si="733"/>
        <v>0</v>
      </c>
      <c r="I3044" s="314"/>
      <c r="J3044" s="258">
        <f t="shared" si="734"/>
        <v>0</v>
      </c>
      <c r="K3044" s="249">
        <f t="shared" si="735"/>
        <v>0.66259028875000014</v>
      </c>
      <c r="L3044" s="258">
        <v>0.05</v>
      </c>
      <c r="M3044" s="258">
        <f t="shared" si="736"/>
        <v>0.05</v>
      </c>
      <c r="N3044" s="251">
        <f t="shared" si="737"/>
        <v>0.66259028875000014</v>
      </c>
      <c r="O3044" s="258">
        <v>0.05</v>
      </c>
      <c r="P3044" s="258">
        <f t="shared" si="738"/>
        <v>0.05</v>
      </c>
      <c r="Q3044" s="249">
        <v>12.954499999999999</v>
      </c>
      <c r="R3044" s="249">
        <f t="shared" si="730"/>
        <v>13.251805775000001</v>
      </c>
      <c r="S3044" s="258">
        <v>0.1</v>
      </c>
      <c r="T3044" s="169">
        <f t="shared" si="729"/>
        <v>14.24995</v>
      </c>
      <c r="U3044" s="315">
        <f t="shared" si="739"/>
        <v>14.576986352500001</v>
      </c>
      <c r="V3044" s="315">
        <f t="shared" si="740"/>
        <v>15</v>
      </c>
      <c r="W3044" s="316">
        <f t="shared" si="741"/>
        <v>0</v>
      </c>
    </row>
    <row r="3045" spans="1:23" ht="21" x14ac:dyDescent="0.25">
      <c r="A3045" s="200">
        <f t="shared" si="744"/>
        <v>210506</v>
      </c>
      <c r="B3045" s="255" t="s">
        <v>15304</v>
      </c>
      <c r="C3045" s="248"/>
      <c r="D3045" s="247" t="s">
        <v>11</v>
      </c>
      <c r="E3045" s="249">
        <f t="shared" si="731"/>
        <v>13.391387302500004</v>
      </c>
      <c r="F3045" s="258">
        <v>0.9</v>
      </c>
      <c r="G3045" s="258">
        <f t="shared" si="732"/>
        <v>0.9</v>
      </c>
      <c r="H3045" s="249">
        <f t="shared" si="733"/>
        <v>0</v>
      </c>
      <c r="I3045" s="314"/>
      <c r="J3045" s="258">
        <f t="shared" si="734"/>
        <v>0</v>
      </c>
      <c r="K3045" s="249">
        <f t="shared" si="735"/>
        <v>0.74396596125000025</v>
      </c>
      <c r="L3045" s="258">
        <v>0.05</v>
      </c>
      <c r="M3045" s="258">
        <f t="shared" si="736"/>
        <v>0.05</v>
      </c>
      <c r="N3045" s="251">
        <f t="shared" si="737"/>
        <v>0.74396596125000025</v>
      </c>
      <c r="O3045" s="258">
        <v>0.05</v>
      </c>
      <c r="P3045" s="258">
        <f t="shared" si="738"/>
        <v>0.05</v>
      </c>
      <c r="Q3045" s="249">
        <v>14.545500000000001</v>
      </c>
      <c r="R3045" s="249">
        <f t="shared" si="730"/>
        <v>14.879319225000003</v>
      </c>
      <c r="S3045" s="258">
        <v>0.1</v>
      </c>
      <c r="T3045" s="169">
        <f t="shared" si="729"/>
        <v>16.000050000000002</v>
      </c>
      <c r="U3045" s="315">
        <f t="shared" si="739"/>
        <v>16.367251147500003</v>
      </c>
      <c r="V3045" s="315">
        <f t="shared" si="740"/>
        <v>17</v>
      </c>
      <c r="W3045" s="316">
        <f t="shared" si="741"/>
        <v>0</v>
      </c>
    </row>
    <row r="3046" spans="1:23" ht="21" x14ac:dyDescent="0.25">
      <c r="A3046" s="200">
        <f t="shared" si="744"/>
        <v>210507</v>
      </c>
      <c r="B3046" s="255" t="s">
        <v>15305</v>
      </c>
      <c r="C3046" s="248"/>
      <c r="D3046" s="247" t="s">
        <v>11</v>
      </c>
      <c r="E3046" s="249">
        <f t="shared" si="731"/>
        <v>16.320727381500003</v>
      </c>
      <c r="F3046" s="258">
        <v>0.9</v>
      </c>
      <c r="G3046" s="258">
        <f t="shared" si="732"/>
        <v>0.9</v>
      </c>
      <c r="H3046" s="249">
        <f t="shared" si="733"/>
        <v>0</v>
      </c>
      <c r="I3046" s="314"/>
      <c r="J3046" s="258">
        <f t="shared" si="734"/>
        <v>0</v>
      </c>
      <c r="K3046" s="249">
        <f t="shared" si="735"/>
        <v>0.90670707675000006</v>
      </c>
      <c r="L3046" s="258">
        <v>0.05</v>
      </c>
      <c r="M3046" s="258">
        <f t="shared" si="736"/>
        <v>0.05</v>
      </c>
      <c r="N3046" s="251">
        <f t="shared" si="737"/>
        <v>0.90670707675000006</v>
      </c>
      <c r="O3046" s="258">
        <v>0.05</v>
      </c>
      <c r="P3046" s="258">
        <f t="shared" si="738"/>
        <v>0.05</v>
      </c>
      <c r="Q3046" s="249">
        <v>17.7273</v>
      </c>
      <c r="R3046" s="249">
        <f t="shared" si="730"/>
        <v>18.134141535000001</v>
      </c>
      <c r="S3046" s="258">
        <v>0.1</v>
      </c>
      <c r="T3046" s="169">
        <f t="shared" si="729"/>
        <v>19.500029999999999</v>
      </c>
      <c r="U3046" s="315">
        <f t="shared" si="739"/>
        <v>19.947555688500003</v>
      </c>
      <c r="V3046" s="315">
        <f t="shared" si="740"/>
        <v>20</v>
      </c>
      <c r="W3046" s="316">
        <f t="shared" si="741"/>
        <v>0</v>
      </c>
    </row>
    <row r="3047" spans="1:23" x14ac:dyDescent="0.25">
      <c r="A3047" s="200">
        <v>210510</v>
      </c>
      <c r="B3047" s="313" t="s">
        <v>22611</v>
      </c>
      <c r="C3047" s="248"/>
      <c r="D3047" s="247" t="s">
        <v>11</v>
      </c>
      <c r="E3047" s="249">
        <f t="shared" si="731"/>
        <v>43.766278763999999</v>
      </c>
      <c r="F3047" s="258">
        <v>0.65</v>
      </c>
      <c r="G3047" s="258">
        <f t="shared" si="732"/>
        <v>0.65</v>
      </c>
      <c r="H3047" s="249">
        <f t="shared" si="733"/>
        <v>18.516502554000002</v>
      </c>
      <c r="I3047" s="258">
        <v>0.27500000000000002</v>
      </c>
      <c r="J3047" s="258">
        <f t="shared" si="734"/>
        <v>0.27500000000000002</v>
      </c>
      <c r="K3047" s="249">
        <f t="shared" si="735"/>
        <v>3.3666368280000003</v>
      </c>
      <c r="L3047" s="258">
        <v>0.05</v>
      </c>
      <c r="M3047" s="258">
        <f t="shared" si="736"/>
        <v>0.05</v>
      </c>
      <c r="N3047" s="251">
        <f t="shared" si="737"/>
        <v>1.6833184140000002</v>
      </c>
      <c r="O3047" s="258">
        <v>2.5000000000000001E-2</v>
      </c>
      <c r="P3047" s="258">
        <f t="shared" si="738"/>
        <v>2.5000000000000001E-2</v>
      </c>
      <c r="Q3047" s="249">
        <v>65.909099999999995</v>
      </c>
      <c r="R3047" s="249">
        <f t="shared" si="730"/>
        <v>67.332736560000001</v>
      </c>
      <c r="S3047" s="258">
        <v>0.1</v>
      </c>
      <c r="T3047" s="169">
        <f t="shared" si="729"/>
        <v>72.500009999999989</v>
      </c>
      <c r="U3047" s="315">
        <f t="shared" si="739"/>
        <v>74.066010215999995</v>
      </c>
      <c r="V3047" s="315">
        <f t="shared" si="740"/>
        <v>75</v>
      </c>
      <c r="W3047" s="316">
        <f t="shared" si="741"/>
        <v>0</v>
      </c>
    </row>
    <row r="3048" spans="1:23" x14ac:dyDescent="0.25">
      <c r="A3048" s="200">
        <f>A3047+1</f>
        <v>210511</v>
      </c>
      <c r="B3048" s="313" t="s">
        <v>15306</v>
      </c>
      <c r="C3048" s="248"/>
      <c r="D3048" s="247" t="s">
        <v>11</v>
      </c>
      <c r="E3048" s="249">
        <f t="shared" si="731"/>
        <v>54.330557528000014</v>
      </c>
      <c r="F3048" s="258">
        <v>0.65</v>
      </c>
      <c r="G3048" s="258">
        <f t="shared" si="732"/>
        <v>0.65</v>
      </c>
      <c r="H3048" s="249">
        <f t="shared" si="733"/>
        <v>22.986005108000008</v>
      </c>
      <c r="I3048" s="258">
        <v>0.27500000000000002</v>
      </c>
      <c r="J3048" s="258">
        <f t="shared" si="734"/>
        <v>0.27500000000000002</v>
      </c>
      <c r="K3048" s="249">
        <f t="shared" si="735"/>
        <v>4.1792736560000012</v>
      </c>
      <c r="L3048" s="258">
        <v>0.05</v>
      </c>
      <c r="M3048" s="258">
        <f t="shared" si="736"/>
        <v>0.05</v>
      </c>
      <c r="N3048" s="251">
        <f t="shared" si="737"/>
        <v>2.0896368280000006</v>
      </c>
      <c r="O3048" s="258">
        <v>2.5000000000000001E-2</v>
      </c>
      <c r="P3048" s="258">
        <f t="shared" si="738"/>
        <v>2.5000000000000001E-2</v>
      </c>
      <c r="Q3048" s="249">
        <v>81.818200000000004</v>
      </c>
      <c r="R3048" s="249">
        <f t="shared" si="730"/>
        <v>83.585473120000017</v>
      </c>
      <c r="S3048" s="258">
        <v>0.1</v>
      </c>
      <c r="T3048" s="169">
        <f t="shared" si="729"/>
        <v>90.000020000000006</v>
      </c>
      <c r="U3048" s="315">
        <f t="shared" si="739"/>
        <v>91.944020432000016</v>
      </c>
      <c r="V3048" s="315">
        <f t="shared" si="740"/>
        <v>92</v>
      </c>
      <c r="W3048" s="316">
        <f t="shared" si="741"/>
        <v>0</v>
      </c>
    </row>
    <row r="3049" spans="1:23" x14ac:dyDescent="0.25">
      <c r="A3049" s="200">
        <f>A3048+1</f>
        <v>210512</v>
      </c>
      <c r="B3049" s="313" t="s">
        <v>15307</v>
      </c>
      <c r="C3049" s="248"/>
      <c r="D3049" s="247" t="s">
        <v>11</v>
      </c>
      <c r="E3049" s="249">
        <f t="shared" si="731"/>
        <v>93.569278764000003</v>
      </c>
      <c r="F3049" s="258">
        <v>0.65</v>
      </c>
      <c r="G3049" s="258">
        <f t="shared" si="732"/>
        <v>0.65</v>
      </c>
      <c r="H3049" s="249">
        <f t="shared" si="733"/>
        <v>39.587002554000001</v>
      </c>
      <c r="I3049" s="258">
        <v>0.27500000000000002</v>
      </c>
      <c r="J3049" s="258">
        <f t="shared" si="734"/>
        <v>0.27500000000000002</v>
      </c>
      <c r="K3049" s="249">
        <f t="shared" si="735"/>
        <v>7.1976368280000003</v>
      </c>
      <c r="L3049" s="258">
        <v>0.05</v>
      </c>
      <c r="M3049" s="258">
        <f t="shared" si="736"/>
        <v>0.05</v>
      </c>
      <c r="N3049" s="251">
        <f t="shared" si="737"/>
        <v>3.5988184140000001</v>
      </c>
      <c r="O3049" s="258">
        <v>2.5000000000000001E-2</v>
      </c>
      <c r="P3049" s="258">
        <f t="shared" si="738"/>
        <v>2.5000000000000001E-2</v>
      </c>
      <c r="Q3049" s="249">
        <v>140.9091</v>
      </c>
      <c r="R3049" s="249">
        <f t="shared" si="730"/>
        <v>143.95273656000001</v>
      </c>
      <c r="S3049" s="258">
        <v>0.1</v>
      </c>
      <c r="T3049" s="169">
        <f t="shared" si="729"/>
        <v>155.00001</v>
      </c>
      <c r="U3049" s="315">
        <f t="shared" si="739"/>
        <v>158.34801021600001</v>
      </c>
      <c r="V3049" s="315">
        <f t="shared" si="740"/>
        <v>160</v>
      </c>
      <c r="W3049" s="316">
        <f t="shared" si="741"/>
        <v>0</v>
      </c>
    </row>
    <row r="3050" spans="1:23" x14ac:dyDescent="0.25">
      <c r="A3050" s="200">
        <v>210520</v>
      </c>
      <c r="B3050" s="313" t="s">
        <v>15308</v>
      </c>
      <c r="C3050" s="248"/>
      <c r="D3050" s="247" t="s">
        <v>11</v>
      </c>
      <c r="E3050" s="249">
        <f t="shared" si="731"/>
        <v>46.286247556500008</v>
      </c>
      <c r="F3050" s="258">
        <v>0.52500000000000002</v>
      </c>
      <c r="G3050" s="258">
        <f t="shared" si="732"/>
        <v>0.52500000000000002</v>
      </c>
      <c r="H3050" s="249">
        <f t="shared" si="733"/>
        <v>35.265712424000007</v>
      </c>
      <c r="I3050" s="258">
        <v>0.4</v>
      </c>
      <c r="J3050" s="258">
        <f t="shared" si="734"/>
        <v>0.4</v>
      </c>
      <c r="K3050" s="249">
        <f t="shared" si="735"/>
        <v>4.4082140530000009</v>
      </c>
      <c r="L3050" s="258">
        <v>0.05</v>
      </c>
      <c r="M3050" s="258">
        <f t="shared" si="736"/>
        <v>0.05</v>
      </c>
      <c r="N3050" s="251">
        <f t="shared" si="737"/>
        <v>2.2041070265000005</v>
      </c>
      <c r="O3050" s="258">
        <v>2.5000000000000001E-2</v>
      </c>
      <c r="P3050" s="258">
        <f t="shared" si="738"/>
        <v>2.5000000000000001E-2</v>
      </c>
      <c r="Q3050" s="249">
        <v>86.363600000000005</v>
      </c>
      <c r="R3050" s="249">
        <f t="shared" si="730"/>
        <v>88.164281060000008</v>
      </c>
      <c r="S3050" s="258">
        <v>0.1</v>
      </c>
      <c r="T3050" s="169">
        <f t="shared" si="729"/>
        <v>94.999960000000002</v>
      </c>
      <c r="U3050" s="315">
        <f t="shared" si="739"/>
        <v>96.980709166000011</v>
      </c>
      <c r="V3050" s="315">
        <f t="shared" si="740"/>
        <v>97</v>
      </c>
      <c r="W3050" s="316">
        <f t="shared" si="741"/>
        <v>0</v>
      </c>
    </row>
    <row r="3051" spans="1:23" x14ac:dyDescent="0.25">
      <c r="A3051" s="200">
        <f>A3050+1</f>
        <v>210521</v>
      </c>
      <c r="B3051" s="313" t="s">
        <v>15309</v>
      </c>
      <c r="C3051" s="248"/>
      <c r="D3051" s="247" t="s">
        <v>11</v>
      </c>
      <c r="E3051" s="249">
        <f t="shared" si="731"/>
        <v>57.005193994350009</v>
      </c>
      <c r="F3051" s="258">
        <v>0.52500000000000002</v>
      </c>
      <c r="G3051" s="258">
        <f t="shared" si="732"/>
        <v>0.52500000000000002</v>
      </c>
      <c r="H3051" s="249">
        <f t="shared" si="733"/>
        <v>43.432528757600011</v>
      </c>
      <c r="I3051" s="258">
        <v>0.4</v>
      </c>
      <c r="J3051" s="258">
        <f t="shared" si="734"/>
        <v>0.4</v>
      </c>
      <c r="K3051" s="249">
        <f t="shared" si="735"/>
        <v>5.4290660947000013</v>
      </c>
      <c r="L3051" s="258">
        <v>0.05</v>
      </c>
      <c r="M3051" s="258">
        <f t="shared" si="736"/>
        <v>0.05</v>
      </c>
      <c r="N3051" s="251">
        <f t="shared" si="737"/>
        <v>2.7145330473500007</v>
      </c>
      <c r="O3051" s="258">
        <v>2.5000000000000001E-2</v>
      </c>
      <c r="P3051" s="258">
        <f t="shared" si="738"/>
        <v>2.5000000000000001E-2</v>
      </c>
      <c r="Q3051" s="249">
        <v>106.36364</v>
      </c>
      <c r="R3051" s="249">
        <f t="shared" si="730"/>
        <v>108.58132189400001</v>
      </c>
      <c r="S3051" s="258">
        <v>0.1</v>
      </c>
      <c r="T3051" s="169">
        <f t="shared" si="729"/>
        <v>117.000004</v>
      </c>
      <c r="U3051" s="315">
        <f t="shared" si="739"/>
        <v>119.43945408340002</v>
      </c>
      <c r="V3051" s="315">
        <f t="shared" si="740"/>
        <v>120</v>
      </c>
      <c r="W3051" s="316">
        <f t="shared" si="741"/>
        <v>0</v>
      </c>
    </row>
    <row r="3052" spans="1:23" x14ac:dyDescent="0.25">
      <c r="A3052" s="200">
        <f>A3051+1</f>
        <v>210522</v>
      </c>
      <c r="B3052" s="313" t="s">
        <v>15310</v>
      </c>
      <c r="C3052" s="248"/>
      <c r="D3052" s="247" t="s">
        <v>11</v>
      </c>
      <c r="E3052" s="249">
        <f t="shared" si="731"/>
        <v>125.70378117937503</v>
      </c>
      <c r="F3052" s="258">
        <v>0.52500000000000002</v>
      </c>
      <c r="G3052" s="258">
        <f t="shared" si="732"/>
        <v>0.52500000000000002</v>
      </c>
      <c r="H3052" s="249">
        <f t="shared" si="733"/>
        <v>95.77430947000002</v>
      </c>
      <c r="I3052" s="258">
        <v>0.4</v>
      </c>
      <c r="J3052" s="258">
        <f t="shared" si="734"/>
        <v>0.4</v>
      </c>
      <c r="K3052" s="249">
        <f t="shared" si="735"/>
        <v>11.971788683750002</v>
      </c>
      <c r="L3052" s="258">
        <v>0.05</v>
      </c>
      <c r="M3052" s="258">
        <f t="shared" si="736"/>
        <v>0.05</v>
      </c>
      <c r="N3052" s="251">
        <f t="shared" si="737"/>
        <v>5.9858943418750012</v>
      </c>
      <c r="O3052" s="258">
        <v>2.5000000000000001E-2</v>
      </c>
      <c r="P3052" s="258">
        <f t="shared" si="738"/>
        <v>2.5000000000000001E-2</v>
      </c>
      <c r="Q3052" s="249">
        <v>234.5455</v>
      </c>
      <c r="R3052" s="249">
        <f t="shared" si="730"/>
        <v>239.43577367500004</v>
      </c>
      <c r="S3052" s="258">
        <v>0.1</v>
      </c>
      <c r="T3052" s="169">
        <f t="shared" si="729"/>
        <v>258.00004999999999</v>
      </c>
      <c r="U3052" s="315">
        <f t="shared" si="739"/>
        <v>263.37935104250005</v>
      </c>
      <c r="V3052" s="315">
        <f t="shared" si="740"/>
        <v>265</v>
      </c>
      <c r="W3052" s="316">
        <f t="shared" si="741"/>
        <v>0</v>
      </c>
    </row>
    <row r="3053" spans="1:23" ht="14.4" thickBot="1" x14ac:dyDescent="0.3">
      <c r="A3053" s="263">
        <f>A3052+1</f>
        <v>210523</v>
      </c>
      <c r="B3053" s="321" t="s">
        <v>15311</v>
      </c>
      <c r="C3053" s="265"/>
      <c r="D3053" s="264" t="s">
        <v>11</v>
      </c>
      <c r="E3053" s="266">
        <f t="shared" si="731"/>
        <v>90.136405028250024</v>
      </c>
      <c r="F3053" s="322">
        <v>0.52500000000000002</v>
      </c>
      <c r="G3053" s="322">
        <f t="shared" si="732"/>
        <v>0.52500000000000002</v>
      </c>
      <c r="H3053" s="266">
        <f t="shared" si="733"/>
        <v>68.675356212000025</v>
      </c>
      <c r="I3053" s="322">
        <v>0.4</v>
      </c>
      <c r="J3053" s="322">
        <f t="shared" si="734"/>
        <v>0.4</v>
      </c>
      <c r="K3053" s="266">
        <f t="shared" si="735"/>
        <v>8.5844195265000032</v>
      </c>
      <c r="L3053" s="322">
        <v>0.05</v>
      </c>
      <c r="M3053" s="322">
        <f t="shared" si="736"/>
        <v>0.05</v>
      </c>
      <c r="N3053" s="270">
        <f t="shared" si="737"/>
        <v>4.2922097632500016</v>
      </c>
      <c r="O3053" s="322">
        <v>2.5000000000000001E-2</v>
      </c>
      <c r="P3053" s="322">
        <f t="shared" si="738"/>
        <v>2.5000000000000001E-2</v>
      </c>
      <c r="Q3053" s="266">
        <v>168.18180000000001</v>
      </c>
      <c r="R3053" s="266">
        <f t="shared" si="730"/>
        <v>171.68839053000005</v>
      </c>
      <c r="S3053" s="322">
        <v>0.1</v>
      </c>
      <c r="T3053" s="291">
        <f t="shared" si="729"/>
        <v>184.99998000000002</v>
      </c>
      <c r="U3053" s="324">
        <f t="shared" si="739"/>
        <v>188.85722958300005</v>
      </c>
      <c r="V3053" s="324">
        <f t="shared" si="740"/>
        <v>190</v>
      </c>
      <c r="W3053" s="325">
        <f t="shared" si="741"/>
        <v>0</v>
      </c>
    </row>
    <row r="3054" spans="1:23" x14ac:dyDescent="0.25">
      <c r="A3054" s="200">
        <f>A3053+1</f>
        <v>210524</v>
      </c>
      <c r="B3054" s="313" t="s">
        <v>15312</v>
      </c>
      <c r="C3054" s="248"/>
      <c r="D3054" s="247" t="s">
        <v>11</v>
      </c>
      <c r="E3054" s="249">
        <f t="shared" si="731"/>
        <v>103.77870244350001</v>
      </c>
      <c r="F3054" s="258">
        <v>0.52500000000000002</v>
      </c>
      <c r="G3054" s="258">
        <f t="shared" si="732"/>
        <v>0.52500000000000002</v>
      </c>
      <c r="H3054" s="249">
        <f t="shared" si="733"/>
        <v>79.069487576000014</v>
      </c>
      <c r="I3054" s="258">
        <v>0.4</v>
      </c>
      <c r="J3054" s="258">
        <f t="shared" si="734"/>
        <v>0.4</v>
      </c>
      <c r="K3054" s="249">
        <f t="shared" si="735"/>
        <v>9.8836859470000018</v>
      </c>
      <c r="L3054" s="258">
        <v>0.05</v>
      </c>
      <c r="M3054" s="258">
        <f t="shared" si="736"/>
        <v>0.05</v>
      </c>
      <c r="N3054" s="251">
        <f t="shared" si="737"/>
        <v>4.9418429735000009</v>
      </c>
      <c r="O3054" s="258">
        <v>2.5000000000000001E-2</v>
      </c>
      <c r="P3054" s="258">
        <f t="shared" si="738"/>
        <v>2.5000000000000001E-2</v>
      </c>
      <c r="Q3054" s="249">
        <v>193.63640000000001</v>
      </c>
      <c r="R3054" s="249">
        <f t="shared" si="730"/>
        <v>197.67371894000001</v>
      </c>
      <c r="S3054" s="258">
        <v>0.1</v>
      </c>
      <c r="T3054" s="169">
        <f t="shared" si="729"/>
        <v>213.00004000000001</v>
      </c>
      <c r="U3054" s="315">
        <f t="shared" si="739"/>
        <v>217.44109083400002</v>
      </c>
      <c r="V3054" s="315">
        <f t="shared" si="740"/>
        <v>220</v>
      </c>
      <c r="W3054" s="316">
        <f t="shared" si="741"/>
        <v>0</v>
      </c>
    </row>
    <row r="3055" spans="1:23" x14ac:dyDescent="0.25">
      <c r="A3055" s="200">
        <v>210530</v>
      </c>
      <c r="B3055" s="313" t="s">
        <v>15313</v>
      </c>
      <c r="C3055" s="248"/>
      <c r="D3055" s="247" t="s">
        <v>11</v>
      </c>
      <c r="E3055" s="249">
        <f t="shared" si="731"/>
        <v>63.224379562050004</v>
      </c>
      <c r="F3055" s="258">
        <v>0.1</v>
      </c>
      <c r="G3055" s="258">
        <f t="shared" si="732"/>
        <v>0.1</v>
      </c>
      <c r="H3055" s="249">
        <f t="shared" si="733"/>
        <v>537.40722627742502</v>
      </c>
      <c r="I3055" s="258">
        <v>0.85</v>
      </c>
      <c r="J3055" s="258">
        <f t="shared" si="734"/>
        <v>0.85</v>
      </c>
      <c r="K3055" s="249">
        <f t="shared" si="735"/>
        <v>22.128532846717501</v>
      </c>
      <c r="L3055" s="258">
        <v>3.5000000000000003E-2</v>
      </c>
      <c r="M3055" s="258">
        <f t="shared" si="736"/>
        <v>3.5000000000000003E-2</v>
      </c>
      <c r="N3055" s="251">
        <f t="shared" si="737"/>
        <v>9.4836569343075006</v>
      </c>
      <c r="O3055" s="258">
        <v>1.4999999999999999E-2</v>
      </c>
      <c r="P3055" s="258">
        <f t="shared" si="738"/>
        <v>1.4999999999999999E-2</v>
      </c>
      <c r="Q3055" s="249">
        <v>620.90909999999997</v>
      </c>
      <c r="R3055" s="249">
        <f t="shared" si="730"/>
        <v>632.24379562050001</v>
      </c>
      <c r="S3055" s="258">
        <v>0.1</v>
      </c>
      <c r="T3055" s="169">
        <f t="shared" si="729"/>
        <v>683.00000999999997</v>
      </c>
      <c r="U3055" s="315">
        <f t="shared" si="739"/>
        <v>695.46817518255</v>
      </c>
      <c r="V3055" s="315">
        <f t="shared" si="740"/>
        <v>700</v>
      </c>
      <c r="W3055" s="316">
        <f t="shared" si="741"/>
        <v>0</v>
      </c>
    </row>
    <row r="3056" spans="1:23" x14ac:dyDescent="0.25">
      <c r="A3056" s="200">
        <f>A3055+1</f>
        <v>210531</v>
      </c>
      <c r="B3056" s="313" t="s">
        <v>15314</v>
      </c>
      <c r="C3056" s="248"/>
      <c r="D3056" s="247" t="s">
        <v>11</v>
      </c>
      <c r="E3056" s="249">
        <f t="shared" si="731"/>
        <v>102.84375500000002</v>
      </c>
      <c r="F3056" s="258">
        <v>0.1</v>
      </c>
      <c r="G3056" s="258">
        <f t="shared" si="732"/>
        <v>0.1</v>
      </c>
      <c r="H3056" s="249">
        <f t="shared" si="733"/>
        <v>874.17191750000006</v>
      </c>
      <c r="I3056" s="258">
        <v>0.85</v>
      </c>
      <c r="J3056" s="258">
        <f t="shared" si="734"/>
        <v>0.85</v>
      </c>
      <c r="K3056" s="249">
        <f t="shared" si="735"/>
        <v>35.995314250000007</v>
      </c>
      <c r="L3056" s="258">
        <v>3.5000000000000003E-2</v>
      </c>
      <c r="M3056" s="258">
        <f t="shared" si="736"/>
        <v>3.5000000000000003E-2</v>
      </c>
      <c r="N3056" s="251">
        <f t="shared" si="737"/>
        <v>15.426563250000001</v>
      </c>
      <c r="O3056" s="258">
        <v>1.4999999999999999E-2</v>
      </c>
      <c r="P3056" s="258">
        <f t="shared" si="738"/>
        <v>1.4999999999999999E-2</v>
      </c>
      <c r="Q3056" s="249">
        <v>1010</v>
      </c>
      <c r="R3056" s="249">
        <f t="shared" si="730"/>
        <v>1028.4375500000001</v>
      </c>
      <c r="S3056" s="258">
        <v>0.1</v>
      </c>
      <c r="T3056" s="169">
        <f t="shared" ref="T3056:T3081" si="745">Q3056+Q3056*S3056</f>
        <v>1111</v>
      </c>
      <c r="U3056" s="315">
        <f t="shared" si="739"/>
        <v>1131.2813050000002</v>
      </c>
      <c r="V3056" s="315">
        <f t="shared" si="740"/>
        <v>1150</v>
      </c>
      <c r="W3056" s="316">
        <f t="shared" si="741"/>
        <v>0</v>
      </c>
    </row>
    <row r="3057" spans="1:23" x14ac:dyDescent="0.25">
      <c r="A3057" s="200">
        <f>A3056+1</f>
        <v>210532</v>
      </c>
      <c r="B3057" s="313" t="s">
        <v>15315</v>
      </c>
      <c r="C3057" s="248"/>
      <c r="D3057" s="247" t="s">
        <v>11</v>
      </c>
      <c r="E3057" s="249">
        <f t="shared" si="731"/>
        <v>137.46442500000003</v>
      </c>
      <c r="F3057" s="258">
        <v>0.1</v>
      </c>
      <c r="G3057" s="258">
        <f t="shared" si="732"/>
        <v>0.1</v>
      </c>
      <c r="H3057" s="249">
        <f t="shared" si="733"/>
        <v>1168.4476125000001</v>
      </c>
      <c r="I3057" s="258">
        <v>0.85</v>
      </c>
      <c r="J3057" s="258">
        <f t="shared" si="734"/>
        <v>0.85</v>
      </c>
      <c r="K3057" s="249">
        <f t="shared" si="735"/>
        <v>48.112548750000016</v>
      </c>
      <c r="L3057" s="258">
        <v>3.5000000000000003E-2</v>
      </c>
      <c r="M3057" s="258">
        <f t="shared" si="736"/>
        <v>3.5000000000000003E-2</v>
      </c>
      <c r="N3057" s="251">
        <f t="shared" si="737"/>
        <v>20.619663750000004</v>
      </c>
      <c r="O3057" s="258">
        <v>1.4999999999999999E-2</v>
      </c>
      <c r="P3057" s="258">
        <f t="shared" si="738"/>
        <v>1.4999999999999999E-2</v>
      </c>
      <c r="Q3057" s="249">
        <v>1350</v>
      </c>
      <c r="R3057" s="249">
        <f t="shared" si="730"/>
        <v>1374.6442500000003</v>
      </c>
      <c r="S3057" s="258">
        <v>0.1</v>
      </c>
      <c r="T3057" s="169">
        <f t="shared" si="745"/>
        <v>1485</v>
      </c>
      <c r="U3057" s="315">
        <f t="shared" si="739"/>
        <v>1512.1086750000004</v>
      </c>
      <c r="V3057" s="315">
        <f t="shared" si="740"/>
        <v>1525</v>
      </c>
      <c r="W3057" s="316">
        <f t="shared" si="741"/>
        <v>0</v>
      </c>
    </row>
    <row r="3058" spans="1:23" x14ac:dyDescent="0.25">
      <c r="A3058" s="200">
        <v>210540</v>
      </c>
      <c r="B3058" s="313" t="s">
        <v>15316</v>
      </c>
      <c r="C3058" s="248"/>
      <c r="D3058" s="247" t="s">
        <v>11</v>
      </c>
      <c r="E3058" s="249">
        <f t="shared" si="731"/>
        <v>27.852381238500005</v>
      </c>
      <c r="F3058" s="258">
        <v>0.6</v>
      </c>
      <c r="G3058" s="258">
        <f t="shared" si="732"/>
        <v>0.6</v>
      </c>
      <c r="H3058" s="249">
        <f t="shared" si="733"/>
        <v>16.247222389125003</v>
      </c>
      <c r="I3058" s="258">
        <v>0.35</v>
      </c>
      <c r="J3058" s="258">
        <f t="shared" si="734"/>
        <v>0.35</v>
      </c>
      <c r="K3058" s="249">
        <f t="shared" si="735"/>
        <v>1.6247222389125004</v>
      </c>
      <c r="L3058" s="258">
        <v>3.5000000000000003E-2</v>
      </c>
      <c r="M3058" s="258">
        <f t="shared" si="736"/>
        <v>3.5000000000000003E-2</v>
      </c>
      <c r="N3058" s="251">
        <f t="shared" si="737"/>
        <v>0.69630953096250003</v>
      </c>
      <c r="O3058" s="258">
        <v>1.4999999999999999E-2</v>
      </c>
      <c r="P3058" s="258">
        <f t="shared" si="738"/>
        <v>1.4999999999999999E-2</v>
      </c>
      <c r="Q3058" s="249">
        <v>45.454500000000003</v>
      </c>
      <c r="R3058" s="249">
        <f t="shared" si="730"/>
        <v>46.420635397500007</v>
      </c>
      <c r="S3058" s="258">
        <v>0.1</v>
      </c>
      <c r="T3058" s="169">
        <f t="shared" si="745"/>
        <v>49.999950000000005</v>
      </c>
      <c r="U3058" s="315">
        <f t="shared" si="739"/>
        <v>51.062698937250005</v>
      </c>
      <c r="V3058" s="315">
        <f t="shared" si="740"/>
        <v>52</v>
      </c>
      <c r="W3058" s="316">
        <f t="shared" si="741"/>
        <v>0</v>
      </c>
    </row>
    <row r="3059" spans="1:23" x14ac:dyDescent="0.25">
      <c r="A3059" s="200">
        <v>210541</v>
      </c>
      <c r="B3059" s="313" t="s">
        <v>15317</v>
      </c>
      <c r="C3059" s="248"/>
      <c r="D3059" s="247" t="s">
        <v>11</v>
      </c>
      <c r="E3059" s="249">
        <f t="shared" si="731"/>
        <v>40.385998752299997</v>
      </c>
      <c r="F3059" s="258">
        <v>0.6</v>
      </c>
      <c r="G3059" s="258">
        <f t="shared" si="732"/>
        <v>0.6</v>
      </c>
      <c r="H3059" s="249">
        <f t="shared" si="733"/>
        <v>23.558499272174998</v>
      </c>
      <c r="I3059" s="258">
        <v>0.35</v>
      </c>
      <c r="J3059" s="258">
        <f t="shared" si="734"/>
        <v>0.35</v>
      </c>
      <c r="K3059" s="249">
        <f t="shared" si="735"/>
        <v>2.3558499272175002</v>
      </c>
      <c r="L3059" s="258">
        <v>3.5000000000000003E-2</v>
      </c>
      <c r="M3059" s="258">
        <f t="shared" si="736"/>
        <v>3.5000000000000003E-2</v>
      </c>
      <c r="N3059" s="251">
        <f t="shared" si="737"/>
        <v>1.0096499688074998</v>
      </c>
      <c r="O3059" s="258">
        <v>1.4999999999999999E-2</v>
      </c>
      <c r="P3059" s="258">
        <f t="shared" si="738"/>
        <v>1.4999999999999999E-2</v>
      </c>
      <c r="Q3059" s="249">
        <v>65.909099999999995</v>
      </c>
      <c r="R3059" s="249">
        <f t="shared" si="730"/>
        <v>67.309997920499995</v>
      </c>
      <c r="S3059" s="258">
        <v>0.1</v>
      </c>
      <c r="T3059" s="169">
        <f t="shared" si="745"/>
        <v>72.500009999999989</v>
      </c>
      <c r="U3059" s="315">
        <f t="shared" si="739"/>
        <v>74.040997712549995</v>
      </c>
      <c r="V3059" s="315">
        <f t="shared" si="740"/>
        <v>75</v>
      </c>
      <c r="W3059" s="316">
        <f t="shared" si="741"/>
        <v>0</v>
      </c>
    </row>
    <row r="3060" spans="1:23" x14ac:dyDescent="0.25">
      <c r="A3060" s="195" t="s">
        <v>15318</v>
      </c>
      <c r="B3060" s="317" t="s">
        <v>15319</v>
      </c>
      <c r="C3060" s="318"/>
      <c r="D3060" s="319"/>
      <c r="E3060" s="319"/>
      <c r="F3060" s="319"/>
      <c r="G3060" s="319"/>
      <c r="H3060" s="319"/>
      <c r="I3060" s="319"/>
      <c r="J3060" s="319"/>
      <c r="K3060" s="319"/>
      <c r="L3060" s="319"/>
      <c r="M3060" s="319"/>
      <c r="N3060" s="319"/>
      <c r="O3060" s="319"/>
      <c r="P3060" s="319"/>
      <c r="Q3060" s="319"/>
      <c r="R3060" s="319"/>
      <c r="S3060" s="319"/>
      <c r="T3060" s="319"/>
      <c r="U3060" s="320"/>
      <c r="V3060" s="320"/>
      <c r="W3060" s="306"/>
    </row>
    <row r="3061" spans="1:23" x14ac:dyDescent="0.25">
      <c r="A3061" s="200" t="s">
        <v>15320</v>
      </c>
      <c r="B3061" s="313" t="s">
        <v>22612</v>
      </c>
      <c r="C3061" s="248"/>
      <c r="D3061" s="247" t="s">
        <v>11</v>
      </c>
      <c r="E3061" s="249">
        <f t="shared" si="731"/>
        <v>5.2317753150000001</v>
      </c>
      <c r="F3061" s="258">
        <v>0.75</v>
      </c>
      <c r="G3061" s="258">
        <f t="shared" si="732"/>
        <v>0.75</v>
      </c>
      <c r="H3061" s="249">
        <f t="shared" si="733"/>
        <v>0</v>
      </c>
      <c r="I3061" s="314"/>
      <c r="J3061" s="258">
        <f t="shared" si="734"/>
        <v>0</v>
      </c>
      <c r="K3061" s="249">
        <f t="shared" si="735"/>
        <v>1.3951400840000001</v>
      </c>
      <c r="L3061" s="258">
        <v>0.2</v>
      </c>
      <c r="M3061" s="258">
        <f t="shared" si="736"/>
        <v>0.2</v>
      </c>
      <c r="N3061" s="251">
        <f t="shared" si="737"/>
        <v>0.34878502100000003</v>
      </c>
      <c r="O3061" s="258">
        <v>0.05</v>
      </c>
      <c r="P3061" s="258">
        <f t="shared" si="738"/>
        <v>0.05</v>
      </c>
      <c r="Q3061" s="249">
        <v>6.8182</v>
      </c>
      <c r="R3061" s="249">
        <f t="shared" si="730"/>
        <v>6.9757004199999999</v>
      </c>
      <c r="S3061" s="258">
        <v>0.1</v>
      </c>
      <c r="T3061" s="169">
        <f t="shared" si="745"/>
        <v>7.5000200000000001</v>
      </c>
      <c r="U3061" s="315">
        <f t="shared" si="739"/>
        <v>7.6732704619999996</v>
      </c>
      <c r="V3061" s="315">
        <f t="shared" si="740"/>
        <v>8</v>
      </c>
      <c r="W3061" s="316">
        <f t="shared" si="741"/>
        <v>0</v>
      </c>
    </row>
    <row r="3062" spans="1:23" ht="21" x14ac:dyDescent="0.25">
      <c r="A3062" s="200" t="s">
        <v>15321</v>
      </c>
      <c r="B3062" s="255" t="s">
        <v>22613</v>
      </c>
      <c r="C3062" s="248"/>
      <c r="D3062" s="247" t="s">
        <v>2</v>
      </c>
      <c r="E3062" s="249">
        <f t="shared" si="731"/>
        <v>12.9567930345</v>
      </c>
      <c r="F3062" s="258">
        <v>0.7</v>
      </c>
      <c r="G3062" s="258">
        <f t="shared" si="732"/>
        <v>0.7</v>
      </c>
      <c r="H3062" s="249">
        <f t="shared" si="733"/>
        <v>0</v>
      </c>
      <c r="I3062" s="314"/>
      <c r="J3062" s="258">
        <f t="shared" si="734"/>
        <v>0</v>
      </c>
      <c r="K3062" s="249">
        <f t="shared" si="735"/>
        <v>4.6274260837500005</v>
      </c>
      <c r="L3062" s="258">
        <v>0.25</v>
      </c>
      <c r="M3062" s="258">
        <f t="shared" si="736"/>
        <v>0.25</v>
      </c>
      <c r="N3062" s="251">
        <f t="shared" si="737"/>
        <v>0.92548521675000017</v>
      </c>
      <c r="O3062" s="258">
        <v>0.05</v>
      </c>
      <c r="P3062" s="258">
        <f t="shared" si="738"/>
        <v>0.05</v>
      </c>
      <c r="Q3062" s="249">
        <v>18.090900000000001</v>
      </c>
      <c r="R3062" s="249">
        <f t="shared" si="730"/>
        <v>18.509704335000002</v>
      </c>
      <c r="S3062" s="258">
        <v>0.1</v>
      </c>
      <c r="T3062" s="169">
        <f t="shared" si="745"/>
        <v>19.899990000000003</v>
      </c>
      <c r="U3062" s="315">
        <f t="shared" si="739"/>
        <v>20.360674768500001</v>
      </c>
      <c r="V3062" s="315">
        <f t="shared" si="740"/>
        <v>21</v>
      </c>
      <c r="W3062" s="316">
        <f t="shared" si="741"/>
        <v>0</v>
      </c>
    </row>
    <row r="3063" spans="1:23" ht="21" x14ac:dyDescent="0.25">
      <c r="A3063" s="200" t="s">
        <v>15322</v>
      </c>
      <c r="B3063" s="255" t="s">
        <v>22614</v>
      </c>
      <c r="C3063" s="248"/>
      <c r="D3063" s="247" t="s">
        <v>2</v>
      </c>
      <c r="E3063" s="249">
        <f t="shared" si="731"/>
        <v>17.254023034500001</v>
      </c>
      <c r="F3063" s="258">
        <v>0.7</v>
      </c>
      <c r="G3063" s="258">
        <f t="shared" si="732"/>
        <v>0.7</v>
      </c>
      <c r="H3063" s="249">
        <f t="shared" si="733"/>
        <v>0</v>
      </c>
      <c r="I3063" s="314"/>
      <c r="J3063" s="258">
        <f t="shared" si="734"/>
        <v>0</v>
      </c>
      <c r="K3063" s="249">
        <f t="shared" si="735"/>
        <v>6.1621510837500004</v>
      </c>
      <c r="L3063" s="258">
        <v>0.25</v>
      </c>
      <c r="M3063" s="258">
        <f t="shared" si="736"/>
        <v>0.25</v>
      </c>
      <c r="N3063" s="251">
        <f t="shared" si="737"/>
        <v>1.2324302167500001</v>
      </c>
      <c r="O3063" s="258">
        <v>0.05</v>
      </c>
      <c r="P3063" s="258">
        <f t="shared" si="738"/>
        <v>0.05</v>
      </c>
      <c r="Q3063" s="249">
        <v>24.090900000000001</v>
      </c>
      <c r="R3063" s="249">
        <f t="shared" si="730"/>
        <v>24.648604335000002</v>
      </c>
      <c r="S3063" s="258">
        <v>0.1</v>
      </c>
      <c r="T3063" s="169">
        <f t="shared" si="745"/>
        <v>26.49999</v>
      </c>
      <c r="U3063" s="315">
        <f t="shared" si="739"/>
        <v>27.113464768500002</v>
      </c>
      <c r="V3063" s="315">
        <f t="shared" si="740"/>
        <v>28</v>
      </c>
      <c r="W3063" s="316">
        <f t="shared" si="741"/>
        <v>0</v>
      </c>
    </row>
    <row r="3064" spans="1:23" ht="21" x14ac:dyDescent="0.25">
      <c r="A3064" s="200" t="s">
        <v>15323</v>
      </c>
      <c r="B3064" s="255" t="s">
        <v>22615</v>
      </c>
      <c r="C3064" s="248"/>
      <c r="D3064" s="247" t="s">
        <v>2</v>
      </c>
      <c r="E3064" s="249">
        <f t="shared" si="731"/>
        <v>28.648199999999999</v>
      </c>
      <c r="F3064" s="258">
        <v>0.7</v>
      </c>
      <c r="G3064" s="258">
        <f t="shared" si="732"/>
        <v>0.7</v>
      </c>
      <c r="H3064" s="249">
        <f t="shared" si="733"/>
        <v>0</v>
      </c>
      <c r="I3064" s="314"/>
      <c r="J3064" s="258">
        <f t="shared" si="734"/>
        <v>0</v>
      </c>
      <c r="K3064" s="249">
        <f t="shared" si="735"/>
        <v>10.2315</v>
      </c>
      <c r="L3064" s="258">
        <v>0.25</v>
      </c>
      <c r="M3064" s="258">
        <f t="shared" si="736"/>
        <v>0.25</v>
      </c>
      <c r="N3064" s="251">
        <f t="shared" si="737"/>
        <v>2.0463</v>
      </c>
      <c r="O3064" s="258">
        <v>0.05</v>
      </c>
      <c r="P3064" s="258">
        <f t="shared" si="738"/>
        <v>0.05</v>
      </c>
      <c r="Q3064" s="249">
        <v>40</v>
      </c>
      <c r="R3064" s="249">
        <f t="shared" si="730"/>
        <v>40.926000000000002</v>
      </c>
      <c r="S3064" s="258">
        <v>0.1</v>
      </c>
      <c r="T3064" s="169">
        <f t="shared" si="745"/>
        <v>44</v>
      </c>
      <c r="U3064" s="315">
        <f t="shared" si="739"/>
        <v>45.018599999999999</v>
      </c>
      <c r="V3064" s="315">
        <f t="shared" si="740"/>
        <v>46</v>
      </c>
      <c r="W3064" s="316">
        <f t="shared" si="741"/>
        <v>0</v>
      </c>
    </row>
    <row r="3065" spans="1:23" x14ac:dyDescent="0.25">
      <c r="A3065" s="200" t="s">
        <v>15324</v>
      </c>
      <c r="B3065" s="313" t="s">
        <v>22616</v>
      </c>
      <c r="C3065" s="248"/>
      <c r="D3065" s="247" t="s">
        <v>11</v>
      </c>
      <c r="E3065" s="249">
        <f t="shared" si="731"/>
        <v>156.58848286200001</v>
      </c>
      <c r="F3065" s="258">
        <v>0.7</v>
      </c>
      <c r="G3065" s="258">
        <f t="shared" si="732"/>
        <v>0.7</v>
      </c>
      <c r="H3065" s="249">
        <f t="shared" si="733"/>
        <v>0</v>
      </c>
      <c r="I3065" s="314"/>
      <c r="J3065" s="258">
        <f t="shared" si="734"/>
        <v>0</v>
      </c>
      <c r="K3065" s="249">
        <f t="shared" si="735"/>
        <v>55.924458165000004</v>
      </c>
      <c r="L3065" s="258">
        <v>0.25</v>
      </c>
      <c r="M3065" s="258">
        <f t="shared" si="736"/>
        <v>0.25</v>
      </c>
      <c r="N3065" s="251">
        <f t="shared" si="737"/>
        <v>11.184891633000001</v>
      </c>
      <c r="O3065" s="258">
        <v>0.05</v>
      </c>
      <c r="P3065" s="258">
        <f t="shared" si="738"/>
        <v>0.05</v>
      </c>
      <c r="Q3065" s="249">
        <v>218.63640000000001</v>
      </c>
      <c r="R3065" s="249">
        <f t="shared" si="730"/>
        <v>223.69783266000002</v>
      </c>
      <c r="S3065" s="258">
        <v>0.1</v>
      </c>
      <c r="T3065" s="169">
        <f t="shared" si="745"/>
        <v>240.50004000000001</v>
      </c>
      <c r="U3065" s="315">
        <f t="shared" si="739"/>
        <v>246.06761592600003</v>
      </c>
      <c r="V3065" s="315">
        <f t="shared" si="740"/>
        <v>250</v>
      </c>
      <c r="W3065" s="316">
        <f t="shared" si="741"/>
        <v>0</v>
      </c>
    </row>
    <row r="3066" spans="1:23" x14ac:dyDescent="0.25">
      <c r="A3066" s="200" t="s">
        <v>15325</v>
      </c>
      <c r="B3066" s="313" t="s">
        <v>22617</v>
      </c>
      <c r="C3066" s="248"/>
      <c r="D3066" s="247" t="s">
        <v>11</v>
      </c>
      <c r="E3066" s="249">
        <f t="shared" si="731"/>
        <v>140.31107696549998</v>
      </c>
      <c r="F3066" s="258">
        <v>0.7</v>
      </c>
      <c r="G3066" s="258">
        <f t="shared" si="732"/>
        <v>0.7</v>
      </c>
      <c r="H3066" s="249">
        <f t="shared" si="733"/>
        <v>0</v>
      </c>
      <c r="I3066" s="314"/>
      <c r="J3066" s="258">
        <f t="shared" si="734"/>
        <v>0</v>
      </c>
      <c r="K3066" s="249">
        <f t="shared" si="735"/>
        <v>50.11109891625</v>
      </c>
      <c r="L3066" s="258">
        <v>0.25</v>
      </c>
      <c r="M3066" s="258">
        <f t="shared" si="736"/>
        <v>0.25</v>
      </c>
      <c r="N3066" s="251">
        <f t="shared" si="737"/>
        <v>10.022219783250002</v>
      </c>
      <c r="O3066" s="258">
        <v>0.05</v>
      </c>
      <c r="P3066" s="258">
        <f t="shared" si="738"/>
        <v>0.05</v>
      </c>
      <c r="Q3066" s="249">
        <v>195.9091</v>
      </c>
      <c r="R3066" s="249">
        <f t="shared" si="730"/>
        <v>200.444395665</v>
      </c>
      <c r="S3066" s="258">
        <v>0.1</v>
      </c>
      <c r="T3066" s="169">
        <f t="shared" si="745"/>
        <v>215.50001</v>
      </c>
      <c r="U3066" s="315">
        <f t="shared" si="739"/>
        <v>220.48883523149999</v>
      </c>
      <c r="V3066" s="315">
        <f t="shared" si="740"/>
        <v>225</v>
      </c>
      <c r="W3066" s="316">
        <f t="shared" si="741"/>
        <v>0</v>
      </c>
    </row>
    <row r="3067" spans="1:23" x14ac:dyDescent="0.25">
      <c r="A3067" s="200" t="s">
        <v>15325</v>
      </c>
      <c r="B3067" s="313" t="s">
        <v>15326</v>
      </c>
      <c r="C3067" s="248"/>
      <c r="D3067" s="247" t="s">
        <v>11</v>
      </c>
      <c r="E3067" s="249">
        <f t="shared" si="731"/>
        <v>159.843921069</v>
      </c>
      <c r="F3067" s="258">
        <v>0.7</v>
      </c>
      <c r="G3067" s="258">
        <f t="shared" si="732"/>
        <v>0.7</v>
      </c>
      <c r="H3067" s="249">
        <f t="shared" si="733"/>
        <v>0</v>
      </c>
      <c r="I3067" s="314"/>
      <c r="J3067" s="258">
        <f t="shared" si="734"/>
        <v>0</v>
      </c>
      <c r="K3067" s="249">
        <f t="shared" si="735"/>
        <v>57.087114667500003</v>
      </c>
      <c r="L3067" s="258">
        <v>0.25</v>
      </c>
      <c r="M3067" s="258">
        <f t="shared" si="736"/>
        <v>0.25</v>
      </c>
      <c r="N3067" s="251">
        <f t="shared" si="737"/>
        <v>11.417422933500001</v>
      </c>
      <c r="O3067" s="258">
        <v>0.05</v>
      </c>
      <c r="P3067" s="258">
        <f t="shared" si="738"/>
        <v>0.05</v>
      </c>
      <c r="Q3067" s="249">
        <v>223.18180000000001</v>
      </c>
      <c r="R3067" s="249">
        <f t="shared" si="730"/>
        <v>228.34845867000001</v>
      </c>
      <c r="S3067" s="258">
        <v>0.1</v>
      </c>
      <c r="T3067" s="169">
        <f t="shared" si="745"/>
        <v>245.49998000000002</v>
      </c>
      <c r="U3067" s="315">
        <f t="shared" si="739"/>
        <v>251.18330453700003</v>
      </c>
      <c r="V3067" s="315">
        <f t="shared" si="740"/>
        <v>255</v>
      </c>
      <c r="W3067" s="316">
        <f t="shared" si="741"/>
        <v>0</v>
      </c>
    </row>
    <row r="3068" spans="1:23" x14ac:dyDescent="0.25">
      <c r="A3068" s="200" t="s">
        <v>15327</v>
      </c>
      <c r="B3068" s="313" t="s">
        <v>15328</v>
      </c>
      <c r="C3068" s="248"/>
      <c r="D3068" s="247" t="s">
        <v>11</v>
      </c>
      <c r="E3068" s="249">
        <f t="shared" si="731"/>
        <v>184.25999410349999</v>
      </c>
      <c r="F3068" s="258">
        <v>0.7</v>
      </c>
      <c r="G3068" s="258">
        <f t="shared" si="732"/>
        <v>0.7</v>
      </c>
      <c r="H3068" s="249">
        <f t="shared" si="733"/>
        <v>0</v>
      </c>
      <c r="I3068" s="314"/>
      <c r="J3068" s="258">
        <f t="shared" si="734"/>
        <v>0</v>
      </c>
      <c r="K3068" s="249">
        <f t="shared" si="735"/>
        <v>65.807140751250003</v>
      </c>
      <c r="L3068" s="258">
        <v>0.25</v>
      </c>
      <c r="M3068" s="258">
        <f t="shared" si="736"/>
        <v>0.25</v>
      </c>
      <c r="N3068" s="251">
        <f t="shared" si="737"/>
        <v>13.161428150250002</v>
      </c>
      <c r="O3068" s="258">
        <v>0.05</v>
      </c>
      <c r="P3068" s="258">
        <f t="shared" si="738"/>
        <v>0.05</v>
      </c>
      <c r="Q3068" s="249">
        <v>257.27269999999999</v>
      </c>
      <c r="R3068" s="249">
        <f t="shared" si="730"/>
        <v>263.22856300500001</v>
      </c>
      <c r="S3068" s="258">
        <v>0.1</v>
      </c>
      <c r="T3068" s="169">
        <f t="shared" si="745"/>
        <v>282.99996999999996</v>
      </c>
      <c r="U3068" s="315">
        <f t="shared" si="739"/>
        <v>289.55141930550002</v>
      </c>
      <c r="V3068" s="315">
        <f t="shared" si="740"/>
        <v>290</v>
      </c>
      <c r="W3068" s="316">
        <f t="shared" si="741"/>
        <v>0</v>
      </c>
    </row>
    <row r="3069" spans="1:23" ht="21" x14ac:dyDescent="0.25">
      <c r="A3069" s="200" t="s">
        <v>15329</v>
      </c>
      <c r="B3069" s="255" t="s">
        <v>22618</v>
      </c>
      <c r="C3069" s="248"/>
      <c r="D3069" s="247" t="s">
        <v>11</v>
      </c>
      <c r="E3069" s="249">
        <f t="shared" si="731"/>
        <v>215.18701517250003</v>
      </c>
      <c r="F3069" s="258">
        <v>0.7</v>
      </c>
      <c r="G3069" s="258">
        <f t="shared" si="732"/>
        <v>0.7</v>
      </c>
      <c r="H3069" s="249">
        <f t="shared" si="733"/>
        <v>0</v>
      </c>
      <c r="I3069" s="314"/>
      <c r="J3069" s="258">
        <f t="shared" si="734"/>
        <v>0</v>
      </c>
      <c r="K3069" s="249">
        <f t="shared" si="735"/>
        <v>76.852505418750013</v>
      </c>
      <c r="L3069" s="258">
        <v>0.25</v>
      </c>
      <c r="M3069" s="258">
        <f t="shared" si="736"/>
        <v>0.25</v>
      </c>
      <c r="N3069" s="251">
        <f t="shared" si="737"/>
        <v>15.370501083750003</v>
      </c>
      <c r="O3069" s="258">
        <v>0.05</v>
      </c>
      <c r="P3069" s="258">
        <f t="shared" si="738"/>
        <v>0.05</v>
      </c>
      <c r="Q3069" s="249">
        <v>300.4545</v>
      </c>
      <c r="R3069" s="249">
        <f t="shared" si="730"/>
        <v>307.41002167500005</v>
      </c>
      <c r="S3069" s="258">
        <v>0.1</v>
      </c>
      <c r="T3069" s="169">
        <f t="shared" si="745"/>
        <v>330.49995000000001</v>
      </c>
      <c r="U3069" s="315">
        <f t="shared" si="739"/>
        <v>338.15102384250008</v>
      </c>
      <c r="V3069" s="315">
        <f t="shared" si="740"/>
        <v>340</v>
      </c>
      <c r="W3069" s="316">
        <f t="shared" si="741"/>
        <v>0</v>
      </c>
    </row>
    <row r="3070" spans="1:23" ht="21" x14ac:dyDescent="0.25">
      <c r="A3070" s="200" t="s">
        <v>15330</v>
      </c>
      <c r="B3070" s="255" t="s">
        <v>22619</v>
      </c>
      <c r="C3070" s="248"/>
      <c r="D3070" s="247" t="s">
        <v>11</v>
      </c>
      <c r="E3070" s="249">
        <f t="shared" si="731"/>
        <v>275.08782303449993</v>
      </c>
      <c r="F3070" s="258">
        <v>0.7</v>
      </c>
      <c r="G3070" s="258">
        <f t="shared" si="732"/>
        <v>0.7</v>
      </c>
      <c r="H3070" s="249">
        <f t="shared" si="733"/>
        <v>0</v>
      </c>
      <c r="I3070" s="314"/>
      <c r="J3070" s="258">
        <f t="shared" si="734"/>
        <v>0</v>
      </c>
      <c r="K3070" s="249">
        <f t="shared" si="735"/>
        <v>98.245651083749976</v>
      </c>
      <c r="L3070" s="258">
        <v>0.25</v>
      </c>
      <c r="M3070" s="258">
        <f t="shared" si="736"/>
        <v>0.25</v>
      </c>
      <c r="N3070" s="251">
        <f t="shared" si="737"/>
        <v>19.649130216749995</v>
      </c>
      <c r="O3070" s="258">
        <v>0.05</v>
      </c>
      <c r="P3070" s="258">
        <f t="shared" si="738"/>
        <v>0.05</v>
      </c>
      <c r="Q3070" s="249">
        <v>384.09089999999998</v>
      </c>
      <c r="R3070" s="249">
        <f t="shared" si="730"/>
        <v>392.98260433499991</v>
      </c>
      <c r="S3070" s="258">
        <v>0.1</v>
      </c>
      <c r="T3070" s="169">
        <f t="shared" si="745"/>
        <v>422.49998999999997</v>
      </c>
      <c r="U3070" s="315">
        <f t="shared" si="739"/>
        <v>432.2808647684999</v>
      </c>
      <c r="V3070" s="315">
        <f t="shared" si="740"/>
        <v>435</v>
      </c>
      <c r="W3070" s="316">
        <f t="shared" si="741"/>
        <v>0</v>
      </c>
    </row>
    <row r="3071" spans="1:23" ht="21" x14ac:dyDescent="0.25">
      <c r="A3071" s="200" t="s">
        <v>15330</v>
      </c>
      <c r="B3071" s="255" t="s">
        <v>22620</v>
      </c>
      <c r="C3071" s="248"/>
      <c r="D3071" s="247" t="s">
        <v>11</v>
      </c>
      <c r="E3071" s="249">
        <f t="shared" si="731"/>
        <v>315.78130196550001</v>
      </c>
      <c r="F3071" s="258">
        <v>0.7</v>
      </c>
      <c r="G3071" s="258">
        <f t="shared" si="732"/>
        <v>0.7</v>
      </c>
      <c r="H3071" s="249">
        <f t="shared" si="733"/>
        <v>0</v>
      </c>
      <c r="I3071" s="314"/>
      <c r="J3071" s="258">
        <f t="shared" si="734"/>
        <v>0</v>
      </c>
      <c r="K3071" s="249">
        <f t="shared" si="735"/>
        <v>112.77903641625001</v>
      </c>
      <c r="L3071" s="258">
        <v>0.25</v>
      </c>
      <c r="M3071" s="258">
        <f t="shared" si="736"/>
        <v>0.25</v>
      </c>
      <c r="N3071" s="251">
        <f t="shared" si="737"/>
        <v>22.555807283250005</v>
      </c>
      <c r="O3071" s="258">
        <v>0.05</v>
      </c>
      <c r="P3071" s="258">
        <f t="shared" si="738"/>
        <v>0.05</v>
      </c>
      <c r="Q3071" s="249">
        <v>440.90910000000002</v>
      </c>
      <c r="R3071" s="249">
        <f t="shared" si="730"/>
        <v>451.11614566500003</v>
      </c>
      <c r="S3071" s="258">
        <v>0.1</v>
      </c>
      <c r="T3071" s="169">
        <f t="shared" si="745"/>
        <v>485.00001000000003</v>
      </c>
      <c r="U3071" s="315">
        <f t="shared" si="739"/>
        <v>496.22776023150004</v>
      </c>
      <c r="V3071" s="315">
        <f t="shared" si="740"/>
        <v>500</v>
      </c>
      <c r="W3071" s="316">
        <f t="shared" si="741"/>
        <v>0</v>
      </c>
    </row>
    <row r="3072" spans="1:23" x14ac:dyDescent="0.25">
      <c r="A3072" s="200" t="s">
        <v>15331</v>
      </c>
      <c r="B3072" s="313" t="s">
        <v>22621</v>
      </c>
      <c r="C3072" s="248"/>
      <c r="D3072" s="247" t="s">
        <v>11</v>
      </c>
      <c r="E3072" s="249">
        <f t="shared" si="731"/>
        <v>41.344580896499998</v>
      </c>
      <c r="F3072" s="258">
        <v>0.7</v>
      </c>
      <c r="G3072" s="258">
        <f t="shared" si="732"/>
        <v>0.7</v>
      </c>
      <c r="H3072" s="249">
        <f t="shared" si="733"/>
        <v>0</v>
      </c>
      <c r="I3072" s="314"/>
      <c r="J3072" s="258">
        <f t="shared" si="734"/>
        <v>0</v>
      </c>
      <c r="K3072" s="249">
        <f t="shared" si="735"/>
        <v>14.765921748750001</v>
      </c>
      <c r="L3072" s="258">
        <v>0.25</v>
      </c>
      <c r="M3072" s="258">
        <f t="shared" si="736"/>
        <v>0.25</v>
      </c>
      <c r="N3072" s="251">
        <f t="shared" si="737"/>
        <v>2.9531843497500003</v>
      </c>
      <c r="O3072" s="258">
        <v>0.05</v>
      </c>
      <c r="P3072" s="258">
        <f t="shared" si="738"/>
        <v>0.05</v>
      </c>
      <c r="Q3072" s="249">
        <v>57.7273</v>
      </c>
      <c r="R3072" s="249">
        <f t="shared" si="730"/>
        <v>59.063686995000005</v>
      </c>
      <c r="S3072" s="258">
        <v>0.1</v>
      </c>
      <c r="T3072" s="169">
        <f t="shared" si="745"/>
        <v>63.500030000000002</v>
      </c>
      <c r="U3072" s="315">
        <f t="shared" si="739"/>
        <v>64.970055694500005</v>
      </c>
      <c r="V3072" s="315">
        <f t="shared" si="740"/>
        <v>65</v>
      </c>
      <c r="W3072" s="316">
        <f t="shared" si="741"/>
        <v>0</v>
      </c>
    </row>
    <row r="3073" spans="1:23" x14ac:dyDescent="0.25">
      <c r="A3073" s="200" t="s">
        <v>15332</v>
      </c>
      <c r="B3073" s="313" t="s">
        <v>22622</v>
      </c>
      <c r="C3073" s="248"/>
      <c r="D3073" s="247" t="s">
        <v>11</v>
      </c>
      <c r="E3073" s="249">
        <f t="shared" si="731"/>
        <v>120.94095463799999</v>
      </c>
      <c r="F3073" s="258">
        <v>0.7</v>
      </c>
      <c r="G3073" s="258">
        <f t="shared" si="732"/>
        <v>0.7</v>
      </c>
      <c r="H3073" s="249">
        <f t="shared" si="733"/>
        <v>0</v>
      </c>
      <c r="I3073" s="314"/>
      <c r="J3073" s="258">
        <f t="shared" si="734"/>
        <v>0</v>
      </c>
      <c r="K3073" s="249">
        <f t="shared" si="735"/>
        <v>43.193198084999999</v>
      </c>
      <c r="L3073" s="258">
        <v>0.25</v>
      </c>
      <c r="M3073" s="258">
        <f t="shared" si="736"/>
        <v>0.25</v>
      </c>
      <c r="N3073" s="251">
        <f t="shared" si="737"/>
        <v>8.6386396170000008</v>
      </c>
      <c r="O3073" s="258">
        <v>0.05</v>
      </c>
      <c r="P3073" s="258">
        <f t="shared" si="738"/>
        <v>0.05</v>
      </c>
      <c r="Q3073" s="249">
        <v>168.86359999999999</v>
      </c>
      <c r="R3073" s="249">
        <f t="shared" ref="R3073:R3136" si="746">SUM(F3073*Q3073*1.0235,I3073*Q3073*1.0175,L3073*Q3073*1.0245,O3073*Q3073*1.0115)</f>
        <v>172.77279234</v>
      </c>
      <c r="S3073" s="258">
        <v>0.1</v>
      </c>
      <c r="T3073" s="169">
        <f t="shared" si="745"/>
        <v>185.74995999999999</v>
      </c>
      <c r="U3073" s="315">
        <f t="shared" si="739"/>
        <v>190.05007157399999</v>
      </c>
      <c r="V3073" s="315">
        <f t="shared" si="740"/>
        <v>195</v>
      </c>
      <c r="W3073" s="316">
        <f t="shared" si="741"/>
        <v>0</v>
      </c>
    </row>
    <row r="3074" spans="1:23" x14ac:dyDescent="0.25">
      <c r="A3074" s="200" t="s">
        <v>15333</v>
      </c>
      <c r="B3074" s="313" t="s">
        <v>22623</v>
      </c>
      <c r="C3074" s="248"/>
      <c r="D3074" s="247" t="s">
        <v>11</v>
      </c>
      <c r="E3074" s="249">
        <f t="shared" ref="E3074:E3137" si="747">R3074*G3074</f>
        <v>139.98549017249999</v>
      </c>
      <c r="F3074" s="258">
        <v>0.7</v>
      </c>
      <c r="G3074" s="258">
        <f t="shared" ref="G3074:G3137" si="748">F3074</f>
        <v>0.7</v>
      </c>
      <c r="H3074" s="249">
        <f t="shared" ref="H3074:H3137" si="749">R3074*J3074</f>
        <v>0</v>
      </c>
      <c r="I3074" s="314"/>
      <c r="J3074" s="258">
        <f t="shared" ref="J3074:J3137" si="750">I3074</f>
        <v>0</v>
      </c>
      <c r="K3074" s="249">
        <f t="shared" ref="K3074:K3137" si="751">R3074*M3074</f>
        <v>49.994817918750002</v>
      </c>
      <c r="L3074" s="258">
        <v>0.25</v>
      </c>
      <c r="M3074" s="258">
        <f t="shared" ref="M3074:M3137" si="752">L3074</f>
        <v>0.25</v>
      </c>
      <c r="N3074" s="251">
        <f t="shared" ref="N3074:N3137" si="753">P3074*R3074</f>
        <v>9.998963583750001</v>
      </c>
      <c r="O3074" s="258">
        <v>0.05</v>
      </c>
      <c r="P3074" s="258">
        <f t="shared" ref="P3074:P3137" si="754">O3074</f>
        <v>0.05</v>
      </c>
      <c r="Q3074" s="249">
        <v>195.4545</v>
      </c>
      <c r="R3074" s="249">
        <f t="shared" si="746"/>
        <v>199.97927167500001</v>
      </c>
      <c r="S3074" s="258">
        <v>0.1</v>
      </c>
      <c r="T3074" s="169">
        <f t="shared" si="745"/>
        <v>214.99995000000001</v>
      </c>
      <c r="U3074" s="315">
        <f t="shared" si="739"/>
        <v>219.9771988425</v>
      </c>
      <c r="V3074" s="315">
        <f t="shared" si="740"/>
        <v>220</v>
      </c>
      <c r="W3074" s="316">
        <f t="shared" si="741"/>
        <v>0</v>
      </c>
    </row>
    <row r="3075" spans="1:23" ht="21" x14ac:dyDescent="0.25">
      <c r="A3075" s="200" t="s">
        <v>15334</v>
      </c>
      <c r="B3075" s="255" t="s">
        <v>15335</v>
      </c>
      <c r="C3075" s="248"/>
      <c r="D3075" s="247" t="s">
        <v>11</v>
      </c>
      <c r="E3075" s="249">
        <f t="shared" si="747"/>
        <v>26.369378930999996</v>
      </c>
      <c r="F3075" s="258">
        <v>0.7</v>
      </c>
      <c r="G3075" s="258">
        <f t="shared" si="748"/>
        <v>0.7</v>
      </c>
      <c r="H3075" s="249">
        <f t="shared" si="749"/>
        <v>0</v>
      </c>
      <c r="I3075" s="314"/>
      <c r="J3075" s="258">
        <f t="shared" si="750"/>
        <v>0</v>
      </c>
      <c r="K3075" s="249">
        <f t="shared" si="751"/>
        <v>9.4176353324999997</v>
      </c>
      <c r="L3075" s="258">
        <v>0.25</v>
      </c>
      <c r="M3075" s="258">
        <f t="shared" si="752"/>
        <v>0.25</v>
      </c>
      <c r="N3075" s="251">
        <f t="shared" si="753"/>
        <v>1.8835270665000001</v>
      </c>
      <c r="O3075" s="258">
        <v>0.05</v>
      </c>
      <c r="P3075" s="258">
        <f t="shared" si="754"/>
        <v>0.05</v>
      </c>
      <c r="Q3075" s="249">
        <v>36.818199999999997</v>
      </c>
      <c r="R3075" s="249">
        <f t="shared" si="746"/>
        <v>37.670541329999999</v>
      </c>
      <c r="S3075" s="258">
        <v>0.1</v>
      </c>
      <c r="T3075" s="169">
        <f t="shared" si="745"/>
        <v>40.500019999999999</v>
      </c>
      <c r="U3075" s="315">
        <f t="shared" si="739"/>
        <v>41.437595463000001</v>
      </c>
      <c r="V3075" s="315">
        <f t="shared" si="740"/>
        <v>42</v>
      </c>
      <c r="W3075" s="316">
        <f t="shared" si="741"/>
        <v>0</v>
      </c>
    </row>
    <row r="3076" spans="1:23" ht="21" x14ac:dyDescent="0.25">
      <c r="A3076" s="200" t="s">
        <v>15336</v>
      </c>
      <c r="B3076" s="255" t="s">
        <v>22624</v>
      </c>
      <c r="C3076" s="248"/>
      <c r="D3076" s="247" t="s">
        <v>11</v>
      </c>
      <c r="E3076" s="249">
        <f t="shared" si="747"/>
        <v>273.46010393099999</v>
      </c>
      <c r="F3076" s="258">
        <v>0.7</v>
      </c>
      <c r="G3076" s="258">
        <f t="shared" si="748"/>
        <v>0.7</v>
      </c>
      <c r="H3076" s="249">
        <f t="shared" si="749"/>
        <v>0</v>
      </c>
      <c r="I3076" s="314"/>
      <c r="J3076" s="258">
        <f t="shared" si="750"/>
        <v>0</v>
      </c>
      <c r="K3076" s="249">
        <f t="shared" si="751"/>
        <v>97.664322832500005</v>
      </c>
      <c r="L3076" s="258">
        <v>0.25</v>
      </c>
      <c r="M3076" s="258">
        <f t="shared" si="752"/>
        <v>0.25</v>
      </c>
      <c r="N3076" s="251">
        <f t="shared" si="753"/>
        <v>19.532864566500002</v>
      </c>
      <c r="O3076" s="258">
        <v>0.05</v>
      </c>
      <c r="P3076" s="258">
        <f t="shared" si="754"/>
        <v>0.05</v>
      </c>
      <c r="Q3076" s="249">
        <v>381.81819999999999</v>
      </c>
      <c r="R3076" s="249">
        <f t="shared" si="746"/>
        <v>390.65729133000002</v>
      </c>
      <c r="S3076" s="258">
        <v>0.1</v>
      </c>
      <c r="T3076" s="169">
        <f t="shared" si="745"/>
        <v>420.00002000000001</v>
      </c>
      <c r="U3076" s="315">
        <f t="shared" si="739"/>
        <v>429.72302046300001</v>
      </c>
      <c r="V3076" s="315">
        <f t="shared" si="740"/>
        <v>430</v>
      </c>
      <c r="W3076" s="316">
        <f t="shared" si="741"/>
        <v>0</v>
      </c>
    </row>
    <row r="3077" spans="1:23" x14ac:dyDescent="0.25">
      <c r="A3077" s="200" t="s">
        <v>15337</v>
      </c>
      <c r="B3077" s="313" t="s">
        <v>15338</v>
      </c>
      <c r="C3077" s="248"/>
      <c r="D3077" s="247" t="s">
        <v>11</v>
      </c>
      <c r="E3077" s="249">
        <f t="shared" si="747"/>
        <v>9.0841221292499998</v>
      </c>
      <c r="F3077" s="258">
        <v>0.45</v>
      </c>
      <c r="G3077" s="258">
        <f t="shared" si="748"/>
        <v>0.45</v>
      </c>
      <c r="H3077" s="249">
        <f t="shared" si="749"/>
        <v>7.065428322749999</v>
      </c>
      <c r="I3077" s="314">
        <v>0.35</v>
      </c>
      <c r="J3077" s="258">
        <f t="shared" si="750"/>
        <v>0.35</v>
      </c>
      <c r="K3077" s="249">
        <f t="shared" si="751"/>
        <v>3.0280407097499999</v>
      </c>
      <c r="L3077" s="258">
        <v>0.15</v>
      </c>
      <c r="M3077" s="258">
        <f t="shared" si="752"/>
        <v>0.15</v>
      </c>
      <c r="N3077" s="251">
        <f t="shared" si="753"/>
        <v>1.00934690325</v>
      </c>
      <c r="O3077" s="258">
        <v>0.05</v>
      </c>
      <c r="P3077" s="258">
        <f t="shared" si="754"/>
        <v>0.05</v>
      </c>
      <c r="Q3077" s="249">
        <v>19.7727</v>
      </c>
      <c r="R3077" s="249">
        <f t="shared" si="746"/>
        <v>20.186938065</v>
      </c>
      <c r="S3077" s="258">
        <v>0.1</v>
      </c>
      <c r="T3077" s="169">
        <f t="shared" si="745"/>
        <v>21.749970000000001</v>
      </c>
      <c r="U3077" s="315">
        <f t="shared" ref="U3077:U3157" si="755">(R3077*S3077)+R3077</f>
        <v>22.2056318715</v>
      </c>
      <c r="V3077" s="315">
        <f t="shared" ref="V3077:V3157" si="756">IF(U3077=0, 0, IF(U3077&lt;10, _xlfn.CEILING.MATH(U3077,1), IF(U3077&lt;100, _xlfn.CEILING.MATH(U3077,1),IF(U3077&lt;1000, _xlfn.CEILING.MATH(U3077,5), IF(U3077&lt;10000, _xlfn.CEILING.MATH(U3077, 25), IF(U3077&lt;100000, _xlfn.CEILING.MATH(U3077,250), IF(U3077&lt;1000000, _xlfn.CEILING.MATH(U3077,500), 0)))))))</f>
        <v>23</v>
      </c>
      <c r="W3077" s="316">
        <f t="shared" ref="W3077:W3140" si="757">C3077*V3077</f>
        <v>0</v>
      </c>
    </row>
    <row r="3078" spans="1:23" x14ac:dyDescent="0.25">
      <c r="A3078" s="200" t="s">
        <v>15339</v>
      </c>
      <c r="B3078" s="313" t="s">
        <v>15340</v>
      </c>
      <c r="C3078" s="248"/>
      <c r="D3078" s="247" t="s">
        <v>11</v>
      </c>
      <c r="E3078" s="249">
        <f t="shared" si="747"/>
        <v>10.33711875</v>
      </c>
      <c r="F3078" s="258">
        <v>0.45</v>
      </c>
      <c r="G3078" s="258">
        <f t="shared" si="748"/>
        <v>0.45</v>
      </c>
      <c r="H3078" s="249">
        <f t="shared" si="749"/>
        <v>8.0399812499999985</v>
      </c>
      <c r="I3078" s="314">
        <v>0.35</v>
      </c>
      <c r="J3078" s="258">
        <f t="shared" si="750"/>
        <v>0.35</v>
      </c>
      <c r="K3078" s="249">
        <f t="shared" si="751"/>
        <v>3.4457062499999997</v>
      </c>
      <c r="L3078" s="258">
        <v>0.15</v>
      </c>
      <c r="M3078" s="258">
        <f t="shared" si="752"/>
        <v>0.15</v>
      </c>
      <c r="N3078" s="251">
        <f t="shared" si="753"/>
        <v>1.1485687499999999</v>
      </c>
      <c r="O3078" s="258">
        <v>0.05</v>
      </c>
      <c r="P3078" s="258">
        <f t="shared" si="754"/>
        <v>0.05</v>
      </c>
      <c r="Q3078" s="249">
        <v>22.5</v>
      </c>
      <c r="R3078" s="249">
        <f t="shared" si="746"/>
        <v>22.971374999999998</v>
      </c>
      <c r="S3078" s="258">
        <v>0.1</v>
      </c>
      <c r="T3078" s="169">
        <f t="shared" si="745"/>
        <v>24.75</v>
      </c>
      <c r="U3078" s="315">
        <f t="shared" si="755"/>
        <v>25.2685125</v>
      </c>
      <c r="V3078" s="315">
        <f t="shared" si="756"/>
        <v>26</v>
      </c>
      <c r="W3078" s="316">
        <f t="shared" si="757"/>
        <v>0</v>
      </c>
    </row>
    <row r="3079" spans="1:23" x14ac:dyDescent="0.25">
      <c r="A3079" s="200" t="s">
        <v>15341</v>
      </c>
      <c r="B3079" s="313" t="s">
        <v>15342</v>
      </c>
      <c r="C3079" s="248"/>
      <c r="D3079" s="247" t="s">
        <v>2</v>
      </c>
      <c r="E3079" s="249">
        <f t="shared" si="747"/>
        <v>60.769715879250001</v>
      </c>
      <c r="F3079" s="258">
        <v>0.45</v>
      </c>
      <c r="G3079" s="258">
        <f t="shared" si="748"/>
        <v>0.45</v>
      </c>
      <c r="H3079" s="249">
        <f t="shared" si="749"/>
        <v>47.265334572749993</v>
      </c>
      <c r="I3079" s="314">
        <v>0.35</v>
      </c>
      <c r="J3079" s="258">
        <f t="shared" si="750"/>
        <v>0.35</v>
      </c>
      <c r="K3079" s="249">
        <f t="shared" si="751"/>
        <v>20.256571959749998</v>
      </c>
      <c r="L3079" s="258">
        <v>0.15</v>
      </c>
      <c r="M3079" s="258">
        <f t="shared" si="752"/>
        <v>0.15</v>
      </c>
      <c r="N3079" s="251">
        <f t="shared" si="753"/>
        <v>6.7521906532500005</v>
      </c>
      <c r="O3079" s="258">
        <v>0.05</v>
      </c>
      <c r="P3079" s="258">
        <f t="shared" si="754"/>
        <v>0.05</v>
      </c>
      <c r="Q3079" s="249">
        <v>132.27269999999999</v>
      </c>
      <c r="R3079" s="249">
        <f t="shared" si="746"/>
        <v>135.04381306499999</v>
      </c>
      <c r="S3079" s="258">
        <v>0.1</v>
      </c>
      <c r="T3079" s="169">
        <f t="shared" si="745"/>
        <v>145.49996999999999</v>
      </c>
      <c r="U3079" s="315">
        <f t="shared" si="755"/>
        <v>148.54819437149999</v>
      </c>
      <c r="V3079" s="315">
        <f t="shared" si="756"/>
        <v>150</v>
      </c>
      <c r="W3079" s="316">
        <f t="shared" si="757"/>
        <v>0</v>
      </c>
    </row>
    <row r="3080" spans="1:23" x14ac:dyDescent="0.25">
      <c r="A3080" s="200" t="s">
        <v>15343</v>
      </c>
      <c r="B3080" s="313" t="s">
        <v>22625</v>
      </c>
      <c r="C3080" s="248"/>
      <c r="D3080" s="247" t="s">
        <v>11</v>
      </c>
      <c r="E3080" s="249">
        <f t="shared" si="747"/>
        <v>37.693958951250004</v>
      </c>
      <c r="F3080" s="258">
        <v>0.45</v>
      </c>
      <c r="G3080" s="258">
        <f t="shared" si="748"/>
        <v>0.45</v>
      </c>
      <c r="H3080" s="249">
        <f t="shared" si="749"/>
        <v>29.317523628749999</v>
      </c>
      <c r="I3080" s="314">
        <v>0.35</v>
      </c>
      <c r="J3080" s="258">
        <f t="shared" si="750"/>
        <v>0.35</v>
      </c>
      <c r="K3080" s="249">
        <f t="shared" si="751"/>
        <v>12.564652983750001</v>
      </c>
      <c r="L3080" s="258">
        <v>0.15</v>
      </c>
      <c r="M3080" s="258">
        <f t="shared" si="752"/>
        <v>0.15</v>
      </c>
      <c r="N3080" s="251">
        <f t="shared" si="753"/>
        <v>4.1882176612500004</v>
      </c>
      <c r="O3080" s="258">
        <v>0.05</v>
      </c>
      <c r="P3080" s="258">
        <f t="shared" si="754"/>
        <v>0.05</v>
      </c>
      <c r="Q3080" s="249">
        <v>82.045500000000004</v>
      </c>
      <c r="R3080" s="249">
        <f t="shared" si="746"/>
        <v>83.764353225000008</v>
      </c>
      <c r="S3080" s="258">
        <v>0.1</v>
      </c>
      <c r="T3080" s="169">
        <f t="shared" si="745"/>
        <v>90.250050000000002</v>
      </c>
      <c r="U3080" s="315">
        <f t="shared" si="755"/>
        <v>92.140788547500009</v>
      </c>
      <c r="V3080" s="315">
        <f t="shared" si="756"/>
        <v>93</v>
      </c>
      <c r="W3080" s="316">
        <f t="shared" si="757"/>
        <v>0</v>
      </c>
    </row>
    <row r="3081" spans="1:23" x14ac:dyDescent="0.25">
      <c r="A3081" s="200" t="s">
        <v>15344</v>
      </c>
      <c r="B3081" s="313" t="s">
        <v>22626</v>
      </c>
      <c r="C3081" s="248"/>
      <c r="D3081" s="247" t="s">
        <v>11</v>
      </c>
      <c r="E3081" s="249">
        <f t="shared" si="747"/>
        <v>15.557869089</v>
      </c>
      <c r="F3081" s="258">
        <v>0.45</v>
      </c>
      <c r="G3081" s="258">
        <f t="shared" si="748"/>
        <v>0.45</v>
      </c>
      <c r="H3081" s="249">
        <f t="shared" si="749"/>
        <v>12.100564846999999</v>
      </c>
      <c r="I3081" s="314">
        <v>0.35</v>
      </c>
      <c r="J3081" s="258">
        <f t="shared" si="750"/>
        <v>0.35</v>
      </c>
      <c r="K3081" s="249">
        <f t="shared" si="751"/>
        <v>5.1859563629999998</v>
      </c>
      <c r="L3081" s="258">
        <v>0.15</v>
      </c>
      <c r="M3081" s="258">
        <f t="shared" si="752"/>
        <v>0.15</v>
      </c>
      <c r="N3081" s="251">
        <f t="shared" si="753"/>
        <v>1.7286521210000001</v>
      </c>
      <c r="O3081" s="258">
        <v>0.05</v>
      </c>
      <c r="P3081" s="258">
        <f t="shared" si="754"/>
        <v>0.05</v>
      </c>
      <c r="Q3081" s="249">
        <v>33.863599999999998</v>
      </c>
      <c r="R3081" s="249">
        <f t="shared" si="746"/>
        <v>34.57304242</v>
      </c>
      <c r="S3081" s="258">
        <v>0.1</v>
      </c>
      <c r="T3081" s="169">
        <f t="shared" si="745"/>
        <v>37.249960000000002</v>
      </c>
      <c r="U3081" s="315">
        <f t="shared" si="755"/>
        <v>38.030346661999999</v>
      </c>
      <c r="V3081" s="315">
        <f t="shared" si="756"/>
        <v>39</v>
      </c>
      <c r="W3081" s="316">
        <f t="shared" si="757"/>
        <v>0</v>
      </c>
    </row>
    <row r="3082" spans="1:23" ht="21" x14ac:dyDescent="0.25">
      <c r="A3082" s="200" t="s">
        <v>15344</v>
      </c>
      <c r="B3082" s="255" t="s">
        <v>22627</v>
      </c>
      <c r="C3082" s="248"/>
      <c r="D3082" s="247" t="s">
        <v>2</v>
      </c>
      <c r="E3082" s="249">
        <f t="shared" si="747"/>
        <v>76.642833817500005</v>
      </c>
      <c r="F3082" s="258">
        <v>0.3</v>
      </c>
      <c r="G3082" s="258">
        <f t="shared" si="748"/>
        <v>0.3</v>
      </c>
      <c r="H3082" s="249">
        <f t="shared" si="749"/>
        <v>127.7380563625</v>
      </c>
      <c r="I3082" s="314">
        <v>0.5</v>
      </c>
      <c r="J3082" s="258">
        <f t="shared" si="750"/>
        <v>0.5</v>
      </c>
      <c r="K3082" s="249">
        <f t="shared" si="751"/>
        <v>38.321416908750003</v>
      </c>
      <c r="L3082" s="258">
        <v>0.15</v>
      </c>
      <c r="M3082" s="258">
        <f t="shared" si="752"/>
        <v>0.15</v>
      </c>
      <c r="N3082" s="251">
        <f t="shared" si="753"/>
        <v>12.773805636250001</v>
      </c>
      <c r="O3082" s="258">
        <v>0.05</v>
      </c>
      <c r="P3082" s="258">
        <f t="shared" si="754"/>
        <v>0.05</v>
      </c>
      <c r="Q3082" s="249">
        <v>250.4545</v>
      </c>
      <c r="R3082" s="249">
        <f t="shared" si="746"/>
        <v>255.47611272500001</v>
      </c>
      <c r="S3082" s="258">
        <v>0.1</v>
      </c>
      <c r="T3082" s="169">
        <f>Q3082+Q3082*S3082</f>
        <v>275.49995000000001</v>
      </c>
      <c r="U3082" s="315">
        <f t="shared" si="755"/>
        <v>281.02372399749999</v>
      </c>
      <c r="V3082" s="315">
        <f t="shared" si="756"/>
        <v>285</v>
      </c>
      <c r="W3082" s="316">
        <f t="shared" si="757"/>
        <v>0</v>
      </c>
    </row>
    <row r="3083" spans="1:23" x14ac:dyDescent="0.25">
      <c r="A3083" s="200" t="s">
        <v>15345</v>
      </c>
      <c r="B3083" s="313" t="s">
        <v>22628</v>
      </c>
      <c r="C3083" s="248"/>
      <c r="D3083" s="247" t="s">
        <v>11</v>
      </c>
      <c r="E3083" s="249">
        <f t="shared" si="747"/>
        <v>26.567671473000008</v>
      </c>
      <c r="F3083" s="258">
        <v>0.3</v>
      </c>
      <c r="G3083" s="258">
        <f t="shared" si="748"/>
        <v>0.3</v>
      </c>
      <c r="H3083" s="249">
        <f t="shared" si="749"/>
        <v>44.279452455000012</v>
      </c>
      <c r="I3083" s="314">
        <v>0.5</v>
      </c>
      <c r="J3083" s="258">
        <f t="shared" si="750"/>
        <v>0.5</v>
      </c>
      <c r="K3083" s="249">
        <f t="shared" si="751"/>
        <v>13.283835736500004</v>
      </c>
      <c r="L3083" s="258">
        <v>0.15</v>
      </c>
      <c r="M3083" s="258">
        <f t="shared" si="752"/>
        <v>0.15</v>
      </c>
      <c r="N3083" s="251">
        <f t="shared" si="753"/>
        <v>4.427945245500001</v>
      </c>
      <c r="O3083" s="258">
        <v>0.05</v>
      </c>
      <c r="P3083" s="258">
        <f t="shared" si="754"/>
        <v>0.05</v>
      </c>
      <c r="Q3083" s="249">
        <v>86.818200000000004</v>
      </c>
      <c r="R3083" s="249">
        <f t="shared" si="746"/>
        <v>88.558904910000024</v>
      </c>
      <c r="S3083" s="258">
        <v>0.1</v>
      </c>
      <c r="T3083" s="169">
        <f>Q3083+Q3083*S3083</f>
        <v>95.500020000000006</v>
      </c>
      <c r="U3083" s="315">
        <f t="shared" si="755"/>
        <v>97.414795401000021</v>
      </c>
      <c r="V3083" s="315">
        <f t="shared" si="756"/>
        <v>98</v>
      </c>
      <c r="W3083" s="316">
        <f t="shared" si="757"/>
        <v>0</v>
      </c>
    </row>
    <row r="3084" spans="1:23" x14ac:dyDescent="0.25">
      <c r="A3084" s="200" t="s">
        <v>15346</v>
      </c>
      <c r="B3084" s="313" t="s">
        <v>22629</v>
      </c>
      <c r="C3084" s="248"/>
      <c r="D3084" s="247" t="s">
        <v>11</v>
      </c>
      <c r="E3084" s="249">
        <f t="shared" si="747"/>
        <v>17.750624661000007</v>
      </c>
      <c r="F3084" s="258">
        <v>0.45</v>
      </c>
      <c r="G3084" s="258">
        <f t="shared" si="748"/>
        <v>0.45</v>
      </c>
      <c r="H3084" s="249">
        <f t="shared" si="749"/>
        <v>13.806041403000005</v>
      </c>
      <c r="I3084" s="314">
        <v>0.35</v>
      </c>
      <c r="J3084" s="258">
        <f t="shared" si="750"/>
        <v>0.35</v>
      </c>
      <c r="K3084" s="249">
        <f t="shared" si="751"/>
        <v>5.9168748870000023</v>
      </c>
      <c r="L3084" s="258">
        <v>0.15</v>
      </c>
      <c r="M3084" s="258">
        <f t="shared" si="752"/>
        <v>0.15</v>
      </c>
      <c r="N3084" s="251">
        <f t="shared" si="753"/>
        <v>1.9722916290000008</v>
      </c>
      <c r="O3084" s="258">
        <v>0.05</v>
      </c>
      <c r="P3084" s="258">
        <f t="shared" si="754"/>
        <v>0.05</v>
      </c>
      <c r="Q3084" s="249">
        <v>38.636400000000002</v>
      </c>
      <c r="R3084" s="249">
        <f t="shared" si="746"/>
        <v>39.445832580000015</v>
      </c>
      <c r="S3084" s="258">
        <v>0.1</v>
      </c>
      <c r="T3084" s="169">
        <f>Q3084+Q3084*S3084</f>
        <v>42.500039999999998</v>
      </c>
      <c r="U3084" s="315">
        <f t="shared" si="755"/>
        <v>43.390415838000017</v>
      </c>
      <c r="V3084" s="315">
        <f t="shared" si="756"/>
        <v>44</v>
      </c>
      <c r="W3084" s="316">
        <f t="shared" si="757"/>
        <v>0</v>
      </c>
    </row>
    <row r="3085" spans="1:23" ht="21" x14ac:dyDescent="0.25">
      <c r="A3085" s="200" t="s">
        <v>15344</v>
      </c>
      <c r="B3085" s="255" t="s">
        <v>22630</v>
      </c>
      <c r="C3085" s="248"/>
      <c r="D3085" s="247" t="s">
        <v>2</v>
      </c>
      <c r="E3085" s="249">
        <f t="shared" si="747"/>
        <v>105.2969767635</v>
      </c>
      <c r="F3085" s="258">
        <v>0.3</v>
      </c>
      <c r="G3085" s="258">
        <f t="shared" si="748"/>
        <v>0.3</v>
      </c>
      <c r="H3085" s="249">
        <f t="shared" si="749"/>
        <v>175.49496127250001</v>
      </c>
      <c r="I3085" s="314">
        <v>0.5</v>
      </c>
      <c r="J3085" s="258">
        <f t="shared" si="750"/>
        <v>0.5</v>
      </c>
      <c r="K3085" s="249">
        <f t="shared" si="751"/>
        <v>52.648488381749999</v>
      </c>
      <c r="L3085" s="258">
        <v>0.15</v>
      </c>
      <c r="M3085" s="258">
        <f t="shared" si="752"/>
        <v>0.15</v>
      </c>
      <c r="N3085" s="251">
        <f t="shared" si="753"/>
        <v>17.549496127250002</v>
      </c>
      <c r="O3085" s="258">
        <v>0.05</v>
      </c>
      <c r="P3085" s="258">
        <f t="shared" si="754"/>
        <v>0.05</v>
      </c>
      <c r="Q3085" s="249">
        <v>344.09089999999998</v>
      </c>
      <c r="R3085" s="249">
        <f t="shared" si="746"/>
        <v>350.98992254500001</v>
      </c>
      <c r="S3085" s="258">
        <v>0.1</v>
      </c>
      <c r="T3085" s="169">
        <f>Q3085+Q3085*S3085</f>
        <v>378.49998999999997</v>
      </c>
      <c r="U3085" s="315">
        <f t="shared" si="755"/>
        <v>386.0889147995</v>
      </c>
      <c r="V3085" s="315">
        <f t="shared" si="756"/>
        <v>390</v>
      </c>
      <c r="W3085" s="316">
        <f t="shared" si="757"/>
        <v>0</v>
      </c>
    </row>
    <row r="3086" spans="1:23" x14ac:dyDescent="0.25">
      <c r="A3086" s="200" t="s">
        <v>15345</v>
      </c>
      <c r="B3086" s="313" t="s">
        <v>22631</v>
      </c>
      <c r="C3086" s="248"/>
      <c r="D3086" s="247" t="s">
        <v>11</v>
      </c>
      <c r="E3086" s="249">
        <f t="shared" si="747"/>
        <v>29.349623236499994</v>
      </c>
      <c r="F3086" s="258">
        <v>0.3</v>
      </c>
      <c r="G3086" s="258">
        <f t="shared" si="748"/>
        <v>0.3</v>
      </c>
      <c r="H3086" s="249">
        <f t="shared" si="749"/>
        <v>48.916038727499995</v>
      </c>
      <c r="I3086" s="314">
        <v>0.5</v>
      </c>
      <c r="J3086" s="258">
        <f t="shared" si="750"/>
        <v>0.5</v>
      </c>
      <c r="K3086" s="249">
        <f t="shared" si="751"/>
        <v>14.674811618249997</v>
      </c>
      <c r="L3086" s="258">
        <v>0.15</v>
      </c>
      <c r="M3086" s="258">
        <f t="shared" si="752"/>
        <v>0.15</v>
      </c>
      <c r="N3086" s="251">
        <f t="shared" si="753"/>
        <v>4.8916038727500002</v>
      </c>
      <c r="O3086" s="258">
        <v>0.05</v>
      </c>
      <c r="P3086" s="258">
        <f t="shared" si="754"/>
        <v>0.05</v>
      </c>
      <c r="Q3086" s="249">
        <v>95.909099999999995</v>
      </c>
      <c r="R3086" s="249">
        <f t="shared" si="746"/>
        <v>97.83207745499999</v>
      </c>
      <c r="S3086" s="258">
        <v>0.1</v>
      </c>
      <c r="T3086" s="169">
        <f t="shared" ref="T3086:T3099" si="758">Q3086+Q3086*S3086</f>
        <v>105.50000999999999</v>
      </c>
      <c r="U3086" s="315">
        <f t="shared" si="755"/>
        <v>107.61528520049998</v>
      </c>
      <c r="V3086" s="315">
        <f t="shared" si="756"/>
        <v>110</v>
      </c>
      <c r="W3086" s="316">
        <f t="shared" si="757"/>
        <v>0</v>
      </c>
    </row>
    <row r="3087" spans="1:23" x14ac:dyDescent="0.25">
      <c r="A3087" s="200" t="s">
        <v>15346</v>
      </c>
      <c r="B3087" s="313" t="s">
        <v>22632</v>
      </c>
      <c r="C3087" s="248"/>
      <c r="D3087" s="247" t="s">
        <v>11</v>
      </c>
      <c r="E3087" s="249">
        <f t="shared" si="747"/>
        <v>20.256571959749998</v>
      </c>
      <c r="F3087" s="258">
        <v>0.45</v>
      </c>
      <c r="G3087" s="258">
        <f t="shared" si="748"/>
        <v>0.45</v>
      </c>
      <c r="H3087" s="249">
        <f t="shared" si="749"/>
        <v>15.755111524249998</v>
      </c>
      <c r="I3087" s="314">
        <v>0.35</v>
      </c>
      <c r="J3087" s="258">
        <f t="shared" si="750"/>
        <v>0.35</v>
      </c>
      <c r="K3087" s="249">
        <f t="shared" si="751"/>
        <v>6.7521906532499996</v>
      </c>
      <c r="L3087" s="258">
        <v>0.15</v>
      </c>
      <c r="M3087" s="258">
        <f t="shared" si="752"/>
        <v>0.15</v>
      </c>
      <c r="N3087" s="251">
        <f t="shared" si="753"/>
        <v>2.2507302177499997</v>
      </c>
      <c r="O3087" s="258">
        <v>0.05</v>
      </c>
      <c r="P3087" s="258">
        <f t="shared" si="754"/>
        <v>0.05</v>
      </c>
      <c r="Q3087" s="249">
        <v>44.090899999999998</v>
      </c>
      <c r="R3087" s="249">
        <f t="shared" si="746"/>
        <v>45.014604354999996</v>
      </c>
      <c r="S3087" s="258">
        <v>0.1</v>
      </c>
      <c r="T3087" s="169">
        <f t="shared" si="758"/>
        <v>48.499989999999997</v>
      </c>
      <c r="U3087" s="315">
        <f t="shared" si="755"/>
        <v>49.516064790499996</v>
      </c>
      <c r="V3087" s="315">
        <f t="shared" si="756"/>
        <v>50</v>
      </c>
      <c r="W3087" s="316">
        <f t="shared" si="757"/>
        <v>0</v>
      </c>
    </row>
    <row r="3088" spans="1:23" ht="21" x14ac:dyDescent="0.25">
      <c r="A3088" s="200" t="s">
        <v>15347</v>
      </c>
      <c r="B3088" s="255" t="s">
        <v>22633</v>
      </c>
      <c r="C3088" s="248"/>
      <c r="D3088" s="247" t="s">
        <v>11</v>
      </c>
      <c r="E3088" s="249">
        <f t="shared" si="747"/>
        <v>855.17725650000011</v>
      </c>
      <c r="F3088" s="258">
        <v>0.35</v>
      </c>
      <c r="G3088" s="258">
        <f t="shared" si="748"/>
        <v>0.35</v>
      </c>
      <c r="H3088" s="249">
        <f t="shared" si="749"/>
        <v>1221.6817950000002</v>
      </c>
      <c r="I3088" s="314">
        <v>0.5</v>
      </c>
      <c r="J3088" s="258">
        <f t="shared" si="750"/>
        <v>0.5</v>
      </c>
      <c r="K3088" s="249">
        <f t="shared" si="751"/>
        <v>244.33635900000004</v>
      </c>
      <c r="L3088" s="258">
        <v>0.1</v>
      </c>
      <c r="M3088" s="258">
        <f t="shared" si="752"/>
        <v>0.1</v>
      </c>
      <c r="N3088" s="251">
        <f t="shared" si="753"/>
        <v>122.16817950000002</v>
      </c>
      <c r="O3088" s="258">
        <v>0.05</v>
      </c>
      <c r="P3088" s="258">
        <f t="shared" si="754"/>
        <v>0.05</v>
      </c>
      <c r="Q3088" s="249">
        <v>2395.4544999999998</v>
      </c>
      <c r="R3088" s="249">
        <f t="shared" si="746"/>
        <v>2443.3635900000004</v>
      </c>
      <c r="S3088" s="258">
        <v>0.1</v>
      </c>
      <c r="T3088" s="169">
        <f t="shared" si="758"/>
        <v>2634.9999499999999</v>
      </c>
      <c r="U3088" s="315">
        <f t="shared" si="755"/>
        <v>2687.6999490000003</v>
      </c>
      <c r="V3088" s="315">
        <f t="shared" si="756"/>
        <v>2700</v>
      </c>
      <c r="W3088" s="316">
        <f t="shared" si="757"/>
        <v>0</v>
      </c>
    </row>
    <row r="3089" spans="1:23" ht="21" x14ac:dyDescent="0.25">
      <c r="A3089" s="200" t="s">
        <v>15348</v>
      </c>
      <c r="B3089" s="255" t="s">
        <v>22634</v>
      </c>
      <c r="C3089" s="248"/>
      <c r="D3089" s="247" t="s">
        <v>11</v>
      </c>
      <c r="E3089" s="249">
        <f t="shared" si="747"/>
        <v>814.60909740000011</v>
      </c>
      <c r="F3089" s="258">
        <v>0.35</v>
      </c>
      <c r="G3089" s="258">
        <f t="shared" si="748"/>
        <v>0.35</v>
      </c>
      <c r="H3089" s="249">
        <f t="shared" si="749"/>
        <v>1163.7272820000003</v>
      </c>
      <c r="I3089" s="314">
        <v>0.5</v>
      </c>
      <c r="J3089" s="258">
        <f t="shared" si="750"/>
        <v>0.5</v>
      </c>
      <c r="K3089" s="249">
        <f t="shared" si="751"/>
        <v>232.74545640000008</v>
      </c>
      <c r="L3089" s="258">
        <v>0.1</v>
      </c>
      <c r="M3089" s="258">
        <f t="shared" si="752"/>
        <v>0.1</v>
      </c>
      <c r="N3089" s="251">
        <f t="shared" si="753"/>
        <v>116.37272820000004</v>
      </c>
      <c r="O3089" s="258">
        <v>0.05</v>
      </c>
      <c r="P3089" s="258">
        <f t="shared" si="754"/>
        <v>0.05</v>
      </c>
      <c r="Q3089" s="249">
        <v>2281.8182000000002</v>
      </c>
      <c r="R3089" s="249">
        <f t="shared" si="746"/>
        <v>2327.4545640000006</v>
      </c>
      <c r="S3089" s="258">
        <v>0.1</v>
      </c>
      <c r="T3089" s="169">
        <f t="shared" si="758"/>
        <v>2510.0000200000004</v>
      </c>
      <c r="U3089" s="315">
        <f t="shared" si="755"/>
        <v>2560.2000204000005</v>
      </c>
      <c r="V3089" s="315">
        <f t="shared" si="756"/>
        <v>2575</v>
      </c>
      <c r="W3089" s="316">
        <f t="shared" si="757"/>
        <v>0</v>
      </c>
    </row>
    <row r="3090" spans="1:23" ht="21" x14ac:dyDescent="0.25">
      <c r="A3090" s="200" t="s">
        <v>15349</v>
      </c>
      <c r="B3090" s="255" t="s">
        <v>22635</v>
      </c>
      <c r="C3090" s="248"/>
      <c r="D3090" s="247" t="s">
        <v>11</v>
      </c>
      <c r="E3090" s="249">
        <f t="shared" si="747"/>
        <v>957.40909739999995</v>
      </c>
      <c r="F3090" s="258">
        <v>0.35</v>
      </c>
      <c r="G3090" s="258">
        <f t="shared" si="748"/>
        <v>0.35</v>
      </c>
      <c r="H3090" s="249">
        <f t="shared" si="749"/>
        <v>1367.7272820000001</v>
      </c>
      <c r="I3090" s="314">
        <v>0.5</v>
      </c>
      <c r="J3090" s="258">
        <f t="shared" si="750"/>
        <v>0.5</v>
      </c>
      <c r="K3090" s="249">
        <f t="shared" si="751"/>
        <v>273.54545640000003</v>
      </c>
      <c r="L3090" s="258">
        <v>0.1</v>
      </c>
      <c r="M3090" s="258">
        <f t="shared" si="752"/>
        <v>0.1</v>
      </c>
      <c r="N3090" s="251">
        <f t="shared" si="753"/>
        <v>136.77272820000002</v>
      </c>
      <c r="O3090" s="258">
        <v>0.05</v>
      </c>
      <c r="P3090" s="258">
        <f t="shared" si="754"/>
        <v>0.05</v>
      </c>
      <c r="Q3090" s="249">
        <v>2681.8182000000002</v>
      </c>
      <c r="R3090" s="249">
        <f t="shared" si="746"/>
        <v>2735.4545640000001</v>
      </c>
      <c r="S3090" s="258">
        <v>0.1</v>
      </c>
      <c r="T3090" s="169">
        <f t="shared" si="758"/>
        <v>2950.0000200000004</v>
      </c>
      <c r="U3090" s="315">
        <f t="shared" si="755"/>
        <v>3009.0000204000003</v>
      </c>
      <c r="V3090" s="315">
        <f t="shared" si="756"/>
        <v>3025</v>
      </c>
      <c r="W3090" s="316">
        <f t="shared" si="757"/>
        <v>0</v>
      </c>
    </row>
    <row r="3091" spans="1:23" ht="21" x14ac:dyDescent="0.25">
      <c r="A3091" s="200" t="s">
        <v>15350</v>
      </c>
      <c r="B3091" s="255" t="s">
        <v>22636</v>
      </c>
      <c r="C3091" s="248"/>
      <c r="D3091" s="247" t="s">
        <v>11</v>
      </c>
      <c r="E3091" s="249">
        <f t="shared" si="747"/>
        <v>1119.6818052000001</v>
      </c>
      <c r="F3091" s="258">
        <v>0.35</v>
      </c>
      <c r="G3091" s="258">
        <f t="shared" si="748"/>
        <v>0.35</v>
      </c>
      <c r="H3091" s="249">
        <f t="shared" si="749"/>
        <v>1599.5454360000001</v>
      </c>
      <c r="I3091" s="314">
        <v>0.5</v>
      </c>
      <c r="J3091" s="258">
        <f t="shared" si="750"/>
        <v>0.5</v>
      </c>
      <c r="K3091" s="249">
        <f t="shared" si="751"/>
        <v>319.90908720000004</v>
      </c>
      <c r="L3091" s="258">
        <v>0.1</v>
      </c>
      <c r="M3091" s="258">
        <f t="shared" si="752"/>
        <v>0.1</v>
      </c>
      <c r="N3091" s="251">
        <f t="shared" si="753"/>
        <v>159.95454360000002</v>
      </c>
      <c r="O3091" s="258">
        <v>0.05</v>
      </c>
      <c r="P3091" s="258">
        <f t="shared" si="754"/>
        <v>0.05</v>
      </c>
      <c r="Q3091" s="249">
        <v>3136.3636000000001</v>
      </c>
      <c r="R3091" s="249">
        <f t="shared" si="746"/>
        <v>3199.0908720000002</v>
      </c>
      <c r="S3091" s="258">
        <v>0.1</v>
      </c>
      <c r="T3091" s="169">
        <f t="shared" si="758"/>
        <v>3449.9999600000001</v>
      </c>
      <c r="U3091" s="315">
        <f t="shared" si="755"/>
        <v>3518.9999592000004</v>
      </c>
      <c r="V3091" s="315">
        <f t="shared" si="756"/>
        <v>3525</v>
      </c>
      <c r="W3091" s="316">
        <f t="shared" si="757"/>
        <v>0</v>
      </c>
    </row>
    <row r="3092" spans="1:23" ht="21.6" thickBot="1" x14ac:dyDescent="0.3">
      <c r="A3092" s="263" t="s">
        <v>15351</v>
      </c>
      <c r="B3092" s="327" t="s">
        <v>22637</v>
      </c>
      <c r="C3092" s="265"/>
      <c r="D3092" s="264" t="s">
        <v>11</v>
      </c>
      <c r="E3092" s="266">
        <f t="shared" si="747"/>
        <v>280.11871243200005</v>
      </c>
      <c r="F3092" s="322">
        <v>0.4</v>
      </c>
      <c r="G3092" s="322">
        <f t="shared" si="748"/>
        <v>0.4</v>
      </c>
      <c r="H3092" s="266">
        <f t="shared" si="749"/>
        <v>315.13355148600004</v>
      </c>
      <c r="I3092" s="323">
        <v>0.45</v>
      </c>
      <c r="J3092" s="322">
        <f t="shared" si="750"/>
        <v>0.45</v>
      </c>
      <c r="K3092" s="266">
        <f t="shared" si="751"/>
        <v>70.029678108000013</v>
      </c>
      <c r="L3092" s="322">
        <v>0.1</v>
      </c>
      <c r="M3092" s="322">
        <f t="shared" si="752"/>
        <v>0.1</v>
      </c>
      <c r="N3092" s="270">
        <f t="shared" si="753"/>
        <v>35.014839054000007</v>
      </c>
      <c r="O3092" s="322">
        <v>0.05</v>
      </c>
      <c r="P3092" s="322">
        <f t="shared" si="754"/>
        <v>0.05</v>
      </c>
      <c r="Q3092" s="266">
        <v>686.36360000000002</v>
      </c>
      <c r="R3092" s="266">
        <f t="shared" si="746"/>
        <v>700.29678108000007</v>
      </c>
      <c r="S3092" s="322">
        <v>0.1</v>
      </c>
      <c r="T3092" s="291">
        <f t="shared" si="758"/>
        <v>754.99995999999999</v>
      </c>
      <c r="U3092" s="324">
        <f t="shared" si="755"/>
        <v>770.32645918800006</v>
      </c>
      <c r="V3092" s="324">
        <f t="shared" si="756"/>
        <v>775</v>
      </c>
      <c r="W3092" s="325">
        <f t="shared" si="757"/>
        <v>0</v>
      </c>
    </row>
    <row r="3093" spans="1:23" ht="21" x14ac:dyDescent="0.25">
      <c r="A3093" s="200" t="s">
        <v>15352</v>
      </c>
      <c r="B3093" s="255" t="s">
        <v>22638</v>
      </c>
      <c r="C3093" s="248"/>
      <c r="D3093" s="247" t="s">
        <v>11</v>
      </c>
      <c r="E3093" s="249">
        <f t="shared" si="747"/>
        <v>421.10564378400005</v>
      </c>
      <c r="F3093" s="258">
        <v>0.4</v>
      </c>
      <c r="G3093" s="258">
        <f t="shared" si="748"/>
        <v>0.4</v>
      </c>
      <c r="H3093" s="249">
        <f t="shared" si="749"/>
        <v>473.74384925700008</v>
      </c>
      <c r="I3093" s="314">
        <v>0.45</v>
      </c>
      <c r="J3093" s="258">
        <f t="shared" si="750"/>
        <v>0.45</v>
      </c>
      <c r="K3093" s="249">
        <f t="shared" si="751"/>
        <v>105.27641094600001</v>
      </c>
      <c r="L3093" s="258">
        <v>0.1</v>
      </c>
      <c r="M3093" s="258">
        <f t="shared" si="752"/>
        <v>0.1</v>
      </c>
      <c r="N3093" s="251">
        <f t="shared" si="753"/>
        <v>52.638205473000006</v>
      </c>
      <c r="O3093" s="258">
        <v>0.05</v>
      </c>
      <c r="P3093" s="258">
        <f t="shared" si="754"/>
        <v>0.05</v>
      </c>
      <c r="Q3093" s="249">
        <v>1031.8181999999999</v>
      </c>
      <c r="R3093" s="249">
        <f t="shared" si="746"/>
        <v>1052.7641094600001</v>
      </c>
      <c r="S3093" s="258">
        <v>0.1</v>
      </c>
      <c r="T3093" s="169">
        <f t="shared" si="758"/>
        <v>1135.0000199999999</v>
      </c>
      <c r="U3093" s="315">
        <f t="shared" si="755"/>
        <v>1158.040520406</v>
      </c>
      <c r="V3093" s="315">
        <f t="shared" si="756"/>
        <v>1175</v>
      </c>
      <c r="W3093" s="316">
        <f t="shared" si="757"/>
        <v>0</v>
      </c>
    </row>
    <row r="3094" spans="1:23" ht="21" x14ac:dyDescent="0.25">
      <c r="A3094" s="200" t="s">
        <v>15352</v>
      </c>
      <c r="B3094" s="255" t="s">
        <v>18967</v>
      </c>
      <c r="C3094" s="248"/>
      <c r="D3094" s="247" t="s">
        <v>11</v>
      </c>
      <c r="E3094" s="249">
        <f t="shared" si="747"/>
        <v>554.67217810800003</v>
      </c>
      <c r="F3094" s="258">
        <v>0.4</v>
      </c>
      <c r="G3094" s="258">
        <f t="shared" si="748"/>
        <v>0.4</v>
      </c>
      <c r="H3094" s="249">
        <f t="shared" si="749"/>
        <v>624.00620037150009</v>
      </c>
      <c r="I3094" s="314">
        <v>0.45</v>
      </c>
      <c r="J3094" s="258">
        <f t="shared" si="750"/>
        <v>0.45</v>
      </c>
      <c r="K3094" s="249">
        <f t="shared" si="751"/>
        <v>138.66804452700001</v>
      </c>
      <c r="L3094" s="258">
        <v>0.1</v>
      </c>
      <c r="M3094" s="258">
        <f t="shared" si="752"/>
        <v>0.1</v>
      </c>
      <c r="N3094" s="251">
        <f t="shared" si="753"/>
        <v>69.334022263500003</v>
      </c>
      <c r="O3094" s="258">
        <v>0.05</v>
      </c>
      <c r="P3094" s="258">
        <f t="shared" si="754"/>
        <v>0.05</v>
      </c>
      <c r="Q3094" s="249">
        <v>1359.0908999999999</v>
      </c>
      <c r="R3094" s="249">
        <f t="shared" si="746"/>
        <v>1386.6804452700001</v>
      </c>
      <c r="S3094" s="258">
        <v>0.1</v>
      </c>
      <c r="T3094" s="169">
        <f t="shared" si="758"/>
        <v>1494.9999899999998</v>
      </c>
      <c r="U3094" s="315">
        <f t="shared" si="755"/>
        <v>1525.3484897970002</v>
      </c>
      <c r="V3094" s="315">
        <f t="shared" si="756"/>
        <v>1550</v>
      </c>
      <c r="W3094" s="316">
        <f t="shared" si="757"/>
        <v>0</v>
      </c>
    </row>
    <row r="3095" spans="1:23" ht="20.399999999999999" x14ac:dyDescent="0.25">
      <c r="A3095" s="200" t="s">
        <v>15353</v>
      </c>
      <c r="B3095" s="328" t="s">
        <v>18968</v>
      </c>
      <c r="C3095" s="248"/>
      <c r="D3095" s="247" t="s">
        <v>11</v>
      </c>
      <c r="E3095" s="249">
        <f t="shared" si="747"/>
        <v>443.3667124320001</v>
      </c>
      <c r="F3095" s="258">
        <v>0.4</v>
      </c>
      <c r="G3095" s="258">
        <f t="shared" si="748"/>
        <v>0.4</v>
      </c>
      <c r="H3095" s="249">
        <f t="shared" si="749"/>
        <v>498.7875514860001</v>
      </c>
      <c r="I3095" s="314">
        <v>0.45</v>
      </c>
      <c r="J3095" s="258">
        <f t="shared" si="750"/>
        <v>0.45</v>
      </c>
      <c r="K3095" s="249">
        <f t="shared" si="751"/>
        <v>110.84167810800002</v>
      </c>
      <c r="L3095" s="258">
        <v>0.1</v>
      </c>
      <c r="M3095" s="258">
        <f t="shared" si="752"/>
        <v>0.1</v>
      </c>
      <c r="N3095" s="251">
        <f t="shared" si="753"/>
        <v>55.420839054000012</v>
      </c>
      <c r="O3095" s="258">
        <v>0.05</v>
      </c>
      <c r="P3095" s="258">
        <f t="shared" si="754"/>
        <v>0.05</v>
      </c>
      <c r="Q3095" s="249">
        <v>1086.3635999999999</v>
      </c>
      <c r="R3095" s="249">
        <f t="shared" si="746"/>
        <v>1108.4167810800002</v>
      </c>
      <c r="S3095" s="258">
        <v>0.1</v>
      </c>
      <c r="T3095" s="169">
        <f t="shared" si="758"/>
        <v>1194.9999599999999</v>
      </c>
      <c r="U3095" s="315">
        <f t="shared" si="755"/>
        <v>1219.2584591880002</v>
      </c>
      <c r="V3095" s="315">
        <f t="shared" si="756"/>
        <v>1225</v>
      </c>
      <c r="W3095" s="316">
        <f t="shared" si="757"/>
        <v>0</v>
      </c>
    </row>
    <row r="3096" spans="1:23" x14ac:dyDescent="0.25">
      <c r="A3096" s="200" t="s">
        <v>15354</v>
      </c>
      <c r="B3096" s="328" t="s">
        <v>22639</v>
      </c>
      <c r="C3096" s="248"/>
      <c r="D3096" s="247" t="s">
        <v>11</v>
      </c>
      <c r="E3096" s="249">
        <f t="shared" si="747"/>
        <v>1376.4774656760001</v>
      </c>
      <c r="F3096" s="258">
        <v>0.4</v>
      </c>
      <c r="G3096" s="258">
        <f t="shared" si="748"/>
        <v>0.4</v>
      </c>
      <c r="H3096" s="249">
        <f t="shared" si="749"/>
        <v>1548.5371488855001</v>
      </c>
      <c r="I3096" s="314">
        <v>0.45</v>
      </c>
      <c r="J3096" s="258">
        <f t="shared" si="750"/>
        <v>0.45</v>
      </c>
      <c r="K3096" s="249">
        <f t="shared" si="751"/>
        <v>344.11936641900002</v>
      </c>
      <c r="L3096" s="258">
        <v>0.1</v>
      </c>
      <c r="M3096" s="258">
        <f t="shared" si="752"/>
        <v>0.1</v>
      </c>
      <c r="N3096" s="251">
        <f t="shared" si="753"/>
        <v>172.05968320950001</v>
      </c>
      <c r="O3096" s="258">
        <v>0.05</v>
      </c>
      <c r="P3096" s="258">
        <f t="shared" si="754"/>
        <v>0.05</v>
      </c>
      <c r="Q3096" s="249">
        <v>3372.7273</v>
      </c>
      <c r="R3096" s="249">
        <f t="shared" si="746"/>
        <v>3441.1936641900002</v>
      </c>
      <c r="S3096" s="258">
        <v>0.1</v>
      </c>
      <c r="T3096" s="169">
        <f t="shared" si="758"/>
        <v>3710.0000300000002</v>
      </c>
      <c r="U3096" s="315">
        <f t="shared" si="755"/>
        <v>3785.3130306090002</v>
      </c>
      <c r="V3096" s="315">
        <f t="shared" si="756"/>
        <v>3800</v>
      </c>
      <c r="W3096" s="316">
        <f t="shared" si="757"/>
        <v>0</v>
      </c>
    </row>
    <row r="3097" spans="1:23" x14ac:dyDescent="0.25">
      <c r="A3097" s="200" t="s">
        <v>15355</v>
      </c>
      <c r="B3097" s="328" t="s">
        <v>22640</v>
      </c>
      <c r="C3097" s="248"/>
      <c r="D3097" s="247" t="s">
        <v>11</v>
      </c>
      <c r="E3097" s="249">
        <f t="shared" si="747"/>
        <v>2168.6012875680003</v>
      </c>
      <c r="F3097" s="258">
        <v>0.4</v>
      </c>
      <c r="G3097" s="258">
        <f t="shared" si="748"/>
        <v>0.4</v>
      </c>
      <c r="H3097" s="249">
        <f t="shared" si="749"/>
        <v>2439.6764485140002</v>
      </c>
      <c r="I3097" s="314">
        <v>0.45</v>
      </c>
      <c r="J3097" s="258">
        <f t="shared" si="750"/>
        <v>0.45</v>
      </c>
      <c r="K3097" s="249">
        <f t="shared" si="751"/>
        <v>542.15032189200008</v>
      </c>
      <c r="L3097" s="258">
        <v>0.1</v>
      </c>
      <c r="M3097" s="258">
        <f t="shared" si="752"/>
        <v>0.1</v>
      </c>
      <c r="N3097" s="251">
        <f t="shared" si="753"/>
        <v>271.07516094600004</v>
      </c>
      <c r="O3097" s="258">
        <v>0.05</v>
      </c>
      <c r="P3097" s="258">
        <f t="shared" si="754"/>
        <v>0.05</v>
      </c>
      <c r="Q3097" s="249">
        <v>5313.6364000000003</v>
      </c>
      <c r="R3097" s="249">
        <f t="shared" si="746"/>
        <v>5421.5032189200001</v>
      </c>
      <c r="S3097" s="258">
        <v>0.1</v>
      </c>
      <c r="T3097" s="169">
        <f t="shared" si="758"/>
        <v>5845.0000400000008</v>
      </c>
      <c r="U3097" s="315">
        <f t="shared" si="755"/>
        <v>5963.6535408119998</v>
      </c>
      <c r="V3097" s="315">
        <f t="shared" si="756"/>
        <v>5975</v>
      </c>
      <c r="W3097" s="316">
        <f t="shared" si="757"/>
        <v>0</v>
      </c>
    </row>
    <row r="3098" spans="1:23" ht="20.399999999999999" x14ac:dyDescent="0.25">
      <c r="A3098" s="200" t="s">
        <v>15356</v>
      </c>
      <c r="B3098" s="328" t="s">
        <v>22641</v>
      </c>
      <c r="C3098" s="248"/>
      <c r="D3098" s="247" t="s">
        <v>11</v>
      </c>
      <c r="E3098" s="249">
        <f t="shared" si="747"/>
        <v>317.22053432400003</v>
      </c>
      <c r="F3098" s="258">
        <v>0.4</v>
      </c>
      <c r="G3098" s="258">
        <f t="shared" si="748"/>
        <v>0.4</v>
      </c>
      <c r="H3098" s="249">
        <f t="shared" si="749"/>
        <v>356.87310111450006</v>
      </c>
      <c r="I3098" s="314">
        <v>0.45</v>
      </c>
      <c r="J3098" s="258">
        <f t="shared" si="750"/>
        <v>0.45</v>
      </c>
      <c r="K3098" s="249">
        <f t="shared" si="751"/>
        <v>79.305133581000007</v>
      </c>
      <c r="L3098" s="258">
        <v>0.1</v>
      </c>
      <c r="M3098" s="258">
        <f t="shared" si="752"/>
        <v>0.1</v>
      </c>
      <c r="N3098" s="251">
        <f t="shared" si="753"/>
        <v>39.652566790500003</v>
      </c>
      <c r="O3098" s="258">
        <v>0.05</v>
      </c>
      <c r="P3098" s="258">
        <f t="shared" si="754"/>
        <v>0.05</v>
      </c>
      <c r="Q3098" s="249">
        <v>777.27269999999999</v>
      </c>
      <c r="R3098" s="249">
        <f t="shared" si="746"/>
        <v>793.05133581000007</v>
      </c>
      <c r="S3098" s="258">
        <v>0.1</v>
      </c>
      <c r="T3098" s="169">
        <f t="shared" si="758"/>
        <v>854.99996999999996</v>
      </c>
      <c r="U3098" s="315">
        <f t="shared" si="755"/>
        <v>872.35646939100002</v>
      </c>
      <c r="V3098" s="315">
        <f t="shared" si="756"/>
        <v>875</v>
      </c>
      <c r="W3098" s="316">
        <f t="shared" si="757"/>
        <v>0</v>
      </c>
    </row>
    <row r="3099" spans="1:23" ht="20.399999999999999" x14ac:dyDescent="0.25">
      <c r="A3099" s="200" t="s">
        <v>15357</v>
      </c>
      <c r="B3099" s="328" t="s">
        <v>18969</v>
      </c>
      <c r="C3099" s="248"/>
      <c r="D3099" s="247" t="s">
        <v>11</v>
      </c>
      <c r="E3099" s="249">
        <f t="shared" si="747"/>
        <v>495.30928756800017</v>
      </c>
      <c r="F3099" s="258">
        <v>0.4</v>
      </c>
      <c r="G3099" s="258">
        <f t="shared" si="748"/>
        <v>0.4</v>
      </c>
      <c r="H3099" s="249">
        <f t="shared" si="749"/>
        <v>557.22294851400011</v>
      </c>
      <c r="I3099" s="314">
        <v>0.45</v>
      </c>
      <c r="J3099" s="258">
        <f t="shared" si="750"/>
        <v>0.45</v>
      </c>
      <c r="K3099" s="249">
        <f t="shared" si="751"/>
        <v>123.82732189200004</v>
      </c>
      <c r="L3099" s="258">
        <v>0.1</v>
      </c>
      <c r="M3099" s="258">
        <f t="shared" si="752"/>
        <v>0.1</v>
      </c>
      <c r="N3099" s="251">
        <f t="shared" si="753"/>
        <v>61.913660946000022</v>
      </c>
      <c r="O3099" s="258">
        <v>0.05</v>
      </c>
      <c r="P3099" s="258">
        <f t="shared" si="754"/>
        <v>0.05</v>
      </c>
      <c r="Q3099" s="249">
        <v>1213.6364000000001</v>
      </c>
      <c r="R3099" s="249">
        <f t="shared" si="746"/>
        <v>1238.2732189200003</v>
      </c>
      <c r="S3099" s="258">
        <v>0.1</v>
      </c>
      <c r="T3099" s="169">
        <f t="shared" si="758"/>
        <v>1335.0000400000001</v>
      </c>
      <c r="U3099" s="315">
        <f t="shared" si="755"/>
        <v>1362.1005408120004</v>
      </c>
      <c r="V3099" s="315">
        <f t="shared" si="756"/>
        <v>1375</v>
      </c>
      <c r="W3099" s="316">
        <f t="shared" si="757"/>
        <v>0</v>
      </c>
    </row>
    <row r="3100" spans="1:23" x14ac:dyDescent="0.25">
      <c r="A3100" s="195" t="s">
        <v>15358</v>
      </c>
      <c r="B3100" s="317" t="s">
        <v>15359</v>
      </c>
      <c r="C3100" s="318"/>
      <c r="D3100" s="319"/>
      <c r="E3100" s="319"/>
      <c r="F3100" s="319"/>
      <c r="G3100" s="319"/>
      <c r="H3100" s="319"/>
      <c r="I3100" s="319"/>
      <c r="J3100" s="319"/>
      <c r="K3100" s="319"/>
      <c r="L3100" s="319"/>
      <c r="M3100" s="319"/>
      <c r="N3100" s="319"/>
      <c r="O3100" s="319"/>
      <c r="P3100" s="319"/>
      <c r="Q3100" s="319"/>
      <c r="R3100" s="319"/>
      <c r="S3100" s="319"/>
      <c r="T3100" s="319"/>
      <c r="U3100" s="320"/>
      <c r="V3100" s="320"/>
      <c r="W3100" s="306"/>
    </row>
    <row r="3101" spans="1:23" x14ac:dyDescent="0.25">
      <c r="A3101" s="200" t="s">
        <v>15360</v>
      </c>
      <c r="B3101" s="313" t="s">
        <v>18696</v>
      </c>
      <c r="C3101" s="248"/>
      <c r="D3101" s="247" t="s">
        <v>11</v>
      </c>
      <c r="E3101" s="249">
        <f t="shared" si="747"/>
        <v>34.820939020000004</v>
      </c>
      <c r="F3101" s="258">
        <v>0.8</v>
      </c>
      <c r="G3101" s="258">
        <f t="shared" si="748"/>
        <v>0.8</v>
      </c>
      <c r="H3101" s="249">
        <f t="shared" si="749"/>
        <v>0</v>
      </c>
      <c r="I3101" s="314"/>
      <c r="J3101" s="258">
        <f t="shared" si="750"/>
        <v>0</v>
      </c>
      <c r="K3101" s="249">
        <f t="shared" si="751"/>
        <v>6.5289260662500004</v>
      </c>
      <c r="L3101" s="258">
        <v>0.15</v>
      </c>
      <c r="M3101" s="258">
        <f t="shared" si="752"/>
        <v>0.15</v>
      </c>
      <c r="N3101" s="251">
        <f t="shared" si="753"/>
        <v>2.1763086887500003</v>
      </c>
      <c r="O3101" s="258">
        <v>0.05</v>
      </c>
      <c r="P3101" s="258">
        <f t="shared" si="754"/>
        <v>0.05</v>
      </c>
      <c r="Q3101" s="249">
        <v>42.545499999999997</v>
      </c>
      <c r="R3101" s="249">
        <f t="shared" si="746"/>
        <v>43.526173775000004</v>
      </c>
      <c r="S3101" s="258">
        <v>0.1</v>
      </c>
      <c r="T3101" s="169">
        <f t="shared" ref="T3101:T3117" si="759">Q3101+Q3101*S3101</f>
        <v>46.800049999999999</v>
      </c>
      <c r="U3101" s="315">
        <f t="shared" si="755"/>
        <v>47.878791152500007</v>
      </c>
      <c r="V3101" s="315">
        <f t="shared" si="756"/>
        <v>48</v>
      </c>
      <c r="W3101" s="316">
        <f t="shared" si="757"/>
        <v>0</v>
      </c>
    </row>
    <row r="3102" spans="1:23" x14ac:dyDescent="0.25">
      <c r="A3102" s="200" t="s">
        <v>15361</v>
      </c>
      <c r="B3102" s="313" t="s">
        <v>15362</v>
      </c>
      <c r="C3102" s="248"/>
      <c r="D3102" s="247" t="s">
        <v>11</v>
      </c>
      <c r="E3102" s="249">
        <f t="shared" si="747"/>
        <v>596.42077452750004</v>
      </c>
      <c r="F3102" s="258">
        <v>0.75</v>
      </c>
      <c r="G3102" s="258">
        <f t="shared" si="748"/>
        <v>0.75</v>
      </c>
      <c r="H3102" s="249">
        <f t="shared" si="749"/>
        <v>0</v>
      </c>
      <c r="I3102" s="314"/>
      <c r="J3102" s="258">
        <f t="shared" si="750"/>
        <v>0</v>
      </c>
      <c r="K3102" s="249">
        <f t="shared" si="751"/>
        <v>159.04553987400004</v>
      </c>
      <c r="L3102" s="258">
        <v>0.2</v>
      </c>
      <c r="M3102" s="258">
        <f t="shared" si="752"/>
        <v>0.2</v>
      </c>
      <c r="N3102" s="251">
        <f t="shared" si="753"/>
        <v>39.76138496850001</v>
      </c>
      <c r="O3102" s="258">
        <v>0.05</v>
      </c>
      <c r="P3102" s="258">
        <f t="shared" si="754"/>
        <v>0.05</v>
      </c>
      <c r="Q3102" s="249">
        <v>777.27269999999999</v>
      </c>
      <c r="R3102" s="249">
        <f t="shared" si="746"/>
        <v>795.2276993700001</v>
      </c>
      <c r="S3102" s="258">
        <v>0.1</v>
      </c>
      <c r="T3102" s="169">
        <f t="shared" si="759"/>
        <v>854.99996999999996</v>
      </c>
      <c r="U3102" s="315">
        <f t="shared" si="755"/>
        <v>874.75046930700012</v>
      </c>
      <c r="V3102" s="315">
        <f t="shared" si="756"/>
        <v>875</v>
      </c>
      <c r="W3102" s="316">
        <f t="shared" si="757"/>
        <v>0</v>
      </c>
    </row>
    <row r="3103" spans="1:23" ht="21" x14ac:dyDescent="0.25">
      <c r="A3103" s="200" t="s">
        <v>15363</v>
      </c>
      <c r="B3103" s="255" t="s">
        <v>22642</v>
      </c>
      <c r="C3103" s="248"/>
      <c r="D3103" s="247" t="s">
        <v>11</v>
      </c>
      <c r="E3103" s="249">
        <f t="shared" si="747"/>
        <v>136.0257745275</v>
      </c>
      <c r="F3103" s="258">
        <v>0.75</v>
      </c>
      <c r="G3103" s="258">
        <f t="shared" si="748"/>
        <v>0.75</v>
      </c>
      <c r="H3103" s="249">
        <f t="shared" si="749"/>
        <v>0</v>
      </c>
      <c r="I3103" s="314"/>
      <c r="J3103" s="258">
        <f t="shared" si="750"/>
        <v>0</v>
      </c>
      <c r="K3103" s="249">
        <f t="shared" si="751"/>
        <v>36.273539874000001</v>
      </c>
      <c r="L3103" s="258">
        <v>0.2</v>
      </c>
      <c r="M3103" s="258">
        <f t="shared" si="752"/>
        <v>0.2</v>
      </c>
      <c r="N3103" s="251">
        <f t="shared" si="753"/>
        <v>9.0683849685000002</v>
      </c>
      <c r="O3103" s="258">
        <v>0.05</v>
      </c>
      <c r="P3103" s="258">
        <f t="shared" si="754"/>
        <v>0.05</v>
      </c>
      <c r="Q3103" s="249">
        <v>177.27269999999999</v>
      </c>
      <c r="R3103" s="249">
        <f t="shared" si="746"/>
        <v>181.36769937</v>
      </c>
      <c r="S3103" s="258">
        <v>0.1</v>
      </c>
      <c r="T3103" s="169">
        <f t="shared" si="759"/>
        <v>194.99996999999999</v>
      </c>
      <c r="U3103" s="315">
        <f t="shared" si="755"/>
        <v>199.50446930699999</v>
      </c>
      <c r="V3103" s="315">
        <f t="shared" si="756"/>
        <v>200</v>
      </c>
      <c r="W3103" s="316">
        <f t="shared" si="757"/>
        <v>0</v>
      </c>
    </row>
    <row r="3104" spans="1:23" ht="21" x14ac:dyDescent="0.25">
      <c r="A3104" s="200" t="s">
        <v>15364</v>
      </c>
      <c r="B3104" s="255" t="s">
        <v>22643</v>
      </c>
      <c r="C3104" s="248"/>
      <c r="D3104" s="247" t="s">
        <v>15</v>
      </c>
      <c r="E3104" s="249">
        <f t="shared" si="747"/>
        <v>2.8600504725000002</v>
      </c>
      <c r="F3104" s="258">
        <v>0.75</v>
      </c>
      <c r="G3104" s="258">
        <f t="shared" si="748"/>
        <v>0.75</v>
      </c>
      <c r="H3104" s="249">
        <f t="shared" si="749"/>
        <v>0</v>
      </c>
      <c r="I3104" s="314"/>
      <c r="J3104" s="258">
        <f t="shared" si="750"/>
        <v>0</v>
      </c>
      <c r="K3104" s="249">
        <f t="shared" si="751"/>
        <v>0.76268012600000012</v>
      </c>
      <c r="L3104" s="258">
        <v>0.2</v>
      </c>
      <c r="M3104" s="258">
        <f t="shared" si="752"/>
        <v>0.2</v>
      </c>
      <c r="N3104" s="251">
        <f t="shared" si="753"/>
        <v>0.19067003150000003</v>
      </c>
      <c r="O3104" s="258">
        <v>0.05</v>
      </c>
      <c r="P3104" s="258">
        <f t="shared" si="754"/>
        <v>0.05</v>
      </c>
      <c r="Q3104" s="249">
        <v>3.7273000000000001</v>
      </c>
      <c r="R3104" s="249">
        <f t="shared" si="746"/>
        <v>3.8134006300000003</v>
      </c>
      <c r="S3104" s="258">
        <v>0.1</v>
      </c>
      <c r="T3104" s="169">
        <f t="shared" si="759"/>
        <v>4.1000300000000003</v>
      </c>
      <c r="U3104" s="315">
        <f t="shared" si="755"/>
        <v>4.194740693</v>
      </c>
      <c r="V3104" s="315">
        <f t="shared" si="756"/>
        <v>5</v>
      </c>
      <c r="W3104" s="316">
        <f t="shared" si="757"/>
        <v>0</v>
      </c>
    </row>
    <row r="3105" spans="1:23" ht="21" x14ac:dyDescent="0.25">
      <c r="A3105" s="200" t="s">
        <v>18934</v>
      </c>
      <c r="B3105" s="255" t="s">
        <v>18697</v>
      </c>
      <c r="C3105" s="248"/>
      <c r="D3105" s="247" t="s">
        <v>11</v>
      </c>
      <c r="E3105" s="249">
        <f t="shared" si="747"/>
        <v>55</v>
      </c>
      <c r="F3105" s="258">
        <f>55/66.5</f>
        <v>0.82706766917293228</v>
      </c>
      <c r="G3105" s="258">
        <f t="shared" si="748"/>
        <v>0.82706766917293228</v>
      </c>
      <c r="H3105" s="249">
        <f t="shared" si="749"/>
        <v>0</v>
      </c>
      <c r="I3105" s="314"/>
      <c r="J3105" s="258">
        <f t="shared" si="750"/>
        <v>0</v>
      </c>
      <c r="K3105" s="249">
        <f t="shared" si="751"/>
        <v>1.5</v>
      </c>
      <c r="L3105" s="258">
        <f>1.5/66.5</f>
        <v>2.2556390977443608E-2</v>
      </c>
      <c r="M3105" s="258">
        <f t="shared" si="752"/>
        <v>2.2556390977443608E-2</v>
      </c>
      <c r="N3105" s="251">
        <f t="shared" si="753"/>
        <v>10</v>
      </c>
      <c r="O3105" s="258">
        <f>10/66.5</f>
        <v>0.15037593984962405</v>
      </c>
      <c r="P3105" s="258">
        <f t="shared" si="754"/>
        <v>0.15037593984962405</v>
      </c>
      <c r="Q3105" s="249"/>
      <c r="R3105" s="249">
        <v>66.5</v>
      </c>
      <c r="S3105" s="258">
        <v>0.15</v>
      </c>
      <c r="T3105" s="169">
        <f t="shared" si="759"/>
        <v>0</v>
      </c>
      <c r="U3105" s="315">
        <f t="shared" si="755"/>
        <v>76.474999999999994</v>
      </c>
      <c r="V3105" s="315">
        <f t="shared" si="756"/>
        <v>77</v>
      </c>
      <c r="W3105" s="316">
        <f t="shared" si="757"/>
        <v>0</v>
      </c>
    </row>
    <row r="3106" spans="1:23" x14ac:dyDescent="0.25">
      <c r="A3106" s="200" t="s">
        <v>15365</v>
      </c>
      <c r="B3106" s="313" t="s">
        <v>15366</v>
      </c>
      <c r="C3106" s="248"/>
      <c r="D3106" s="247" t="s">
        <v>11</v>
      </c>
      <c r="E3106" s="249">
        <f t="shared" si="747"/>
        <v>42.667109460000013</v>
      </c>
      <c r="F3106" s="258">
        <v>0.4</v>
      </c>
      <c r="G3106" s="258">
        <f t="shared" si="748"/>
        <v>0.4</v>
      </c>
      <c r="H3106" s="249">
        <f t="shared" si="749"/>
        <v>48.000498142500014</v>
      </c>
      <c r="I3106" s="258">
        <v>0.45</v>
      </c>
      <c r="J3106" s="258">
        <f t="shared" si="750"/>
        <v>0.45</v>
      </c>
      <c r="K3106" s="249">
        <f t="shared" si="751"/>
        <v>10.666777365000003</v>
      </c>
      <c r="L3106" s="258">
        <v>0.1</v>
      </c>
      <c r="M3106" s="258">
        <f t="shared" si="752"/>
        <v>0.1</v>
      </c>
      <c r="N3106" s="251">
        <f t="shared" si="753"/>
        <v>5.3333886825000016</v>
      </c>
      <c r="O3106" s="258">
        <v>0.05</v>
      </c>
      <c r="P3106" s="258">
        <f t="shared" si="754"/>
        <v>0.05</v>
      </c>
      <c r="Q3106" s="249">
        <v>104.5455</v>
      </c>
      <c r="R3106" s="249">
        <f t="shared" si="746"/>
        <v>106.66777365000003</v>
      </c>
      <c r="S3106" s="258">
        <v>0.1</v>
      </c>
      <c r="T3106" s="169">
        <f t="shared" si="759"/>
        <v>115.00005</v>
      </c>
      <c r="U3106" s="315">
        <f t="shared" si="755"/>
        <v>117.33455101500003</v>
      </c>
      <c r="V3106" s="315">
        <f t="shared" si="756"/>
        <v>120</v>
      </c>
      <c r="W3106" s="316">
        <f t="shared" si="757"/>
        <v>0</v>
      </c>
    </row>
    <row r="3107" spans="1:23" x14ac:dyDescent="0.25">
      <c r="A3107" s="200" t="s">
        <v>15367</v>
      </c>
      <c r="B3107" s="313" t="s">
        <v>15368</v>
      </c>
      <c r="C3107" s="248"/>
      <c r="D3107" s="247" t="s">
        <v>11</v>
      </c>
      <c r="E3107" s="249">
        <f t="shared" si="747"/>
        <v>1075.8681948000001</v>
      </c>
      <c r="F3107" s="258">
        <v>0.35</v>
      </c>
      <c r="G3107" s="258">
        <f t="shared" si="748"/>
        <v>0.35</v>
      </c>
      <c r="H3107" s="249">
        <f t="shared" si="749"/>
        <v>1536.9545640000001</v>
      </c>
      <c r="I3107" s="258">
        <v>0.5</v>
      </c>
      <c r="J3107" s="258">
        <f t="shared" si="750"/>
        <v>0.5</v>
      </c>
      <c r="K3107" s="249">
        <f t="shared" si="751"/>
        <v>307.39091280000002</v>
      </c>
      <c r="L3107" s="258">
        <v>0.1</v>
      </c>
      <c r="M3107" s="258">
        <f t="shared" si="752"/>
        <v>0.1</v>
      </c>
      <c r="N3107" s="251">
        <f t="shared" si="753"/>
        <v>153.69545640000001</v>
      </c>
      <c r="O3107" s="258">
        <v>0.05</v>
      </c>
      <c r="P3107" s="258">
        <f t="shared" si="754"/>
        <v>0.05</v>
      </c>
      <c r="Q3107" s="249">
        <v>3013.6363999999999</v>
      </c>
      <c r="R3107" s="249">
        <f t="shared" si="746"/>
        <v>3073.9091280000002</v>
      </c>
      <c r="S3107" s="258">
        <v>0.1</v>
      </c>
      <c r="T3107" s="169">
        <f t="shared" si="759"/>
        <v>3315.0000399999999</v>
      </c>
      <c r="U3107" s="315">
        <f t="shared" si="755"/>
        <v>3381.3000408000003</v>
      </c>
      <c r="V3107" s="315">
        <f t="shared" si="756"/>
        <v>3400</v>
      </c>
      <c r="W3107" s="316">
        <f t="shared" si="757"/>
        <v>0</v>
      </c>
    </row>
    <row r="3108" spans="1:23" x14ac:dyDescent="0.25">
      <c r="A3108" s="200" t="s">
        <v>18698</v>
      </c>
      <c r="B3108" s="313" t="s">
        <v>18699</v>
      </c>
      <c r="C3108" s="248"/>
      <c r="D3108" s="247" t="s">
        <v>11</v>
      </c>
      <c r="E3108" s="249">
        <f t="shared" si="747"/>
        <v>575</v>
      </c>
      <c r="F3108" s="258">
        <f>575/1255</f>
        <v>0.45816733067729082</v>
      </c>
      <c r="G3108" s="258">
        <f t="shared" si="748"/>
        <v>0.45816733067729082</v>
      </c>
      <c r="H3108" s="249">
        <f t="shared" si="749"/>
        <v>545</v>
      </c>
      <c r="I3108" s="258">
        <f>545/1255</f>
        <v>0.43426294820717132</v>
      </c>
      <c r="J3108" s="258">
        <f t="shared" si="750"/>
        <v>0.43426294820717132</v>
      </c>
      <c r="K3108" s="249">
        <f t="shared" si="751"/>
        <v>85</v>
      </c>
      <c r="L3108" s="258">
        <f>85/1255</f>
        <v>6.7729083665338641E-2</v>
      </c>
      <c r="M3108" s="258">
        <f t="shared" si="752"/>
        <v>6.7729083665338641E-2</v>
      </c>
      <c r="N3108" s="251">
        <f t="shared" si="753"/>
        <v>50</v>
      </c>
      <c r="O3108" s="258">
        <f>50/1255</f>
        <v>3.9840637450199202E-2</v>
      </c>
      <c r="P3108" s="258">
        <f t="shared" si="754"/>
        <v>3.9840637450199202E-2</v>
      </c>
      <c r="Q3108" s="249"/>
      <c r="R3108" s="249">
        <v>1255</v>
      </c>
      <c r="S3108" s="258">
        <v>0.2</v>
      </c>
      <c r="T3108" s="169">
        <f>Q3108+Q3108*S3108</f>
        <v>0</v>
      </c>
      <c r="U3108" s="315">
        <f>(R3108*S3108)+R3108</f>
        <v>1506</v>
      </c>
      <c r="V3108" s="315">
        <f>IF(U3108=0, 0, IF(U3108&lt;10, _xlfn.CEILING.MATH(U3108,1), IF(U3108&lt;100, _xlfn.CEILING.MATH(U3108,1),IF(U3108&lt;1000, _xlfn.CEILING.MATH(U3108,5), IF(U3108&lt;10000, _xlfn.CEILING.MATH(U3108, 10), IF(U3108&lt;100000, _xlfn.CEILING.MATH(U3108,250), IF(U3108&lt;1000000, _xlfn.CEILING.MATH(U3108,500), 0)))))))</f>
        <v>1510</v>
      </c>
      <c r="W3108" s="316">
        <f t="shared" si="757"/>
        <v>0</v>
      </c>
    </row>
    <row r="3109" spans="1:23" x14ac:dyDescent="0.25">
      <c r="A3109" s="200" t="s">
        <v>18700</v>
      </c>
      <c r="B3109" s="313" t="s">
        <v>18701</v>
      </c>
      <c r="C3109" s="248"/>
      <c r="D3109" s="247" t="s">
        <v>11</v>
      </c>
      <c r="E3109" s="249">
        <f t="shared" si="747"/>
        <v>595</v>
      </c>
      <c r="F3109" s="258">
        <f>595/1355</f>
        <v>0.43911439114391143</v>
      </c>
      <c r="G3109" s="258">
        <f t="shared" si="748"/>
        <v>0.43911439114391143</v>
      </c>
      <c r="H3109" s="249">
        <f t="shared" si="749"/>
        <v>625</v>
      </c>
      <c r="I3109" s="258">
        <f>625/1355</f>
        <v>0.46125461254612549</v>
      </c>
      <c r="J3109" s="258">
        <f t="shared" si="750"/>
        <v>0.46125461254612549</v>
      </c>
      <c r="K3109" s="249">
        <f t="shared" si="751"/>
        <v>85</v>
      </c>
      <c r="L3109" s="258">
        <f>85/1355</f>
        <v>6.273062730627306E-2</v>
      </c>
      <c r="M3109" s="258">
        <f t="shared" si="752"/>
        <v>6.273062730627306E-2</v>
      </c>
      <c r="N3109" s="251">
        <f t="shared" si="753"/>
        <v>50</v>
      </c>
      <c r="O3109" s="258">
        <f>50/1355</f>
        <v>3.6900369003690037E-2</v>
      </c>
      <c r="P3109" s="258">
        <f t="shared" si="754"/>
        <v>3.6900369003690037E-2</v>
      </c>
      <c r="Q3109" s="249"/>
      <c r="R3109" s="249">
        <v>1355</v>
      </c>
      <c r="S3109" s="258">
        <v>0.2</v>
      </c>
      <c r="T3109" s="169">
        <f>Q3109+Q3109*S3109</f>
        <v>0</v>
      </c>
      <c r="U3109" s="315">
        <f>(R3109*S3109)+R3109</f>
        <v>1626</v>
      </c>
      <c r="V3109" s="315">
        <f>IF(U3109=0, 0, IF(U3109&lt;10, _xlfn.CEILING.MATH(U3109,1), IF(U3109&lt;100, _xlfn.CEILING.MATH(U3109,1),IF(U3109&lt;1000, _xlfn.CEILING.MATH(U3109,5), IF(U3109&lt;10000, _xlfn.CEILING.MATH(U3109, 10), IF(U3109&lt;100000, _xlfn.CEILING.MATH(U3109,250), IF(U3109&lt;1000000, _xlfn.CEILING.MATH(U3109,500), 0)))))))</f>
        <v>1630</v>
      </c>
      <c r="W3109" s="316">
        <f t="shared" si="757"/>
        <v>0</v>
      </c>
    </row>
    <row r="3110" spans="1:23" x14ac:dyDescent="0.25">
      <c r="A3110" s="200" t="s">
        <v>18702</v>
      </c>
      <c r="B3110" s="313" t="s">
        <v>18703</v>
      </c>
      <c r="C3110" s="248"/>
      <c r="D3110" s="247" t="s">
        <v>11</v>
      </c>
      <c r="E3110" s="249">
        <f t="shared" si="747"/>
        <v>755</v>
      </c>
      <c r="F3110" s="258">
        <f>755/1780</f>
        <v>0.4241573033707865</v>
      </c>
      <c r="G3110" s="258">
        <f t="shared" si="748"/>
        <v>0.4241573033707865</v>
      </c>
      <c r="H3110" s="249">
        <f t="shared" si="749"/>
        <v>870</v>
      </c>
      <c r="I3110" s="258">
        <f>870/1780</f>
        <v>0.4887640449438202</v>
      </c>
      <c r="J3110" s="258">
        <f t="shared" si="750"/>
        <v>0.4887640449438202</v>
      </c>
      <c r="K3110" s="249">
        <f t="shared" si="751"/>
        <v>95</v>
      </c>
      <c r="L3110" s="258">
        <f>95/1780</f>
        <v>5.3370786516853931E-2</v>
      </c>
      <c r="M3110" s="258">
        <f t="shared" si="752"/>
        <v>5.3370786516853931E-2</v>
      </c>
      <c r="N3110" s="251">
        <f t="shared" si="753"/>
        <v>60</v>
      </c>
      <c r="O3110" s="258">
        <f>60/1780</f>
        <v>3.3707865168539325E-2</v>
      </c>
      <c r="P3110" s="258">
        <f t="shared" si="754"/>
        <v>3.3707865168539325E-2</v>
      </c>
      <c r="Q3110" s="249"/>
      <c r="R3110" s="249">
        <v>1780</v>
      </c>
      <c r="S3110" s="258">
        <v>0.2</v>
      </c>
      <c r="T3110" s="169">
        <f>Q3110+Q3110*S3110</f>
        <v>0</v>
      </c>
      <c r="U3110" s="315">
        <f>(R3110*S3110)+R3110</f>
        <v>2136</v>
      </c>
      <c r="V3110" s="315">
        <f>IF(U3110=0, 0, IF(U3110&lt;10, _xlfn.CEILING.MATH(U3110,1), IF(U3110&lt;100, _xlfn.CEILING.MATH(U3110,1),IF(U3110&lt;1000, _xlfn.CEILING.MATH(U3110,5), IF(U3110&lt;10000, _xlfn.CEILING.MATH(U3110, 10), IF(U3110&lt;100000, _xlfn.CEILING.MATH(U3110,250), IF(U3110&lt;1000000, _xlfn.CEILING.MATH(U3110,500), 0)))))))</f>
        <v>2140</v>
      </c>
      <c r="W3110" s="316">
        <f t="shared" si="757"/>
        <v>0</v>
      </c>
    </row>
    <row r="3111" spans="1:23" x14ac:dyDescent="0.25">
      <c r="A3111" s="200" t="s">
        <v>15369</v>
      </c>
      <c r="B3111" s="313" t="s">
        <v>15370</v>
      </c>
      <c r="C3111" s="248"/>
      <c r="D3111" s="247" t="s">
        <v>11</v>
      </c>
      <c r="E3111" s="249">
        <f t="shared" si="747"/>
        <v>935.78355403725004</v>
      </c>
      <c r="F3111" s="258">
        <v>0.3</v>
      </c>
      <c r="G3111" s="258">
        <f t="shared" si="748"/>
        <v>0.3</v>
      </c>
      <c r="H3111" s="249">
        <f t="shared" si="749"/>
        <v>1871.5671080745001</v>
      </c>
      <c r="I3111" s="258">
        <v>0.6</v>
      </c>
      <c r="J3111" s="258">
        <f t="shared" si="750"/>
        <v>0.6</v>
      </c>
      <c r="K3111" s="249">
        <f t="shared" si="751"/>
        <v>233.94588850931251</v>
      </c>
      <c r="L3111" s="258">
        <v>7.4999999999999997E-2</v>
      </c>
      <c r="M3111" s="258">
        <f t="shared" si="752"/>
        <v>7.4999999999999997E-2</v>
      </c>
      <c r="N3111" s="251">
        <f t="shared" si="753"/>
        <v>77.981962836437503</v>
      </c>
      <c r="O3111" s="258">
        <v>2.5000000000000001E-2</v>
      </c>
      <c r="P3111" s="258">
        <f t="shared" si="754"/>
        <v>2.5000000000000001E-2</v>
      </c>
      <c r="Q3111" s="249">
        <v>3059.0909000000001</v>
      </c>
      <c r="R3111" s="249">
        <f t="shared" si="746"/>
        <v>3119.2785134575001</v>
      </c>
      <c r="S3111" s="258">
        <v>0.1</v>
      </c>
      <c r="T3111" s="169">
        <f t="shared" si="759"/>
        <v>3364.9999900000003</v>
      </c>
      <c r="U3111" s="315">
        <f t="shared" si="755"/>
        <v>3431.2063648032499</v>
      </c>
      <c r="V3111" s="315">
        <f t="shared" si="756"/>
        <v>3450</v>
      </c>
      <c r="W3111" s="316">
        <f t="shared" si="757"/>
        <v>0</v>
      </c>
    </row>
    <row r="3112" spans="1:23" ht="21" x14ac:dyDescent="0.25">
      <c r="A3112" s="200" t="s">
        <v>15371</v>
      </c>
      <c r="B3112" s="255" t="s">
        <v>22644</v>
      </c>
      <c r="C3112" s="248"/>
      <c r="D3112" s="247" t="s">
        <v>2</v>
      </c>
      <c r="E3112" s="249">
        <f t="shared" si="747"/>
        <v>12.453024780000002</v>
      </c>
      <c r="F3112" s="258">
        <v>0.6</v>
      </c>
      <c r="G3112" s="258">
        <f t="shared" si="748"/>
        <v>0.6</v>
      </c>
      <c r="H3112" s="249">
        <f t="shared" si="749"/>
        <v>5.1887603250000005</v>
      </c>
      <c r="I3112" s="258">
        <v>0.25</v>
      </c>
      <c r="J3112" s="258">
        <f t="shared" si="750"/>
        <v>0.25</v>
      </c>
      <c r="K3112" s="249">
        <f t="shared" si="751"/>
        <v>2.0755041300000001</v>
      </c>
      <c r="L3112" s="258">
        <v>0.1</v>
      </c>
      <c r="M3112" s="258">
        <f t="shared" si="752"/>
        <v>0.1</v>
      </c>
      <c r="N3112" s="251">
        <f t="shared" si="753"/>
        <v>1.0377520650000001</v>
      </c>
      <c r="O3112" s="258">
        <v>0.05</v>
      </c>
      <c r="P3112" s="258">
        <f t="shared" si="754"/>
        <v>0.05</v>
      </c>
      <c r="Q3112" s="249">
        <v>20.318200000000001</v>
      </c>
      <c r="R3112" s="249">
        <f t="shared" si="746"/>
        <v>20.755041300000002</v>
      </c>
      <c r="S3112" s="258">
        <v>0.1</v>
      </c>
      <c r="T3112" s="169">
        <f t="shared" si="759"/>
        <v>22.350020000000001</v>
      </c>
      <c r="U3112" s="315">
        <f t="shared" si="755"/>
        <v>22.830545430000001</v>
      </c>
      <c r="V3112" s="315">
        <f t="shared" si="756"/>
        <v>23</v>
      </c>
      <c r="W3112" s="316">
        <f t="shared" si="757"/>
        <v>0</v>
      </c>
    </row>
    <row r="3113" spans="1:23" ht="31.2" x14ac:dyDescent="0.25">
      <c r="A3113" s="200" t="s">
        <v>15372</v>
      </c>
      <c r="B3113" s="255" t="s">
        <v>22645</v>
      </c>
      <c r="C3113" s="248"/>
      <c r="D3113" s="247" t="s">
        <v>2</v>
      </c>
      <c r="E3113" s="249">
        <f t="shared" si="747"/>
        <v>11.867950440000001</v>
      </c>
      <c r="F3113" s="258">
        <v>0.6</v>
      </c>
      <c r="G3113" s="258">
        <f t="shared" si="748"/>
        <v>0.6</v>
      </c>
      <c r="H3113" s="249">
        <f t="shared" si="749"/>
        <v>4.9449793500000006</v>
      </c>
      <c r="I3113" s="258">
        <v>0.25</v>
      </c>
      <c r="J3113" s="258">
        <f t="shared" si="750"/>
        <v>0.25</v>
      </c>
      <c r="K3113" s="249">
        <f t="shared" si="751"/>
        <v>1.9779917400000002</v>
      </c>
      <c r="L3113" s="258">
        <v>0.1</v>
      </c>
      <c r="M3113" s="258">
        <f t="shared" si="752"/>
        <v>0.1</v>
      </c>
      <c r="N3113" s="251">
        <f t="shared" si="753"/>
        <v>0.98899587000000011</v>
      </c>
      <c r="O3113" s="258">
        <v>0.05</v>
      </c>
      <c r="P3113" s="258">
        <f t="shared" si="754"/>
        <v>0.05</v>
      </c>
      <c r="Q3113" s="249">
        <v>19.363600000000002</v>
      </c>
      <c r="R3113" s="249">
        <f t="shared" si="746"/>
        <v>19.779917400000002</v>
      </c>
      <c r="S3113" s="258">
        <v>0.1</v>
      </c>
      <c r="T3113" s="169">
        <f t="shared" si="759"/>
        <v>21.299960000000002</v>
      </c>
      <c r="U3113" s="315">
        <f t="shared" si="755"/>
        <v>21.757909140000002</v>
      </c>
      <c r="V3113" s="315">
        <f t="shared" si="756"/>
        <v>22</v>
      </c>
      <c r="W3113" s="316">
        <f t="shared" si="757"/>
        <v>0</v>
      </c>
    </row>
    <row r="3114" spans="1:23" ht="31.2" x14ac:dyDescent="0.25">
      <c r="A3114" s="200" t="s">
        <v>15373</v>
      </c>
      <c r="B3114" s="255" t="s">
        <v>22646</v>
      </c>
      <c r="C3114" s="248"/>
      <c r="D3114" s="247" t="s">
        <v>2</v>
      </c>
      <c r="E3114" s="249">
        <f t="shared" si="747"/>
        <v>11.61721305</v>
      </c>
      <c r="F3114" s="258">
        <v>0.6</v>
      </c>
      <c r="G3114" s="258">
        <f t="shared" si="748"/>
        <v>0.6</v>
      </c>
      <c r="H3114" s="249">
        <f t="shared" si="749"/>
        <v>4.8405054375000001</v>
      </c>
      <c r="I3114" s="258">
        <v>0.25</v>
      </c>
      <c r="J3114" s="258">
        <f t="shared" si="750"/>
        <v>0.25</v>
      </c>
      <c r="K3114" s="249">
        <f t="shared" si="751"/>
        <v>1.936202175</v>
      </c>
      <c r="L3114" s="258">
        <v>0.1</v>
      </c>
      <c r="M3114" s="258">
        <f t="shared" si="752"/>
        <v>0.1</v>
      </c>
      <c r="N3114" s="251">
        <f t="shared" si="753"/>
        <v>0.96810108750000001</v>
      </c>
      <c r="O3114" s="258">
        <v>0.05</v>
      </c>
      <c r="P3114" s="258">
        <f t="shared" si="754"/>
        <v>0.05</v>
      </c>
      <c r="Q3114" s="249">
        <v>18.954499999999999</v>
      </c>
      <c r="R3114" s="249">
        <f t="shared" si="746"/>
        <v>19.36202175</v>
      </c>
      <c r="S3114" s="258">
        <v>0.1</v>
      </c>
      <c r="T3114" s="169">
        <f t="shared" si="759"/>
        <v>20.84995</v>
      </c>
      <c r="U3114" s="315">
        <f t="shared" si="755"/>
        <v>21.298223925000002</v>
      </c>
      <c r="V3114" s="315">
        <f t="shared" si="756"/>
        <v>22</v>
      </c>
      <c r="W3114" s="316">
        <f t="shared" si="757"/>
        <v>0</v>
      </c>
    </row>
    <row r="3115" spans="1:23" ht="21" x14ac:dyDescent="0.25">
      <c r="A3115" s="200" t="s">
        <v>15365</v>
      </c>
      <c r="B3115" s="255" t="s">
        <v>22647</v>
      </c>
      <c r="C3115" s="248"/>
      <c r="D3115" s="247" t="s">
        <v>11</v>
      </c>
      <c r="E3115" s="249">
        <f t="shared" si="747"/>
        <v>17.959293820000006</v>
      </c>
      <c r="F3115" s="258">
        <v>0.65</v>
      </c>
      <c r="G3115" s="258">
        <f t="shared" si="748"/>
        <v>0.65</v>
      </c>
      <c r="H3115" s="249">
        <f t="shared" si="749"/>
        <v>7.5981627700000027</v>
      </c>
      <c r="I3115" s="258">
        <v>0.27500000000000002</v>
      </c>
      <c r="J3115" s="258">
        <f t="shared" si="750"/>
        <v>0.27500000000000002</v>
      </c>
      <c r="K3115" s="249">
        <f t="shared" si="751"/>
        <v>1.3814841400000004</v>
      </c>
      <c r="L3115" s="258">
        <v>0.05</v>
      </c>
      <c r="M3115" s="258">
        <f t="shared" si="752"/>
        <v>0.05</v>
      </c>
      <c r="N3115" s="251">
        <f t="shared" si="753"/>
        <v>0.69074207000000021</v>
      </c>
      <c r="O3115" s="258">
        <v>2.5000000000000001E-2</v>
      </c>
      <c r="P3115" s="258">
        <f t="shared" si="754"/>
        <v>2.5000000000000001E-2</v>
      </c>
      <c r="Q3115" s="249">
        <v>27.045500000000001</v>
      </c>
      <c r="R3115" s="249">
        <f t="shared" si="746"/>
        <v>27.629682800000008</v>
      </c>
      <c r="S3115" s="258">
        <v>0.1</v>
      </c>
      <c r="T3115" s="169">
        <f t="shared" si="759"/>
        <v>29.750050000000002</v>
      </c>
      <c r="U3115" s="315">
        <f t="shared" si="755"/>
        <v>30.392651080000007</v>
      </c>
      <c r="V3115" s="315">
        <f t="shared" si="756"/>
        <v>31</v>
      </c>
      <c r="W3115" s="316">
        <f t="shared" si="757"/>
        <v>0</v>
      </c>
    </row>
    <row r="3116" spans="1:23" ht="31.2" x14ac:dyDescent="0.25">
      <c r="A3116" s="200" t="s">
        <v>15374</v>
      </c>
      <c r="B3116" s="255" t="s">
        <v>22648</v>
      </c>
      <c r="C3116" s="248"/>
      <c r="D3116" s="247" t="s">
        <v>11</v>
      </c>
      <c r="E3116" s="249">
        <f t="shared" si="747"/>
        <v>16.148257528000002</v>
      </c>
      <c r="F3116" s="258">
        <v>0.65</v>
      </c>
      <c r="G3116" s="258">
        <f t="shared" si="748"/>
        <v>0.65</v>
      </c>
      <c r="H3116" s="249">
        <f t="shared" si="749"/>
        <v>6.8319551080000016</v>
      </c>
      <c r="I3116" s="258">
        <v>0.27500000000000002</v>
      </c>
      <c r="J3116" s="258">
        <f t="shared" si="750"/>
        <v>0.27500000000000002</v>
      </c>
      <c r="K3116" s="249">
        <f t="shared" si="751"/>
        <v>1.2421736560000003</v>
      </c>
      <c r="L3116" s="258">
        <v>0.05</v>
      </c>
      <c r="M3116" s="258">
        <f t="shared" si="752"/>
        <v>0.05</v>
      </c>
      <c r="N3116" s="251">
        <f t="shared" si="753"/>
        <v>0.62108682800000015</v>
      </c>
      <c r="O3116" s="258">
        <v>2.5000000000000001E-2</v>
      </c>
      <c r="P3116" s="258">
        <f t="shared" si="754"/>
        <v>2.5000000000000001E-2</v>
      </c>
      <c r="Q3116" s="249">
        <v>24.318200000000001</v>
      </c>
      <c r="R3116" s="249">
        <f t="shared" si="746"/>
        <v>24.843473120000002</v>
      </c>
      <c r="S3116" s="258">
        <v>0.1</v>
      </c>
      <c r="T3116" s="169">
        <f t="shared" si="759"/>
        <v>26.750019999999999</v>
      </c>
      <c r="U3116" s="315">
        <f t="shared" si="755"/>
        <v>27.327820432000003</v>
      </c>
      <c r="V3116" s="315">
        <f t="shared" si="756"/>
        <v>28</v>
      </c>
      <c r="W3116" s="316">
        <f t="shared" si="757"/>
        <v>0</v>
      </c>
    </row>
    <row r="3117" spans="1:23" ht="31.2" x14ac:dyDescent="0.25">
      <c r="A3117" s="200" t="s">
        <v>15375</v>
      </c>
      <c r="B3117" s="255" t="s">
        <v>22649</v>
      </c>
      <c r="C3117" s="248"/>
      <c r="D3117" s="247" t="s">
        <v>11</v>
      </c>
      <c r="E3117" s="249">
        <f t="shared" si="747"/>
        <v>15.665301236000001</v>
      </c>
      <c r="F3117" s="258">
        <v>0.65</v>
      </c>
      <c r="G3117" s="258">
        <f t="shared" si="748"/>
        <v>0.65</v>
      </c>
      <c r="H3117" s="249">
        <f t="shared" si="749"/>
        <v>6.6276274460000009</v>
      </c>
      <c r="I3117" s="258">
        <v>0.27500000000000002</v>
      </c>
      <c r="J3117" s="258">
        <f t="shared" si="750"/>
        <v>0.27500000000000002</v>
      </c>
      <c r="K3117" s="249">
        <f t="shared" si="751"/>
        <v>1.2050231720000002</v>
      </c>
      <c r="L3117" s="258">
        <v>0.05</v>
      </c>
      <c r="M3117" s="258">
        <f t="shared" si="752"/>
        <v>0.05</v>
      </c>
      <c r="N3117" s="251">
        <f t="shared" si="753"/>
        <v>0.6025115860000001</v>
      </c>
      <c r="O3117" s="258">
        <v>2.5000000000000001E-2</v>
      </c>
      <c r="P3117" s="258">
        <f t="shared" si="754"/>
        <v>2.5000000000000001E-2</v>
      </c>
      <c r="Q3117" s="249">
        <v>23.590900000000001</v>
      </c>
      <c r="R3117" s="249">
        <f t="shared" si="746"/>
        <v>24.100463440000002</v>
      </c>
      <c r="S3117" s="258">
        <v>0.1</v>
      </c>
      <c r="T3117" s="169">
        <f t="shared" si="759"/>
        <v>25.94999</v>
      </c>
      <c r="U3117" s="315">
        <f t="shared" si="755"/>
        <v>26.510509784000003</v>
      </c>
      <c r="V3117" s="315">
        <f t="shared" si="756"/>
        <v>27</v>
      </c>
      <c r="W3117" s="316">
        <f t="shared" si="757"/>
        <v>0</v>
      </c>
    </row>
    <row r="3118" spans="1:23" ht="21" x14ac:dyDescent="0.25">
      <c r="A3118" s="200" t="s">
        <v>18704</v>
      </c>
      <c r="B3118" s="255" t="s">
        <v>18705</v>
      </c>
      <c r="C3118" s="248"/>
      <c r="D3118" s="247" t="s">
        <v>11</v>
      </c>
      <c r="E3118" s="249">
        <f t="shared" si="747"/>
        <v>167</v>
      </c>
      <c r="F3118" s="258">
        <f>167/286.25</f>
        <v>0.58340611353711791</v>
      </c>
      <c r="G3118" s="258">
        <f t="shared" si="748"/>
        <v>0.58340611353711791</v>
      </c>
      <c r="H3118" s="249">
        <f t="shared" si="749"/>
        <v>115</v>
      </c>
      <c r="I3118" s="258">
        <f>115/286.25</f>
        <v>0.40174672489082969</v>
      </c>
      <c r="J3118" s="258">
        <f t="shared" si="750"/>
        <v>0.40174672489082969</v>
      </c>
      <c r="K3118" s="249">
        <f t="shared" si="751"/>
        <v>2.75</v>
      </c>
      <c r="L3118" s="258">
        <f>2.75/286.25</f>
        <v>9.6069868995633193E-3</v>
      </c>
      <c r="M3118" s="258">
        <f t="shared" si="752"/>
        <v>9.6069868995633193E-3</v>
      </c>
      <c r="N3118" s="251">
        <f t="shared" si="753"/>
        <v>1.5</v>
      </c>
      <c r="O3118" s="258">
        <f>1.5/286.25</f>
        <v>5.2401746724890829E-3</v>
      </c>
      <c r="P3118" s="258">
        <f t="shared" si="754"/>
        <v>5.2401746724890829E-3</v>
      </c>
      <c r="Q3118" s="249"/>
      <c r="R3118" s="249">
        <v>286.25</v>
      </c>
      <c r="S3118" s="258">
        <v>0.15</v>
      </c>
      <c r="T3118" s="169">
        <f>Q3118+Q3118*S3118</f>
        <v>0</v>
      </c>
      <c r="U3118" s="315">
        <f>(R3118*S3118)+R3118</f>
        <v>329.1875</v>
      </c>
      <c r="V3118" s="315">
        <f>IF(U3118=0, 0, IF(U3118&lt;10, _xlfn.CEILING.MATH(U3118,1), IF(U3118&lt;100, _xlfn.CEILING.MATH(U3118,1),IF(U3118&lt;1000, _xlfn.CEILING.MATH(U3118,5), IF(U3118&lt;10000, _xlfn.CEILING.MATH(U3118, 25), IF(U3118&lt;100000, _xlfn.CEILING.MATH(U3118,250), IF(U3118&lt;1000000, _xlfn.CEILING.MATH(U3118,500), 0)))))))</f>
        <v>330</v>
      </c>
      <c r="W3118" s="316">
        <f t="shared" si="757"/>
        <v>0</v>
      </c>
    </row>
    <row r="3119" spans="1:23" ht="21" x14ac:dyDescent="0.25">
      <c r="A3119" s="200" t="s">
        <v>18706</v>
      </c>
      <c r="B3119" s="255" t="s">
        <v>18707</v>
      </c>
      <c r="C3119" s="248"/>
      <c r="D3119" s="247" t="s">
        <v>11</v>
      </c>
      <c r="E3119" s="249">
        <f t="shared" si="747"/>
        <v>175</v>
      </c>
      <c r="F3119" s="258">
        <f>175/475</f>
        <v>0.36842105263157893</v>
      </c>
      <c r="G3119" s="258">
        <f t="shared" si="748"/>
        <v>0.36842105263157893</v>
      </c>
      <c r="H3119" s="249">
        <f t="shared" si="749"/>
        <v>295</v>
      </c>
      <c r="I3119" s="258">
        <f>295/475</f>
        <v>0.62105263157894741</v>
      </c>
      <c r="J3119" s="258">
        <f t="shared" si="750"/>
        <v>0.62105263157894741</v>
      </c>
      <c r="K3119" s="249">
        <f t="shared" si="751"/>
        <v>2.75</v>
      </c>
      <c r="L3119" s="258">
        <f>2.75/475</f>
        <v>5.7894736842105266E-3</v>
      </c>
      <c r="M3119" s="258">
        <f t="shared" si="752"/>
        <v>5.7894736842105266E-3</v>
      </c>
      <c r="N3119" s="251">
        <f t="shared" si="753"/>
        <v>2.25</v>
      </c>
      <c r="O3119" s="258">
        <f>2.25/475</f>
        <v>4.7368421052631582E-3</v>
      </c>
      <c r="P3119" s="258">
        <f t="shared" si="754"/>
        <v>4.7368421052631582E-3</v>
      </c>
      <c r="Q3119" s="249"/>
      <c r="R3119" s="249">
        <v>475</v>
      </c>
      <c r="S3119" s="258">
        <v>0.15</v>
      </c>
      <c r="T3119" s="169">
        <f>Q3119+Q3119*S3119</f>
        <v>0</v>
      </c>
      <c r="U3119" s="315">
        <f>(R3119*S3119)+R3119</f>
        <v>546.25</v>
      </c>
      <c r="V3119" s="315">
        <f>IF(U3119=0, 0, IF(U3119&lt;10, _xlfn.CEILING.MATH(U3119,1), IF(U3119&lt;100, _xlfn.CEILING.MATH(U3119,1),IF(U3119&lt;1000, _xlfn.CEILING.MATH(U3119,5), IF(U3119&lt;10000, _xlfn.CEILING.MATH(U3119, 25), IF(U3119&lt;100000, _xlfn.CEILING.MATH(U3119,250), IF(U3119&lt;1000000, _xlfn.CEILING.MATH(U3119,500), 0)))))))</f>
        <v>550</v>
      </c>
      <c r="W3119" s="316">
        <f t="shared" si="757"/>
        <v>0</v>
      </c>
    </row>
    <row r="3120" spans="1:23" ht="21" x14ac:dyDescent="0.25">
      <c r="A3120" s="200" t="s">
        <v>18708</v>
      </c>
      <c r="B3120" s="255" t="s">
        <v>18709</v>
      </c>
      <c r="C3120" s="248"/>
      <c r="D3120" s="247" t="s">
        <v>11</v>
      </c>
      <c r="E3120" s="249">
        <f t="shared" si="747"/>
        <v>175</v>
      </c>
      <c r="F3120" s="258">
        <f>175/531.25</f>
        <v>0.32941176470588235</v>
      </c>
      <c r="G3120" s="258">
        <f t="shared" si="748"/>
        <v>0.32941176470588235</v>
      </c>
      <c r="H3120" s="249">
        <f t="shared" si="749"/>
        <v>350</v>
      </c>
      <c r="I3120" s="258">
        <f>350/531.25</f>
        <v>0.6588235294117647</v>
      </c>
      <c r="J3120" s="258">
        <f t="shared" si="750"/>
        <v>0.6588235294117647</v>
      </c>
      <c r="K3120" s="249">
        <f t="shared" si="751"/>
        <v>3.5</v>
      </c>
      <c r="L3120" s="258">
        <f>3.5/531.25</f>
        <v>6.5882352941176473E-3</v>
      </c>
      <c r="M3120" s="258">
        <f t="shared" si="752"/>
        <v>6.5882352941176473E-3</v>
      </c>
      <c r="N3120" s="251">
        <f t="shared" si="753"/>
        <v>2.75</v>
      </c>
      <c r="O3120" s="258">
        <f>2.75/531.25</f>
        <v>5.1764705882352945E-3</v>
      </c>
      <c r="P3120" s="258">
        <f t="shared" si="754"/>
        <v>5.1764705882352945E-3</v>
      </c>
      <c r="Q3120" s="249"/>
      <c r="R3120" s="249">
        <v>531.25</v>
      </c>
      <c r="S3120" s="258">
        <v>0.15</v>
      </c>
      <c r="T3120" s="169">
        <f>Q3120+Q3120*S3120</f>
        <v>0</v>
      </c>
      <c r="U3120" s="315">
        <f>(R3120*S3120)+R3120</f>
        <v>610.9375</v>
      </c>
      <c r="V3120" s="315">
        <f>IF(U3120=0, 0, IF(U3120&lt;10, _xlfn.CEILING.MATH(U3120,1), IF(U3120&lt;100, _xlfn.CEILING.MATH(U3120,1),IF(U3120&lt;1000, _xlfn.CEILING.MATH(U3120,5), IF(U3120&lt;10000, _xlfn.CEILING.MATH(U3120, 25), IF(U3120&lt;100000, _xlfn.CEILING.MATH(U3120,250), IF(U3120&lt;1000000, _xlfn.CEILING.MATH(U3120,500), 0)))))))</f>
        <v>615</v>
      </c>
      <c r="W3120" s="316">
        <f t="shared" si="757"/>
        <v>0</v>
      </c>
    </row>
    <row r="3121" spans="1:23" ht="21" x14ac:dyDescent="0.25">
      <c r="A3121" s="200" t="s">
        <v>18710</v>
      </c>
      <c r="B3121" s="255" t="s">
        <v>18711</v>
      </c>
      <c r="C3121" s="248"/>
      <c r="D3121" s="247" t="s">
        <v>11</v>
      </c>
      <c r="E3121" s="249">
        <f t="shared" si="747"/>
        <v>175</v>
      </c>
      <c r="F3121" s="258">
        <f>175/571.5</f>
        <v>0.30621172353455817</v>
      </c>
      <c r="G3121" s="258">
        <f t="shared" si="748"/>
        <v>0.30621172353455817</v>
      </c>
      <c r="H3121" s="249">
        <f t="shared" si="749"/>
        <v>390</v>
      </c>
      <c r="I3121" s="258">
        <f>390/571.5</f>
        <v>0.6824146981627297</v>
      </c>
      <c r="J3121" s="258">
        <f t="shared" si="750"/>
        <v>0.6824146981627297</v>
      </c>
      <c r="K3121" s="249">
        <f t="shared" si="751"/>
        <v>3.5</v>
      </c>
      <c r="L3121" s="258">
        <f>3.5/571.5</f>
        <v>6.1242344706911632E-3</v>
      </c>
      <c r="M3121" s="258">
        <f t="shared" si="752"/>
        <v>6.1242344706911632E-3</v>
      </c>
      <c r="N3121" s="251">
        <f t="shared" si="753"/>
        <v>3</v>
      </c>
      <c r="O3121" s="258">
        <f>3/571.5</f>
        <v>5.2493438320209973E-3</v>
      </c>
      <c r="P3121" s="258">
        <f t="shared" si="754"/>
        <v>5.2493438320209973E-3</v>
      </c>
      <c r="Q3121" s="249"/>
      <c r="R3121" s="249">
        <v>571.5</v>
      </c>
      <c r="S3121" s="258">
        <v>0.15</v>
      </c>
      <c r="T3121" s="169">
        <f>Q3121+Q3121*S3121</f>
        <v>0</v>
      </c>
      <c r="U3121" s="315">
        <f>(R3121*S3121)+R3121-2.5</f>
        <v>654.72500000000002</v>
      </c>
      <c r="V3121" s="315">
        <f>IF(U3121=0, 0, IF(U3121&lt;10, _xlfn.CEILING.MATH(U3121,1), IF(U3121&lt;100, _xlfn.CEILING.MATH(U3121,1),IF(U3121&lt;1000, _xlfn.CEILING.MATH(U3121,5), IF(U3121&lt;10000, _xlfn.CEILING.MATH(U3121, 25), IF(U3121&lt;100000, _xlfn.CEILING.MATH(U3121,250), IF(U3121&lt;1000000, _xlfn.CEILING.MATH(U3121,500), 0)))))))</f>
        <v>655</v>
      </c>
      <c r="W3121" s="316">
        <f t="shared" si="757"/>
        <v>0</v>
      </c>
    </row>
    <row r="3122" spans="1:23" x14ac:dyDescent="0.25">
      <c r="A3122" s="200" t="s">
        <v>18712</v>
      </c>
      <c r="B3122" s="313" t="s">
        <v>18713</v>
      </c>
      <c r="C3122" s="248"/>
      <c r="D3122" s="247" t="s">
        <v>11</v>
      </c>
      <c r="E3122" s="249">
        <f t="shared" si="747"/>
        <v>720</v>
      </c>
      <c r="F3122" s="258">
        <f>720/1455</f>
        <v>0.49484536082474229</v>
      </c>
      <c r="G3122" s="258">
        <f t="shared" si="748"/>
        <v>0.49484536082474229</v>
      </c>
      <c r="H3122" s="249">
        <f t="shared" si="749"/>
        <v>509.99999999999994</v>
      </c>
      <c r="I3122" s="258">
        <f>510/1455</f>
        <v>0.35051546391752575</v>
      </c>
      <c r="J3122" s="258">
        <f t="shared" si="750"/>
        <v>0.35051546391752575</v>
      </c>
      <c r="K3122" s="249">
        <f t="shared" si="751"/>
        <v>125</v>
      </c>
      <c r="L3122" s="258">
        <f>125/1455</f>
        <v>8.5910652920962199E-2</v>
      </c>
      <c r="M3122" s="258">
        <f t="shared" si="752"/>
        <v>8.5910652920962199E-2</v>
      </c>
      <c r="N3122" s="251">
        <f t="shared" si="753"/>
        <v>100.00000000000001</v>
      </c>
      <c r="O3122" s="258">
        <f>100/1455</f>
        <v>6.8728522336769765E-2</v>
      </c>
      <c r="P3122" s="258">
        <f t="shared" si="754"/>
        <v>6.8728522336769765E-2</v>
      </c>
      <c r="Q3122" s="249"/>
      <c r="R3122" s="249">
        <v>1455</v>
      </c>
      <c r="S3122" s="258">
        <v>0.2</v>
      </c>
      <c r="T3122" s="169">
        <f t="shared" ref="T3122:T3130" si="760">Q3122+Q3122*S3122</f>
        <v>0</v>
      </c>
      <c r="U3122" s="315">
        <f t="shared" ref="U3122:U3130" si="761">(R3122*S3122)+R3122</f>
        <v>1746</v>
      </c>
      <c r="V3122" s="315">
        <f>IF(U3122=0, 0, IF(U3122&lt;10, _xlfn.CEILING.MATH(U3122,1), IF(U3122&lt;100, _xlfn.CEILING.MATH(U3122,1),IF(U3122&lt;1000, _xlfn.CEILING.MATH(U3122,5), IF(U3122&lt;10000, _xlfn.CEILING.MATH(U3122, 10), IF(U3122&lt;100000, _xlfn.CEILING.MATH(U3122,250), IF(U3122&lt;1000000, _xlfn.CEILING.MATH(U3122,500), 0)))))))</f>
        <v>1750</v>
      </c>
      <c r="W3122" s="316">
        <f t="shared" si="757"/>
        <v>0</v>
      </c>
    </row>
    <row r="3123" spans="1:23" x14ac:dyDescent="0.25">
      <c r="A3123" s="200" t="s">
        <v>18714</v>
      </c>
      <c r="B3123" s="313" t="s">
        <v>18715</v>
      </c>
      <c r="C3123" s="248"/>
      <c r="D3123" s="247" t="s">
        <v>11</v>
      </c>
      <c r="E3123" s="249">
        <f t="shared" si="747"/>
        <v>695</v>
      </c>
      <c r="F3123" s="258">
        <f>695/1375</f>
        <v>0.50545454545454549</v>
      </c>
      <c r="G3123" s="258">
        <f t="shared" si="748"/>
        <v>0.50545454545454549</v>
      </c>
      <c r="H3123" s="249">
        <f t="shared" si="749"/>
        <v>470</v>
      </c>
      <c r="I3123" s="258">
        <f>470/1375</f>
        <v>0.3418181818181818</v>
      </c>
      <c r="J3123" s="258">
        <f t="shared" si="750"/>
        <v>0.3418181818181818</v>
      </c>
      <c r="K3123" s="249">
        <f t="shared" si="751"/>
        <v>125</v>
      </c>
      <c r="L3123" s="258">
        <f>125/1375</f>
        <v>9.0909090909090912E-2</v>
      </c>
      <c r="M3123" s="258">
        <f t="shared" si="752"/>
        <v>9.0909090909090912E-2</v>
      </c>
      <c r="N3123" s="251">
        <f t="shared" si="753"/>
        <v>85</v>
      </c>
      <c r="O3123" s="258">
        <f>85/1375</f>
        <v>6.1818181818181821E-2</v>
      </c>
      <c r="P3123" s="258">
        <f t="shared" si="754"/>
        <v>6.1818181818181821E-2</v>
      </c>
      <c r="Q3123" s="249"/>
      <c r="R3123" s="249">
        <v>1375</v>
      </c>
      <c r="S3123" s="258">
        <v>0.2</v>
      </c>
      <c r="T3123" s="169">
        <f t="shared" si="760"/>
        <v>0</v>
      </c>
      <c r="U3123" s="315">
        <f t="shared" si="761"/>
        <v>1650</v>
      </c>
      <c r="V3123" s="315">
        <f>IF(U3123=0, 0, IF(U3123&lt;10, _xlfn.CEILING.MATH(U3123,1), IF(U3123&lt;100, _xlfn.CEILING.MATH(U3123,1),IF(U3123&lt;1000, _xlfn.CEILING.MATH(U3123,5), IF(U3123&lt;10000, _xlfn.CEILING.MATH(U3123, 25), IF(U3123&lt;100000, _xlfn.CEILING.MATH(U3123,250), IF(U3123&lt;1000000, _xlfn.CEILING.MATH(U3123,500), 0)))))))</f>
        <v>1650</v>
      </c>
      <c r="W3123" s="316">
        <f t="shared" si="757"/>
        <v>0</v>
      </c>
    </row>
    <row r="3124" spans="1:23" x14ac:dyDescent="0.25">
      <c r="A3124" s="200" t="s">
        <v>18716</v>
      </c>
      <c r="B3124" s="313" t="s">
        <v>18717</v>
      </c>
      <c r="C3124" s="248"/>
      <c r="D3124" s="247" t="s">
        <v>11</v>
      </c>
      <c r="E3124" s="249">
        <f t="shared" si="747"/>
        <v>815</v>
      </c>
      <c r="F3124" s="258">
        <f>815/1860</f>
        <v>0.43817204301075269</v>
      </c>
      <c r="G3124" s="258">
        <f t="shared" si="748"/>
        <v>0.43817204301075269</v>
      </c>
      <c r="H3124" s="249">
        <f t="shared" si="749"/>
        <v>760</v>
      </c>
      <c r="I3124" s="258">
        <f>760/1860</f>
        <v>0.40860215053763443</v>
      </c>
      <c r="J3124" s="258">
        <f t="shared" si="750"/>
        <v>0.40860215053763443</v>
      </c>
      <c r="K3124" s="249">
        <f t="shared" si="751"/>
        <v>150</v>
      </c>
      <c r="L3124" s="258">
        <f>150/1860</f>
        <v>8.0645161290322578E-2</v>
      </c>
      <c r="M3124" s="258">
        <f t="shared" si="752"/>
        <v>8.0645161290322578E-2</v>
      </c>
      <c r="N3124" s="251">
        <f t="shared" si="753"/>
        <v>135</v>
      </c>
      <c r="O3124" s="258">
        <f>135/1860</f>
        <v>7.2580645161290328E-2</v>
      </c>
      <c r="P3124" s="258">
        <f t="shared" si="754"/>
        <v>7.2580645161290328E-2</v>
      </c>
      <c r="Q3124" s="249"/>
      <c r="R3124" s="249">
        <v>1860</v>
      </c>
      <c r="S3124" s="258">
        <v>0.2</v>
      </c>
      <c r="T3124" s="169">
        <f t="shared" si="760"/>
        <v>0</v>
      </c>
      <c r="U3124" s="315">
        <f t="shared" si="761"/>
        <v>2232</v>
      </c>
      <c r="V3124" s="315">
        <f>IF(U3124=0, 0, IF(U3124&lt;10, _xlfn.CEILING.MATH(U3124,1), IF(U3124&lt;100, _xlfn.CEILING.MATH(U3124,1),IF(U3124&lt;1000, _xlfn.CEILING.MATH(U3124,5), IF(U3124&lt;10000, _xlfn.CEILING.MATH(U3124, 5), IF(U3124&lt;100000, _xlfn.CEILING.MATH(U3124,250), IF(U3124&lt;1000000, _xlfn.CEILING.MATH(U3124,500), 0)))))))</f>
        <v>2235</v>
      </c>
      <c r="W3124" s="316">
        <f t="shared" si="757"/>
        <v>0</v>
      </c>
    </row>
    <row r="3125" spans="1:23" x14ac:dyDescent="0.25">
      <c r="A3125" s="200" t="s">
        <v>18718</v>
      </c>
      <c r="B3125" s="313" t="s">
        <v>18719</v>
      </c>
      <c r="C3125" s="248"/>
      <c r="D3125" s="247" t="s">
        <v>11</v>
      </c>
      <c r="E3125" s="249">
        <f t="shared" si="747"/>
        <v>695</v>
      </c>
      <c r="F3125" s="258">
        <f>695/1630</f>
        <v>0.42638036809815949</v>
      </c>
      <c r="G3125" s="258">
        <f t="shared" si="748"/>
        <v>0.42638036809815949</v>
      </c>
      <c r="H3125" s="249">
        <f t="shared" si="749"/>
        <v>660</v>
      </c>
      <c r="I3125" s="258">
        <f>660/1630</f>
        <v>0.40490797546012269</v>
      </c>
      <c r="J3125" s="258">
        <f t="shared" si="750"/>
        <v>0.40490797546012269</v>
      </c>
      <c r="K3125" s="249">
        <f t="shared" si="751"/>
        <v>150</v>
      </c>
      <c r="L3125" s="258">
        <f>150/1630</f>
        <v>9.202453987730061E-2</v>
      </c>
      <c r="M3125" s="258">
        <f t="shared" si="752"/>
        <v>9.202453987730061E-2</v>
      </c>
      <c r="N3125" s="251">
        <f t="shared" si="753"/>
        <v>125</v>
      </c>
      <c r="O3125" s="258">
        <f>125/1630</f>
        <v>7.6687116564417179E-2</v>
      </c>
      <c r="P3125" s="258">
        <f t="shared" si="754"/>
        <v>7.6687116564417179E-2</v>
      </c>
      <c r="Q3125" s="249"/>
      <c r="R3125" s="249">
        <v>1630</v>
      </c>
      <c r="S3125" s="258">
        <v>0.2</v>
      </c>
      <c r="T3125" s="169">
        <f t="shared" si="760"/>
        <v>0</v>
      </c>
      <c r="U3125" s="315">
        <f t="shared" si="761"/>
        <v>1956</v>
      </c>
      <c r="V3125" s="315">
        <f>IF(U3125=0, 0, IF(U3125&lt;10, _xlfn.CEILING.MATH(U3125,1), IF(U3125&lt;100, _xlfn.CEILING.MATH(U3125,1),IF(U3125&lt;1000, _xlfn.CEILING.MATH(U3125,5), IF(U3125&lt;10000, _xlfn.CEILING.MATH(U3125, 10), IF(U3125&lt;100000, _xlfn.CEILING.MATH(U3125,250), IF(U3125&lt;1000000, _xlfn.CEILING.MATH(U3125,500), 0)))))))</f>
        <v>1960</v>
      </c>
      <c r="W3125" s="316">
        <f t="shared" si="757"/>
        <v>0</v>
      </c>
    </row>
    <row r="3126" spans="1:23" x14ac:dyDescent="0.25">
      <c r="A3126" s="200" t="s">
        <v>18720</v>
      </c>
      <c r="B3126" s="313" t="s">
        <v>18721</v>
      </c>
      <c r="C3126" s="248"/>
      <c r="D3126" s="247" t="s">
        <v>11</v>
      </c>
      <c r="E3126" s="249">
        <f t="shared" si="747"/>
        <v>910</v>
      </c>
      <c r="F3126" s="258">
        <f>910/2095</f>
        <v>0.43436754176610981</v>
      </c>
      <c r="G3126" s="258">
        <f t="shared" si="748"/>
        <v>0.43436754176610981</v>
      </c>
      <c r="H3126" s="249">
        <f t="shared" si="749"/>
        <v>855</v>
      </c>
      <c r="I3126" s="258">
        <f>855/2095</f>
        <v>0.40811455847255368</v>
      </c>
      <c r="J3126" s="258">
        <f t="shared" si="750"/>
        <v>0.40811455847255368</v>
      </c>
      <c r="K3126" s="249">
        <f t="shared" si="751"/>
        <v>175</v>
      </c>
      <c r="L3126" s="258">
        <f>175/2095</f>
        <v>8.3532219570405727E-2</v>
      </c>
      <c r="M3126" s="258">
        <f t="shared" si="752"/>
        <v>8.3532219570405727E-2</v>
      </c>
      <c r="N3126" s="251">
        <f t="shared" si="753"/>
        <v>155</v>
      </c>
      <c r="O3126" s="258">
        <f>155/2095</f>
        <v>7.3985680190930783E-2</v>
      </c>
      <c r="P3126" s="258">
        <f t="shared" si="754"/>
        <v>7.3985680190930783E-2</v>
      </c>
      <c r="Q3126" s="249"/>
      <c r="R3126" s="249">
        <v>2095</v>
      </c>
      <c r="S3126" s="258">
        <v>0.2</v>
      </c>
      <c r="T3126" s="169">
        <f t="shared" si="760"/>
        <v>0</v>
      </c>
      <c r="U3126" s="315">
        <f t="shared" si="761"/>
        <v>2514</v>
      </c>
      <c r="V3126" s="315">
        <f>IF(U3126=0, 0, IF(U3126&lt;10, _xlfn.CEILING.MATH(U3126,1), IF(U3126&lt;100, _xlfn.CEILING.MATH(U3126,1),IF(U3126&lt;1000, _xlfn.CEILING.MATH(U3126,5), IF(U3126&lt;10000, _xlfn.CEILING.MATH(U3126, 10), IF(U3126&lt;100000, _xlfn.CEILING.MATH(U3126,250), IF(U3126&lt;1000000, _xlfn.CEILING.MATH(U3126,500), 0)))))))</f>
        <v>2520</v>
      </c>
      <c r="W3126" s="316">
        <f t="shared" si="757"/>
        <v>0</v>
      </c>
    </row>
    <row r="3127" spans="1:23" ht="14.4" thickBot="1" x14ac:dyDescent="0.3">
      <c r="A3127" s="263" t="s">
        <v>18722</v>
      </c>
      <c r="B3127" s="321" t="s">
        <v>18723</v>
      </c>
      <c r="C3127" s="265"/>
      <c r="D3127" s="264" t="s">
        <v>11</v>
      </c>
      <c r="E3127" s="266">
        <f t="shared" si="747"/>
        <v>975</v>
      </c>
      <c r="F3127" s="322">
        <f>975/2285</f>
        <v>0.42669584245076586</v>
      </c>
      <c r="G3127" s="322">
        <f t="shared" si="748"/>
        <v>0.42669584245076586</v>
      </c>
      <c r="H3127" s="266">
        <f t="shared" si="749"/>
        <v>944.99999999999989</v>
      </c>
      <c r="I3127" s="322">
        <f>945/2285</f>
        <v>0.41356673960612689</v>
      </c>
      <c r="J3127" s="322">
        <f t="shared" si="750"/>
        <v>0.41356673960612689</v>
      </c>
      <c r="K3127" s="266">
        <f t="shared" si="751"/>
        <v>175</v>
      </c>
      <c r="L3127" s="322">
        <f>175/2285</f>
        <v>7.6586433260393869E-2</v>
      </c>
      <c r="M3127" s="322">
        <f t="shared" si="752"/>
        <v>7.6586433260393869E-2</v>
      </c>
      <c r="N3127" s="270">
        <f t="shared" si="753"/>
        <v>189.99999999999997</v>
      </c>
      <c r="O3127" s="322">
        <f>190/2285</f>
        <v>8.3150984682713341E-2</v>
      </c>
      <c r="P3127" s="322">
        <f t="shared" si="754"/>
        <v>8.3150984682713341E-2</v>
      </c>
      <c r="Q3127" s="266"/>
      <c r="R3127" s="266">
        <v>2285</v>
      </c>
      <c r="S3127" s="322">
        <v>0.2</v>
      </c>
      <c r="T3127" s="291">
        <f t="shared" si="760"/>
        <v>0</v>
      </c>
      <c r="U3127" s="324">
        <f t="shared" si="761"/>
        <v>2742</v>
      </c>
      <c r="V3127" s="324">
        <f>IF(U3127=0, 0, IF(U3127&lt;10, _xlfn.CEILING.MATH(U3127,1), IF(U3127&lt;100, _xlfn.CEILING.MATH(U3127,1),IF(U3127&lt;1000, _xlfn.CEILING.MATH(U3127,5), IF(U3127&lt;10000, _xlfn.CEILING.MATH(U3127, 5), IF(U3127&lt;100000, _xlfn.CEILING.MATH(U3127,250), IF(U3127&lt;1000000, _xlfn.CEILING.MATH(U3127,500), 0)))))))</f>
        <v>2745</v>
      </c>
      <c r="W3127" s="325">
        <f t="shared" si="757"/>
        <v>0</v>
      </c>
    </row>
    <row r="3128" spans="1:23" x14ac:dyDescent="0.25">
      <c r="A3128" s="200" t="s">
        <v>18724</v>
      </c>
      <c r="B3128" s="313" t="s">
        <v>18725</v>
      </c>
      <c r="C3128" s="248"/>
      <c r="D3128" s="247" t="s">
        <v>11</v>
      </c>
      <c r="E3128" s="249">
        <f t="shared" si="747"/>
        <v>3190</v>
      </c>
      <c r="F3128" s="258">
        <f>3190/10115</f>
        <v>0.31537320810677211</v>
      </c>
      <c r="G3128" s="258">
        <f t="shared" si="748"/>
        <v>0.31537320810677211</v>
      </c>
      <c r="H3128" s="249">
        <f t="shared" si="749"/>
        <v>6520</v>
      </c>
      <c r="I3128" s="258">
        <f>6520/10115</f>
        <v>0.64458724666337119</v>
      </c>
      <c r="J3128" s="258">
        <f t="shared" si="750"/>
        <v>0.64458724666337119</v>
      </c>
      <c r="K3128" s="249">
        <f t="shared" si="751"/>
        <v>255</v>
      </c>
      <c r="L3128" s="258">
        <f>255/10115</f>
        <v>2.5210084033613446E-2</v>
      </c>
      <c r="M3128" s="258">
        <f t="shared" si="752"/>
        <v>2.5210084033613446E-2</v>
      </c>
      <c r="N3128" s="251">
        <f t="shared" si="753"/>
        <v>150</v>
      </c>
      <c r="O3128" s="258">
        <f>150/10115</f>
        <v>1.4829461196243203E-2</v>
      </c>
      <c r="P3128" s="258">
        <f t="shared" si="754"/>
        <v>1.4829461196243203E-2</v>
      </c>
      <c r="Q3128" s="249"/>
      <c r="R3128" s="249">
        <v>10115</v>
      </c>
      <c r="S3128" s="258">
        <v>0.2</v>
      </c>
      <c r="T3128" s="169">
        <f t="shared" si="760"/>
        <v>0</v>
      </c>
      <c r="U3128" s="315">
        <f>(R3128*S3128)+R3128-38</f>
        <v>12100</v>
      </c>
      <c r="V3128" s="315">
        <f>IF(U3128=0, 0, IF(U3128&lt;10, _xlfn.CEILING.MATH(U3128,1), IF(U3128&lt;100, _xlfn.CEILING.MATH(U3128,1),IF(U3128&lt;1000, _xlfn.CEILING.MATH(U3128,5), IF(U3128&lt;10000, _xlfn.CEILING.MATH(U3128, 25), IF(U3128&lt;100000, _xlfn.CEILING.MATH(U3128,1), IF(U3128&lt;1000000, _xlfn.CEILING.MATH(U3128,500), 0)))))))</f>
        <v>12100</v>
      </c>
      <c r="W3128" s="316">
        <f t="shared" si="757"/>
        <v>0</v>
      </c>
    </row>
    <row r="3129" spans="1:23" x14ac:dyDescent="0.25">
      <c r="A3129" s="200" t="s">
        <v>18726</v>
      </c>
      <c r="B3129" s="313" t="s">
        <v>18727</v>
      </c>
      <c r="C3129" s="248"/>
      <c r="D3129" s="247" t="s">
        <v>11</v>
      </c>
      <c r="E3129" s="249">
        <f t="shared" si="747"/>
        <v>2620</v>
      </c>
      <c r="F3129" s="258">
        <f>2620/7860</f>
        <v>0.33333333333333331</v>
      </c>
      <c r="G3129" s="258">
        <f t="shared" si="748"/>
        <v>0.33333333333333331</v>
      </c>
      <c r="H3129" s="249">
        <f t="shared" si="749"/>
        <v>4850</v>
      </c>
      <c r="I3129" s="258">
        <f>4850/7860</f>
        <v>0.61704834605597969</v>
      </c>
      <c r="J3129" s="258">
        <f t="shared" si="750"/>
        <v>0.61704834605597969</v>
      </c>
      <c r="K3129" s="249">
        <f t="shared" si="751"/>
        <v>255</v>
      </c>
      <c r="L3129" s="258">
        <f>255/7860</f>
        <v>3.2442748091603052E-2</v>
      </c>
      <c r="M3129" s="258">
        <f t="shared" si="752"/>
        <v>3.2442748091603052E-2</v>
      </c>
      <c r="N3129" s="251">
        <f t="shared" si="753"/>
        <v>135</v>
      </c>
      <c r="O3129" s="258">
        <f>135/7860</f>
        <v>1.717557251908397E-2</v>
      </c>
      <c r="P3129" s="258">
        <f t="shared" si="754"/>
        <v>1.717557251908397E-2</v>
      </c>
      <c r="Q3129" s="249"/>
      <c r="R3129" s="249">
        <v>7860</v>
      </c>
      <c r="S3129" s="258">
        <v>0.2</v>
      </c>
      <c r="T3129" s="169">
        <f t="shared" si="760"/>
        <v>0</v>
      </c>
      <c r="U3129" s="315">
        <f t="shared" si="761"/>
        <v>9432</v>
      </c>
      <c r="V3129" s="315">
        <f>IF(U3129=0, 0, IF(U3129&lt;10, _xlfn.CEILING.MATH(U3129,1), IF(U3129&lt;100, _xlfn.CEILING.MATH(U3129,1),IF(U3129&lt;1000, _xlfn.CEILING.MATH(U3129,5), IF(U3129&lt;10000, _xlfn.CEILING.MATH(U3129,100), IF(U3129&lt;100000, _xlfn.CEILING.MATH(U3129,250), IF(U3129&lt;1000000, _xlfn.CEILING.MATH(U3129,500), 0)))))))</f>
        <v>9500</v>
      </c>
      <c r="W3129" s="316">
        <f t="shared" si="757"/>
        <v>0</v>
      </c>
    </row>
    <row r="3130" spans="1:23" x14ac:dyDescent="0.25">
      <c r="A3130" s="200" t="s">
        <v>18728</v>
      </c>
      <c r="B3130" s="313" t="s">
        <v>22650</v>
      </c>
      <c r="C3130" s="248"/>
      <c r="D3130" s="247" t="s">
        <v>11</v>
      </c>
      <c r="E3130" s="249">
        <f t="shared" si="747"/>
        <v>5190</v>
      </c>
      <c r="F3130" s="258">
        <f>5190/13000</f>
        <v>0.39923076923076922</v>
      </c>
      <c r="G3130" s="258">
        <f t="shared" si="748"/>
        <v>0.39923076923076922</v>
      </c>
      <c r="H3130" s="249">
        <f t="shared" si="749"/>
        <v>7340</v>
      </c>
      <c r="I3130" s="258">
        <f>7340/13000</f>
        <v>0.56461538461538463</v>
      </c>
      <c r="J3130" s="258">
        <f t="shared" si="750"/>
        <v>0.56461538461538463</v>
      </c>
      <c r="K3130" s="249">
        <f t="shared" si="751"/>
        <v>295</v>
      </c>
      <c r="L3130" s="258">
        <f>295/13000</f>
        <v>2.2692307692307692E-2</v>
      </c>
      <c r="M3130" s="258">
        <f t="shared" si="752"/>
        <v>2.2692307692307692E-2</v>
      </c>
      <c r="N3130" s="251">
        <f t="shared" si="753"/>
        <v>175</v>
      </c>
      <c r="O3130" s="258">
        <f>175/13000</f>
        <v>1.3461538461538462E-2</v>
      </c>
      <c r="P3130" s="258">
        <f t="shared" si="754"/>
        <v>1.3461538461538462E-2</v>
      </c>
      <c r="Q3130" s="249"/>
      <c r="R3130" s="249">
        <v>13000</v>
      </c>
      <c r="S3130" s="258">
        <v>0.2</v>
      </c>
      <c r="T3130" s="169">
        <f t="shared" si="760"/>
        <v>0</v>
      </c>
      <c r="U3130" s="315">
        <f t="shared" si="761"/>
        <v>15600</v>
      </c>
      <c r="V3130" s="315">
        <f>IF(U3130=0, 0, IF(U3130&lt;10, _xlfn.CEILING.MATH(U3130,1), IF(U3130&lt;100, _xlfn.CEILING.MATH(U3130,1),IF(U3130&lt;1000, _xlfn.CEILING.MATH(U3130,5), IF(U3130&lt;10000, _xlfn.CEILING.MATH(U3130, 25), IF(U3130&lt;100000, _xlfn.CEILING.MATH(U3130,200), IF(U3130&lt;1000000, _xlfn.CEILING.MATH(U3130,500), 0)))))))</f>
        <v>15600</v>
      </c>
      <c r="W3130" s="316">
        <f t="shared" si="757"/>
        <v>0</v>
      </c>
    </row>
    <row r="3131" spans="1:23" x14ac:dyDescent="0.25">
      <c r="A3131" s="195" t="s">
        <v>15376</v>
      </c>
      <c r="B3131" s="317" t="s">
        <v>15377</v>
      </c>
      <c r="C3131" s="318"/>
      <c r="D3131" s="319"/>
      <c r="E3131" s="319"/>
      <c r="F3131" s="319"/>
      <c r="G3131" s="319"/>
      <c r="H3131" s="319"/>
      <c r="I3131" s="319"/>
      <c r="J3131" s="319"/>
      <c r="K3131" s="319"/>
      <c r="L3131" s="319"/>
      <c r="M3131" s="319"/>
      <c r="N3131" s="319"/>
      <c r="O3131" s="319"/>
      <c r="P3131" s="319"/>
      <c r="Q3131" s="319"/>
      <c r="R3131" s="319"/>
      <c r="S3131" s="319"/>
      <c r="T3131" s="319"/>
      <c r="U3131" s="320"/>
      <c r="V3131" s="320"/>
      <c r="W3131" s="306"/>
    </row>
    <row r="3132" spans="1:23" x14ac:dyDescent="0.25">
      <c r="A3132" s="199" t="s">
        <v>14936</v>
      </c>
      <c r="B3132" s="307" t="s">
        <v>15378</v>
      </c>
      <c r="C3132" s="308"/>
      <c r="D3132" s="309"/>
      <c r="E3132" s="310"/>
      <c r="F3132" s="311"/>
      <c r="G3132" s="311"/>
      <c r="H3132" s="310"/>
      <c r="I3132" s="311"/>
      <c r="J3132" s="311"/>
      <c r="K3132" s="310"/>
      <c r="L3132" s="311"/>
      <c r="M3132" s="311"/>
      <c r="N3132" s="310"/>
      <c r="O3132" s="311"/>
      <c r="P3132" s="311"/>
      <c r="Q3132" s="310"/>
      <c r="R3132" s="310"/>
      <c r="S3132" s="309"/>
      <c r="T3132" s="309"/>
      <c r="U3132" s="309"/>
      <c r="V3132" s="309"/>
      <c r="W3132" s="312"/>
    </row>
    <row r="3133" spans="1:23" x14ac:dyDescent="0.25">
      <c r="A3133" s="200" t="s">
        <v>15379</v>
      </c>
      <c r="B3133" s="313" t="s">
        <v>15380</v>
      </c>
      <c r="C3133" s="248"/>
      <c r="D3133" s="247" t="s">
        <v>11</v>
      </c>
      <c r="E3133" s="249">
        <f t="shared" si="747"/>
        <v>0</v>
      </c>
      <c r="F3133" s="314"/>
      <c r="G3133" s="258">
        <f t="shared" si="748"/>
        <v>0</v>
      </c>
      <c r="H3133" s="249">
        <f t="shared" si="749"/>
        <v>759.3</v>
      </c>
      <c r="I3133" s="314">
        <v>0.15</v>
      </c>
      <c r="J3133" s="258">
        <f t="shared" si="750"/>
        <v>0.15</v>
      </c>
      <c r="K3133" s="249">
        <f t="shared" si="751"/>
        <v>0</v>
      </c>
      <c r="L3133" s="314"/>
      <c r="M3133" s="258">
        <f t="shared" si="752"/>
        <v>0</v>
      </c>
      <c r="N3133" s="251">
        <f t="shared" si="753"/>
        <v>4302.7</v>
      </c>
      <c r="O3133" s="258">
        <v>0.85</v>
      </c>
      <c r="P3133" s="258">
        <f t="shared" si="754"/>
        <v>0.85</v>
      </c>
      <c r="Q3133" s="249">
        <v>5000</v>
      </c>
      <c r="R3133" s="249">
        <f t="shared" si="746"/>
        <v>5062</v>
      </c>
      <c r="S3133" s="258">
        <v>0.1</v>
      </c>
      <c r="T3133" s="169">
        <f>Q3133+Q3133*S3133</f>
        <v>5500</v>
      </c>
      <c r="U3133" s="315">
        <f t="shared" si="755"/>
        <v>5568.2</v>
      </c>
      <c r="V3133" s="315">
        <f t="shared" si="756"/>
        <v>5575</v>
      </c>
      <c r="W3133" s="316">
        <f t="shared" si="757"/>
        <v>0</v>
      </c>
    </row>
    <row r="3134" spans="1:23" x14ac:dyDescent="0.25">
      <c r="A3134" s="200" t="s">
        <v>15381</v>
      </c>
      <c r="B3134" s="313" t="s">
        <v>15382</v>
      </c>
      <c r="C3134" s="248"/>
      <c r="D3134" s="247" t="s">
        <v>11</v>
      </c>
      <c r="E3134" s="249">
        <f t="shared" si="747"/>
        <v>0</v>
      </c>
      <c r="F3134" s="314"/>
      <c r="G3134" s="258">
        <f t="shared" si="748"/>
        <v>0</v>
      </c>
      <c r="H3134" s="249">
        <f t="shared" si="749"/>
        <v>1035.4090881479999</v>
      </c>
      <c r="I3134" s="314">
        <v>0.15</v>
      </c>
      <c r="J3134" s="258">
        <f t="shared" si="750"/>
        <v>0.15</v>
      </c>
      <c r="K3134" s="249">
        <f t="shared" si="751"/>
        <v>0</v>
      </c>
      <c r="L3134" s="314"/>
      <c r="M3134" s="258">
        <f t="shared" si="752"/>
        <v>0</v>
      </c>
      <c r="N3134" s="251">
        <f t="shared" si="753"/>
        <v>5867.318166172</v>
      </c>
      <c r="O3134" s="258">
        <v>0.85</v>
      </c>
      <c r="P3134" s="258">
        <f t="shared" si="754"/>
        <v>0.85</v>
      </c>
      <c r="Q3134" s="249">
        <v>6818.1818000000003</v>
      </c>
      <c r="R3134" s="249">
        <f t="shared" si="746"/>
        <v>6902.7272543199997</v>
      </c>
      <c r="S3134" s="258">
        <v>0.1</v>
      </c>
      <c r="T3134" s="169">
        <f>Q3134+Q3134*S3134</f>
        <v>7499.9999800000005</v>
      </c>
      <c r="U3134" s="315">
        <f t="shared" si="755"/>
        <v>7592.9999797519995</v>
      </c>
      <c r="V3134" s="315">
        <f t="shared" si="756"/>
        <v>7600</v>
      </c>
      <c r="W3134" s="316">
        <f t="shared" si="757"/>
        <v>0</v>
      </c>
    </row>
    <row r="3135" spans="1:23" x14ac:dyDescent="0.25">
      <c r="A3135" s="200" t="s">
        <v>15381</v>
      </c>
      <c r="B3135" s="313" t="s">
        <v>15383</v>
      </c>
      <c r="C3135" s="248"/>
      <c r="D3135" s="247" t="s">
        <v>11</v>
      </c>
      <c r="E3135" s="249">
        <f t="shared" si="747"/>
        <v>0</v>
      </c>
      <c r="F3135" s="314"/>
      <c r="G3135" s="258">
        <f t="shared" si="748"/>
        <v>0</v>
      </c>
      <c r="H3135" s="249">
        <f t="shared" si="749"/>
        <v>1449.5727203700001</v>
      </c>
      <c r="I3135" s="314">
        <v>0.15</v>
      </c>
      <c r="J3135" s="258">
        <f t="shared" si="750"/>
        <v>0.15</v>
      </c>
      <c r="K3135" s="249">
        <f t="shared" si="751"/>
        <v>0</v>
      </c>
      <c r="L3135" s="314"/>
      <c r="M3135" s="258">
        <f t="shared" si="752"/>
        <v>0</v>
      </c>
      <c r="N3135" s="251">
        <f t="shared" si="753"/>
        <v>8214.2454154299994</v>
      </c>
      <c r="O3135" s="258">
        <v>0.85</v>
      </c>
      <c r="P3135" s="258">
        <f t="shared" si="754"/>
        <v>0.85</v>
      </c>
      <c r="Q3135" s="249">
        <v>9545.4544999999998</v>
      </c>
      <c r="R3135" s="249">
        <f t="shared" si="746"/>
        <v>9663.8181358000002</v>
      </c>
      <c r="S3135" s="258">
        <v>0.1</v>
      </c>
      <c r="T3135" s="169">
        <f>Q3135+Q3135*S3135</f>
        <v>10499.999949999999</v>
      </c>
      <c r="U3135" s="315">
        <f t="shared" si="755"/>
        <v>10630.199949379999</v>
      </c>
      <c r="V3135" s="315">
        <f t="shared" si="756"/>
        <v>10750</v>
      </c>
      <c r="W3135" s="316">
        <f t="shared" si="757"/>
        <v>0</v>
      </c>
    </row>
    <row r="3136" spans="1:23" x14ac:dyDescent="0.25">
      <c r="A3136" s="208" t="s">
        <v>15384</v>
      </c>
      <c r="B3136" s="313" t="s">
        <v>15385</v>
      </c>
      <c r="C3136" s="248"/>
      <c r="D3136" s="247" t="s">
        <v>2</v>
      </c>
      <c r="E3136" s="249">
        <f t="shared" si="747"/>
        <v>1.7932138333199996</v>
      </c>
      <c r="F3136" s="258">
        <v>0.48299999999999998</v>
      </c>
      <c r="G3136" s="258">
        <f t="shared" si="748"/>
        <v>0.48299999999999998</v>
      </c>
      <c r="H3136" s="249">
        <f t="shared" si="749"/>
        <v>0</v>
      </c>
      <c r="I3136" s="314"/>
      <c r="J3136" s="258">
        <f t="shared" si="750"/>
        <v>0</v>
      </c>
      <c r="K3136" s="249">
        <f t="shared" si="751"/>
        <v>0.76109489819999987</v>
      </c>
      <c r="L3136" s="374">
        <v>0.20499999999999999</v>
      </c>
      <c r="M3136" s="258">
        <f t="shared" si="752"/>
        <v>0.20499999999999999</v>
      </c>
      <c r="N3136" s="251">
        <f t="shared" si="753"/>
        <v>1.1583493084799998</v>
      </c>
      <c r="O3136" s="258">
        <v>0.312</v>
      </c>
      <c r="P3136" s="258">
        <f t="shared" si="754"/>
        <v>0.312</v>
      </c>
      <c r="Q3136" s="249">
        <v>3.6399999999999997</v>
      </c>
      <c r="R3136" s="249">
        <f t="shared" si="746"/>
        <v>3.7126580399999995</v>
      </c>
      <c r="S3136" s="250">
        <v>0.1</v>
      </c>
      <c r="T3136" s="169">
        <f>Q3136*S3136+Q3136</f>
        <v>4.0039999999999996</v>
      </c>
      <c r="U3136" s="315">
        <f t="shared" si="755"/>
        <v>4.0839238439999992</v>
      </c>
      <c r="V3136" s="315">
        <f t="shared" si="756"/>
        <v>5</v>
      </c>
      <c r="W3136" s="316">
        <f t="shared" si="757"/>
        <v>0</v>
      </c>
    </row>
    <row r="3137" spans="1:23" x14ac:dyDescent="0.25">
      <c r="A3137" s="208" t="s">
        <v>15386</v>
      </c>
      <c r="B3137" s="313" t="s">
        <v>15387</v>
      </c>
      <c r="C3137" s="248"/>
      <c r="D3137" s="247" t="s">
        <v>11</v>
      </c>
      <c r="E3137" s="249">
        <f t="shared" si="747"/>
        <v>81.814988892000017</v>
      </c>
      <c r="F3137" s="258">
        <v>0.879</v>
      </c>
      <c r="G3137" s="258">
        <f t="shared" si="748"/>
        <v>0.879</v>
      </c>
      <c r="H3137" s="249">
        <f t="shared" si="749"/>
        <v>0</v>
      </c>
      <c r="I3137" s="314"/>
      <c r="J3137" s="258">
        <f t="shared" si="750"/>
        <v>0</v>
      </c>
      <c r="K3137" s="249">
        <f t="shared" si="751"/>
        <v>5.5846408800000003</v>
      </c>
      <c r="L3137" s="374">
        <v>0.06</v>
      </c>
      <c r="M3137" s="258">
        <f t="shared" si="752"/>
        <v>0.06</v>
      </c>
      <c r="N3137" s="251">
        <f t="shared" si="753"/>
        <v>5.6777182280000007</v>
      </c>
      <c r="O3137" s="258">
        <v>6.0999999999999999E-2</v>
      </c>
      <c r="P3137" s="258">
        <f t="shared" si="754"/>
        <v>6.0999999999999999E-2</v>
      </c>
      <c r="Q3137" s="249">
        <v>91</v>
      </c>
      <c r="R3137" s="249">
        <f t="shared" ref="R3137:R3192" si="762">SUM(F3137*Q3137*1.0235,I3137*Q3137*1.0175,L3137*Q3137*1.0245,O3137*Q3137*1.0115)</f>
        <v>93.077348000000015</v>
      </c>
      <c r="S3137" s="250">
        <v>0.1</v>
      </c>
      <c r="T3137" s="169">
        <f>Q3137*S3137+Q3137-0.1</f>
        <v>100</v>
      </c>
      <c r="U3137" s="315">
        <f t="shared" si="755"/>
        <v>102.38508280000002</v>
      </c>
      <c r="V3137" s="315">
        <f t="shared" si="756"/>
        <v>105</v>
      </c>
      <c r="W3137" s="316">
        <f t="shared" si="757"/>
        <v>0</v>
      </c>
    </row>
    <row r="3138" spans="1:23" x14ac:dyDescent="0.25">
      <c r="A3138" s="208" t="s">
        <v>15388</v>
      </c>
      <c r="B3138" s="313" t="s">
        <v>15389</v>
      </c>
      <c r="C3138" s="248"/>
      <c r="D3138" s="247" t="s">
        <v>11</v>
      </c>
      <c r="E3138" s="249">
        <f t="shared" ref="E3138:E3201" si="763">R3138*G3138</f>
        <v>58.272351256</v>
      </c>
      <c r="F3138" s="258">
        <v>0.83799999999999997</v>
      </c>
      <c r="G3138" s="258">
        <f t="shared" ref="G3138:G3201" si="764">F3138</f>
        <v>0.83799999999999997</v>
      </c>
      <c r="H3138" s="249">
        <f t="shared" ref="H3138:H3201" si="765">R3138*J3138</f>
        <v>0</v>
      </c>
      <c r="I3138" s="314"/>
      <c r="J3138" s="258">
        <f t="shared" ref="J3138:J3201" si="766">I3138</f>
        <v>0</v>
      </c>
      <c r="K3138" s="249">
        <f t="shared" ref="K3138:K3201" si="767">R3138*M3138</f>
        <v>5.6325303720000006</v>
      </c>
      <c r="L3138" s="374">
        <v>8.1000000000000003E-2</v>
      </c>
      <c r="M3138" s="258">
        <f t="shared" ref="M3138:M3201" si="768">L3138</f>
        <v>8.1000000000000003E-2</v>
      </c>
      <c r="N3138" s="251">
        <f t="shared" ref="N3138:N3201" si="769">P3138*R3138</f>
        <v>5.6325303720000006</v>
      </c>
      <c r="O3138" s="258">
        <v>8.1000000000000003E-2</v>
      </c>
      <c r="P3138" s="258">
        <f t="shared" ref="P3138:P3201" si="770">O3138</f>
        <v>8.1000000000000003E-2</v>
      </c>
      <c r="Q3138" s="249">
        <v>68</v>
      </c>
      <c r="R3138" s="249">
        <f t="shared" si="762"/>
        <v>69.537412000000003</v>
      </c>
      <c r="S3138" s="250">
        <v>0.1</v>
      </c>
      <c r="T3138" s="169">
        <f>Q3138*S3138+Q3138+0.2</f>
        <v>75</v>
      </c>
      <c r="U3138" s="315">
        <f t="shared" si="755"/>
        <v>76.491153199999999</v>
      </c>
      <c r="V3138" s="315">
        <f t="shared" si="756"/>
        <v>77</v>
      </c>
      <c r="W3138" s="316">
        <f t="shared" si="757"/>
        <v>0</v>
      </c>
    </row>
    <row r="3139" spans="1:23" x14ac:dyDescent="0.25">
      <c r="A3139" s="208" t="s">
        <v>15390</v>
      </c>
      <c r="B3139" s="313" t="s">
        <v>18729</v>
      </c>
      <c r="C3139" s="248"/>
      <c r="D3139" s="247" t="s">
        <v>11</v>
      </c>
      <c r="E3139" s="249">
        <f t="shared" si="763"/>
        <v>34.771751664000007</v>
      </c>
      <c r="F3139" s="258">
        <v>0.872</v>
      </c>
      <c r="G3139" s="258">
        <f t="shared" si="764"/>
        <v>0.872</v>
      </c>
      <c r="H3139" s="249">
        <f t="shared" si="765"/>
        <v>0</v>
      </c>
      <c r="I3139" s="314"/>
      <c r="J3139" s="258">
        <f t="shared" si="766"/>
        <v>0</v>
      </c>
      <c r="K3139" s="249">
        <f t="shared" si="767"/>
        <v>1.5152827560000002</v>
      </c>
      <c r="L3139" s="374">
        <v>3.7999999999999999E-2</v>
      </c>
      <c r="M3139" s="258">
        <f t="shared" si="768"/>
        <v>3.7999999999999999E-2</v>
      </c>
      <c r="N3139" s="251">
        <f t="shared" si="769"/>
        <v>3.5888275800000002</v>
      </c>
      <c r="O3139" s="258">
        <v>0.09</v>
      </c>
      <c r="P3139" s="258">
        <f t="shared" si="770"/>
        <v>0.09</v>
      </c>
      <c r="Q3139" s="249">
        <v>39</v>
      </c>
      <c r="R3139" s="249">
        <f t="shared" si="762"/>
        <v>39.875862000000005</v>
      </c>
      <c r="S3139" s="250">
        <v>0.1</v>
      </c>
      <c r="T3139" s="169">
        <f>Q3139*S3139+Q3139+0.1</f>
        <v>43</v>
      </c>
      <c r="U3139" s="315">
        <f t="shared" si="755"/>
        <v>43.863448200000008</v>
      </c>
      <c r="V3139" s="315">
        <f t="shared" si="756"/>
        <v>44</v>
      </c>
      <c r="W3139" s="316">
        <f t="shared" si="757"/>
        <v>0</v>
      </c>
    </row>
    <row r="3140" spans="1:23" x14ac:dyDescent="0.25">
      <c r="A3140" s="208" t="s">
        <v>15391</v>
      </c>
      <c r="B3140" s="313" t="s">
        <v>15392</v>
      </c>
      <c r="C3140" s="248"/>
      <c r="D3140" s="247" t="s">
        <v>11</v>
      </c>
      <c r="E3140" s="249">
        <f t="shared" si="763"/>
        <v>702.90876823200006</v>
      </c>
      <c r="F3140" s="258">
        <v>0.83599999999999997</v>
      </c>
      <c r="G3140" s="258">
        <f t="shared" si="764"/>
        <v>0.83599999999999997</v>
      </c>
      <c r="H3140" s="249">
        <f t="shared" si="765"/>
        <v>0</v>
      </c>
      <c r="I3140" s="314"/>
      <c r="J3140" s="258">
        <f t="shared" si="766"/>
        <v>0</v>
      </c>
      <c r="K3140" s="249">
        <f t="shared" si="767"/>
        <v>86.602396085999999</v>
      </c>
      <c r="L3140" s="374">
        <v>0.10299999999999999</v>
      </c>
      <c r="M3140" s="258">
        <f t="shared" si="768"/>
        <v>0.10299999999999999</v>
      </c>
      <c r="N3140" s="251">
        <f t="shared" si="769"/>
        <v>51.288797682000002</v>
      </c>
      <c r="O3140" s="258">
        <v>6.0999999999999999E-2</v>
      </c>
      <c r="P3140" s="258">
        <f t="shared" si="770"/>
        <v>6.0999999999999999E-2</v>
      </c>
      <c r="Q3140" s="249">
        <v>822</v>
      </c>
      <c r="R3140" s="249">
        <f t="shared" si="762"/>
        <v>840.79996200000005</v>
      </c>
      <c r="S3140" s="250">
        <v>0.1</v>
      </c>
      <c r="T3140" s="169">
        <f>Q3140*S3140+Q3140-0.2</f>
        <v>904</v>
      </c>
      <c r="U3140" s="315">
        <f t="shared" si="755"/>
        <v>924.87995820000003</v>
      </c>
      <c r="V3140" s="315">
        <f t="shared" si="756"/>
        <v>925</v>
      </c>
      <c r="W3140" s="316">
        <f t="shared" si="757"/>
        <v>0</v>
      </c>
    </row>
    <row r="3141" spans="1:23" x14ac:dyDescent="0.25">
      <c r="A3141" s="208" t="s">
        <v>15393</v>
      </c>
      <c r="B3141" s="313" t="s">
        <v>15394</v>
      </c>
      <c r="C3141" s="248"/>
      <c r="D3141" s="247" t="s">
        <v>11</v>
      </c>
      <c r="E3141" s="249">
        <f t="shared" si="763"/>
        <v>740.55740850000007</v>
      </c>
      <c r="F3141" s="258">
        <v>0.81899999999999995</v>
      </c>
      <c r="G3141" s="258">
        <f t="shared" si="764"/>
        <v>0.81899999999999995</v>
      </c>
      <c r="H3141" s="249">
        <f t="shared" si="765"/>
        <v>0</v>
      </c>
      <c r="I3141" s="314"/>
      <c r="J3141" s="258">
        <f t="shared" si="766"/>
        <v>0</v>
      </c>
      <c r="K3141" s="249">
        <f t="shared" si="767"/>
        <v>107.60235850000001</v>
      </c>
      <c r="L3141" s="374">
        <v>0.11899999999999999</v>
      </c>
      <c r="M3141" s="258">
        <f t="shared" si="768"/>
        <v>0.11899999999999999</v>
      </c>
      <c r="N3141" s="251">
        <f t="shared" si="769"/>
        <v>56.061733000000004</v>
      </c>
      <c r="O3141" s="258">
        <v>6.2E-2</v>
      </c>
      <c r="P3141" s="258">
        <f t="shared" si="770"/>
        <v>6.2E-2</v>
      </c>
      <c r="Q3141" s="249">
        <v>884</v>
      </c>
      <c r="R3141" s="249">
        <f t="shared" si="762"/>
        <v>904.22150000000011</v>
      </c>
      <c r="S3141" s="250">
        <v>0.1</v>
      </c>
      <c r="T3141" s="169">
        <f>Q3141*S3141+Q3141-1.4</f>
        <v>971</v>
      </c>
      <c r="U3141" s="315">
        <f t="shared" si="755"/>
        <v>994.64365000000009</v>
      </c>
      <c r="V3141" s="315">
        <f t="shared" si="756"/>
        <v>995</v>
      </c>
      <c r="W3141" s="316">
        <f t="shared" ref="W3141:W3204" si="771">C3141*V3141</f>
        <v>0</v>
      </c>
    </row>
    <row r="3142" spans="1:23" ht="31.2" x14ac:dyDescent="0.25">
      <c r="A3142" s="200" t="s">
        <v>15395</v>
      </c>
      <c r="B3142" s="255" t="s">
        <v>15396</v>
      </c>
      <c r="C3142" s="248"/>
      <c r="D3142" s="247" t="s">
        <v>11</v>
      </c>
      <c r="E3142" s="249">
        <f t="shared" si="763"/>
        <v>0</v>
      </c>
      <c r="F3142" s="314"/>
      <c r="G3142" s="258">
        <f t="shared" si="764"/>
        <v>0</v>
      </c>
      <c r="H3142" s="249">
        <f t="shared" si="765"/>
        <v>0</v>
      </c>
      <c r="I3142" s="314"/>
      <c r="J3142" s="258">
        <f t="shared" si="766"/>
        <v>0</v>
      </c>
      <c r="K3142" s="249">
        <f t="shared" si="767"/>
        <v>0</v>
      </c>
      <c r="L3142" s="314"/>
      <c r="M3142" s="258">
        <f t="shared" si="768"/>
        <v>0</v>
      </c>
      <c r="N3142" s="251">
        <f t="shared" si="769"/>
        <v>18.16097675</v>
      </c>
      <c r="O3142" s="258">
        <v>1</v>
      </c>
      <c r="P3142" s="258">
        <f t="shared" si="770"/>
        <v>1</v>
      </c>
      <c r="Q3142" s="249">
        <v>17.954499999999999</v>
      </c>
      <c r="R3142" s="249">
        <f t="shared" si="762"/>
        <v>18.16097675</v>
      </c>
      <c r="S3142" s="258">
        <v>0.1</v>
      </c>
      <c r="T3142" s="169">
        <f t="shared" ref="T3142:T3147" si="772">Q3142+Q3142*S3142</f>
        <v>19.749949999999998</v>
      </c>
      <c r="U3142" s="315">
        <f t="shared" si="755"/>
        <v>19.977074424999998</v>
      </c>
      <c r="V3142" s="315">
        <f t="shared" si="756"/>
        <v>20</v>
      </c>
      <c r="W3142" s="316">
        <f t="shared" si="771"/>
        <v>0</v>
      </c>
    </row>
    <row r="3143" spans="1:23" x14ac:dyDescent="0.25">
      <c r="A3143" s="200" t="s">
        <v>15397</v>
      </c>
      <c r="B3143" s="313" t="s">
        <v>22651</v>
      </c>
      <c r="C3143" s="248"/>
      <c r="D3143" s="247" t="s">
        <v>2</v>
      </c>
      <c r="E3143" s="249">
        <f t="shared" si="763"/>
        <v>0</v>
      </c>
      <c r="F3143" s="314"/>
      <c r="G3143" s="258">
        <f t="shared" si="764"/>
        <v>0</v>
      </c>
      <c r="H3143" s="249">
        <f t="shared" si="765"/>
        <v>0</v>
      </c>
      <c r="I3143" s="314"/>
      <c r="J3143" s="258">
        <f t="shared" si="766"/>
        <v>0</v>
      </c>
      <c r="K3143" s="249">
        <f t="shared" si="767"/>
        <v>0</v>
      </c>
      <c r="L3143" s="314"/>
      <c r="M3143" s="258">
        <f t="shared" si="768"/>
        <v>0</v>
      </c>
      <c r="N3143" s="251">
        <f t="shared" si="769"/>
        <v>6.2989139500000002</v>
      </c>
      <c r="O3143" s="258">
        <v>1</v>
      </c>
      <c r="P3143" s="258">
        <f t="shared" si="770"/>
        <v>1</v>
      </c>
      <c r="Q3143" s="249">
        <v>6.2272999999999996</v>
      </c>
      <c r="R3143" s="249">
        <f t="shared" si="762"/>
        <v>6.2989139500000002</v>
      </c>
      <c r="S3143" s="258">
        <v>0.1</v>
      </c>
      <c r="T3143" s="169">
        <f t="shared" si="772"/>
        <v>6.8500299999999994</v>
      </c>
      <c r="U3143" s="315">
        <f t="shared" si="755"/>
        <v>6.9288053450000007</v>
      </c>
      <c r="V3143" s="315">
        <f t="shared" si="756"/>
        <v>7</v>
      </c>
      <c r="W3143" s="316">
        <f t="shared" si="771"/>
        <v>0</v>
      </c>
    </row>
    <row r="3144" spans="1:23" x14ac:dyDescent="0.25">
      <c r="A3144" s="200" t="s">
        <v>15398</v>
      </c>
      <c r="B3144" s="313" t="s">
        <v>15399</v>
      </c>
      <c r="C3144" s="248"/>
      <c r="D3144" s="247" t="s">
        <v>11</v>
      </c>
      <c r="E3144" s="249">
        <f t="shared" si="763"/>
        <v>0</v>
      </c>
      <c r="F3144" s="314"/>
      <c r="G3144" s="258">
        <f t="shared" si="764"/>
        <v>0</v>
      </c>
      <c r="H3144" s="249">
        <f t="shared" si="765"/>
        <v>0</v>
      </c>
      <c r="I3144" s="314"/>
      <c r="J3144" s="258">
        <f t="shared" si="766"/>
        <v>0</v>
      </c>
      <c r="K3144" s="249">
        <f t="shared" si="767"/>
        <v>0</v>
      </c>
      <c r="L3144" s="314"/>
      <c r="M3144" s="258">
        <f t="shared" si="768"/>
        <v>0</v>
      </c>
      <c r="N3144" s="251">
        <f t="shared" si="769"/>
        <v>16.092054650000001</v>
      </c>
      <c r="O3144" s="258">
        <v>1</v>
      </c>
      <c r="P3144" s="258">
        <f t="shared" si="770"/>
        <v>1</v>
      </c>
      <c r="Q3144" s="249">
        <v>15.9091</v>
      </c>
      <c r="R3144" s="249">
        <f t="shared" si="762"/>
        <v>16.092054650000001</v>
      </c>
      <c r="S3144" s="258">
        <v>0.1</v>
      </c>
      <c r="T3144" s="169">
        <f t="shared" si="772"/>
        <v>17.50001</v>
      </c>
      <c r="U3144" s="315">
        <f t="shared" si="755"/>
        <v>17.701260115</v>
      </c>
      <c r="V3144" s="315">
        <f t="shared" si="756"/>
        <v>18</v>
      </c>
      <c r="W3144" s="316">
        <f t="shared" si="771"/>
        <v>0</v>
      </c>
    </row>
    <row r="3145" spans="1:23" x14ac:dyDescent="0.25">
      <c r="A3145" s="200" t="s">
        <v>15400</v>
      </c>
      <c r="B3145" s="313" t="s">
        <v>22652</v>
      </c>
      <c r="C3145" s="248"/>
      <c r="D3145" s="247" t="s">
        <v>11</v>
      </c>
      <c r="E3145" s="249">
        <f t="shared" si="763"/>
        <v>0</v>
      </c>
      <c r="F3145" s="314"/>
      <c r="G3145" s="258">
        <f t="shared" si="764"/>
        <v>0</v>
      </c>
      <c r="H3145" s="249">
        <f t="shared" si="765"/>
        <v>0</v>
      </c>
      <c r="I3145" s="314"/>
      <c r="J3145" s="258">
        <f t="shared" si="766"/>
        <v>0</v>
      </c>
      <c r="K3145" s="249">
        <f t="shared" si="767"/>
        <v>0</v>
      </c>
      <c r="L3145" s="314"/>
      <c r="M3145" s="258">
        <f t="shared" si="768"/>
        <v>0</v>
      </c>
      <c r="N3145" s="251">
        <f t="shared" si="769"/>
        <v>19.080531400000002</v>
      </c>
      <c r="O3145" s="258">
        <v>1</v>
      </c>
      <c r="P3145" s="258">
        <f t="shared" si="770"/>
        <v>1</v>
      </c>
      <c r="Q3145" s="249">
        <v>18.863600000000002</v>
      </c>
      <c r="R3145" s="249">
        <f t="shared" si="762"/>
        <v>19.080531400000002</v>
      </c>
      <c r="S3145" s="258">
        <v>0.1</v>
      </c>
      <c r="T3145" s="169">
        <f t="shared" si="772"/>
        <v>20.749960000000002</v>
      </c>
      <c r="U3145" s="315">
        <f t="shared" si="755"/>
        <v>20.988584540000002</v>
      </c>
      <c r="V3145" s="315">
        <f t="shared" si="756"/>
        <v>21</v>
      </c>
      <c r="W3145" s="316">
        <f t="shared" si="771"/>
        <v>0</v>
      </c>
    </row>
    <row r="3146" spans="1:23" x14ac:dyDescent="0.25">
      <c r="A3146" s="200" t="s">
        <v>15401</v>
      </c>
      <c r="B3146" s="313" t="s">
        <v>22653</v>
      </c>
      <c r="C3146" s="248"/>
      <c r="D3146" s="247" t="s">
        <v>11</v>
      </c>
      <c r="E3146" s="249">
        <f t="shared" si="763"/>
        <v>0</v>
      </c>
      <c r="F3146" s="314"/>
      <c r="G3146" s="258">
        <f t="shared" si="764"/>
        <v>0</v>
      </c>
      <c r="H3146" s="249">
        <f t="shared" si="765"/>
        <v>0</v>
      </c>
      <c r="I3146" s="314"/>
      <c r="J3146" s="258">
        <f t="shared" si="766"/>
        <v>0</v>
      </c>
      <c r="K3146" s="249">
        <f t="shared" si="767"/>
        <v>0</v>
      </c>
      <c r="L3146" s="314"/>
      <c r="M3146" s="258">
        <f t="shared" si="768"/>
        <v>0</v>
      </c>
      <c r="N3146" s="251">
        <f t="shared" si="769"/>
        <v>14.252945350000001</v>
      </c>
      <c r="O3146" s="258">
        <v>1</v>
      </c>
      <c r="P3146" s="258">
        <f t="shared" si="770"/>
        <v>1</v>
      </c>
      <c r="Q3146" s="249">
        <v>14.0909</v>
      </c>
      <c r="R3146" s="249">
        <f t="shared" si="762"/>
        <v>14.252945350000001</v>
      </c>
      <c r="S3146" s="258">
        <v>0.1</v>
      </c>
      <c r="T3146" s="169">
        <f t="shared" si="772"/>
        <v>15.49999</v>
      </c>
      <c r="U3146" s="315">
        <f t="shared" si="755"/>
        <v>15.678239885000002</v>
      </c>
      <c r="V3146" s="315">
        <f t="shared" si="756"/>
        <v>16</v>
      </c>
      <c r="W3146" s="316">
        <f t="shared" si="771"/>
        <v>0</v>
      </c>
    </row>
    <row r="3147" spans="1:23" ht="21" x14ac:dyDescent="0.25">
      <c r="A3147" s="200" t="s">
        <v>15397</v>
      </c>
      <c r="B3147" s="255" t="s">
        <v>22654</v>
      </c>
      <c r="C3147" s="248"/>
      <c r="D3147" s="247" t="s">
        <v>11</v>
      </c>
      <c r="E3147" s="249">
        <f t="shared" si="763"/>
        <v>0</v>
      </c>
      <c r="F3147" s="314"/>
      <c r="G3147" s="258">
        <f t="shared" si="764"/>
        <v>0</v>
      </c>
      <c r="H3147" s="249">
        <f t="shared" si="765"/>
        <v>0</v>
      </c>
      <c r="I3147" s="314"/>
      <c r="J3147" s="258">
        <f t="shared" si="766"/>
        <v>0</v>
      </c>
      <c r="K3147" s="249">
        <f t="shared" si="767"/>
        <v>0</v>
      </c>
      <c r="L3147" s="314"/>
      <c r="M3147" s="258">
        <f t="shared" si="768"/>
        <v>0</v>
      </c>
      <c r="N3147" s="251">
        <f t="shared" si="769"/>
        <v>47.820685500000003</v>
      </c>
      <c r="O3147" s="258">
        <v>1</v>
      </c>
      <c r="P3147" s="258">
        <f t="shared" si="770"/>
        <v>1</v>
      </c>
      <c r="Q3147" s="249">
        <v>47.277000000000001</v>
      </c>
      <c r="R3147" s="249">
        <f t="shared" si="762"/>
        <v>47.820685500000003</v>
      </c>
      <c r="S3147" s="258">
        <v>0.1</v>
      </c>
      <c r="T3147" s="169">
        <f t="shared" si="772"/>
        <v>52.0047</v>
      </c>
      <c r="U3147" s="315">
        <f t="shared" si="755"/>
        <v>52.602754050000001</v>
      </c>
      <c r="V3147" s="315">
        <f t="shared" si="756"/>
        <v>53</v>
      </c>
      <c r="W3147" s="316">
        <f t="shared" si="771"/>
        <v>0</v>
      </c>
    </row>
    <row r="3148" spans="1:23" x14ac:dyDescent="0.25">
      <c r="A3148" s="208" t="s">
        <v>15402</v>
      </c>
      <c r="B3148" s="313" t="s">
        <v>15403</v>
      </c>
      <c r="C3148" s="248"/>
      <c r="D3148" s="247" t="s">
        <v>11</v>
      </c>
      <c r="E3148" s="249">
        <f t="shared" si="763"/>
        <v>812.9772828800003</v>
      </c>
      <c r="F3148" s="258">
        <v>0.81100000000000005</v>
      </c>
      <c r="G3148" s="258">
        <f t="shared" si="764"/>
        <v>0.81100000000000005</v>
      </c>
      <c r="H3148" s="249">
        <f t="shared" si="765"/>
        <v>0</v>
      </c>
      <c r="I3148" s="314"/>
      <c r="J3148" s="258">
        <f t="shared" si="766"/>
        <v>0</v>
      </c>
      <c r="K3148" s="249">
        <f t="shared" si="767"/>
        <v>128.31207424000004</v>
      </c>
      <c r="L3148" s="374">
        <v>0.128</v>
      </c>
      <c r="M3148" s="258">
        <f t="shared" si="768"/>
        <v>0.128</v>
      </c>
      <c r="N3148" s="251">
        <f t="shared" si="769"/>
        <v>61.148722880000015</v>
      </c>
      <c r="O3148" s="258">
        <v>6.0999999999999999E-2</v>
      </c>
      <c r="P3148" s="258">
        <f t="shared" si="770"/>
        <v>6.0999999999999999E-2</v>
      </c>
      <c r="Q3148" s="249">
        <v>980</v>
      </c>
      <c r="R3148" s="249">
        <f t="shared" si="762"/>
        <v>1002.4380800000002</v>
      </c>
      <c r="S3148" s="250">
        <v>0.1</v>
      </c>
      <c r="T3148" s="290">
        <f>Q3148*S3148+Q3148-8</f>
        <v>1070</v>
      </c>
      <c r="U3148" s="315">
        <f t="shared" si="755"/>
        <v>1102.6818880000003</v>
      </c>
      <c r="V3148" s="315">
        <f t="shared" si="756"/>
        <v>1125</v>
      </c>
      <c r="W3148" s="316">
        <f t="shared" si="771"/>
        <v>0</v>
      </c>
    </row>
    <row r="3149" spans="1:23" x14ac:dyDescent="0.25">
      <c r="A3149" s="208" t="s">
        <v>15404</v>
      </c>
      <c r="B3149" s="313" t="s">
        <v>15405</v>
      </c>
      <c r="C3149" s="248"/>
      <c r="D3149" s="247" t="s">
        <v>11</v>
      </c>
      <c r="E3149" s="249">
        <f t="shared" si="763"/>
        <v>1033.3531544699999</v>
      </c>
      <c r="F3149" s="258">
        <v>0.81799999999999995</v>
      </c>
      <c r="G3149" s="258">
        <f t="shared" si="764"/>
        <v>0.81799999999999995</v>
      </c>
      <c r="H3149" s="249">
        <f t="shared" si="765"/>
        <v>0</v>
      </c>
      <c r="I3149" s="314"/>
      <c r="J3149" s="258">
        <f t="shared" si="766"/>
        <v>0</v>
      </c>
      <c r="K3149" s="249">
        <f t="shared" si="767"/>
        <v>152.85541771500002</v>
      </c>
      <c r="L3149" s="374">
        <v>0.121</v>
      </c>
      <c r="M3149" s="258">
        <f t="shared" si="768"/>
        <v>0.121</v>
      </c>
      <c r="N3149" s="251">
        <f t="shared" si="769"/>
        <v>77.059342815000008</v>
      </c>
      <c r="O3149" s="258">
        <v>6.0999999999999999E-2</v>
      </c>
      <c r="P3149" s="258">
        <f t="shared" si="770"/>
        <v>6.0999999999999999E-2</v>
      </c>
      <c r="Q3149" s="249">
        <v>1235</v>
      </c>
      <c r="R3149" s="249">
        <f t="shared" si="762"/>
        <v>1263.2679150000001</v>
      </c>
      <c r="S3149" s="250">
        <v>0.1</v>
      </c>
      <c r="T3149" s="290">
        <f>Q3149*S3149+Q3149+11</f>
        <v>1369.5</v>
      </c>
      <c r="U3149" s="315">
        <f t="shared" si="755"/>
        <v>1389.5947065</v>
      </c>
      <c r="V3149" s="315">
        <f t="shared" si="756"/>
        <v>1400</v>
      </c>
      <c r="W3149" s="316">
        <f t="shared" si="771"/>
        <v>0</v>
      </c>
    </row>
    <row r="3150" spans="1:23" ht="21" x14ac:dyDescent="0.25">
      <c r="A3150" s="200" t="s">
        <v>18935</v>
      </c>
      <c r="B3150" s="255" t="s">
        <v>22655</v>
      </c>
      <c r="C3150" s="248"/>
      <c r="D3150" s="247" t="s">
        <v>11</v>
      </c>
      <c r="E3150" s="249">
        <f t="shared" si="763"/>
        <v>0</v>
      </c>
      <c r="F3150" s="314"/>
      <c r="G3150" s="258">
        <f t="shared" si="764"/>
        <v>0</v>
      </c>
      <c r="H3150" s="249">
        <f t="shared" si="765"/>
        <v>51272.770020296019</v>
      </c>
      <c r="I3150" s="258">
        <v>0.55000000000000004</v>
      </c>
      <c r="J3150" s="258">
        <f t="shared" si="766"/>
        <v>0.55000000000000004</v>
      </c>
      <c r="K3150" s="249">
        <f t="shared" si="767"/>
        <v>0</v>
      </c>
      <c r="L3150" s="314"/>
      <c r="M3150" s="258">
        <f t="shared" si="768"/>
        <v>0</v>
      </c>
      <c r="N3150" s="251">
        <f t="shared" si="769"/>
        <v>41950.448198424012</v>
      </c>
      <c r="O3150" s="258">
        <v>0.45</v>
      </c>
      <c r="P3150" s="258">
        <f t="shared" si="770"/>
        <v>0.45</v>
      </c>
      <c r="Q3150" s="249">
        <v>91863.636400000003</v>
      </c>
      <c r="R3150" s="249">
        <f t="shared" si="762"/>
        <v>93223.218218720023</v>
      </c>
      <c r="S3150" s="258">
        <v>0.1</v>
      </c>
      <c r="T3150" s="290">
        <f>Q3150+Q3150*S3150</f>
        <v>101050.00004</v>
      </c>
      <c r="U3150" s="315">
        <f t="shared" si="755"/>
        <v>102545.54004059202</v>
      </c>
      <c r="V3150" s="315">
        <f t="shared" si="756"/>
        <v>103000</v>
      </c>
      <c r="W3150" s="316">
        <f t="shared" si="771"/>
        <v>0</v>
      </c>
    </row>
    <row r="3151" spans="1:23" x14ac:dyDescent="0.25">
      <c r="A3151" s="208" t="s">
        <v>15406</v>
      </c>
      <c r="B3151" s="313" t="s">
        <v>15407</v>
      </c>
      <c r="C3151" s="248"/>
      <c r="D3151" s="247" t="s">
        <v>11</v>
      </c>
      <c r="E3151" s="249">
        <f t="shared" si="763"/>
        <v>1114.8218161150003</v>
      </c>
      <c r="F3151" s="258">
        <v>0.78700000000000003</v>
      </c>
      <c r="G3151" s="258">
        <f t="shared" si="764"/>
        <v>0.78700000000000003</v>
      </c>
      <c r="H3151" s="249">
        <f t="shared" si="765"/>
        <v>0</v>
      </c>
      <c r="I3151" s="314"/>
      <c r="J3151" s="258">
        <f t="shared" si="766"/>
        <v>0</v>
      </c>
      <c r="K3151" s="249">
        <f t="shared" si="767"/>
        <v>199.73300644500003</v>
      </c>
      <c r="L3151" s="374">
        <v>0.14099999999999999</v>
      </c>
      <c r="M3151" s="258">
        <f t="shared" si="768"/>
        <v>0.14099999999999999</v>
      </c>
      <c r="N3151" s="251">
        <f t="shared" si="769"/>
        <v>101.99132244</v>
      </c>
      <c r="O3151" s="258">
        <v>7.1999999999999995E-2</v>
      </c>
      <c r="P3151" s="258">
        <f t="shared" si="770"/>
        <v>7.1999999999999995E-2</v>
      </c>
      <c r="Q3151" s="249">
        <v>1385</v>
      </c>
      <c r="R3151" s="249">
        <f t="shared" si="762"/>
        <v>1416.5461450000003</v>
      </c>
      <c r="S3151" s="250">
        <v>0.1</v>
      </c>
      <c r="T3151" s="290">
        <f>Q3151*S3151+Q3151+6</f>
        <v>1529.5</v>
      </c>
      <c r="U3151" s="315">
        <f t="shared" si="755"/>
        <v>1558.2007595000002</v>
      </c>
      <c r="V3151" s="315">
        <f t="shared" si="756"/>
        <v>1575</v>
      </c>
      <c r="W3151" s="316">
        <f t="shared" si="771"/>
        <v>0</v>
      </c>
    </row>
    <row r="3152" spans="1:23" x14ac:dyDescent="0.25">
      <c r="A3152" s="208" t="s">
        <v>15408</v>
      </c>
      <c r="B3152" s="313" t="s">
        <v>15409</v>
      </c>
      <c r="C3152" s="248"/>
      <c r="D3152" s="247" t="s">
        <v>11</v>
      </c>
      <c r="E3152" s="249">
        <f t="shared" si="763"/>
        <v>2076.4739837500001</v>
      </c>
      <c r="F3152" s="258">
        <v>0.82699999999999996</v>
      </c>
      <c r="G3152" s="258">
        <f t="shared" si="764"/>
        <v>0.82699999999999996</v>
      </c>
      <c r="H3152" s="249">
        <f t="shared" si="765"/>
        <v>0</v>
      </c>
      <c r="I3152" s="314"/>
      <c r="J3152" s="258">
        <f t="shared" si="766"/>
        <v>0</v>
      </c>
      <c r="K3152" s="249">
        <f t="shared" si="767"/>
        <v>256.10682750000001</v>
      </c>
      <c r="L3152" s="374">
        <v>0.10199999999999999</v>
      </c>
      <c r="M3152" s="258">
        <f t="shared" si="768"/>
        <v>0.10199999999999999</v>
      </c>
      <c r="N3152" s="251">
        <f t="shared" si="769"/>
        <v>178.27043874999998</v>
      </c>
      <c r="O3152" s="258">
        <v>7.0999999999999994E-2</v>
      </c>
      <c r="P3152" s="258">
        <f t="shared" si="770"/>
        <v>7.0999999999999994E-2</v>
      </c>
      <c r="Q3152" s="249">
        <v>2455</v>
      </c>
      <c r="R3152" s="249">
        <f t="shared" si="762"/>
        <v>2510.8512500000002</v>
      </c>
      <c r="S3152" s="250">
        <v>0.1</v>
      </c>
      <c r="T3152" s="290">
        <f>Q3152*S3152+Q3152+9</f>
        <v>2709.5</v>
      </c>
      <c r="U3152" s="315">
        <f t="shared" si="755"/>
        <v>2761.9363750000002</v>
      </c>
      <c r="V3152" s="315">
        <f t="shared" si="756"/>
        <v>2775</v>
      </c>
      <c r="W3152" s="316">
        <f t="shared" si="771"/>
        <v>0</v>
      </c>
    </row>
    <row r="3153" spans="1:23" x14ac:dyDescent="0.25">
      <c r="A3153" s="208" t="s">
        <v>15410</v>
      </c>
      <c r="B3153" s="313" t="s">
        <v>15411</v>
      </c>
      <c r="C3153" s="248"/>
      <c r="D3153" s="247" t="s">
        <v>11</v>
      </c>
      <c r="E3153" s="249">
        <f t="shared" si="763"/>
        <v>2505.6038040299995</v>
      </c>
      <c r="F3153" s="258">
        <v>0.81799999999999995</v>
      </c>
      <c r="G3153" s="258">
        <f t="shared" si="764"/>
        <v>0.81799999999999995</v>
      </c>
      <c r="H3153" s="249">
        <f t="shared" si="765"/>
        <v>0</v>
      </c>
      <c r="I3153" s="314"/>
      <c r="J3153" s="258">
        <f t="shared" si="766"/>
        <v>0</v>
      </c>
      <c r="K3153" s="249">
        <f t="shared" si="767"/>
        <v>333.87630151499997</v>
      </c>
      <c r="L3153" s="374">
        <v>0.109</v>
      </c>
      <c r="M3153" s="258">
        <f t="shared" si="768"/>
        <v>0.109</v>
      </c>
      <c r="N3153" s="251">
        <f t="shared" si="769"/>
        <v>223.60522945499997</v>
      </c>
      <c r="O3153" s="258">
        <v>7.2999999999999995E-2</v>
      </c>
      <c r="P3153" s="258">
        <f t="shared" si="770"/>
        <v>7.2999999999999995E-2</v>
      </c>
      <c r="Q3153" s="249">
        <v>2995</v>
      </c>
      <c r="R3153" s="249">
        <f t="shared" si="762"/>
        <v>3063.0853349999998</v>
      </c>
      <c r="S3153" s="250">
        <v>0.1</v>
      </c>
      <c r="T3153" s="290">
        <f>Q3153*S3153+Q3153+9</f>
        <v>3303.5</v>
      </c>
      <c r="U3153" s="315">
        <f t="shared" si="755"/>
        <v>3369.3938684999998</v>
      </c>
      <c r="V3153" s="315">
        <f t="shared" si="756"/>
        <v>3375</v>
      </c>
      <c r="W3153" s="316">
        <f t="shared" si="771"/>
        <v>0</v>
      </c>
    </row>
    <row r="3154" spans="1:23" x14ac:dyDescent="0.25">
      <c r="A3154" s="208" t="s">
        <v>15412</v>
      </c>
      <c r="B3154" s="313" t="s">
        <v>15413</v>
      </c>
      <c r="C3154" s="248"/>
      <c r="D3154" s="247" t="s">
        <v>11</v>
      </c>
      <c r="E3154" s="249">
        <f t="shared" si="763"/>
        <v>3062.6827095150006</v>
      </c>
      <c r="F3154" s="258">
        <v>0.78900000000000003</v>
      </c>
      <c r="G3154" s="258">
        <f t="shared" si="764"/>
        <v>0.78900000000000003</v>
      </c>
      <c r="H3154" s="249">
        <f t="shared" si="765"/>
        <v>0</v>
      </c>
      <c r="I3154" s="314"/>
      <c r="J3154" s="258">
        <f t="shared" si="766"/>
        <v>0</v>
      </c>
      <c r="K3154" s="249">
        <f t="shared" si="767"/>
        <v>562.85043457500001</v>
      </c>
      <c r="L3154" s="374">
        <v>0.14499999999999999</v>
      </c>
      <c r="M3154" s="258">
        <f t="shared" si="768"/>
        <v>0.14499999999999999</v>
      </c>
      <c r="N3154" s="251">
        <f t="shared" si="769"/>
        <v>256.19399091000002</v>
      </c>
      <c r="O3154" s="258">
        <v>6.6000000000000003E-2</v>
      </c>
      <c r="P3154" s="258">
        <f t="shared" si="770"/>
        <v>6.6000000000000003E-2</v>
      </c>
      <c r="Q3154" s="249">
        <v>3795</v>
      </c>
      <c r="R3154" s="249">
        <f t="shared" si="762"/>
        <v>3881.7271350000005</v>
      </c>
      <c r="S3154" s="250">
        <v>0.1</v>
      </c>
      <c r="T3154" s="290">
        <f>Q3154*S3154+Q3154+5</f>
        <v>4179.5</v>
      </c>
      <c r="U3154" s="315">
        <f t="shared" si="755"/>
        <v>4269.8998485000011</v>
      </c>
      <c r="V3154" s="315">
        <f t="shared" si="756"/>
        <v>4275</v>
      </c>
      <c r="W3154" s="316">
        <f t="shared" si="771"/>
        <v>0</v>
      </c>
    </row>
    <row r="3155" spans="1:23" x14ac:dyDescent="0.25">
      <c r="A3155" s="208" t="s">
        <v>15412</v>
      </c>
      <c r="B3155" s="313" t="s">
        <v>15414</v>
      </c>
      <c r="C3155" s="248"/>
      <c r="D3155" s="247" t="s">
        <v>11</v>
      </c>
      <c r="E3155" s="249">
        <f t="shared" si="763"/>
        <v>4374.670291200001</v>
      </c>
      <c r="F3155" s="258">
        <v>0.81</v>
      </c>
      <c r="G3155" s="258">
        <f t="shared" si="764"/>
        <v>0.81</v>
      </c>
      <c r="H3155" s="249">
        <f t="shared" si="765"/>
        <v>0</v>
      </c>
      <c r="I3155" s="314"/>
      <c r="J3155" s="258">
        <f t="shared" si="766"/>
        <v>0</v>
      </c>
      <c r="K3155" s="249">
        <f t="shared" si="767"/>
        <v>691.30592256000011</v>
      </c>
      <c r="L3155" s="374">
        <v>0.128</v>
      </c>
      <c r="M3155" s="258">
        <f t="shared" si="768"/>
        <v>0.128</v>
      </c>
      <c r="N3155" s="251">
        <f t="shared" si="769"/>
        <v>334.85130624000004</v>
      </c>
      <c r="O3155" s="258">
        <v>6.2E-2</v>
      </c>
      <c r="P3155" s="258">
        <f t="shared" si="770"/>
        <v>6.2E-2</v>
      </c>
      <c r="Q3155" s="249">
        <v>5280</v>
      </c>
      <c r="R3155" s="249">
        <f t="shared" si="762"/>
        <v>5400.8275200000007</v>
      </c>
      <c r="S3155" s="250">
        <v>0.1</v>
      </c>
      <c r="T3155" s="290">
        <f>Q3155*S3155+Q3155+12</f>
        <v>5820</v>
      </c>
      <c r="U3155" s="315">
        <f t="shared" si="755"/>
        <v>5940.910272000001</v>
      </c>
      <c r="V3155" s="315">
        <f t="shared" si="756"/>
        <v>5950</v>
      </c>
      <c r="W3155" s="316">
        <f t="shared" si="771"/>
        <v>0</v>
      </c>
    </row>
    <row r="3156" spans="1:23" ht="21" x14ac:dyDescent="0.25">
      <c r="A3156" s="208" t="s">
        <v>15415</v>
      </c>
      <c r="B3156" s="255" t="s">
        <v>22656</v>
      </c>
      <c r="C3156" s="248"/>
      <c r="D3156" s="247" t="s">
        <v>11</v>
      </c>
      <c r="E3156" s="249">
        <f t="shared" si="763"/>
        <v>85.494901380000016</v>
      </c>
      <c r="F3156" s="258">
        <v>0.79600000000000004</v>
      </c>
      <c r="G3156" s="258">
        <f t="shared" si="764"/>
        <v>0.79600000000000004</v>
      </c>
      <c r="H3156" s="249">
        <f t="shared" si="765"/>
        <v>0</v>
      </c>
      <c r="I3156" s="314"/>
      <c r="J3156" s="258">
        <f t="shared" si="766"/>
        <v>0</v>
      </c>
      <c r="K3156" s="249">
        <f t="shared" si="767"/>
        <v>15.359008665000001</v>
      </c>
      <c r="L3156" s="374">
        <v>0.14299999999999999</v>
      </c>
      <c r="M3156" s="258">
        <f t="shared" si="768"/>
        <v>0.14299999999999999</v>
      </c>
      <c r="N3156" s="251">
        <f t="shared" si="769"/>
        <v>6.5517449550000002</v>
      </c>
      <c r="O3156" s="258">
        <v>6.0999999999999999E-2</v>
      </c>
      <c r="P3156" s="258">
        <f t="shared" si="770"/>
        <v>6.0999999999999999E-2</v>
      </c>
      <c r="Q3156" s="249">
        <v>105</v>
      </c>
      <c r="R3156" s="249">
        <f t="shared" si="762"/>
        <v>107.40565500000001</v>
      </c>
      <c r="S3156" s="250">
        <v>9.5000000000000001E-2</v>
      </c>
      <c r="T3156" s="290">
        <f>Q3156*S3156+Q3156+4</f>
        <v>118.97499999999999</v>
      </c>
      <c r="U3156" s="315">
        <f t="shared" si="755"/>
        <v>117.60919222500002</v>
      </c>
      <c r="V3156" s="315">
        <f t="shared" si="756"/>
        <v>120</v>
      </c>
      <c r="W3156" s="316">
        <f t="shared" si="771"/>
        <v>0</v>
      </c>
    </row>
    <row r="3157" spans="1:23" ht="21" x14ac:dyDescent="0.25">
      <c r="A3157" s="208" t="s">
        <v>15416</v>
      </c>
      <c r="B3157" s="255" t="s">
        <v>22657</v>
      </c>
      <c r="C3157" s="248"/>
      <c r="D3157" s="247" t="s">
        <v>11</v>
      </c>
      <c r="E3157" s="249">
        <f t="shared" si="763"/>
        <v>163.3694399055</v>
      </c>
      <c r="F3157" s="258">
        <v>0.61499999999999999</v>
      </c>
      <c r="G3157" s="258">
        <f t="shared" si="764"/>
        <v>0.61499999999999999</v>
      </c>
      <c r="H3157" s="249">
        <f t="shared" si="765"/>
        <v>0</v>
      </c>
      <c r="I3157" s="314"/>
      <c r="J3157" s="258">
        <f t="shared" si="766"/>
        <v>0</v>
      </c>
      <c r="K3157" s="249">
        <f t="shared" si="767"/>
        <v>66.410341424999999</v>
      </c>
      <c r="L3157" s="374">
        <v>0.25</v>
      </c>
      <c r="M3157" s="258">
        <f t="shared" si="768"/>
        <v>0.25</v>
      </c>
      <c r="N3157" s="251">
        <f t="shared" si="769"/>
        <v>35.861584369500001</v>
      </c>
      <c r="O3157" s="258">
        <v>0.13500000000000001</v>
      </c>
      <c r="P3157" s="258">
        <f t="shared" si="770"/>
        <v>0.13500000000000001</v>
      </c>
      <c r="Q3157" s="249">
        <v>259.89</v>
      </c>
      <c r="R3157" s="249">
        <f t="shared" si="762"/>
        <v>265.64136569999999</v>
      </c>
      <c r="S3157" s="250">
        <v>9.5000000000000001E-2</v>
      </c>
      <c r="T3157" s="290">
        <f>Q3157*S3157+Q3157-5</f>
        <v>279.57954999999998</v>
      </c>
      <c r="U3157" s="315">
        <f t="shared" si="755"/>
        <v>290.8772954415</v>
      </c>
      <c r="V3157" s="315">
        <f t="shared" si="756"/>
        <v>295</v>
      </c>
      <c r="W3157" s="316">
        <f t="shared" si="771"/>
        <v>0</v>
      </c>
    </row>
    <row r="3158" spans="1:23" ht="21" x14ac:dyDescent="0.25">
      <c r="A3158" s="208" t="s">
        <v>15417</v>
      </c>
      <c r="B3158" s="255" t="s">
        <v>22658</v>
      </c>
      <c r="C3158" s="248"/>
      <c r="D3158" s="247" t="s">
        <v>11</v>
      </c>
      <c r="E3158" s="249">
        <f t="shared" si="763"/>
        <v>229.93865959999997</v>
      </c>
      <c r="F3158" s="258">
        <v>0.69199999999999995</v>
      </c>
      <c r="G3158" s="258">
        <f t="shared" si="764"/>
        <v>0.69199999999999995</v>
      </c>
      <c r="H3158" s="249">
        <f t="shared" si="765"/>
        <v>0</v>
      </c>
      <c r="I3158" s="314"/>
      <c r="J3158" s="258">
        <f t="shared" si="766"/>
        <v>0</v>
      </c>
      <c r="K3158" s="249">
        <f t="shared" si="767"/>
        <v>66.45626</v>
      </c>
      <c r="L3158" s="374">
        <v>0.2</v>
      </c>
      <c r="M3158" s="258">
        <f t="shared" si="768"/>
        <v>0.2</v>
      </c>
      <c r="N3158" s="251">
        <f t="shared" si="769"/>
        <v>35.8863804</v>
      </c>
      <c r="O3158" s="258">
        <v>0.108</v>
      </c>
      <c r="P3158" s="258">
        <f t="shared" si="770"/>
        <v>0.108</v>
      </c>
      <c r="Q3158" s="249">
        <v>325</v>
      </c>
      <c r="R3158" s="249">
        <f t="shared" si="762"/>
        <v>332.28129999999999</v>
      </c>
      <c r="S3158" s="250">
        <v>9.5000000000000001E-2</v>
      </c>
      <c r="T3158" s="290">
        <f>Q3158*S3158+Q3158-6</f>
        <v>349.875</v>
      </c>
      <c r="U3158" s="315">
        <f t="shared" ref="U3158:U3222" si="773">(R3158*S3158)+R3158</f>
        <v>363.84802350000001</v>
      </c>
      <c r="V3158" s="315">
        <f t="shared" ref="V3158:V3222" si="774">IF(U3158=0, 0, IF(U3158&lt;10, _xlfn.CEILING.MATH(U3158,1), IF(U3158&lt;100, _xlfn.CEILING.MATH(U3158,1),IF(U3158&lt;1000, _xlfn.CEILING.MATH(U3158,5), IF(U3158&lt;10000, _xlfn.CEILING.MATH(U3158, 25), IF(U3158&lt;100000, _xlfn.CEILING.MATH(U3158,250), IF(U3158&lt;1000000, _xlfn.CEILING.MATH(U3158,500), 0)))))))</f>
        <v>365</v>
      </c>
      <c r="W3158" s="316">
        <f t="shared" si="771"/>
        <v>0</v>
      </c>
    </row>
    <row r="3159" spans="1:23" ht="21" x14ac:dyDescent="0.25">
      <c r="A3159" s="208" t="s">
        <v>15418</v>
      </c>
      <c r="B3159" s="255" t="s">
        <v>22659</v>
      </c>
      <c r="C3159" s="248"/>
      <c r="D3159" s="247" t="s">
        <v>11</v>
      </c>
      <c r="E3159" s="249">
        <f t="shared" si="763"/>
        <v>406.23831383800001</v>
      </c>
      <c r="F3159" s="258">
        <v>0.79100000000000004</v>
      </c>
      <c r="G3159" s="258">
        <f t="shared" si="764"/>
        <v>0.79100000000000004</v>
      </c>
      <c r="H3159" s="249">
        <f t="shared" si="765"/>
        <v>0</v>
      </c>
      <c r="I3159" s="314"/>
      <c r="J3159" s="258">
        <f t="shared" si="766"/>
        <v>0</v>
      </c>
      <c r="K3159" s="249">
        <f t="shared" si="767"/>
        <v>81.658523261999989</v>
      </c>
      <c r="L3159" s="374">
        <v>0.159</v>
      </c>
      <c r="M3159" s="258">
        <f t="shared" si="768"/>
        <v>0.159</v>
      </c>
      <c r="N3159" s="251">
        <f t="shared" si="769"/>
        <v>25.6787809</v>
      </c>
      <c r="O3159" s="258">
        <v>0.05</v>
      </c>
      <c r="P3159" s="258">
        <f t="shared" si="770"/>
        <v>0.05</v>
      </c>
      <c r="Q3159" s="249">
        <v>502</v>
      </c>
      <c r="R3159" s="249">
        <f t="shared" si="762"/>
        <v>513.57561799999996</v>
      </c>
      <c r="S3159" s="250">
        <v>9.5000000000000001E-2</v>
      </c>
      <c r="T3159" s="290">
        <f>Q3159*S3159+Q3159</f>
        <v>549.69000000000005</v>
      </c>
      <c r="U3159" s="315">
        <f t="shared" si="773"/>
        <v>562.36530170999993</v>
      </c>
      <c r="V3159" s="315">
        <f t="shared" si="774"/>
        <v>565</v>
      </c>
      <c r="W3159" s="316">
        <f t="shared" si="771"/>
        <v>0</v>
      </c>
    </row>
    <row r="3160" spans="1:23" ht="21" x14ac:dyDescent="0.25">
      <c r="A3160" s="208" t="s">
        <v>15419</v>
      </c>
      <c r="B3160" s="255" t="s">
        <v>22660</v>
      </c>
      <c r="C3160" s="248"/>
      <c r="D3160" s="247" t="s">
        <v>11</v>
      </c>
      <c r="E3160" s="249">
        <f t="shared" si="763"/>
        <v>406.23831383800001</v>
      </c>
      <c r="F3160" s="258">
        <v>0.79100000000000004</v>
      </c>
      <c r="G3160" s="258">
        <f t="shared" si="764"/>
        <v>0.79100000000000004</v>
      </c>
      <c r="H3160" s="249">
        <f t="shared" si="765"/>
        <v>0</v>
      </c>
      <c r="I3160" s="314"/>
      <c r="J3160" s="258">
        <f t="shared" si="766"/>
        <v>0</v>
      </c>
      <c r="K3160" s="249">
        <f t="shared" si="767"/>
        <v>81.658523261999989</v>
      </c>
      <c r="L3160" s="374">
        <v>0.159</v>
      </c>
      <c r="M3160" s="258">
        <f t="shared" si="768"/>
        <v>0.159</v>
      </c>
      <c r="N3160" s="251">
        <f t="shared" si="769"/>
        <v>25.6787809</v>
      </c>
      <c r="O3160" s="258">
        <v>0.05</v>
      </c>
      <c r="P3160" s="258">
        <f t="shared" si="770"/>
        <v>0.05</v>
      </c>
      <c r="Q3160" s="249">
        <v>502</v>
      </c>
      <c r="R3160" s="249">
        <f t="shared" si="762"/>
        <v>513.57561799999996</v>
      </c>
      <c r="S3160" s="250">
        <v>9.5000000000000001E-2</v>
      </c>
      <c r="T3160" s="290">
        <f>Q3160*S3160+Q3160</f>
        <v>549.69000000000005</v>
      </c>
      <c r="U3160" s="315">
        <f t="shared" si="773"/>
        <v>562.36530170999993</v>
      </c>
      <c r="V3160" s="315">
        <f t="shared" si="774"/>
        <v>565</v>
      </c>
      <c r="W3160" s="316">
        <f t="shared" si="771"/>
        <v>0</v>
      </c>
    </row>
    <row r="3161" spans="1:23" ht="21" x14ac:dyDescent="0.25">
      <c r="A3161" s="208" t="s">
        <v>15420</v>
      </c>
      <c r="B3161" s="255" t="s">
        <v>22661</v>
      </c>
      <c r="C3161" s="248"/>
      <c r="D3161" s="247" t="s">
        <v>11</v>
      </c>
      <c r="E3161" s="249">
        <f t="shared" si="763"/>
        <v>406.4619353600001</v>
      </c>
      <c r="F3161" s="258">
        <v>0.76400000000000001</v>
      </c>
      <c r="G3161" s="258">
        <f t="shared" si="764"/>
        <v>0.76400000000000001</v>
      </c>
      <c r="H3161" s="249">
        <f t="shared" si="765"/>
        <v>0</v>
      </c>
      <c r="I3161" s="314"/>
      <c r="J3161" s="258">
        <f t="shared" si="766"/>
        <v>0</v>
      </c>
      <c r="K3161" s="249">
        <f t="shared" si="767"/>
        <v>100.01942912000003</v>
      </c>
      <c r="L3161" s="374">
        <v>0.188</v>
      </c>
      <c r="M3161" s="258">
        <f t="shared" si="768"/>
        <v>0.188</v>
      </c>
      <c r="N3161" s="251">
        <f t="shared" si="769"/>
        <v>25.536875520000006</v>
      </c>
      <c r="O3161" s="258">
        <v>4.8000000000000001E-2</v>
      </c>
      <c r="P3161" s="258">
        <f t="shared" si="770"/>
        <v>4.8000000000000001E-2</v>
      </c>
      <c r="Q3161" s="249">
        <v>520</v>
      </c>
      <c r="R3161" s="249">
        <f t="shared" si="762"/>
        <v>532.01824000000011</v>
      </c>
      <c r="S3161" s="250">
        <v>9.5000000000000001E-2</v>
      </c>
      <c r="T3161" s="290">
        <f>Q3161*S3161+Q3161+1</f>
        <v>570.4</v>
      </c>
      <c r="U3161" s="315">
        <f t="shared" si="773"/>
        <v>582.55997280000008</v>
      </c>
      <c r="V3161" s="315">
        <f t="shared" si="774"/>
        <v>585</v>
      </c>
      <c r="W3161" s="316">
        <f t="shared" si="771"/>
        <v>0</v>
      </c>
    </row>
    <row r="3162" spans="1:23" ht="21" x14ac:dyDescent="0.25">
      <c r="A3162" s="208" t="s">
        <v>15421</v>
      </c>
      <c r="B3162" s="255" t="s">
        <v>22662</v>
      </c>
      <c r="C3162" s="248"/>
      <c r="D3162" s="247" t="s">
        <v>11</v>
      </c>
      <c r="E3162" s="249">
        <f t="shared" si="763"/>
        <v>406.4619353600001</v>
      </c>
      <c r="F3162" s="258">
        <v>0.76400000000000001</v>
      </c>
      <c r="G3162" s="258">
        <f t="shared" si="764"/>
        <v>0.76400000000000001</v>
      </c>
      <c r="H3162" s="249">
        <f t="shared" si="765"/>
        <v>0</v>
      </c>
      <c r="I3162" s="314"/>
      <c r="J3162" s="258">
        <f t="shared" si="766"/>
        <v>0</v>
      </c>
      <c r="K3162" s="249">
        <f t="shared" si="767"/>
        <v>100.01942912000003</v>
      </c>
      <c r="L3162" s="374">
        <v>0.188</v>
      </c>
      <c r="M3162" s="258">
        <f t="shared" si="768"/>
        <v>0.188</v>
      </c>
      <c r="N3162" s="251">
        <f t="shared" si="769"/>
        <v>25.536875520000006</v>
      </c>
      <c r="O3162" s="258">
        <v>4.8000000000000001E-2</v>
      </c>
      <c r="P3162" s="258">
        <f t="shared" si="770"/>
        <v>4.8000000000000001E-2</v>
      </c>
      <c r="Q3162" s="249">
        <v>520</v>
      </c>
      <c r="R3162" s="249">
        <f t="shared" si="762"/>
        <v>532.01824000000011</v>
      </c>
      <c r="S3162" s="250">
        <v>9.5000000000000001E-2</v>
      </c>
      <c r="T3162" s="290">
        <f>Q3162*S3162+Q3162+1</f>
        <v>570.4</v>
      </c>
      <c r="U3162" s="315">
        <f t="shared" si="773"/>
        <v>582.55997280000008</v>
      </c>
      <c r="V3162" s="315">
        <f t="shared" si="774"/>
        <v>585</v>
      </c>
      <c r="W3162" s="316">
        <f t="shared" si="771"/>
        <v>0</v>
      </c>
    </row>
    <row r="3163" spans="1:23" ht="21" x14ac:dyDescent="0.25">
      <c r="A3163" s="208" t="s">
        <v>15422</v>
      </c>
      <c r="B3163" s="255" t="s">
        <v>22663</v>
      </c>
      <c r="C3163" s="248"/>
      <c r="D3163" s="247" t="s">
        <v>11</v>
      </c>
      <c r="E3163" s="249">
        <f t="shared" si="763"/>
        <v>443.28527808000013</v>
      </c>
      <c r="F3163" s="258">
        <v>0.77100000000000002</v>
      </c>
      <c r="G3163" s="258">
        <f t="shared" si="764"/>
        <v>0.77100000000000002</v>
      </c>
      <c r="H3163" s="249">
        <f t="shared" si="765"/>
        <v>0</v>
      </c>
      <c r="I3163" s="314"/>
      <c r="J3163" s="258">
        <f t="shared" si="766"/>
        <v>0</v>
      </c>
      <c r="K3163" s="249">
        <f t="shared" si="767"/>
        <v>101.19093248000001</v>
      </c>
      <c r="L3163" s="374">
        <v>0.17599999999999999</v>
      </c>
      <c r="M3163" s="258">
        <f t="shared" si="768"/>
        <v>0.17599999999999999</v>
      </c>
      <c r="N3163" s="251">
        <f t="shared" si="769"/>
        <v>30.472269440000005</v>
      </c>
      <c r="O3163" s="258">
        <v>5.2999999999999999E-2</v>
      </c>
      <c r="P3163" s="258">
        <f t="shared" si="770"/>
        <v>5.2999999999999999E-2</v>
      </c>
      <c r="Q3163" s="249">
        <v>562</v>
      </c>
      <c r="R3163" s="249">
        <f t="shared" si="762"/>
        <v>574.94848000000013</v>
      </c>
      <c r="S3163" s="250">
        <v>9.5000000000000001E-2</v>
      </c>
      <c r="T3163" s="290">
        <f>Q3163*S3163+Q3163-5</f>
        <v>610.39</v>
      </c>
      <c r="U3163" s="315">
        <f t="shared" si="773"/>
        <v>629.56858560000012</v>
      </c>
      <c r="V3163" s="315">
        <f t="shared" si="774"/>
        <v>630</v>
      </c>
      <c r="W3163" s="316">
        <f t="shared" si="771"/>
        <v>0</v>
      </c>
    </row>
    <row r="3164" spans="1:23" ht="21" x14ac:dyDescent="0.25">
      <c r="A3164" s="208" t="s">
        <v>15423</v>
      </c>
      <c r="B3164" s="255" t="s">
        <v>22664</v>
      </c>
      <c r="C3164" s="248"/>
      <c r="D3164" s="247" t="s">
        <v>11</v>
      </c>
      <c r="E3164" s="249">
        <f t="shared" si="763"/>
        <v>443.28527808000013</v>
      </c>
      <c r="F3164" s="258">
        <v>0.77100000000000002</v>
      </c>
      <c r="G3164" s="258">
        <f t="shared" si="764"/>
        <v>0.77100000000000002</v>
      </c>
      <c r="H3164" s="249">
        <f t="shared" si="765"/>
        <v>0</v>
      </c>
      <c r="I3164" s="314"/>
      <c r="J3164" s="258">
        <f t="shared" si="766"/>
        <v>0</v>
      </c>
      <c r="K3164" s="249">
        <f t="shared" si="767"/>
        <v>101.19093248000001</v>
      </c>
      <c r="L3164" s="374">
        <v>0.17599999999999999</v>
      </c>
      <c r="M3164" s="258">
        <f t="shared" si="768"/>
        <v>0.17599999999999999</v>
      </c>
      <c r="N3164" s="251">
        <f t="shared" si="769"/>
        <v>30.472269440000005</v>
      </c>
      <c r="O3164" s="258">
        <v>5.2999999999999999E-2</v>
      </c>
      <c r="P3164" s="258">
        <f t="shared" si="770"/>
        <v>5.2999999999999999E-2</v>
      </c>
      <c r="Q3164" s="249">
        <v>562</v>
      </c>
      <c r="R3164" s="249">
        <f t="shared" si="762"/>
        <v>574.94848000000013</v>
      </c>
      <c r="S3164" s="250">
        <v>9.5000000000000001E-2</v>
      </c>
      <c r="T3164" s="290">
        <f>Q3164*S3164+Q3164-5</f>
        <v>610.39</v>
      </c>
      <c r="U3164" s="315">
        <f t="shared" si="773"/>
        <v>629.56858560000012</v>
      </c>
      <c r="V3164" s="315">
        <f t="shared" si="774"/>
        <v>630</v>
      </c>
      <c r="W3164" s="316">
        <f t="shared" si="771"/>
        <v>0</v>
      </c>
    </row>
    <row r="3165" spans="1:23" x14ac:dyDescent="0.25">
      <c r="A3165" s="199" t="s">
        <v>14936</v>
      </c>
      <c r="B3165" s="307" t="s">
        <v>15424</v>
      </c>
      <c r="C3165" s="308"/>
      <c r="D3165" s="309"/>
      <c r="E3165" s="310"/>
      <c r="F3165" s="311"/>
      <c r="G3165" s="311"/>
      <c r="H3165" s="310"/>
      <c r="I3165" s="311"/>
      <c r="J3165" s="311"/>
      <c r="K3165" s="310"/>
      <c r="L3165" s="311"/>
      <c r="M3165" s="311"/>
      <c r="N3165" s="310"/>
      <c r="O3165" s="311"/>
      <c r="P3165" s="311"/>
      <c r="Q3165" s="310"/>
      <c r="R3165" s="310"/>
      <c r="S3165" s="309"/>
      <c r="T3165" s="309"/>
      <c r="U3165" s="309"/>
      <c r="V3165" s="309"/>
      <c r="W3165" s="312"/>
    </row>
    <row r="3166" spans="1:23" x14ac:dyDescent="0.25">
      <c r="A3166" s="203" t="s">
        <v>18730</v>
      </c>
      <c r="B3166" s="345" t="s">
        <v>18731</v>
      </c>
      <c r="C3166" s="346"/>
      <c r="D3166" s="347"/>
      <c r="E3166" s="347"/>
      <c r="F3166" s="347"/>
      <c r="G3166" s="347"/>
      <c r="H3166" s="347"/>
      <c r="I3166" s="347"/>
      <c r="J3166" s="347"/>
      <c r="K3166" s="347"/>
      <c r="L3166" s="347"/>
      <c r="M3166" s="347"/>
      <c r="N3166" s="347"/>
      <c r="O3166" s="347"/>
      <c r="P3166" s="347"/>
      <c r="Q3166" s="347"/>
      <c r="R3166" s="347"/>
      <c r="S3166" s="347"/>
      <c r="T3166" s="348"/>
      <c r="U3166" s="349"/>
      <c r="V3166" s="349"/>
      <c r="W3166" s="350"/>
    </row>
    <row r="3167" spans="1:23" ht="14.4" thickBot="1" x14ac:dyDescent="0.3">
      <c r="A3167" s="378" t="s">
        <v>18732</v>
      </c>
      <c r="B3167" s="414" t="s">
        <v>18733</v>
      </c>
      <c r="C3167" s="380"/>
      <c r="D3167" s="381" t="s">
        <v>11</v>
      </c>
      <c r="E3167" s="266">
        <f t="shared" si="763"/>
        <v>3960</v>
      </c>
      <c r="F3167" s="360">
        <f>3960/24160</f>
        <v>0.16390728476821192</v>
      </c>
      <c r="G3167" s="322">
        <f t="shared" si="764"/>
        <v>0.16390728476821192</v>
      </c>
      <c r="H3167" s="266">
        <f t="shared" si="765"/>
        <v>13999.999999999998</v>
      </c>
      <c r="I3167" s="360">
        <f>14000/24160</f>
        <v>0.57947019867549665</v>
      </c>
      <c r="J3167" s="322">
        <f t="shared" si="766"/>
        <v>0.57947019867549665</v>
      </c>
      <c r="K3167" s="266">
        <f t="shared" si="767"/>
        <v>6050</v>
      </c>
      <c r="L3167" s="360">
        <f>6050/24160</f>
        <v>0.2504139072847682</v>
      </c>
      <c r="M3167" s="322">
        <f t="shared" si="768"/>
        <v>0.2504139072847682</v>
      </c>
      <c r="N3167" s="270">
        <f t="shared" si="769"/>
        <v>150</v>
      </c>
      <c r="O3167" s="360">
        <f>150/24160</f>
        <v>6.2086092715231784E-3</v>
      </c>
      <c r="P3167" s="322">
        <f t="shared" si="770"/>
        <v>6.2086092715231784E-3</v>
      </c>
      <c r="Q3167" s="372"/>
      <c r="R3167" s="266">
        <v>24160</v>
      </c>
      <c r="S3167" s="382">
        <v>0.25</v>
      </c>
      <c r="T3167" s="382"/>
      <c r="U3167" s="324">
        <f t="shared" si="773"/>
        <v>30200</v>
      </c>
      <c r="V3167" s="324">
        <f t="shared" si="774"/>
        <v>30250</v>
      </c>
      <c r="W3167" s="325">
        <f t="shared" si="771"/>
        <v>0</v>
      </c>
    </row>
    <row r="3168" spans="1:23" x14ac:dyDescent="0.25">
      <c r="A3168" s="209" t="s">
        <v>18734</v>
      </c>
      <c r="B3168" s="343" t="s">
        <v>22665</v>
      </c>
      <c r="C3168" s="375"/>
      <c r="D3168" s="376" t="s">
        <v>11</v>
      </c>
      <c r="E3168" s="249">
        <f t="shared" si="763"/>
        <v>720</v>
      </c>
      <c r="F3168" s="336">
        <f>720/3107</f>
        <v>0.23173479240424846</v>
      </c>
      <c r="G3168" s="258">
        <f t="shared" si="764"/>
        <v>0.23173479240424846</v>
      </c>
      <c r="H3168" s="249">
        <f t="shared" si="765"/>
        <v>1200</v>
      </c>
      <c r="I3168" s="336">
        <f>1200/3107</f>
        <v>0.38622465400708078</v>
      </c>
      <c r="J3168" s="258">
        <f t="shared" si="766"/>
        <v>0.38622465400708078</v>
      </c>
      <c r="K3168" s="249">
        <f t="shared" si="767"/>
        <v>1012</v>
      </c>
      <c r="L3168" s="336">
        <f>1012/3107</f>
        <v>0.32571612487930479</v>
      </c>
      <c r="M3168" s="258">
        <f t="shared" si="768"/>
        <v>0.32571612487930479</v>
      </c>
      <c r="N3168" s="251">
        <f t="shared" si="769"/>
        <v>175</v>
      </c>
      <c r="O3168" s="336">
        <f>175/3107</f>
        <v>5.6324428709365951E-2</v>
      </c>
      <c r="P3168" s="258">
        <f t="shared" si="770"/>
        <v>5.6324428709365951E-2</v>
      </c>
      <c r="Q3168" s="366"/>
      <c r="R3168" s="249">
        <v>3107</v>
      </c>
      <c r="S3168" s="377">
        <v>0.25</v>
      </c>
      <c r="T3168" s="377"/>
      <c r="U3168" s="315">
        <f t="shared" si="773"/>
        <v>3883.75</v>
      </c>
      <c r="V3168" s="315">
        <f t="shared" si="774"/>
        <v>3900</v>
      </c>
      <c r="W3168" s="316">
        <f t="shared" si="771"/>
        <v>0</v>
      </c>
    </row>
    <row r="3169" spans="1:27" x14ac:dyDescent="0.25">
      <c r="A3169" s="209" t="s">
        <v>18735</v>
      </c>
      <c r="B3169" s="343" t="s">
        <v>18736</v>
      </c>
      <c r="C3169" s="375"/>
      <c r="D3169" s="376" t="s">
        <v>11</v>
      </c>
      <c r="E3169" s="249">
        <f t="shared" si="763"/>
        <v>7200</v>
      </c>
      <c r="F3169" s="336">
        <f>7200/14395.51</f>
        <v>0.50015595140429203</v>
      </c>
      <c r="G3169" s="258">
        <f t="shared" si="764"/>
        <v>0.50015595140429203</v>
      </c>
      <c r="H3169" s="249">
        <f t="shared" si="765"/>
        <v>545.51</v>
      </c>
      <c r="I3169" s="336">
        <f>545.51/14395.51</f>
        <v>3.7894454590354905E-2</v>
      </c>
      <c r="J3169" s="258">
        <f t="shared" si="766"/>
        <v>3.7894454590354905E-2</v>
      </c>
      <c r="K3169" s="249">
        <f t="shared" si="767"/>
        <v>6600</v>
      </c>
      <c r="L3169" s="336">
        <f>6600/14395.51</f>
        <v>0.45847628878726771</v>
      </c>
      <c r="M3169" s="258">
        <f t="shared" si="768"/>
        <v>0.45847628878726771</v>
      </c>
      <c r="N3169" s="251">
        <f t="shared" si="769"/>
        <v>50</v>
      </c>
      <c r="O3169" s="336">
        <f>50/14395.51</f>
        <v>3.4733052180853613E-3</v>
      </c>
      <c r="P3169" s="258">
        <f t="shared" si="770"/>
        <v>3.4733052180853613E-3</v>
      </c>
      <c r="Q3169" s="366"/>
      <c r="R3169" s="249">
        <v>14395.51</v>
      </c>
      <c r="S3169" s="377">
        <v>0.25</v>
      </c>
      <c r="T3169" s="377"/>
      <c r="U3169" s="315">
        <f t="shared" si="773"/>
        <v>17994.387500000001</v>
      </c>
      <c r="V3169" s="315">
        <f t="shared" si="774"/>
        <v>18000</v>
      </c>
      <c r="W3169" s="316">
        <f t="shared" si="771"/>
        <v>0</v>
      </c>
    </row>
    <row r="3170" spans="1:27" x14ac:dyDescent="0.25">
      <c r="A3170" s="209" t="s">
        <v>18737</v>
      </c>
      <c r="B3170" s="343" t="s">
        <v>22666</v>
      </c>
      <c r="C3170" s="375"/>
      <c r="D3170" s="376" t="s">
        <v>11</v>
      </c>
      <c r="E3170" s="249">
        <f t="shared" si="763"/>
        <v>1800</v>
      </c>
      <c r="F3170" s="336">
        <v>0.1285530638480217</v>
      </c>
      <c r="G3170" s="258">
        <f t="shared" si="764"/>
        <v>0.1285530638480217</v>
      </c>
      <c r="H3170" s="249">
        <f t="shared" si="765"/>
        <v>3702</v>
      </c>
      <c r="I3170" s="336">
        <v>0.26439080131409798</v>
      </c>
      <c r="J3170" s="258">
        <f t="shared" si="766"/>
        <v>0.26439080131409798</v>
      </c>
      <c r="K3170" s="249">
        <f t="shared" si="767"/>
        <v>8250</v>
      </c>
      <c r="L3170" s="336">
        <v>0.58920154263676616</v>
      </c>
      <c r="M3170" s="258">
        <f t="shared" si="768"/>
        <v>0.58920154263676616</v>
      </c>
      <c r="N3170" s="251">
        <f t="shared" si="769"/>
        <v>250.00000000000003</v>
      </c>
      <c r="O3170" s="336">
        <v>1.7854592201114128E-2</v>
      </c>
      <c r="P3170" s="258">
        <f t="shared" si="770"/>
        <v>1.7854592201114128E-2</v>
      </c>
      <c r="Q3170" s="366"/>
      <c r="R3170" s="249">
        <v>14002</v>
      </c>
      <c r="S3170" s="377">
        <v>0.25</v>
      </c>
      <c r="T3170" s="377"/>
      <c r="U3170" s="315">
        <f t="shared" si="773"/>
        <v>17502.5</v>
      </c>
      <c r="V3170" s="315">
        <f t="shared" si="774"/>
        <v>17750</v>
      </c>
      <c r="W3170" s="316">
        <f t="shared" si="771"/>
        <v>0</v>
      </c>
    </row>
    <row r="3171" spans="1:27" x14ac:dyDescent="0.25">
      <c r="A3171" s="209" t="s">
        <v>18738</v>
      </c>
      <c r="B3171" s="343" t="s">
        <v>22667</v>
      </c>
      <c r="C3171" s="375"/>
      <c r="D3171" s="376" t="s">
        <v>11</v>
      </c>
      <c r="E3171" s="249">
        <f t="shared" si="763"/>
        <v>1800</v>
      </c>
      <c r="F3171" s="336">
        <v>0.10569583088667057</v>
      </c>
      <c r="G3171" s="258">
        <f t="shared" si="764"/>
        <v>0.10569583088667057</v>
      </c>
      <c r="H3171" s="249">
        <f t="shared" si="765"/>
        <v>2000</v>
      </c>
      <c r="I3171" s="336">
        <v>0.11743981209630065</v>
      </c>
      <c r="J3171" s="258">
        <f t="shared" si="766"/>
        <v>0.11743981209630065</v>
      </c>
      <c r="K3171" s="249">
        <f t="shared" si="767"/>
        <v>12980</v>
      </c>
      <c r="L3171" s="336">
        <v>0.76218438050499115</v>
      </c>
      <c r="M3171" s="258">
        <f t="shared" si="768"/>
        <v>0.76218438050499115</v>
      </c>
      <c r="N3171" s="251">
        <f t="shared" si="769"/>
        <v>250</v>
      </c>
      <c r="O3171" s="336">
        <v>1.4679976512037582E-2</v>
      </c>
      <c r="P3171" s="258">
        <f t="shared" si="770"/>
        <v>1.4679976512037582E-2</v>
      </c>
      <c r="Q3171" s="366"/>
      <c r="R3171" s="249">
        <v>17030</v>
      </c>
      <c r="S3171" s="377">
        <v>0.25</v>
      </c>
      <c r="T3171" s="377"/>
      <c r="U3171" s="315">
        <f t="shared" si="773"/>
        <v>21287.5</v>
      </c>
      <c r="V3171" s="315">
        <f t="shared" si="774"/>
        <v>21500</v>
      </c>
      <c r="W3171" s="316">
        <f t="shared" si="771"/>
        <v>0</v>
      </c>
    </row>
    <row r="3172" spans="1:27" x14ac:dyDescent="0.25">
      <c r="A3172" s="209" t="s">
        <v>18739</v>
      </c>
      <c r="B3172" s="343" t="s">
        <v>22668</v>
      </c>
      <c r="C3172" s="375"/>
      <c r="D3172" s="376" t="s">
        <v>11</v>
      </c>
      <c r="E3172" s="249">
        <f t="shared" si="763"/>
        <v>270</v>
      </c>
      <c r="F3172" s="336">
        <v>6.0033351862145638E-2</v>
      </c>
      <c r="G3172" s="258">
        <f t="shared" si="764"/>
        <v>6.0033351862145638E-2</v>
      </c>
      <c r="H3172" s="249">
        <f t="shared" si="765"/>
        <v>499.99999999999994</v>
      </c>
      <c r="I3172" s="336">
        <v>0.11117287381878821</v>
      </c>
      <c r="J3172" s="258">
        <f t="shared" si="766"/>
        <v>0.11117287381878821</v>
      </c>
      <c r="K3172" s="249">
        <f t="shared" si="767"/>
        <v>3602.5</v>
      </c>
      <c r="L3172" s="336">
        <v>0.80100055586436913</v>
      </c>
      <c r="M3172" s="258">
        <f t="shared" si="768"/>
        <v>0.80100055586436913</v>
      </c>
      <c r="N3172" s="251">
        <f t="shared" si="769"/>
        <v>124.99999999999999</v>
      </c>
      <c r="O3172" s="336">
        <v>2.7793218454697052E-2</v>
      </c>
      <c r="P3172" s="258">
        <f t="shared" si="770"/>
        <v>2.7793218454697052E-2</v>
      </c>
      <c r="Q3172" s="366"/>
      <c r="R3172" s="249">
        <v>4497.5</v>
      </c>
      <c r="S3172" s="377">
        <v>0.25</v>
      </c>
      <c r="T3172" s="377"/>
      <c r="U3172" s="315">
        <f t="shared" si="773"/>
        <v>5621.875</v>
      </c>
      <c r="V3172" s="315">
        <f t="shared" si="774"/>
        <v>5625</v>
      </c>
      <c r="W3172" s="316">
        <f t="shared" si="771"/>
        <v>0</v>
      </c>
    </row>
    <row r="3173" spans="1:27" x14ac:dyDescent="0.25">
      <c r="A3173" s="209" t="s">
        <v>18739</v>
      </c>
      <c r="B3173" s="343" t="s">
        <v>18740</v>
      </c>
      <c r="C3173" s="375"/>
      <c r="D3173" s="376" t="s">
        <v>2</v>
      </c>
      <c r="E3173" s="249">
        <f t="shared" si="763"/>
        <v>155.19999999999999</v>
      </c>
      <c r="F3173" s="336">
        <v>0.12605588044184535</v>
      </c>
      <c r="G3173" s="258">
        <f t="shared" si="764"/>
        <v>0.12605588044184535</v>
      </c>
      <c r="H3173" s="249">
        <f t="shared" si="765"/>
        <v>548.25</v>
      </c>
      <c r="I3173" s="336">
        <v>0.44529727095516569</v>
      </c>
      <c r="J3173" s="258">
        <f t="shared" si="766"/>
        <v>0.44529727095516569</v>
      </c>
      <c r="K3173" s="249">
        <f t="shared" si="767"/>
        <v>390.50000000000011</v>
      </c>
      <c r="L3173" s="336">
        <v>0.31717024041585451</v>
      </c>
      <c r="M3173" s="258">
        <f t="shared" si="768"/>
        <v>0.31717024041585451</v>
      </c>
      <c r="N3173" s="251">
        <f t="shared" si="769"/>
        <v>137.25</v>
      </c>
      <c r="O3173" s="336">
        <v>0.11147660818713449</v>
      </c>
      <c r="P3173" s="258">
        <f t="shared" si="770"/>
        <v>0.11147660818713449</v>
      </c>
      <c r="Q3173" s="366"/>
      <c r="R3173" s="249">
        <v>1231.2</v>
      </c>
      <c r="S3173" s="377">
        <v>0.25</v>
      </c>
      <c r="T3173" s="377"/>
      <c r="U3173" s="315">
        <f t="shared" si="773"/>
        <v>1539</v>
      </c>
      <c r="V3173" s="315">
        <f t="shared" si="774"/>
        <v>1550</v>
      </c>
      <c r="W3173" s="316">
        <f t="shared" si="771"/>
        <v>0</v>
      </c>
    </row>
    <row r="3174" spans="1:27" ht="21" x14ac:dyDescent="0.25">
      <c r="A3174" s="209" t="s">
        <v>18741</v>
      </c>
      <c r="B3174" s="344" t="s">
        <v>18742</v>
      </c>
      <c r="C3174" s="375"/>
      <c r="D3174" s="376" t="s">
        <v>2</v>
      </c>
      <c r="E3174" s="249">
        <f t="shared" si="763"/>
        <v>215.05</v>
      </c>
      <c r="F3174" s="336">
        <v>0.62225115740740744</v>
      </c>
      <c r="G3174" s="258">
        <f t="shared" si="764"/>
        <v>0.62225115740740744</v>
      </c>
      <c r="H3174" s="249">
        <f t="shared" si="765"/>
        <v>79.599999999999994</v>
      </c>
      <c r="I3174" s="336">
        <v>0.23032407407407404</v>
      </c>
      <c r="J3174" s="258">
        <f t="shared" si="766"/>
        <v>0.23032407407407404</v>
      </c>
      <c r="K3174" s="249">
        <f t="shared" si="767"/>
        <v>50.000000000000007</v>
      </c>
      <c r="L3174" s="336">
        <v>0.14467592592592593</v>
      </c>
      <c r="M3174" s="258">
        <f t="shared" si="768"/>
        <v>0.14467592592592593</v>
      </c>
      <c r="N3174" s="251">
        <f t="shared" si="769"/>
        <v>0.95</v>
      </c>
      <c r="O3174" s="336">
        <v>2.7488425925925922E-3</v>
      </c>
      <c r="P3174" s="258">
        <f t="shared" si="770"/>
        <v>2.7488425925925922E-3</v>
      </c>
      <c r="Q3174" s="366"/>
      <c r="R3174" s="249">
        <v>345.6</v>
      </c>
      <c r="S3174" s="377">
        <v>0.25</v>
      </c>
      <c r="T3174" s="377"/>
      <c r="U3174" s="315">
        <f t="shared" si="773"/>
        <v>432</v>
      </c>
      <c r="V3174" s="315">
        <f t="shared" si="774"/>
        <v>435</v>
      </c>
      <c r="W3174" s="316">
        <f t="shared" si="771"/>
        <v>0</v>
      </c>
    </row>
    <row r="3175" spans="1:27" ht="21" x14ac:dyDescent="0.25">
      <c r="A3175" s="209" t="s">
        <v>18743</v>
      </c>
      <c r="B3175" s="344" t="s">
        <v>22669</v>
      </c>
      <c r="C3175" s="375"/>
      <c r="D3175" s="376" t="s">
        <v>2</v>
      </c>
      <c r="E3175" s="249">
        <f t="shared" si="763"/>
        <v>265.26</v>
      </c>
      <c r="F3175" s="336">
        <v>0.65399408284023663</v>
      </c>
      <c r="G3175" s="258">
        <f t="shared" si="764"/>
        <v>0.65399408284023663</v>
      </c>
      <c r="H3175" s="249">
        <f t="shared" si="765"/>
        <v>82.85</v>
      </c>
      <c r="I3175" s="336">
        <v>0.2042652859960552</v>
      </c>
      <c r="J3175" s="258">
        <f t="shared" si="766"/>
        <v>0.2042652859960552</v>
      </c>
      <c r="K3175" s="249">
        <f t="shared" si="767"/>
        <v>56.06</v>
      </c>
      <c r="L3175" s="336">
        <v>0.13821499013806707</v>
      </c>
      <c r="M3175" s="258">
        <f t="shared" si="768"/>
        <v>0.13821499013806707</v>
      </c>
      <c r="N3175" s="251">
        <f t="shared" si="769"/>
        <v>1.43</v>
      </c>
      <c r="O3175" s="336">
        <v>3.5256410256410253E-3</v>
      </c>
      <c r="P3175" s="258">
        <f t="shared" si="770"/>
        <v>3.5256410256410253E-3</v>
      </c>
      <c r="Q3175" s="366"/>
      <c r="R3175" s="249">
        <v>405.6</v>
      </c>
      <c r="S3175" s="377">
        <v>0.25</v>
      </c>
      <c r="T3175" s="377"/>
      <c r="U3175" s="315">
        <f t="shared" si="773"/>
        <v>507</v>
      </c>
      <c r="V3175" s="315">
        <f t="shared" si="774"/>
        <v>510</v>
      </c>
      <c r="W3175" s="316">
        <f t="shared" si="771"/>
        <v>0</v>
      </c>
    </row>
    <row r="3176" spans="1:27" ht="21" x14ac:dyDescent="0.25">
      <c r="A3176" s="209" t="s">
        <v>18744</v>
      </c>
      <c r="B3176" s="344" t="s">
        <v>22670</v>
      </c>
      <c r="C3176" s="375"/>
      <c r="D3176" s="376" t="s">
        <v>2</v>
      </c>
      <c r="E3176" s="249">
        <f t="shared" si="763"/>
        <v>84.01</v>
      </c>
      <c r="F3176" s="336">
        <v>0.40389423076923081</v>
      </c>
      <c r="G3176" s="258">
        <f t="shared" si="764"/>
        <v>0.40389423076923081</v>
      </c>
      <c r="H3176" s="249">
        <f t="shared" si="765"/>
        <v>79.5</v>
      </c>
      <c r="I3176" s="336">
        <v>0.38221153846153844</v>
      </c>
      <c r="J3176" s="258">
        <f t="shared" si="766"/>
        <v>0.38221153846153844</v>
      </c>
      <c r="K3176" s="249">
        <f t="shared" si="767"/>
        <v>42.07</v>
      </c>
      <c r="L3176" s="336">
        <v>0.2022596153846154</v>
      </c>
      <c r="M3176" s="258">
        <f t="shared" si="768"/>
        <v>0.2022596153846154</v>
      </c>
      <c r="N3176" s="251">
        <f t="shared" si="769"/>
        <v>2.42</v>
      </c>
      <c r="O3176" s="336">
        <v>1.1634615384615384E-2</v>
      </c>
      <c r="P3176" s="258">
        <f t="shared" si="770"/>
        <v>1.1634615384615384E-2</v>
      </c>
      <c r="Q3176" s="366"/>
      <c r="R3176" s="249">
        <v>208</v>
      </c>
      <c r="S3176" s="377">
        <v>0.25</v>
      </c>
      <c r="T3176" s="377"/>
      <c r="U3176" s="315">
        <f t="shared" si="773"/>
        <v>260</v>
      </c>
      <c r="V3176" s="315">
        <f t="shared" si="774"/>
        <v>260</v>
      </c>
      <c r="W3176" s="316">
        <f t="shared" si="771"/>
        <v>0</v>
      </c>
    </row>
    <row r="3177" spans="1:27" ht="21" x14ac:dyDescent="0.25">
      <c r="A3177" s="209" t="s">
        <v>18745</v>
      </c>
      <c r="B3177" s="344" t="s">
        <v>22671</v>
      </c>
      <c r="C3177" s="375"/>
      <c r="D3177" s="376" t="s">
        <v>15213</v>
      </c>
      <c r="E3177" s="249">
        <f t="shared" si="763"/>
        <v>1800.1</v>
      </c>
      <c r="F3177" s="336">
        <v>0.73988976254968286</v>
      </c>
      <c r="G3177" s="258">
        <f t="shared" si="764"/>
        <v>0.73988976254968286</v>
      </c>
      <c r="H3177" s="249">
        <f t="shared" si="765"/>
        <v>457</v>
      </c>
      <c r="I3177" s="336">
        <v>0.18783935419432538</v>
      </c>
      <c r="J3177" s="258">
        <f t="shared" si="766"/>
        <v>0.18783935419432538</v>
      </c>
      <c r="K3177" s="249">
        <f t="shared" si="767"/>
        <v>172.33</v>
      </c>
      <c r="L3177" s="336">
        <v>7.0832288639623833E-2</v>
      </c>
      <c r="M3177" s="258">
        <f t="shared" si="768"/>
        <v>7.0832288639623833E-2</v>
      </c>
      <c r="N3177" s="251">
        <f t="shared" si="769"/>
        <v>3.5</v>
      </c>
      <c r="O3177" s="336">
        <v>1.4385946163679186E-3</v>
      </c>
      <c r="P3177" s="258">
        <f t="shared" si="770"/>
        <v>1.4385946163679186E-3</v>
      </c>
      <c r="Q3177" s="366"/>
      <c r="R3177" s="249">
        <v>2432.9299999999998</v>
      </c>
      <c r="S3177" s="377">
        <v>0.25</v>
      </c>
      <c r="T3177" s="377"/>
      <c r="U3177" s="315">
        <f t="shared" si="773"/>
        <v>3041.1624999999999</v>
      </c>
      <c r="V3177" s="315">
        <f t="shared" si="774"/>
        <v>3050</v>
      </c>
      <c r="W3177" s="316">
        <f t="shared" si="771"/>
        <v>0</v>
      </c>
    </row>
    <row r="3178" spans="1:27" ht="21" x14ac:dyDescent="0.25">
      <c r="A3178" s="209" t="s">
        <v>18746</v>
      </c>
      <c r="B3178" s="344" t="s">
        <v>22672</v>
      </c>
      <c r="C3178" s="375"/>
      <c r="D3178" s="376" t="s">
        <v>15213</v>
      </c>
      <c r="E3178" s="249">
        <f t="shared" si="763"/>
        <v>895.32</v>
      </c>
      <c r="F3178" s="336">
        <v>0.5567910447761194</v>
      </c>
      <c r="G3178" s="258">
        <f t="shared" si="764"/>
        <v>0.5567910447761194</v>
      </c>
      <c r="H3178" s="249">
        <f t="shared" si="765"/>
        <v>415.5</v>
      </c>
      <c r="I3178" s="336">
        <v>0.25839552238805968</v>
      </c>
      <c r="J3178" s="258">
        <f t="shared" si="766"/>
        <v>0.25839552238805968</v>
      </c>
      <c r="K3178" s="249">
        <f t="shared" si="767"/>
        <v>292.95</v>
      </c>
      <c r="L3178" s="336">
        <v>0.18218283582089551</v>
      </c>
      <c r="M3178" s="258">
        <f t="shared" si="768"/>
        <v>0.18218283582089551</v>
      </c>
      <c r="N3178" s="251">
        <f t="shared" si="769"/>
        <v>4.2300000000000004</v>
      </c>
      <c r="O3178" s="336">
        <v>2.6305970149253736E-3</v>
      </c>
      <c r="P3178" s="258">
        <f t="shared" si="770"/>
        <v>2.6305970149253736E-3</v>
      </c>
      <c r="Q3178" s="366"/>
      <c r="R3178" s="249">
        <v>1608</v>
      </c>
      <c r="S3178" s="377">
        <v>0.25</v>
      </c>
      <c r="T3178" s="377"/>
      <c r="U3178" s="315">
        <f t="shared" si="773"/>
        <v>2010</v>
      </c>
      <c r="V3178" s="315">
        <f t="shared" si="774"/>
        <v>2025</v>
      </c>
      <c r="W3178" s="316">
        <f t="shared" si="771"/>
        <v>0</v>
      </c>
    </row>
    <row r="3179" spans="1:27" ht="21" x14ac:dyDescent="0.25">
      <c r="A3179" s="209" t="s">
        <v>18747</v>
      </c>
      <c r="B3179" s="344" t="s">
        <v>22673</v>
      </c>
      <c r="C3179" s="375"/>
      <c r="D3179" s="376" t="s">
        <v>15213</v>
      </c>
      <c r="E3179" s="249">
        <f t="shared" si="763"/>
        <v>895.22</v>
      </c>
      <c r="F3179" s="336">
        <v>0.56659493670886074</v>
      </c>
      <c r="G3179" s="258">
        <f t="shared" si="764"/>
        <v>0.56659493670886074</v>
      </c>
      <c r="H3179" s="249">
        <f t="shared" si="765"/>
        <v>395</v>
      </c>
      <c r="I3179" s="336">
        <v>0.25</v>
      </c>
      <c r="J3179" s="258">
        <f t="shared" si="766"/>
        <v>0.25</v>
      </c>
      <c r="K3179" s="249">
        <f t="shared" si="767"/>
        <v>284.45</v>
      </c>
      <c r="L3179" s="336">
        <v>0.18003164556962026</v>
      </c>
      <c r="M3179" s="258">
        <f t="shared" si="768"/>
        <v>0.18003164556962026</v>
      </c>
      <c r="N3179" s="251">
        <f t="shared" si="769"/>
        <v>5.33</v>
      </c>
      <c r="O3179" s="336">
        <v>3.3734177215189874E-3</v>
      </c>
      <c r="P3179" s="258">
        <f t="shared" si="770"/>
        <v>3.3734177215189874E-3</v>
      </c>
      <c r="Q3179" s="366"/>
      <c r="R3179" s="249">
        <v>1580</v>
      </c>
      <c r="S3179" s="377">
        <v>0.25</v>
      </c>
      <c r="T3179" s="377"/>
      <c r="U3179" s="315">
        <f t="shared" si="773"/>
        <v>1975</v>
      </c>
      <c r="V3179" s="315">
        <f t="shared" si="774"/>
        <v>1975</v>
      </c>
      <c r="W3179" s="316">
        <f t="shared" si="771"/>
        <v>0</v>
      </c>
    </row>
    <row r="3180" spans="1:27" ht="21" x14ac:dyDescent="0.25">
      <c r="A3180" s="209" t="s">
        <v>18748</v>
      </c>
      <c r="B3180" s="344" t="s">
        <v>22674</v>
      </c>
      <c r="C3180" s="375"/>
      <c r="D3180" s="376" t="s">
        <v>15213</v>
      </c>
      <c r="E3180" s="249">
        <f t="shared" si="763"/>
        <v>1894.9999999999998</v>
      </c>
      <c r="F3180" s="336">
        <v>0.68362193362193358</v>
      </c>
      <c r="G3180" s="258">
        <f t="shared" si="764"/>
        <v>0.68362193362193358</v>
      </c>
      <c r="H3180" s="249">
        <f t="shared" si="765"/>
        <v>575</v>
      </c>
      <c r="I3180" s="336">
        <v>0.20743145743145744</v>
      </c>
      <c r="J3180" s="258">
        <f t="shared" si="766"/>
        <v>0.20743145743145744</v>
      </c>
      <c r="K3180" s="249">
        <f t="shared" si="767"/>
        <v>295.42</v>
      </c>
      <c r="L3180" s="336">
        <v>0.10657287157287158</v>
      </c>
      <c r="M3180" s="258">
        <f t="shared" si="768"/>
        <v>0.10657287157287158</v>
      </c>
      <c r="N3180" s="251">
        <f t="shared" si="769"/>
        <v>6.58</v>
      </c>
      <c r="O3180" s="336">
        <v>2.3737373737373738E-3</v>
      </c>
      <c r="P3180" s="258">
        <f t="shared" si="770"/>
        <v>2.3737373737373738E-3</v>
      </c>
      <c r="Q3180" s="366"/>
      <c r="R3180" s="249">
        <v>2772</v>
      </c>
      <c r="S3180" s="377">
        <v>0.25</v>
      </c>
      <c r="T3180" s="377"/>
      <c r="U3180" s="315">
        <f t="shared" si="773"/>
        <v>3465</v>
      </c>
      <c r="V3180" s="315">
        <f t="shared" si="774"/>
        <v>3475</v>
      </c>
      <c r="W3180" s="316">
        <f t="shared" si="771"/>
        <v>0</v>
      </c>
    </row>
    <row r="3181" spans="1:27" ht="21" x14ac:dyDescent="0.25">
      <c r="A3181" s="209" t="s">
        <v>18749</v>
      </c>
      <c r="B3181" s="344" t="s">
        <v>22675</v>
      </c>
      <c r="C3181" s="375"/>
      <c r="D3181" s="376" t="s">
        <v>15213</v>
      </c>
      <c r="E3181" s="249">
        <f t="shared" si="763"/>
        <v>1895</v>
      </c>
      <c r="F3181" s="336">
        <v>0.68067528735632188</v>
      </c>
      <c r="G3181" s="258">
        <f t="shared" si="764"/>
        <v>0.68067528735632188</v>
      </c>
      <c r="H3181" s="249">
        <f t="shared" si="765"/>
        <v>750.00000000000011</v>
      </c>
      <c r="I3181" s="336">
        <v>0.26939655172413796</v>
      </c>
      <c r="J3181" s="258">
        <f t="shared" si="766"/>
        <v>0.26939655172413796</v>
      </c>
      <c r="K3181" s="249">
        <f t="shared" si="767"/>
        <v>125.72499999999999</v>
      </c>
      <c r="L3181" s="336">
        <v>4.5159841954022985E-2</v>
      </c>
      <c r="M3181" s="258">
        <f t="shared" si="768"/>
        <v>4.5159841954022985E-2</v>
      </c>
      <c r="N3181" s="251">
        <f t="shared" si="769"/>
        <v>13.275</v>
      </c>
      <c r="O3181" s="336">
        <v>4.7683189655172414E-3</v>
      </c>
      <c r="P3181" s="258">
        <f t="shared" si="770"/>
        <v>4.7683189655172414E-3</v>
      </c>
      <c r="Q3181" s="366"/>
      <c r="R3181" s="249">
        <v>2784</v>
      </c>
      <c r="S3181" s="377">
        <v>0.25</v>
      </c>
      <c r="T3181" s="377"/>
      <c r="U3181" s="315">
        <f t="shared" si="773"/>
        <v>3480</v>
      </c>
      <c r="V3181" s="315">
        <f t="shared" si="774"/>
        <v>3500</v>
      </c>
      <c r="W3181" s="316">
        <f t="shared" si="771"/>
        <v>0</v>
      </c>
    </row>
    <row r="3182" spans="1:27" ht="21" x14ac:dyDescent="0.25">
      <c r="A3182" s="209" t="s">
        <v>18750</v>
      </c>
      <c r="B3182" s="344" t="s">
        <v>22676</v>
      </c>
      <c r="C3182" s="375"/>
      <c r="D3182" s="376" t="s">
        <v>11</v>
      </c>
      <c r="E3182" s="249">
        <f t="shared" si="763"/>
        <v>2150</v>
      </c>
      <c r="F3182" s="336">
        <v>0.63309776207302704</v>
      </c>
      <c r="G3182" s="258">
        <f t="shared" si="764"/>
        <v>0.63309776207302704</v>
      </c>
      <c r="H3182" s="249">
        <f t="shared" si="765"/>
        <v>1050</v>
      </c>
      <c r="I3182" s="336">
        <v>0.30918727915194344</v>
      </c>
      <c r="J3182" s="258">
        <f t="shared" si="766"/>
        <v>0.30918727915194344</v>
      </c>
      <c r="K3182" s="249">
        <f t="shared" si="767"/>
        <v>178.53</v>
      </c>
      <c r="L3182" s="336">
        <v>5.257067137809187E-2</v>
      </c>
      <c r="M3182" s="258">
        <f t="shared" si="768"/>
        <v>5.257067137809187E-2</v>
      </c>
      <c r="N3182" s="251">
        <f t="shared" si="769"/>
        <v>17.47</v>
      </c>
      <c r="O3182" s="336">
        <v>5.1442873969375731E-3</v>
      </c>
      <c r="P3182" s="258">
        <f t="shared" si="770"/>
        <v>5.1442873969375731E-3</v>
      </c>
      <c r="Q3182" s="366"/>
      <c r="R3182" s="249">
        <v>3396</v>
      </c>
      <c r="S3182" s="377">
        <v>0.25</v>
      </c>
      <c r="T3182" s="377"/>
      <c r="U3182" s="315">
        <f t="shared" si="773"/>
        <v>4245</v>
      </c>
      <c r="V3182" s="315">
        <f t="shared" si="774"/>
        <v>4250</v>
      </c>
      <c r="W3182" s="316">
        <f t="shared" si="771"/>
        <v>0</v>
      </c>
    </row>
    <row r="3183" spans="1:27" x14ac:dyDescent="0.25">
      <c r="A3183" s="203" t="s">
        <v>18751</v>
      </c>
      <c r="B3183" s="345" t="s">
        <v>18752</v>
      </c>
      <c r="C3183" s="346"/>
      <c r="D3183" s="347"/>
      <c r="E3183" s="347"/>
      <c r="F3183" s="347"/>
      <c r="G3183" s="347"/>
      <c r="H3183" s="347"/>
      <c r="I3183" s="347"/>
      <c r="J3183" s="347"/>
      <c r="K3183" s="347"/>
      <c r="L3183" s="347"/>
      <c r="M3183" s="347"/>
      <c r="N3183" s="347"/>
      <c r="O3183" s="347"/>
      <c r="P3183" s="347"/>
      <c r="Q3183" s="347"/>
      <c r="R3183" s="347"/>
      <c r="S3183" s="347"/>
      <c r="T3183" s="348"/>
      <c r="U3183" s="349"/>
      <c r="V3183" s="349"/>
      <c r="W3183" s="350"/>
    </row>
    <row r="3184" spans="1:27" x14ac:dyDescent="0.25">
      <c r="A3184" s="209" t="s">
        <v>18753</v>
      </c>
      <c r="B3184" s="343" t="s">
        <v>18754</v>
      </c>
      <c r="C3184" s="375"/>
      <c r="D3184" s="376" t="s">
        <v>2</v>
      </c>
      <c r="E3184" s="249">
        <f t="shared" si="763"/>
        <v>3.79</v>
      </c>
      <c r="F3184" s="336">
        <v>0.63643996641477751</v>
      </c>
      <c r="G3184" s="258">
        <f t="shared" si="764"/>
        <v>0.63643996641477751</v>
      </c>
      <c r="H3184" s="249">
        <f t="shared" si="765"/>
        <v>1.17</v>
      </c>
      <c r="I3184" s="336">
        <v>0.19647355163727959</v>
      </c>
      <c r="J3184" s="258">
        <f t="shared" si="766"/>
        <v>0.19647355163727959</v>
      </c>
      <c r="K3184" s="249">
        <f t="shared" si="767"/>
        <v>0.74</v>
      </c>
      <c r="L3184" s="336">
        <v>0.12426532325776658</v>
      </c>
      <c r="M3184" s="258">
        <f t="shared" si="768"/>
        <v>0.12426532325776658</v>
      </c>
      <c r="N3184" s="251">
        <f t="shared" si="769"/>
        <v>0.255</v>
      </c>
      <c r="O3184" s="336">
        <v>4.2821158690176324E-2</v>
      </c>
      <c r="P3184" s="258">
        <f t="shared" si="770"/>
        <v>4.2821158690176324E-2</v>
      </c>
      <c r="Q3184" s="366"/>
      <c r="R3184" s="249">
        <v>5.9550000000000001</v>
      </c>
      <c r="S3184" s="377">
        <v>0.2</v>
      </c>
      <c r="T3184" s="377"/>
      <c r="U3184" s="315">
        <f t="shared" si="773"/>
        <v>7.1459999999999999</v>
      </c>
      <c r="V3184" s="315">
        <f t="shared" si="774"/>
        <v>8</v>
      </c>
      <c r="W3184" s="316">
        <f t="shared" si="771"/>
        <v>0</v>
      </c>
      <c r="AA3184" s="205"/>
    </row>
    <row r="3185" spans="1:27" x14ac:dyDescent="0.25">
      <c r="A3185" s="209">
        <v>202750</v>
      </c>
      <c r="B3185" s="343" t="s">
        <v>19052</v>
      </c>
      <c r="C3185" s="375"/>
      <c r="D3185" s="376" t="s">
        <v>2</v>
      </c>
      <c r="E3185" s="249">
        <f t="shared" si="763"/>
        <v>4.0599999999999996</v>
      </c>
      <c r="F3185" s="336">
        <v>0.64959999999999996</v>
      </c>
      <c r="G3185" s="258">
        <f t="shared" si="764"/>
        <v>0.64959999999999996</v>
      </c>
      <c r="H3185" s="249">
        <f t="shared" si="765"/>
        <v>0</v>
      </c>
      <c r="I3185" s="336">
        <v>0</v>
      </c>
      <c r="J3185" s="258">
        <f t="shared" si="766"/>
        <v>0</v>
      </c>
      <c r="K3185" s="249">
        <f t="shared" si="767"/>
        <v>2.19</v>
      </c>
      <c r="L3185" s="336">
        <v>0.35039999999999999</v>
      </c>
      <c r="M3185" s="258">
        <f t="shared" si="768"/>
        <v>0.35039999999999999</v>
      </c>
      <c r="N3185" s="251">
        <f t="shared" si="769"/>
        <v>0</v>
      </c>
      <c r="O3185" s="336">
        <v>0</v>
      </c>
      <c r="P3185" s="258">
        <f t="shared" si="770"/>
        <v>0</v>
      </c>
      <c r="Q3185" s="366"/>
      <c r="R3185" s="249">
        <v>6.25</v>
      </c>
      <c r="S3185" s="377">
        <v>0.2</v>
      </c>
      <c r="T3185" s="377"/>
      <c r="U3185" s="315">
        <f t="shared" si="773"/>
        <v>7.5</v>
      </c>
      <c r="V3185" s="315">
        <f t="shared" si="774"/>
        <v>8</v>
      </c>
      <c r="W3185" s="316">
        <f t="shared" si="771"/>
        <v>0</v>
      </c>
      <c r="AA3185" s="205"/>
    </row>
    <row r="3186" spans="1:27" x14ac:dyDescent="0.25">
      <c r="A3186" s="210">
        <v>202045</v>
      </c>
      <c r="B3186" s="343" t="s">
        <v>14487</v>
      </c>
      <c r="C3186" s="383"/>
      <c r="D3186" s="344" t="s">
        <v>7</v>
      </c>
      <c r="E3186" s="249">
        <f t="shared" si="763"/>
        <v>20</v>
      </c>
      <c r="F3186" s="336">
        <v>0.60000000600000014</v>
      </c>
      <c r="G3186" s="258">
        <f t="shared" si="764"/>
        <v>0.60000000600000014</v>
      </c>
      <c r="H3186" s="249">
        <f t="shared" si="765"/>
        <v>0</v>
      </c>
      <c r="I3186" s="336">
        <v>0</v>
      </c>
      <c r="J3186" s="258">
        <f t="shared" si="766"/>
        <v>0</v>
      </c>
      <c r="K3186" s="249">
        <f t="shared" si="767"/>
        <v>10</v>
      </c>
      <c r="L3186" s="336">
        <v>0.30000000300000007</v>
      </c>
      <c r="M3186" s="258">
        <f t="shared" si="768"/>
        <v>0.30000000300000007</v>
      </c>
      <c r="N3186" s="251">
        <f t="shared" si="769"/>
        <v>3.3333330000000001</v>
      </c>
      <c r="O3186" s="336">
        <v>9.9999990999999927E-2</v>
      </c>
      <c r="P3186" s="258">
        <f t="shared" si="770"/>
        <v>9.9999990999999927E-2</v>
      </c>
      <c r="Q3186" s="366"/>
      <c r="R3186" s="249">
        <v>33.333332999999996</v>
      </c>
      <c r="S3186" s="377">
        <v>0.2</v>
      </c>
      <c r="T3186" s="377"/>
      <c r="U3186" s="315">
        <f t="shared" si="773"/>
        <v>39.999999599999995</v>
      </c>
      <c r="V3186" s="315">
        <f t="shared" si="774"/>
        <v>40</v>
      </c>
      <c r="W3186" s="316">
        <f t="shared" si="771"/>
        <v>0</v>
      </c>
      <c r="AA3186" s="205"/>
    </row>
    <row r="3187" spans="1:27" x14ac:dyDescent="0.25">
      <c r="A3187" s="210">
        <v>204005</v>
      </c>
      <c r="B3187" s="343" t="s">
        <v>14548</v>
      </c>
      <c r="C3187" s="383"/>
      <c r="D3187" s="344" t="s">
        <v>3</v>
      </c>
      <c r="E3187" s="249">
        <f t="shared" si="763"/>
        <v>26.25</v>
      </c>
      <c r="F3187" s="336">
        <v>0.45002571575518602</v>
      </c>
      <c r="G3187" s="258">
        <f t="shared" si="764"/>
        <v>0.45002571575518602</v>
      </c>
      <c r="H3187" s="249">
        <f t="shared" si="765"/>
        <v>0</v>
      </c>
      <c r="I3187" s="336">
        <v>0</v>
      </c>
      <c r="J3187" s="258">
        <f t="shared" si="766"/>
        <v>0</v>
      </c>
      <c r="K3187" s="249">
        <f t="shared" si="767"/>
        <v>26.25</v>
      </c>
      <c r="L3187" s="336">
        <v>0.45002571575518602</v>
      </c>
      <c r="M3187" s="258">
        <f t="shared" si="768"/>
        <v>0.45002571575518602</v>
      </c>
      <c r="N3187" s="251">
        <f t="shared" si="769"/>
        <v>5.83</v>
      </c>
      <c r="O3187" s="336">
        <v>9.9948568489627979E-2</v>
      </c>
      <c r="P3187" s="258">
        <f t="shared" si="770"/>
        <v>9.9948568489627979E-2</v>
      </c>
      <c r="Q3187" s="366"/>
      <c r="R3187" s="249">
        <v>58.33</v>
      </c>
      <c r="S3187" s="377">
        <v>0.2</v>
      </c>
      <c r="T3187" s="377"/>
      <c r="U3187" s="315">
        <f t="shared" si="773"/>
        <v>69.995999999999995</v>
      </c>
      <c r="V3187" s="315">
        <f t="shared" si="774"/>
        <v>70</v>
      </c>
      <c r="W3187" s="316">
        <f t="shared" si="771"/>
        <v>0</v>
      </c>
      <c r="AA3187" s="205"/>
    </row>
    <row r="3188" spans="1:27" x14ac:dyDescent="0.25">
      <c r="A3188" s="210">
        <v>207010</v>
      </c>
      <c r="B3188" s="343" t="s">
        <v>14557</v>
      </c>
      <c r="C3188" s="383"/>
      <c r="D3188" s="344" t="s">
        <v>1</v>
      </c>
      <c r="E3188" s="249">
        <f t="shared" si="763"/>
        <v>0.68</v>
      </c>
      <c r="F3188" s="336">
        <v>0.45333333333333331</v>
      </c>
      <c r="G3188" s="258">
        <f t="shared" si="764"/>
        <v>0.45333333333333331</v>
      </c>
      <c r="H3188" s="249">
        <f t="shared" si="765"/>
        <v>0.38</v>
      </c>
      <c r="I3188" s="336">
        <v>0.2533333333333333</v>
      </c>
      <c r="J3188" s="258">
        <f t="shared" si="766"/>
        <v>0.2533333333333333</v>
      </c>
      <c r="K3188" s="249">
        <f t="shared" si="767"/>
        <v>0.45000000000000007</v>
      </c>
      <c r="L3188" s="336">
        <v>0.3</v>
      </c>
      <c r="M3188" s="258">
        <f t="shared" si="768"/>
        <v>0.3</v>
      </c>
      <c r="N3188" s="251">
        <f t="shared" si="769"/>
        <v>0</v>
      </c>
      <c r="O3188" s="336">
        <v>0</v>
      </c>
      <c r="P3188" s="258">
        <f t="shared" si="770"/>
        <v>0</v>
      </c>
      <c r="Q3188" s="366"/>
      <c r="R3188" s="249">
        <v>1.5000000000000002</v>
      </c>
      <c r="S3188" s="377">
        <v>0.2</v>
      </c>
      <c r="T3188" s="377"/>
      <c r="U3188" s="315">
        <f t="shared" si="773"/>
        <v>1.8000000000000003</v>
      </c>
      <c r="V3188" s="315">
        <f t="shared" si="774"/>
        <v>2</v>
      </c>
      <c r="W3188" s="316">
        <f t="shared" si="771"/>
        <v>0</v>
      </c>
      <c r="AA3188" s="205"/>
    </row>
    <row r="3189" spans="1:27" x14ac:dyDescent="0.25">
      <c r="A3189" s="210" t="s">
        <v>18755</v>
      </c>
      <c r="B3189" s="343" t="s">
        <v>18756</v>
      </c>
      <c r="C3189" s="383"/>
      <c r="D3189" s="344" t="s">
        <v>11</v>
      </c>
      <c r="E3189" s="249">
        <f t="shared" si="763"/>
        <v>270.79000000000002</v>
      </c>
      <c r="F3189" s="384">
        <v>0.38684285714285715</v>
      </c>
      <c r="G3189" s="258">
        <f t="shared" si="764"/>
        <v>0.38684285714285715</v>
      </c>
      <c r="H3189" s="249">
        <f t="shared" si="765"/>
        <v>315.08</v>
      </c>
      <c r="I3189" s="385">
        <v>0.45011428571428569</v>
      </c>
      <c r="J3189" s="258">
        <f t="shared" si="766"/>
        <v>0.45011428571428569</v>
      </c>
      <c r="K3189" s="249">
        <f t="shared" si="767"/>
        <v>79.13</v>
      </c>
      <c r="L3189" s="386">
        <v>0.11304285714285714</v>
      </c>
      <c r="M3189" s="258">
        <f t="shared" si="768"/>
        <v>0.11304285714285714</v>
      </c>
      <c r="N3189" s="251">
        <f t="shared" si="769"/>
        <v>35</v>
      </c>
      <c r="O3189" s="385">
        <v>0.05</v>
      </c>
      <c r="P3189" s="258">
        <f t="shared" si="770"/>
        <v>0.05</v>
      </c>
      <c r="Q3189" s="366"/>
      <c r="R3189" s="249">
        <v>700</v>
      </c>
      <c r="S3189" s="377">
        <v>0.2</v>
      </c>
      <c r="T3189" s="377"/>
      <c r="U3189" s="315">
        <f t="shared" si="773"/>
        <v>840</v>
      </c>
      <c r="V3189" s="315">
        <f t="shared" si="774"/>
        <v>840</v>
      </c>
      <c r="W3189" s="316">
        <f t="shared" si="771"/>
        <v>0</v>
      </c>
      <c r="AA3189" s="205"/>
    </row>
    <row r="3190" spans="1:27" x14ac:dyDescent="0.25">
      <c r="A3190" s="210" t="s">
        <v>18757</v>
      </c>
      <c r="B3190" s="343" t="s">
        <v>22677</v>
      </c>
      <c r="C3190" s="383"/>
      <c r="D3190" s="344" t="s">
        <v>11</v>
      </c>
      <c r="E3190" s="249">
        <f t="shared" si="763"/>
        <v>18.579999999999998</v>
      </c>
      <c r="F3190" s="384">
        <v>0.40541130264019198</v>
      </c>
      <c r="G3190" s="258">
        <f t="shared" si="764"/>
        <v>0.40541130264019198</v>
      </c>
      <c r="H3190" s="249">
        <f t="shared" si="765"/>
        <v>17.5</v>
      </c>
      <c r="I3190" s="385">
        <v>0.3818459524329042</v>
      </c>
      <c r="J3190" s="258">
        <f t="shared" si="766"/>
        <v>0.3818459524329042</v>
      </c>
      <c r="K3190" s="249">
        <f t="shared" si="767"/>
        <v>7.25</v>
      </c>
      <c r="L3190" s="386">
        <v>0.15819332315077461</v>
      </c>
      <c r="M3190" s="258">
        <f t="shared" si="768"/>
        <v>0.15819332315077461</v>
      </c>
      <c r="N3190" s="251">
        <f t="shared" si="769"/>
        <v>2.5</v>
      </c>
      <c r="O3190" s="385">
        <v>5.4549421776129176E-2</v>
      </c>
      <c r="P3190" s="258">
        <f t="shared" si="770"/>
        <v>5.4549421776129176E-2</v>
      </c>
      <c r="Q3190" s="366"/>
      <c r="R3190" s="249">
        <v>45.83</v>
      </c>
      <c r="S3190" s="377">
        <v>0.2</v>
      </c>
      <c r="T3190" s="377"/>
      <c r="U3190" s="315">
        <f t="shared" si="773"/>
        <v>54.995999999999995</v>
      </c>
      <c r="V3190" s="315">
        <f t="shared" si="774"/>
        <v>55</v>
      </c>
      <c r="W3190" s="316">
        <f t="shared" si="771"/>
        <v>0</v>
      </c>
      <c r="AA3190" s="205"/>
    </row>
    <row r="3191" spans="1:27" x14ac:dyDescent="0.25">
      <c r="A3191" s="210" t="s">
        <v>18758</v>
      </c>
      <c r="B3191" s="343" t="s">
        <v>22678</v>
      </c>
      <c r="C3191" s="383"/>
      <c r="D3191" s="344" t="s">
        <v>18759</v>
      </c>
      <c r="E3191" s="249">
        <f t="shared" si="763"/>
        <v>3288.95</v>
      </c>
      <c r="F3191" s="384">
        <v>0.44345403223686114</v>
      </c>
      <c r="G3191" s="258">
        <f t="shared" si="764"/>
        <v>0.44345403223686114</v>
      </c>
      <c r="H3191" s="249">
        <f t="shared" si="765"/>
        <v>2727.125</v>
      </c>
      <c r="I3191" s="385">
        <v>0.3677023298207483</v>
      </c>
      <c r="J3191" s="258">
        <f t="shared" si="766"/>
        <v>0.3677023298207483</v>
      </c>
      <c r="K3191" s="249">
        <f t="shared" si="767"/>
        <v>875.59</v>
      </c>
      <c r="L3191" s="386">
        <v>0.11805710518137195</v>
      </c>
      <c r="M3191" s="258">
        <f t="shared" si="768"/>
        <v>0.11805710518137195</v>
      </c>
      <c r="N3191" s="251">
        <f t="shared" si="769"/>
        <v>525</v>
      </c>
      <c r="O3191" s="385">
        <v>7.0786532761018595E-2</v>
      </c>
      <c r="P3191" s="258">
        <f t="shared" si="770"/>
        <v>7.0786532761018595E-2</v>
      </c>
      <c r="Q3191" s="366"/>
      <c r="R3191" s="249">
        <v>7416.665</v>
      </c>
      <c r="S3191" s="377">
        <v>0.2</v>
      </c>
      <c r="T3191" s="377"/>
      <c r="U3191" s="315">
        <f t="shared" si="773"/>
        <v>8899.9979999999996</v>
      </c>
      <c r="V3191" s="315">
        <f t="shared" si="774"/>
        <v>8900</v>
      </c>
      <c r="W3191" s="316">
        <f t="shared" si="771"/>
        <v>0</v>
      </c>
      <c r="AA3191" s="205"/>
    </row>
    <row r="3192" spans="1:27" x14ac:dyDescent="0.25">
      <c r="A3192" s="210" t="s">
        <v>18760</v>
      </c>
      <c r="B3192" s="387" t="s">
        <v>22679</v>
      </c>
      <c r="C3192" s="388"/>
      <c r="D3192" s="329" t="s">
        <v>11</v>
      </c>
      <c r="E3192" s="249">
        <f t="shared" si="763"/>
        <v>0</v>
      </c>
      <c r="F3192" s="336"/>
      <c r="G3192" s="258">
        <f t="shared" si="764"/>
        <v>0</v>
      </c>
      <c r="H3192" s="249">
        <f t="shared" si="765"/>
        <v>0</v>
      </c>
      <c r="I3192" s="336"/>
      <c r="J3192" s="258">
        <f t="shared" si="766"/>
        <v>0</v>
      </c>
      <c r="K3192" s="249">
        <f t="shared" si="767"/>
        <v>0</v>
      </c>
      <c r="L3192" s="336"/>
      <c r="M3192" s="258">
        <f t="shared" si="768"/>
        <v>0</v>
      </c>
      <c r="N3192" s="251">
        <f t="shared" si="769"/>
        <v>0</v>
      </c>
      <c r="O3192" s="336"/>
      <c r="P3192" s="258">
        <f t="shared" si="770"/>
        <v>0</v>
      </c>
      <c r="Q3192" s="366"/>
      <c r="R3192" s="249">
        <f t="shared" si="762"/>
        <v>0</v>
      </c>
      <c r="S3192" s="367">
        <v>0.2</v>
      </c>
      <c r="T3192" s="367"/>
      <c r="U3192" s="315">
        <f t="shared" si="773"/>
        <v>0</v>
      </c>
      <c r="V3192" s="315">
        <f t="shared" si="774"/>
        <v>0</v>
      </c>
      <c r="W3192" s="316">
        <f t="shared" si="771"/>
        <v>0</v>
      </c>
      <c r="AA3192" s="205"/>
    </row>
    <row r="3193" spans="1:27" x14ac:dyDescent="0.25">
      <c r="A3193" s="210" t="s">
        <v>18761</v>
      </c>
      <c r="B3193" s="343" t="s">
        <v>18762</v>
      </c>
      <c r="C3193" s="383"/>
      <c r="D3193" s="344" t="s">
        <v>2</v>
      </c>
      <c r="E3193" s="249">
        <f t="shared" si="763"/>
        <v>0.77</v>
      </c>
      <c r="F3193" s="384">
        <v>0.48734177215189872</v>
      </c>
      <c r="G3193" s="258">
        <f t="shared" si="764"/>
        <v>0.48734177215189872</v>
      </c>
      <c r="H3193" s="249">
        <f t="shared" si="765"/>
        <v>0.46</v>
      </c>
      <c r="I3193" s="385">
        <v>0.29113924050632911</v>
      </c>
      <c r="J3193" s="258">
        <f t="shared" si="766"/>
        <v>0.29113924050632911</v>
      </c>
      <c r="K3193" s="249">
        <f t="shared" si="767"/>
        <v>0.24999999999999997</v>
      </c>
      <c r="L3193" s="386">
        <v>0.15822784810126581</v>
      </c>
      <c r="M3193" s="258">
        <f t="shared" si="768"/>
        <v>0.15822784810126581</v>
      </c>
      <c r="N3193" s="251">
        <f t="shared" si="769"/>
        <v>0.1</v>
      </c>
      <c r="O3193" s="385">
        <v>6.3291139240506333E-2</v>
      </c>
      <c r="P3193" s="258">
        <f t="shared" si="770"/>
        <v>6.3291139240506333E-2</v>
      </c>
      <c r="Q3193" s="366"/>
      <c r="R3193" s="249">
        <v>1.58</v>
      </c>
      <c r="S3193" s="367">
        <v>0.2</v>
      </c>
      <c r="T3193" s="367"/>
      <c r="U3193" s="315">
        <f t="shared" si="773"/>
        <v>1.8960000000000001</v>
      </c>
      <c r="V3193" s="315">
        <f t="shared" si="774"/>
        <v>2</v>
      </c>
      <c r="W3193" s="316">
        <f t="shared" si="771"/>
        <v>0</v>
      </c>
      <c r="AA3193" s="205"/>
    </row>
    <row r="3194" spans="1:27" x14ac:dyDescent="0.25">
      <c r="A3194" s="210" t="s">
        <v>18763</v>
      </c>
      <c r="B3194" s="343" t="s">
        <v>18764</v>
      </c>
      <c r="C3194" s="383"/>
      <c r="D3194" s="344" t="s">
        <v>2</v>
      </c>
      <c r="E3194" s="249">
        <f t="shared" si="763"/>
        <v>2.96</v>
      </c>
      <c r="F3194" s="384">
        <v>0.43851851851851853</v>
      </c>
      <c r="G3194" s="258">
        <f t="shared" si="764"/>
        <v>0.43851851851851853</v>
      </c>
      <c r="H3194" s="249">
        <f t="shared" si="765"/>
        <v>3.12</v>
      </c>
      <c r="I3194" s="385">
        <v>0.46222222222222226</v>
      </c>
      <c r="J3194" s="258">
        <f t="shared" si="766"/>
        <v>0.46222222222222226</v>
      </c>
      <c r="K3194" s="249">
        <f t="shared" si="767"/>
        <v>0.47</v>
      </c>
      <c r="L3194" s="386">
        <v>6.9629629629629625E-2</v>
      </c>
      <c r="M3194" s="258">
        <f t="shared" si="768"/>
        <v>6.9629629629629625E-2</v>
      </c>
      <c r="N3194" s="251">
        <f t="shared" si="769"/>
        <v>0.2</v>
      </c>
      <c r="O3194" s="385">
        <v>2.9629629629629631E-2</v>
      </c>
      <c r="P3194" s="258">
        <f t="shared" si="770"/>
        <v>2.9629629629629631E-2</v>
      </c>
      <c r="Q3194" s="366"/>
      <c r="R3194" s="249">
        <v>6.75</v>
      </c>
      <c r="S3194" s="367">
        <v>0.2</v>
      </c>
      <c r="T3194" s="367"/>
      <c r="U3194" s="315">
        <f t="shared" si="773"/>
        <v>8.1</v>
      </c>
      <c r="V3194" s="315">
        <f t="shared" si="774"/>
        <v>9</v>
      </c>
      <c r="W3194" s="316">
        <f t="shared" si="771"/>
        <v>0</v>
      </c>
      <c r="AA3194" s="205"/>
    </row>
    <row r="3195" spans="1:27" x14ac:dyDescent="0.25">
      <c r="A3195" s="210" t="s">
        <v>18765</v>
      </c>
      <c r="B3195" s="343" t="s">
        <v>18766</v>
      </c>
      <c r="C3195" s="383"/>
      <c r="D3195" s="344" t="s">
        <v>11</v>
      </c>
      <c r="E3195" s="249">
        <f t="shared" si="763"/>
        <v>510.49999999999994</v>
      </c>
      <c r="F3195" s="384">
        <v>0.51049999999999995</v>
      </c>
      <c r="G3195" s="258">
        <f t="shared" si="764"/>
        <v>0.51049999999999995</v>
      </c>
      <c r="H3195" s="249">
        <f t="shared" si="765"/>
        <v>467.5</v>
      </c>
      <c r="I3195" s="385">
        <v>0.46750000000000003</v>
      </c>
      <c r="J3195" s="258">
        <f t="shared" si="766"/>
        <v>0.46750000000000003</v>
      </c>
      <c r="K3195" s="249">
        <f t="shared" si="767"/>
        <v>12</v>
      </c>
      <c r="L3195" s="386">
        <v>1.2E-2</v>
      </c>
      <c r="M3195" s="258">
        <f t="shared" si="768"/>
        <v>1.2E-2</v>
      </c>
      <c r="N3195" s="251">
        <f t="shared" si="769"/>
        <v>10</v>
      </c>
      <c r="O3195" s="385">
        <v>0.01</v>
      </c>
      <c r="P3195" s="258">
        <f t="shared" si="770"/>
        <v>0.01</v>
      </c>
      <c r="Q3195" s="366"/>
      <c r="R3195" s="249">
        <v>1000</v>
      </c>
      <c r="S3195" s="377">
        <v>0.2</v>
      </c>
      <c r="T3195" s="377"/>
      <c r="U3195" s="315">
        <f t="shared" si="773"/>
        <v>1200</v>
      </c>
      <c r="V3195" s="315">
        <f t="shared" si="774"/>
        <v>1200</v>
      </c>
      <c r="W3195" s="316">
        <f t="shared" si="771"/>
        <v>0</v>
      </c>
      <c r="AA3195" s="205"/>
    </row>
    <row r="3196" spans="1:27" x14ac:dyDescent="0.25">
      <c r="A3196" s="210" t="s">
        <v>18767</v>
      </c>
      <c r="B3196" s="343" t="s">
        <v>18768</v>
      </c>
      <c r="C3196" s="383"/>
      <c r="D3196" s="344" t="s">
        <v>11</v>
      </c>
      <c r="E3196" s="249">
        <f t="shared" si="763"/>
        <v>325</v>
      </c>
      <c r="F3196" s="384">
        <v>0.50583657587548636</v>
      </c>
      <c r="G3196" s="258">
        <f t="shared" si="764"/>
        <v>0.50583657587548636</v>
      </c>
      <c r="H3196" s="249">
        <f t="shared" si="765"/>
        <v>285</v>
      </c>
      <c r="I3196" s="385">
        <v>0.44357976653696496</v>
      </c>
      <c r="J3196" s="258">
        <f t="shared" si="766"/>
        <v>0.44357976653696496</v>
      </c>
      <c r="K3196" s="249">
        <f t="shared" si="767"/>
        <v>17.5</v>
      </c>
      <c r="L3196" s="386">
        <v>2.7237354085603113E-2</v>
      </c>
      <c r="M3196" s="258">
        <f t="shared" si="768"/>
        <v>2.7237354085603113E-2</v>
      </c>
      <c r="N3196" s="251">
        <f t="shared" si="769"/>
        <v>15</v>
      </c>
      <c r="O3196" s="385">
        <v>2.3346303501945526E-2</v>
      </c>
      <c r="P3196" s="258">
        <f t="shared" si="770"/>
        <v>2.3346303501945526E-2</v>
      </c>
      <c r="Q3196" s="366"/>
      <c r="R3196" s="249">
        <v>642.5</v>
      </c>
      <c r="S3196" s="377">
        <v>0.2</v>
      </c>
      <c r="T3196" s="377"/>
      <c r="U3196" s="315">
        <f t="shared" si="773"/>
        <v>771</v>
      </c>
      <c r="V3196" s="315">
        <f>IF(U3196=0, 0, IF(U3196&lt;10, _xlfn.CEILING.MATH(U3196,1), IF(U3196&lt;100, _xlfn.CEILING.MATH(U3196,1),IF(U3196&lt;1000, _xlfn.CEILING.MATH(U3196,1), IF(U3196&lt;10000, _xlfn.CEILING.MATH(U3196, 25), IF(U3196&lt;100000, _xlfn.CEILING.MATH(U3196,250), IF(U3196&lt;1000000, _xlfn.CEILING.MATH(U3196,500), 0)))))))</f>
        <v>771</v>
      </c>
      <c r="W3196" s="316">
        <f t="shared" si="771"/>
        <v>0</v>
      </c>
      <c r="AA3196" s="205"/>
    </row>
    <row r="3197" spans="1:27" x14ac:dyDescent="0.25">
      <c r="A3197" s="210" t="s">
        <v>18769</v>
      </c>
      <c r="B3197" s="343" t="s">
        <v>22680</v>
      </c>
      <c r="C3197" s="383"/>
      <c r="D3197" s="344" t="s">
        <v>11</v>
      </c>
      <c r="E3197" s="249">
        <f t="shared" si="763"/>
        <v>82.15</v>
      </c>
      <c r="F3197" s="384">
        <v>0.67988082429860131</v>
      </c>
      <c r="G3197" s="258">
        <f t="shared" si="764"/>
        <v>0.67988082429860131</v>
      </c>
      <c r="H3197" s="249">
        <f t="shared" si="765"/>
        <v>16.53</v>
      </c>
      <c r="I3197" s="389">
        <v>0.13680377389721096</v>
      </c>
      <c r="J3197" s="258">
        <f t="shared" si="766"/>
        <v>0.13680377389721096</v>
      </c>
      <c r="K3197" s="249">
        <f t="shared" si="767"/>
        <v>17.149999999999999</v>
      </c>
      <c r="L3197" s="386">
        <v>0.14193494992965319</v>
      </c>
      <c r="M3197" s="258">
        <f t="shared" si="768"/>
        <v>0.14193494992965319</v>
      </c>
      <c r="N3197" s="251">
        <f t="shared" si="769"/>
        <v>5</v>
      </c>
      <c r="O3197" s="385">
        <v>4.1380451874534464E-2</v>
      </c>
      <c r="P3197" s="258">
        <f t="shared" si="770"/>
        <v>4.1380451874534464E-2</v>
      </c>
      <c r="Q3197" s="366"/>
      <c r="R3197" s="249">
        <v>120.83000000000001</v>
      </c>
      <c r="S3197" s="377">
        <v>0.2</v>
      </c>
      <c r="T3197" s="377"/>
      <c r="U3197" s="315">
        <f t="shared" si="773"/>
        <v>144.99600000000001</v>
      </c>
      <c r="V3197" s="315">
        <f t="shared" si="774"/>
        <v>145</v>
      </c>
      <c r="W3197" s="316">
        <f t="shared" si="771"/>
        <v>0</v>
      </c>
      <c r="AA3197" s="205"/>
    </row>
    <row r="3198" spans="1:27" x14ac:dyDescent="0.25">
      <c r="A3198" s="210" t="s">
        <v>18770</v>
      </c>
      <c r="B3198" s="343" t="s">
        <v>18771</v>
      </c>
      <c r="C3198" s="383"/>
      <c r="D3198" s="344" t="s">
        <v>11</v>
      </c>
      <c r="E3198" s="249">
        <f t="shared" si="763"/>
        <v>29.499999999999996</v>
      </c>
      <c r="F3198" s="384">
        <v>0.64368317695832422</v>
      </c>
      <c r="G3198" s="258">
        <f t="shared" si="764"/>
        <v>0.64368317695832422</v>
      </c>
      <c r="H3198" s="249">
        <f t="shared" si="765"/>
        <v>4.83</v>
      </c>
      <c r="I3198" s="385">
        <v>0.10538948287148157</v>
      </c>
      <c r="J3198" s="258">
        <f t="shared" si="766"/>
        <v>0.10538948287148157</v>
      </c>
      <c r="K3198" s="249">
        <f t="shared" si="767"/>
        <v>10.25</v>
      </c>
      <c r="L3198" s="386">
        <v>0.22365262928212962</v>
      </c>
      <c r="M3198" s="258">
        <f t="shared" si="768"/>
        <v>0.22365262928212962</v>
      </c>
      <c r="N3198" s="251">
        <f t="shared" si="769"/>
        <v>1.25</v>
      </c>
      <c r="O3198" s="385">
        <v>2.7274710888064588E-2</v>
      </c>
      <c r="P3198" s="258">
        <f t="shared" si="770"/>
        <v>2.7274710888064588E-2</v>
      </c>
      <c r="Q3198" s="366"/>
      <c r="R3198" s="249">
        <v>45.83</v>
      </c>
      <c r="S3198" s="377">
        <v>0.2</v>
      </c>
      <c r="T3198" s="377"/>
      <c r="U3198" s="315">
        <f t="shared" si="773"/>
        <v>54.995999999999995</v>
      </c>
      <c r="V3198" s="315">
        <f t="shared" si="774"/>
        <v>55</v>
      </c>
      <c r="W3198" s="316">
        <f t="shared" si="771"/>
        <v>0</v>
      </c>
      <c r="AA3198" s="205"/>
    </row>
    <row r="3199" spans="1:27" x14ac:dyDescent="0.25">
      <c r="A3199" s="210" t="s">
        <v>18772</v>
      </c>
      <c r="B3199" s="343" t="s">
        <v>18773</v>
      </c>
      <c r="C3199" s="383"/>
      <c r="D3199" s="344" t="s">
        <v>11</v>
      </c>
      <c r="E3199" s="249">
        <f t="shared" si="763"/>
        <v>1.49</v>
      </c>
      <c r="F3199" s="384">
        <v>0.4768</v>
      </c>
      <c r="G3199" s="258">
        <f t="shared" si="764"/>
        <v>0.4768</v>
      </c>
      <c r="H3199" s="249">
        <f t="shared" si="765"/>
        <v>1.17</v>
      </c>
      <c r="I3199" s="385">
        <v>0.37439999999999996</v>
      </c>
      <c r="J3199" s="258">
        <f t="shared" si="766"/>
        <v>0.37439999999999996</v>
      </c>
      <c r="K3199" s="249">
        <f t="shared" si="767"/>
        <v>0.35</v>
      </c>
      <c r="L3199" s="386">
        <v>0.11199999999999999</v>
      </c>
      <c r="M3199" s="258">
        <f t="shared" si="768"/>
        <v>0.11199999999999999</v>
      </c>
      <c r="N3199" s="251">
        <f t="shared" si="769"/>
        <v>0.11499999999999999</v>
      </c>
      <c r="O3199" s="385">
        <v>3.6799999999999999E-2</v>
      </c>
      <c r="P3199" s="258">
        <f t="shared" si="770"/>
        <v>3.6799999999999999E-2</v>
      </c>
      <c r="Q3199" s="366"/>
      <c r="R3199" s="249">
        <v>3.125</v>
      </c>
      <c r="S3199" s="377">
        <v>0.2</v>
      </c>
      <c r="T3199" s="377"/>
      <c r="U3199" s="315">
        <f t="shared" si="773"/>
        <v>3.75</v>
      </c>
      <c r="V3199" s="315">
        <f t="shared" si="774"/>
        <v>4</v>
      </c>
      <c r="W3199" s="316">
        <f t="shared" si="771"/>
        <v>0</v>
      </c>
      <c r="AA3199" s="205"/>
    </row>
    <row r="3200" spans="1:27" x14ac:dyDescent="0.25">
      <c r="A3200" s="210" t="s">
        <v>18774</v>
      </c>
      <c r="B3200" s="343" t="s">
        <v>22681</v>
      </c>
      <c r="C3200" s="383"/>
      <c r="D3200" s="344" t="s">
        <v>18759</v>
      </c>
      <c r="E3200" s="249">
        <f t="shared" si="763"/>
        <v>29150</v>
      </c>
      <c r="F3200" s="384">
        <v>0.78209535553410947</v>
      </c>
      <c r="G3200" s="258">
        <f t="shared" si="764"/>
        <v>0.78209535553410947</v>
      </c>
      <c r="H3200" s="249">
        <f t="shared" si="765"/>
        <v>0</v>
      </c>
      <c r="I3200" s="385">
        <v>0</v>
      </c>
      <c r="J3200" s="258">
        <f t="shared" si="766"/>
        <v>0</v>
      </c>
      <c r="K3200" s="249">
        <f t="shared" si="767"/>
        <v>7821.67</v>
      </c>
      <c r="L3200" s="386">
        <v>0.20985563566107987</v>
      </c>
      <c r="M3200" s="258">
        <f t="shared" si="768"/>
        <v>0.20985563566107987</v>
      </c>
      <c r="N3200" s="251">
        <f t="shared" si="769"/>
        <v>300</v>
      </c>
      <c r="O3200" s="385">
        <v>8.0490088048107318E-3</v>
      </c>
      <c r="P3200" s="258">
        <f t="shared" si="770"/>
        <v>8.0490088048107318E-3</v>
      </c>
      <c r="Q3200" s="366"/>
      <c r="R3200" s="249">
        <v>37271.67</v>
      </c>
      <c r="S3200" s="377">
        <v>0.2</v>
      </c>
      <c r="T3200" s="377"/>
      <c r="U3200" s="315">
        <f t="shared" si="773"/>
        <v>44726.004000000001</v>
      </c>
      <c r="V3200" s="315">
        <f>IF(U3200=0, 0, IF(U3200&lt;10, _xlfn.CEILING.MATH(U3200,1), IF(U3200&lt;100, _xlfn.CEILING.MATH(U3200,1),IF(U3200&lt;1000, _xlfn.CEILING.MATH(U3200,5), IF(U3200&lt;10000, _xlfn.CEILING.MATH(U3200, 25), IF(U3200&lt;100000, _xlfn.CEILING.MATH(U3200,1), IF(U3200&lt;1000000, _xlfn.CEILING.MATH(U3200,500), 0)))))))</f>
        <v>44727</v>
      </c>
      <c r="W3200" s="316">
        <f t="shared" si="771"/>
        <v>0</v>
      </c>
      <c r="AA3200" s="205"/>
    </row>
    <row r="3201" spans="1:27" x14ac:dyDescent="0.25">
      <c r="A3201" s="210" t="s">
        <v>18775</v>
      </c>
      <c r="B3201" s="343" t="s">
        <v>18776</v>
      </c>
      <c r="C3201" s="383"/>
      <c r="D3201" s="344" t="s">
        <v>11</v>
      </c>
      <c r="E3201" s="249">
        <f t="shared" si="763"/>
        <v>298</v>
      </c>
      <c r="F3201" s="384">
        <v>0.38410476521918463</v>
      </c>
      <c r="G3201" s="258">
        <f t="shared" si="764"/>
        <v>0.38410476521918463</v>
      </c>
      <c r="H3201" s="249">
        <f t="shared" si="765"/>
        <v>312.33</v>
      </c>
      <c r="I3201" s="385">
        <v>0.40257530644599976</v>
      </c>
      <c r="J3201" s="258">
        <f t="shared" si="766"/>
        <v>0.40257530644599976</v>
      </c>
      <c r="K3201" s="249">
        <f t="shared" si="767"/>
        <v>155.5</v>
      </c>
      <c r="L3201" s="386">
        <v>0.20043050668316514</v>
      </c>
      <c r="M3201" s="258">
        <f t="shared" si="768"/>
        <v>0.20043050668316514</v>
      </c>
      <c r="N3201" s="251">
        <f t="shared" si="769"/>
        <v>10</v>
      </c>
      <c r="O3201" s="385">
        <v>1.2889421651650492E-2</v>
      </c>
      <c r="P3201" s="258">
        <f t="shared" si="770"/>
        <v>1.2889421651650492E-2</v>
      </c>
      <c r="Q3201" s="366"/>
      <c r="R3201" s="249">
        <v>775.82999999999993</v>
      </c>
      <c r="S3201" s="377">
        <v>0.2</v>
      </c>
      <c r="T3201" s="377"/>
      <c r="U3201" s="315">
        <f t="shared" si="773"/>
        <v>930.99599999999987</v>
      </c>
      <c r="V3201" s="315">
        <f>IF(U3201=0, 0, IF(U3201&lt;10, _xlfn.CEILING.MATH(U3201,1), IF(U3201&lt;100, _xlfn.CEILING.MATH(U3201,1),IF(U3201&lt;1000, _xlfn.CEILING.MATH(U3201,1), IF(U3201&lt;10000, _xlfn.CEILING.MATH(U3201, 25), IF(U3201&lt;100000, _xlfn.CEILING.MATH(U3201,250), IF(U3201&lt;1000000, _xlfn.CEILING.MATH(U3201,500), 0)))))))</f>
        <v>931</v>
      </c>
      <c r="W3201" s="316">
        <f t="shared" si="771"/>
        <v>0</v>
      </c>
      <c r="AA3201" s="205"/>
    </row>
    <row r="3202" spans="1:27" x14ac:dyDescent="0.25">
      <c r="A3202" s="210" t="s">
        <v>18777</v>
      </c>
      <c r="B3202" s="343" t="s">
        <v>18778</v>
      </c>
      <c r="C3202" s="383"/>
      <c r="D3202" s="344" t="s">
        <v>11</v>
      </c>
      <c r="E3202" s="249">
        <f t="shared" ref="E3202:E3266" si="775">R3202*G3202</f>
        <v>430.5</v>
      </c>
      <c r="F3202" s="384">
        <v>0.27924263947537409</v>
      </c>
      <c r="G3202" s="258">
        <f t="shared" ref="G3202:G3266" si="776">F3202</f>
        <v>0.27924263947537409</v>
      </c>
      <c r="H3202" s="249">
        <f t="shared" ref="H3202:H3266" si="777">R3202*J3202</f>
        <v>915</v>
      </c>
      <c r="I3202" s="385">
        <v>0.59351223024382649</v>
      </c>
      <c r="J3202" s="258">
        <f t="shared" ref="J3202:J3266" si="778">I3202</f>
        <v>0.59351223024382649</v>
      </c>
      <c r="K3202" s="249">
        <f t="shared" ref="K3202:K3266" si="779">R3202*M3202</f>
        <v>146.16999999999999</v>
      </c>
      <c r="L3202" s="386">
        <v>9.4812767972393561E-2</v>
      </c>
      <c r="M3202" s="258">
        <f t="shared" ref="M3202:M3266" si="780">L3202</f>
        <v>9.4812767972393561E-2</v>
      </c>
      <c r="N3202" s="251">
        <f t="shared" ref="N3202:N3266" si="781">P3202*R3202</f>
        <v>50.000000000000007</v>
      </c>
      <c r="O3202" s="385">
        <v>3.2432362308405821E-2</v>
      </c>
      <c r="P3202" s="258">
        <f t="shared" ref="P3202:P3266" si="782">O3202</f>
        <v>3.2432362308405821E-2</v>
      </c>
      <c r="Q3202" s="366"/>
      <c r="R3202" s="249">
        <v>1541.67</v>
      </c>
      <c r="S3202" s="377">
        <v>0.2</v>
      </c>
      <c r="T3202" s="377"/>
      <c r="U3202" s="315">
        <f t="shared" si="773"/>
        <v>1850.0040000000001</v>
      </c>
      <c r="V3202" s="315">
        <f t="shared" si="774"/>
        <v>1875</v>
      </c>
      <c r="W3202" s="316">
        <f t="shared" si="771"/>
        <v>0</v>
      </c>
      <c r="AA3202" s="205"/>
    </row>
    <row r="3203" spans="1:27" x14ac:dyDescent="0.25">
      <c r="A3203" s="210" t="s">
        <v>18779</v>
      </c>
      <c r="B3203" s="343" t="s">
        <v>18780</v>
      </c>
      <c r="C3203" s="383"/>
      <c r="D3203" s="344" t="s">
        <v>11</v>
      </c>
      <c r="E3203" s="249">
        <f t="shared" si="775"/>
        <v>691.17</v>
      </c>
      <c r="F3203" s="384">
        <v>0.3344365573603913</v>
      </c>
      <c r="G3203" s="258">
        <f t="shared" si="776"/>
        <v>0.3344365573603913</v>
      </c>
      <c r="H3203" s="249">
        <f t="shared" si="777"/>
        <v>1125</v>
      </c>
      <c r="I3203" s="385">
        <v>0.54435396071941822</v>
      </c>
      <c r="J3203" s="258">
        <f t="shared" si="778"/>
        <v>0.54435396071941822</v>
      </c>
      <c r="K3203" s="249">
        <f t="shared" si="779"/>
        <v>175.5</v>
      </c>
      <c r="L3203" s="386">
        <v>8.4919217872229238E-2</v>
      </c>
      <c r="M3203" s="258">
        <f t="shared" si="780"/>
        <v>8.4919217872229238E-2</v>
      </c>
      <c r="N3203" s="251">
        <f t="shared" si="781"/>
        <v>75</v>
      </c>
      <c r="O3203" s="385">
        <v>3.6290264047961214E-2</v>
      </c>
      <c r="P3203" s="258">
        <f t="shared" si="782"/>
        <v>3.6290264047961214E-2</v>
      </c>
      <c r="Q3203" s="366"/>
      <c r="R3203" s="249">
        <v>2066.67</v>
      </c>
      <c r="S3203" s="377">
        <v>0.2</v>
      </c>
      <c r="T3203" s="377"/>
      <c r="U3203" s="315">
        <f t="shared" si="773"/>
        <v>2480.0039999999999</v>
      </c>
      <c r="V3203" s="315">
        <f>IF(U3203=0, 0, IF(U3203&lt;10, _xlfn.CEILING.MATH(U3203,1), IF(U3203&lt;100, _xlfn.CEILING.MATH(U3203,1),IF(U3203&lt;1000, _xlfn.CEILING.MATH(U3203,5), IF(U3203&lt;10000, _xlfn.CEILING.MATH(U3203, 10), IF(U3203&lt;100000, _xlfn.CEILING.MATH(U3203,250), IF(U3203&lt;1000000, _xlfn.CEILING.MATH(U3203,500), 0)))))))</f>
        <v>2490</v>
      </c>
      <c r="W3203" s="316">
        <f t="shared" si="771"/>
        <v>0</v>
      </c>
      <c r="AA3203" s="205"/>
    </row>
    <row r="3204" spans="1:27" x14ac:dyDescent="0.25">
      <c r="A3204" s="210" t="s">
        <v>18781</v>
      </c>
      <c r="B3204" s="343" t="s">
        <v>18782</v>
      </c>
      <c r="C3204" s="383"/>
      <c r="D3204" s="344" t="s">
        <v>18759</v>
      </c>
      <c r="E3204" s="249">
        <f t="shared" si="775"/>
        <v>3129.0499999999997</v>
      </c>
      <c r="F3204" s="384">
        <v>0.5266280355522942</v>
      </c>
      <c r="G3204" s="258">
        <f t="shared" si="776"/>
        <v>0.5266280355522942</v>
      </c>
      <c r="H3204" s="249">
        <f t="shared" si="777"/>
        <v>1879.95</v>
      </c>
      <c r="I3204" s="385">
        <v>0.31640094451559914</v>
      </c>
      <c r="J3204" s="258">
        <f t="shared" si="778"/>
        <v>0.31640094451559914</v>
      </c>
      <c r="K3204" s="249">
        <f t="shared" si="779"/>
        <v>775.66999999999985</v>
      </c>
      <c r="L3204" s="386">
        <v>0.13054747234363401</v>
      </c>
      <c r="M3204" s="258">
        <f t="shared" si="780"/>
        <v>0.13054747234363401</v>
      </c>
      <c r="N3204" s="251">
        <f t="shared" si="781"/>
        <v>157</v>
      </c>
      <c r="O3204" s="385">
        <v>2.6423547588472599E-2</v>
      </c>
      <c r="P3204" s="258">
        <f t="shared" si="782"/>
        <v>2.6423547588472599E-2</v>
      </c>
      <c r="Q3204" s="366"/>
      <c r="R3204" s="249">
        <v>5941.67</v>
      </c>
      <c r="S3204" s="377">
        <v>0.2</v>
      </c>
      <c r="T3204" s="377"/>
      <c r="U3204" s="315">
        <f t="shared" si="773"/>
        <v>7130.0039999999999</v>
      </c>
      <c r="V3204" s="315">
        <f>IF(U3204=0, 0, IF(U3204&lt;10, _xlfn.CEILING.MATH(U3204,1), IF(U3204&lt;100, _xlfn.CEILING.MATH(U3204,1),IF(U3204&lt;1000, _xlfn.CEILING.MATH(U3204,5), IF(U3204&lt;10000, _xlfn.CEILING.MATH(U3204, 10), IF(U3204&lt;100000, _xlfn.CEILING.MATH(U3204,250), IF(U3204&lt;1000000, _xlfn.CEILING.MATH(U3204,500), 0)))))))</f>
        <v>7140</v>
      </c>
      <c r="W3204" s="316">
        <f t="shared" si="771"/>
        <v>0</v>
      </c>
      <c r="AA3204" s="205"/>
    </row>
    <row r="3205" spans="1:27" x14ac:dyDescent="0.25">
      <c r="A3205" s="210" t="s">
        <v>18783</v>
      </c>
      <c r="B3205" s="343" t="s">
        <v>18784</v>
      </c>
      <c r="C3205" s="383"/>
      <c r="D3205" s="344" t="s">
        <v>11</v>
      </c>
      <c r="E3205" s="249">
        <f t="shared" si="775"/>
        <v>95</v>
      </c>
      <c r="F3205" s="384">
        <v>0.34029444424544181</v>
      </c>
      <c r="G3205" s="258">
        <f t="shared" si="776"/>
        <v>0.34029444424544181</v>
      </c>
      <c r="H3205" s="249">
        <f t="shared" si="777"/>
        <v>117.5</v>
      </c>
      <c r="I3205" s="385">
        <v>0.42089049682988855</v>
      </c>
      <c r="J3205" s="258">
        <f t="shared" si="778"/>
        <v>0.42089049682988855</v>
      </c>
      <c r="K3205" s="249">
        <f t="shared" si="779"/>
        <v>27</v>
      </c>
      <c r="L3205" s="386">
        <v>9.6715263101336102E-2</v>
      </c>
      <c r="M3205" s="258">
        <f t="shared" si="780"/>
        <v>9.6715263101336102E-2</v>
      </c>
      <c r="N3205" s="251">
        <f t="shared" si="781"/>
        <v>39.67</v>
      </c>
      <c r="O3205" s="385">
        <v>0.14209979582333346</v>
      </c>
      <c r="P3205" s="258">
        <f t="shared" si="782"/>
        <v>0.14209979582333346</v>
      </c>
      <c r="Q3205" s="366"/>
      <c r="R3205" s="249">
        <v>279.17</v>
      </c>
      <c r="S3205" s="377">
        <v>0.2</v>
      </c>
      <c r="T3205" s="377"/>
      <c r="U3205" s="315">
        <f t="shared" si="773"/>
        <v>335.00400000000002</v>
      </c>
      <c r="V3205" s="315">
        <f t="shared" si="774"/>
        <v>340</v>
      </c>
      <c r="W3205" s="316">
        <f t="shared" ref="W3205:W3269" si="783">C3205*V3205</f>
        <v>0</v>
      </c>
      <c r="AA3205" s="205"/>
    </row>
    <row r="3206" spans="1:27" x14ac:dyDescent="0.25">
      <c r="A3206" s="210">
        <v>802310</v>
      </c>
      <c r="B3206" s="343" t="s">
        <v>18785</v>
      </c>
      <c r="C3206" s="383"/>
      <c r="D3206" s="344" t="s">
        <v>11</v>
      </c>
      <c r="E3206" s="249">
        <f t="shared" si="775"/>
        <v>418.75</v>
      </c>
      <c r="F3206" s="384">
        <v>0.36545560859813414</v>
      </c>
      <c r="G3206" s="258">
        <f t="shared" si="776"/>
        <v>0.36545560859813414</v>
      </c>
      <c r="H3206" s="249">
        <f t="shared" si="777"/>
        <v>643.75</v>
      </c>
      <c r="I3206" s="385">
        <v>0.56181981620310173</v>
      </c>
      <c r="J3206" s="258">
        <f t="shared" si="778"/>
        <v>0.56181981620310173</v>
      </c>
      <c r="K3206" s="249">
        <f t="shared" si="779"/>
        <v>51.08</v>
      </c>
      <c r="L3206" s="386">
        <v>4.4579038775385528E-2</v>
      </c>
      <c r="M3206" s="258">
        <f t="shared" si="780"/>
        <v>4.4579038775385528E-2</v>
      </c>
      <c r="N3206" s="251">
        <f t="shared" si="781"/>
        <v>32.25</v>
      </c>
      <c r="O3206" s="385">
        <v>2.8145536423378689E-2</v>
      </c>
      <c r="P3206" s="258">
        <f t="shared" si="782"/>
        <v>2.8145536423378689E-2</v>
      </c>
      <c r="Q3206" s="366"/>
      <c r="R3206" s="249">
        <v>1145.83</v>
      </c>
      <c r="S3206" s="377">
        <v>0.2</v>
      </c>
      <c r="T3206" s="377"/>
      <c r="U3206" s="315">
        <f t="shared" si="773"/>
        <v>1374.9959999999999</v>
      </c>
      <c r="V3206" s="315">
        <f t="shared" si="774"/>
        <v>1375</v>
      </c>
      <c r="W3206" s="316">
        <f t="shared" si="783"/>
        <v>0</v>
      </c>
      <c r="AA3206" s="205"/>
    </row>
    <row r="3207" spans="1:27" x14ac:dyDescent="0.25">
      <c r="A3207" s="210" t="s">
        <v>18786</v>
      </c>
      <c r="B3207" s="343" t="s">
        <v>18787</v>
      </c>
      <c r="C3207" s="383"/>
      <c r="D3207" s="344" t="s">
        <v>18759</v>
      </c>
      <c r="E3207" s="249">
        <f t="shared" si="775"/>
        <v>2325</v>
      </c>
      <c r="F3207" s="384">
        <v>0.41954861982037905</v>
      </c>
      <c r="G3207" s="258">
        <f t="shared" si="776"/>
        <v>0.41954861982037905</v>
      </c>
      <c r="H3207" s="249">
        <f t="shared" si="777"/>
        <v>1725.5</v>
      </c>
      <c r="I3207" s="385">
        <v>0.31136823376346839</v>
      </c>
      <c r="J3207" s="258">
        <f t="shared" si="778"/>
        <v>0.31136823376346839</v>
      </c>
      <c r="K3207" s="249">
        <f t="shared" si="779"/>
        <v>1145.67</v>
      </c>
      <c r="L3207" s="386">
        <v>0.20673731925574781</v>
      </c>
      <c r="M3207" s="258">
        <f t="shared" si="780"/>
        <v>0.20673731925574781</v>
      </c>
      <c r="N3207" s="251">
        <f t="shared" si="781"/>
        <v>345.5</v>
      </c>
      <c r="O3207" s="385">
        <v>6.2345827160404717E-2</v>
      </c>
      <c r="P3207" s="258">
        <f t="shared" si="782"/>
        <v>6.2345827160404717E-2</v>
      </c>
      <c r="Q3207" s="366"/>
      <c r="R3207" s="249">
        <v>5541.67</v>
      </c>
      <c r="S3207" s="377">
        <v>0.2</v>
      </c>
      <c r="T3207" s="377"/>
      <c r="U3207" s="315">
        <f t="shared" si="773"/>
        <v>6650.0039999999999</v>
      </c>
      <c r="V3207" s="315">
        <f t="shared" si="774"/>
        <v>6675</v>
      </c>
      <c r="W3207" s="316">
        <f t="shared" si="783"/>
        <v>0</v>
      </c>
      <c r="AA3207" s="205"/>
    </row>
    <row r="3208" spans="1:27" x14ac:dyDescent="0.25">
      <c r="A3208" s="210" t="s">
        <v>18775</v>
      </c>
      <c r="B3208" s="343" t="s">
        <v>18788</v>
      </c>
      <c r="C3208" s="383"/>
      <c r="D3208" s="344" t="s">
        <v>11</v>
      </c>
      <c r="E3208" s="249">
        <f t="shared" si="775"/>
        <v>7167.5</v>
      </c>
      <c r="F3208" s="384">
        <v>0.57378236857041531</v>
      </c>
      <c r="G3208" s="258">
        <f t="shared" si="776"/>
        <v>0.57378236857041531</v>
      </c>
      <c r="H3208" s="249">
        <f t="shared" si="777"/>
        <v>3474.17</v>
      </c>
      <c r="I3208" s="389">
        <v>0.27811893846059016</v>
      </c>
      <c r="J3208" s="258">
        <f t="shared" si="778"/>
        <v>0.27811893846059016</v>
      </c>
      <c r="K3208" s="249">
        <f t="shared" si="779"/>
        <v>1375</v>
      </c>
      <c r="L3208" s="386">
        <v>0.11007335288236081</v>
      </c>
      <c r="M3208" s="258">
        <f t="shared" si="780"/>
        <v>0.11007335288236081</v>
      </c>
      <c r="N3208" s="251">
        <f t="shared" si="781"/>
        <v>475</v>
      </c>
      <c r="O3208" s="385">
        <v>3.8025340086633733E-2</v>
      </c>
      <c r="P3208" s="258">
        <f t="shared" si="782"/>
        <v>3.8025340086633733E-2</v>
      </c>
      <c r="Q3208" s="366"/>
      <c r="R3208" s="249">
        <v>12491.67</v>
      </c>
      <c r="S3208" s="377">
        <v>0.2</v>
      </c>
      <c r="T3208" s="377"/>
      <c r="U3208" s="315">
        <f t="shared" si="773"/>
        <v>14990.004000000001</v>
      </c>
      <c r="V3208" s="315">
        <f>IF(U3208=0, 0, IF(U3208&lt;10, _xlfn.CEILING.MATH(U3208,1), IF(U3208&lt;100, _xlfn.CEILING.MATH(U3208,1),IF(U3208&lt;1000, _xlfn.CEILING.MATH(U3208,5), IF(U3208&lt;10000, _xlfn.CEILING.MATH(U3208, 25), IF(U3208&lt;100000, _xlfn.CEILING.MATH(U3208,10), IF(U3208&lt;1000000, _xlfn.CEILING.MATH(U3208,500), 0)))))))</f>
        <v>15000</v>
      </c>
      <c r="W3208" s="316">
        <f t="shared" si="783"/>
        <v>0</v>
      </c>
      <c r="AA3208" s="205"/>
    </row>
    <row r="3209" spans="1:27" ht="14.4" thickBot="1" x14ac:dyDescent="0.3">
      <c r="A3209" s="415" t="s">
        <v>18789</v>
      </c>
      <c r="B3209" s="414" t="s">
        <v>18790</v>
      </c>
      <c r="C3209" s="416"/>
      <c r="D3209" s="379" t="s">
        <v>2</v>
      </c>
      <c r="E3209" s="266">
        <f t="shared" si="775"/>
        <v>0.27</v>
      </c>
      <c r="F3209" s="417">
        <v>0.58695652173913049</v>
      </c>
      <c r="G3209" s="322">
        <f t="shared" si="776"/>
        <v>0.58695652173913049</v>
      </c>
      <c r="H3209" s="266">
        <f t="shared" si="777"/>
        <v>0.12</v>
      </c>
      <c r="I3209" s="418">
        <v>0.2608695652173913</v>
      </c>
      <c r="J3209" s="322">
        <f t="shared" si="778"/>
        <v>0.2608695652173913</v>
      </c>
      <c r="K3209" s="266">
        <f t="shared" si="779"/>
        <v>0.05</v>
      </c>
      <c r="L3209" s="419">
        <v>0.10869565217391304</v>
      </c>
      <c r="M3209" s="322">
        <f t="shared" si="780"/>
        <v>0.10869565217391304</v>
      </c>
      <c r="N3209" s="270">
        <f t="shared" si="781"/>
        <v>0.02</v>
      </c>
      <c r="O3209" s="420">
        <v>4.3478260869565216E-2</v>
      </c>
      <c r="P3209" s="322">
        <f t="shared" si="782"/>
        <v>4.3478260869565216E-2</v>
      </c>
      <c r="Q3209" s="372"/>
      <c r="R3209" s="266">
        <v>0.46</v>
      </c>
      <c r="S3209" s="382">
        <v>0.2</v>
      </c>
      <c r="T3209" s="382"/>
      <c r="U3209" s="324">
        <f t="shared" si="773"/>
        <v>0.55200000000000005</v>
      </c>
      <c r="V3209" s="324">
        <f t="shared" si="774"/>
        <v>1</v>
      </c>
      <c r="W3209" s="325">
        <f t="shared" si="783"/>
        <v>0</v>
      </c>
      <c r="AA3209" s="205"/>
    </row>
    <row r="3210" spans="1:27" x14ac:dyDescent="0.25">
      <c r="A3210" s="210" t="s">
        <v>18779</v>
      </c>
      <c r="B3210" s="343" t="s">
        <v>18791</v>
      </c>
      <c r="C3210" s="383"/>
      <c r="D3210" s="344" t="s">
        <v>11</v>
      </c>
      <c r="E3210" s="249">
        <f>R3210*G3210</f>
        <v>73.7</v>
      </c>
      <c r="F3210" s="384">
        <v>0.58960000000000001</v>
      </c>
      <c r="G3210" s="258">
        <f>F3210</f>
        <v>0.58960000000000001</v>
      </c>
      <c r="H3210" s="249">
        <f>R3210*J3210</f>
        <v>22.5</v>
      </c>
      <c r="I3210" s="389">
        <v>0.18</v>
      </c>
      <c r="J3210" s="258">
        <f>I3210</f>
        <v>0.18</v>
      </c>
      <c r="K3210" s="249">
        <f>R3210*M3210</f>
        <v>27.55</v>
      </c>
      <c r="L3210" s="386">
        <v>0.22040000000000001</v>
      </c>
      <c r="M3210" s="258">
        <f>L3210</f>
        <v>0.22040000000000001</v>
      </c>
      <c r="N3210" s="251">
        <f>P3210*R3210</f>
        <v>1.25</v>
      </c>
      <c r="O3210" s="385">
        <v>0.01</v>
      </c>
      <c r="P3210" s="258">
        <f>O3210</f>
        <v>0.01</v>
      </c>
      <c r="Q3210" s="366"/>
      <c r="R3210" s="249">
        <v>125</v>
      </c>
      <c r="S3210" s="377">
        <v>0.2</v>
      </c>
      <c r="T3210" s="377"/>
      <c r="U3210" s="315">
        <f>(R3210*S3210)+R3210</f>
        <v>150</v>
      </c>
      <c r="V3210" s="315">
        <f>IF(U3210=0, 0, IF(U3210&lt;10, _xlfn.CEILING.MATH(U3210,1), IF(U3210&lt;100, _xlfn.CEILING.MATH(U3210,1),IF(U3210&lt;1000, _xlfn.CEILING.MATH(U3210,5), IF(U3210&lt;10000, _xlfn.CEILING.MATH(U3210, 25), IF(U3210&lt;100000, _xlfn.CEILING.MATH(U3210,250), IF(U3210&lt;1000000, _xlfn.CEILING.MATH(U3210,500), 0)))))))</f>
        <v>150</v>
      </c>
      <c r="W3210" s="316">
        <f>C3210*V3210</f>
        <v>0</v>
      </c>
      <c r="AA3210" s="205"/>
    </row>
    <row r="3211" spans="1:27" x14ac:dyDescent="0.25">
      <c r="A3211" s="210" t="s">
        <v>18792</v>
      </c>
      <c r="B3211" s="343" t="s">
        <v>18793</v>
      </c>
      <c r="C3211" s="383"/>
      <c r="D3211" s="344" t="s">
        <v>11</v>
      </c>
      <c r="E3211" s="249">
        <f t="shared" si="775"/>
        <v>97.55</v>
      </c>
      <c r="F3211" s="384">
        <v>0.43355555555555553</v>
      </c>
      <c r="G3211" s="258">
        <f t="shared" si="776"/>
        <v>0.43355555555555553</v>
      </c>
      <c r="H3211" s="249">
        <f t="shared" si="777"/>
        <v>92.5</v>
      </c>
      <c r="I3211" s="389">
        <v>0.41111111111111109</v>
      </c>
      <c r="J3211" s="258">
        <f t="shared" si="778"/>
        <v>0.41111111111111109</v>
      </c>
      <c r="K3211" s="249">
        <f t="shared" si="779"/>
        <v>29.45</v>
      </c>
      <c r="L3211" s="386">
        <v>0.13088888888888889</v>
      </c>
      <c r="M3211" s="258">
        <f t="shared" si="780"/>
        <v>0.13088888888888889</v>
      </c>
      <c r="N3211" s="251">
        <f t="shared" si="781"/>
        <v>5.5</v>
      </c>
      <c r="O3211" s="385">
        <v>2.4444444444444446E-2</v>
      </c>
      <c r="P3211" s="258">
        <f t="shared" si="782"/>
        <v>2.4444444444444446E-2</v>
      </c>
      <c r="Q3211" s="366"/>
      <c r="R3211" s="249">
        <v>225</v>
      </c>
      <c r="S3211" s="377">
        <v>0.2</v>
      </c>
      <c r="T3211" s="377"/>
      <c r="U3211" s="315">
        <f t="shared" si="773"/>
        <v>270</v>
      </c>
      <c r="V3211" s="315">
        <f t="shared" si="774"/>
        <v>270</v>
      </c>
      <c r="W3211" s="316">
        <f t="shared" si="783"/>
        <v>0</v>
      </c>
      <c r="AA3211" s="205"/>
    </row>
    <row r="3212" spans="1:27" x14ac:dyDescent="0.25">
      <c r="A3212" s="210" t="s">
        <v>18794</v>
      </c>
      <c r="B3212" s="343" t="s">
        <v>18795</v>
      </c>
      <c r="C3212" s="383"/>
      <c r="D3212" s="344" t="s">
        <v>11</v>
      </c>
      <c r="E3212" s="249">
        <f t="shared" si="775"/>
        <v>30.03</v>
      </c>
      <c r="F3212" s="384">
        <v>0.65524765437486365</v>
      </c>
      <c r="G3212" s="258">
        <f t="shared" si="776"/>
        <v>0.65524765437486365</v>
      </c>
      <c r="H3212" s="249">
        <f t="shared" si="777"/>
        <v>10.050000000000001</v>
      </c>
      <c r="I3212" s="389">
        <v>0.21928867554003931</v>
      </c>
      <c r="J3212" s="258">
        <f t="shared" si="778"/>
        <v>0.21928867554003931</v>
      </c>
      <c r="K3212" s="249">
        <f t="shared" si="779"/>
        <v>4.5</v>
      </c>
      <c r="L3212" s="386">
        <v>9.8188959197032522E-2</v>
      </c>
      <c r="M3212" s="258">
        <f t="shared" si="780"/>
        <v>9.8188959197032522E-2</v>
      </c>
      <c r="N3212" s="251">
        <f t="shared" si="781"/>
        <v>1.25</v>
      </c>
      <c r="O3212" s="389">
        <v>2.7274710888064588E-2</v>
      </c>
      <c r="P3212" s="258">
        <f t="shared" si="782"/>
        <v>2.7274710888064588E-2</v>
      </c>
      <c r="Q3212" s="366"/>
      <c r="R3212" s="249">
        <v>45.83</v>
      </c>
      <c r="S3212" s="390">
        <v>0.2</v>
      </c>
      <c r="T3212" s="377"/>
      <c r="U3212" s="315">
        <f t="shared" si="773"/>
        <v>54.995999999999995</v>
      </c>
      <c r="V3212" s="315">
        <f t="shared" si="774"/>
        <v>55</v>
      </c>
      <c r="W3212" s="316">
        <f t="shared" si="783"/>
        <v>0</v>
      </c>
      <c r="AA3212" s="205"/>
    </row>
    <row r="3213" spans="1:27" x14ac:dyDescent="0.25">
      <c r="A3213" s="210" t="s">
        <v>18796</v>
      </c>
      <c r="B3213" s="343" t="s">
        <v>22682</v>
      </c>
      <c r="C3213" s="383"/>
      <c r="D3213" s="344" t="s">
        <v>3</v>
      </c>
      <c r="E3213" s="249">
        <f t="shared" si="775"/>
        <v>17</v>
      </c>
      <c r="F3213" s="384">
        <v>0.4</v>
      </c>
      <c r="G3213" s="258">
        <f t="shared" si="776"/>
        <v>0.4</v>
      </c>
      <c r="H3213" s="249">
        <f t="shared" si="777"/>
        <v>5.15</v>
      </c>
      <c r="I3213" s="385">
        <v>0.1211764705882353</v>
      </c>
      <c r="J3213" s="258">
        <f t="shared" si="778"/>
        <v>0.1211764705882353</v>
      </c>
      <c r="K3213" s="249">
        <f t="shared" si="779"/>
        <v>16.2</v>
      </c>
      <c r="L3213" s="386">
        <v>0.38117647058823528</v>
      </c>
      <c r="M3213" s="258">
        <f t="shared" si="780"/>
        <v>0.38117647058823528</v>
      </c>
      <c r="N3213" s="251">
        <f t="shared" si="781"/>
        <v>4.1500000000000004</v>
      </c>
      <c r="O3213" s="385">
        <v>9.764705882352942E-2</v>
      </c>
      <c r="P3213" s="258">
        <f t="shared" si="782"/>
        <v>9.764705882352942E-2</v>
      </c>
      <c r="Q3213" s="366"/>
      <c r="R3213" s="249">
        <v>42.5</v>
      </c>
      <c r="S3213" s="377">
        <v>0.2</v>
      </c>
      <c r="T3213" s="377"/>
      <c r="U3213" s="315">
        <f t="shared" si="773"/>
        <v>51</v>
      </c>
      <c r="V3213" s="315">
        <f t="shared" si="774"/>
        <v>51</v>
      </c>
      <c r="W3213" s="316">
        <f t="shared" si="783"/>
        <v>0</v>
      </c>
      <c r="AA3213" s="205"/>
    </row>
    <row r="3214" spans="1:27" x14ac:dyDescent="0.25">
      <c r="A3214" s="210" t="s">
        <v>18797</v>
      </c>
      <c r="B3214" s="343" t="s">
        <v>18798</v>
      </c>
      <c r="C3214" s="383"/>
      <c r="D3214" s="344" t="s">
        <v>2</v>
      </c>
      <c r="E3214" s="249">
        <f t="shared" si="775"/>
        <v>0.37</v>
      </c>
      <c r="F3214" s="384">
        <v>0.37</v>
      </c>
      <c r="G3214" s="258">
        <f t="shared" si="776"/>
        <v>0.37</v>
      </c>
      <c r="H3214" s="249">
        <f t="shared" si="777"/>
        <v>0.28000000000000003</v>
      </c>
      <c r="I3214" s="385">
        <v>0.28000000000000003</v>
      </c>
      <c r="J3214" s="258">
        <f t="shared" si="778"/>
        <v>0.28000000000000003</v>
      </c>
      <c r="K3214" s="249">
        <f t="shared" si="779"/>
        <v>0.25</v>
      </c>
      <c r="L3214" s="386">
        <v>0.25</v>
      </c>
      <c r="M3214" s="258">
        <f t="shared" si="780"/>
        <v>0.25</v>
      </c>
      <c r="N3214" s="251">
        <f t="shared" si="781"/>
        <v>0.1</v>
      </c>
      <c r="O3214" s="385">
        <v>0.1</v>
      </c>
      <c r="P3214" s="258">
        <f t="shared" si="782"/>
        <v>0.1</v>
      </c>
      <c r="Q3214" s="366"/>
      <c r="R3214" s="249">
        <v>1</v>
      </c>
      <c r="S3214" s="377">
        <v>0.2</v>
      </c>
      <c r="T3214" s="377"/>
      <c r="U3214" s="315">
        <f t="shared" si="773"/>
        <v>1.2</v>
      </c>
      <c r="V3214" s="315">
        <f t="shared" si="774"/>
        <v>2</v>
      </c>
      <c r="W3214" s="316">
        <f t="shared" si="783"/>
        <v>0</v>
      </c>
      <c r="AA3214" s="205"/>
    </row>
    <row r="3215" spans="1:27" x14ac:dyDescent="0.25">
      <c r="A3215" s="210" t="s">
        <v>18799</v>
      </c>
      <c r="B3215" s="343" t="s">
        <v>18800</v>
      </c>
      <c r="C3215" s="383"/>
      <c r="D3215" s="344" t="s">
        <v>11</v>
      </c>
      <c r="E3215" s="249">
        <f t="shared" si="775"/>
        <v>82.15</v>
      </c>
      <c r="F3215" s="384">
        <v>0.57986870897155363</v>
      </c>
      <c r="G3215" s="258">
        <f t="shared" si="776"/>
        <v>0.57986870897155363</v>
      </c>
      <c r="H3215" s="249">
        <f t="shared" si="777"/>
        <v>37.5</v>
      </c>
      <c r="I3215" s="385">
        <v>0.26469965412578522</v>
      </c>
      <c r="J3215" s="258">
        <f t="shared" si="778"/>
        <v>0.26469965412578522</v>
      </c>
      <c r="K3215" s="249">
        <f t="shared" si="779"/>
        <v>20.519999999999996</v>
      </c>
      <c r="L3215" s="386">
        <v>0.14484365073762967</v>
      </c>
      <c r="M3215" s="258">
        <f t="shared" si="780"/>
        <v>0.14484365073762967</v>
      </c>
      <c r="N3215" s="251">
        <f t="shared" si="781"/>
        <v>1.5</v>
      </c>
      <c r="O3215" s="385">
        <v>1.0587986165031409E-2</v>
      </c>
      <c r="P3215" s="258">
        <f t="shared" si="782"/>
        <v>1.0587986165031409E-2</v>
      </c>
      <c r="Q3215" s="366"/>
      <c r="R3215" s="249">
        <v>141.67000000000002</v>
      </c>
      <c r="S3215" s="377">
        <v>0.2</v>
      </c>
      <c r="T3215" s="377"/>
      <c r="U3215" s="315">
        <f t="shared" si="773"/>
        <v>170.00400000000002</v>
      </c>
      <c r="V3215" s="315">
        <f t="shared" si="774"/>
        <v>175</v>
      </c>
      <c r="W3215" s="316">
        <f t="shared" si="783"/>
        <v>0</v>
      </c>
      <c r="AA3215" s="205"/>
    </row>
    <row r="3216" spans="1:27" x14ac:dyDescent="0.25">
      <c r="A3216" s="210" t="s">
        <v>18801</v>
      </c>
      <c r="B3216" s="343" t="s">
        <v>18802</v>
      </c>
      <c r="C3216" s="383"/>
      <c r="D3216" s="344" t="s">
        <v>11</v>
      </c>
      <c r="E3216" s="249">
        <f t="shared" si="775"/>
        <v>182.5</v>
      </c>
      <c r="F3216" s="384">
        <v>0.49324324324324326</v>
      </c>
      <c r="G3216" s="258">
        <f t="shared" si="776"/>
        <v>0.49324324324324326</v>
      </c>
      <c r="H3216" s="249">
        <f t="shared" si="777"/>
        <v>128.71</v>
      </c>
      <c r="I3216" s="385">
        <v>0.3478648648648649</v>
      </c>
      <c r="J3216" s="258">
        <f t="shared" si="778"/>
        <v>0.3478648648648649</v>
      </c>
      <c r="K3216" s="249">
        <f t="shared" si="779"/>
        <v>46.790000000000006</v>
      </c>
      <c r="L3216" s="386">
        <v>0.12645945945945947</v>
      </c>
      <c r="M3216" s="258">
        <f t="shared" si="780"/>
        <v>0.12645945945945947</v>
      </c>
      <c r="N3216" s="251">
        <f t="shared" si="781"/>
        <v>12</v>
      </c>
      <c r="O3216" s="385">
        <v>3.2432432432432434E-2</v>
      </c>
      <c r="P3216" s="258">
        <f t="shared" si="782"/>
        <v>3.2432432432432434E-2</v>
      </c>
      <c r="Q3216" s="366"/>
      <c r="R3216" s="249">
        <v>370</v>
      </c>
      <c r="S3216" s="377">
        <v>0.2</v>
      </c>
      <c r="T3216" s="377"/>
      <c r="U3216" s="315">
        <f t="shared" si="773"/>
        <v>444</v>
      </c>
      <c r="V3216" s="315">
        <f>IF(U3216=0, 0, IF(U3216&lt;10, _xlfn.CEILING.MATH(U3216,1), IF(U3216&lt;100, _xlfn.CEILING.MATH(U3216,1),IF(U3216&lt;1000, _xlfn.CEILING.MATH(U3216,1), IF(U3216&lt;10000, _xlfn.CEILING.MATH(U3216, 25), IF(U3216&lt;100000, _xlfn.CEILING.MATH(U3216,250), IF(U3216&lt;1000000, _xlfn.CEILING.MATH(U3216,500), 0)))))))</f>
        <v>444</v>
      </c>
      <c r="W3216" s="316">
        <f t="shared" si="783"/>
        <v>0</v>
      </c>
      <c r="AA3216" s="205"/>
    </row>
    <row r="3217" spans="1:27" x14ac:dyDescent="0.25">
      <c r="A3217" s="210" t="s">
        <v>18803</v>
      </c>
      <c r="B3217" s="343" t="s">
        <v>18804</v>
      </c>
      <c r="C3217" s="383"/>
      <c r="D3217" s="344" t="s">
        <v>11</v>
      </c>
      <c r="E3217" s="249">
        <f t="shared" si="775"/>
        <v>30.03</v>
      </c>
      <c r="F3217" s="384">
        <v>0.62135319677219125</v>
      </c>
      <c r="G3217" s="258">
        <f t="shared" si="776"/>
        <v>0.62135319677219125</v>
      </c>
      <c r="H3217" s="249">
        <f t="shared" si="777"/>
        <v>12.55</v>
      </c>
      <c r="I3217" s="385">
        <v>0.2596730809021312</v>
      </c>
      <c r="J3217" s="258">
        <f t="shared" si="778"/>
        <v>0.2596730809021312</v>
      </c>
      <c r="K3217" s="249">
        <f t="shared" si="779"/>
        <v>4.5</v>
      </c>
      <c r="L3217" s="386">
        <v>9.3109869646182494E-2</v>
      </c>
      <c r="M3217" s="258">
        <f t="shared" si="780"/>
        <v>9.3109869646182494E-2</v>
      </c>
      <c r="N3217" s="251">
        <f t="shared" si="781"/>
        <v>1.25</v>
      </c>
      <c r="O3217" s="385">
        <v>2.5863852679495137E-2</v>
      </c>
      <c r="P3217" s="258">
        <f t="shared" si="782"/>
        <v>2.5863852679495137E-2</v>
      </c>
      <c r="Q3217" s="366"/>
      <c r="R3217" s="249">
        <v>48.33</v>
      </c>
      <c r="S3217" s="377">
        <v>0.2</v>
      </c>
      <c r="T3217" s="377"/>
      <c r="U3217" s="315">
        <f t="shared" si="773"/>
        <v>57.995999999999995</v>
      </c>
      <c r="V3217" s="315">
        <f t="shared" si="774"/>
        <v>58</v>
      </c>
      <c r="W3217" s="316">
        <f t="shared" si="783"/>
        <v>0</v>
      </c>
      <c r="AA3217" s="205"/>
    </row>
    <row r="3218" spans="1:27" ht="21" x14ac:dyDescent="0.25">
      <c r="A3218" s="210" t="s">
        <v>18805</v>
      </c>
      <c r="B3218" s="344" t="s">
        <v>18806</v>
      </c>
      <c r="C3218" s="383"/>
      <c r="D3218" s="344" t="s">
        <v>18759</v>
      </c>
      <c r="E3218" s="249">
        <f t="shared" si="775"/>
        <v>21255</v>
      </c>
      <c r="F3218" s="384">
        <v>0.8175</v>
      </c>
      <c r="G3218" s="258">
        <f t="shared" si="776"/>
        <v>0.8175</v>
      </c>
      <c r="H3218" s="249">
        <f t="shared" si="777"/>
        <v>3065</v>
      </c>
      <c r="I3218" s="389">
        <v>0.11788461538461538</v>
      </c>
      <c r="J3218" s="258">
        <f t="shared" si="778"/>
        <v>0.11788461538461538</v>
      </c>
      <c r="K3218" s="249">
        <f t="shared" si="779"/>
        <v>1550</v>
      </c>
      <c r="L3218" s="386">
        <v>5.9615384615384619E-2</v>
      </c>
      <c r="M3218" s="258">
        <f t="shared" si="780"/>
        <v>5.9615384615384619E-2</v>
      </c>
      <c r="N3218" s="251">
        <f t="shared" si="781"/>
        <v>140</v>
      </c>
      <c r="O3218" s="385">
        <v>5.3846153846153844E-3</v>
      </c>
      <c r="P3218" s="258">
        <f t="shared" si="782"/>
        <v>5.3846153846153844E-3</v>
      </c>
      <c r="Q3218" s="366"/>
      <c r="R3218" s="249">
        <v>26000</v>
      </c>
      <c r="S3218" s="377">
        <v>0.2</v>
      </c>
      <c r="T3218" s="377"/>
      <c r="U3218" s="315">
        <f t="shared" si="773"/>
        <v>31200</v>
      </c>
      <c r="V3218" s="315">
        <f>IF(U3218=0, 0, IF(U3218&lt;10, _xlfn.CEILING.MATH(U3218,1), IF(U3218&lt;100, _xlfn.CEILING.MATH(U3218,1),IF(U3218&lt;1000, _xlfn.CEILING.MATH(U3218,5), IF(U3218&lt;10000, _xlfn.CEILING.MATH(U3218, 25), IF(U3218&lt;100000, _xlfn.CEILING.MATH(U3218,100), IF(U3218&lt;1000000, _xlfn.CEILING.MATH(U3218,500), 0)))))))</f>
        <v>31200</v>
      </c>
      <c r="W3218" s="316">
        <f t="shared" si="783"/>
        <v>0</v>
      </c>
      <c r="AA3218" s="205"/>
    </row>
    <row r="3219" spans="1:27" x14ac:dyDescent="0.25">
      <c r="A3219" s="199" t="s">
        <v>14936</v>
      </c>
      <c r="B3219" s="307" t="s">
        <v>22683</v>
      </c>
      <c r="C3219" s="308"/>
      <c r="D3219" s="309"/>
      <c r="E3219" s="310"/>
      <c r="F3219" s="311"/>
      <c r="G3219" s="311"/>
      <c r="H3219" s="310"/>
      <c r="I3219" s="311"/>
      <c r="J3219" s="311"/>
      <c r="K3219" s="310"/>
      <c r="L3219" s="311"/>
      <c r="M3219" s="311"/>
      <c r="N3219" s="310"/>
      <c r="O3219" s="311"/>
      <c r="P3219" s="311"/>
      <c r="Q3219" s="310"/>
      <c r="R3219" s="310"/>
      <c r="S3219" s="309"/>
      <c r="T3219" s="309"/>
      <c r="U3219" s="309"/>
      <c r="V3219" s="309"/>
      <c r="W3219" s="312"/>
    </row>
    <row r="3220" spans="1:27" x14ac:dyDescent="0.25">
      <c r="A3220" s="200">
        <v>833060</v>
      </c>
      <c r="B3220" s="313" t="s">
        <v>22684</v>
      </c>
      <c r="C3220" s="248"/>
      <c r="D3220" s="247" t="s">
        <v>2</v>
      </c>
      <c r="E3220" s="249">
        <f t="shared" si="775"/>
        <v>9.2505767428799999</v>
      </c>
      <c r="F3220" s="258">
        <v>0.56799999999999995</v>
      </c>
      <c r="G3220" s="258">
        <f t="shared" si="776"/>
        <v>0.56799999999999995</v>
      </c>
      <c r="H3220" s="249">
        <f t="shared" si="777"/>
        <v>2.2312130524200002</v>
      </c>
      <c r="I3220" s="258">
        <v>0.13700000000000001</v>
      </c>
      <c r="J3220" s="258">
        <f t="shared" si="778"/>
        <v>0.13700000000000001</v>
      </c>
      <c r="K3220" s="249">
        <f t="shared" si="779"/>
        <v>4.0389842116799999</v>
      </c>
      <c r="L3220" s="374">
        <v>0.248</v>
      </c>
      <c r="M3220" s="258">
        <f t="shared" si="780"/>
        <v>0.248</v>
      </c>
      <c r="N3220" s="251">
        <f t="shared" si="781"/>
        <v>0.76545265301999998</v>
      </c>
      <c r="O3220" s="258">
        <v>4.7E-2</v>
      </c>
      <c r="P3220" s="258">
        <f t="shared" si="782"/>
        <v>4.7E-2</v>
      </c>
      <c r="Q3220" s="249">
        <v>15.93</v>
      </c>
      <c r="R3220" s="249">
        <f t="shared" ref="R3220:R3283" si="784">SUM(F3220*Q3220*1.0235,I3220*Q3220*1.0175,L3220*Q3220*1.0245,O3220*Q3220*1.0115)</f>
        <v>16.286226660000001</v>
      </c>
      <c r="S3220" s="250">
        <v>0.1</v>
      </c>
      <c r="T3220" s="169">
        <f>Q3220*S3220+Q3220</f>
        <v>17.523</v>
      </c>
      <c r="U3220" s="315">
        <f t="shared" si="773"/>
        <v>17.914849326000002</v>
      </c>
      <c r="V3220" s="315">
        <f t="shared" si="774"/>
        <v>18</v>
      </c>
      <c r="W3220" s="316">
        <f t="shared" si="783"/>
        <v>0</v>
      </c>
    </row>
    <row r="3221" spans="1:27" x14ac:dyDescent="0.25">
      <c r="A3221" s="200">
        <v>833060</v>
      </c>
      <c r="B3221" s="313" t="s">
        <v>22685</v>
      </c>
      <c r="C3221" s="248"/>
      <c r="D3221" s="247" t="s">
        <v>2</v>
      </c>
      <c r="E3221" s="249">
        <f t="shared" si="775"/>
        <v>8.2266356010300008</v>
      </c>
      <c r="F3221" s="258">
        <v>0.53900000000000003</v>
      </c>
      <c r="G3221" s="258">
        <f t="shared" si="776"/>
        <v>0.53900000000000003</v>
      </c>
      <c r="H3221" s="249">
        <f t="shared" si="777"/>
        <v>2.22836511642</v>
      </c>
      <c r="I3221" s="258">
        <v>0.14599999999999999</v>
      </c>
      <c r="J3221" s="258">
        <f t="shared" si="778"/>
        <v>0.14599999999999999</v>
      </c>
      <c r="K3221" s="249">
        <f t="shared" si="779"/>
        <v>4.0446353140500007</v>
      </c>
      <c r="L3221" s="374">
        <v>0.26500000000000001</v>
      </c>
      <c r="M3221" s="258">
        <f t="shared" si="780"/>
        <v>0.26500000000000001</v>
      </c>
      <c r="N3221" s="251">
        <f t="shared" si="781"/>
        <v>0.76313873850000014</v>
      </c>
      <c r="O3221" s="258">
        <v>0.05</v>
      </c>
      <c r="P3221" s="258">
        <f t="shared" si="782"/>
        <v>0.05</v>
      </c>
      <c r="Q3221" s="249">
        <v>14.93</v>
      </c>
      <c r="R3221" s="249">
        <f t="shared" si="784"/>
        <v>15.262774770000002</v>
      </c>
      <c r="S3221" s="250">
        <v>0.1</v>
      </c>
      <c r="T3221" s="169">
        <f>Q3221*S3221+Q3221</f>
        <v>16.422999999999998</v>
      </c>
      <c r="U3221" s="315">
        <f t="shared" si="773"/>
        <v>16.789052247000001</v>
      </c>
      <c r="V3221" s="315">
        <f t="shared" si="774"/>
        <v>17</v>
      </c>
      <c r="W3221" s="316">
        <f t="shared" si="783"/>
        <v>0</v>
      </c>
    </row>
    <row r="3222" spans="1:27" x14ac:dyDescent="0.25">
      <c r="A3222" s="200">
        <v>833070</v>
      </c>
      <c r="B3222" s="313" t="s">
        <v>22686</v>
      </c>
      <c r="C3222" s="248"/>
      <c r="D3222" s="247" t="s">
        <v>2</v>
      </c>
      <c r="E3222" s="249">
        <f t="shared" si="775"/>
        <v>8.0124719424000013</v>
      </c>
      <c r="F3222" s="258">
        <v>0.45600000000000002</v>
      </c>
      <c r="G3222" s="258">
        <f t="shared" si="776"/>
        <v>0.45600000000000002</v>
      </c>
      <c r="H3222" s="249">
        <f t="shared" si="777"/>
        <v>4.7442268080000005</v>
      </c>
      <c r="I3222" s="258">
        <v>0.27</v>
      </c>
      <c r="J3222" s="258">
        <f t="shared" si="778"/>
        <v>0.27</v>
      </c>
      <c r="K3222" s="249">
        <f t="shared" si="779"/>
        <v>4.0413783920000004</v>
      </c>
      <c r="L3222" s="374">
        <v>0.23</v>
      </c>
      <c r="M3222" s="258">
        <f t="shared" si="780"/>
        <v>0.23</v>
      </c>
      <c r="N3222" s="251">
        <f t="shared" si="781"/>
        <v>0.77313325760000007</v>
      </c>
      <c r="O3222" s="258">
        <v>4.3999999999999997E-2</v>
      </c>
      <c r="P3222" s="258">
        <f t="shared" si="782"/>
        <v>4.3999999999999997E-2</v>
      </c>
      <c r="Q3222" s="249">
        <v>17.2</v>
      </c>
      <c r="R3222" s="249">
        <f t="shared" si="784"/>
        <v>17.571210400000002</v>
      </c>
      <c r="S3222" s="250">
        <v>0.1</v>
      </c>
      <c r="T3222" s="169">
        <f>Q3222*S3222+Q3222</f>
        <v>18.919999999999998</v>
      </c>
      <c r="U3222" s="315">
        <f t="shared" si="773"/>
        <v>19.328331440000003</v>
      </c>
      <c r="V3222" s="315">
        <f t="shared" si="774"/>
        <v>20</v>
      </c>
      <c r="W3222" s="316">
        <f t="shared" si="783"/>
        <v>0</v>
      </c>
    </row>
    <row r="3223" spans="1:27" x14ac:dyDescent="0.25">
      <c r="A3223" s="200" t="s">
        <v>15425</v>
      </c>
      <c r="B3223" s="313" t="s">
        <v>15426</v>
      </c>
      <c r="C3223" s="248"/>
      <c r="D3223" s="247" t="s">
        <v>11</v>
      </c>
      <c r="E3223" s="249">
        <f t="shared" si="775"/>
        <v>0</v>
      </c>
      <c r="F3223" s="314"/>
      <c r="G3223" s="258">
        <f t="shared" si="776"/>
        <v>0</v>
      </c>
      <c r="H3223" s="249">
        <f t="shared" si="777"/>
        <v>45.312536947999995</v>
      </c>
      <c r="I3223" s="258">
        <v>0.35</v>
      </c>
      <c r="J3223" s="258">
        <f t="shared" si="778"/>
        <v>0.35</v>
      </c>
      <c r="K3223" s="249">
        <f t="shared" si="779"/>
        <v>0</v>
      </c>
      <c r="L3223" s="314"/>
      <c r="M3223" s="258">
        <f t="shared" si="780"/>
        <v>0</v>
      </c>
      <c r="N3223" s="251">
        <f t="shared" si="781"/>
        <v>84.151854331999999</v>
      </c>
      <c r="O3223" s="258">
        <v>0.65</v>
      </c>
      <c r="P3223" s="258">
        <f t="shared" si="782"/>
        <v>0.65</v>
      </c>
      <c r="Q3223" s="249">
        <v>127.7273</v>
      </c>
      <c r="R3223" s="249">
        <f t="shared" si="784"/>
        <v>129.46439128</v>
      </c>
      <c r="S3223" s="258">
        <v>0.1</v>
      </c>
      <c r="T3223" s="169">
        <f t="shared" ref="T3223:T3230" si="785">Q3223+Q3223*S3223</f>
        <v>140.50003000000001</v>
      </c>
      <c r="U3223" s="315">
        <v>151.32</v>
      </c>
      <c r="V3223" s="315">
        <f t="shared" ref="V3223:V3286" si="786">IF(U3223=0, 0, IF(U3223&lt;10, _xlfn.CEILING.MATH(U3223,1), IF(U3223&lt;100, _xlfn.CEILING.MATH(U3223,1),IF(U3223&lt;1000, _xlfn.CEILING.MATH(U3223,5), IF(U3223&lt;10000, _xlfn.CEILING.MATH(U3223, 25), IF(U3223&lt;100000, _xlfn.CEILING.MATH(U3223,250), IF(U3223&lt;1000000, _xlfn.CEILING.MATH(U3223,500), 0)))))))</f>
        <v>155</v>
      </c>
      <c r="W3223" s="316">
        <f t="shared" si="783"/>
        <v>0</v>
      </c>
    </row>
    <row r="3224" spans="1:27" x14ac:dyDescent="0.25">
      <c r="A3224" s="200" t="s">
        <v>15427</v>
      </c>
      <c r="B3224" s="313" t="s">
        <v>22687</v>
      </c>
      <c r="C3224" s="248"/>
      <c r="D3224" s="247" t="s">
        <v>15428</v>
      </c>
      <c r="E3224" s="249">
        <f t="shared" si="775"/>
        <v>0</v>
      </c>
      <c r="F3224" s="314"/>
      <c r="G3224" s="258">
        <f t="shared" si="776"/>
        <v>0</v>
      </c>
      <c r="H3224" s="249">
        <f t="shared" si="777"/>
        <v>108.20681127500001</v>
      </c>
      <c r="I3224" s="258">
        <v>0.25</v>
      </c>
      <c r="J3224" s="258">
        <f t="shared" si="778"/>
        <v>0.25</v>
      </c>
      <c r="K3224" s="249">
        <f t="shared" si="779"/>
        <v>0</v>
      </c>
      <c r="L3224" s="314"/>
      <c r="M3224" s="258">
        <f t="shared" si="780"/>
        <v>0</v>
      </c>
      <c r="N3224" s="251">
        <f t="shared" si="781"/>
        <v>324.62043382500002</v>
      </c>
      <c r="O3224" s="258">
        <v>0.75</v>
      </c>
      <c r="P3224" s="258">
        <f t="shared" si="782"/>
        <v>0.75</v>
      </c>
      <c r="Q3224" s="249">
        <v>427.27269999999999</v>
      </c>
      <c r="R3224" s="249">
        <f t="shared" si="784"/>
        <v>432.82724510000003</v>
      </c>
      <c r="S3224" s="258">
        <v>0.1</v>
      </c>
      <c r="T3224" s="169">
        <f t="shared" si="785"/>
        <v>469.99996999999996</v>
      </c>
      <c r="U3224" s="315">
        <v>506.19</v>
      </c>
      <c r="V3224" s="315">
        <f t="shared" si="786"/>
        <v>510</v>
      </c>
      <c r="W3224" s="316">
        <f t="shared" si="783"/>
        <v>0</v>
      </c>
    </row>
    <row r="3225" spans="1:27" x14ac:dyDescent="0.25">
      <c r="A3225" s="200" t="s">
        <v>15429</v>
      </c>
      <c r="B3225" s="313" t="s">
        <v>15430</v>
      </c>
      <c r="C3225" s="248"/>
      <c r="D3225" s="247" t="s">
        <v>11</v>
      </c>
      <c r="E3225" s="249">
        <f t="shared" si="775"/>
        <v>0</v>
      </c>
      <c r="F3225" s="314"/>
      <c r="G3225" s="258">
        <f t="shared" si="776"/>
        <v>0</v>
      </c>
      <c r="H3225" s="249">
        <f t="shared" si="777"/>
        <v>72.564561579999989</v>
      </c>
      <c r="I3225" s="258">
        <v>0.35</v>
      </c>
      <c r="J3225" s="258">
        <f t="shared" si="778"/>
        <v>0.35</v>
      </c>
      <c r="K3225" s="249">
        <f t="shared" si="779"/>
        <v>0</v>
      </c>
      <c r="L3225" s="314"/>
      <c r="M3225" s="258">
        <f t="shared" si="780"/>
        <v>0</v>
      </c>
      <c r="N3225" s="251">
        <f t="shared" si="781"/>
        <v>134.76275722</v>
      </c>
      <c r="O3225" s="258">
        <v>0.65</v>
      </c>
      <c r="P3225" s="258">
        <f t="shared" si="782"/>
        <v>0.65</v>
      </c>
      <c r="Q3225" s="249">
        <v>204.5455</v>
      </c>
      <c r="R3225" s="249">
        <f t="shared" si="784"/>
        <v>207.3273188</v>
      </c>
      <c r="S3225" s="258">
        <v>0.1</v>
      </c>
      <c r="T3225" s="169">
        <f t="shared" si="785"/>
        <v>225.00005000000002</v>
      </c>
      <c r="U3225" s="315">
        <v>242.33</v>
      </c>
      <c r="V3225" s="315">
        <f t="shared" si="786"/>
        <v>245</v>
      </c>
      <c r="W3225" s="316">
        <f t="shared" si="783"/>
        <v>0</v>
      </c>
    </row>
    <row r="3226" spans="1:27" ht="31.2" x14ac:dyDescent="0.25">
      <c r="A3226" s="200" t="s">
        <v>15431</v>
      </c>
      <c r="B3226" s="255" t="s">
        <v>15432</v>
      </c>
      <c r="C3226" s="248"/>
      <c r="D3226" s="247" t="s">
        <v>11</v>
      </c>
      <c r="E3226" s="249">
        <f t="shared" si="775"/>
        <v>0</v>
      </c>
      <c r="F3226" s="314"/>
      <c r="G3226" s="258">
        <f t="shared" si="776"/>
        <v>0</v>
      </c>
      <c r="H3226" s="249">
        <f t="shared" si="777"/>
        <v>1223.6569035539999</v>
      </c>
      <c r="I3226" s="258">
        <v>0.6</v>
      </c>
      <c r="J3226" s="258">
        <f t="shared" si="778"/>
        <v>0.6</v>
      </c>
      <c r="K3226" s="249">
        <f t="shared" si="779"/>
        <v>0</v>
      </c>
      <c r="L3226" s="314"/>
      <c r="M3226" s="258">
        <f t="shared" si="780"/>
        <v>0</v>
      </c>
      <c r="N3226" s="251">
        <f t="shared" si="781"/>
        <v>815.77126903600004</v>
      </c>
      <c r="O3226" s="258">
        <v>0.4</v>
      </c>
      <c r="P3226" s="258">
        <f t="shared" si="782"/>
        <v>0.4</v>
      </c>
      <c r="Q3226" s="249">
        <v>2009.0908999999999</v>
      </c>
      <c r="R3226" s="249">
        <f t="shared" si="784"/>
        <v>2039.42817259</v>
      </c>
      <c r="S3226" s="258">
        <v>0.1</v>
      </c>
      <c r="T3226" s="169">
        <f t="shared" si="785"/>
        <v>2209.9999899999998</v>
      </c>
      <c r="U3226" s="315">
        <v>2380.17</v>
      </c>
      <c r="V3226" s="315">
        <f t="shared" si="786"/>
        <v>2400</v>
      </c>
      <c r="W3226" s="316">
        <f t="shared" si="783"/>
        <v>0</v>
      </c>
    </row>
    <row r="3227" spans="1:27" x14ac:dyDescent="0.25">
      <c r="A3227" s="200" t="s">
        <v>15433</v>
      </c>
      <c r="B3227" s="313" t="s">
        <v>22688</v>
      </c>
      <c r="C3227" s="248"/>
      <c r="D3227" s="247" t="s">
        <v>2</v>
      </c>
      <c r="E3227" s="249">
        <f t="shared" si="775"/>
        <v>0</v>
      </c>
      <c r="F3227" s="314"/>
      <c r="G3227" s="258">
        <f t="shared" si="776"/>
        <v>0</v>
      </c>
      <c r="H3227" s="249">
        <f t="shared" si="777"/>
        <v>17.662739999999999</v>
      </c>
      <c r="I3227" s="258">
        <v>0.6</v>
      </c>
      <c r="J3227" s="258">
        <f t="shared" si="778"/>
        <v>0.6</v>
      </c>
      <c r="K3227" s="249">
        <f t="shared" si="779"/>
        <v>0</v>
      </c>
      <c r="L3227" s="314"/>
      <c r="M3227" s="258">
        <f t="shared" si="780"/>
        <v>0</v>
      </c>
      <c r="N3227" s="251">
        <f t="shared" si="781"/>
        <v>11.77516</v>
      </c>
      <c r="O3227" s="258">
        <v>0.4</v>
      </c>
      <c r="P3227" s="258">
        <f t="shared" si="782"/>
        <v>0.4</v>
      </c>
      <c r="Q3227" s="249">
        <v>29</v>
      </c>
      <c r="R3227" s="249">
        <f t="shared" si="784"/>
        <v>29.437899999999999</v>
      </c>
      <c r="S3227" s="258">
        <v>0.1</v>
      </c>
      <c r="T3227" s="169">
        <f t="shared" si="785"/>
        <v>31.9</v>
      </c>
      <c r="U3227" s="315">
        <v>34.36</v>
      </c>
      <c r="V3227" s="315">
        <f t="shared" si="786"/>
        <v>35</v>
      </c>
      <c r="W3227" s="316">
        <f t="shared" si="783"/>
        <v>0</v>
      </c>
    </row>
    <row r="3228" spans="1:27" x14ac:dyDescent="0.25">
      <c r="A3228" s="200" t="s">
        <v>15434</v>
      </c>
      <c r="B3228" s="313" t="s">
        <v>22689</v>
      </c>
      <c r="C3228" s="248"/>
      <c r="D3228" s="247" t="s">
        <v>2</v>
      </c>
      <c r="E3228" s="249">
        <f t="shared" si="775"/>
        <v>0</v>
      </c>
      <c r="F3228" s="314"/>
      <c r="G3228" s="258">
        <f t="shared" si="776"/>
        <v>0</v>
      </c>
      <c r="H3228" s="249">
        <f t="shared" si="777"/>
        <v>23.670264216</v>
      </c>
      <c r="I3228" s="258">
        <v>0.6</v>
      </c>
      <c r="J3228" s="258">
        <f t="shared" si="778"/>
        <v>0.6</v>
      </c>
      <c r="K3228" s="249">
        <f t="shared" si="779"/>
        <v>0</v>
      </c>
      <c r="L3228" s="314"/>
      <c r="M3228" s="258">
        <f t="shared" si="780"/>
        <v>0</v>
      </c>
      <c r="N3228" s="251">
        <f t="shared" si="781"/>
        <v>15.780176144000002</v>
      </c>
      <c r="O3228" s="258">
        <v>0.4</v>
      </c>
      <c r="P3228" s="258">
        <f t="shared" si="782"/>
        <v>0.4</v>
      </c>
      <c r="Q3228" s="249">
        <v>38.863599999999998</v>
      </c>
      <c r="R3228" s="249">
        <f t="shared" si="784"/>
        <v>39.450440360000002</v>
      </c>
      <c r="S3228" s="258">
        <v>0.1</v>
      </c>
      <c r="T3228" s="169">
        <f t="shared" si="785"/>
        <v>42.749960000000002</v>
      </c>
      <c r="U3228" s="315">
        <v>46.041706919999996</v>
      </c>
      <c r="V3228" s="315">
        <f t="shared" si="786"/>
        <v>47</v>
      </c>
      <c r="W3228" s="316">
        <f t="shared" si="783"/>
        <v>0</v>
      </c>
    </row>
    <row r="3229" spans="1:27" x14ac:dyDescent="0.25">
      <c r="A3229" s="200" t="s">
        <v>15435</v>
      </c>
      <c r="B3229" s="313" t="s">
        <v>22690</v>
      </c>
      <c r="C3229" s="248"/>
      <c r="D3229" s="247" t="s">
        <v>2</v>
      </c>
      <c r="E3229" s="249">
        <f t="shared" si="775"/>
        <v>0</v>
      </c>
      <c r="F3229" s="314"/>
      <c r="G3229" s="258">
        <f t="shared" si="776"/>
        <v>0</v>
      </c>
      <c r="H3229" s="249">
        <f t="shared" si="777"/>
        <v>28.764259337999999</v>
      </c>
      <c r="I3229" s="258">
        <v>0.6</v>
      </c>
      <c r="J3229" s="258">
        <f t="shared" si="778"/>
        <v>0.6</v>
      </c>
      <c r="K3229" s="249">
        <f t="shared" si="779"/>
        <v>0</v>
      </c>
      <c r="L3229" s="314"/>
      <c r="M3229" s="258">
        <f t="shared" si="780"/>
        <v>0</v>
      </c>
      <c r="N3229" s="251">
        <f t="shared" si="781"/>
        <v>19.176172892</v>
      </c>
      <c r="O3229" s="258">
        <v>0.4</v>
      </c>
      <c r="P3229" s="258">
        <f t="shared" si="782"/>
        <v>0.4</v>
      </c>
      <c r="Q3229" s="249">
        <v>47.2273</v>
      </c>
      <c r="R3229" s="249">
        <f t="shared" si="784"/>
        <v>47.940432229999999</v>
      </c>
      <c r="S3229" s="258">
        <v>0.1</v>
      </c>
      <c r="T3229" s="169">
        <f t="shared" si="785"/>
        <v>51.950029999999998</v>
      </c>
      <c r="U3229" s="315">
        <v>55.950182310000002</v>
      </c>
      <c r="V3229" s="315">
        <f t="shared" si="786"/>
        <v>56</v>
      </c>
      <c r="W3229" s="316">
        <f t="shared" si="783"/>
        <v>0</v>
      </c>
    </row>
    <row r="3230" spans="1:27" x14ac:dyDescent="0.25">
      <c r="A3230" s="200" t="s">
        <v>15436</v>
      </c>
      <c r="B3230" s="313" t="s">
        <v>22691</v>
      </c>
      <c r="C3230" s="248"/>
      <c r="D3230" s="247" t="s">
        <v>2</v>
      </c>
      <c r="E3230" s="249">
        <f t="shared" si="775"/>
        <v>0</v>
      </c>
      <c r="F3230" s="314"/>
      <c r="G3230" s="258">
        <f t="shared" si="776"/>
        <v>0</v>
      </c>
      <c r="H3230" s="249">
        <f t="shared" si="777"/>
        <v>33.858193554000003</v>
      </c>
      <c r="I3230" s="258">
        <v>0.6</v>
      </c>
      <c r="J3230" s="258">
        <f t="shared" si="778"/>
        <v>0.6</v>
      </c>
      <c r="K3230" s="249">
        <f t="shared" si="779"/>
        <v>0</v>
      </c>
      <c r="L3230" s="314"/>
      <c r="M3230" s="258">
        <f t="shared" si="780"/>
        <v>0</v>
      </c>
      <c r="N3230" s="251">
        <f t="shared" si="781"/>
        <v>22.572129036000003</v>
      </c>
      <c r="O3230" s="258">
        <v>0.4</v>
      </c>
      <c r="P3230" s="258">
        <f t="shared" si="782"/>
        <v>0.4</v>
      </c>
      <c r="Q3230" s="249">
        <v>55.590899999999998</v>
      </c>
      <c r="R3230" s="249">
        <f t="shared" si="784"/>
        <v>56.430322590000003</v>
      </c>
      <c r="S3230" s="258">
        <v>0.1</v>
      </c>
      <c r="T3230" s="169">
        <f t="shared" si="785"/>
        <v>61.149989999999995</v>
      </c>
      <c r="U3230" s="315">
        <v>65.858539229999991</v>
      </c>
      <c r="V3230" s="315">
        <f t="shared" si="786"/>
        <v>66</v>
      </c>
      <c r="W3230" s="316">
        <f t="shared" si="783"/>
        <v>0</v>
      </c>
    </row>
    <row r="3231" spans="1:27" x14ac:dyDescent="0.25">
      <c r="A3231" s="200">
        <v>833070</v>
      </c>
      <c r="B3231" s="313" t="s">
        <v>22692</v>
      </c>
      <c r="C3231" s="248"/>
      <c r="D3231" s="247" t="s">
        <v>2</v>
      </c>
      <c r="E3231" s="249">
        <f t="shared" si="775"/>
        <v>5.8725778145695369</v>
      </c>
      <c r="F3231" s="258">
        <v>0.38079470198675491</v>
      </c>
      <c r="G3231" s="258">
        <f t="shared" si="776"/>
        <v>0.38079470198675491</v>
      </c>
      <c r="H3231" s="249">
        <f t="shared" si="777"/>
        <v>4.7491281456953649</v>
      </c>
      <c r="I3231" s="258">
        <v>0.30794701986754969</v>
      </c>
      <c r="J3231" s="258">
        <f t="shared" si="778"/>
        <v>0.30794701986754969</v>
      </c>
      <c r="K3231" s="249">
        <f t="shared" si="779"/>
        <v>4.0342056291390733</v>
      </c>
      <c r="L3231" s="374">
        <v>0.26158940397350994</v>
      </c>
      <c r="M3231" s="258">
        <f t="shared" si="780"/>
        <v>0.26158940397350994</v>
      </c>
      <c r="N3231" s="251">
        <f t="shared" si="781"/>
        <v>0.76598841059602663</v>
      </c>
      <c r="O3231" s="258">
        <v>4.9668874172185427E-2</v>
      </c>
      <c r="P3231" s="258">
        <f t="shared" si="782"/>
        <v>4.9668874172185427E-2</v>
      </c>
      <c r="Q3231" s="249">
        <v>15.100000000000001</v>
      </c>
      <c r="R3231" s="249">
        <f t="shared" si="784"/>
        <v>15.421900000000003</v>
      </c>
      <c r="S3231" s="250">
        <v>0.1</v>
      </c>
      <c r="T3231" s="290">
        <f t="shared" ref="T3231:T3269" si="787">Q3231*S3231+Q3231</f>
        <v>16.610000000000003</v>
      </c>
      <c r="U3231" s="315">
        <f t="shared" ref="U3231:U3294" si="788">(R3231*S3231)+R3231</f>
        <v>16.964090000000002</v>
      </c>
      <c r="V3231" s="315">
        <f t="shared" si="786"/>
        <v>17</v>
      </c>
      <c r="W3231" s="316">
        <f t="shared" si="783"/>
        <v>0</v>
      </c>
    </row>
    <row r="3232" spans="1:27" x14ac:dyDescent="0.25">
      <c r="A3232" s="200">
        <v>833080</v>
      </c>
      <c r="B3232" s="313" t="s">
        <v>22693</v>
      </c>
      <c r="C3232" s="248"/>
      <c r="D3232" s="247" t="s">
        <v>2</v>
      </c>
      <c r="E3232" s="249">
        <f t="shared" si="775"/>
        <v>7.1992976123595493</v>
      </c>
      <c r="F3232" s="258">
        <v>0.39606741573033705</v>
      </c>
      <c r="G3232" s="258">
        <f t="shared" si="776"/>
        <v>0.39606741573033705</v>
      </c>
      <c r="H3232" s="249">
        <f t="shared" si="777"/>
        <v>6.1781206460674154</v>
      </c>
      <c r="I3232" s="258">
        <v>0.3398876404494382</v>
      </c>
      <c r="J3232" s="258">
        <f t="shared" si="778"/>
        <v>0.3398876404494382</v>
      </c>
      <c r="K3232" s="249">
        <f t="shared" si="779"/>
        <v>4.0336490168539321</v>
      </c>
      <c r="L3232" s="374">
        <v>0.22191011235955058</v>
      </c>
      <c r="M3232" s="258">
        <f t="shared" si="780"/>
        <v>0.22191011235955058</v>
      </c>
      <c r="N3232" s="251">
        <f t="shared" si="781"/>
        <v>0.76588272471910102</v>
      </c>
      <c r="O3232" s="258">
        <v>4.2134831460674156E-2</v>
      </c>
      <c r="P3232" s="258">
        <f t="shared" si="782"/>
        <v>4.2134831460674156E-2</v>
      </c>
      <c r="Q3232" s="249">
        <v>17.8</v>
      </c>
      <c r="R3232" s="249">
        <f t="shared" si="784"/>
        <v>18.176949999999998</v>
      </c>
      <c r="S3232" s="250">
        <v>0.1</v>
      </c>
      <c r="T3232" s="290">
        <f t="shared" si="787"/>
        <v>19.580000000000002</v>
      </c>
      <c r="U3232" s="315">
        <f t="shared" si="788"/>
        <v>19.994644999999998</v>
      </c>
      <c r="V3232" s="315">
        <f t="shared" si="786"/>
        <v>20</v>
      </c>
      <c r="W3232" s="316">
        <f t="shared" si="783"/>
        <v>0</v>
      </c>
    </row>
    <row r="3233" spans="1:23" x14ac:dyDescent="0.25">
      <c r="A3233" s="200">
        <v>833080</v>
      </c>
      <c r="B3233" s="313" t="s">
        <v>22694</v>
      </c>
      <c r="C3233" s="248"/>
      <c r="D3233" s="247" t="s">
        <v>2</v>
      </c>
      <c r="E3233" s="249">
        <f t="shared" si="775"/>
        <v>5.7378740928527794</v>
      </c>
      <c r="F3233" s="258">
        <v>0.34331093463653023</v>
      </c>
      <c r="G3233" s="258">
        <f t="shared" si="776"/>
        <v>0.34331093463653023</v>
      </c>
      <c r="H3233" s="249">
        <f t="shared" si="777"/>
        <v>6.1768929291386678</v>
      </c>
      <c r="I3233" s="258">
        <v>0.369578497251069</v>
      </c>
      <c r="J3233" s="258">
        <f t="shared" si="778"/>
        <v>0.369578497251069</v>
      </c>
      <c r="K3233" s="249">
        <f t="shared" si="779"/>
        <v>4.0328474496029321</v>
      </c>
      <c r="L3233" s="374">
        <v>0.24129505192425169</v>
      </c>
      <c r="M3233" s="258">
        <f t="shared" si="780"/>
        <v>0.24129505192425169</v>
      </c>
      <c r="N3233" s="251">
        <f t="shared" si="781"/>
        <v>0.76573052840562006</v>
      </c>
      <c r="O3233" s="258">
        <v>4.5815516188149052E-2</v>
      </c>
      <c r="P3233" s="258">
        <f t="shared" si="782"/>
        <v>4.5815516188149052E-2</v>
      </c>
      <c r="Q3233" s="249">
        <v>16.37</v>
      </c>
      <c r="R3233" s="249">
        <f t="shared" si="784"/>
        <v>16.713345</v>
      </c>
      <c r="S3233" s="250">
        <v>0.1</v>
      </c>
      <c r="T3233" s="290">
        <f t="shared" si="787"/>
        <v>18.007000000000001</v>
      </c>
      <c r="U3233" s="315">
        <f t="shared" si="788"/>
        <v>18.384679500000001</v>
      </c>
      <c r="V3233" s="315">
        <f t="shared" si="786"/>
        <v>19</v>
      </c>
      <c r="W3233" s="316">
        <f t="shared" si="783"/>
        <v>0</v>
      </c>
    </row>
    <row r="3234" spans="1:23" x14ac:dyDescent="0.25">
      <c r="A3234" s="200">
        <v>833082</v>
      </c>
      <c r="B3234" s="313" t="s">
        <v>22695</v>
      </c>
      <c r="C3234" s="248"/>
      <c r="D3234" s="247" t="s">
        <v>2</v>
      </c>
      <c r="E3234" s="249">
        <f t="shared" si="775"/>
        <v>8.7281058724832228</v>
      </c>
      <c r="F3234" s="258">
        <v>0.38255033557046986</v>
      </c>
      <c r="G3234" s="258">
        <f t="shared" si="776"/>
        <v>0.38255033557046986</v>
      </c>
      <c r="H3234" s="249">
        <f t="shared" si="777"/>
        <v>9.2895629753914992</v>
      </c>
      <c r="I3234" s="258">
        <v>0.40715883668903807</v>
      </c>
      <c r="J3234" s="258">
        <f t="shared" si="778"/>
        <v>0.40715883668903807</v>
      </c>
      <c r="K3234" s="249">
        <f t="shared" si="779"/>
        <v>4.0322828299776292</v>
      </c>
      <c r="L3234" s="374">
        <v>0.17673378076062643</v>
      </c>
      <c r="M3234" s="258">
        <f t="shared" si="780"/>
        <v>0.17673378076062643</v>
      </c>
      <c r="N3234" s="251">
        <f t="shared" si="781"/>
        <v>0.76562332214765094</v>
      </c>
      <c r="O3234" s="258">
        <v>3.3557046979865772E-2</v>
      </c>
      <c r="P3234" s="258">
        <f t="shared" si="782"/>
        <v>3.3557046979865772E-2</v>
      </c>
      <c r="Q3234" s="249">
        <v>22.349999999999998</v>
      </c>
      <c r="R3234" s="249">
        <f t="shared" si="784"/>
        <v>22.815574999999999</v>
      </c>
      <c r="S3234" s="250">
        <v>0.1</v>
      </c>
      <c r="T3234" s="290">
        <f t="shared" si="787"/>
        <v>24.584999999999997</v>
      </c>
      <c r="U3234" s="315">
        <f t="shared" si="788"/>
        <v>25.097132500000001</v>
      </c>
      <c r="V3234" s="315">
        <f t="shared" si="786"/>
        <v>26</v>
      </c>
      <c r="W3234" s="316">
        <f t="shared" si="783"/>
        <v>0</v>
      </c>
    </row>
    <row r="3235" spans="1:23" x14ac:dyDescent="0.25">
      <c r="A3235" s="200">
        <v>833082</v>
      </c>
      <c r="B3235" s="313" t="s">
        <v>22696</v>
      </c>
      <c r="C3235" s="248"/>
      <c r="D3235" s="247" t="s">
        <v>2</v>
      </c>
      <c r="E3235" s="249">
        <f t="shared" si="775"/>
        <v>6.4804271091811421</v>
      </c>
      <c r="F3235" s="258">
        <v>0.31513647642679904</v>
      </c>
      <c r="G3235" s="258">
        <f t="shared" si="776"/>
        <v>0.31513647642679904</v>
      </c>
      <c r="H3235" s="249">
        <f t="shared" si="777"/>
        <v>9.2869112903225801</v>
      </c>
      <c r="I3235" s="258">
        <v>0.45161290322580644</v>
      </c>
      <c r="J3235" s="258">
        <f t="shared" si="778"/>
        <v>0.45161290322580644</v>
      </c>
      <c r="K3235" s="249">
        <f t="shared" si="779"/>
        <v>4.0311318238213403</v>
      </c>
      <c r="L3235" s="374">
        <v>0.19602977667493798</v>
      </c>
      <c r="M3235" s="258">
        <f t="shared" si="780"/>
        <v>0.19602977667493798</v>
      </c>
      <c r="N3235" s="251">
        <f t="shared" si="781"/>
        <v>0.765404776674938</v>
      </c>
      <c r="O3235" s="258">
        <v>3.722084367245658E-2</v>
      </c>
      <c r="P3235" s="258">
        <f t="shared" si="782"/>
        <v>3.722084367245658E-2</v>
      </c>
      <c r="Q3235" s="249">
        <v>20.149999999999999</v>
      </c>
      <c r="R3235" s="249">
        <f t="shared" si="784"/>
        <v>20.563874999999999</v>
      </c>
      <c r="S3235" s="250">
        <v>0.1</v>
      </c>
      <c r="T3235" s="290">
        <f t="shared" si="787"/>
        <v>22.164999999999999</v>
      </c>
      <c r="U3235" s="315">
        <f t="shared" si="788"/>
        <v>22.620262499999999</v>
      </c>
      <c r="V3235" s="315">
        <f t="shared" si="786"/>
        <v>23</v>
      </c>
      <c r="W3235" s="316">
        <f t="shared" si="783"/>
        <v>0</v>
      </c>
    </row>
    <row r="3236" spans="1:23" x14ac:dyDescent="0.25">
      <c r="A3236" s="200">
        <v>833085</v>
      </c>
      <c r="B3236" s="313" t="s">
        <v>22697</v>
      </c>
      <c r="C3236" s="248"/>
      <c r="D3236" s="247" t="s">
        <v>2</v>
      </c>
      <c r="E3236" s="249">
        <f t="shared" si="775"/>
        <v>9.1317416666666666</v>
      </c>
      <c r="F3236" s="258">
        <v>0.33333333333333331</v>
      </c>
      <c r="G3236" s="258">
        <f t="shared" si="776"/>
        <v>0.33333333333333331</v>
      </c>
      <c r="H3236" s="249">
        <f t="shared" si="777"/>
        <v>13.212966992551213</v>
      </c>
      <c r="I3236" s="258">
        <v>0.48230912476722532</v>
      </c>
      <c r="J3236" s="258">
        <f t="shared" si="778"/>
        <v>0.48230912476722532</v>
      </c>
      <c r="K3236" s="249">
        <f t="shared" si="779"/>
        <v>4.0302100093109878</v>
      </c>
      <c r="L3236" s="374">
        <v>0.14711359404096835</v>
      </c>
      <c r="M3236" s="258">
        <f t="shared" si="780"/>
        <v>0.14711359404096835</v>
      </c>
      <c r="N3236" s="251">
        <f t="shared" si="781"/>
        <v>1.020306331471136</v>
      </c>
      <c r="O3236" s="258">
        <v>3.7243947858473E-2</v>
      </c>
      <c r="P3236" s="258">
        <f t="shared" si="782"/>
        <v>3.7243947858473E-2</v>
      </c>
      <c r="Q3236" s="249">
        <v>26.849999999999998</v>
      </c>
      <c r="R3236" s="249">
        <f t="shared" si="784"/>
        <v>27.395225000000003</v>
      </c>
      <c r="S3236" s="250">
        <v>0.1</v>
      </c>
      <c r="T3236" s="290">
        <f t="shared" si="787"/>
        <v>29.534999999999997</v>
      </c>
      <c r="U3236" s="315">
        <f t="shared" si="788"/>
        <v>30.134747500000003</v>
      </c>
      <c r="V3236" s="315">
        <f t="shared" si="786"/>
        <v>31</v>
      </c>
      <c r="W3236" s="316">
        <f t="shared" si="783"/>
        <v>0</v>
      </c>
    </row>
    <row r="3237" spans="1:23" x14ac:dyDescent="0.25">
      <c r="A3237" s="200">
        <v>833085</v>
      </c>
      <c r="B3237" s="313" t="s">
        <v>22698</v>
      </c>
      <c r="C3237" s="248"/>
      <c r="D3237" s="247" t="s">
        <v>2</v>
      </c>
      <c r="E3237" s="249">
        <f t="shared" si="775"/>
        <v>6.9872421717171713</v>
      </c>
      <c r="F3237" s="258">
        <v>0.27676767676767677</v>
      </c>
      <c r="G3237" s="258">
        <f t="shared" si="776"/>
        <v>0.27676767676767677</v>
      </c>
      <c r="H3237" s="249">
        <f t="shared" si="777"/>
        <v>13.209457828282828</v>
      </c>
      <c r="I3237" s="258">
        <v>0.52323232323232327</v>
      </c>
      <c r="J3237" s="258">
        <f t="shared" si="778"/>
        <v>0.52323232323232327</v>
      </c>
      <c r="K3237" s="249">
        <f t="shared" si="779"/>
        <v>4.029139646464647</v>
      </c>
      <c r="L3237" s="374">
        <v>0.15959595959595962</v>
      </c>
      <c r="M3237" s="258">
        <f t="shared" si="780"/>
        <v>0.15959595959595962</v>
      </c>
      <c r="N3237" s="251">
        <f t="shared" si="781"/>
        <v>1.0200353535353535</v>
      </c>
      <c r="O3237" s="258">
        <v>4.0404040404040407E-2</v>
      </c>
      <c r="P3237" s="258">
        <f t="shared" si="782"/>
        <v>4.0404040404040407E-2</v>
      </c>
      <c r="Q3237" s="249">
        <v>24.749999999999996</v>
      </c>
      <c r="R3237" s="249">
        <f t="shared" si="784"/>
        <v>25.245874999999998</v>
      </c>
      <c r="S3237" s="250">
        <v>0.1</v>
      </c>
      <c r="T3237" s="290">
        <f t="shared" si="787"/>
        <v>27.224999999999994</v>
      </c>
      <c r="U3237" s="315">
        <f t="shared" si="788"/>
        <v>27.770462499999997</v>
      </c>
      <c r="V3237" s="315">
        <f t="shared" si="786"/>
        <v>28</v>
      </c>
      <c r="W3237" s="316">
        <f t="shared" si="783"/>
        <v>0</v>
      </c>
    </row>
    <row r="3238" spans="1:23" x14ac:dyDescent="0.25">
      <c r="A3238" s="200">
        <v>833085</v>
      </c>
      <c r="B3238" s="313" t="s">
        <v>22699</v>
      </c>
      <c r="C3238" s="248"/>
      <c r="D3238" s="247" t="s">
        <v>2</v>
      </c>
      <c r="E3238" s="249">
        <f t="shared" si="775"/>
        <v>15.058810299950421</v>
      </c>
      <c r="F3238" s="258">
        <v>0.43877045116509666</v>
      </c>
      <c r="G3238" s="258">
        <f t="shared" si="776"/>
        <v>0.43877045116509666</v>
      </c>
      <c r="H3238" s="249">
        <f t="shared" si="777"/>
        <v>13.425312233515122</v>
      </c>
      <c r="I3238" s="258">
        <v>0.39117501239464553</v>
      </c>
      <c r="J3238" s="258">
        <f t="shared" si="778"/>
        <v>0.39117501239464553</v>
      </c>
      <c r="K3238" s="249">
        <f t="shared" si="779"/>
        <v>4.8154161750123947</v>
      </c>
      <c r="L3238" s="374">
        <v>0.14030738720872582</v>
      </c>
      <c r="M3238" s="258">
        <f t="shared" si="780"/>
        <v>0.14030738720872582</v>
      </c>
      <c r="N3238" s="251">
        <f t="shared" si="781"/>
        <v>1.0209362915220626</v>
      </c>
      <c r="O3238" s="258">
        <v>2.9747149231531978E-2</v>
      </c>
      <c r="P3238" s="258">
        <f t="shared" si="782"/>
        <v>2.9747149231531978E-2</v>
      </c>
      <c r="Q3238" s="249">
        <v>33.616666666666667</v>
      </c>
      <c r="R3238" s="249">
        <f t="shared" si="784"/>
        <v>34.320475000000002</v>
      </c>
      <c r="S3238" s="250">
        <v>0.1</v>
      </c>
      <c r="T3238" s="290">
        <f t="shared" si="787"/>
        <v>36.978333333333332</v>
      </c>
      <c r="U3238" s="315">
        <f t="shared" si="788"/>
        <v>37.752522500000005</v>
      </c>
      <c r="V3238" s="315">
        <f t="shared" si="786"/>
        <v>38</v>
      </c>
      <c r="W3238" s="316">
        <f t="shared" si="783"/>
        <v>0</v>
      </c>
    </row>
    <row r="3239" spans="1:23" x14ac:dyDescent="0.25">
      <c r="A3239" s="200">
        <v>833085</v>
      </c>
      <c r="B3239" s="313" t="s">
        <v>22700</v>
      </c>
      <c r="C3239" s="248"/>
      <c r="D3239" s="247" t="s">
        <v>2</v>
      </c>
      <c r="E3239" s="249">
        <f t="shared" si="775"/>
        <v>12.197409977287476</v>
      </c>
      <c r="F3239" s="258">
        <v>0.38773523685918232</v>
      </c>
      <c r="G3239" s="258">
        <f t="shared" si="776"/>
        <v>0.38773523685918232</v>
      </c>
      <c r="H3239" s="249">
        <f t="shared" si="777"/>
        <v>13.422254493835172</v>
      </c>
      <c r="I3239" s="258">
        <v>0.42667099286177806</v>
      </c>
      <c r="J3239" s="258">
        <f t="shared" si="778"/>
        <v>0.42667099286177806</v>
      </c>
      <c r="K3239" s="249">
        <f t="shared" si="779"/>
        <v>4.8177217650876054</v>
      </c>
      <c r="L3239" s="374">
        <v>0.15314730694354314</v>
      </c>
      <c r="M3239" s="258">
        <f t="shared" si="780"/>
        <v>0.15314730694354314</v>
      </c>
      <c r="N3239" s="251">
        <f t="shared" si="781"/>
        <v>1.0207037637897469</v>
      </c>
      <c r="O3239" s="258">
        <v>3.2446463335496431E-2</v>
      </c>
      <c r="P3239" s="258">
        <f t="shared" si="782"/>
        <v>3.2446463335496431E-2</v>
      </c>
      <c r="Q3239" s="249">
        <v>30.82</v>
      </c>
      <c r="R3239" s="249">
        <f t="shared" si="784"/>
        <v>31.458090000000002</v>
      </c>
      <c r="S3239" s="250">
        <v>0.1</v>
      </c>
      <c r="T3239" s="290">
        <f t="shared" si="787"/>
        <v>33.902000000000001</v>
      </c>
      <c r="U3239" s="315">
        <f t="shared" si="788"/>
        <v>34.603899000000006</v>
      </c>
      <c r="V3239" s="315">
        <f t="shared" si="786"/>
        <v>35</v>
      </c>
      <c r="W3239" s="316">
        <f t="shared" si="783"/>
        <v>0</v>
      </c>
    </row>
    <row r="3240" spans="1:23" x14ac:dyDescent="0.25">
      <c r="A3240" s="200">
        <v>833010</v>
      </c>
      <c r="B3240" s="313" t="s">
        <v>22701</v>
      </c>
      <c r="C3240" s="248"/>
      <c r="D3240" s="247" t="s">
        <v>2</v>
      </c>
      <c r="E3240" s="249">
        <f t="shared" si="775"/>
        <v>3.3451494140698479</v>
      </c>
      <c r="F3240" s="258">
        <v>0.55357702677283838</v>
      </c>
      <c r="G3240" s="258">
        <f t="shared" si="776"/>
        <v>0.55357702677283838</v>
      </c>
      <c r="H3240" s="249">
        <f t="shared" si="777"/>
        <v>0.3580435152674149</v>
      </c>
      <c r="I3240" s="258">
        <v>5.9251363721863431E-2</v>
      </c>
      <c r="J3240" s="258">
        <f t="shared" si="778"/>
        <v>5.9251363721863431E-2</v>
      </c>
      <c r="K3240" s="249">
        <f t="shared" si="779"/>
        <v>2.0838511470590286</v>
      </c>
      <c r="L3240" s="374">
        <v>0.34484920684682424</v>
      </c>
      <c r="M3240" s="258">
        <f t="shared" si="780"/>
        <v>0.34484920684682424</v>
      </c>
      <c r="N3240" s="251">
        <f t="shared" si="781"/>
        <v>0.25574536804815351</v>
      </c>
      <c r="O3240" s="258">
        <v>4.2322402658473882E-2</v>
      </c>
      <c r="P3240" s="258">
        <f t="shared" si="782"/>
        <v>4.2322402658473882E-2</v>
      </c>
      <c r="Q3240" s="249">
        <v>5.9070370370370373</v>
      </c>
      <c r="R3240" s="249">
        <f t="shared" si="784"/>
        <v>6.0427894444444457</v>
      </c>
      <c r="S3240" s="250">
        <v>0.1</v>
      </c>
      <c r="T3240" s="290">
        <f t="shared" si="787"/>
        <v>6.497740740740741</v>
      </c>
      <c r="U3240" s="315">
        <f t="shared" si="788"/>
        <v>6.64706838888889</v>
      </c>
      <c r="V3240" s="315">
        <f t="shared" si="786"/>
        <v>7</v>
      </c>
      <c r="W3240" s="316">
        <f t="shared" si="783"/>
        <v>0</v>
      </c>
    </row>
    <row r="3241" spans="1:23" x14ac:dyDescent="0.25">
      <c r="A3241" s="200">
        <v>833010</v>
      </c>
      <c r="B3241" s="313" t="s">
        <v>22702</v>
      </c>
      <c r="C3241" s="248"/>
      <c r="D3241" s="247" t="s">
        <v>2</v>
      </c>
      <c r="E3241" s="249">
        <f t="shared" si="775"/>
        <v>1.4829901589242056</v>
      </c>
      <c r="F3241" s="258">
        <v>0.3545232273838631</v>
      </c>
      <c r="G3241" s="258">
        <f t="shared" si="776"/>
        <v>0.3545232273838631</v>
      </c>
      <c r="H3241" s="249">
        <f t="shared" si="777"/>
        <v>0.35796314180929095</v>
      </c>
      <c r="I3241" s="258">
        <v>8.5574572127139356E-2</v>
      </c>
      <c r="J3241" s="258">
        <f t="shared" si="778"/>
        <v>8.5574572127139356E-2</v>
      </c>
      <c r="K3241" s="249">
        <f t="shared" si="779"/>
        <v>2.0864137408312962</v>
      </c>
      <c r="L3241" s="374">
        <v>0.49877750611246946</v>
      </c>
      <c r="M3241" s="258">
        <f t="shared" si="780"/>
        <v>0.49877750611246946</v>
      </c>
      <c r="N3241" s="251">
        <f t="shared" si="781"/>
        <v>0.25568795843520786</v>
      </c>
      <c r="O3241" s="258">
        <v>6.1124694376528121E-2</v>
      </c>
      <c r="P3241" s="258">
        <f t="shared" si="782"/>
        <v>6.1124694376528121E-2</v>
      </c>
      <c r="Q3241" s="249">
        <v>4.09</v>
      </c>
      <c r="R3241" s="249">
        <f t="shared" si="784"/>
        <v>4.1830550000000004</v>
      </c>
      <c r="S3241" s="250">
        <v>0.1</v>
      </c>
      <c r="T3241" s="290">
        <f t="shared" si="787"/>
        <v>4.4989999999999997</v>
      </c>
      <c r="U3241" s="315">
        <f t="shared" si="788"/>
        <v>4.6013605000000002</v>
      </c>
      <c r="V3241" s="315">
        <f t="shared" si="786"/>
        <v>5</v>
      </c>
      <c r="W3241" s="316">
        <f t="shared" si="783"/>
        <v>0</v>
      </c>
    </row>
    <row r="3242" spans="1:23" x14ac:dyDescent="0.25">
      <c r="A3242" s="200">
        <v>833020</v>
      </c>
      <c r="B3242" s="313" t="s">
        <v>22703</v>
      </c>
      <c r="C3242" s="248"/>
      <c r="D3242" s="247" t="s">
        <v>2</v>
      </c>
      <c r="E3242" s="249">
        <f t="shared" si="775"/>
        <v>5.6762198805460757</v>
      </c>
      <c r="F3242" s="258">
        <v>0.63139931740614341</v>
      </c>
      <c r="G3242" s="258">
        <f t="shared" si="776"/>
        <v>0.63139931740614341</v>
      </c>
      <c r="H3242" s="249">
        <f t="shared" si="777"/>
        <v>0.97160520477815704</v>
      </c>
      <c r="I3242" s="258">
        <v>0.1080773606370876</v>
      </c>
      <c r="J3242" s="258">
        <f t="shared" si="778"/>
        <v>0.1080773606370876</v>
      </c>
      <c r="K3242" s="249">
        <f t="shared" si="779"/>
        <v>2.0863943344709903</v>
      </c>
      <c r="L3242" s="374">
        <v>0.23208191126279867</v>
      </c>
      <c r="M3242" s="258">
        <f t="shared" si="780"/>
        <v>0.23208191126279867</v>
      </c>
      <c r="N3242" s="251">
        <f t="shared" si="781"/>
        <v>0.25568558020477816</v>
      </c>
      <c r="O3242" s="258">
        <v>2.8441410693970423E-2</v>
      </c>
      <c r="P3242" s="258">
        <f t="shared" si="782"/>
        <v>2.8441410693970423E-2</v>
      </c>
      <c r="Q3242" s="249">
        <v>8.7899999999999991</v>
      </c>
      <c r="R3242" s="249">
        <f t="shared" si="784"/>
        <v>8.9899050000000003</v>
      </c>
      <c r="S3242" s="250">
        <v>0.1</v>
      </c>
      <c r="T3242" s="290">
        <f t="shared" si="787"/>
        <v>9.6689999999999987</v>
      </c>
      <c r="U3242" s="315">
        <f t="shared" si="788"/>
        <v>9.8888955000000003</v>
      </c>
      <c r="V3242" s="315">
        <f t="shared" si="786"/>
        <v>10</v>
      </c>
      <c r="W3242" s="316">
        <f t="shared" si="783"/>
        <v>0</v>
      </c>
    </row>
    <row r="3243" spans="1:23" x14ac:dyDescent="0.25">
      <c r="A3243" s="200">
        <v>833020</v>
      </c>
      <c r="B3243" s="313" t="s">
        <v>22704</v>
      </c>
      <c r="C3243" s="248"/>
      <c r="D3243" s="247" t="s">
        <v>2</v>
      </c>
      <c r="E3243" s="249">
        <f t="shared" si="775"/>
        <v>4.3460959612817094</v>
      </c>
      <c r="F3243" s="258">
        <v>0.56742323097463288</v>
      </c>
      <c r="G3243" s="258">
        <f t="shared" si="776"/>
        <v>0.56742323097463288</v>
      </c>
      <c r="H3243" s="249">
        <f t="shared" si="777"/>
        <v>0.9714802736982644</v>
      </c>
      <c r="I3243" s="258">
        <v>0.12683578104138851</v>
      </c>
      <c r="J3243" s="258">
        <f t="shared" si="778"/>
        <v>0.12683578104138851</v>
      </c>
      <c r="K3243" s="249">
        <f t="shared" si="779"/>
        <v>2.0861260614152202</v>
      </c>
      <c r="L3243" s="374">
        <v>0.27236315086782376</v>
      </c>
      <c r="M3243" s="258">
        <f t="shared" si="780"/>
        <v>0.27236315086782376</v>
      </c>
      <c r="N3243" s="251">
        <f t="shared" si="781"/>
        <v>0.25565270360480641</v>
      </c>
      <c r="O3243" s="258">
        <v>3.3377837116154871E-2</v>
      </c>
      <c r="P3243" s="258">
        <f t="shared" si="782"/>
        <v>3.3377837116154871E-2</v>
      </c>
      <c r="Q3243" s="249">
        <v>7.49</v>
      </c>
      <c r="R3243" s="249">
        <f t="shared" si="784"/>
        <v>7.6593550000000006</v>
      </c>
      <c r="S3243" s="250">
        <v>0.1</v>
      </c>
      <c r="T3243" s="290">
        <f t="shared" si="787"/>
        <v>8.2390000000000008</v>
      </c>
      <c r="U3243" s="315">
        <f t="shared" si="788"/>
        <v>8.4252905000000009</v>
      </c>
      <c r="V3243" s="315">
        <f t="shared" si="786"/>
        <v>9</v>
      </c>
      <c r="W3243" s="316">
        <f t="shared" si="783"/>
        <v>0</v>
      </c>
    </row>
    <row r="3244" spans="1:23" x14ac:dyDescent="0.25">
      <c r="A3244" s="200">
        <v>833030</v>
      </c>
      <c r="B3244" s="313" t="s">
        <v>22705</v>
      </c>
      <c r="C3244" s="248"/>
      <c r="D3244" s="247" t="s">
        <v>2</v>
      </c>
      <c r="E3244" s="249">
        <f t="shared" si="775"/>
        <v>5.9822043929712443</v>
      </c>
      <c r="F3244" s="258">
        <v>0.62300319488817879</v>
      </c>
      <c r="G3244" s="258">
        <f t="shared" si="776"/>
        <v>0.62300319488817879</v>
      </c>
      <c r="H3244" s="249">
        <f t="shared" si="777"/>
        <v>1.2782488019169329</v>
      </c>
      <c r="I3244" s="258">
        <v>0.13312034078807242</v>
      </c>
      <c r="J3244" s="258">
        <f t="shared" si="778"/>
        <v>0.13312034078807242</v>
      </c>
      <c r="K3244" s="249">
        <f t="shared" si="779"/>
        <v>2.0861020447284342</v>
      </c>
      <c r="L3244" s="374">
        <v>0.21725239616613418</v>
      </c>
      <c r="M3244" s="258">
        <f t="shared" si="780"/>
        <v>0.21725239616613418</v>
      </c>
      <c r="N3244" s="251">
        <f t="shared" si="781"/>
        <v>0.25564976038338655</v>
      </c>
      <c r="O3244" s="258">
        <v>2.6624068157614481E-2</v>
      </c>
      <c r="P3244" s="258">
        <f t="shared" si="782"/>
        <v>2.6624068157614481E-2</v>
      </c>
      <c r="Q3244" s="249">
        <v>9.39</v>
      </c>
      <c r="R3244" s="249">
        <f t="shared" si="784"/>
        <v>9.6022049999999997</v>
      </c>
      <c r="S3244" s="250">
        <v>0.1</v>
      </c>
      <c r="T3244" s="290">
        <f t="shared" si="787"/>
        <v>10.329000000000001</v>
      </c>
      <c r="U3244" s="315">
        <f t="shared" si="788"/>
        <v>10.5624255</v>
      </c>
      <c r="V3244" s="315">
        <f t="shared" si="786"/>
        <v>11</v>
      </c>
      <c r="W3244" s="316">
        <f t="shared" si="783"/>
        <v>0</v>
      </c>
    </row>
    <row r="3245" spans="1:23" x14ac:dyDescent="0.25">
      <c r="A3245" s="200">
        <v>833030</v>
      </c>
      <c r="B3245" s="313" t="s">
        <v>22706</v>
      </c>
      <c r="C3245" s="248"/>
      <c r="D3245" s="247" t="s">
        <v>2</v>
      </c>
      <c r="E3245" s="249">
        <f t="shared" si="775"/>
        <v>4.3452594672657261</v>
      </c>
      <c r="F3245" s="258">
        <v>0.54557124518613609</v>
      </c>
      <c r="G3245" s="258">
        <f t="shared" si="776"/>
        <v>0.54557124518613609</v>
      </c>
      <c r="H3245" s="249">
        <f t="shared" si="777"/>
        <v>1.2780174903722725</v>
      </c>
      <c r="I3245" s="258">
        <v>0.16046213093709885</v>
      </c>
      <c r="J3245" s="258">
        <f t="shared" si="778"/>
        <v>0.16046213093709885</v>
      </c>
      <c r="K3245" s="249">
        <f t="shared" si="779"/>
        <v>2.0857245442875487</v>
      </c>
      <c r="L3245" s="374">
        <v>0.26187419768934533</v>
      </c>
      <c r="M3245" s="258">
        <f t="shared" si="780"/>
        <v>0.26187419768934533</v>
      </c>
      <c r="N3245" s="251">
        <f t="shared" si="781"/>
        <v>0.25560349807445448</v>
      </c>
      <c r="O3245" s="258">
        <v>3.2092426187419767E-2</v>
      </c>
      <c r="P3245" s="258">
        <f t="shared" si="782"/>
        <v>3.2092426187419767E-2</v>
      </c>
      <c r="Q3245" s="249">
        <v>7.79</v>
      </c>
      <c r="R3245" s="249">
        <f t="shared" si="784"/>
        <v>7.9646050000000015</v>
      </c>
      <c r="S3245" s="250">
        <v>0.1</v>
      </c>
      <c r="T3245" s="290">
        <f t="shared" si="787"/>
        <v>8.5690000000000008</v>
      </c>
      <c r="U3245" s="315">
        <f t="shared" si="788"/>
        <v>8.7610655000000008</v>
      </c>
      <c r="V3245" s="315">
        <f t="shared" si="786"/>
        <v>9</v>
      </c>
      <c r="W3245" s="316">
        <f t="shared" si="783"/>
        <v>0</v>
      </c>
    </row>
    <row r="3246" spans="1:23" x14ac:dyDescent="0.25">
      <c r="A3246" s="200">
        <v>833040</v>
      </c>
      <c r="B3246" s="313" t="s">
        <v>22707</v>
      </c>
      <c r="C3246" s="248"/>
      <c r="D3246" s="247" t="s">
        <v>2</v>
      </c>
      <c r="E3246" s="249">
        <f t="shared" si="775"/>
        <v>13.537402902035343</v>
      </c>
      <c r="F3246" s="258">
        <v>0.59270856631626045</v>
      </c>
      <c r="G3246" s="258">
        <f t="shared" si="776"/>
        <v>0.59270856631626045</v>
      </c>
      <c r="H3246" s="249">
        <f t="shared" si="777"/>
        <v>6.2833983281145178</v>
      </c>
      <c r="I3246" s="258">
        <v>0.27510624021471713</v>
      </c>
      <c r="J3246" s="258">
        <f t="shared" si="778"/>
        <v>0.27510624021471713</v>
      </c>
      <c r="K3246" s="249">
        <f t="shared" si="779"/>
        <v>2.5082508773205108</v>
      </c>
      <c r="L3246" s="374">
        <v>0.10981883247595618</v>
      </c>
      <c r="M3246" s="258">
        <f t="shared" si="780"/>
        <v>0.10981883247595618</v>
      </c>
      <c r="N3246" s="251">
        <f t="shared" si="781"/>
        <v>0.51084539252963557</v>
      </c>
      <c r="O3246" s="258">
        <v>2.2366360993066429E-2</v>
      </c>
      <c r="P3246" s="258">
        <f t="shared" si="782"/>
        <v>2.2366360993066429E-2</v>
      </c>
      <c r="Q3246" s="249">
        <v>22.354999999999997</v>
      </c>
      <c r="R3246" s="249">
        <f t="shared" si="784"/>
        <v>22.839897500000003</v>
      </c>
      <c r="S3246" s="250">
        <v>0.1</v>
      </c>
      <c r="T3246" s="290">
        <f t="shared" si="787"/>
        <v>24.590499999999995</v>
      </c>
      <c r="U3246" s="315">
        <f t="shared" si="788"/>
        <v>25.123887250000003</v>
      </c>
      <c r="V3246" s="315">
        <f t="shared" si="786"/>
        <v>26</v>
      </c>
      <c r="W3246" s="316">
        <f t="shared" si="783"/>
        <v>0</v>
      </c>
    </row>
    <row r="3247" spans="1:23" x14ac:dyDescent="0.25">
      <c r="A3247" s="200">
        <v>833040</v>
      </c>
      <c r="B3247" s="313" t="s">
        <v>22708</v>
      </c>
      <c r="C3247" s="248"/>
      <c r="D3247" s="247" t="s">
        <v>2</v>
      </c>
      <c r="E3247" s="249">
        <f t="shared" si="775"/>
        <v>9.4469927472078457</v>
      </c>
      <c r="F3247" s="258">
        <v>0.50394987741759734</v>
      </c>
      <c r="G3247" s="258">
        <f t="shared" si="776"/>
        <v>0.50394987741759734</v>
      </c>
      <c r="H3247" s="249">
        <f t="shared" si="777"/>
        <v>6.2809735562517028</v>
      </c>
      <c r="I3247" s="258">
        <v>0.3350585671479161</v>
      </c>
      <c r="J3247" s="258">
        <f t="shared" si="778"/>
        <v>0.3350585671479161</v>
      </c>
      <c r="K3247" s="249">
        <f t="shared" si="779"/>
        <v>2.507282939934623</v>
      </c>
      <c r="L3247" s="374">
        <v>0.1337510215200218</v>
      </c>
      <c r="M3247" s="258">
        <f t="shared" si="780"/>
        <v>0.1337510215200218</v>
      </c>
      <c r="N3247" s="251">
        <f t="shared" si="781"/>
        <v>0.51064825660582946</v>
      </c>
      <c r="O3247" s="258">
        <v>2.7240533914464723E-2</v>
      </c>
      <c r="P3247" s="258">
        <f t="shared" si="782"/>
        <v>2.7240533914464723E-2</v>
      </c>
      <c r="Q3247" s="249">
        <v>18.355</v>
      </c>
      <c r="R3247" s="249">
        <f t="shared" si="784"/>
        <v>18.745897500000002</v>
      </c>
      <c r="S3247" s="250">
        <v>0.1</v>
      </c>
      <c r="T3247" s="290">
        <f t="shared" si="787"/>
        <v>20.1905</v>
      </c>
      <c r="U3247" s="315">
        <f t="shared" si="788"/>
        <v>20.620487250000004</v>
      </c>
      <c r="V3247" s="315">
        <f t="shared" si="786"/>
        <v>21</v>
      </c>
      <c r="W3247" s="316">
        <f t="shared" si="783"/>
        <v>0</v>
      </c>
    </row>
    <row r="3248" spans="1:23" x14ac:dyDescent="0.25">
      <c r="A3248" s="200">
        <v>833050</v>
      </c>
      <c r="B3248" s="313" t="s">
        <v>22709</v>
      </c>
      <c r="C3248" s="248"/>
      <c r="D3248" s="247" t="s">
        <v>2</v>
      </c>
      <c r="E3248" s="249">
        <f t="shared" si="775"/>
        <v>13.526495146678169</v>
      </c>
      <c r="F3248" s="258">
        <v>0.45729076790336493</v>
      </c>
      <c r="G3248" s="258">
        <f t="shared" si="776"/>
        <v>0.45729076790336493</v>
      </c>
      <c r="H3248" s="249">
        <f t="shared" si="777"/>
        <v>11.995193809318378</v>
      </c>
      <c r="I3248" s="258">
        <v>0.40552200172562552</v>
      </c>
      <c r="J3248" s="258">
        <f t="shared" si="778"/>
        <v>0.40552200172562552</v>
      </c>
      <c r="K3248" s="249">
        <f t="shared" si="779"/>
        <v>3.292297875323555</v>
      </c>
      <c r="L3248" s="374">
        <v>0.11130284728213978</v>
      </c>
      <c r="M3248" s="258">
        <f t="shared" si="780"/>
        <v>0.11130284728213978</v>
      </c>
      <c r="N3248" s="251">
        <f t="shared" si="781"/>
        <v>0.7656506686798964</v>
      </c>
      <c r="O3248" s="258">
        <v>2.5884383088869714E-2</v>
      </c>
      <c r="P3248" s="258">
        <f t="shared" si="782"/>
        <v>2.5884383088869714E-2</v>
      </c>
      <c r="Q3248" s="249">
        <v>28.975000000000001</v>
      </c>
      <c r="R3248" s="249">
        <f t="shared" si="784"/>
        <v>29.5796375</v>
      </c>
      <c r="S3248" s="250">
        <v>0.1</v>
      </c>
      <c r="T3248" s="290">
        <f t="shared" si="787"/>
        <v>31.872500000000002</v>
      </c>
      <c r="U3248" s="315">
        <f t="shared" si="788"/>
        <v>32.537601250000002</v>
      </c>
      <c r="V3248" s="315">
        <f t="shared" si="786"/>
        <v>33</v>
      </c>
      <c r="W3248" s="316">
        <f t="shared" si="783"/>
        <v>0</v>
      </c>
    </row>
    <row r="3249" spans="1:23" x14ac:dyDescent="0.25">
      <c r="A3249" s="200">
        <v>833050</v>
      </c>
      <c r="B3249" s="313" t="s">
        <v>22710</v>
      </c>
      <c r="C3249" s="248"/>
      <c r="D3249" s="247" t="s">
        <v>2</v>
      </c>
      <c r="E3249" s="249">
        <f t="shared" si="775"/>
        <v>11.380387704613099</v>
      </c>
      <c r="F3249" s="258">
        <v>0.41480654761904767</v>
      </c>
      <c r="G3249" s="258">
        <f t="shared" si="776"/>
        <v>0.41480654761904767</v>
      </c>
      <c r="H3249" s="249">
        <f t="shared" si="777"/>
        <v>11.992785249255956</v>
      </c>
      <c r="I3249" s="258">
        <v>0.43712797619047622</v>
      </c>
      <c r="J3249" s="258">
        <f t="shared" si="778"/>
        <v>0.43712797619047622</v>
      </c>
      <c r="K3249" s="249">
        <f t="shared" si="779"/>
        <v>3.2967401153273816</v>
      </c>
      <c r="L3249" s="374">
        <v>0.12016369047619048</v>
      </c>
      <c r="M3249" s="258">
        <f t="shared" si="780"/>
        <v>0.12016369047619048</v>
      </c>
      <c r="N3249" s="251">
        <f t="shared" si="781"/>
        <v>0.76549693080357162</v>
      </c>
      <c r="O3249" s="258">
        <v>2.7901785714285716E-2</v>
      </c>
      <c r="P3249" s="258">
        <f t="shared" si="782"/>
        <v>2.7901785714285716E-2</v>
      </c>
      <c r="Q3249" s="249">
        <v>26.88</v>
      </c>
      <c r="R3249" s="249">
        <f t="shared" si="784"/>
        <v>27.435410000000005</v>
      </c>
      <c r="S3249" s="250">
        <v>0.1</v>
      </c>
      <c r="T3249" s="290">
        <f t="shared" si="787"/>
        <v>29.567999999999998</v>
      </c>
      <c r="U3249" s="315">
        <f t="shared" si="788"/>
        <v>30.178951000000005</v>
      </c>
      <c r="V3249" s="315">
        <f t="shared" si="786"/>
        <v>31</v>
      </c>
      <c r="W3249" s="316">
        <f t="shared" si="783"/>
        <v>0</v>
      </c>
    </row>
    <row r="3250" spans="1:23" x14ac:dyDescent="0.25">
      <c r="A3250" s="200">
        <v>833060</v>
      </c>
      <c r="B3250" s="313" t="s">
        <v>22711</v>
      </c>
      <c r="C3250" s="248"/>
      <c r="D3250" s="247" t="s">
        <v>2</v>
      </c>
      <c r="E3250" s="249">
        <f t="shared" si="775"/>
        <v>15.058810299950421</v>
      </c>
      <c r="F3250" s="258">
        <v>0.43877045116509666</v>
      </c>
      <c r="G3250" s="258">
        <f t="shared" si="776"/>
        <v>0.43877045116509666</v>
      </c>
      <c r="H3250" s="249">
        <f t="shared" si="777"/>
        <v>13.425312233515122</v>
      </c>
      <c r="I3250" s="258">
        <v>0.39117501239464553</v>
      </c>
      <c r="J3250" s="258">
        <f t="shared" si="778"/>
        <v>0.39117501239464553</v>
      </c>
      <c r="K3250" s="249">
        <f t="shared" si="779"/>
        <v>4.8154161750123947</v>
      </c>
      <c r="L3250" s="374">
        <v>0.14030738720872582</v>
      </c>
      <c r="M3250" s="258">
        <f t="shared" si="780"/>
        <v>0.14030738720872582</v>
      </c>
      <c r="N3250" s="251">
        <f t="shared" si="781"/>
        <v>1.0209362915220626</v>
      </c>
      <c r="O3250" s="258">
        <v>2.9747149231531978E-2</v>
      </c>
      <c r="P3250" s="258">
        <f t="shared" si="782"/>
        <v>2.9747149231531978E-2</v>
      </c>
      <c r="Q3250" s="249">
        <v>33.616666666666667</v>
      </c>
      <c r="R3250" s="249">
        <f t="shared" si="784"/>
        <v>34.320475000000002</v>
      </c>
      <c r="S3250" s="250">
        <v>0.1</v>
      </c>
      <c r="T3250" s="290">
        <f t="shared" si="787"/>
        <v>36.978333333333332</v>
      </c>
      <c r="U3250" s="315">
        <f t="shared" si="788"/>
        <v>37.752522500000005</v>
      </c>
      <c r="V3250" s="315">
        <f t="shared" si="786"/>
        <v>38</v>
      </c>
      <c r="W3250" s="316">
        <f t="shared" si="783"/>
        <v>0</v>
      </c>
    </row>
    <row r="3251" spans="1:23" x14ac:dyDescent="0.25">
      <c r="A3251" s="200">
        <v>833060</v>
      </c>
      <c r="B3251" s="313" t="s">
        <v>22712</v>
      </c>
      <c r="C3251" s="248"/>
      <c r="D3251" s="247" t="s">
        <v>2</v>
      </c>
      <c r="E3251" s="249">
        <f t="shared" si="775"/>
        <v>12.197409977287476</v>
      </c>
      <c r="F3251" s="258">
        <v>0.38773523685918232</v>
      </c>
      <c r="G3251" s="258">
        <f t="shared" si="776"/>
        <v>0.38773523685918232</v>
      </c>
      <c r="H3251" s="249">
        <f t="shared" si="777"/>
        <v>13.422254493835172</v>
      </c>
      <c r="I3251" s="258">
        <v>0.42667099286177806</v>
      </c>
      <c r="J3251" s="258">
        <f t="shared" si="778"/>
        <v>0.42667099286177806</v>
      </c>
      <c r="K3251" s="249">
        <f t="shared" si="779"/>
        <v>4.8177217650876054</v>
      </c>
      <c r="L3251" s="374">
        <v>0.15314730694354314</v>
      </c>
      <c r="M3251" s="258">
        <f t="shared" si="780"/>
        <v>0.15314730694354314</v>
      </c>
      <c r="N3251" s="251">
        <f t="shared" si="781"/>
        <v>1.0207037637897469</v>
      </c>
      <c r="O3251" s="258">
        <v>3.2446463335496431E-2</v>
      </c>
      <c r="P3251" s="258">
        <f t="shared" si="782"/>
        <v>3.2446463335496431E-2</v>
      </c>
      <c r="Q3251" s="249">
        <v>30.82</v>
      </c>
      <c r="R3251" s="249">
        <f t="shared" si="784"/>
        <v>31.458090000000002</v>
      </c>
      <c r="S3251" s="250">
        <v>0.1</v>
      </c>
      <c r="T3251" s="290">
        <f t="shared" si="787"/>
        <v>33.902000000000001</v>
      </c>
      <c r="U3251" s="315">
        <f t="shared" si="788"/>
        <v>34.603899000000006</v>
      </c>
      <c r="V3251" s="315">
        <f t="shared" si="786"/>
        <v>35</v>
      </c>
      <c r="W3251" s="316">
        <f t="shared" si="783"/>
        <v>0</v>
      </c>
    </row>
    <row r="3252" spans="1:23" x14ac:dyDescent="0.25">
      <c r="A3252" s="200">
        <v>833110</v>
      </c>
      <c r="B3252" s="313" t="s">
        <v>22713</v>
      </c>
      <c r="C3252" s="248"/>
      <c r="D3252" s="247" t="s">
        <v>2</v>
      </c>
      <c r="E3252" s="249">
        <f t="shared" si="775"/>
        <v>13.933480488016675</v>
      </c>
      <c r="F3252" s="258">
        <v>0.47412295936088922</v>
      </c>
      <c r="G3252" s="258">
        <f t="shared" si="776"/>
        <v>0.47412295936088922</v>
      </c>
      <c r="H3252" s="249">
        <f t="shared" si="777"/>
        <v>13.014789466828761</v>
      </c>
      <c r="I3252" s="258">
        <v>0.44286210489753386</v>
      </c>
      <c r="J3252" s="258">
        <f t="shared" si="778"/>
        <v>0.44286210489753386</v>
      </c>
      <c r="K3252" s="249">
        <f t="shared" si="779"/>
        <v>2.0823663146926021</v>
      </c>
      <c r="L3252" s="374">
        <v>7.0857936783605427E-2</v>
      </c>
      <c r="M3252" s="258">
        <f t="shared" si="780"/>
        <v>7.0857936783605427E-2</v>
      </c>
      <c r="N3252" s="251">
        <f t="shared" si="781"/>
        <v>0.35726873046196594</v>
      </c>
      <c r="O3252" s="258">
        <v>1.2156998957971517E-2</v>
      </c>
      <c r="P3252" s="258">
        <f t="shared" si="782"/>
        <v>1.2156998957971517E-2</v>
      </c>
      <c r="Q3252" s="249">
        <v>28.79</v>
      </c>
      <c r="R3252" s="249">
        <f t="shared" si="784"/>
        <v>29.387905000000003</v>
      </c>
      <c r="S3252" s="250">
        <v>0.1</v>
      </c>
      <c r="T3252" s="290">
        <f t="shared" si="787"/>
        <v>31.669</v>
      </c>
      <c r="U3252" s="315">
        <f t="shared" si="788"/>
        <v>32.326695500000007</v>
      </c>
      <c r="V3252" s="315">
        <f t="shared" si="786"/>
        <v>33</v>
      </c>
      <c r="W3252" s="316">
        <f t="shared" si="783"/>
        <v>0</v>
      </c>
    </row>
    <row r="3253" spans="1:23" x14ac:dyDescent="0.25">
      <c r="A3253" s="200">
        <v>833110</v>
      </c>
      <c r="B3253" s="313" t="s">
        <v>22714</v>
      </c>
      <c r="C3253" s="248"/>
      <c r="D3253" s="247" t="s">
        <v>2</v>
      </c>
      <c r="E3253" s="249">
        <f t="shared" si="775"/>
        <v>12.196126328903652</v>
      </c>
      <c r="F3253" s="258">
        <v>0.44112218530823177</v>
      </c>
      <c r="G3253" s="258">
        <f t="shared" si="776"/>
        <v>0.44112218530823177</v>
      </c>
      <c r="H3253" s="249">
        <f t="shared" si="777"/>
        <v>13.012603405315614</v>
      </c>
      <c r="I3253" s="258">
        <v>0.47065337763012183</v>
      </c>
      <c r="J3253" s="258">
        <f t="shared" si="778"/>
        <v>0.47065337763012183</v>
      </c>
      <c r="K3253" s="249">
        <f t="shared" si="779"/>
        <v>2.0820165448504984</v>
      </c>
      <c r="L3253" s="374">
        <v>7.5304540420819494E-2</v>
      </c>
      <c r="M3253" s="258">
        <f t="shared" si="780"/>
        <v>7.5304540420819494E-2</v>
      </c>
      <c r="N3253" s="251">
        <f t="shared" si="781"/>
        <v>0.35720872093023254</v>
      </c>
      <c r="O3253" s="258">
        <v>1.2919896640826873E-2</v>
      </c>
      <c r="P3253" s="258">
        <f t="shared" si="782"/>
        <v>1.2919896640826873E-2</v>
      </c>
      <c r="Q3253" s="249">
        <v>27.09</v>
      </c>
      <c r="R3253" s="249">
        <f t="shared" si="784"/>
        <v>27.647955</v>
      </c>
      <c r="S3253" s="250">
        <v>0.1</v>
      </c>
      <c r="T3253" s="290">
        <f t="shared" si="787"/>
        <v>29.798999999999999</v>
      </c>
      <c r="U3253" s="315">
        <f t="shared" si="788"/>
        <v>30.412750500000001</v>
      </c>
      <c r="V3253" s="315">
        <f t="shared" si="786"/>
        <v>31</v>
      </c>
      <c r="W3253" s="316">
        <f t="shared" si="783"/>
        <v>0</v>
      </c>
    </row>
    <row r="3254" spans="1:23" ht="14.4" thickBot="1" x14ac:dyDescent="0.3">
      <c r="A3254" s="263">
        <v>833120</v>
      </c>
      <c r="B3254" s="321" t="s">
        <v>22715</v>
      </c>
      <c r="C3254" s="265"/>
      <c r="D3254" s="264" t="s">
        <v>2</v>
      </c>
      <c r="E3254" s="266">
        <f t="shared" si="775"/>
        <v>17.304980915828477</v>
      </c>
      <c r="F3254" s="322">
        <v>0.44865007940709367</v>
      </c>
      <c r="G3254" s="322">
        <f t="shared" si="776"/>
        <v>0.44865007940709367</v>
      </c>
      <c r="H3254" s="266">
        <f t="shared" si="777"/>
        <v>15.232466977236632</v>
      </c>
      <c r="I3254" s="322">
        <v>0.39491794600317626</v>
      </c>
      <c r="J3254" s="322">
        <f t="shared" si="778"/>
        <v>0.39491794600317626</v>
      </c>
      <c r="K3254" s="266">
        <f t="shared" si="779"/>
        <v>5.0128292800423493</v>
      </c>
      <c r="L3254" s="391">
        <v>0.12996294335627315</v>
      </c>
      <c r="M3254" s="322">
        <f t="shared" si="780"/>
        <v>0.12996294335627315</v>
      </c>
      <c r="N3254" s="270">
        <f t="shared" si="781"/>
        <v>1.0209428268925356</v>
      </c>
      <c r="O3254" s="322">
        <v>2.6469031233456855E-2</v>
      </c>
      <c r="P3254" s="322">
        <f t="shared" si="782"/>
        <v>2.6469031233456855E-2</v>
      </c>
      <c r="Q3254" s="266">
        <v>37.78</v>
      </c>
      <c r="R3254" s="266">
        <f t="shared" si="784"/>
        <v>38.571219999999997</v>
      </c>
      <c r="S3254" s="267">
        <v>0.1</v>
      </c>
      <c r="T3254" s="299">
        <f t="shared" si="787"/>
        <v>41.558</v>
      </c>
      <c r="U3254" s="324">
        <f t="shared" si="788"/>
        <v>42.428341999999994</v>
      </c>
      <c r="V3254" s="324">
        <f t="shared" si="786"/>
        <v>43</v>
      </c>
      <c r="W3254" s="325">
        <f t="shared" si="783"/>
        <v>0</v>
      </c>
    </row>
    <row r="3255" spans="1:23" x14ac:dyDescent="0.25">
      <c r="A3255" s="200">
        <v>833120</v>
      </c>
      <c r="B3255" s="313" t="s">
        <v>22716</v>
      </c>
      <c r="C3255" s="248"/>
      <c r="D3255" s="247" t="s">
        <v>2</v>
      </c>
      <c r="E3255" s="249">
        <f t="shared" si="775"/>
        <v>15.465345692051139</v>
      </c>
      <c r="F3255" s="258">
        <v>0.42106725958866031</v>
      </c>
      <c r="G3255" s="258">
        <f t="shared" si="776"/>
        <v>0.42106725958866031</v>
      </c>
      <c r="H3255" s="249">
        <f t="shared" si="777"/>
        <v>15.230558265703168</v>
      </c>
      <c r="I3255" s="258">
        <v>0.41467481934408001</v>
      </c>
      <c r="J3255" s="258">
        <f t="shared" si="778"/>
        <v>0.41467481934408001</v>
      </c>
      <c r="K3255" s="249">
        <f t="shared" si="779"/>
        <v>5.0122011450806001</v>
      </c>
      <c r="L3255" s="374">
        <v>0.13646470261256252</v>
      </c>
      <c r="M3255" s="258">
        <f t="shared" si="780"/>
        <v>0.13646470261256252</v>
      </c>
      <c r="N3255" s="251">
        <f t="shared" si="781"/>
        <v>1.0208148971650917</v>
      </c>
      <c r="O3255" s="258">
        <v>2.7793218454697052E-2</v>
      </c>
      <c r="P3255" s="258">
        <f t="shared" si="782"/>
        <v>2.7793218454697052E-2</v>
      </c>
      <c r="Q3255" s="249">
        <v>35.980000000000004</v>
      </c>
      <c r="R3255" s="249">
        <f t="shared" si="784"/>
        <v>36.728920000000002</v>
      </c>
      <c r="S3255" s="250">
        <v>0.1</v>
      </c>
      <c r="T3255" s="290">
        <f t="shared" si="787"/>
        <v>39.578000000000003</v>
      </c>
      <c r="U3255" s="315">
        <f t="shared" si="788"/>
        <v>40.401812</v>
      </c>
      <c r="V3255" s="315">
        <f t="shared" si="786"/>
        <v>41</v>
      </c>
      <c r="W3255" s="316">
        <f t="shared" si="783"/>
        <v>0</v>
      </c>
    </row>
    <row r="3256" spans="1:23" x14ac:dyDescent="0.25">
      <c r="A3256" s="200">
        <v>833130</v>
      </c>
      <c r="B3256" s="313" t="s">
        <v>22717</v>
      </c>
      <c r="C3256" s="248"/>
      <c r="D3256" s="247" t="s">
        <v>2</v>
      </c>
      <c r="E3256" s="249">
        <f t="shared" si="775"/>
        <v>17.505783264887064</v>
      </c>
      <c r="F3256" s="258">
        <v>0.3521560574948665</v>
      </c>
      <c r="G3256" s="258">
        <f t="shared" si="776"/>
        <v>0.3521560574948665</v>
      </c>
      <c r="H3256" s="249">
        <f t="shared" si="777"/>
        <v>21.792913860369612</v>
      </c>
      <c r="I3256" s="258">
        <v>0.43839835728952775</v>
      </c>
      <c r="J3256" s="258">
        <f t="shared" si="778"/>
        <v>0.43839835728952775</v>
      </c>
      <c r="K3256" s="249">
        <f t="shared" si="779"/>
        <v>9.1356711498973304</v>
      </c>
      <c r="L3256" s="374">
        <v>0.18377823408624228</v>
      </c>
      <c r="M3256" s="258">
        <f t="shared" si="780"/>
        <v>0.18377823408624228</v>
      </c>
      <c r="N3256" s="251">
        <f t="shared" si="781"/>
        <v>1.2759317248459958</v>
      </c>
      <c r="O3256" s="258">
        <v>2.5667351129363448E-2</v>
      </c>
      <c r="P3256" s="258">
        <f t="shared" si="782"/>
        <v>2.5667351129363448E-2</v>
      </c>
      <c r="Q3256" s="249">
        <v>48.7</v>
      </c>
      <c r="R3256" s="249">
        <f t="shared" si="784"/>
        <v>49.710300000000004</v>
      </c>
      <c r="S3256" s="250">
        <v>0.1</v>
      </c>
      <c r="T3256" s="290">
        <f t="shared" si="787"/>
        <v>53.570000000000007</v>
      </c>
      <c r="U3256" s="315">
        <f t="shared" si="788"/>
        <v>54.681330000000003</v>
      </c>
      <c r="V3256" s="315">
        <f t="shared" si="786"/>
        <v>55</v>
      </c>
      <c r="W3256" s="316">
        <f t="shared" si="783"/>
        <v>0</v>
      </c>
    </row>
    <row r="3257" spans="1:23" x14ac:dyDescent="0.25">
      <c r="A3257" s="200">
        <v>833130</v>
      </c>
      <c r="B3257" s="313" t="s">
        <v>22718</v>
      </c>
      <c r="C3257" s="248"/>
      <c r="D3257" s="247" t="s">
        <v>2</v>
      </c>
      <c r="E3257" s="249">
        <f t="shared" si="775"/>
        <v>15.666818763326226</v>
      </c>
      <c r="F3257" s="258">
        <v>0.3272921108742004</v>
      </c>
      <c r="G3257" s="258">
        <f t="shared" si="776"/>
        <v>0.3272921108742004</v>
      </c>
      <c r="H3257" s="249">
        <f t="shared" si="777"/>
        <v>21.79065671641791</v>
      </c>
      <c r="I3257" s="258">
        <v>0.45522388059701491</v>
      </c>
      <c r="J3257" s="258">
        <f t="shared" si="778"/>
        <v>0.45522388059701491</v>
      </c>
      <c r="K3257" s="249">
        <f t="shared" si="779"/>
        <v>9.1347249466950942</v>
      </c>
      <c r="L3257" s="374">
        <v>0.19083155650319825</v>
      </c>
      <c r="M3257" s="258">
        <f t="shared" si="780"/>
        <v>0.19083155650319825</v>
      </c>
      <c r="N3257" s="251">
        <f t="shared" si="781"/>
        <v>1.2757995735607675</v>
      </c>
      <c r="O3257" s="258">
        <v>2.6652452025586349E-2</v>
      </c>
      <c r="P3257" s="258">
        <f t="shared" si="782"/>
        <v>2.6652452025586349E-2</v>
      </c>
      <c r="Q3257" s="249">
        <v>46.900000000000006</v>
      </c>
      <c r="R3257" s="249">
        <f t="shared" si="784"/>
        <v>47.868000000000002</v>
      </c>
      <c r="S3257" s="250">
        <v>0.1</v>
      </c>
      <c r="T3257" s="290">
        <f t="shared" si="787"/>
        <v>51.59</v>
      </c>
      <c r="U3257" s="315">
        <f t="shared" si="788"/>
        <v>52.654800000000002</v>
      </c>
      <c r="V3257" s="315">
        <f t="shared" si="786"/>
        <v>53</v>
      </c>
      <c r="W3257" s="316">
        <f t="shared" si="783"/>
        <v>0</v>
      </c>
    </row>
    <row r="3258" spans="1:23" x14ac:dyDescent="0.25">
      <c r="A3258" s="200">
        <v>833130</v>
      </c>
      <c r="B3258" s="313" t="s">
        <v>22719</v>
      </c>
      <c r="C3258" s="248"/>
      <c r="D3258" s="247" t="s">
        <v>2</v>
      </c>
      <c r="E3258" s="249">
        <f t="shared" si="775"/>
        <v>14.338841502192979</v>
      </c>
      <c r="F3258" s="258">
        <v>0.30811403508771923</v>
      </c>
      <c r="G3258" s="258">
        <f t="shared" si="776"/>
        <v>0.30811403508771923</v>
      </c>
      <c r="H3258" s="249">
        <f t="shared" si="777"/>
        <v>21.78891573464912</v>
      </c>
      <c r="I3258" s="258">
        <v>0.46820175438596484</v>
      </c>
      <c r="J3258" s="258">
        <f t="shared" si="778"/>
        <v>0.46820175438596484</v>
      </c>
      <c r="K3258" s="249">
        <f t="shared" si="779"/>
        <v>9.1339951206140331</v>
      </c>
      <c r="L3258" s="374">
        <v>0.19627192982456135</v>
      </c>
      <c r="M3258" s="258">
        <f t="shared" si="780"/>
        <v>0.19627192982456135</v>
      </c>
      <c r="N3258" s="251">
        <f t="shared" si="781"/>
        <v>1.2756976425438593</v>
      </c>
      <c r="O3258" s="258">
        <v>2.7412280701754381E-2</v>
      </c>
      <c r="P3258" s="258">
        <f t="shared" si="782"/>
        <v>2.7412280701754381E-2</v>
      </c>
      <c r="Q3258" s="249">
        <v>45.600000000000009</v>
      </c>
      <c r="R3258" s="249">
        <f t="shared" si="784"/>
        <v>46.53745</v>
      </c>
      <c r="S3258" s="250">
        <v>0.1</v>
      </c>
      <c r="T3258" s="290">
        <f t="shared" si="787"/>
        <v>50.160000000000011</v>
      </c>
      <c r="U3258" s="315">
        <f t="shared" si="788"/>
        <v>51.191195</v>
      </c>
      <c r="V3258" s="315">
        <f t="shared" si="786"/>
        <v>52</v>
      </c>
      <c r="W3258" s="316">
        <f t="shared" si="783"/>
        <v>0</v>
      </c>
    </row>
    <row r="3259" spans="1:23" x14ac:dyDescent="0.25">
      <c r="A3259" s="200">
        <v>833130</v>
      </c>
      <c r="B3259" s="313" t="s">
        <v>22720</v>
      </c>
      <c r="C3259" s="248"/>
      <c r="D3259" s="247" t="s">
        <v>2</v>
      </c>
      <c r="E3259" s="249">
        <f t="shared" si="775"/>
        <v>11.7854752900232</v>
      </c>
      <c r="F3259" s="258">
        <v>0.26798143851508116</v>
      </c>
      <c r="G3259" s="258">
        <f t="shared" si="776"/>
        <v>0.26798143851508116</v>
      </c>
      <c r="H3259" s="249">
        <f t="shared" si="777"/>
        <v>21.785272505800464</v>
      </c>
      <c r="I3259" s="258">
        <v>0.49535962877030154</v>
      </c>
      <c r="J3259" s="258">
        <f t="shared" si="778"/>
        <v>0.49535962877030154</v>
      </c>
      <c r="K3259" s="249">
        <f t="shared" si="779"/>
        <v>9.1324678654292324</v>
      </c>
      <c r="L3259" s="374">
        <v>0.20765661252900225</v>
      </c>
      <c r="M3259" s="258">
        <f t="shared" si="780"/>
        <v>0.20765661252900225</v>
      </c>
      <c r="N3259" s="251">
        <f t="shared" si="781"/>
        <v>1.2754843387470998</v>
      </c>
      <c r="O3259" s="258">
        <v>2.9002320185614845E-2</v>
      </c>
      <c r="P3259" s="258">
        <f t="shared" si="782"/>
        <v>2.9002320185614845E-2</v>
      </c>
      <c r="Q3259" s="249">
        <v>43.100000000000009</v>
      </c>
      <c r="R3259" s="249">
        <f t="shared" si="784"/>
        <v>43.978700000000003</v>
      </c>
      <c r="S3259" s="250">
        <v>0.1</v>
      </c>
      <c r="T3259" s="290">
        <f t="shared" si="787"/>
        <v>47.410000000000011</v>
      </c>
      <c r="U3259" s="315">
        <f t="shared" si="788"/>
        <v>48.376570000000001</v>
      </c>
      <c r="V3259" s="315">
        <f t="shared" si="786"/>
        <v>49</v>
      </c>
      <c r="W3259" s="316">
        <f t="shared" si="783"/>
        <v>0</v>
      </c>
    </row>
    <row r="3260" spans="1:23" x14ac:dyDescent="0.25">
      <c r="A3260" s="200">
        <v>833140</v>
      </c>
      <c r="B3260" s="313" t="s">
        <v>22721</v>
      </c>
      <c r="C3260" s="248"/>
      <c r="D3260" s="247" t="s">
        <v>2</v>
      </c>
      <c r="E3260" s="249">
        <f t="shared" si="775"/>
        <v>18.727070121951222</v>
      </c>
      <c r="F3260" s="258">
        <v>0.33567073170731709</v>
      </c>
      <c r="G3260" s="258">
        <f t="shared" si="776"/>
        <v>0.33567073170731709</v>
      </c>
      <c r="H3260" s="249">
        <f t="shared" si="777"/>
        <v>25.97296646341464</v>
      </c>
      <c r="I3260" s="258">
        <v>0.4655487804878049</v>
      </c>
      <c r="J3260" s="258">
        <f t="shared" si="778"/>
        <v>0.4655487804878049</v>
      </c>
      <c r="K3260" s="249">
        <f t="shared" si="779"/>
        <v>9.5591402439024407</v>
      </c>
      <c r="L3260" s="374">
        <v>0.17134146341463416</v>
      </c>
      <c r="M3260" s="258">
        <f t="shared" si="780"/>
        <v>0.17134146341463416</v>
      </c>
      <c r="N3260" s="251">
        <f t="shared" si="781"/>
        <v>1.5308231707317075</v>
      </c>
      <c r="O3260" s="258">
        <v>2.7439024390243903E-2</v>
      </c>
      <c r="P3260" s="258">
        <f t="shared" si="782"/>
        <v>2.7439024390243903E-2</v>
      </c>
      <c r="Q3260" s="249">
        <v>54.666666666666664</v>
      </c>
      <c r="R3260" s="249">
        <f t="shared" si="784"/>
        <v>55.790000000000006</v>
      </c>
      <c r="S3260" s="250">
        <v>0.1</v>
      </c>
      <c r="T3260" s="290">
        <f t="shared" si="787"/>
        <v>60.133333333333333</v>
      </c>
      <c r="U3260" s="315">
        <f t="shared" si="788"/>
        <v>61.369000000000007</v>
      </c>
      <c r="V3260" s="315">
        <f t="shared" si="786"/>
        <v>62</v>
      </c>
      <c r="W3260" s="316">
        <f t="shared" si="783"/>
        <v>0</v>
      </c>
    </row>
    <row r="3261" spans="1:23" x14ac:dyDescent="0.25">
      <c r="A3261" s="200">
        <v>833140</v>
      </c>
      <c r="B3261" s="313" t="s">
        <v>22722</v>
      </c>
      <c r="C3261" s="248"/>
      <c r="D3261" s="247" t="s">
        <v>2</v>
      </c>
      <c r="E3261" s="249">
        <f t="shared" si="775"/>
        <v>17.194848227383865</v>
      </c>
      <c r="F3261" s="258">
        <v>0.31690803084446123</v>
      </c>
      <c r="G3261" s="258">
        <f t="shared" si="776"/>
        <v>0.31690803084446123</v>
      </c>
      <c r="H3261" s="249">
        <f t="shared" si="777"/>
        <v>25.970853850855747</v>
      </c>
      <c r="I3261" s="258">
        <v>0.47865337596388946</v>
      </c>
      <c r="J3261" s="258">
        <f t="shared" si="778"/>
        <v>0.47865337596388946</v>
      </c>
      <c r="K3261" s="249">
        <f t="shared" si="779"/>
        <v>9.5617642665036673</v>
      </c>
      <c r="L3261" s="374">
        <v>0.176227195787098</v>
      </c>
      <c r="M3261" s="258">
        <f t="shared" si="780"/>
        <v>0.176227195787098</v>
      </c>
      <c r="N3261" s="251">
        <f t="shared" si="781"/>
        <v>1.5306986552567237</v>
      </c>
      <c r="O3261" s="258">
        <v>2.821139740455144E-2</v>
      </c>
      <c r="P3261" s="258">
        <f t="shared" si="782"/>
        <v>2.821139740455144E-2</v>
      </c>
      <c r="Q3261" s="249">
        <v>53.169999999999995</v>
      </c>
      <c r="R3261" s="249">
        <f t="shared" si="784"/>
        <v>54.258164999999998</v>
      </c>
      <c r="S3261" s="250">
        <v>0.1</v>
      </c>
      <c r="T3261" s="290">
        <f t="shared" si="787"/>
        <v>58.486999999999995</v>
      </c>
      <c r="U3261" s="315">
        <f t="shared" si="788"/>
        <v>59.683981500000002</v>
      </c>
      <c r="V3261" s="315">
        <f t="shared" si="786"/>
        <v>60</v>
      </c>
      <c r="W3261" s="316">
        <f t="shared" si="783"/>
        <v>0</v>
      </c>
    </row>
    <row r="3262" spans="1:23" x14ac:dyDescent="0.25">
      <c r="A3262" s="200">
        <v>833140</v>
      </c>
      <c r="B3262" s="313" t="s">
        <v>22723</v>
      </c>
      <c r="C3262" s="248"/>
      <c r="D3262" s="247" t="s">
        <v>2</v>
      </c>
      <c r="E3262" s="249">
        <f t="shared" si="775"/>
        <v>15.254282216695922</v>
      </c>
      <c r="F3262" s="258">
        <v>0.29159352447825237</v>
      </c>
      <c r="G3262" s="258">
        <f t="shared" si="776"/>
        <v>0.29159352447825237</v>
      </c>
      <c r="H3262" s="249">
        <f t="shared" si="777"/>
        <v>25.967992134776672</v>
      </c>
      <c r="I3262" s="258">
        <v>0.49639165203822899</v>
      </c>
      <c r="J3262" s="258">
        <f t="shared" si="778"/>
        <v>0.49639165203822899</v>
      </c>
      <c r="K3262" s="249">
        <f t="shared" si="779"/>
        <v>9.5607106602301535</v>
      </c>
      <c r="L3262" s="374">
        <v>0.18275794811780768</v>
      </c>
      <c r="M3262" s="258">
        <f t="shared" si="780"/>
        <v>0.18275794811780768</v>
      </c>
      <c r="N3262" s="251">
        <f t="shared" si="781"/>
        <v>1.5305299882972498</v>
      </c>
      <c r="O3262" s="258">
        <v>2.9256875365710946E-2</v>
      </c>
      <c r="P3262" s="258">
        <f t="shared" si="782"/>
        <v>2.9256875365710946E-2</v>
      </c>
      <c r="Q3262" s="249">
        <v>51.269999999999996</v>
      </c>
      <c r="R3262" s="249">
        <f t="shared" si="784"/>
        <v>52.313514999999995</v>
      </c>
      <c r="S3262" s="250">
        <v>0.1</v>
      </c>
      <c r="T3262" s="290">
        <f t="shared" si="787"/>
        <v>56.396999999999998</v>
      </c>
      <c r="U3262" s="315">
        <f t="shared" si="788"/>
        <v>57.544866499999998</v>
      </c>
      <c r="V3262" s="315">
        <f t="shared" si="786"/>
        <v>58</v>
      </c>
      <c r="W3262" s="316">
        <f t="shared" si="783"/>
        <v>0</v>
      </c>
    </row>
    <row r="3263" spans="1:23" x14ac:dyDescent="0.25">
      <c r="A3263" s="200">
        <v>833140</v>
      </c>
      <c r="B3263" s="313" t="s">
        <v>22724</v>
      </c>
      <c r="C3263" s="248"/>
      <c r="D3263" s="247" t="s">
        <v>2</v>
      </c>
      <c r="E3263" s="249">
        <f t="shared" si="775"/>
        <v>12.190885213383051</v>
      </c>
      <c r="F3263" s="258">
        <v>0.24756577584420966</v>
      </c>
      <c r="G3263" s="258">
        <f t="shared" si="776"/>
        <v>0.24756577584420966</v>
      </c>
      <c r="H3263" s="249">
        <f t="shared" si="777"/>
        <v>25.963014952351354</v>
      </c>
      <c r="I3263" s="258">
        <v>0.527242593743526</v>
      </c>
      <c r="J3263" s="258">
        <f t="shared" si="778"/>
        <v>0.527242593743526</v>
      </c>
      <c r="K3263" s="249">
        <f t="shared" si="779"/>
        <v>9.5588781966024428</v>
      </c>
      <c r="L3263" s="374">
        <v>0.19411642842345142</v>
      </c>
      <c r="M3263" s="258">
        <f t="shared" si="780"/>
        <v>0.19411642842345142</v>
      </c>
      <c r="N3263" s="251">
        <f t="shared" si="781"/>
        <v>1.5302366376631447</v>
      </c>
      <c r="O3263" s="258">
        <v>3.1075201988812931E-2</v>
      </c>
      <c r="P3263" s="258">
        <f t="shared" si="782"/>
        <v>3.1075201988812931E-2</v>
      </c>
      <c r="Q3263" s="249">
        <v>48.269999999999996</v>
      </c>
      <c r="R3263" s="249">
        <f t="shared" si="784"/>
        <v>49.243014999999993</v>
      </c>
      <c r="S3263" s="250">
        <v>0.1</v>
      </c>
      <c r="T3263" s="290">
        <f t="shared" si="787"/>
        <v>53.096999999999994</v>
      </c>
      <c r="U3263" s="315">
        <f t="shared" si="788"/>
        <v>54.167316499999991</v>
      </c>
      <c r="V3263" s="315">
        <f t="shared" si="786"/>
        <v>55</v>
      </c>
      <c r="W3263" s="316">
        <f t="shared" si="783"/>
        <v>0</v>
      </c>
    </row>
    <row r="3264" spans="1:23" x14ac:dyDescent="0.25">
      <c r="A3264" s="200">
        <v>833220</v>
      </c>
      <c r="B3264" s="313" t="s">
        <v>22725</v>
      </c>
      <c r="C3264" s="248"/>
      <c r="D3264" s="247" t="s">
        <v>11</v>
      </c>
      <c r="E3264" s="249">
        <f t="shared" si="775"/>
        <v>438.80712481347751</v>
      </c>
      <c r="F3264" s="258">
        <v>0.44367147801344814</v>
      </c>
      <c r="G3264" s="258">
        <f t="shared" si="776"/>
        <v>0.44367147801344814</v>
      </c>
      <c r="H3264" s="249">
        <f t="shared" si="777"/>
        <v>486.76976403727627</v>
      </c>
      <c r="I3264" s="258">
        <v>0.49216580235445295</v>
      </c>
      <c r="J3264" s="258">
        <f t="shared" si="778"/>
        <v>0.49216580235445295</v>
      </c>
      <c r="K3264" s="249">
        <f t="shared" si="779"/>
        <v>53.254431522965383</v>
      </c>
      <c r="L3264" s="374">
        <v>5.3844778282948973E-2</v>
      </c>
      <c r="M3264" s="258">
        <f t="shared" si="780"/>
        <v>5.3844778282948973E-2</v>
      </c>
      <c r="N3264" s="251">
        <f t="shared" si="781"/>
        <v>10.204816856127385</v>
      </c>
      <c r="O3264" s="258">
        <v>1.0317941349149958E-2</v>
      </c>
      <c r="P3264" s="258">
        <f t="shared" si="782"/>
        <v>1.0317941349149958E-2</v>
      </c>
      <c r="Q3264" s="249">
        <v>969.19</v>
      </c>
      <c r="R3264" s="249">
        <f t="shared" si="784"/>
        <v>989.03613722984653</v>
      </c>
      <c r="S3264" s="250">
        <v>0.1</v>
      </c>
      <c r="T3264" s="290">
        <f t="shared" si="787"/>
        <v>1066.1090000000002</v>
      </c>
      <c r="U3264" s="315">
        <f t="shared" si="788"/>
        <v>1087.9397509528312</v>
      </c>
      <c r="V3264" s="315">
        <f t="shared" si="786"/>
        <v>1100</v>
      </c>
      <c r="W3264" s="316">
        <f t="shared" si="783"/>
        <v>0</v>
      </c>
    </row>
    <row r="3265" spans="1:23" x14ac:dyDescent="0.25">
      <c r="A3265" s="200">
        <v>833220</v>
      </c>
      <c r="B3265" s="313" t="s">
        <v>22726</v>
      </c>
      <c r="C3265" s="248"/>
      <c r="D3265" s="247" t="s">
        <v>11</v>
      </c>
      <c r="E3265" s="249">
        <f t="shared" si="775"/>
        <v>207.00918434670118</v>
      </c>
      <c r="F3265" s="258">
        <v>0.26261319534282018</v>
      </c>
      <c r="G3265" s="258">
        <f t="shared" si="776"/>
        <v>0.26261319534282018</v>
      </c>
      <c r="H3265" s="249">
        <f t="shared" si="777"/>
        <v>486.42059573091854</v>
      </c>
      <c r="I3265" s="258">
        <v>0.61707632600258733</v>
      </c>
      <c r="J3265" s="258">
        <f t="shared" si="778"/>
        <v>0.61707632600258733</v>
      </c>
      <c r="K3265" s="249">
        <f t="shared" si="779"/>
        <v>84.639223156532992</v>
      </c>
      <c r="L3265" s="374">
        <v>0.1073738680465718</v>
      </c>
      <c r="M3265" s="258">
        <f t="shared" si="780"/>
        <v>0.1073738680465718</v>
      </c>
      <c r="N3265" s="251">
        <f t="shared" si="781"/>
        <v>10.197496765847349</v>
      </c>
      <c r="O3265" s="258">
        <v>1.2936610608020699E-2</v>
      </c>
      <c r="P3265" s="258">
        <f t="shared" si="782"/>
        <v>1.2936610608020699E-2</v>
      </c>
      <c r="Q3265" s="249">
        <v>773</v>
      </c>
      <c r="R3265" s="249">
        <f t="shared" si="784"/>
        <v>788.26650000000006</v>
      </c>
      <c r="S3265" s="250">
        <v>0.1</v>
      </c>
      <c r="T3265" s="290">
        <f t="shared" si="787"/>
        <v>850.3</v>
      </c>
      <c r="U3265" s="315">
        <f t="shared" si="788"/>
        <v>867.09315000000004</v>
      </c>
      <c r="V3265" s="315">
        <f t="shared" si="786"/>
        <v>870</v>
      </c>
      <c r="W3265" s="316">
        <f t="shared" si="783"/>
        <v>0</v>
      </c>
    </row>
    <row r="3266" spans="1:23" x14ac:dyDescent="0.25">
      <c r="A3266" s="200">
        <v>833230</v>
      </c>
      <c r="B3266" s="313" t="s">
        <v>22727</v>
      </c>
      <c r="C3266" s="248"/>
      <c r="D3266" s="247" t="s">
        <v>11</v>
      </c>
      <c r="E3266" s="249">
        <f t="shared" si="775"/>
        <v>525.46104494757094</v>
      </c>
      <c r="F3266" s="258">
        <v>0.40450850253308718</v>
      </c>
      <c r="G3266" s="258">
        <f t="shared" si="776"/>
        <v>0.40450850253308718</v>
      </c>
      <c r="H3266" s="249">
        <f t="shared" si="777"/>
        <v>673.55943460609501</v>
      </c>
      <c r="I3266" s="258">
        <v>0.5185170639751796</v>
      </c>
      <c r="J3266" s="258">
        <f t="shared" si="778"/>
        <v>0.5185170639751796</v>
      </c>
      <c r="K3266" s="249">
        <f t="shared" si="779"/>
        <v>84.685954816792986</v>
      </c>
      <c r="L3266" s="374">
        <v>6.5192632447080068E-2</v>
      </c>
      <c r="M3266" s="258">
        <f t="shared" si="780"/>
        <v>6.5192632447080068E-2</v>
      </c>
      <c r="N3266" s="251">
        <f t="shared" si="781"/>
        <v>15.304690629540902</v>
      </c>
      <c r="O3266" s="258">
        <v>1.1781801044653026E-2</v>
      </c>
      <c r="P3266" s="258">
        <f t="shared" si="782"/>
        <v>1.1781801044653026E-2</v>
      </c>
      <c r="Q3266" s="249">
        <v>1273.1500000000001</v>
      </c>
      <c r="R3266" s="249">
        <f t="shared" si="784"/>
        <v>1299.011125</v>
      </c>
      <c r="S3266" s="250">
        <v>0.1</v>
      </c>
      <c r="T3266" s="290">
        <f t="shared" si="787"/>
        <v>1400.4650000000001</v>
      </c>
      <c r="U3266" s="315">
        <f t="shared" si="788"/>
        <v>1428.9122374999999</v>
      </c>
      <c r="V3266" s="315">
        <f t="shared" si="786"/>
        <v>1450</v>
      </c>
      <c r="W3266" s="316">
        <f t="shared" si="783"/>
        <v>0</v>
      </c>
    </row>
    <row r="3267" spans="1:23" x14ac:dyDescent="0.25">
      <c r="A3267" s="200">
        <v>833230</v>
      </c>
      <c r="B3267" s="313" t="s">
        <v>22728</v>
      </c>
      <c r="C3267" s="248"/>
      <c r="D3267" s="247" t="s">
        <v>11</v>
      </c>
      <c r="E3267" s="249">
        <f t="shared" ref="E3267:E3330" si="789">R3267*G3267</f>
        <v>246.70513547967806</v>
      </c>
      <c r="F3267" s="258">
        <v>0.24196370544418339</v>
      </c>
      <c r="G3267" s="258">
        <f t="shared" ref="G3267:G3330" si="790">F3267</f>
        <v>0.24196370544418339</v>
      </c>
      <c r="H3267" s="249">
        <f t="shared" ref="H3267:H3330" si="791">R3267*J3267</f>
        <v>672.98510407813831</v>
      </c>
      <c r="I3267" s="258">
        <v>0.66005099235114728</v>
      </c>
      <c r="J3267" s="258">
        <f t="shared" ref="J3267:J3330" si="792">I3267</f>
        <v>0.66005099235114728</v>
      </c>
      <c r="K3267" s="249">
        <f t="shared" ref="K3267:K3330" si="793">R3267*M3267</f>
        <v>84.613744813278004</v>
      </c>
      <c r="L3267" s="374">
        <v>8.2987551867219914E-2</v>
      </c>
      <c r="M3267" s="258">
        <f t="shared" ref="M3267:M3330" si="794">L3267</f>
        <v>8.2987551867219914E-2</v>
      </c>
      <c r="N3267" s="251">
        <f t="shared" ref="N3267:N3330" si="795">P3267*R3267</f>
        <v>15.291640628905666</v>
      </c>
      <c r="O3267" s="258">
        <v>1.4997750337449383E-2</v>
      </c>
      <c r="P3267" s="258">
        <f t="shared" ref="P3267:P3330" si="796">O3267</f>
        <v>1.4997750337449383E-2</v>
      </c>
      <c r="Q3267" s="249">
        <v>1000.15</v>
      </c>
      <c r="R3267" s="249">
        <f t="shared" si="784"/>
        <v>1019.595625</v>
      </c>
      <c r="S3267" s="250">
        <v>0.1</v>
      </c>
      <c r="T3267" s="290">
        <f t="shared" si="787"/>
        <v>1100.165</v>
      </c>
      <c r="U3267" s="315">
        <f t="shared" si="788"/>
        <v>1121.5551875000001</v>
      </c>
      <c r="V3267" s="315">
        <f t="shared" si="786"/>
        <v>1125</v>
      </c>
      <c r="W3267" s="316">
        <f t="shared" si="783"/>
        <v>0</v>
      </c>
    </row>
    <row r="3268" spans="1:23" x14ac:dyDescent="0.25">
      <c r="A3268" s="200">
        <v>833235</v>
      </c>
      <c r="B3268" s="313" t="s">
        <v>22729</v>
      </c>
      <c r="C3268" s="248"/>
      <c r="D3268" s="247" t="s">
        <v>11</v>
      </c>
      <c r="E3268" s="249">
        <f t="shared" si="789"/>
        <v>663.20954680775321</v>
      </c>
      <c r="F3268" s="258">
        <v>0.42067113225253211</v>
      </c>
      <c r="G3268" s="258">
        <f t="shared" si="790"/>
        <v>0.42067113225253211</v>
      </c>
      <c r="H3268" s="249">
        <f t="shared" si="791"/>
        <v>808.24837308271026</v>
      </c>
      <c r="I3268" s="258">
        <v>0.51266867294437424</v>
      </c>
      <c r="J3268" s="258">
        <f t="shared" si="792"/>
        <v>0.51266867294437424</v>
      </c>
      <c r="K3268" s="249">
        <f t="shared" si="793"/>
        <v>84.686757515451575</v>
      </c>
      <c r="L3268" s="374">
        <v>5.3716467656861791E-2</v>
      </c>
      <c r="M3268" s="258">
        <f t="shared" si="794"/>
        <v>5.3716467656861791E-2</v>
      </c>
      <c r="N3268" s="251">
        <f t="shared" si="795"/>
        <v>20.406447594084714</v>
      </c>
      <c r="O3268" s="258">
        <v>1.2943727146231756E-2</v>
      </c>
      <c r="P3268" s="258">
        <f t="shared" si="796"/>
        <v>1.2943727146231756E-2</v>
      </c>
      <c r="Q3268" s="249">
        <v>1545.15</v>
      </c>
      <c r="R3268" s="249">
        <f t="shared" si="784"/>
        <v>1576.551125</v>
      </c>
      <c r="S3268" s="250">
        <v>0.1</v>
      </c>
      <c r="T3268" s="290">
        <f t="shared" si="787"/>
        <v>1699.6650000000002</v>
      </c>
      <c r="U3268" s="315">
        <f t="shared" si="788"/>
        <v>1734.2062375</v>
      </c>
      <c r="V3268" s="315">
        <f t="shared" si="786"/>
        <v>1750</v>
      </c>
      <c r="W3268" s="316">
        <f t="shared" si="783"/>
        <v>0</v>
      </c>
    </row>
    <row r="3269" spans="1:23" x14ac:dyDescent="0.25">
      <c r="A3269" s="200">
        <v>833235</v>
      </c>
      <c r="B3269" s="313" t="s">
        <v>22730</v>
      </c>
      <c r="C3269" s="248"/>
      <c r="D3269" s="247" t="s">
        <v>11</v>
      </c>
      <c r="E3269" s="249">
        <f t="shared" si="789"/>
        <v>570.24905090602761</v>
      </c>
      <c r="F3269" s="258">
        <v>0.38441701337551143</v>
      </c>
      <c r="G3269" s="258">
        <f t="shared" si="790"/>
        <v>0.38441701337551143</v>
      </c>
      <c r="H3269" s="249">
        <f t="shared" si="791"/>
        <v>808.09085093955241</v>
      </c>
      <c r="I3269" s="258">
        <v>0.54475122924044972</v>
      </c>
      <c r="J3269" s="258">
        <f t="shared" si="792"/>
        <v>0.54475122924044972</v>
      </c>
      <c r="K3269" s="249">
        <f t="shared" si="793"/>
        <v>84.670252638998733</v>
      </c>
      <c r="L3269" s="374">
        <v>5.7078018086167172E-2</v>
      </c>
      <c r="M3269" s="258">
        <f t="shared" si="794"/>
        <v>5.7078018086167172E-2</v>
      </c>
      <c r="N3269" s="251">
        <f t="shared" si="795"/>
        <v>20.402470515421381</v>
      </c>
      <c r="O3269" s="258">
        <v>1.3753739297871609E-2</v>
      </c>
      <c r="P3269" s="258">
        <f t="shared" si="796"/>
        <v>1.3753739297871609E-2</v>
      </c>
      <c r="Q3269" s="249">
        <v>1454.15</v>
      </c>
      <c r="R3269" s="249">
        <f t="shared" si="784"/>
        <v>1483.4126250000002</v>
      </c>
      <c r="S3269" s="250">
        <v>0.1</v>
      </c>
      <c r="T3269" s="290">
        <f t="shared" si="787"/>
        <v>1599.5650000000001</v>
      </c>
      <c r="U3269" s="315">
        <f t="shared" si="788"/>
        <v>1631.7538875000002</v>
      </c>
      <c r="V3269" s="315">
        <f t="shared" si="786"/>
        <v>1650</v>
      </c>
      <c r="W3269" s="316">
        <f t="shared" si="783"/>
        <v>0</v>
      </c>
    </row>
    <row r="3270" spans="1:23" x14ac:dyDescent="0.25">
      <c r="A3270" s="208" t="s">
        <v>15437</v>
      </c>
      <c r="B3270" s="313" t="s">
        <v>22731</v>
      </c>
      <c r="C3270" s="248"/>
      <c r="D3270" s="247" t="s">
        <v>2</v>
      </c>
      <c r="E3270" s="249">
        <f t="shared" si="789"/>
        <v>20.349350484454853</v>
      </c>
      <c r="F3270" s="258">
        <v>0.21241482112436114</v>
      </c>
      <c r="G3270" s="258">
        <f t="shared" si="790"/>
        <v>0.21241482112436114</v>
      </c>
      <c r="H3270" s="249">
        <f t="shared" si="791"/>
        <v>56.070365720826238</v>
      </c>
      <c r="I3270" s="258">
        <v>0.58528534923339015</v>
      </c>
      <c r="J3270" s="258">
        <f t="shared" si="792"/>
        <v>0.58528534923339015</v>
      </c>
      <c r="K3270" s="249">
        <f t="shared" si="793"/>
        <v>18.105311834540032</v>
      </c>
      <c r="L3270" s="374">
        <v>0.18899063032367971</v>
      </c>
      <c r="M3270" s="258">
        <f t="shared" si="794"/>
        <v>0.18899063032367971</v>
      </c>
      <c r="N3270" s="251">
        <f t="shared" si="795"/>
        <v>1.2750219601788757</v>
      </c>
      <c r="O3270" s="258">
        <v>1.3309199318568995E-2</v>
      </c>
      <c r="P3270" s="258">
        <f t="shared" si="796"/>
        <v>1.3309199318568995E-2</v>
      </c>
      <c r="Q3270" s="249">
        <v>93.92</v>
      </c>
      <c r="R3270" s="249">
        <f t="shared" si="784"/>
        <v>95.800049999999999</v>
      </c>
      <c r="S3270" s="250">
        <v>0.1</v>
      </c>
      <c r="T3270" s="290">
        <f>Q3270*S3270+Q3270+2</f>
        <v>105.312</v>
      </c>
      <c r="U3270" s="315">
        <f t="shared" si="788"/>
        <v>105.380055</v>
      </c>
      <c r="V3270" s="315">
        <f t="shared" si="786"/>
        <v>110</v>
      </c>
      <c r="W3270" s="316">
        <f t="shared" ref="W3270:W3333" si="797">C3270*V3270</f>
        <v>0</v>
      </c>
    </row>
    <row r="3271" spans="1:23" x14ac:dyDescent="0.25">
      <c r="A3271" s="208" t="s">
        <v>15438</v>
      </c>
      <c r="B3271" s="313" t="s">
        <v>22732</v>
      </c>
      <c r="C3271" s="248"/>
      <c r="D3271" s="247" t="s">
        <v>2</v>
      </c>
      <c r="E3271" s="249">
        <f t="shared" si="789"/>
        <v>39.763277784367219</v>
      </c>
      <c r="F3271" s="258">
        <v>0.23128928952674652</v>
      </c>
      <c r="G3271" s="258">
        <f t="shared" si="790"/>
        <v>0.23128928952674652</v>
      </c>
      <c r="H3271" s="249">
        <f t="shared" si="791"/>
        <v>112.53007612975924</v>
      </c>
      <c r="I3271" s="258">
        <v>0.65454868936069266</v>
      </c>
      <c r="J3271" s="258">
        <f t="shared" si="792"/>
        <v>0.65454868936069266</v>
      </c>
      <c r="K3271" s="249">
        <f t="shared" si="793"/>
        <v>18.097389248013286</v>
      </c>
      <c r="L3271" s="374">
        <v>0.10526627920768591</v>
      </c>
      <c r="M3271" s="258">
        <f t="shared" si="794"/>
        <v>0.10526627920768591</v>
      </c>
      <c r="N3271" s="251">
        <f t="shared" si="795"/>
        <v>1.5293568378602778</v>
      </c>
      <c r="O3271" s="258">
        <v>8.8957419048748664E-3</v>
      </c>
      <c r="P3271" s="258">
        <f t="shared" si="796"/>
        <v>8.8957419048748664E-3</v>
      </c>
      <c r="Q3271" s="249">
        <v>168.62</v>
      </c>
      <c r="R3271" s="249">
        <f t="shared" si="784"/>
        <v>171.92010000000002</v>
      </c>
      <c r="S3271" s="250">
        <v>0.1</v>
      </c>
      <c r="T3271" s="290">
        <f>Q3271*S3271+Q3271</f>
        <v>185.482</v>
      </c>
      <c r="U3271" s="315">
        <f t="shared" si="788"/>
        <v>189.11211000000003</v>
      </c>
      <c r="V3271" s="315">
        <f t="shared" si="786"/>
        <v>190</v>
      </c>
      <c r="W3271" s="316">
        <f t="shared" si="797"/>
        <v>0</v>
      </c>
    </row>
    <row r="3272" spans="1:23" x14ac:dyDescent="0.25">
      <c r="A3272" s="208" t="s">
        <v>15439</v>
      </c>
      <c r="B3272" s="313" t="s">
        <v>22733</v>
      </c>
      <c r="C3272" s="248"/>
      <c r="D3272" s="247" t="s">
        <v>2</v>
      </c>
      <c r="E3272" s="249">
        <f t="shared" si="789"/>
        <v>105.54346841411778</v>
      </c>
      <c r="F3272" s="258">
        <v>0.30645782133657062</v>
      </c>
      <c r="G3272" s="258">
        <f t="shared" si="790"/>
        <v>0.30645782133657062</v>
      </c>
      <c r="H3272" s="249">
        <f t="shared" si="791"/>
        <v>215.14551657981224</v>
      </c>
      <c r="I3272" s="258">
        <v>0.62470020430521411</v>
      </c>
      <c r="J3272" s="258">
        <f t="shared" si="792"/>
        <v>0.62470020430521411</v>
      </c>
      <c r="K3272" s="249">
        <f t="shared" si="793"/>
        <v>21.669552693719837</v>
      </c>
      <c r="L3272" s="374">
        <v>6.2920084090841794E-2</v>
      </c>
      <c r="M3272" s="258">
        <f t="shared" si="794"/>
        <v>6.2920084090841794E-2</v>
      </c>
      <c r="N3272" s="251">
        <f t="shared" si="795"/>
        <v>2.0394873123501025</v>
      </c>
      <c r="O3272" s="258">
        <v>5.9218902673733457E-3</v>
      </c>
      <c r="P3272" s="258">
        <f t="shared" si="796"/>
        <v>5.9218902673733457E-3</v>
      </c>
      <c r="Q3272" s="249">
        <v>337.73</v>
      </c>
      <c r="R3272" s="249">
        <f t="shared" si="784"/>
        <v>344.39802500000002</v>
      </c>
      <c r="S3272" s="250">
        <v>0.1</v>
      </c>
      <c r="T3272" s="290">
        <f>Q3272*S3272+Q3272-2</f>
        <v>369.50300000000004</v>
      </c>
      <c r="U3272" s="315">
        <f t="shared" si="788"/>
        <v>378.8378275</v>
      </c>
      <c r="V3272" s="315">
        <f t="shared" si="786"/>
        <v>380</v>
      </c>
      <c r="W3272" s="316">
        <f t="shared" si="797"/>
        <v>0</v>
      </c>
    </row>
    <row r="3273" spans="1:23" x14ac:dyDescent="0.25">
      <c r="A3273" s="208" t="s">
        <v>15440</v>
      </c>
      <c r="B3273" s="313" t="s">
        <v>22734</v>
      </c>
      <c r="C3273" s="248"/>
      <c r="D3273" s="247" t="s">
        <v>2</v>
      </c>
      <c r="E3273" s="249">
        <f t="shared" si="789"/>
        <v>132.53501420454543</v>
      </c>
      <c r="F3273" s="258">
        <v>0.28409090909090906</v>
      </c>
      <c r="G3273" s="258">
        <f t="shared" si="790"/>
        <v>0.28409090909090906</v>
      </c>
      <c r="H3273" s="249">
        <f t="shared" si="791"/>
        <v>310.02998322770981</v>
      </c>
      <c r="I3273" s="258">
        <v>0.66455419580419584</v>
      </c>
      <c r="J3273" s="258">
        <f t="shared" si="792"/>
        <v>0.66455419580419584</v>
      </c>
      <c r="K3273" s="249">
        <f t="shared" si="793"/>
        <v>21.664377321896854</v>
      </c>
      <c r="L3273" s="374">
        <v>4.6437937062937064E-2</v>
      </c>
      <c r="M3273" s="258">
        <f t="shared" si="794"/>
        <v>4.6437937062937064E-2</v>
      </c>
      <c r="N3273" s="251">
        <f t="shared" si="795"/>
        <v>2.2938752458479024</v>
      </c>
      <c r="O3273" s="258">
        <v>4.916958041958042E-3</v>
      </c>
      <c r="P3273" s="258">
        <f t="shared" si="796"/>
        <v>4.916958041958042E-3</v>
      </c>
      <c r="Q3273" s="249">
        <v>457.6</v>
      </c>
      <c r="R3273" s="249">
        <f t="shared" si="784"/>
        <v>466.52325000000002</v>
      </c>
      <c r="S3273" s="250">
        <v>0.1</v>
      </c>
      <c r="T3273" s="290">
        <f>Q3273*S3273+Q3273-3</f>
        <v>500.36</v>
      </c>
      <c r="U3273" s="315">
        <f t="shared" si="788"/>
        <v>513.17557499999998</v>
      </c>
      <c r="V3273" s="315">
        <f t="shared" si="786"/>
        <v>515</v>
      </c>
      <c r="W3273" s="316">
        <f t="shared" si="797"/>
        <v>0</v>
      </c>
    </row>
    <row r="3274" spans="1:23" x14ac:dyDescent="0.25">
      <c r="A3274" s="208" t="s">
        <v>15441</v>
      </c>
      <c r="B3274" s="313" t="s">
        <v>22735</v>
      </c>
      <c r="C3274" s="248"/>
      <c r="D3274" s="247" t="s">
        <v>11</v>
      </c>
      <c r="E3274" s="249">
        <f t="shared" si="789"/>
        <v>15.807924660271786</v>
      </c>
      <c r="F3274" s="258">
        <v>0.2478017585931255</v>
      </c>
      <c r="G3274" s="258">
        <f t="shared" si="790"/>
        <v>0.2478017585931255</v>
      </c>
      <c r="H3274" s="249">
        <f t="shared" si="791"/>
        <v>35.236374000799366</v>
      </c>
      <c r="I3274" s="258">
        <v>0.55235811350919262</v>
      </c>
      <c r="J3274" s="258">
        <f t="shared" si="792"/>
        <v>0.55235811350919262</v>
      </c>
      <c r="K3274" s="249">
        <f t="shared" si="793"/>
        <v>10.198661071143087</v>
      </c>
      <c r="L3274" s="374">
        <v>0.1598721023181455</v>
      </c>
      <c r="M3274" s="258">
        <f t="shared" si="794"/>
        <v>0.1598721023181455</v>
      </c>
      <c r="N3274" s="251">
        <f t="shared" si="795"/>
        <v>2.5496652677857718</v>
      </c>
      <c r="O3274" s="258">
        <v>3.9968025579536375E-2</v>
      </c>
      <c r="P3274" s="258">
        <f t="shared" si="796"/>
        <v>3.9968025579536375E-2</v>
      </c>
      <c r="Q3274" s="249">
        <v>62.55</v>
      </c>
      <c r="R3274" s="249">
        <f t="shared" si="784"/>
        <v>63.792625000000008</v>
      </c>
      <c r="S3274" s="250">
        <v>0.1</v>
      </c>
      <c r="T3274" s="290">
        <f>Q3274*S3274+Q3274+1</f>
        <v>69.804999999999993</v>
      </c>
      <c r="U3274" s="315">
        <f t="shared" si="788"/>
        <v>70.171887500000011</v>
      </c>
      <c r="V3274" s="315">
        <f t="shared" si="786"/>
        <v>71</v>
      </c>
      <c r="W3274" s="316">
        <f t="shared" si="797"/>
        <v>0</v>
      </c>
    </row>
    <row r="3275" spans="1:23" x14ac:dyDescent="0.25">
      <c r="A3275" s="208" t="s">
        <v>15442</v>
      </c>
      <c r="B3275" s="313" t="s">
        <v>22736</v>
      </c>
      <c r="C3275" s="248"/>
      <c r="D3275" s="247" t="s">
        <v>11</v>
      </c>
      <c r="E3275" s="249">
        <f t="shared" si="789"/>
        <v>95.355654975048594</v>
      </c>
      <c r="F3275" s="258">
        <v>0.35617690754637921</v>
      </c>
      <c r="G3275" s="258">
        <f t="shared" si="790"/>
        <v>0.35617690754637921</v>
      </c>
      <c r="H3275" s="249">
        <f t="shared" si="791"/>
        <v>159.61618780903586</v>
      </c>
      <c r="I3275" s="258">
        <v>0.59620585882442567</v>
      </c>
      <c r="J3275" s="258">
        <f t="shared" si="792"/>
        <v>0.59620585882442567</v>
      </c>
      <c r="K3275" s="249">
        <f t="shared" si="793"/>
        <v>10.198465772732469</v>
      </c>
      <c r="L3275" s="374">
        <v>3.8093786903356061E-2</v>
      </c>
      <c r="M3275" s="258">
        <f t="shared" si="794"/>
        <v>3.8093786903356061E-2</v>
      </c>
      <c r="N3275" s="251">
        <f t="shared" si="795"/>
        <v>2.5496164431831172</v>
      </c>
      <c r="O3275" s="258">
        <v>9.5234467258390153E-3</v>
      </c>
      <c r="P3275" s="258">
        <f t="shared" si="796"/>
        <v>9.5234467258390153E-3</v>
      </c>
      <c r="Q3275" s="249">
        <v>262.51</v>
      </c>
      <c r="R3275" s="249">
        <f t="shared" si="784"/>
        <v>267.71992500000005</v>
      </c>
      <c r="S3275" s="250">
        <v>0.1</v>
      </c>
      <c r="T3275" s="290">
        <f>Q3275*S3275+Q3275+1</f>
        <v>289.76099999999997</v>
      </c>
      <c r="U3275" s="315">
        <f t="shared" si="788"/>
        <v>294.49191750000006</v>
      </c>
      <c r="V3275" s="315">
        <f t="shared" si="786"/>
        <v>295</v>
      </c>
      <c r="W3275" s="316">
        <f t="shared" si="797"/>
        <v>0</v>
      </c>
    </row>
    <row r="3276" spans="1:23" x14ac:dyDescent="0.25">
      <c r="A3276" s="208" t="s">
        <v>15443</v>
      </c>
      <c r="B3276" s="313" t="s">
        <v>22737</v>
      </c>
      <c r="C3276" s="248"/>
      <c r="D3276" s="247" t="s">
        <v>11</v>
      </c>
      <c r="E3276" s="249">
        <f t="shared" si="789"/>
        <v>95.355654975048594</v>
      </c>
      <c r="F3276" s="258">
        <v>0.35617690754637921</v>
      </c>
      <c r="G3276" s="258">
        <f t="shared" si="790"/>
        <v>0.35617690754637921</v>
      </c>
      <c r="H3276" s="249">
        <f t="shared" si="791"/>
        <v>159.61618780903586</v>
      </c>
      <c r="I3276" s="258">
        <v>0.59620585882442567</v>
      </c>
      <c r="J3276" s="258">
        <f t="shared" si="792"/>
        <v>0.59620585882442567</v>
      </c>
      <c r="K3276" s="249">
        <f t="shared" si="793"/>
        <v>10.198465772732469</v>
      </c>
      <c r="L3276" s="374">
        <v>3.8093786903356061E-2</v>
      </c>
      <c r="M3276" s="258">
        <f t="shared" si="794"/>
        <v>3.8093786903356061E-2</v>
      </c>
      <c r="N3276" s="251">
        <f t="shared" si="795"/>
        <v>2.5496164431831172</v>
      </c>
      <c r="O3276" s="258">
        <v>9.5234467258390153E-3</v>
      </c>
      <c r="P3276" s="258">
        <f t="shared" si="796"/>
        <v>9.5234467258390153E-3</v>
      </c>
      <c r="Q3276" s="249">
        <v>262.51</v>
      </c>
      <c r="R3276" s="249">
        <f t="shared" si="784"/>
        <v>267.71992500000005</v>
      </c>
      <c r="S3276" s="250">
        <v>0.1</v>
      </c>
      <c r="T3276" s="290">
        <f>Q3276*S3276+Q3276+1</f>
        <v>289.76099999999997</v>
      </c>
      <c r="U3276" s="315">
        <f t="shared" si="788"/>
        <v>294.49191750000006</v>
      </c>
      <c r="V3276" s="315">
        <f t="shared" si="786"/>
        <v>295</v>
      </c>
      <c r="W3276" s="316">
        <f t="shared" si="797"/>
        <v>0</v>
      </c>
    </row>
    <row r="3277" spans="1:23" x14ac:dyDescent="0.25">
      <c r="A3277" s="208" t="s">
        <v>15444</v>
      </c>
      <c r="B3277" s="313" t="s">
        <v>22738</v>
      </c>
      <c r="C3277" s="248"/>
      <c r="D3277" s="247" t="s">
        <v>11</v>
      </c>
      <c r="E3277" s="249">
        <f t="shared" si="789"/>
        <v>23.811024920300579</v>
      </c>
      <c r="F3277" s="258">
        <v>0.265854491631561</v>
      </c>
      <c r="G3277" s="258">
        <f t="shared" si="790"/>
        <v>0.265854491631561</v>
      </c>
      <c r="H3277" s="249">
        <f t="shared" si="791"/>
        <v>48.927322298758952</v>
      </c>
      <c r="I3277" s="258">
        <v>0.54628259136969137</v>
      </c>
      <c r="J3277" s="258">
        <f t="shared" si="792"/>
        <v>0.54628259136969137</v>
      </c>
      <c r="K3277" s="249">
        <f t="shared" si="793"/>
        <v>12.23692929522942</v>
      </c>
      <c r="L3277" s="374">
        <v>0.13662757599908915</v>
      </c>
      <c r="M3277" s="258">
        <f t="shared" si="794"/>
        <v>0.13662757599908915</v>
      </c>
      <c r="N3277" s="251">
        <f t="shared" si="795"/>
        <v>4.5888484857110319</v>
      </c>
      <c r="O3277" s="258">
        <v>5.123534099965843E-2</v>
      </c>
      <c r="P3277" s="258">
        <f t="shared" si="796"/>
        <v>5.123534099965843E-2</v>
      </c>
      <c r="Q3277" s="249">
        <v>87.83</v>
      </c>
      <c r="R3277" s="249">
        <f t="shared" si="784"/>
        <v>89.56412499999999</v>
      </c>
      <c r="S3277" s="250">
        <v>0.1</v>
      </c>
      <c r="T3277" s="290">
        <f>Q3277*S3277+Q3277-2</f>
        <v>94.613</v>
      </c>
      <c r="U3277" s="315">
        <f t="shared" si="788"/>
        <v>98.520537499999989</v>
      </c>
      <c r="V3277" s="315">
        <f t="shared" si="786"/>
        <v>99</v>
      </c>
      <c r="W3277" s="316">
        <f t="shared" si="797"/>
        <v>0</v>
      </c>
    </row>
    <row r="3278" spans="1:23" x14ac:dyDescent="0.25">
      <c r="A3278" s="208" t="s">
        <v>15445</v>
      </c>
      <c r="B3278" s="313" t="s">
        <v>22739</v>
      </c>
      <c r="C3278" s="248"/>
      <c r="D3278" s="247" t="s">
        <v>11</v>
      </c>
      <c r="E3278" s="249">
        <f t="shared" si="789"/>
        <v>118.62463697230892</v>
      </c>
      <c r="F3278" s="258">
        <v>0.31586806026876607</v>
      </c>
      <c r="G3278" s="258">
        <f t="shared" si="790"/>
        <v>0.31586806026876607</v>
      </c>
      <c r="H3278" s="249">
        <f t="shared" si="791"/>
        <v>240.10401381159221</v>
      </c>
      <c r="I3278" s="258">
        <v>0.63933758653454587</v>
      </c>
      <c r="J3278" s="258">
        <f t="shared" si="792"/>
        <v>0.63933758653454587</v>
      </c>
      <c r="K3278" s="249">
        <f t="shared" si="793"/>
        <v>12.23459942989005</v>
      </c>
      <c r="L3278" s="374">
        <v>3.2577711415773043E-2</v>
      </c>
      <c r="M3278" s="258">
        <f t="shared" si="794"/>
        <v>3.2577711415773043E-2</v>
      </c>
      <c r="N3278" s="251">
        <f t="shared" si="795"/>
        <v>4.5879747862087683</v>
      </c>
      <c r="O3278" s="258">
        <v>1.221664178091489E-2</v>
      </c>
      <c r="P3278" s="258">
        <f t="shared" si="796"/>
        <v>1.221664178091489E-2</v>
      </c>
      <c r="Q3278" s="249">
        <v>368.35</v>
      </c>
      <c r="R3278" s="249">
        <f t="shared" si="784"/>
        <v>375.55122499999999</v>
      </c>
      <c r="S3278" s="250">
        <v>0.1</v>
      </c>
      <c r="T3278" s="290">
        <f>Q3278*S3278+Q3278</f>
        <v>405.185</v>
      </c>
      <c r="U3278" s="315">
        <f t="shared" si="788"/>
        <v>413.10634749999997</v>
      </c>
      <c r="V3278" s="315">
        <f t="shared" si="786"/>
        <v>415</v>
      </c>
      <c r="W3278" s="316">
        <f t="shared" si="797"/>
        <v>0</v>
      </c>
    </row>
    <row r="3279" spans="1:23" x14ac:dyDescent="0.25">
      <c r="A3279" s="208" t="s">
        <v>15446</v>
      </c>
      <c r="B3279" s="313" t="s">
        <v>22740</v>
      </c>
      <c r="C3279" s="248"/>
      <c r="D3279" s="247" t="s">
        <v>11</v>
      </c>
      <c r="E3279" s="249">
        <f t="shared" si="789"/>
        <v>118.62463697230892</v>
      </c>
      <c r="F3279" s="258">
        <v>0.31586806026876607</v>
      </c>
      <c r="G3279" s="258">
        <f t="shared" si="790"/>
        <v>0.31586806026876607</v>
      </c>
      <c r="H3279" s="249">
        <f t="shared" si="791"/>
        <v>240.10401381159221</v>
      </c>
      <c r="I3279" s="258">
        <v>0.63933758653454587</v>
      </c>
      <c r="J3279" s="258">
        <f t="shared" si="792"/>
        <v>0.63933758653454587</v>
      </c>
      <c r="K3279" s="249">
        <f t="shared" si="793"/>
        <v>12.23459942989005</v>
      </c>
      <c r="L3279" s="374">
        <v>3.2577711415773043E-2</v>
      </c>
      <c r="M3279" s="258">
        <f t="shared" si="794"/>
        <v>3.2577711415773043E-2</v>
      </c>
      <c r="N3279" s="251">
        <f t="shared" si="795"/>
        <v>4.5879747862087683</v>
      </c>
      <c r="O3279" s="258">
        <v>1.221664178091489E-2</v>
      </c>
      <c r="P3279" s="258">
        <f t="shared" si="796"/>
        <v>1.221664178091489E-2</v>
      </c>
      <c r="Q3279" s="249">
        <v>368.35</v>
      </c>
      <c r="R3279" s="249">
        <f t="shared" si="784"/>
        <v>375.55122499999999</v>
      </c>
      <c r="S3279" s="250">
        <v>0.1</v>
      </c>
      <c r="T3279" s="290">
        <f>Q3279*S3279+Q3279</f>
        <v>405.185</v>
      </c>
      <c r="U3279" s="315">
        <f t="shared" si="788"/>
        <v>413.10634749999997</v>
      </c>
      <c r="V3279" s="315">
        <f t="shared" si="786"/>
        <v>415</v>
      </c>
      <c r="W3279" s="316">
        <f t="shared" si="797"/>
        <v>0</v>
      </c>
    </row>
    <row r="3280" spans="1:23" x14ac:dyDescent="0.25">
      <c r="A3280" s="208" t="s">
        <v>15447</v>
      </c>
      <c r="B3280" s="313" t="s">
        <v>22741</v>
      </c>
      <c r="C3280" s="248"/>
      <c r="D3280" s="247" t="s">
        <v>11</v>
      </c>
      <c r="E3280" s="249">
        <f t="shared" si="789"/>
        <v>1.9540340926383872</v>
      </c>
      <c r="F3280" s="258">
        <v>0.61765265360471755</v>
      </c>
      <c r="G3280" s="258">
        <f t="shared" si="790"/>
        <v>0.61765265360471755</v>
      </c>
      <c r="H3280" s="249">
        <f t="shared" si="791"/>
        <v>0.18414980977743961</v>
      </c>
      <c r="I3280" s="258">
        <v>5.8208103481072852E-2</v>
      </c>
      <c r="J3280" s="258">
        <f t="shared" si="792"/>
        <v>5.8208103481072852E-2</v>
      </c>
      <c r="K3280" s="249">
        <f t="shared" si="793"/>
        <v>0.92315623594311247</v>
      </c>
      <c r="L3280" s="374">
        <v>0.29180140764694695</v>
      </c>
      <c r="M3280" s="258">
        <f t="shared" si="794"/>
        <v>0.29180140764694695</v>
      </c>
      <c r="N3280" s="251">
        <f t="shared" si="795"/>
        <v>0.10230544987635536</v>
      </c>
      <c r="O3280" s="258">
        <v>3.23378352672627E-2</v>
      </c>
      <c r="P3280" s="258">
        <f t="shared" si="796"/>
        <v>3.23378352672627E-2</v>
      </c>
      <c r="Q3280" s="249">
        <v>3.0923529411764705</v>
      </c>
      <c r="R3280" s="249">
        <f t="shared" si="784"/>
        <v>3.1636455882352945</v>
      </c>
      <c r="S3280" s="250">
        <v>0.1</v>
      </c>
      <c r="T3280" s="169">
        <f>Q3280*S3280+Q3280+0.1</f>
        <v>3.5015882352941179</v>
      </c>
      <c r="U3280" s="315">
        <f t="shared" si="788"/>
        <v>3.4800101470588238</v>
      </c>
      <c r="V3280" s="315">
        <f t="shared" si="786"/>
        <v>4</v>
      </c>
      <c r="W3280" s="316">
        <f t="shared" si="797"/>
        <v>0</v>
      </c>
    </row>
    <row r="3281" spans="1:23" x14ac:dyDescent="0.25">
      <c r="A3281" s="208" t="s">
        <v>15448</v>
      </c>
      <c r="B3281" s="313" t="s">
        <v>22742</v>
      </c>
      <c r="C3281" s="248"/>
      <c r="D3281" s="247" t="s">
        <v>11</v>
      </c>
      <c r="E3281" s="249">
        <f t="shared" si="789"/>
        <v>2.352780279146141</v>
      </c>
      <c r="F3281" s="258">
        <v>0.64203612479474537</v>
      </c>
      <c r="G3281" s="258">
        <f t="shared" si="790"/>
        <v>0.64203612479474537</v>
      </c>
      <c r="H3281" s="249">
        <f t="shared" si="791"/>
        <v>0.28642542528735632</v>
      </c>
      <c r="I3281" s="258">
        <v>7.8160919540229884E-2</v>
      </c>
      <c r="J3281" s="258">
        <f t="shared" si="792"/>
        <v>7.8160919540229884E-2</v>
      </c>
      <c r="K3281" s="249">
        <f t="shared" si="793"/>
        <v>0.92306008905631221</v>
      </c>
      <c r="L3281" s="374">
        <v>0.25188834154351397</v>
      </c>
      <c r="M3281" s="258">
        <f t="shared" si="794"/>
        <v>0.25188834154351397</v>
      </c>
      <c r="N3281" s="251">
        <f t="shared" si="795"/>
        <v>0.1022947947454844</v>
      </c>
      <c r="O3281" s="258">
        <v>2.7914614121510674E-2</v>
      </c>
      <c r="P3281" s="258">
        <f t="shared" si="796"/>
        <v>2.7914614121510674E-2</v>
      </c>
      <c r="Q3281" s="249">
        <v>3.5823529411764707</v>
      </c>
      <c r="R3281" s="249">
        <f t="shared" si="784"/>
        <v>3.6645605882352941</v>
      </c>
      <c r="S3281" s="250">
        <v>0.1</v>
      </c>
      <c r="T3281" s="169">
        <f>Q3281*S3281+Q3281+0.06</f>
        <v>4.000588235294118</v>
      </c>
      <c r="U3281" s="315">
        <f t="shared" si="788"/>
        <v>4.0310166470588236</v>
      </c>
      <c r="V3281" s="315">
        <f t="shared" si="786"/>
        <v>5</v>
      </c>
      <c r="W3281" s="316">
        <f t="shared" si="797"/>
        <v>0</v>
      </c>
    </row>
    <row r="3282" spans="1:23" x14ac:dyDescent="0.25">
      <c r="A3282" s="208" t="s">
        <v>15449</v>
      </c>
      <c r="B3282" s="313" t="s">
        <v>22743</v>
      </c>
      <c r="C3282" s="248"/>
      <c r="D3282" s="247" t="s">
        <v>11</v>
      </c>
      <c r="E3282" s="249">
        <f t="shared" si="789"/>
        <v>2.3526419129587528</v>
      </c>
      <c r="F3282" s="258">
        <v>0.63494641117245854</v>
      </c>
      <c r="G3282" s="258">
        <f t="shared" si="790"/>
        <v>0.63494641117245854</v>
      </c>
      <c r="H3282" s="249">
        <f t="shared" si="791"/>
        <v>0.32732409223773956</v>
      </c>
      <c r="I3282" s="258">
        <v>8.8340370250081207E-2</v>
      </c>
      <c r="J3282" s="258">
        <f t="shared" si="792"/>
        <v>8.8340370250081207E-2</v>
      </c>
      <c r="K3282" s="249">
        <f t="shared" si="793"/>
        <v>0.92300580421450829</v>
      </c>
      <c r="L3282" s="374">
        <v>0.24910685287430986</v>
      </c>
      <c r="M3282" s="258">
        <f t="shared" si="794"/>
        <v>0.24910685287430986</v>
      </c>
      <c r="N3282" s="251">
        <f t="shared" si="795"/>
        <v>0.10228877882429362</v>
      </c>
      <c r="O3282" s="258">
        <v>2.7606365703150375E-2</v>
      </c>
      <c r="P3282" s="258">
        <f t="shared" si="796"/>
        <v>2.7606365703150375E-2</v>
      </c>
      <c r="Q3282" s="249">
        <v>3.6223529411764703</v>
      </c>
      <c r="R3282" s="249">
        <f t="shared" si="784"/>
        <v>3.7052605882352943</v>
      </c>
      <c r="S3282" s="250">
        <v>0.1</v>
      </c>
      <c r="T3282" s="169">
        <f>Q3282*S3282+Q3282+0.02</f>
        <v>4.0045882352941176</v>
      </c>
      <c r="U3282" s="315">
        <f t="shared" si="788"/>
        <v>4.0757866470588233</v>
      </c>
      <c r="V3282" s="315">
        <f t="shared" si="786"/>
        <v>5</v>
      </c>
      <c r="W3282" s="316">
        <f t="shared" si="797"/>
        <v>0</v>
      </c>
    </row>
    <row r="3283" spans="1:23" x14ac:dyDescent="0.25">
      <c r="A3283" s="208" t="s">
        <v>15450</v>
      </c>
      <c r="B3283" s="313" t="s">
        <v>16013</v>
      </c>
      <c r="C3283" s="248"/>
      <c r="D3283" s="247" t="s">
        <v>11</v>
      </c>
      <c r="E3283" s="249">
        <f t="shared" si="789"/>
        <v>2.3512654522797245</v>
      </c>
      <c r="F3283" s="258">
        <v>0.57322973171089286</v>
      </c>
      <c r="G3283" s="258">
        <f t="shared" si="790"/>
        <v>0.57322973171089286</v>
      </c>
      <c r="H3283" s="249">
        <f t="shared" si="791"/>
        <v>0.67471095587157315</v>
      </c>
      <c r="I3283" s="258">
        <v>0.16449200996921276</v>
      </c>
      <c r="J3283" s="258">
        <f t="shared" si="792"/>
        <v>0.16449200996921276</v>
      </c>
      <c r="K3283" s="249">
        <f t="shared" si="793"/>
        <v>0.9224657810222755</v>
      </c>
      <c r="L3283" s="374">
        <v>0.22489371059961885</v>
      </c>
      <c r="M3283" s="258">
        <f t="shared" si="794"/>
        <v>0.22489371059961885</v>
      </c>
      <c r="N3283" s="251">
        <f t="shared" si="795"/>
        <v>0.15334339906172115</v>
      </c>
      <c r="O3283" s="258">
        <v>3.7384547720275621E-2</v>
      </c>
      <c r="P3283" s="258">
        <f t="shared" si="796"/>
        <v>3.7384547720275621E-2</v>
      </c>
      <c r="Q3283" s="249">
        <v>4.01235294117647</v>
      </c>
      <c r="R3283" s="249">
        <f t="shared" si="784"/>
        <v>4.1017855882352938</v>
      </c>
      <c r="S3283" s="250">
        <v>0.1</v>
      </c>
      <c r="T3283" s="169">
        <f>Q3283*S3283+Q3283+0.04</f>
        <v>4.4535882352941174</v>
      </c>
      <c r="U3283" s="315">
        <f t="shared" si="788"/>
        <v>4.5119641470588228</v>
      </c>
      <c r="V3283" s="315">
        <f t="shared" si="786"/>
        <v>5</v>
      </c>
      <c r="W3283" s="316">
        <f t="shared" si="797"/>
        <v>0</v>
      </c>
    </row>
    <row r="3284" spans="1:23" x14ac:dyDescent="0.25">
      <c r="A3284" s="208" t="s">
        <v>15451</v>
      </c>
      <c r="B3284" s="313" t="s">
        <v>16012</v>
      </c>
      <c r="C3284" s="248"/>
      <c r="D3284" s="247" t="s">
        <v>11</v>
      </c>
      <c r="E3284" s="249">
        <f t="shared" si="789"/>
        <v>2.3504754218835058</v>
      </c>
      <c r="F3284" s="258">
        <v>0.5321175830157866</v>
      </c>
      <c r="G3284" s="258">
        <f t="shared" si="790"/>
        <v>0.5321175830157866</v>
      </c>
      <c r="H3284" s="249">
        <f t="shared" si="791"/>
        <v>0.99128746053347849</v>
      </c>
      <c r="I3284" s="258">
        <v>0.22441480675013609</v>
      </c>
      <c r="J3284" s="258">
        <f t="shared" si="792"/>
        <v>0.22441480675013609</v>
      </c>
      <c r="K3284" s="249">
        <f t="shared" si="793"/>
        <v>0.92215583047808125</v>
      </c>
      <c r="L3284" s="374">
        <v>0.20876428960261295</v>
      </c>
      <c r="M3284" s="258">
        <f t="shared" si="794"/>
        <v>0.20876428960261295</v>
      </c>
      <c r="N3284" s="251">
        <f t="shared" si="795"/>
        <v>0.15329187534022862</v>
      </c>
      <c r="O3284" s="258">
        <v>3.4703320631464342E-2</v>
      </c>
      <c r="P3284" s="258">
        <f t="shared" si="796"/>
        <v>3.4703320631464342E-2</v>
      </c>
      <c r="Q3284" s="249">
        <v>4.3223529411764705</v>
      </c>
      <c r="R3284" s="249">
        <f t="shared" ref="R3284:R3345" si="798">SUM(F3284*Q3284*1.0235,I3284*Q3284*1.0175,L3284*Q3284*1.0245,O3284*Q3284*1.0115)</f>
        <v>4.4172105882352941</v>
      </c>
      <c r="S3284" s="250">
        <v>0.1</v>
      </c>
      <c r="T3284" s="169">
        <f>Q3284*S3284+Q3284</f>
        <v>4.7545882352941176</v>
      </c>
      <c r="U3284" s="315">
        <f t="shared" si="788"/>
        <v>4.8589316470588235</v>
      </c>
      <c r="V3284" s="315">
        <f t="shared" si="786"/>
        <v>5</v>
      </c>
      <c r="W3284" s="316">
        <f t="shared" si="797"/>
        <v>0</v>
      </c>
    </row>
    <row r="3285" spans="1:23" x14ac:dyDescent="0.25">
      <c r="A3285" s="208" t="s">
        <v>15452</v>
      </c>
      <c r="B3285" s="313" t="s">
        <v>16011</v>
      </c>
      <c r="C3285" s="248"/>
      <c r="D3285" s="247" t="s">
        <v>11</v>
      </c>
      <c r="E3285" s="249">
        <f t="shared" si="789"/>
        <v>1.953153240013954</v>
      </c>
      <c r="F3285" s="258">
        <v>0.56637013779870915</v>
      </c>
      <c r="G3285" s="258">
        <f t="shared" si="790"/>
        <v>0.56637013779870915</v>
      </c>
      <c r="H3285" s="249">
        <f t="shared" si="791"/>
        <v>0.47039292691435547</v>
      </c>
      <c r="I3285" s="258">
        <v>0.13640327926042212</v>
      </c>
      <c r="J3285" s="258">
        <f t="shared" si="792"/>
        <v>0.13640327926042212</v>
      </c>
      <c r="K3285" s="249">
        <f t="shared" si="793"/>
        <v>0.92274008936908092</v>
      </c>
      <c r="L3285" s="374">
        <v>0.26757369614512472</v>
      </c>
      <c r="M3285" s="258">
        <f t="shared" si="794"/>
        <v>0.26757369614512472</v>
      </c>
      <c r="N3285" s="251">
        <f t="shared" si="795"/>
        <v>0.10225933193790336</v>
      </c>
      <c r="O3285" s="258">
        <v>2.9652886795743939E-2</v>
      </c>
      <c r="P3285" s="258">
        <f t="shared" si="796"/>
        <v>2.9652886795743939E-2</v>
      </c>
      <c r="Q3285" s="249">
        <v>3.3723529411764708</v>
      </c>
      <c r="R3285" s="249">
        <f t="shared" si="798"/>
        <v>3.448545588235294</v>
      </c>
      <c r="S3285" s="250">
        <v>0.1</v>
      </c>
      <c r="T3285" s="169">
        <f>Q3285*S3285+Q3285+0.04</f>
        <v>3.7495882352941177</v>
      </c>
      <c r="U3285" s="315">
        <f t="shared" si="788"/>
        <v>3.7934001470588234</v>
      </c>
      <c r="V3285" s="315">
        <f t="shared" si="786"/>
        <v>4</v>
      </c>
      <c r="W3285" s="316">
        <f t="shared" si="797"/>
        <v>0</v>
      </c>
    </row>
    <row r="3286" spans="1:23" x14ac:dyDescent="0.25">
      <c r="A3286" s="208" t="s">
        <v>15452</v>
      </c>
      <c r="B3286" s="313" t="s">
        <v>16010</v>
      </c>
      <c r="C3286" s="248"/>
      <c r="D3286" s="247" t="s">
        <v>11</v>
      </c>
      <c r="E3286" s="249">
        <f t="shared" si="789"/>
        <v>2.3515785926365789</v>
      </c>
      <c r="F3286" s="258">
        <v>0.58046318289786214</v>
      </c>
      <c r="G3286" s="258">
        <f t="shared" si="790"/>
        <v>0.58046318289786214</v>
      </c>
      <c r="H3286" s="249">
        <f t="shared" si="791"/>
        <v>0.6748008135391923</v>
      </c>
      <c r="I3286" s="258">
        <v>0.16656769596199525</v>
      </c>
      <c r="J3286" s="258">
        <f t="shared" si="792"/>
        <v>0.16656769596199525</v>
      </c>
      <c r="K3286" s="249">
        <f t="shared" si="793"/>
        <v>0.92258863455358386</v>
      </c>
      <c r="L3286" s="374">
        <v>0.22773159144893113</v>
      </c>
      <c r="M3286" s="258">
        <f t="shared" si="794"/>
        <v>0.22773159144893113</v>
      </c>
      <c r="N3286" s="251">
        <f t="shared" si="795"/>
        <v>0.10224254750593822</v>
      </c>
      <c r="O3286" s="258">
        <v>2.5237529691211402E-2</v>
      </c>
      <c r="P3286" s="258">
        <f t="shared" si="796"/>
        <v>2.5237529691211402E-2</v>
      </c>
      <c r="Q3286" s="249">
        <v>3.9623529411764706</v>
      </c>
      <c r="R3286" s="249">
        <f t="shared" si="798"/>
        <v>4.0512105882352936</v>
      </c>
      <c r="S3286" s="250">
        <v>0.1</v>
      </c>
      <c r="T3286" s="169">
        <f>Q3286*S3286+Q3286+0.04</f>
        <v>4.3985882352941177</v>
      </c>
      <c r="U3286" s="315">
        <f t="shared" si="788"/>
        <v>4.456331647058823</v>
      </c>
      <c r="V3286" s="315">
        <f t="shared" si="786"/>
        <v>5</v>
      </c>
      <c r="W3286" s="316">
        <f t="shared" si="797"/>
        <v>0</v>
      </c>
    </row>
    <row r="3287" spans="1:23" x14ac:dyDescent="0.25">
      <c r="A3287" s="208" t="s">
        <v>15453</v>
      </c>
      <c r="B3287" s="313" t="s">
        <v>18807</v>
      </c>
      <c r="C3287" s="248"/>
      <c r="D3287" s="247" t="s">
        <v>11</v>
      </c>
      <c r="E3287" s="249">
        <f t="shared" si="789"/>
        <v>2.3516360638615335</v>
      </c>
      <c r="F3287" s="258">
        <v>0.58340793792897638</v>
      </c>
      <c r="G3287" s="258">
        <f t="shared" si="790"/>
        <v>0.58340793792897638</v>
      </c>
      <c r="H3287" s="249">
        <f t="shared" si="791"/>
        <v>0.65436829603103541</v>
      </c>
      <c r="I3287" s="258">
        <v>0.16233960011936735</v>
      </c>
      <c r="J3287" s="258">
        <f t="shared" si="792"/>
        <v>0.16233960011936735</v>
      </c>
      <c r="K3287" s="249">
        <f t="shared" si="793"/>
        <v>0.9226111820878754</v>
      </c>
      <c r="L3287" s="374">
        <v>0.22888689943300508</v>
      </c>
      <c r="M3287" s="258">
        <f t="shared" si="794"/>
        <v>0.22888689943300508</v>
      </c>
      <c r="N3287" s="251">
        <f t="shared" si="795"/>
        <v>0.1022450462548493</v>
      </c>
      <c r="O3287" s="258">
        <v>2.5365562518651151E-2</v>
      </c>
      <c r="P3287" s="258">
        <f t="shared" si="796"/>
        <v>2.5365562518651151E-2</v>
      </c>
      <c r="Q3287" s="249">
        <v>3.9423529411764706</v>
      </c>
      <c r="R3287" s="249">
        <f t="shared" si="798"/>
        <v>4.0308605882352939</v>
      </c>
      <c r="S3287" s="250">
        <v>0.1</v>
      </c>
      <c r="T3287" s="169">
        <f>Q3287*S3287+Q3287+0.01</f>
        <v>4.3465882352941172</v>
      </c>
      <c r="U3287" s="315">
        <f t="shared" si="788"/>
        <v>4.4339466470588231</v>
      </c>
      <c r="V3287" s="315">
        <f t="shared" ref="V3287:V3350" si="799">IF(U3287=0, 0, IF(U3287&lt;10, _xlfn.CEILING.MATH(U3287,1), IF(U3287&lt;100, _xlfn.CEILING.MATH(U3287,1),IF(U3287&lt;1000, _xlfn.CEILING.MATH(U3287,5), IF(U3287&lt;10000, _xlfn.CEILING.MATH(U3287, 25), IF(U3287&lt;100000, _xlfn.CEILING.MATH(U3287,250), IF(U3287&lt;1000000, _xlfn.CEILING.MATH(U3287,500), 0)))))))</f>
        <v>5</v>
      </c>
      <c r="W3287" s="316">
        <f t="shared" si="797"/>
        <v>0</v>
      </c>
    </row>
    <row r="3288" spans="1:23" x14ac:dyDescent="0.25">
      <c r="A3288" s="208" t="s">
        <v>15454</v>
      </c>
      <c r="B3288" s="313" t="s">
        <v>18808</v>
      </c>
      <c r="C3288" s="248"/>
      <c r="D3288" s="247" t="s">
        <v>11</v>
      </c>
      <c r="E3288" s="249">
        <f t="shared" si="789"/>
        <v>66.446002264692893</v>
      </c>
      <c r="F3288" s="258">
        <v>0.53855501546619533</v>
      </c>
      <c r="G3288" s="258">
        <f t="shared" si="790"/>
        <v>0.53855501546619533</v>
      </c>
      <c r="H3288" s="249">
        <f t="shared" si="791"/>
        <v>19.790686212991606</v>
      </c>
      <c r="I3288" s="258">
        <v>0.16040653999116217</v>
      </c>
      <c r="J3288" s="258">
        <f t="shared" si="792"/>
        <v>0.16040653999116217</v>
      </c>
      <c r="K3288" s="249">
        <f t="shared" si="793"/>
        <v>31.51925748453381</v>
      </c>
      <c r="L3288" s="374">
        <v>0.25546840477242599</v>
      </c>
      <c r="M3288" s="258">
        <f t="shared" si="794"/>
        <v>0.25546840477242599</v>
      </c>
      <c r="N3288" s="251">
        <f t="shared" si="795"/>
        <v>5.6223540377817063</v>
      </c>
      <c r="O3288" s="258">
        <v>4.5570039770216529E-2</v>
      </c>
      <c r="P3288" s="258">
        <f t="shared" si="796"/>
        <v>4.5570039770216529E-2</v>
      </c>
      <c r="Q3288" s="249">
        <v>120.69333333333333</v>
      </c>
      <c r="R3288" s="249">
        <f t="shared" si="798"/>
        <v>123.37830000000001</v>
      </c>
      <c r="S3288" s="250">
        <v>0.1</v>
      </c>
      <c r="T3288" s="290">
        <f>Q3288*S3288+Q3288+7</f>
        <v>139.76266666666666</v>
      </c>
      <c r="U3288" s="315">
        <f t="shared" si="788"/>
        <v>135.71613000000002</v>
      </c>
      <c r="V3288" s="315">
        <f t="shared" si="799"/>
        <v>140</v>
      </c>
      <c r="W3288" s="316">
        <f t="shared" si="797"/>
        <v>0</v>
      </c>
    </row>
    <row r="3289" spans="1:23" x14ac:dyDescent="0.25">
      <c r="A3289" s="208" t="s">
        <v>15455</v>
      </c>
      <c r="B3289" s="313" t="s">
        <v>22744</v>
      </c>
      <c r="C3289" s="248"/>
      <c r="D3289" s="247" t="s">
        <v>11</v>
      </c>
      <c r="E3289" s="249">
        <f t="shared" si="789"/>
        <v>4.7001662606577348</v>
      </c>
      <c r="F3289" s="258">
        <v>0.56029232643118143</v>
      </c>
      <c r="G3289" s="258">
        <f t="shared" si="790"/>
        <v>0.56029232643118143</v>
      </c>
      <c r="H3289" s="249">
        <f t="shared" si="791"/>
        <v>1.6450581912302071</v>
      </c>
      <c r="I3289" s="258">
        <v>0.19610231425091351</v>
      </c>
      <c r="J3289" s="258">
        <f t="shared" si="792"/>
        <v>0.19610231425091351</v>
      </c>
      <c r="K3289" s="249">
        <f t="shared" si="793"/>
        <v>1.532662911084044</v>
      </c>
      <c r="L3289" s="374">
        <v>0.18270401948842874</v>
      </c>
      <c r="M3289" s="258">
        <f t="shared" si="794"/>
        <v>0.18270401948842874</v>
      </c>
      <c r="N3289" s="251">
        <f t="shared" si="795"/>
        <v>0.51088763702801465</v>
      </c>
      <c r="O3289" s="258">
        <v>6.0901339829476243E-2</v>
      </c>
      <c r="P3289" s="258">
        <f t="shared" si="796"/>
        <v>6.0901339829476243E-2</v>
      </c>
      <c r="Q3289" s="249">
        <v>8.2100000000000009</v>
      </c>
      <c r="R3289" s="249">
        <f t="shared" si="798"/>
        <v>8.3887750000000008</v>
      </c>
      <c r="S3289" s="250">
        <v>0.1</v>
      </c>
      <c r="T3289" s="290">
        <f>Q3289*S3289+Q3289+1</f>
        <v>10.031000000000001</v>
      </c>
      <c r="U3289" s="315">
        <f t="shared" si="788"/>
        <v>9.2276525000000014</v>
      </c>
      <c r="V3289" s="315">
        <f t="shared" si="799"/>
        <v>10</v>
      </c>
      <c r="W3289" s="316">
        <f t="shared" si="797"/>
        <v>0</v>
      </c>
    </row>
    <row r="3290" spans="1:23" x14ac:dyDescent="0.25">
      <c r="A3290" s="208" t="s">
        <v>15456</v>
      </c>
      <c r="B3290" s="313" t="s">
        <v>22745</v>
      </c>
      <c r="C3290" s="248"/>
      <c r="D3290" s="247" t="s">
        <v>11</v>
      </c>
      <c r="E3290" s="249">
        <f t="shared" si="789"/>
        <v>7.8316647326203208</v>
      </c>
      <c r="F3290" s="258">
        <v>0.51270053475935828</v>
      </c>
      <c r="G3290" s="258">
        <f t="shared" si="790"/>
        <v>0.51270053475935828</v>
      </c>
      <c r="H3290" s="249">
        <f t="shared" si="791"/>
        <v>5.4015001871657748</v>
      </c>
      <c r="I3290" s="258">
        <v>0.35360962566844917</v>
      </c>
      <c r="J3290" s="258">
        <f t="shared" si="792"/>
        <v>0.35360962566844917</v>
      </c>
      <c r="K3290" s="249">
        <f t="shared" si="793"/>
        <v>1.5316163101604279</v>
      </c>
      <c r="L3290" s="374">
        <v>0.10026737967914438</v>
      </c>
      <c r="M3290" s="258">
        <f t="shared" si="794"/>
        <v>0.10026737967914438</v>
      </c>
      <c r="N3290" s="251">
        <f t="shared" si="795"/>
        <v>0.51053877005347592</v>
      </c>
      <c r="O3290" s="258">
        <v>3.3422459893048123E-2</v>
      </c>
      <c r="P3290" s="258">
        <f t="shared" si="796"/>
        <v>3.3422459893048123E-2</v>
      </c>
      <c r="Q3290" s="249">
        <v>14.96</v>
      </c>
      <c r="R3290" s="249">
        <f t="shared" si="798"/>
        <v>15.275320000000001</v>
      </c>
      <c r="S3290" s="250">
        <v>0.1</v>
      </c>
      <c r="T3290" s="290">
        <f>Q3290*S3290+Q3290-1</f>
        <v>15.456</v>
      </c>
      <c r="U3290" s="315">
        <f t="shared" si="788"/>
        <v>16.802852000000001</v>
      </c>
      <c r="V3290" s="315">
        <f t="shared" si="799"/>
        <v>17</v>
      </c>
      <c r="W3290" s="316">
        <f t="shared" si="797"/>
        <v>0</v>
      </c>
    </row>
    <row r="3291" spans="1:23" x14ac:dyDescent="0.25">
      <c r="A3291" s="208" t="s">
        <v>15457</v>
      </c>
      <c r="B3291" s="313" t="s">
        <v>22746</v>
      </c>
      <c r="C3291" s="248"/>
      <c r="D3291" s="247" t="s">
        <v>11</v>
      </c>
      <c r="E3291" s="249">
        <f t="shared" si="789"/>
        <v>7.828968725135625</v>
      </c>
      <c r="F3291" s="258">
        <v>0.46232670283303196</v>
      </c>
      <c r="G3291" s="258">
        <f t="shared" si="790"/>
        <v>0.46232670283303196</v>
      </c>
      <c r="H3291" s="249">
        <f t="shared" si="791"/>
        <v>7.0634241952983725</v>
      </c>
      <c r="I3291" s="258">
        <v>0.41711874623267026</v>
      </c>
      <c r="J3291" s="258">
        <f t="shared" si="792"/>
        <v>0.41711874623267026</v>
      </c>
      <c r="K3291" s="249">
        <f t="shared" si="793"/>
        <v>1.5310890596745028</v>
      </c>
      <c r="L3291" s="374">
        <v>9.0415913200723327E-2</v>
      </c>
      <c r="M3291" s="258">
        <f t="shared" si="794"/>
        <v>9.0415913200723327E-2</v>
      </c>
      <c r="N3291" s="251">
        <f t="shared" si="795"/>
        <v>0.51036301989150101</v>
      </c>
      <c r="O3291" s="258">
        <v>3.0138637733574444E-2</v>
      </c>
      <c r="P3291" s="258">
        <f t="shared" si="796"/>
        <v>3.0138637733574444E-2</v>
      </c>
      <c r="Q3291" s="249">
        <v>16.59</v>
      </c>
      <c r="R3291" s="249">
        <f t="shared" si="798"/>
        <v>16.933845000000002</v>
      </c>
      <c r="S3291" s="250">
        <v>0.1</v>
      </c>
      <c r="T3291" s="290">
        <f>Q3291*S3291+Q3291+2</f>
        <v>20.248999999999999</v>
      </c>
      <c r="U3291" s="315">
        <f t="shared" si="788"/>
        <v>18.627229500000002</v>
      </c>
      <c r="V3291" s="315">
        <f t="shared" si="799"/>
        <v>19</v>
      </c>
      <c r="W3291" s="316">
        <f t="shared" si="797"/>
        <v>0</v>
      </c>
    </row>
    <row r="3292" spans="1:23" x14ac:dyDescent="0.25">
      <c r="A3292" s="208" t="s">
        <v>15458</v>
      </c>
      <c r="B3292" s="313" t="s">
        <v>22747</v>
      </c>
      <c r="C3292" s="248"/>
      <c r="D3292" s="247" t="s">
        <v>11</v>
      </c>
      <c r="E3292" s="249">
        <f t="shared" si="789"/>
        <v>5.8714265993907082</v>
      </c>
      <c r="F3292" s="258">
        <v>0.43792840822543794</v>
      </c>
      <c r="G3292" s="258">
        <f t="shared" si="790"/>
        <v>0.43792840822543794</v>
      </c>
      <c r="H3292" s="249">
        <f t="shared" si="791"/>
        <v>4.2172159748667175</v>
      </c>
      <c r="I3292" s="258">
        <v>0.31454683929931454</v>
      </c>
      <c r="J3292" s="258">
        <f t="shared" si="792"/>
        <v>0.31454683929931454</v>
      </c>
      <c r="K3292" s="249">
        <f t="shared" si="793"/>
        <v>2.5527941736481341</v>
      </c>
      <c r="L3292" s="374">
        <v>0.19040365575019041</v>
      </c>
      <c r="M3292" s="258">
        <f t="shared" si="794"/>
        <v>0.19040365575019041</v>
      </c>
      <c r="N3292" s="251">
        <f t="shared" si="795"/>
        <v>0.76583825209444034</v>
      </c>
      <c r="O3292" s="258">
        <v>5.7121096725057129E-2</v>
      </c>
      <c r="P3292" s="258">
        <f t="shared" si="796"/>
        <v>5.7121096725057129E-2</v>
      </c>
      <c r="Q3292" s="249">
        <v>13.129999999999999</v>
      </c>
      <c r="R3292" s="249">
        <f t="shared" si="798"/>
        <v>13.407275</v>
      </c>
      <c r="S3292" s="250">
        <v>0.1</v>
      </c>
      <c r="T3292" s="290">
        <f>Q3292*S3292+Q3292+1</f>
        <v>15.443</v>
      </c>
      <c r="U3292" s="315">
        <f t="shared" si="788"/>
        <v>14.7480025</v>
      </c>
      <c r="V3292" s="315">
        <f t="shared" si="799"/>
        <v>15</v>
      </c>
      <c r="W3292" s="316">
        <f t="shared" si="797"/>
        <v>0</v>
      </c>
    </row>
    <row r="3293" spans="1:23" x14ac:dyDescent="0.25">
      <c r="A3293" s="208" t="s">
        <v>15459</v>
      </c>
      <c r="B3293" s="313" t="s">
        <v>22748</v>
      </c>
      <c r="C3293" s="248"/>
      <c r="D3293" s="247" t="s">
        <v>11</v>
      </c>
      <c r="E3293" s="249">
        <f t="shared" si="789"/>
        <v>11.734642351274786</v>
      </c>
      <c r="F3293" s="258">
        <v>0.40722379603399428</v>
      </c>
      <c r="G3293" s="258">
        <f t="shared" si="790"/>
        <v>0.40722379603399428</v>
      </c>
      <c r="H3293" s="249">
        <f t="shared" si="791"/>
        <v>13.765245679886686</v>
      </c>
      <c r="I3293" s="258">
        <v>0.47769121813031157</v>
      </c>
      <c r="J3293" s="258">
        <f t="shared" si="792"/>
        <v>0.47769121813031157</v>
      </c>
      <c r="K3293" s="249">
        <f t="shared" si="793"/>
        <v>2.551009206798867</v>
      </c>
      <c r="L3293" s="374">
        <v>8.8526912181303111E-2</v>
      </c>
      <c r="M3293" s="258">
        <f t="shared" si="794"/>
        <v>8.8526912181303111E-2</v>
      </c>
      <c r="N3293" s="251">
        <f t="shared" si="795"/>
        <v>0.76530276203966008</v>
      </c>
      <c r="O3293" s="258">
        <v>2.6558073654390932E-2</v>
      </c>
      <c r="P3293" s="258">
        <f t="shared" si="796"/>
        <v>2.6558073654390932E-2</v>
      </c>
      <c r="Q3293" s="249">
        <v>28.240000000000002</v>
      </c>
      <c r="R3293" s="249">
        <f t="shared" si="798"/>
        <v>28.816200000000002</v>
      </c>
      <c r="S3293" s="250">
        <v>0.1</v>
      </c>
      <c r="T3293" s="290">
        <f>Q3293*S3293+Q3293-1</f>
        <v>30.064000000000004</v>
      </c>
      <c r="U3293" s="315">
        <f t="shared" si="788"/>
        <v>31.697820000000004</v>
      </c>
      <c r="V3293" s="315">
        <f t="shared" si="799"/>
        <v>32</v>
      </c>
      <c r="W3293" s="316">
        <f t="shared" si="797"/>
        <v>0</v>
      </c>
    </row>
    <row r="3294" spans="1:23" x14ac:dyDescent="0.25">
      <c r="A3294" s="208" t="s">
        <v>15460</v>
      </c>
      <c r="B3294" s="313" t="s">
        <v>22749</v>
      </c>
      <c r="C3294" s="248"/>
      <c r="D3294" s="247" t="s">
        <v>11</v>
      </c>
      <c r="E3294" s="249">
        <f t="shared" si="789"/>
        <v>11.730096742122976</v>
      </c>
      <c r="F3294" s="258">
        <v>0.35178953808504132</v>
      </c>
      <c r="G3294" s="258">
        <f t="shared" si="790"/>
        <v>0.35178953808504132</v>
      </c>
      <c r="H3294" s="249">
        <f t="shared" si="791"/>
        <v>18.298950917711842</v>
      </c>
      <c r="I3294" s="258">
        <v>0.54879167941266449</v>
      </c>
      <c r="J3294" s="258">
        <f t="shared" si="792"/>
        <v>0.54879167941266449</v>
      </c>
      <c r="K3294" s="249">
        <f t="shared" si="793"/>
        <v>2.5500210308962989</v>
      </c>
      <c r="L3294" s="374">
        <v>7.6475986540226373E-2</v>
      </c>
      <c r="M3294" s="258">
        <f t="shared" si="794"/>
        <v>7.6475986540226373E-2</v>
      </c>
      <c r="N3294" s="251">
        <f t="shared" si="795"/>
        <v>0.76500630926888979</v>
      </c>
      <c r="O3294" s="258">
        <v>2.2942795962067913E-2</v>
      </c>
      <c r="P3294" s="258">
        <f t="shared" si="796"/>
        <v>2.2942795962067913E-2</v>
      </c>
      <c r="Q3294" s="249">
        <v>32.69</v>
      </c>
      <c r="R3294" s="249">
        <f t="shared" si="798"/>
        <v>33.344075000000004</v>
      </c>
      <c r="S3294" s="250">
        <v>0.1</v>
      </c>
      <c r="T3294" s="290">
        <f>Q3294*S3294+Q3294-1</f>
        <v>34.958999999999996</v>
      </c>
      <c r="U3294" s="315">
        <f t="shared" si="788"/>
        <v>36.678482500000001</v>
      </c>
      <c r="V3294" s="315">
        <f t="shared" si="799"/>
        <v>37</v>
      </c>
      <c r="W3294" s="316">
        <f t="shared" si="797"/>
        <v>0</v>
      </c>
    </row>
    <row r="3295" spans="1:23" x14ac:dyDescent="0.25">
      <c r="A3295" s="208" t="s">
        <v>15461</v>
      </c>
      <c r="B3295" s="313" t="s">
        <v>22750</v>
      </c>
      <c r="C3295" s="248"/>
      <c r="D3295" s="247" t="s">
        <v>11</v>
      </c>
      <c r="E3295" s="249">
        <f t="shared" si="789"/>
        <v>8.9262238329010763</v>
      </c>
      <c r="F3295" s="258">
        <v>0.32419414597999258</v>
      </c>
      <c r="G3295" s="258">
        <f t="shared" si="790"/>
        <v>0.32419414597999258</v>
      </c>
      <c r="H3295" s="249">
        <f t="shared" si="791"/>
        <v>13.506651834012599</v>
      </c>
      <c r="I3295" s="258">
        <v>0.49055205631715448</v>
      </c>
      <c r="J3295" s="258">
        <f t="shared" si="792"/>
        <v>0.49055205631715448</v>
      </c>
      <c r="K3295" s="249">
        <f t="shared" si="793"/>
        <v>3.8255244998147466</v>
      </c>
      <c r="L3295" s="374">
        <v>0.13894034827713966</v>
      </c>
      <c r="M3295" s="258">
        <f t="shared" si="794"/>
        <v>0.13894034827713966</v>
      </c>
      <c r="N3295" s="251">
        <f t="shared" si="795"/>
        <v>1.2751748332715822</v>
      </c>
      <c r="O3295" s="258">
        <v>4.6313449425713221E-2</v>
      </c>
      <c r="P3295" s="258">
        <f t="shared" si="796"/>
        <v>4.6313449425713221E-2</v>
      </c>
      <c r="Q3295" s="249">
        <v>26.990000000000002</v>
      </c>
      <c r="R3295" s="249">
        <f t="shared" si="798"/>
        <v>27.533575000000006</v>
      </c>
      <c r="S3295" s="250">
        <v>0.1</v>
      </c>
      <c r="T3295" s="290">
        <f>Q3295*S3295+Q3295</f>
        <v>29.689000000000004</v>
      </c>
      <c r="U3295" s="315">
        <f t="shared" ref="U3295:U3358" si="800">(R3295*S3295)+R3295</f>
        <v>30.286932500000006</v>
      </c>
      <c r="V3295" s="315">
        <f t="shared" si="799"/>
        <v>31</v>
      </c>
      <c r="W3295" s="316">
        <f t="shared" si="797"/>
        <v>0</v>
      </c>
    </row>
    <row r="3296" spans="1:23" x14ac:dyDescent="0.25">
      <c r="A3296" s="208" t="s">
        <v>15462</v>
      </c>
      <c r="B3296" s="313" t="s">
        <v>22751</v>
      </c>
      <c r="C3296" s="248"/>
      <c r="D3296" s="247" t="s">
        <v>11</v>
      </c>
      <c r="E3296" s="249">
        <f t="shared" si="789"/>
        <v>23.798913134927137</v>
      </c>
      <c r="F3296" s="258">
        <v>0.38202063206156867</v>
      </c>
      <c r="G3296" s="258">
        <f t="shared" si="790"/>
        <v>0.38202063206156867</v>
      </c>
      <c r="H3296" s="249">
        <f t="shared" si="791"/>
        <v>33.398046122482405</v>
      </c>
      <c r="I3296" s="258">
        <v>0.53610610774521039</v>
      </c>
      <c r="J3296" s="258">
        <f t="shared" si="792"/>
        <v>0.53610610774521039</v>
      </c>
      <c r="K3296" s="249">
        <f t="shared" si="793"/>
        <v>3.8253718069428535</v>
      </c>
      <c r="L3296" s="374">
        <v>6.1404945144915672E-2</v>
      </c>
      <c r="M3296" s="258">
        <f t="shared" si="794"/>
        <v>6.1404945144915672E-2</v>
      </c>
      <c r="N3296" s="251">
        <f t="shared" si="795"/>
        <v>1.2751239356476176</v>
      </c>
      <c r="O3296" s="258">
        <v>2.0468315048305222E-2</v>
      </c>
      <c r="P3296" s="258">
        <f t="shared" si="796"/>
        <v>2.0468315048305222E-2</v>
      </c>
      <c r="Q3296" s="249">
        <v>61.07</v>
      </c>
      <c r="R3296" s="249">
        <f t="shared" si="798"/>
        <v>62.297455000000014</v>
      </c>
      <c r="S3296" s="250">
        <v>0.1</v>
      </c>
      <c r="T3296" s="290">
        <f>Q3296*S3296+Q3296+3</f>
        <v>70.177000000000007</v>
      </c>
      <c r="U3296" s="315">
        <f t="shared" si="800"/>
        <v>68.527200500000021</v>
      </c>
      <c r="V3296" s="315">
        <f t="shared" si="799"/>
        <v>69</v>
      </c>
      <c r="W3296" s="316">
        <f t="shared" si="797"/>
        <v>0</v>
      </c>
    </row>
    <row r="3297" spans="1:23" x14ac:dyDescent="0.25">
      <c r="A3297" s="208" t="s">
        <v>15463</v>
      </c>
      <c r="B3297" s="313" t="s">
        <v>22752</v>
      </c>
      <c r="C3297" s="248"/>
      <c r="D3297" s="247" t="s">
        <v>11</v>
      </c>
      <c r="E3297" s="249">
        <f t="shared" si="789"/>
        <v>23.798913134927137</v>
      </c>
      <c r="F3297" s="258">
        <v>0.38202063206156867</v>
      </c>
      <c r="G3297" s="258">
        <f t="shared" si="790"/>
        <v>0.38202063206156867</v>
      </c>
      <c r="H3297" s="249">
        <f t="shared" si="791"/>
        <v>33.398046122482405</v>
      </c>
      <c r="I3297" s="258">
        <v>0.53610610774521039</v>
      </c>
      <c r="J3297" s="258">
        <f t="shared" si="792"/>
        <v>0.53610610774521039</v>
      </c>
      <c r="K3297" s="249">
        <f t="shared" si="793"/>
        <v>3.8253718069428535</v>
      </c>
      <c r="L3297" s="374">
        <v>6.1404945144915672E-2</v>
      </c>
      <c r="M3297" s="258">
        <f t="shared" si="794"/>
        <v>6.1404945144915672E-2</v>
      </c>
      <c r="N3297" s="251">
        <f t="shared" si="795"/>
        <v>1.2751239356476176</v>
      </c>
      <c r="O3297" s="258">
        <v>2.0468315048305222E-2</v>
      </c>
      <c r="P3297" s="258">
        <f t="shared" si="796"/>
        <v>2.0468315048305222E-2</v>
      </c>
      <c r="Q3297" s="249">
        <v>61.07</v>
      </c>
      <c r="R3297" s="249">
        <f t="shared" si="798"/>
        <v>62.297455000000014</v>
      </c>
      <c r="S3297" s="250">
        <v>0.1</v>
      </c>
      <c r="T3297" s="290">
        <f>Q3297*S3297+Q3297+3</f>
        <v>70.177000000000007</v>
      </c>
      <c r="U3297" s="315">
        <f t="shared" si="800"/>
        <v>68.527200500000021</v>
      </c>
      <c r="V3297" s="315">
        <f t="shared" si="799"/>
        <v>69</v>
      </c>
      <c r="W3297" s="316">
        <f t="shared" si="797"/>
        <v>0</v>
      </c>
    </row>
    <row r="3298" spans="1:23" x14ac:dyDescent="0.25">
      <c r="A3298" s="208" t="s">
        <v>15464</v>
      </c>
      <c r="B3298" s="313" t="s">
        <v>22753</v>
      </c>
      <c r="C3298" s="248"/>
      <c r="D3298" s="247" t="s">
        <v>11</v>
      </c>
      <c r="E3298" s="249">
        <f t="shared" si="789"/>
        <v>11.888317140026421</v>
      </c>
      <c r="F3298" s="258">
        <v>0.30779392338177014</v>
      </c>
      <c r="G3298" s="258">
        <f t="shared" si="790"/>
        <v>0.30779392338177014</v>
      </c>
      <c r="H3298" s="249">
        <f t="shared" si="791"/>
        <v>17.296736096433289</v>
      </c>
      <c r="I3298" s="258">
        <v>0.44782034346103033</v>
      </c>
      <c r="J3298" s="258">
        <f t="shared" si="792"/>
        <v>0.44782034346103033</v>
      </c>
      <c r="K3298" s="249">
        <f t="shared" si="793"/>
        <v>7.6534230515191553</v>
      </c>
      <c r="L3298" s="374">
        <v>0.19815059445178335</v>
      </c>
      <c r="M3298" s="258">
        <f t="shared" si="794"/>
        <v>0.19815059445178335</v>
      </c>
      <c r="N3298" s="251">
        <f t="shared" si="795"/>
        <v>1.7857987120211363</v>
      </c>
      <c r="O3298" s="258">
        <v>4.6235138705416116E-2</v>
      </c>
      <c r="P3298" s="258">
        <f t="shared" si="796"/>
        <v>4.6235138705416116E-2</v>
      </c>
      <c r="Q3298" s="249">
        <v>37.85</v>
      </c>
      <c r="R3298" s="249">
        <f t="shared" si="798"/>
        <v>38.624275000000004</v>
      </c>
      <c r="S3298" s="250">
        <v>0.1</v>
      </c>
      <c r="T3298" s="290">
        <f>Q3298*S3298+Q3298+3</f>
        <v>44.635000000000005</v>
      </c>
      <c r="U3298" s="315">
        <f t="shared" si="800"/>
        <v>42.486702500000007</v>
      </c>
      <c r="V3298" s="315">
        <f t="shared" si="799"/>
        <v>43</v>
      </c>
      <c r="W3298" s="316">
        <f t="shared" si="797"/>
        <v>0</v>
      </c>
    </row>
    <row r="3299" spans="1:23" x14ac:dyDescent="0.25">
      <c r="A3299" s="208" t="s">
        <v>15465</v>
      </c>
      <c r="B3299" s="313" t="s">
        <v>22754</v>
      </c>
      <c r="C3299" s="248"/>
      <c r="D3299" s="247" t="s">
        <v>11</v>
      </c>
      <c r="E3299" s="249">
        <f t="shared" si="789"/>
        <v>46.320415314043764</v>
      </c>
      <c r="F3299" s="258">
        <v>0.4004940014114326</v>
      </c>
      <c r="G3299" s="258">
        <f t="shared" si="790"/>
        <v>0.4004940014114326</v>
      </c>
      <c r="H3299" s="249">
        <f t="shared" si="791"/>
        <v>59.900255134086109</v>
      </c>
      <c r="I3299" s="258">
        <v>0.51790755116443188</v>
      </c>
      <c r="J3299" s="258">
        <f t="shared" si="792"/>
        <v>0.51790755116443188</v>
      </c>
      <c r="K3299" s="249">
        <f t="shared" si="793"/>
        <v>7.6520509880028245</v>
      </c>
      <c r="L3299" s="374">
        <v>6.6160903316866623E-2</v>
      </c>
      <c r="M3299" s="258">
        <f t="shared" si="794"/>
        <v>6.6160903316866623E-2</v>
      </c>
      <c r="N3299" s="251">
        <f t="shared" si="795"/>
        <v>1.7854785638673258</v>
      </c>
      <c r="O3299" s="258">
        <v>1.5437544107268879E-2</v>
      </c>
      <c r="P3299" s="258">
        <f t="shared" si="796"/>
        <v>1.5437544107268879E-2</v>
      </c>
      <c r="Q3299" s="249">
        <v>113.36</v>
      </c>
      <c r="R3299" s="249">
        <f t="shared" si="798"/>
        <v>115.65820000000002</v>
      </c>
      <c r="S3299" s="250">
        <v>0.1</v>
      </c>
      <c r="T3299" s="290">
        <f>Q3299*S3299+Q3299</f>
        <v>124.696</v>
      </c>
      <c r="U3299" s="315">
        <f t="shared" si="800"/>
        <v>127.22402000000002</v>
      </c>
      <c r="V3299" s="315">
        <f t="shared" si="799"/>
        <v>130</v>
      </c>
      <c r="W3299" s="316">
        <f t="shared" si="797"/>
        <v>0</v>
      </c>
    </row>
    <row r="3300" spans="1:23" x14ac:dyDescent="0.25">
      <c r="A3300" s="208" t="s">
        <v>15466</v>
      </c>
      <c r="B3300" s="313" t="s">
        <v>22755</v>
      </c>
      <c r="C3300" s="248"/>
      <c r="D3300" s="247" t="s">
        <v>11</v>
      </c>
      <c r="E3300" s="249">
        <f t="shared" si="789"/>
        <v>46.320415314043764</v>
      </c>
      <c r="F3300" s="258">
        <v>0.4004940014114326</v>
      </c>
      <c r="G3300" s="258">
        <f t="shared" si="790"/>
        <v>0.4004940014114326</v>
      </c>
      <c r="H3300" s="249">
        <f t="shared" si="791"/>
        <v>59.900255134086109</v>
      </c>
      <c r="I3300" s="258">
        <v>0.51790755116443188</v>
      </c>
      <c r="J3300" s="258">
        <f t="shared" si="792"/>
        <v>0.51790755116443188</v>
      </c>
      <c r="K3300" s="249">
        <f t="shared" si="793"/>
        <v>7.6520509880028245</v>
      </c>
      <c r="L3300" s="374">
        <v>6.6160903316866623E-2</v>
      </c>
      <c r="M3300" s="258">
        <f t="shared" si="794"/>
        <v>6.6160903316866623E-2</v>
      </c>
      <c r="N3300" s="251">
        <f t="shared" si="795"/>
        <v>1.7854785638673258</v>
      </c>
      <c r="O3300" s="258">
        <v>1.5437544107268879E-2</v>
      </c>
      <c r="P3300" s="258">
        <f t="shared" si="796"/>
        <v>1.5437544107268879E-2</v>
      </c>
      <c r="Q3300" s="249">
        <v>113.36</v>
      </c>
      <c r="R3300" s="249">
        <f t="shared" si="798"/>
        <v>115.65820000000002</v>
      </c>
      <c r="S3300" s="250">
        <v>0.1</v>
      </c>
      <c r="T3300" s="290">
        <f>Q3300*S3300+Q3300</f>
        <v>124.696</v>
      </c>
      <c r="U3300" s="315">
        <f t="shared" si="800"/>
        <v>127.22402000000002</v>
      </c>
      <c r="V3300" s="315">
        <f t="shared" si="799"/>
        <v>130</v>
      </c>
      <c r="W3300" s="316">
        <f t="shared" si="797"/>
        <v>0</v>
      </c>
    </row>
    <row r="3301" spans="1:23" ht="14.4" thickBot="1" x14ac:dyDescent="0.3">
      <c r="A3301" s="214" t="s">
        <v>15467</v>
      </c>
      <c r="B3301" s="321" t="s">
        <v>16009</v>
      </c>
      <c r="C3301" s="265"/>
      <c r="D3301" s="264" t="s">
        <v>11</v>
      </c>
      <c r="E3301" s="266">
        <f t="shared" si="789"/>
        <v>2.3486648728861015</v>
      </c>
      <c r="F3301" s="322">
        <v>0.43789898084891926</v>
      </c>
      <c r="G3301" s="322">
        <f t="shared" si="790"/>
        <v>0.43789898084891926</v>
      </c>
      <c r="H3301" s="266">
        <f t="shared" si="791"/>
        <v>1.940201416731997</v>
      </c>
      <c r="I3301" s="322">
        <v>0.36174263635345505</v>
      </c>
      <c r="J3301" s="322">
        <f t="shared" si="792"/>
        <v>0.36174263635345505</v>
      </c>
      <c r="K3301" s="266">
        <f t="shared" si="793"/>
        <v>0.9214455025594066</v>
      </c>
      <c r="L3301" s="391">
        <v>0.17179975361182664</v>
      </c>
      <c r="M3301" s="322">
        <f t="shared" si="794"/>
        <v>0.17179975361182664</v>
      </c>
      <c r="N3301" s="270">
        <f t="shared" si="795"/>
        <v>0.15317379605778922</v>
      </c>
      <c r="O3301" s="322">
        <v>2.8558629185799083E-2</v>
      </c>
      <c r="P3301" s="322">
        <f t="shared" si="796"/>
        <v>2.8558629185799083E-2</v>
      </c>
      <c r="Q3301" s="266">
        <v>5.2523529411764702</v>
      </c>
      <c r="R3301" s="266">
        <f t="shared" si="798"/>
        <v>5.3634855882352941</v>
      </c>
      <c r="S3301" s="267">
        <v>0.1</v>
      </c>
      <c r="T3301" s="291">
        <f>Q3301*S3301+Q3301+0.02</f>
        <v>5.7975882352941168</v>
      </c>
      <c r="U3301" s="324">
        <f t="shared" si="800"/>
        <v>5.8998341470588231</v>
      </c>
      <c r="V3301" s="324">
        <f t="shared" si="799"/>
        <v>6</v>
      </c>
      <c r="W3301" s="325">
        <f t="shared" si="797"/>
        <v>0</v>
      </c>
    </row>
    <row r="3302" spans="1:23" x14ac:dyDescent="0.25">
      <c r="A3302" s="208" t="s">
        <v>15468</v>
      </c>
      <c r="B3302" s="313" t="s">
        <v>22756</v>
      </c>
      <c r="C3302" s="248"/>
      <c r="D3302" s="247" t="s">
        <v>11</v>
      </c>
      <c r="E3302" s="249">
        <f t="shared" si="789"/>
        <v>2.3475285430591883</v>
      </c>
      <c r="F3302" s="258">
        <v>0.37876586263683037</v>
      </c>
      <c r="G3302" s="258">
        <f t="shared" si="790"/>
        <v>0.37876586263683037</v>
      </c>
      <c r="H3302" s="249">
        <f t="shared" si="791"/>
        <v>2.7762076683134751</v>
      </c>
      <c r="I3302" s="258">
        <v>0.44793180277051248</v>
      </c>
      <c r="J3302" s="258">
        <f t="shared" si="792"/>
        <v>0.44793180277051248</v>
      </c>
      <c r="K3302" s="249">
        <f t="shared" si="793"/>
        <v>0.92099968927181453</v>
      </c>
      <c r="L3302" s="374">
        <v>0.14860021311634214</v>
      </c>
      <c r="M3302" s="258">
        <f t="shared" si="794"/>
        <v>0.14860021311634214</v>
      </c>
      <c r="N3302" s="251">
        <f t="shared" si="795"/>
        <v>0.15309968759081663</v>
      </c>
      <c r="O3302" s="258">
        <v>2.4702121476315023E-2</v>
      </c>
      <c r="P3302" s="258">
        <f t="shared" si="796"/>
        <v>2.4702121476315023E-2</v>
      </c>
      <c r="Q3302" s="249">
        <v>6.0723529411764705</v>
      </c>
      <c r="R3302" s="249">
        <f t="shared" si="798"/>
        <v>6.1978355882352947</v>
      </c>
      <c r="S3302" s="250">
        <v>0.1</v>
      </c>
      <c r="T3302" s="169">
        <f>Q3302*S3302+Q3302+0.02</f>
        <v>6.699588235294117</v>
      </c>
      <c r="U3302" s="315">
        <f t="shared" si="800"/>
        <v>6.8176191470588243</v>
      </c>
      <c r="V3302" s="315">
        <f t="shared" si="799"/>
        <v>7</v>
      </c>
      <c r="W3302" s="316">
        <f t="shared" si="797"/>
        <v>0</v>
      </c>
    </row>
    <row r="3303" spans="1:23" x14ac:dyDescent="0.25">
      <c r="A3303" s="208" t="s">
        <v>15469</v>
      </c>
      <c r="B3303" s="313" t="s">
        <v>16008</v>
      </c>
      <c r="C3303" s="248"/>
      <c r="D3303" s="247" t="s">
        <v>11</v>
      </c>
      <c r="E3303" s="249">
        <f t="shared" si="789"/>
        <v>2.6563188062142271</v>
      </c>
      <c r="F3303" s="258">
        <v>0.49604796947397106</v>
      </c>
      <c r="G3303" s="258">
        <f t="shared" si="790"/>
        <v>0.49604796947397106</v>
      </c>
      <c r="H3303" s="249">
        <f t="shared" si="791"/>
        <v>1.3179427923139819</v>
      </c>
      <c r="I3303" s="258">
        <v>0.24611610793131641</v>
      </c>
      <c r="J3303" s="258">
        <f t="shared" si="792"/>
        <v>0.24611610793131641</v>
      </c>
      <c r="K3303" s="249">
        <f t="shared" si="793"/>
        <v>1.125286703072071</v>
      </c>
      <c r="L3303" s="374">
        <v>0.21013900245298445</v>
      </c>
      <c r="M3303" s="258">
        <f t="shared" si="794"/>
        <v>0.21013900245298445</v>
      </c>
      <c r="N3303" s="251">
        <f t="shared" si="795"/>
        <v>0.2554152698282911</v>
      </c>
      <c r="O3303" s="258">
        <v>4.7696920141727987E-2</v>
      </c>
      <c r="P3303" s="258">
        <f t="shared" si="796"/>
        <v>4.7696920141727987E-2</v>
      </c>
      <c r="Q3303" s="249">
        <v>5.241428571428572</v>
      </c>
      <c r="R3303" s="249">
        <f t="shared" si="798"/>
        <v>5.3549635714285717</v>
      </c>
      <c r="S3303" s="250">
        <v>0.1</v>
      </c>
      <c r="T3303" s="169">
        <f>Q3303*S3303+Q3303+0.03</f>
        <v>5.7955714285714297</v>
      </c>
      <c r="U3303" s="315">
        <f t="shared" si="800"/>
        <v>5.8904599285714285</v>
      </c>
      <c r="V3303" s="315">
        <f t="shared" si="799"/>
        <v>6</v>
      </c>
      <c r="W3303" s="316">
        <f t="shared" si="797"/>
        <v>0</v>
      </c>
    </row>
    <row r="3304" spans="1:23" x14ac:dyDescent="0.25">
      <c r="A3304" s="208" t="s">
        <v>15469</v>
      </c>
      <c r="B3304" s="313" t="s">
        <v>16007</v>
      </c>
      <c r="C3304" s="248"/>
      <c r="D3304" s="247" t="s">
        <v>11</v>
      </c>
      <c r="E3304" s="249">
        <f t="shared" si="789"/>
        <v>3.0136360732538332</v>
      </c>
      <c r="F3304" s="258">
        <v>0.50255536626916519</v>
      </c>
      <c r="G3304" s="258">
        <f t="shared" si="790"/>
        <v>0.50255536626916519</v>
      </c>
      <c r="H3304" s="249">
        <f t="shared" si="791"/>
        <v>1.6038673339011926</v>
      </c>
      <c r="I3304" s="258">
        <v>0.26746166950596251</v>
      </c>
      <c r="J3304" s="258">
        <f t="shared" si="792"/>
        <v>0.26746166950596251</v>
      </c>
      <c r="K3304" s="249">
        <f t="shared" si="793"/>
        <v>1.1237287052810903</v>
      </c>
      <c r="L3304" s="374">
        <v>0.18739352640545143</v>
      </c>
      <c r="M3304" s="258">
        <f t="shared" si="794"/>
        <v>0.18739352640545143</v>
      </c>
      <c r="N3304" s="251">
        <f t="shared" si="795"/>
        <v>0.25539288756388412</v>
      </c>
      <c r="O3304" s="258">
        <v>4.2589437819420775E-2</v>
      </c>
      <c r="P3304" s="258">
        <f t="shared" si="796"/>
        <v>4.2589437819420775E-2</v>
      </c>
      <c r="Q3304" s="249">
        <v>5.870000000000001</v>
      </c>
      <c r="R3304" s="249">
        <f t="shared" si="798"/>
        <v>5.9966250000000008</v>
      </c>
      <c r="S3304" s="250">
        <v>0.1</v>
      </c>
      <c r="T3304" s="169">
        <f>Q3304*S3304+Q3304+0.04</f>
        <v>6.4970000000000008</v>
      </c>
      <c r="U3304" s="315">
        <f t="shared" si="800"/>
        <v>6.5962875000000007</v>
      </c>
      <c r="V3304" s="315">
        <f t="shared" si="799"/>
        <v>7</v>
      </c>
      <c r="W3304" s="316">
        <f t="shared" si="797"/>
        <v>0</v>
      </c>
    </row>
    <row r="3305" spans="1:23" x14ac:dyDescent="0.25">
      <c r="A3305" s="208" t="s">
        <v>15470</v>
      </c>
      <c r="B3305" s="313" t="s">
        <v>18809</v>
      </c>
      <c r="C3305" s="248"/>
      <c r="D3305" s="247" t="s">
        <v>11</v>
      </c>
      <c r="E3305" s="249">
        <f t="shared" si="789"/>
        <v>3.0132212171052637</v>
      </c>
      <c r="F3305" s="258">
        <v>0.48519736842105265</v>
      </c>
      <c r="G3305" s="258">
        <f t="shared" si="790"/>
        <v>0.48519736842105265</v>
      </c>
      <c r="H3305" s="249">
        <f t="shared" si="791"/>
        <v>1.8181470394736845</v>
      </c>
      <c r="I3305" s="258">
        <v>0.29276315789473684</v>
      </c>
      <c r="J3305" s="258">
        <f t="shared" si="792"/>
        <v>0.29276315789473684</v>
      </c>
      <c r="K3305" s="249">
        <f t="shared" si="793"/>
        <v>1.1235740131578951</v>
      </c>
      <c r="L3305" s="374">
        <v>0.18092105263157895</v>
      </c>
      <c r="M3305" s="258">
        <f t="shared" si="794"/>
        <v>0.18092105263157895</v>
      </c>
      <c r="N3305" s="251">
        <f t="shared" si="795"/>
        <v>0.25535773026315794</v>
      </c>
      <c r="O3305" s="258">
        <v>4.1118421052631582E-2</v>
      </c>
      <c r="P3305" s="258">
        <f t="shared" si="796"/>
        <v>4.1118421052631582E-2</v>
      </c>
      <c r="Q3305" s="249">
        <v>6.08</v>
      </c>
      <c r="R3305" s="249">
        <f t="shared" si="798"/>
        <v>6.210300000000001</v>
      </c>
      <c r="S3305" s="250">
        <v>0.1</v>
      </c>
      <c r="T3305" s="169">
        <f>Q3305*S3305+Q3305+0.01</f>
        <v>6.6980000000000004</v>
      </c>
      <c r="U3305" s="315">
        <f t="shared" si="800"/>
        <v>6.8313300000000012</v>
      </c>
      <c r="V3305" s="315">
        <f t="shared" si="799"/>
        <v>7</v>
      </c>
      <c r="W3305" s="316">
        <f t="shared" si="797"/>
        <v>0</v>
      </c>
    </row>
    <row r="3306" spans="1:23" x14ac:dyDescent="0.25">
      <c r="A3306" s="208" t="s">
        <v>15471</v>
      </c>
      <c r="B3306" s="313" t="s">
        <v>16006</v>
      </c>
      <c r="C3306" s="248"/>
      <c r="D3306" s="247" t="s">
        <v>11</v>
      </c>
      <c r="E3306" s="249">
        <f t="shared" si="789"/>
        <v>5.8662661917098449</v>
      </c>
      <c r="F3306" s="258">
        <v>0.37240932642487046</v>
      </c>
      <c r="G3306" s="258">
        <f t="shared" si="790"/>
        <v>0.37240932642487046</v>
      </c>
      <c r="H3306" s="249">
        <f t="shared" si="791"/>
        <v>7.8454933937823839</v>
      </c>
      <c r="I3306" s="258">
        <v>0.49805699481865284</v>
      </c>
      <c r="J3306" s="258">
        <f t="shared" si="792"/>
        <v>0.49805699481865284</v>
      </c>
      <c r="K3306" s="249">
        <f t="shared" si="793"/>
        <v>1.5303303108808293</v>
      </c>
      <c r="L3306" s="374">
        <v>9.7150259067357511E-2</v>
      </c>
      <c r="M3306" s="258">
        <f t="shared" si="794"/>
        <v>9.7150259067357511E-2</v>
      </c>
      <c r="N3306" s="251">
        <f t="shared" si="795"/>
        <v>0.51011010362694298</v>
      </c>
      <c r="O3306" s="258">
        <v>3.2383419689119168E-2</v>
      </c>
      <c r="P3306" s="258">
        <f t="shared" si="796"/>
        <v>3.2383419689119168E-2</v>
      </c>
      <c r="Q3306" s="249">
        <v>15.440000000000001</v>
      </c>
      <c r="R3306" s="249">
        <f t="shared" si="798"/>
        <v>15.752200000000002</v>
      </c>
      <c r="S3306" s="250">
        <v>0.1</v>
      </c>
      <c r="T3306" s="169">
        <f>Q3306*S3306+Q3306+0.02</f>
        <v>17.004000000000001</v>
      </c>
      <c r="U3306" s="315">
        <f t="shared" si="800"/>
        <v>17.327420000000004</v>
      </c>
      <c r="V3306" s="315">
        <f t="shared" si="799"/>
        <v>18</v>
      </c>
      <c r="W3306" s="316">
        <f t="shared" si="797"/>
        <v>0</v>
      </c>
    </row>
    <row r="3307" spans="1:23" x14ac:dyDescent="0.25">
      <c r="A3307" s="208" t="s">
        <v>15472</v>
      </c>
      <c r="B3307" s="313" t="s">
        <v>16005</v>
      </c>
      <c r="C3307" s="248"/>
      <c r="D3307" s="247" t="s">
        <v>11</v>
      </c>
      <c r="E3307" s="249">
        <f t="shared" si="789"/>
        <v>5.865234800362976</v>
      </c>
      <c r="F3307" s="258">
        <v>0.34785238959467635</v>
      </c>
      <c r="G3307" s="258">
        <f t="shared" si="790"/>
        <v>0.34785238959467635</v>
      </c>
      <c r="H3307" s="249">
        <f t="shared" si="791"/>
        <v>8.9559585299455531</v>
      </c>
      <c r="I3307" s="258">
        <v>0.53115547489413184</v>
      </c>
      <c r="J3307" s="258">
        <f t="shared" si="792"/>
        <v>0.53115547489413184</v>
      </c>
      <c r="K3307" s="249">
        <f t="shared" si="793"/>
        <v>1.5300612522686023</v>
      </c>
      <c r="L3307" s="374">
        <v>9.0744101633393817E-2</v>
      </c>
      <c r="M3307" s="258">
        <f t="shared" si="794"/>
        <v>9.0744101633393817E-2</v>
      </c>
      <c r="N3307" s="251">
        <f t="shared" si="795"/>
        <v>0.51002041742286752</v>
      </c>
      <c r="O3307" s="258">
        <v>3.0248033877797943E-2</v>
      </c>
      <c r="P3307" s="258">
        <f t="shared" si="796"/>
        <v>3.0248033877797943E-2</v>
      </c>
      <c r="Q3307" s="249">
        <v>16.53</v>
      </c>
      <c r="R3307" s="249">
        <f t="shared" si="798"/>
        <v>16.861274999999999</v>
      </c>
      <c r="S3307" s="250">
        <v>0.1</v>
      </c>
      <c r="T3307" s="169">
        <f>Q3307*S3307+Q3307+0.02</f>
        <v>18.202999999999999</v>
      </c>
      <c r="U3307" s="315">
        <f t="shared" si="800"/>
        <v>18.5474025</v>
      </c>
      <c r="V3307" s="315">
        <f t="shared" si="799"/>
        <v>19</v>
      </c>
      <c r="W3307" s="316">
        <f t="shared" si="797"/>
        <v>0</v>
      </c>
    </row>
    <row r="3308" spans="1:23" x14ac:dyDescent="0.25">
      <c r="A3308" s="208" t="s">
        <v>15473</v>
      </c>
      <c r="B3308" s="313" t="s">
        <v>16004</v>
      </c>
      <c r="C3308" s="248"/>
      <c r="D3308" s="247" t="s">
        <v>11</v>
      </c>
      <c r="E3308" s="249">
        <f t="shared" si="789"/>
        <v>2.6542555205047322</v>
      </c>
      <c r="F3308" s="258">
        <v>0.41009463722397477</v>
      </c>
      <c r="G3308" s="258">
        <f t="shared" si="790"/>
        <v>0.41009463722397477</v>
      </c>
      <c r="H3308" s="249">
        <f t="shared" si="791"/>
        <v>2.0315263406940063</v>
      </c>
      <c r="I3308" s="258">
        <v>0.31388012618296529</v>
      </c>
      <c r="J3308" s="258">
        <f t="shared" si="792"/>
        <v>0.31388012618296529</v>
      </c>
      <c r="K3308" s="249">
        <f t="shared" si="793"/>
        <v>1.2760843848580443</v>
      </c>
      <c r="L3308" s="374">
        <v>0.19716088328075709</v>
      </c>
      <c r="M3308" s="258">
        <f t="shared" si="794"/>
        <v>0.19716088328075709</v>
      </c>
      <c r="N3308" s="251">
        <f t="shared" si="795"/>
        <v>0.51043375394321766</v>
      </c>
      <c r="O3308" s="258">
        <v>7.8864353312302835E-2</v>
      </c>
      <c r="P3308" s="258">
        <f t="shared" si="796"/>
        <v>7.8864353312302835E-2</v>
      </c>
      <c r="Q3308" s="249">
        <v>6.34</v>
      </c>
      <c r="R3308" s="249">
        <f t="shared" si="798"/>
        <v>6.4723000000000006</v>
      </c>
      <c r="S3308" s="250">
        <v>0.1</v>
      </c>
      <c r="T3308" s="169">
        <f>Q3308*S3308+Q3308+0.03</f>
        <v>7.0040000000000004</v>
      </c>
      <c r="U3308" s="315">
        <f t="shared" si="800"/>
        <v>7.119530000000001</v>
      </c>
      <c r="V3308" s="315">
        <f t="shared" si="799"/>
        <v>8</v>
      </c>
      <c r="W3308" s="316">
        <f t="shared" si="797"/>
        <v>0</v>
      </c>
    </row>
    <row r="3309" spans="1:23" x14ac:dyDescent="0.25">
      <c r="A3309" s="208" t="s">
        <v>15473</v>
      </c>
      <c r="B3309" s="313" t="s">
        <v>16003</v>
      </c>
      <c r="C3309" s="248"/>
      <c r="D3309" s="247" t="s">
        <v>11</v>
      </c>
      <c r="E3309" s="249">
        <f t="shared" si="789"/>
        <v>3.0109859607577807</v>
      </c>
      <c r="F3309" s="258">
        <v>0.39918809201623817</v>
      </c>
      <c r="G3309" s="258">
        <f t="shared" si="790"/>
        <v>0.39918809201623817</v>
      </c>
      <c r="H3309" s="249">
        <f t="shared" si="791"/>
        <v>2.7456109269282813</v>
      </c>
      <c r="I3309" s="258">
        <v>0.36400541271989173</v>
      </c>
      <c r="J3309" s="258">
        <f t="shared" si="792"/>
        <v>0.36400541271989173</v>
      </c>
      <c r="K3309" s="249">
        <f t="shared" si="793"/>
        <v>1.2758415087956698</v>
      </c>
      <c r="L3309" s="374">
        <v>0.16914749661705006</v>
      </c>
      <c r="M3309" s="258">
        <f t="shared" si="794"/>
        <v>0.16914749661705006</v>
      </c>
      <c r="N3309" s="251">
        <f t="shared" si="795"/>
        <v>0.51033660351826793</v>
      </c>
      <c r="O3309" s="258">
        <v>6.7658998646820026E-2</v>
      </c>
      <c r="P3309" s="258">
        <f t="shared" si="796"/>
        <v>6.7658998646820026E-2</v>
      </c>
      <c r="Q3309" s="249">
        <v>7.3900000000000006</v>
      </c>
      <c r="R3309" s="249">
        <f t="shared" si="798"/>
        <v>7.5427749999999998</v>
      </c>
      <c r="S3309" s="250">
        <v>0.1</v>
      </c>
      <c r="T3309" s="169">
        <f>Q3309*S3309+Q3309+0.02</f>
        <v>8.1490000000000009</v>
      </c>
      <c r="U3309" s="315">
        <f t="shared" si="800"/>
        <v>8.2970524999999995</v>
      </c>
      <c r="V3309" s="315">
        <f t="shared" si="799"/>
        <v>9</v>
      </c>
      <c r="W3309" s="316">
        <f t="shared" si="797"/>
        <v>0</v>
      </c>
    </row>
    <row r="3310" spans="1:23" x14ac:dyDescent="0.25">
      <c r="A3310" s="208" t="s">
        <v>15474</v>
      </c>
      <c r="B3310" s="313" t="s">
        <v>16002</v>
      </c>
      <c r="C3310" s="248"/>
      <c r="D3310" s="247" t="s">
        <v>11</v>
      </c>
      <c r="E3310" s="249">
        <f t="shared" si="789"/>
        <v>3.0112134418901664</v>
      </c>
      <c r="F3310" s="258">
        <v>0.37675606641123882</v>
      </c>
      <c r="G3310" s="258">
        <f t="shared" si="790"/>
        <v>0.37675606641123882</v>
      </c>
      <c r="H3310" s="249">
        <f t="shared" si="791"/>
        <v>2.429385759897829</v>
      </c>
      <c r="I3310" s="258">
        <v>0.30395913154533843</v>
      </c>
      <c r="J3310" s="258">
        <f t="shared" si="792"/>
        <v>0.30395913154533843</v>
      </c>
      <c r="K3310" s="249">
        <f t="shared" si="793"/>
        <v>1.7863130587484037</v>
      </c>
      <c r="L3310" s="374">
        <v>0.22349936143039592</v>
      </c>
      <c r="M3310" s="258">
        <f t="shared" si="794"/>
        <v>0.22349936143039592</v>
      </c>
      <c r="N3310" s="251">
        <f t="shared" si="795"/>
        <v>0.76556273946360165</v>
      </c>
      <c r="O3310" s="258">
        <v>9.5785440613026823E-2</v>
      </c>
      <c r="P3310" s="258">
        <f t="shared" si="796"/>
        <v>9.5785440613026823E-2</v>
      </c>
      <c r="Q3310" s="249">
        <v>7.83</v>
      </c>
      <c r="R3310" s="249">
        <f t="shared" si="798"/>
        <v>7.9924750000000007</v>
      </c>
      <c r="S3310" s="250">
        <v>0.1</v>
      </c>
      <c r="T3310" s="169">
        <f>Q3310*S3310+Q3310-0.01</f>
        <v>8.6029999999999998</v>
      </c>
      <c r="U3310" s="315">
        <f t="shared" si="800"/>
        <v>8.7917225000000006</v>
      </c>
      <c r="V3310" s="315">
        <f t="shared" si="799"/>
        <v>9</v>
      </c>
      <c r="W3310" s="316">
        <f t="shared" si="797"/>
        <v>0</v>
      </c>
    </row>
    <row r="3311" spans="1:23" x14ac:dyDescent="0.25">
      <c r="A3311" s="208" t="s">
        <v>15475</v>
      </c>
      <c r="B3311" s="313" t="s">
        <v>16001</v>
      </c>
      <c r="C3311" s="248"/>
      <c r="D3311" s="247" t="s">
        <v>11</v>
      </c>
      <c r="E3311" s="249">
        <f t="shared" si="789"/>
        <v>11.735367375231053</v>
      </c>
      <c r="F3311" s="258">
        <v>0.42513863216266173</v>
      </c>
      <c r="G3311" s="258">
        <f t="shared" si="790"/>
        <v>0.42513863216266173</v>
      </c>
      <c r="H3311" s="249">
        <f t="shared" si="791"/>
        <v>12.806857439926063</v>
      </c>
      <c r="I3311" s="258">
        <v>0.46395563770794823</v>
      </c>
      <c r="J3311" s="258">
        <f t="shared" si="792"/>
        <v>0.46395563770794823</v>
      </c>
      <c r="K3311" s="249">
        <f t="shared" si="793"/>
        <v>2.2960501386321628</v>
      </c>
      <c r="L3311" s="374">
        <v>8.3179297597042512E-2</v>
      </c>
      <c r="M3311" s="258">
        <f t="shared" si="794"/>
        <v>8.3179297597042512E-2</v>
      </c>
      <c r="N3311" s="251">
        <f t="shared" si="795"/>
        <v>0.76535004621072089</v>
      </c>
      <c r="O3311" s="258">
        <v>2.7726432532347505E-2</v>
      </c>
      <c r="P3311" s="258">
        <f t="shared" si="796"/>
        <v>2.7726432532347505E-2</v>
      </c>
      <c r="Q3311" s="249">
        <v>27.05</v>
      </c>
      <c r="R3311" s="249">
        <f t="shared" si="798"/>
        <v>27.603625000000001</v>
      </c>
      <c r="S3311" s="250">
        <v>0.1</v>
      </c>
      <c r="T3311" s="169">
        <f>Q3311*S3311+Q3311+0.04</f>
        <v>29.795000000000002</v>
      </c>
      <c r="U3311" s="315">
        <f t="shared" si="800"/>
        <v>30.3639875</v>
      </c>
      <c r="V3311" s="315">
        <f t="shared" si="799"/>
        <v>31</v>
      </c>
      <c r="W3311" s="316">
        <f t="shared" si="797"/>
        <v>0</v>
      </c>
    </row>
    <row r="3312" spans="1:23" x14ac:dyDescent="0.25">
      <c r="A3312" s="208" t="s">
        <v>15476</v>
      </c>
      <c r="B3312" s="313" t="s">
        <v>16000</v>
      </c>
      <c r="C3312" s="248"/>
      <c r="D3312" s="247" t="s">
        <v>11</v>
      </c>
      <c r="E3312" s="249">
        <f t="shared" si="789"/>
        <v>11.732844488188976</v>
      </c>
      <c r="F3312" s="258">
        <v>0.39370078740157477</v>
      </c>
      <c r="G3312" s="258">
        <f t="shared" si="790"/>
        <v>0.39370078740157477</v>
      </c>
      <c r="H3312" s="249">
        <f t="shared" si="791"/>
        <v>15.007838471413901</v>
      </c>
      <c r="I3312" s="258">
        <v>0.50359465936323178</v>
      </c>
      <c r="J3312" s="258">
        <f t="shared" si="792"/>
        <v>0.50359465936323178</v>
      </c>
      <c r="K3312" s="249">
        <f t="shared" si="793"/>
        <v>2.2955565302978429</v>
      </c>
      <c r="L3312" s="374">
        <v>7.7028414926395061E-2</v>
      </c>
      <c r="M3312" s="258">
        <f t="shared" si="794"/>
        <v>7.7028414926395061E-2</v>
      </c>
      <c r="N3312" s="251">
        <f t="shared" si="795"/>
        <v>0.76518551009928104</v>
      </c>
      <c r="O3312" s="258">
        <v>2.5676138308798356E-2</v>
      </c>
      <c r="P3312" s="258">
        <f t="shared" si="796"/>
        <v>2.5676138308798356E-2</v>
      </c>
      <c r="Q3312" s="249">
        <v>29.21</v>
      </c>
      <c r="R3312" s="249">
        <f t="shared" si="798"/>
        <v>29.801425000000002</v>
      </c>
      <c r="S3312" s="250">
        <v>0.1</v>
      </c>
      <c r="T3312" s="169">
        <f>Q3312*S3312+Q3312+0.02</f>
        <v>32.151000000000003</v>
      </c>
      <c r="U3312" s="315">
        <f t="shared" si="800"/>
        <v>32.781567500000001</v>
      </c>
      <c r="V3312" s="315">
        <f t="shared" si="799"/>
        <v>33</v>
      </c>
      <c r="W3312" s="316">
        <f t="shared" si="797"/>
        <v>0</v>
      </c>
    </row>
    <row r="3313" spans="1:23" x14ac:dyDescent="0.25">
      <c r="A3313" s="208" t="s">
        <v>15477</v>
      </c>
      <c r="B3313" s="313" t="s">
        <v>15999</v>
      </c>
      <c r="C3313" s="248"/>
      <c r="D3313" s="247" t="s">
        <v>11</v>
      </c>
      <c r="E3313" s="249">
        <f t="shared" si="789"/>
        <v>3.92742298206278</v>
      </c>
      <c r="F3313" s="258">
        <v>0.3452914798206278</v>
      </c>
      <c r="G3313" s="258">
        <f t="shared" si="790"/>
        <v>0.3452914798206278</v>
      </c>
      <c r="H3313" s="249">
        <f t="shared" si="791"/>
        <v>5.1515548206278021</v>
      </c>
      <c r="I3313" s="258">
        <v>0.452914798206278</v>
      </c>
      <c r="J3313" s="258">
        <f t="shared" si="792"/>
        <v>0.452914798206278</v>
      </c>
      <c r="K3313" s="249">
        <f t="shared" si="793"/>
        <v>1.5301647982062778</v>
      </c>
      <c r="L3313" s="374">
        <v>0.13452914798206278</v>
      </c>
      <c r="M3313" s="258">
        <f t="shared" si="794"/>
        <v>0.13452914798206278</v>
      </c>
      <c r="N3313" s="251">
        <f t="shared" si="795"/>
        <v>0.76508239910313891</v>
      </c>
      <c r="O3313" s="258">
        <v>6.726457399103139E-2</v>
      </c>
      <c r="P3313" s="258">
        <f t="shared" si="796"/>
        <v>6.726457399103139E-2</v>
      </c>
      <c r="Q3313" s="249">
        <v>11.15</v>
      </c>
      <c r="R3313" s="249">
        <f t="shared" si="798"/>
        <v>11.374224999999999</v>
      </c>
      <c r="S3313" s="250">
        <v>0.1</v>
      </c>
      <c r="T3313" s="169">
        <f>Q3313*S3313+Q3313+0.03</f>
        <v>12.295</v>
      </c>
      <c r="U3313" s="315">
        <f t="shared" si="800"/>
        <v>12.511647499999999</v>
      </c>
      <c r="V3313" s="315">
        <f t="shared" si="799"/>
        <v>13</v>
      </c>
      <c r="W3313" s="316">
        <f t="shared" si="797"/>
        <v>0</v>
      </c>
    </row>
    <row r="3314" spans="1:23" x14ac:dyDescent="0.25">
      <c r="A3314" s="208" t="s">
        <v>15477</v>
      </c>
      <c r="B3314" s="313" t="s">
        <v>15998</v>
      </c>
      <c r="C3314" s="248"/>
      <c r="D3314" s="247" t="s">
        <v>11</v>
      </c>
      <c r="E3314" s="249">
        <f t="shared" si="789"/>
        <v>4.6933004846526654</v>
      </c>
      <c r="F3314" s="258">
        <v>0.37156704361873988</v>
      </c>
      <c r="G3314" s="258">
        <f t="shared" si="790"/>
        <v>0.37156704361873988</v>
      </c>
      <c r="H3314" s="249">
        <f t="shared" si="791"/>
        <v>5.2340503231017763</v>
      </c>
      <c r="I3314" s="258">
        <v>0.41437802907915988</v>
      </c>
      <c r="J3314" s="258">
        <f t="shared" si="792"/>
        <v>0.41437802907915988</v>
      </c>
      <c r="K3314" s="249">
        <f t="shared" si="793"/>
        <v>1.7854947495961224</v>
      </c>
      <c r="L3314" s="374">
        <v>0.14135702746365103</v>
      </c>
      <c r="M3314" s="258">
        <f t="shared" si="794"/>
        <v>0.14135702746365103</v>
      </c>
      <c r="N3314" s="251">
        <f t="shared" si="795"/>
        <v>0.91825444264943457</v>
      </c>
      <c r="O3314" s="258">
        <v>7.2697899838449112E-2</v>
      </c>
      <c r="P3314" s="258">
        <f t="shared" si="796"/>
        <v>7.2697899838449112E-2</v>
      </c>
      <c r="Q3314" s="249">
        <v>12.38</v>
      </c>
      <c r="R3314" s="249">
        <f t="shared" si="798"/>
        <v>12.6311</v>
      </c>
      <c r="S3314" s="250">
        <v>0.1</v>
      </c>
      <c r="T3314" s="169">
        <f>Q3314*S3314+Q3314-0.02</f>
        <v>13.598000000000001</v>
      </c>
      <c r="U3314" s="315">
        <f t="shared" si="800"/>
        <v>13.894210000000001</v>
      </c>
      <c r="V3314" s="315">
        <f t="shared" si="799"/>
        <v>14</v>
      </c>
      <c r="W3314" s="316">
        <f t="shared" si="797"/>
        <v>0</v>
      </c>
    </row>
    <row r="3315" spans="1:23" x14ac:dyDescent="0.25">
      <c r="A3315" s="208" t="s">
        <v>15478</v>
      </c>
      <c r="B3315" s="313" t="s">
        <v>18810</v>
      </c>
      <c r="C3315" s="248"/>
      <c r="D3315" s="247" t="s">
        <v>11</v>
      </c>
      <c r="E3315" s="249">
        <f t="shared" si="789"/>
        <v>4.692523520485584</v>
      </c>
      <c r="F3315" s="258">
        <v>0.34901365705614568</v>
      </c>
      <c r="G3315" s="258">
        <f t="shared" si="790"/>
        <v>0.34901365705614568</v>
      </c>
      <c r="H3315" s="249">
        <f t="shared" si="791"/>
        <v>6.0492748861911991</v>
      </c>
      <c r="I3315" s="258">
        <v>0.44992412746585736</v>
      </c>
      <c r="J3315" s="258">
        <f t="shared" si="792"/>
        <v>0.44992412746585736</v>
      </c>
      <c r="K3315" s="249">
        <f t="shared" si="793"/>
        <v>1.7851991654021244</v>
      </c>
      <c r="L3315" s="374">
        <v>0.13277693474962063</v>
      </c>
      <c r="M3315" s="258">
        <f t="shared" si="794"/>
        <v>0.13277693474962063</v>
      </c>
      <c r="N3315" s="251">
        <f t="shared" si="795"/>
        <v>0.91810242792109265</v>
      </c>
      <c r="O3315" s="258">
        <v>6.8285280728376335E-2</v>
      </c>
      <c r="P3315" s="258">
        <f t="shared" si="796"/>
        <v>6.8285280728376335E-2</v>
      </c>
      <c r="Q3315" s="249">
        <v>13.18</v>
      </c>
      <c r="R3315" s="249">
        <f t="shared" si="798"/>
        <v>13.4451</v>
      </c>
      <c r="S3315" s="250">
        <v>0.1</v>
      </c>
      <c r="T3315" s="169">
        <f t="shared" ref="T3315:T3320" si="801">Q3315*S3315+Q3315</f>
        <v>14.497999999999999</v>
      </c>
      <c r="U3315" s="315">
        <f t="shared" si="800"/>
        <v>14.78961</v>
      </c>
      <c r="V3315" s="315">
        <f t="shared" si="799"/>
        <v>15</v>
      </c>
      <c r="W3315" s="316">
        <f t="shared" si="797"/>
        <v>0</v>
      </c>
    </row>
    <row r="3316" spans="1:23" x14ac:dyDescent="0.25">
      <c r="A3316" s="208" t="s">
        <v>15479</v>
      </c>
      <c r="B3316" s="313" t="s">
        <v>22757</v>
      </c>
      <c r="C3316" s="248"/>
      <c r="D3316" s="247" t="s">
        <v>11</v>
      </c>
      <c r="E3316" s="249">
        <f t="shared" si="789"/>
        <v>15.656257141170919</v>
      </c>
      <c r="F3316" s="258">
        <v>0.36237016052880078</v>
      </c>
      <c r="G3316" s="258">
        <f t="shared" si="790"/>
        <v>0.36237016052880078</v>
      </c>
      <c r="H3316" s="249">
        <f t="shared" si="791"/>
        <v>23.469086437677056</v>
      </c>
      <c r="I3316" s="258">
        <v>0.54320113314447593</v>
      </c>
      <c r="J3316" s="258">
        <f t="shared" si="792"/>
        <v>0.54320113314447593</v>
      </c>
      <c r="K3316" s="249">
        <f t="shared" si="793"/>
        <v>2.8048669145420213</v>
      </c>
      <c r="L3316" s="374">
        <v>6.4919735599622289E-2</v>
      </c>
      <c r="M3316" s="258">
        <f t="shared" si="794"/>
        <v>6.4919735599622289E-2</v>
      </c>
      <c r="N3316" s="251">
        <f t="shared" si="795"/>
        <v>1.2749395066100095</v>
      </c>
      <c r="O3316" s="258">
        <v>2.9508970727101038E-2</v>
      </c>
      <c r="P3316" s="258">
        <f t="shared" si="796"/>
        <v>2.9508970727101038E-2</v>
      </c>
      <c r="Q3316" s="249">
        <v>42.36</v>
      </c>
      <c r="R3316" s="249">
        <f t="shared" si="798"/>
        <v>43.205150000000003</v>
      </c>
      <c r="S3316" s="250">
        <v>0.1</v>
      </c>
      <c r="T3316" s="169">
        <f t="shared" si="801"/>
        <v>46.595999999999997</v>
      </c>
      <c r="U3316" s="315">
        <f t="shared" si="800"/>
        <v>47.525665000000004</v>
      </c>
      <c r="V3316" s="315">
        <f t="shared" si="799"/>
        <v>48</v>
      </c>
      <c r="W3316" s="316">
        <f t="shared" si="797"/>
        <v>0</v>
      </c>
    </row>
    <row r="3317" spans="1:23" x14ac:dyDescent="0.25">
      <c r="A3317" s="208" t="s">
        <v>15480</v>
      </c>
      <c r="B3317" s="313" t="s">
        <v>15997</v>
      </c>
      <c r="C3317" s="248"/>
      <c r="D3317" s="247" t="s">
        <v>11</v>
      </c>
      <c r="E3317" s="249">
        <f t="shared" si="789"/>
        <v>15.652121480353019</v>
      </c>
      <c r="F3317" s="258">
        <v>0.32254675351964701</v>
      </c>
      <c r="G3317" s="258">
        <f t="shared" si="790"/>
        <v>0.32254675351964701</v>
      </c>
      <c r="H3317" s="249">
        <f t="shared" si="791"/>
        <v>28.795824795125032</v>
      </c>
      <c r="I3317" s="258">
        <v>0.59340197520487503</v>
      </c>
      <c r="J3317" s="258">
        <f t="shared" si="792"/>
        <v>0.59340197520487503</v>
      </c>
      <c r="K3317" s="249">
        <f t="shared" si="793"/>
        <v>2.8041259981088467</v>
      </c>
      <c r="L3317" s="374">
        <v>5.7785249001891158E-2</v>
      </c>
      <c r="M3317" s="258">
        <f t="shared" si="794"/>
        <v>5.7785249001891158E-2</v>
      </c>
      <c r="N3317" s="251">
        <f t="shared" si="795"/>
        <v>1.2746027264131121</v>
      </c>
      <c r="O3317" s="258">
        <v>2.6266022273586889E-2</v>
      </c>
      <c r="P3317" s="258">
        <f t="shared" si="796"/>
        <v>2.6266022273586889E-2</v>
      </c>
      <c r="Q3317" s="249">
        <v>47.589999999999996</v>
      </c>
      <c r="R3317" s="249">
        <f t="shared" si="798"/>
        <v>48.526675000000004</v>
      </c>
      <c r="S3317" s="250">
        <v>0.1</v>
      </c>
      <c r="T3317" s="169">
        <f t="shared" si="801"/>
        <v>52.348999999999997</v>
      </c>
      <c r="U3317" s="315">
        <f t="shared" si="800"/>
        <v>53.379342500000007</v>
      </c>
      <c r="V3317" s="315">
        <f t="shared" si="799"/>
        <v>54</v>
      </c>
      <c r="W3317" s="316">
        <f t="shared" si="797"/>
        <v>0</v>
      </c>
    </row>
    <row r="3318" spans="1:23" x14ac:dyDescent="0.25">
      <c r="A3318" s="208" t="s">
        <v>15481</v>
      </c>
      <c r="B3318" s="313" t="s">
        <v>15996</v>
      </c>
      <c r="C3318" s="248"/>
      <c r="D3318" s="247" t="s">
        <v>11</v>
      </c>
      <c r="E3318" s="249">
        <f t="shared" si="789"/>
        <v>4.6922537070524406</v>
      </c>
      <c r="F3318" s="258">
        <v>0.33273056057866179</v>
      </c>
      <c r="G3318" s="258">
        <f t="shared" si="790"/>
        <v>0.33273056057866179</v>
      </c>
      <c r="H3318" s="249">
        <f t="shared" si="791"/>
        <v>6.5793557414104873</v>
      </c>
      <c r="I3318" s="258">
        <v>0.46654611211573233</v>
      </c>
      <c r="J3318" s="258">
        <f t="shared" si="792"/>
        <v>0.46654611211573233</v>
      </c>
      <c r="K3318" s="249">
        <f t="shared" si="793"/>
        <v>1.9126034132007232</v>
      </c>
      <c r="L3318" s="374">
        <v>0.13562386980108498</v>
      </c>
      <c r="M3318" s="258">
        <f t="shared" si="794"/>
        <v>0.13562386980108498</v>
      </c>
      <c r="N3318" s="251">
        <f t="shared" si="795"/>
        <v>0.91804963833634712</v>
      </c>
      <c r="O3318" s="258">
        <v>6.5099457504520786E-2</v>
      </c>
      <c r="P3318" s="258">
        <f t="shared" si="796"/>
        <v>6.5099457504520786E-2</v>
      </c>
      <c r="Q3318" s="249">
        <v>13.825000000000001</v>
      </c>
      <c r="R3318" s="249">
        <f t="shared" si="798"/>
        <v>14.1022625</v>
      </c>
      <c r="S3318" s="250">
        <v>0.1</v>
      </c>
      <c r="T3318" s="169">
        <f t="shared" si="801"/>
        <v>15.207500000000001</v>
      </c>
      <c r="U3318" s="315">
        <f t="shared" si="800"/>
        <v>15.512488749999999</v>
      </c>
      <c r="V3318" s="315">
        <f t="shared" si="799"/>
        <v>16</v>
      </c>
      <c r="W3318" s="316">
        <f t="shared" si="797"/>
        <v>0</v>
      </c>
    </row>
    <row r="3319" spans="1:23" x14ac:dyDescent="0.25">
      <c r="A3319" s="208" t="s">
        <v>15481</v>
      </c>
      <c r="B3319" s="313" t="s">
        <v>15995</v>
      </c>
      <c r="C3319" s="248"/>
      <c r="D3319" s="247" t="s">
        <v>11</v>
      </c>
      <c r="E3319" s="249">
        <f t="shared" si="789"/>
        <v>4.6923553935860056</v>
      </c>
      <c r="F3319" s="258">
        <v>0.33527696793002915</v>
      </c>
      <c r="G3319" s="258">
        <f t="shared" si="790"/>
        <v>0.33527696793002915</v>
      </c>
      <c r="H3319" s="249">
        <f t="shared" si="791"/>
        <v>6.4672898250728865</v>
      </c>
      <c r="I3319" s="258">
        <v>0.46209912536443154</v>
      </c>
      <c r="J3319" s="258">
        <f t="shared" si="792"/>
        <v>0.46209912536443154</v>
      </c>
      <c r="K3319" s="249">
        <f t="shared" si="793"/>
        <v>1.9177452478134112</v>
      </c>
      <c r="L3319" s="374">
        <v>0.13702623906705541</v>
      </c>
      <c r="M3319" s="258">
        <f t="shared" si="794"/>
        <v>0.13702623906705541</v>
      </c>
      <c r="N3319" s="251">
        <f t="shared" si="795"/>
        <v>0.91806953352769682</v>
      </c>
      <c r="O3319" s="258">
        <v>6.5597667638483972E-2</v>
      </c>
      <c r="P3319" s="258">
        <f t="shared" si="796"/>
        <v>6.5597667638483972E-2</v>
      </c>
      <c r="Q3319" s="249">
        <v>13.719999999999999</v>
      </c>
      <c r="R3319" s="249">
        <f t="shared" si="798"/>
        <v>13.99546</v>
      </c>
      <c r="S3319" s="250">
        <v>0.1</v>
      </c>
      <c r="T3319" s="169">
        <f t="shared" si="801"/>
        <v>15.091999999999999</v>
      </c>
      <c r="U3319" s="315">
        <f t="shared" si="800"/>
        <v>15.395005999999999</v>
      </c>
      <c r="V3319" s="315">
        <f t="shared" si="799"/>
        <v>16</v>
      </c>
      <c r="W3319" s="316">
        <f t="shared" si="797"/>
        <v>0</v>
      </c>
    </row>
    <row r="3320" spans="1:23" x14ac:dyDescent="0.25">
      <c r="A3320" s="208" t="s">
        <v>15482</v>
      </c>
      <c r="B3320" s="313" t="s">
        <v>18811</v>
      </c>
      <c r="C3320" s="248"/>
      <c r="D3320" s="247" t="s">
        <v>11</v>
      </c>
      <c r="E3320" s="249">
        <f t="shared" si="789"/>
        <v>5.8654779951100249</v>
      </c>
      <c r="F3320" s="258">
        <v>0.35146699266503667</v>
      </c>
      <c r="G3320" s="258">
        <f t="shared" si="790"/>
        <v>0.35146699266503667</v>
      </c>
      <c r="H3320" s="249">
        <f t="shared" si="791"/>
        <v>7.987250904645478</v>
      </c>
      <c r="I3320" s="258">
        <v>0.47860635696821519</v>
      </c>
      <c r="J3320" s="258">
        <f t="shared" si="792"/>
        <v>0.47860635696821519</v>
      </c>
      <c r="K3320" s="249">
        <f t="shared" si="793"/>
        <v>1.9177562836185822</v>
      </c>
      <c r="L3320" s="374">
        <v>0.11491442542787286</v>
      </c>
      <c r="M3320" s="258">
        <f t="shared" si="794"/>
        <v>0.11491442542787286</v>
      </c>
      <c r="N3320" s="251">
        <f t="shared" si="795"/>
        <v>0.91807481662591706</v>
      </c>
      <c r="O3320" s="258">
        <v>5.5012224938875309E-2</v>
      </c>
      <c r="P3320" s="258">
        <f t="shared" si="796"/>
        <v>5.5012224938875309E-2</v>
      </c>
      <c r="Q3320" s="249">
        <v>16.36</v>
      </c>
      <c r="R3320" s="249">
        <f t="shared" si="798"/>
        <v>16.688560000000003</v>
      </c>
      <c r="S3320" s="250">
        <v>0.1</v>
      </c>
      <c r="T3320" s="169">
        <f t="shared" si="801"/>
        <v>17.995999999999999</v>
      </c>
      <c r="U3320" s="315">
        <f t="shared" si="800"/>
        <v>18.357416000000004</v>
      </c>
      <c r="V3320" s="315">
        <f t="shared" si="799"/>
        <v>19</v>
      </c>
      <c r="W3320" s="316">
        <f t="shared" si="797"/>
        <v>0</v>
      </c>
    </row>
    <row r="3321" spans="1:23" x14ac:dyDescent="0.25">
      <c r="A3321" s="208" t="s">
        <v>15483</v>
      </c>
      <c r="B3321" s="313" t="s">
        <v>15994</v>
      </c>
      <c r="C3321" s="248"/>
      <c r="D3321" s="247" t="s">
        <v>11</v>
      </c>
      <c r="E3321" s="249">
        <f t="shared" si="789"/>
        <v>23.460384101536405</v>
      </c>
      <c r="F3321" s="258">
        <v>0.38410153640614558</v>
      </c>
      <c r="G3321" s="258">
        <f t="shared" si="790"/>
        <v>0.38410153640614558</v>
      </c>
      <c r="H3321" s="249">
        <f t="shared" si="791"/>
        <v>32.926139078156311</v>
      </c>
      <c r="I3321" s="258">
        <v>0.53907815631262523</v>
      </c>
      <c r="J3321" s="258">
        <f t="shared" si="792"/>
        <v>0.53907815631262523</v>
      </c>
      <c r="K3321" s="249">
        <f t="shared" si="793"/>
        <v>3.1620517702070807</v>
      </c>
      <c r="L3321" s="374">
        <v>5.1770207080828322E-2</v>
      </c>
      <c r="M3321" s="258">
        <f t="shared" si="794"/>
        <v>5.1770207080828322E-2</v>
      </c>
      <c r="N3321" s="251">
        <f t="shared" si="795"/>
        <v>1.5300250501002002</v>
      </c>
      <c r="O3321" s="258">
        <v>2.5050100200400799E-2</v>
      </c>
      <c r="P3321" s="258">
        <f t="shared" si="796"/>
        <v>2.5050100200400799E-2</v>
      </c>
      <c r="Q3321" s="249">
        <v>59.88</v>
      </c>
      <c r="R3321" s="249">
        <f t="shared" si="798"/>
        <v>61.078600000000002</v>
      </c>
      <c r="S3321" s="250">
        <v>0.1</v>
      </c>
      <c r="T3321" s="169">
        <f>Q3321*S3321+Q3321+0.03</f>
        <v>65.89800000000001</v>
      </c>
      <c r="U3321" s="315">
        <f t="shared" si="800"/>
        <v>67.186459999999997</v>
      </c>
      <c r="V3321" s="315">
        <f t="shared" si="799"/>
        <v>68</v>
      </c>
      <c r="W3321" s="316">
        <f t="shared" si="797"/>
        <v>0</v>
      </c>
    </row>
    <row r="3322" spans="1:23" x14ac:dyDescent="0.25">
      <c r="A3322" s="208" t="s">
        <v>15484</v>
      </c>
      <c r="B3322" s="313" t="s">
        <v>15993</v>
      </c>
      <c r="C3322" s="248"/>
      <c r="D3322" s="247" t="s">
        <v>11</v>
      </c>
      <c r="E3322" s="249">
        <f t="shared" si="789"/>
        <v>23.442644776465141</v>
      </c>
      <c r="F3322" s="258">
        <v>0.26638869585360203</v>
      </c>
      <c r="G3322" s="258">
        <f t="shared" si="790"/>
        <v>0.26638869585360203</v>
      </c>
      <c r="H3322" s="249">
        <f t="shared" si="791"/>
        <v>59.870476268241845</v>
      </c>
      <c r="I3322" s="258">
        <v>0.68033356497567754</v>
      </c>
      <c r="J3322" s="258">
        <f t="shared" si="792"/>
        <v>0.68033356497567754</v>
      </c>
      <c r="K3322" s="249">
        <f t="shared" si="793"/>
        <v>3.1596608176974756</v>
      </c>
      <c r="L3322" s="374">
        <v>3.5904563354181143E-2</v>
      </c>
      <c r="M3322" s="258">
        <f t="shared" si="794"/>
        <v>3.5904563354181143E-2</v>
      </c>
      <c r="N3322" s="251">
        <f t="shared" si="795"/>
        <v>1.5288681375955528</v>
      </c>
      <c r="O3322" s="258">
        <v>1.7373175816539264E-2</v>
      </c>
      <c r="P3322" s="258">
        <f t="shared" si="796"/>
        <v>1.7373175816539264E-2</v>
      </c>
      <c r="Q3322" s="249">
        <v>86.34</v>
      </c>
      <c r="R3322" s="249">
        <f t="shared" si="798"/>
        <v>88.001650000000012</v>
      </c>
      <c r="S3322" s="250">
        <v>0.1</v>
      </c>
      <c r="T3322" s="169">
        <f>Q3322*S3322+Q3322+0.03</f>
        <v>95.004000000000005</v>
      </c>
      <c r="U3322" s="315">
        <f t="shared" si="800"/>
        <v>96.801815000000019</v>
      </c>
      <c r="V3322" s="315">
        <f t="shared" si="799"/>
        <v>97</v>
      </c>
      <c r="W3322" s="316">
        <f t="shared" si="797"/>
        <v>0</v>
      </c>
    </row>
    <row r="3323" spans="1:23" x14ac:dyDescent="0.25">
      <c r="A3323" s="208" t="s">
        <v>15485</v>
      </c>
      <c r="B3323" s="313" t="s">
        <v>22758</v>
      </c>
      <c r="C3323" s="248"/>
      <c r="D3323" s="247" t="s">
        <v>11</v>
      </c>
      <c r="E3323" s="249">
        <f t="shared" si="789"/>
        <v>4.6931933962264161</v>
      </c>
      <c r="F3323" s="258">
        <v>0.36163522012578619</v>
      </c>
      <c r="G3323" s="258">
        <f t="shared" si="790"/>
        <v>0.36163522012578619</v>
      </c>
      <c r="H3323" s="249">
        <f t="shared" si="791"/>
        <v>6.2439877358490588</v>
      </c>
      <c r="I3323" s="258">
        <v>0.48113207547169817</v>
      </c>
      <c r="J3323" s="258">
        <f t="shared" si="792"/>
        <v>0.48113207547169817</v>
      </c>
      <c r="K3323" s="249">
        <f t="shared" si="793"/>
        <v>1.5303891509433967</v>
      </c>
      <c r="L3323" s="374">
        <v>0.11792452830188681</v>
      </c>
      <c r="M3323" s="258">
        <f t="shared" si="794"/>
        <v>0.11792452830188681</v>
      </c>
      <c r="N3323" s="251">
        <f t="shared" si="795"/>
        <v>0.51012971698113219</v>
      </c>
      <c r="O3323" s="258">
        <v>3.9308176100628936E-2</v>
      </c>
      <c r="P3323" s="258">
        <f t="shared" si="796"/>
        <v>3.9308176100628936E-2</v>
      </c>
      <c r="Q3323" s="249">
        <v>12.719999999999999</v>
      </c>
      <c r="R3323" s="249">
        <f t="shared" si="798"/>
        <v>12.977700000000002</v>
      </c>
      <c r="S3323" s="250">
        <v>0.1</v>
      </c>
      <c r="T3323" s="169">
        <f>Q3323*S3323+Q3323+0.01</f>
        <v>14.001999999999999</v>
      </c>
      <c r="U3323" s="315">
        <f t="shared" si="800"/>
        <v>14.275470000000002</v>
      </c>
      <c r="V3323" s="315">
        <f t="shared" si="799"/>
        <v>15</v>
      </c>
      <c r="W3323" s="316">
        <f t="shared" si="797"/>
        <v>0</v>
      </c>
    </row>
    <row r="3324" spans="1:23" x14ac:dyDescent="0.25">
      <c r="A3324" s="208" t="s">
        <v>15486</v>
      </c>
      <c r="B3324" s="313" t="s">
        <v>22759</v>
      </c>
      <c r="C3324" s="248"/>
      <c r="D3324" s="247" t="s">
        <v>11</v>
      </c>
      <c r="E3324" s="249">
        <f t="shared" si="789"/>
        <v>15.650951347004426</v>
      </c>
      <c r="F3324" s="258">
        <v>0.30860474467229593</v>
      </c>
      <c r="G3324" s="258">
        <f t="shared" si="790"/>
        <v>0.30860474467229593</v>
      </c>
      <c r="H3324" s="249">
        <f t="shared" si="791"/>
        <v>31.138765741857668</v>
      </c>
      <c r="I3324" s="258">
        <v>0.61399276236429434</v>
      </c>
      <c r="J3324" s="258">
        <f t="shared" si="792"/>
        <v>0.61399276236429434</v>
      </c>
      <c r="K3324" s="249">
        <f t="shared" si="793"/>
        <v>2.8039163650985128</v>
      </c>
      <c r="L3324" s="374">
        <v>5.5287494973864093E-2</v>
      </c>
      <c r="M3324" s="258">
        <f t="shared" si="794"/>
        <v>5.5287494973864093E-2</v>
      </c>
      <c r="N3324" s="251">
        <f t="shared" si="795"/>
        <v>1.1215665460394051</v>
      </c>
      <c r="O3324" s="258">
        <v>2.2114997989545637E-2</v>
      </c>
      <c r="P3324" s="258">
        <f t="shared" si="796"/>
        <v>2.2114997989545637E-2</v>
      </c>
      <c r="Q3324" s="249">
        <v>49.74</v>
      </c>
      <c r="R3324" s="249">
        <f t="shared" si="798"/>
        <v>50.71520000000001</v>
      </c>
      <c r="S3324" s="250">
        <v>0.1</v>
      </c>
      <c r="T3324" s="169">
        <f>Q3324*S3324+Q3324-0.01</f>
        <v>54.704000000000001</v>
      </c>
      <c r="U3324" s="315">
        <f t="shared" si="800"/>
        <v>55.78672000000001</v>
      </c>
      <c r="V3324" s="315">
        <f t="shared" si="799"/>
        <v>56</v>
      </c>
      <c r="W3324" s="316">
        <f t="shared" si="797"/>
        <v>0</v>
      </c>
    </row>
    <row r="3325" spans="1:23" x14ac:dyDescent="0.25">
      <c r="A3325" s="208" t="s">
        <v>15487</v>
      </c>
      <c r="B3325" s="313" t="s">
        <v>22760</v>
      </c>
      <c r="C3325" s="248"/>
      <c r="D3325" s="247" t="s">
        <v>11</v>
      </c>
      <c r="E3325" s="249">
        <f t="shared" si="789"/>
        <v>15.660497721354165</v>
      </c>
      <c r="F3325" s="258">
        <v>0.39973958333333331</v>
      </c>
      <c r="G3325" s="258">
        <f t="shared" si="790"/>
        <v>0.39973958333333331</v>
      </c>
      <c r="H3325" s="249">
        <f t="shared" si="791"/>
        <v>19.588374999999999</v>
      </c>
      <c r="I3325" s="258">
        <v>0.5</v>
      </c>
      <c r="J3325" s="258">
        <f t="shared" si="792"/>
        <v>0.5</v>
      </c>
      <c r="K3325" s="249">
        <f t="shared" si="793"/>
        <v>2.805626627604167</v>
      </c>
      <c r="L3325" s="374">
        <v>7.1614583333333343E-2</v>
      </c>
      <c r="M3325" s="258">
        <f t="shared" si="794"/>
        <v>7.1614583333333343E-2</v>
      </c>
      <c r="N3325" s="251">
        <f t="shared" si="795"/>
        <v>1.1222506510416668</v>
      </c>
      <c r="O3325" s="258">
        <v>2.8645833333333336E-2</v>
      </c>
      <c r="P3325" s="258">
        <f t="shared" si="796"/>
        <v>2.8645833333333336E-2</v>
      </c>
      <c r="Q3325" s="249">
        <v>38.4</v>
      </c>
      <c r="R3325" s="249">
        <f t="shared" si="798"/>
        <v>39.176749999999998</v>
      </c>
      <c r="S3325" s="250">
        <v>0.1</v>
      </c>
      <c r="T3325" s="169">
        <f>Q3325*S3325+Q3325+0.01</f>
        <v>42.249999999999993</v>
      </c>
      <c r="U3325" s="315">
        <f t="shared" si="800"/>
        <v>43.094425000000001</v>
      </c>
      <c r="V3325" s="315">
        <f t="shared" si="799"/>
        <v>44</v>
      </c>
      <c r="W3325" s="316">
        <f t="shared" si="797"/>
        <v>0</v>
      </c>
    </row>
    <row r="3326" spans="1:23" x14ac:dyDescent="0.25">
      <c r="A3326" s="208" t="s">
        <v>15488</v>
      </c>
      <c r="B3326" s="313" t="s">
        <v>22761</v>
      </c>
      <c r="C3326" s="248"/>
      <c r="D3326" s="247" t="s">
        <v>11</v>
      </c>
      <c r="E3326" s="249">
        <f t="shared" si="789"/>
        <v>11.73424284140969</v>
      </c>
      <c r="F3326" s="258">
        <v>0.42217327459618204</v>
      </c>
      <c r="G3326" s="258">
        <f t="shared" si="790"/>
        <v>0.42217327459618204</v>
      </c>
      <c r="H3326" s="249">
        <f t="shared" si="791"/>
        <v>12.642371200440529</v>
      </c>
      <c r="I3326" s="258">
        <v>0.45484581497797355</v>
      </c>
      <c r="J3326" s="258">
        <f t="shared" si="792"/>
        <v>0.45484581497797355</v>
      </c>
      <c r="K3326" s="249">
        <f t="shared" si="793"/>
        <v>2.2958301211453742</v>
      </c>
      <c r="L3326" s="374">
        <v>8.2599118942731267E-2</v>
      </c>
      <c r="M3326" s="258">
        <f t="shared" si="794"/>
        <v>8.2599118942731267E-2</v>
      </c>
      <c r="N3326" s="251">
        <f t="shared" si="795"/>
        <v>1.1224058370044054</v>
      </c>
      <c r="O3326" s="258">
        <v>4.0381791483113071E-2</v>
      </c>
      <c r="P3326" s="258">
        <f t="shared" si="796"/>
        <v>4.0381791483113071E-2</v>
      </c>
      <c r="Q3326" s="249">
        <v>27.240000000000002</v>
      </c>
      <c r="R3326" s="249">
        <f t="shared" si="798"/>
        <v>27.79485</v>
      </c>
      <c r="S3326" s="250">
        <v>0.1</v>
      </c>
      <c r="T3326" s="169">
        <f>Q3326*S3326+Q3326</f>
        <v>29.964000000000002</v>
      </c>
      <c r="U3326" s="315">
        <f t="shared" si="800"/>
        <v>30.574335000000001</v>
      </c>
      <c r="V3326" s="315">
        <f t="shared" si="799"/>
        <v>31</v>
      </c>
      <c r="W3326" s="316">
        <f t="shared" si="797"/>
        <v>0</v>
      </c>
    </row>
    <row r="3327" spans="1:23" x14ac:dyDescent="0.25">
      <c r="A3327" s="208" t="s">
        <v>15489</v>
      </c>
      <c r="B3327" s="313" t="s">
        <v>22762</v>
      </c>
      <c r="C3327" s="248"/>
      <c r="D3327" s="247" t="s">
        <v>11</v>
      </c>
      <c r="E3327" s="249">
        <f t="shared" si="789"/>
        <v>23.451284383954153</v>
      </c>
      <c r="F3327" s="258">
        <v>0.32951289398280798</v>
      </c>
      <c r="G3327" s="258">
        <f t="shared" si="790"/>
        <v>0.32951289398280798</v>
      </c>
      <c r="H3327" s="249">
        <f t="shared" si="791"/>
        <v>42.467217156160451</v>
      </c>
      <c r="I3327" s="258">
        <v>0.59670487106017178</v>
      </c>
      <c r="J3327" s="258">
        <f t="shared" si="792"/>
        <v>0.59670487106017178</v>
      </c>
      <c r="K3327" s="249">
        <f t="shared" si="793"/>
        <v>3.211806339541547</v>
      </c>
      <c r="L3327" s="374">
        <v>4.5128939828080222E-2</v>
      </c>
      <c r="M3327" s="258">
        <f t="shared" si="794"/>
        <v>4.5128939828080222E-2</v>
      </c>
      <c r="N3327" s="251">
        <f t="shared" si="795"/>
        <v>2.0392421203438391</v>
      </c>
      <c r="O3327" s="258">
        <v>2.8653295128939823E-2</v>
      </c>
      <c r="P3327" s="258">
        <f t="shared" si="796"/>
        <v>2.8653295128939823E-2</v>
      </c>
      <c r="Q3327" s="249">
        <v>69.800000000000011</v>
      </c>
      <c r="R3327" s="249">
        <f t="shared" si="798"/>
        <v>71.169550000000001</v>
      </c>
      <c r="S3327" s="250">
        <v>0.1</v>
      </c>
      <c r="T3327" s="169">
        <f>Q3327*S3327+Q3327+0.02</f>
        <v>76.800000000000011</v>
      </c>
      <c r="U3327" s="315">
        <f t="shared" si="800"/>
        <v>78.286505000000005</v>
      </c>
      <c r="V3327" s="315">
        <f t="shared" si="799"/>
        <v>79</v>
      </c>
      <c r="W3327" s="316">
        <f t="shared" si="797"/>
        <v>0</v>
      </c>
    </row>
    <row r="3328" spans="1:23" x14ac:dyDescent="0.25">
      <c r="A3328" s="208" t="s">
        <v>15490</v>
      </c>
      <c r="B3328" s="313" t="s">
        <v>22763</v>
      </c>
      <c r="C3328" s="248"/>
      <c r="D3328" s="247" t="s">
        <v>11</v>
      </c>
      <c r="E3328" s="249">
        <f t="shared" si="789"/>
        <v>23.452123287671235</v>
      </c>
      <c r="F3328" s="258">
        <v>0.33517924803264354</v>
      </c>
      <c r="G3328" s="258">
        <f t="shared" si="790"/>
        <v>0.33517924803264354</v>
      </c>
      <c r="H3328" s="249">
        <f t="shared" si="791"/>
        <v>41.265540410958906</v>
      </c>
      <c r="I3328" s="258">
        <v>0.58976974642961233</v>
      </c>
      <c r="J3328" s="258">
        <f t="shared" si="792"/>
        <v>0.58976974642961233</v>
      </c>
      <c r="K3328" s="249">
        <f t="shared" si="793"/>
        <v>3.2119212328767119</v>
      </c>
      <c r="L3328" s="374">
        <v>4.5904983969688132E-2</v>
      </c>
      <c r="M3328" s="258">
        <f t="shared" si="794"/>
        <v>4.5904983969688132E-2</v>
      </c>
      <c r="N3328" s="251">
        <f t="shared" si="795"/>
        <v>2.0393150684931505</v>
      </c>
      <c r="O3328" s="258">
        <v>2.9146021568055958E-2</v>
      </c>
      <c r="P3328" s="258">
        <f t="shared" si="796"/>
        <v>2.9146021568055958E-2</v>
      </c>
      <c r="Q3328" s="249">
        <v>68.62</v>
      </c>
      <c r="R3328" s="249">
        <f t="shared" si="798"/>
        <v>69.968900000000005</v>
      </c>
      <c r="S3328" s="250">
        <v>0.1</v>
      </c>
      <c r="T3328" s="169">
        <f>Q3328*S3328+Q3328+0.02</f>
        <v>75.501999999999995</v>
      </c>
      <c r="U3328" s="315">
        <f t="shared" si="800"/>
        <v>76.965789999999998</v>
      </c>
      <c r="V3328" s="315">
        <f t="shared" si="799"/>
        <v>77</v>
      </c>
      <c r="W3328" s="316">
        <f t="shared" si="797"/>
        <v>0</v>
      </c>
    </row>
    <row r="3329" spans="1:23" x14ac:dyDescent="0.25">
      <c r="A3329" s="208" t="s">
        <v>15491</v>
      </c>
      <c r="B3329" s="313" t="s">
        <v>22764</v>
      </c>
      <c r="C3329" s="248"/>
      <c r="D3329" s="247" t="s">
        <v>11</v>
      </c>
      <c r="E3329" s="249">
        <f t="shared" si="789"/>
        <v>63.720223169508536</v>
      </c>
      <c r="F3329" s="258">
        <v>0.31344032096288865</v>
      </c>
      <c r="G3329" s="258">
        <f t="shared" si="790"/>
        <v>0.31344032096288865</v>
      </c>
      <c r="H3329" s="249">
        <f t="shared" si="791"/>
        <v>127.84825576730194</v>
      </c>
      <c r="I3329" s="258">
        <v>0.62888665997993987</v>
      </c>
      <c r="J3329" s="258">
        <f t="shared" si="792"/>
        <v>0.62888665997993987</v>
      </c>
      <c r="K3329" s="249">
        <f t="shared" si="793"/>
        <v>7.6464267803410237</v>
      </c>
      <c r="L3329" s="374">
        <v>3.7612838515546636E-2</v>
      </c>
      <c r="M3329" s="258">
        <f t="shared" si="794"/>
        <v>3.7612838515546636E-2</v>
      </c>
      <c r="N3329" s="251">
        <f t="shared" si="795"/>
        <v>4.0780942828485465</v>
      </c>
      <c r="O3329" s="258">
        <v>2.0060180541624874E-2</v>
      </c>
      <c r="P3329" s="258">
        <f t="shared" si="796"/>
        <v>2.0060180541624874E-2</v>
      </c>
      <c r="Q3329" s="249">
        <v>199.4</v>
      </c>
      <c r="R3329" s="249">
        <f t="shared" si="798"/>
        <v>203.29300000000003</v>
      </c>
      <c r="S3329" s="250">
        <v>0.1</v>
      </c>
      <c r="T3329" s="169">
        <f>Q3329*S3329+Q3329+0.01</f>
        <v>219.35</v>
      </c>
      <c r="U3329" s="315">
        <f t="shared" si="800"/>
        <v>223.62230000000005</v>
      </c>
      <c r="V3329" s="315">
        <f t="shared" si="799"/>
        <v>225</v>
      </c>
      <c r="W3329" s="316">
        <f t="shared" si="797"/>
        <v>0</v>
      </c>
    </row>
    <row r="3330" spans="1:23" x14ac:dyDescent="0.25">
      <c r="A3330" s="208" t="s">
        <v>15492</v>
      </c>
      <c r="B3330" s="313" t="s">
        <v>22765</v>
      </c>
      <c r="C3330" s="248"/>
      <c r="D3330" s="247" t="s">
        <v>11</v>
      </c>
      <c r="E3330" s="249">
        <f t="shared" si="789"/>
        <v>63.72251563696706</v>
      </c>
      <c r="F3330" s="258">
        <v>0.31912177687005361</v>
      </c>
      <c r="G3330" s="258">
        <f t="shared" si="790"/>
        <v>0.31912177687005361</v>
      </c>
      <c r="H3330" s="249">
        <f t="shared" si="791"/>
        <v>124.23341648583097</v>
      </c>
      <c r="I3330" s="258">
        <v>0.62215981618585647</v>
      </c>
      <c r="J3330" s="258">
        <f t="shared" si="792"/>
        <v>0.62215981618585647</v>
      </c>
      <c r="K3330" s="249">
        <f t="shared" si="793"/>
        <v>7.6467018764360484</v>
      </c>
      <c r="L3330" s="374">
        <v>3.8294613224406436E-2</v>
      </c>
      <c r="M3330" s="258">
        <f t="shared" si="794"/>
        <v>3.8294613224406436E-2</v>
      </c>
      <c r="N3330" s="251">
        <f t="shared" si="795"/>
        <v>4.0782410007658925</v>
      </c>
      <c r="O3330" s="258">
        <v>2.0423793719683433E-2</v>
      </c>
      <c r="P3330" s="258">
        <f t="shared" si="796"/>
        <v>2.0423793719683433E-2</v>
      </c>
      <c r="Q3330" s="249">
        <v>195.85</v>
      </c>
      <c r="R3330" s="249">
        <f t="shared" si="798"/>
        <v>199.68087499999999</v>
      </c>
      <c r="S3330" s="250">
        <v>0.1</v>
      </c>
      <c r="T3330" s="169">
        <f>Q3330*S3330+Q3330+0.01</f>
        <v>215.44499999999999</v>
      </c>
      <c r="U3330" s="315">
        <f t="shared" si="800"/>
        <v>219.64896249999998</v>
      </c>
      <c r="V3330" s="315">
        <f t="shared" si="799"/>
        <v>220</v>
      </c>
      <c r="W3330" s="316">
        <f t="shared" si="797"/>
        <v>0</v>
      </c>
    </row>
    <row r="3331" spans="1:23" x14ac:dyDescent="0.25">
      <c r="A3331" s="208" t="s">
        <v>15493</v>
      </c>
      <c r="B3331" s="313" t="s">
        <v>22766</v>
      </c>
      <c r="C3331" s="248"/>
      <c r="D3331" s="247" t="s">
        <v>11</v>
      </c>
      <c r="E3331" s="249">
        <f t="shared" ref="E3331:E3394" si="802">R3331*G3331</f>
        <v>31.869387870987271</v>
      </c>
      <c r="F3331" s="258">
        <v>0.3785584494245911</v>
      </c>
      <c r="G3331" s="258">
        <f t="shared" ref="G3331:G3394" si="803">F3331</f>
        <v>0.3785584494245911</v>
      </c>
      <c r="H3331" s="249">
        <f t="shared" ref="H3331:H3394" si="804">R3331*J3331</f>
        <v>46.044891596002408</v>
      </c>
      <c r="I3331" s="258">
        <v>0.54694124772864916</v>
      </c>
      <c r="J3331" s="258">
        <f t="shared" ref="J3331:J3394" si="805">I3331</f>
        <v>0.54694124772864916</v>
      </c>
      <c r="K3331" s="249">
        <f t="shared" ref="K3331:K3394" si="806">R3331*M3331</f>
        <v>3.2124342973955167</v>
      </c>
      <c r="L3331" s="374">
        <v>3.815869170199878E-2</v>
      </c>
      <c r="M3331" s="258">
        <f t="shared" ref="M3331:M3394" si="807">L3331</f>
        <v>3.815869170199878E-2</v>
      </c>
      <c r="N3331" s="251">
        <f t="shared" ref="N3331:N3394" si="808">P3331*R3331</f>
        <v>3.0594612356147786</v>
      </c>
      <c r="O3331" s="258">
        <v>3.6341611144760748E-2</v>
      </c>
      <c r="P3331" s="258">
        <f t="shared" ref="P3331:P3394" si="809">O3331</f>
        <v>3.6341611144760748E-2</v>
      </c>
      <c r="Q3331" s="249">
        <v>82.550000000000011</v>
      </c>
      <c r="R3331" s="249">
        <f t="shared" si="798"/>
        <v>84.186174999999992</v>
      </c>
      <c r="S3331" s="250">
        <v>0.1</v>
      </c>
      <c r="T3331" s="169">
        <f>Q3331*S3331+Q3331</f>
        <v>90.805000000000007</v>
      </c>
      <c r="U3331" s="315">
        <f t="shared" si="800"/>
        <v>92.604792499999988</v>
      </c>
      <c r="V3331" s="315">
        <f t="shared" si="799"/>
        <v>93</v>
      </c>
      <c r="W3331" s="316">
        <f t="shared" si="797"/>
        <v>0</v>
      </c>
    </row>
    <row r="3332" spans="1:23" x14ac:dyDescent="0.25">
      <c r="A3332" s="208" t="s">
        <v>15494</v>
      </c>
      <c r="B3332" s="313" t="s">
        <v>22767</v>
      </c>
      <c r="C3332" s="248"/>
      <c r="D3332" s="247" t="s">
        <v>11</v>
      </c>
      <c r="E3332" s="249">
        <f t="shared" si="802"/>
        <v>101.45635118072622</v>
      </c>
      <c r="F3332" s="258">
        <v>0.3395440895440896</v>
      </c>
      <c r="G3332" s="258">
        <f t="shared" si="803"/>
        <v>0.3395440895440896</v>
      </c>
      <c r="H3332" s="249">
        <f t="shared" si="804"/>
        <v>182.56025241605246</v>
      </c>
      <c r="I3332" s="258">
        <v>0.61097461097461103</v>
      </c>
      <c r="J3332" s="258">
        <f t="shared" si="805"/>
        <v>0.61097461097461103</v>
      </c>
      <c r="K3332" s="249">
        <f t="shared" si="806"/>
        <v>9.6867872986623027</v>
      </c>
      <c r="L3332" s="374">
        <v>3.2418782418782426E-2</v>
      </c>
      <c r="M3332" s="258">
        <f t="shared" si="807"/>
        <v>3.2418782418782426E-2</v>
      </c>
      <c r="N3332" s="251">
        <f t="shared" si="808"/>
        <v>5.0983091045591058</v>
      </c>
      <c r="O3332" s="258">
        <v>1.7062517062517064E-2</v>
      </c>
      <c r="P3332" s="258">
        <f t="shared" si="809"/>
        <v>1.7062517062517064E-2</v>
      </c>
      <c r="Q3332" s="249">
        <v>293.03999999999996</v>
      </c>
      <c r="R3332" s="249">
        <f t="shared" si="798"/>
        <v>298.80170000000004</v>
      </c>
      <c r="S3332" s="250">
        <v>0.1</v>
      </c>
      <c r="T3332" s="169">
        <f>Q3332*S3332+Q3332+0.01</f>
        <v>322.35399999999993</v>
      </c>
      <c r="U3332" s="315">
        <f t="shared" si="800"/>
        <v>328.68187000000006</v>
      </c>
      <c r="V3332" s="315">
        <f t="shared" si="799"/>
        <v>330</v>
      </c>
      <c r="W3332" s="316">
        <f t="shared" si="797"/>
        <v>0</v>
      </c>
    </row>
    <row r="3333" spans="1:23" x14ac:dyDescent="0.25">
      <c r="A3333" s="208" t="s">
        <v>15495</v>
      </c>
      <c r="B3333" s="313" t="s">
        <v>22768</v>
      </c>
      <c r="C3333" s="248"/>
      <c r="D3333" s="247" t="s">
        <v>11</v>
      </c>
      <c r="E3333" s="249">
        <f t="shared" si="802"/>
        <v>101.4601458535908</v>
      </c>
      <c r="F3333" s="258">
        <v>0.34553410195860534</v>
      </c>
      <c r="G3333" s="258">
        <f t="shared" si="803"/>
        <v>0.34553410195860534</v>
      </c>
      <c r="H3333" s="249">
        <f t="shared" si="804"/>
        <v>177.38700475065986</v>
      </c>
      <c r="I3333" s="258">
        <v>0.6041116821780802</v>
      </c>
      <c r="J3333" s="258">
        <f t="shared" si="805"/>
        <v>0.6041116821780802</v>
      </c>
      <c r="K3333" s="249">
        <f t="shared" si="806"/>
        <v>9.6871496041116831</v>
      </c>
      <c r="L3333" s="374">
        <v>3.2990693151826636E-2</v>
      </c>
      <c r="M3333" s="258">
        <f t="shared" si="807"/>
        <v>3.2990693151826636E-2</v>
      </c>
      <c r="N3333" s="251">
        <f t="shared" si="808"/>
        <v>5.0984997916377282</v>
      </c>
      <c r="O3333" s="258">
        <v>1.7363522711487705E-2</v>
      </c>
      <c r="P3333" s="258">
        <f t="shared" si="809"/>
        <v>1.7363522711487705E-2</v>
      </c>
      <c r="Q3333" s="249">
        <v>287.96000000000004</v>
      </c>
      <c r="R3333" s="249">
        <f t="shared" si="798"/>
        <v>293.63280000000009</v>
      </c>
      <c r="S3333" s="250">
        <v>0.1</v>
      </c>
      <c r="T3333" s="169">
        <f>Q3333*S3333+Q3333+0.04</f>
        <v>316.79600000000005</v>
      </c>
      <c r="U3333" s="315">
        <f t="shared" si="800"/>
        <v>322.99608000000012</v>
      </c>
      <c r="V3333" s="315">
        <f t="shared" si="799"/>
        <v>325</v>
      </c>
      <c r="W3333" s="316">
        <f t="shared" si="797"/>
        <v>0</v>
      </c>
    </row>
    <row r="3334" spans="1:23" x14ac:dyDescent="0.25">
      <c r="A3334" s="208" t="s">
        <v>15496</v>
      </c>
      <c r="B3334" s="313" t="s">
        <v>22769</v>
      </c>
      <c r="C3334" s="248"/>
      <c r="D3334" s="247" t="s">
        <v>11</v>
      </c>
      <c r="E3334" s="249">
        <f t="shared" si="802"/>
        <v>23.454574476219609</v>
      </c>
      <c r="F3334" s="258">
        <v>0.35173573940969566</v>
      </c>
      <c r="G3334" s="258">
        <f t="shared" si="803"/>
        <v>0.35173573940969566</v>
      </c>
      <c r="H3334" s="249">
        <f t="shared" si="804"/>
        <v>37.976015369322532</v>
      </c>
      <c r="I3334" s="258">
        <v>0.5695060406790029</v>
      </c>
      <c r="J3334" s="258">
        <f t="shared" si="805"/>
        <v>0.5695060406790029</v>
      </c>
      <c r="K3334" s="249">
        <f t="shared" si="806"/>
        <v>3.2122569391344244</v>
      </c>
      <c r="L3334" s="374">
        <v>4.8172503440893098E-2</v>
      </c>
      <c r="M3334" s="258">
        <f t="shared" si="807"/>
        <v>4.8172503440893098E-2</v>
      </c>
      <c r="N3334" s="251">
        <f t="shared" si="808"/>
        <v>2.0395282153234442</v>
      </c>
      <c r="O3334" s="258">
        <v>3.0585716470408319E-2</v>
      </c>
      <c r="P3334" s="258">
        <f t="shared" si="809"/>
        <v>3.0585716470408319E-2</v>
      </c>
      <c r="Q3334" s="249">
        <v>65.39</v>
      </c>
      <c r="R3334" s="249">
        <f t="shared" si="798"/>
        <v>66.682375000000008</v>
      </c>
      <c r="S3334" s="250">
        <v>0.1</v>
      </c>
      <c r="T3334" s="169">
        <f>Q3334*S3334+Q3334</f>
        <v>71.929000000000002</v>
      </c>
      <c r="U3334" s="315">
        <f t="shared" si="800"/>
        <v>73.350612500000011</v>
      </c>
      <c r="V3334" s="315">
        <f t="shared" si="799"/>
        <v>74</v>
      </c>
      <c r="W3334" s="316">
        <f t="shared" ref="W3334:W3397" si="810">C3334*V3334</f>
        <v>0</v>
      </c>
    </row>
    <row r="3335" spans="1:23" ht="21" x14ac:dyDescent="0.25">
      <c r="A3335" s="208" t="s">
        <v>15497</v>
      </c>
      <c r="B3335" s="255" t="s">
        <v>15498</v>
      </c>
      <c r="C3335" s="248"/>
      <c r="D3335" s="247" t="s">
        <v>2</v>
      </c>
      <c r="E3335" s="249">
        <f t="shared" si="802"/>
        <v>11.729828970850686</v>
      </c>
      <c r="F3335" s="258">
        <v>0.34205829863176684</v>
      </c>
      <c r="G3335" s="258">
        <f t="shared" si="803"/>
        <v>0.34205829863176684</v>
      </c>
      <c r="H3335" s="249">
        <f t="shared" si="804"/>
        <v>18.07413646638906</v>
      </c>
      <c r="I3335" s="258">
        <v>0.52706722189173116</v>
      </c>
      <c r="J3335" s="258">
        <f t="shared" si="805"/>
        <v>0.52706722189173116</v>
      </c>
      <c r="K3335" s="249">
        <f t="shared" si="806"/>
        <v>3.2129531528851882</v>
      </c>
      <c r="L3335" s="374">
        <v>9.3694229625223086E-2</v>
      </c>
      <c r="M3335" s="258">
        <f t="shared" si="807"/>
        <v>9.3694229625223086E-2</v>
      </c>
      <c r="N3335" s="251">
        <f t="shared" si="808"/>
        <v>1.2749814098750747</v>
      </c>
      <c r="O3335" s="258">
        <v>3.7180249851279004E-2</v>
      </c>
      <c r="P3335" s="258">
        <f t="shared" si="809"/>
        <v>3.7180249851279004E-2</v>
      </c>
      <c r="Q3335" s="249">
        <v>33.619999999999997</v>
      </c>
      <c r="R3335" s="249">
        <f t="shared" si="798"/>
        <v>34.291900000000005</v>
      </c>
      <c r="S3335" s="250">
        <v>0.1</v>
      </c>
      <c r="T3335" s="169">
        <f>Q3335*S3335+Q3335+0.02</f>
        <v>37.002000000000002</v>
      </c>
      <c r="U3335" s="315">
        <f t="shared" si="800"/>
        <v>37.721090000000004</v>
      </c>
      <c r="V3335" s="315">
        <f t="shared" si="799"/>
        <v>38</v>
      </c>
      <c r="W3335" s="316">
        <f t="shared" si="810"/>
        <v>0</v>
      </c>
    </row>
    <row r="3336" spans="1:23" ht="21" x14ac:dyDescent="0.25">
      <c r="A3336" s="208" t="s">
        <v>15499</v>
      </c>
      <c r="B3336" s="255" t="s">
        <v>15500</v>
      </c>
      <c r="C3336" s="248"/>
      <c r="D3336" s="247" t="s">
        <v>2</v>
      </c>
      <c r="E3336" s="249">
        <f t="shared" si="802"/>
        <v>11.725686037639878</v>
      </c>
      <c r="F3336" s="258">
        <v>0.29247202441505593</v>
      </c>
      <c r="G3336" s="258">
        <f t="shared" si="803"/>
        <v>0.29247202441505593</v>
      </c>
      <c r="H3336" s="249">
        <f t="shared" si="804"/>
        <v>23.879614521871822</v>
      </c>
      <c r="I3336" s="258">
        <v>0.59562563580874872</v>
      </c>
      <c r="J3336" s="258">
        <f t="shared" si="805"/>
        <v>0.59562563580874872</v>
      </c>
      <c r="K3336" s="249">
        <f t="shared" si="806"/>
        <v>3.2118183494404882</v>
      </c>
      <c r="L3336" s="374">
        <v>8.0111902339776192E-2</v>
      </c>
      <c r="M3336" s="258">
        <f t="shared" si="807"/>
        <v>8.0111902339776192E-2</v>
      </c>
      <c r="N3336" s="251">
        <f t="shared" si="808"/>
        <v>1.2745310910478129</v>
      </c>
      <c r="O3336" s="258">
        <v>3.1790437436419128E-2</v>
      </c>
      <c r="P3336" s="258">
        <f t="shared" si="809"/>
        <v>3.1790437436419128E-2</v>
      </c>
      <c r="Q3336" s="249">
        <v>39.32</v>
      </c>
      <c r="R3336" s="249">
        <f t="shared" si="798"/>
        <v>40.091650000000001</v>
      </c>
      <c r="S3336" s="250">
        <v>0.1</v>
      </c>
      <c r="T3336" s="169">
        <f>Q3336*S3336+Q3336</f>
        <v>43.252000000000002</v>
      </c>
      <c r="U3336" s="315">
        <f t="shared" si="800"/>
        <v>44.100815000000004</v>
      </c>
      <c r="V3336" s="315">
        <f t="shared" si="799"/>
        <v>45</v>
      </c>
      <c r="W3336" s="316">
        <f t="shared" si="810"/>
        <v>0</v>
      </c>
    </row>
    <row r="3337" spans="1:23" ht="21" x14ac:dyDescent="0.25">
      <c r="A3337" s="208" t="s">
        <v>15501</v>
      </c>
      <c r="B3337" s="255" t="s">
        <v>18812</v>
      </c>
      <c r="C3337" s="248"/>
      <c r="D3337" s="247" t="s">
        <v>11</v>
      </c>
      <c r="E3337" s="249">
        <f t="shared" si="802"/>
        <v>46.975615772416283</v>
      </c>
      <c r="F3337" s="258">
        <v>0.55215460328892085</v>
      </c>
      <c r="G3337" s="258">
        <f t="shared" si="803"/>
        <v>0.55215460328892085</v>
      </c>
      <c r="H3337" s="249">
        <f t="shared" si="804"/>
        <v>30.442241438602814</v>
      </c>
      <c r="I3337" s="258">
        <v>0.35782018965310286</v>
      </c>
      <c r="J3337" s="258">
        <f t="shared" si="805"/>
        <v>0.35782018965310286</v>
      </c>
      <c r="K3337" s="249">
        <f t="shared" si="806"/>
        <v>6.1272542311847333</v>
      </c>
      <c r="L3337" s="374">
        <v>7.2020165646380988E-2</v>
      </c>
      <c r="M3337" s="258">
        <f t="shared" si="807"/>
        <v>7.2020165646380988E-2</v>
      </c>
      <c r="N3337" s="251">
        <f t="shared" si="808"/>
        <v>1.5318135577961833</v>
      </c>
      <c r="O3337" s="258">
        <v>1.8005041411595247E-2</v>
      </c>
      <c r="P3337" s="258">
        <f t="shared" si="809"/>
        <v>1.8005041411595247E-2</v>
      </c>
      <c r="Q3337" s="249">
        <v>83.31</v>
      </c>
      <c r="R3337" s="249">
        <f t="shared" si="798"/>
        <v>85.076925000000017</v>
      </c>
      <c r="S3337" s="250">
        <v>0.1</v>
      </c>
      <c r="T3337" s="169">
        <f>Q3337*S3337+Q3337+0.01</f>
        <v>91.65100000000001</v>
      </c>
      <c r="U3337" s="315">
        <f t="shared" si="800"/>
        <v>93.584617500000022</v>
      </c>
      <c r="V3337" s="315">
        <f t="shared" si="799"/>
        <v>94</v>
      </c>
      <c r="W3337" s="316">
        <f t="shared" si="810"/>
        <v>0</v>
      </c>
    </row>
    <row r="3338" spans="1:23" x14ac:dyDescent="0.25">
      <c r="A3338" s="208" t="s">
        <v>15502</v>
      </c>
      <c r="B3338" s="313" t="s">
        <v>22770</v>
      </c>
      <c r="C3338" s="248"/>
      <c r="D3338" s="247" t="s">
        <v>11</v>
      </c>
      <c r="E3338" s="249">
        <f t="shared" si="802"/>
        <v>46.991510956567389</v>
      </c>
      <c r="F3338" s="258">
        <v>0.60359532869702137</v>
      </c>
      <c r="G3338" s="258">
        <f t="shared" si="803"/>
        <v>0.60359532869702137</v>
      </c>
      <c r="H3338" s="249">
        <f t="shared" si="804"/>
        <v>23.199504648340117</v>
      </c>
      <c r="I3338" s="258">
        <v>0.29799238945020334</v>
      </c>
      <c r="J3338" s="258">
        <f t="shared" si="805"/>
        <v>0.29799238945020334</v>
      </c>
      <c r="K3338" s="249">
        <f t="shared" si="806"/>
        <v>6.1293275160740066</v>
      </c>
      <c r="L3338" s="374">
        <v>7.872982548222017E-2</v>
      </c>
      <c r="M3338" s="258">
        <f t="shared" si="807"/>
        <v>7.872982548222017E-2</v>
      </c>
      <c r="N3338" s="251">
        <f t="shared" si="808"/>
        <v>1.5323318790185017</v>
      </c>
      <c r="O3338" s="258">
        <v>1.9682456370555042E-2</v>
      </c>
      <c r="P3338" s="258">
        <f t="shared" si="809"/>
        <v>1.9682456370555042E-2</v>
      </c>
      <c r="Q3338" s="249">
        <v>76.210000000000008</v>
      </c>
      <c r="R3338" s="249">
        <f t="shared" si="798"/>
        <v>77.852675000000019</v>
      </c>
      <c r="S3338" s="250">
        <v>0.1</v>
      </c>
      <c r="T3338" s="169">
        <f>Q3338*S3338+Q3338+0.02</f>
        <v>83.850999999999999</v>
      </c>
      <c r="U3338" s="315">
        <f t="shared" si="800"/>
        <v>85.637942500000023</v>
      </c>
      <c r="V3338" s="315">
        <f t="shared" si="799"/>
        <v>86</v>
      </c>
      <c r="W3338" s="316">
        <f t="shared" si="810"/>
        <v>0</v>
      </c>
    </row>
    <row r="3339" spans="1:23" x14ac:dyDescent="0.25">
      <c r="A3339" s="208" t="s">
        <v>15503</v>
      </c>
      <c r="B3339" s="313" t="s">
        <v>22771</v>
      </c>
      <c r="C3339" s="248"/>
      <c r="D3339" s="247" t="s">
        <v>11</v>
      </c>
      <c r="E3339" s="249">
        <f t="shared" si="802"/>
        <v>46.959668117519051</v>
      </c>
      <c r="F3339" s="258">
        <v>0.50054406964091402</v>
      </c>
      <c r="G3339" s="258">
        <f t="shared" si="803"/>
        <v>0.50054406964091402</v>
      </c>
      <c r="H3339" s="249">
        <f t="shared" si="804"/>
        <v>39.201114254624592</v>
      </c>
      <c r="I3339" s="258">
        <v>0.41784548422198037</v>
      </c>
      <c r="J3339" s="258">
        <f t="shared" si="805"/>
        <v>0.41784548422198037</v>
      </c>
      <c r="K3339" s="249">
        <f t="shared" si="806"/>
        <v>6.1251741022850927</v>
      </c>
      <c r="L3339" s="374">
        <v>6.5288356909684431E-2</v>
      </c>
      <c r="M3339" s="258">
        <f t="shared" si="807"/>
        <v>6.5288356909684431E-2</v>
      </c>
      <c r="N3339" s="251">
        <f t="shared" si="808"/>
        <v>1.5312935255712732</v>
      </c>
      <c r="O3339" s="258">
        <v>1.6322089227421108E-2</v>
      </c>
      <c r="P3339" s="258">
        <f t="shared" si="809"/>
        <v>1.6322089227421108E-2</v>
      </c>
      <c r="Q3339" s="249">
        <v>91.9</v>
      </c>
      <c r="R3339" s="249">
        <f t="shared" si="798"/>
        <v>93.817250000000016</v>
      </c>
      <c r="S3339" s="250">
        <v>0.1</v>
      </c>
      <c r="T3339" s="169">
        <f>Q3339*S3339+Q3339-0.09</f>
        <v>101</v>
      </c>
      <c r="U3339" s="315">
        <f t="shared" si="800"/>
        <v>103.19897500000002</v>
      </c>
      <c r="V3339" s="315">
        <f t="shared" si="799"/>
        <v>105</v>
      </c>
      <c r="W3339" s="316">
        <f t="shared" si="810"/>
        <v>0</v>
      </c>
    </row>
    <row r="3340" spans="1:23" x14ac:dyDescent="0.25">
      <c r="A3340" s="208" t="s">
        <v>15504</v>
      </c>
      <c r="B3340" s="313" t="s">
        <v>22772</v>
      </c>
      <c r="C3340" s="248"/>
      <c r="D3340" s="247" t="s">
        <v>11</v>
      </c>
      <c r="E3340" s="249">
        <f t="shared" si="802"/>
        <v>351.76150003602669</v>
      </c>
      <c r="F3340" s="258">
        <v>0.31072962919597585</v>
      </c>
      <c r="G3340" s="258">
        <f t="shared" si="803"/>
        <v>0.31072962919597585</v>
      </c>
      <c r="H3340" s="249">
        <f t="shared" si="804"/>
        <v>647.7407633561952</v>
      </c>
      <c r="I3340" s="258">
        <v>0.57218384386061294</v>
      </c>
      <c r="J3340" s="258">
        <f t="shared" si="805"/>
        <v>0.57218384386061294</v>
      </c>
      <c r="K3340" s="249">
        <f t="shared" si="806"/>
        <v>81.567884066325036</v>
      </c>
      <c r="L3340" s="374">
        <v>7.2053247349791502E-2</v>
      </c>
      <c r="M3340" s="258">
        <f t="shared" si="807"/>
        <v>7.2053247349791502E-2</v>
      </c>
      <c r="N3340" s="251">
        <f t="shared" si="808"/>
        <v>50.979927541453137</v>
      </c>
      <c r="O3340" s="258">
        <v>4.5033279593619684E-2</v>
      </c>
      <c r="P3340" s="258">
        <f t="shared" si="809"/>
        <v>4.5033279593619684E-2</v>
      </c>
      <c r="Q3340" s="249">
        <v>1110.29</v>
      </c>
      <c r="R3340" s="249">
        <f t="shared" si="798"/>
        <v>1132.0500750000001</v>
      </c>
      <c r="S3340" s="250">
        <v>0.1</v>
      </c>
      <c r="T3340" s="169">
        <f>Q3340*S3340+Q3340+0.68</f>
        <v>1221.999</v>
      </c>
      <c r="U3340" s="315">
        <f t="shared" si="800"/>
        <v>1245.2550825000001</v>
      </c>
      <c r="V3340" s="315">
        <f t="shared" si="799"/>
        <v>1250</v>
      </c>
      <c r="W3340" s="316">
        <f t="shared" si="810"/>
        <v>0</v>
      </c>
    </row>
    <row r="3341" spans="1:23" ht="21" x14ac:dyDescent="0.25">
      <c r="A3341" s="208" t="s">
        <v>15505</v>
      </c>
      <c r="B3341" s="255" t="s">
        <v>22773</v>
      </c>
      <c r="C3341" s="248"/>
      <c r="D3341" s="247" t="s">
        <v>11</v>
      </c>
      <c r="E3341" s="249">
        <f t="shared" si="802"/>
        <v>11.722430081855386</v>
      </c>
      <c r="F3341" s="258">
        <v>0.26148249204183716</v>
      </c>
      <c r="G3341" s="258">
        <f t="shared" si="803"/>
        <v>0.26148249204183716</v>
      </c>
      <c r="H3341" s="249">
        <f t="shared" si="804"/>
        <v>28.521182060027282</v>
      </c>
      <c r="I3341" s="258">
        <v>0.63619827194179168</v>
      </c>
      <c r="J3341" s="258">
        <f t="shared" si="805"/>
        <v>0.63619827194179168</v>
      </c>
      <c r="K3341" s="249">
        <f t="shared" si="806"/>
        <v>3.0580252387448832</v>
      </c>
      <c r="L3341" s="374">
        <v>6.8212824010914039E-2</v>
      </c>
      <c r="M3341" s="258">
        <f t="shared" si="807"/>
        <v>6.8212824010914039E-2</v>
      </c>
      <c r="N3341" s="251">
        <f t="shared" si="808"/>
        <v>1.5290126193724416</v>
      </c>
      <c r="O3341" s="258">
        <v>3.4106412005457019E-2</v>
      </c>
      <c r="P3341" s="258">
        <f t="shared" si="809"/>
        <v>3.4106412005457019E-2</v>
      </c>
      <c r="Q3341" s="249">
        <v>43.980000000000004</v>
      </c>
      <c r="R3341" s="249">
        <f t="shared" si="798"/>
        <v>44.830649999999999</v>
      </c>
      <c r="S3341" s="250">
        <v>0.1</v>
      </c>
      <c r="T3341" s="169">
        <f>Q3341*S3341+Q3341+0.12</f>
        <v>48.498000000000005</v>
      </c>
      <c r="U3341" s="315">
        <f t="shared" si="800"/>
        <v>49.313715000000002</v>
      </c>
      <c r="V3341" s="315">
        <f t="shared" si="799"/>
        <v>50</v>
      </c>
      <c r="W3341" s="316">
        <f t="shared" si="810"/>
        <v>0</v>
      </c>
    </row>
    <row r="3342" spans="1:23" ht="21" x14ac:dyDescent="0.25">
      <c r="A3342" s="208" t="s">
        <v>15506</v>
      </c>
      <c r="B3342" s="255" t="s">
        <v>22774</v>
      </c>
      <c r="C3342" s="248"/>
      <c r="D3342" s="247" t="s">
        <v>11</v>
      </c>
      <c r="E3342" s="249">
        <f t="shared" si="802"/>
        <v>31.287128602186154</v>
      </c>
      <c r="F3342" s="258">
        <v>0.25422325273269292</v>
      </c>
      <c r="G3342" s="258">
        <f t="shared" si="803"/>
        <v>0.25422325273269292</v>
      </c>
      <c r="H3342" s="249">
        <f t="shared" si="804"/>
        <v>87.196310202053667</v>
      </c>
      <c r="I3342" s="258">
        <v>0.70851275256707513</v>
      </c>
      <c r="J3342" s="258">
        <f t="shared" si="805"/>
        <v>0.70851275256707513</v>
      </c>
      <c r="K3342" s="249">
        <f t="shared" si="806"/>
        <v>3.0573741305067905</v>
      </c>
      <c r="L3342" s="374">
        <v>2.4842663133487909E-2</v>
      </c>
      <c r="M3342" s="258">
        <f t="shared" si="807"/>
        <v>2.4842663133487909E-2</v>
      </c>
      <c r="N3342" s="251">
        <f t="shared" si="808"/>
        <v>1.5286870652533953</v>
      </c>
      <c r="O3342" s="258">
        <v>1.2421331566743955E-2</v>
      </c>
      <c r="P3342" s="258">
        <f t="shared" si="809"/>
        <v>1.2421331566743955E-2</v>
      </c>
      <c r="Q3342" s="249">
        <v>120.76</v>
      </c>
      <c r="R3342" s="249">
        <f t="shared" si="798"/>
        <v>123.06950000000002</v>
      </c>
      <c r="S3342" s="250">
        <v>0.1</v>
      </c>
      <c r="T3342" s="169">
        <f>Q3342*S3342+Q3342+0.05</f>
        <v>132.88600000000002</v>
      </c>
      <c r="U3342" s="315">
        <f t="shared" si="800"/>
        <v>135.37645000000003</v>
      </c>
      <c r="V3342" s="315">
        <f t="shared" si="799"/>
        <v>140</v>
      </c>
      <c r="W3342" s="316">
        <f t="shared" si="810"/>
        <v>0</v>
      </c>
    </row>
    <row r="3343" spans="1:23" ht="21" x14ac:dyDescent="0.25">
      <c r="A3343" s="208" t="s">
        <v>15505</v>
      </c>
      <c r="B3343" s="255" t="s">
        <v>22773</v>
      </c>
      <c r="C3343" s="248"/>
      <c r="D3343" s="247" t="s">
        <v>11</v>
      </c>
      <c r="E3343" s="249">
        <f t="shared" si="802"/>
        <v>11.722430081855386</v>
      </c>
      <c r="F3343" s="258">
        <v>0.26148249204183716</v>
      </c>
      <c r="G3343" s="258">
        <f t="shared" si="803"/>
        <v>0.26148249204183716</v>
      </c>
      <c r="H3343" s="249">
        <f t="shared" si="804"/>
        <v>28.521182060027282</v>
      </c>
      <c r="I3343" s="258">
        <v>0.63619827194179168</v>
      </c>
      <c r="J3343" s="258">
        <f t="shared" si="805"/>
        <v>0.63619827194179168</v>
      </c>
      <c r="K3343" s="249">
        <f t="shared" si="806"/>
        <v>3.0580252387448832</v>
      </c>
      <c r="L3343" s="374">
        <v>6.8212824010914039E-2</v>
      </c>
      <c r="M3343" s="258">
        <f t="shared" si="807"/>
        <v>6.8212824010914039E-2</v>
      </c>
      <c r="N3343" s="251">
        <f t="shared" si="808"/>
        <v>1.5290126193724416</v>
      </c>
      <c r="O3343" s="258">
        <v>3.4106412005457019E-2</v>
      </c>
      <c r="P3343" s="258">
        <f t="shared" si="809"/>
        <v>3.4106412005457019E-2</v>
      </c>
      <c r="Q3343" s="249">
        <v>43.980000000000004</v>
      </c>
      <c r="R3343" s="249">
        <f t="shared" si="798"/>
        <v>44.830649999999999</v>
      </c>
      <c r="S3343" s="250">
        <v>0.1</v>
      </c>
      <c r="T3343" s="169">
        <f>Q3343*S3343+Q3343+0.12</f>
        <v>48.498000000000005</v>
      </c>
      <c r="U3343" s="315">
        <f t="shared" si="800"/>
        <v>49.313715000000002</v>
      </c>
      <c r="V3343" s="315">
        <f t="shared" si="799"/>
        <v>50</v>
      </c>
      <c r="W3343" s="316">
        <f t="shared" si="810"/>
        <v>0</v>
      </c>
    </row>
    <row r="3344" spans="1:23" ht="21.6" thickBot="1" x14ac:dyDescent="0.3">
      <c r="A3344" s="214" t="s">
        <v>15506</v>
      </c>
      <c r="B3344" s="327" t="s">
        <v>22774</v>
      </c>
      <c r="C3344" s="265"/>
      <c r="D3344" s="264" t="s">
        <v>11</v>
      </c>
      <c r="E3344" s="266">
        <f t="shared" si="802"/>
        <v>31.287128602186154</v>
      </c>
      <c r="F3344" s="322">
        <v>0.25422325273269292</v>
      </c>
      <c r="G3344" s="322">
        <f t="shared" si="803"/>
        <v>0.25422325273269292</v>
      </c>
      <c r="H3344" s="266">
        <f t="shared" si="804"/>
        <v>87.196310202053667</v>
      </c>
      <c r="I3344" s="322">
        <v>0.70851275256707513</v>
      </c>
      <c r="J3344" s="322">
        <f t="shared" si="805"/>
        <v>0.70851275256707513</v>
      </c>
      <c r="K3344" s="266">
        <f t="shared" si="806"/>
        <v>3.0573741305067905</v>
      </c>
      <c r="L3344" s="391">
        <v>2.4842663133487909E-2</v>
      </c>
      <c r="M3344" s="322">
        <f t="shared" si="807"/>
        <v>2.4842663133487909E-2</v>
      </c>
      <c r="N3344" s="270">
        <f t="shared" si="808"/>
        <v>1.5286870652533953</v>
      </c>
      <c r="O3344" s="322">
        <v>1.2421331566743955E-2</v>
      </c>
      <c r="P3344" s="322">
        <f t="shared" si="809"/>
        <v>1.2421331566743955E-2</v>
      </c>
      <c r="Q3344" s="266">
        <v>120.76</v>
      </c>
      <c r="R3344" s="266">
        <f t="shared" si="798"/>
        <v>123.06950000000002</v>
      </c>
      <c r="S3344" s="267">
        <v>0.1</v>
      </c>
      <c r="T3344" s="291">
        <f>Q3344*S3344+Q3344+0.05</f>
        <v>132.88600000000002</v>
      </c>
      <c r="U3344" s="324">
        <f t="shared" si="800"/>
        <v>135.37645000000003</v>
      </c>
      <c r="V3344" s="324">
        <f t="shared" si="799"/>
        <v>140</v>
      </c>
      <c r="W3344" s="325">
        <f t="shared" si="810"/>
        <v>0</v>
      </c>
    </row>
    <row r="3345" spans="1:23" ht="21" x14ac:dyDescent="0.25">
      <c r="A3345" s="208" t="s">
        <v>15507</v>
      </c>
      <c r="B3345" s="255" t="s">
        <v>22775</v>
      </c>
      <c r="C3345" s="248"/>
      <c r="D3345" s="247" t="s">
        <v>11</v>
      </c>
      <c r="E3345" s="249">
        <f t="shared" si="802"/>
        <v>31.284460947906211</v>
      </c>
      <c r="F3345" s="258">
        <v>0.22406714715810602</v>
      </c>
      <c r="G3345" s="258">
        <f t="shared" si="803"/>
        <v>0.22406714715810602</v>
      </c>
      <c r="H3345" s="249">
        <f t="shared" si="804"/>
        <v>100.69367418289846</v>
      </c>
      <c r="I3345" s="258">
        <v>0.72119332177721018</v>
      </c>
      <c r="J3345" s="258">
        <f t="shared" si="805"/>
        <v>0.72119332177721018</v>
      </c>
      <c r="K3345" s="249">
        <f t="shared" si="806"/>
        <v>5.6047079874099079</v>
      </c>
      <c r="L3345" s="374">
        <v>4.014232278076818E-2</v>
      </c>
      <c r="M3345" s="258">
        <f t="shared" si="807"/>
        <v>4.014232278076818E-2</v>
      </c>
      <c r="N3345" s="251">
        <f t="shared" si="808"/>
        <v>2.0380756317854209</v>
      </c>
      <c r="O3345" s="258">
        <v>1.4597208283915702E-2</v>
      </c>
      <c r="P3345" s="258">
        <f t="shared" si="809"/>
        <v>1.4597208283915702E-2</v>
      </c>
      <c r="Q3345" s="249">
        <v>137.01249999999999</v>
      </c>
      <c r="R3345" s="249">
        <f t="shared" si="798"/>
        <v>139.62091874999999</v>
      </c>
      <c r="S3345" s="250">
        <v>0.1</v>
      </c>
      <c r="T3345" s="169">
        <f>Q3345*S3345+Q3345+0.09</f>
        <v>150.80374999999998</v>
      </c>
      <c r="U3345" s="315">
        <f t="shared" si="800"/>
        <v>153.58301062499999</v>
      </c>
      <c r="V3345" s="315">
        <f t="shared" si="799"/>
        <v>155</v>
      </c>
      <c r="W3345" s="316">
        <f t="shared" si="810"/>
        <v>0</v>
      </c>
    </row>
    <row r="3346" spans="1:23" ht="21" x14ac:dyDescent="0.25">
      <c r="A3346" s="208" t="s">
        <v>15508</v>
      </c>
      <c r="B3346" s="255" t="s">
        <v>22776</v>
      </c>
      <c r="C3346" s="248"/>
      <c r="D3346" s="247" t="s">
        <v>11</v>
      </c>
      <c r="E3346" s="249">
        <f t="shared" si="802"/>
        <v>31.294266218598498</v>
      </c>
      <c r="F3346" s="258">
        <v>0.27060379021595415</v>
      </c>
      <c r="G3346" s="258">
        <f t="shared" si="803"/>
        <v>0.27060379021595415</v>
      </c>
      <c r="H3346" s="249">
        <f t="shared" si="804"/>
        <v>76.70662973776993</v>
      </c>
      <c r="I3346" s="258">
        <v>0.66328779197884524</v>
      </c>
      <c r="J3346" s="258">
        <f t="shared" si="805"/>
        <v>0.66328779197884524</v>
      </c>
      <c r="K3346" s="249">
        <f t="shared" si="806"/>
        <v>5.6064646319964746</v>
      </c>
      <c r="L3346" s="374">
        <v>4.847950639048039E-2</v>
      </c>
      <c r="M3346" s="258">
        <f t="shared" si="807"/>
        <v>4.847950639048039E-2</v>
      </c>
      <c r="N3346" s="251">
        <f t="shared" si="808"/>
        <v>2.0387144116350813</v>
      </c>
      <c r="O3346" s="258">
        <v>1.7628911414720141E-2</v>
      </c>
      <c r="P3346" s="258">
        <f t="shared" si="809"/>
        <v>1.7628911414720141E-2</v>
      </c>
      <c r="Q3346" s="249">
        <v>113.45</v>
      </c>
      <c r="R3346" s="249">
        <f>SUM(F3346*Q3346*1.0235,I3346*Q3346*1.0175,L3346*Q3346*1.0245,O3346*Q3346*1.0115)</f>
        <v>115.646075</v>
      </c>
      <c r="S3346" s="250">
        <v>0.1</v>
      </c>
      <c r="T3346" s="169">
        <f>Q3346*S3346+Q3346</f>
        <v>124.795</v>
      </c>
      <c r="U3346" s="315">
        <f t="shared" si="800"/>
        <v>127.21068249999999</v>
      </c>
      <c r="V3346" s="315">
        <f t="shared" si="799"/>
        <v>130</v>
      </c>
      <c r="W3346" s="316">
        <f t="shared" si="810"/>
        <v>0</v>
      </c>
    </row>
    <row r="3347" spans="1:23" ht="21" x14ac:dyDescent="0.25">
      <c r="A3347" s="208" t="s">
        <v>15509</v>
      </c>
      <c r="B3347" s="255" t="s">
        <v>22777</v>
      </c>
      <c r="C3347" s="248"/>
      <c r="D3347" s="247" t="s">
        <v>11</v>
      </c>
      <c r="E3347" s="249">
        <f t="shared" si="802"/>
        <v>46.871802238322005</v>
      </c>
      <c r="F3347" s="258">
        <v>0.21308528970334825</v>
      </c>
      <c r="G3347" s="258">
        <f t="shared" si="803"/>
        <v>0.21308528970334825</v>
      </c>
      <c r="H3347" s="249">
        <f t="shared" si="804"/>
        <v>162.90600553595579</v>
      </c>
      <c r="I3347" s="258">
        <v>0.74059182123070644</v>
      </c>
      <c r="J3347" s="258">
        <f t="shared" si="805"/>
        <v>0.74059182123070644</v>
      </c>
      <c r="K3347" s="249">
        <f t="shared" si="806"/>
        <v>7.6421416692916306</v>
      </c>
      <c r="L3347" s="374">
        <v>3.4742166799458955E-2</v>
      </c>
      <c r="M3347" s="258">
        <f t="shared" si="807"/>
        <v>3.4742166799458955E-2</v>
      </c>
      <c r="N3347" s="251">
        <f t="shared" si="808"/>
        <v>2.5473805564305434</v>
      </c>
      <c r="O3347" s="258">
        <v>1.1580722266486317E-2</v>
      </c>
      <c r="P3347" s="258">
        <f t="shared" si="809"/>
        <v>1.1580722266486317E-2</v>
      </c>
      <c r="Q3347" s="249">
        <v>215.87599999999998</v>
      </c>
      <c r="R3347" s="249">
        <f>SUM(F3347*Q3347*1.0235,I3347*Q3347*1.0175,L3347*Q3347*1.0245,O3347*Q3347*1.0115)</f>
        <v>219.96732999999998</v>
      </c>
      <c r="S3347" s="250">
        <v>0.1</v>
      </c>
      <c r="T3347" s="169">
        <f>Q3347*S3347+Q3347+0.04</f>
        <v>237.50359999999998</v>
      </c>
      <c r="U3347" s="315">
        <f t="shared" si="800"/>
        <v>241.96406299999998</v>
      </c>
      <c r="V3347" s="315">
        <f t="shared" si="799"/>
        <v>245</v>
      </c>
      <c r="W3347" s="316">
        <f t="shared" si="810"/>
        <v>0</v>
      </c>
    </row>
    <row r="3348" spans="1:23" ht="21" x14ac:dyDescent="0.25">
      <c r="A3348" s="208" t="s">
        <v>15509</v>
      </c>
      <c r="B3348" s="255" t="s">
        <v>22778</v>
      </c>
      <c r="C3348" s="248"/>
      <c r="D3348" s="247" t="s">
        <v>11</v>
      </c>
      <c r="E3348" s="249">
        <f t="shared" si="802"/>
        <v>46.868646394209556</v>
      </c>
      <c r="F3348" s="258">
        <v>0.20301880130638184</v>
      </c>
      <c r="G3348" s="258">
        <f t="shared" si="803"/>
        <v>0.20301880130638184</v>
      </c>
      <c r="H3348" s="249">
        <f t="shared" si="804"/>
        <v>173.80116743313621</v>
      </c>
      <c r="I3348" s="258">
        <v>0.75284667667049165</v>
      </c>
      <c r="J3348" s="258">
        <f t="shared" si="805"/>
        <v>0.75284667667049165</v>
      </c>
      <c r="K3348" s="249">
        <f t="shared" si="806"/>
        <v>7.641627129490689</v>
      </c>
      <c r="L3348" s="374">
        <v>3.3100891517344869E-2</v>
      </c>
      <c r="M3348" s="258">
        <f t="shared" si="807"/>
        <v>3.3100891517344869E-2</v>
      </c>
      <c r="N3348" s="251">
        <f t="shared" si="808"/>
        <v>2.547209043163563</v>
      </c>
      <c r="O3348" s="258">
        <v>1.1033630505781622E-2</v>
      </c>
      <c r="P3348" s="258">
        <f t="shared" si="809"/>
        <v>1.1033630505781622E-2</v>
      </c>
      <c r="Q3348" s="249">
        <v>226.58</v>
      </c>
      <c r="R3348" s="249">
        <f t="shared" ref="R3348:R3411" si="811">SUM(F3348*Q3348*1.0235,I3348*Q3348*1.0175,L3348*Q3348*1.0245,O3348*Q3348*1.0115)</f>
        <v>230.85865000000004</v>
      </c>
      <c r="S3348" s="250">
        <v>0.1</v>
      </c>
      <c r="T3348" s="169">
        <f>Q3348*S3348+Q3348+0.06</f>
        <v>249.298</v>
      </c>
      <c r="U3348" s="315">
        <f t="shared" si="800"/>
        <v>253.94451500000005</v>
      </c>
      <c r="V3348" s="315">
        <f t="shared" si="799"/>
        <v>255</v>
      </c>
      <c r="W3348" s="316">
        <f t="shared" si="810"/>
        <v>0</v>
      </c>
    </row>
    <row r="3349" spans="1:23" ht="21" x14ac:dyDescent="0.25">
      <c r="A3349" s="208" t="s">
        <v>15510</v>
      </c>
      <c r="B3349" s="255" t="s">
        <v>22779</v>
      </c>
      <c r="C3349" s="248"/>
      <c r="D3349" s="247" t="s">
        <v>11</v>
      </c>
      <c r="E3349" s="249">
        <f t="shared" si="802"/>
        <v>94.789664146868262</v>
      </c>
      <c r="F3349" s="258">
        <v>0.2678185745140389</v>
      </c>
      <c r="G3349" s="258">
        <f t="shared" si="803"/>
        <v>0.2678185745140389</v>
      </c>
      <c r="H3349" s="249">
        <f t="shared" si="804"/>
        <v>245.12810997120232</v>
      </c>
      <c r="I3349" s="258">
        <v>0.6925845932325414</v>
      </c>
      <c r="J3349" s="258">
        <f t="shared" si="805"/>
        <v>0.6925845932325414</v>
      </c>
      <c r="K3349" s="249">
        <f t="shared" si="806"/>
        <v>10.192437005039599</v>
      </c>
      <c r="L3349" s="374">
        <v>2.8797696184305256E-2</v>
      </c>
      <c r="M3349" s="258">
        <f t="shared" si="807"/>
        <v>2.8797696184305256E-2</v>
      </c>
      <c r="N3349" s="251">
        <f t="shared" si="808"/>
        <v>3.8221638768898489</v>
      </c>
      <c r="O3349" s="258">
        <v>1.079913606911447E-2</v>
      </c>
      <c r="P3349" s="258">
        <f t="shared" si="809"/>
        <v>1.079913606911447E-2</v>
      </c>
      <c r="Q3349" s="249">
        <v>347.25</v>
      </c>
      <c r="R3349" s="249">
        <f t="shared" si="811"/>
        <v>353.93237500000004</v>
      </c>
      <c r="S3349" s="250">
        <v>0.1</v>
      </c>
      <c r="T3349" s="169">
        <f>Q3349*S3349+Q3349+0.02</f>
        <v>381.995</v>
      </c>
      <c r="U3349" s="315">
        <f t="shared" si="800"/>
        <v>389.32561250000003</v>
      </c>
      <c r="V3349" s="315">
        <f t="shared" si="799"/>
        <v>390</v>
      </c>
      <c r="W3349" s="316">
        <f t="shared" si="810"/>
        <v>0</v>
      </c>
    </row>
    <row r="3350" spans="1:23" ht="21" x14ac:dyDescent="0.25">
      <c r="A3350" s="208" t="s">
        <v>15511</v>
      </c>
      <c r="B3350" s="255" t="s">
        <v>22780</v>
      </c>
      <c r="C3350" s="248"/>
      <c r="D3350" s="247" t="s">
        <v>11</v>
      </c>
      <c r="E3350" s="249">
        <f t="shared" si="802"/>
        <v>94.816941547518923</v>
      </c>
      <c r="F3350" s="258">
        <v>0.31286795626576958</v>
      </c>
      <c r="G3350" s="258">
        <f t="shared" si="803"/>
        <v>0.31286795626576958</v>
      </c>
      <c r="H3350" s="249">
        <f t="shared" si="804"/>
        <v>194.22179962153069</v>
      </c>
      <c r="I3350" s="258">
        <v>0.64087468460891506</v>
      </c>
      <c r="J3350" s="258">
        <f t="shared" si="805"/>
        <v>0.64087468460891506</v>
      </c>
      <c r="K3350" s="249">
        <f t="shared" si="806"/>
        <v>10.195370058873001</v>
      </c>
      <c r="L3350" s="374">
        <v>3.3641715727502103E-2</v>
      </c>
      <c r="M3350" s="258">
        <f t="shared" si="807"/>
        <v>3.3641715727502103E-2</v>
      </c>
      <c r="N3350" s="251">
        <f t="shared" si="808"/>
        <v>3.8232637720773757</v>
      </c>
      <c r="O3350" s="258">
        <v>1.2615643397813289E-2</v>
      </c>
      <c r="P3350" s="258">
        <f t="shared" si="809"/>
        <v>1.2615643397813289E-2</v>
      </c>
      <c r="Q3350" s="249">
        <v>297.25</v>
      </c>
      <c r="R3350" s="249">
        <f t="shared" si="811"/>
        <v>303.05737499999998</v>
      </c>
      <c r="S3350" s="250">
        <v>0.1</v>
      </c>
      <c r="T3350" s="169">
        <f>Q3350*S3350+Q3350+0.02</f>
        <v>326.995</v>
      </c>
      <c r="U3350" s="315">
        <f t="shared" si="800"/>
        <v>333.3631125</v>
      </c>
      <c r="V3350" s="315">
        <f t="shared" si="799"/>
        <v>335</v>
      </c>
      <c r="W3350" s="316">
        <f t="shared" si="810"/>
        <v>0</v>
      </c>
    </row>
    <row r="3351" spans="1:23" ht="21" x14ac:dyDescent="0.25">
      <c r="A3351" s="208" t="s">
        <v>15512</v>
      </c>
      <c r="B3351" s="255" t="s">
        <v>22781</v>
      </c>
      <c r="C3351" s="248"/>
      <c r="D3351" s="247" t="s">
        <v>11</v>
      </c>
      <c r="E3351" s="249">
        <f t="shared" si="802"/>
        <v>94.779934192673011</v>
      </c>
      <c r="F3351" s="258">
        <v>0.25237449118046135</v>
      </c>
      <c r="G3351" s="258">
        <f t="shared" si="803"/>
        <v>0.25237449118046135</v>
      </c>
      <c r="H3351" s="249">
        <f t="shared" si="804"/>
        <v>266.504868724559</v>
      </c>
      <c r="I3351" s="258">
        <v>0.70963364993215738</v>
      </c>
      <c r="J3351" s="258">
        <f t="shared" si="805"/>
        <v>0.70963364993215738</v>
      </c>
      <c r="K3351" s="249">
        <f t="shared" si="806"/>
        <v>10.191390773405699</v>
      </c>
      <c r="L3351" s="374">
        <v>2.7137042062415198E-2</v>
      </c>
      <c r="M3351" s="258">
        <f t="shared" si="807"/>
        <v>2.7137042062415198E-2</v>
      </c>
      <c r="N3351" s="251">
        <f t="shared" si="808"/>
        <v>4.076556309362279</v>
      </c>
      <c r="O3351" s="258">
        <v>1.0854816824966078E-2</v>
      </c>
      <c r="P3351" s="258">
        <f t="shared" si="809"/>
        <v>1.0854816824966078E-2</v>
      </c>
      <c r="Q3351" s="249">
        <v>368.5</v>
      </c>
      <c r="R3351" s="249">
        <f t="shared" si="811"/>
        <v>375.55275</v>
      </c>
      <c r="S3351" s="250">
        <v>0.1</v>
      </c>
      <c r="T3351" s="169">
        <f>Q3351*S3351+Q3351+0.15</f>
        <v>405.5</v>
      </c>
      <c r="U3351" s="315">
        <f t="shared" si="800"/>
        <v>413.108025</v>
      </c>
      <c r="V3351" s="315">
        <f t="shared" ref="V3351:V3414" si="812">IF(U3351=0, 0, IF(U3351&lt;10, _xlfn.CEILING.MATH(U3351,1), IF(U3351&lt;100, _xlfn.CEILING.MATH(U3351,1),IF(U3351&lt;1000, _xlfn.CEILING.MATH(U3351,5), IF(U3351&lt;10000, _xlfn.CEILING.MATH(U3351, 25), IF(U3351&lt;100000, _xlfn.CEILING.MATH(U3351,250), IF(U3351&lt;1000000, _xlfn.CEILING.MATH(U3351,500), 0)))))))</f>
        <v>415</v>
      </c>
      <c r="W3351" s="316">
        <f t="shared" si="810"/>
        <v>0</v>
      </c>
    </row>
    <row r="3352" spans="1:23" ht="21" x14ac:dyDescent="0.25">
      <c r="A3352" s="208" t="s">
        <v>15513</v>
      </c>
      <c r="B3352" s="255" t="s">
        <v>22782</v>
      </c>
      <c r="C3352" s="248"/>
      <c r="D3352" s="247" t="s">
        <v>11</v>
      </c>
      <c r="E3352" s="249">
        <f t="shared" si="802"/>
        <v>145.80450361010833</v>
      </c>
      <c r="F3352" s="258">
        <v>0.32265342960288812</v>
      </c>
      <c r="G3352" s="258">
        <f t="shared" si="803"/>
        <v>0.32265342960288812</v>
      </c>
      <c r="H3352" s="249">
        <f t="shared" si="804"/>
        <v>286.20506407942241</v>
      </c>
      <c r="I3352" s="258">
        <v>0.63334837545126355</v>
      </c>
      <c r="J3352" s="258">
        <f t="shared" si="805"/>
        <v>0.63334837545126355</v>
      </c>
      <c r="K3352" s="249">
        <f t="shared" si="806"/>
        <v>15.294178700361014</v>
      </c>
      <c r="L3352" s="374">
        <v>3.3844765342960291E-2</v>
      </c>
      <c r="M3352" s="258">
        <f t="shared" si="807"/>
        <v>3.3844765342960291E-2</v>
      </c>
      <c r="N3352" s="251">
        <f t="shared" si="808"/>
        <v>4.5882536101083042</v>
      </c>
      <c r="O3352" s="258">
        <v>1.0153429602888087E-2</v>
      </c>
      <c r="P3352" s="258">
        <f t="shared" si="809"/>
        <v>1.0153429602888087E-2</v>
      </c>
      <c r="Q3352" s="249">
        <v>443.2</v>
      </c>
      <c r="R3352" s="249">
        <f t="shared" si="811"/>
        <v>451.89200000000005</v>
      </c>
      <c r="S3352" s="250">
        <v>0.1</v>
      </c>
      <c r="T3352" s="169">
        <f>Q3352*S3352+Q3352-0.02</f>
        <v>487.5</v>
      </c>
      <c r="U3352" s="315">
        <f t="shared" si="800"/>
        <v>497.08120000000008</v>
      </c>
      <c r="V3352" s="315">
        <f t="shared" si="812"/>
        <v>500</v>
      </c>
      <c r="W3352" s="316">
        <f t="shared" si="810"/>
        <v>0</v>
      </c>
    </row>
    <row r="3353" spans="1:23" ht="21" x14ac:dyDescent="0.25">
      <c r="A3353" s="208" t="s">
        <v>15514</v>
      </c>
      <c r="B3353" s="255" t="s">
        <v>22783</v>
      </c>
      <c r="C3353" s="248"/>
      <c r="D3353" s="247" t="s">
        <v>11</v>
      </c>
      <c r="E3353" s="249">
        <f t="shared" si="802"/>
        <v>145.78850000000003</v>
      </c>
      <c r="F3353" s="258">
        <v>0.30555555555555558</v>
      </c>
      <c r="G3353" s="258">
        <f t="shared" si="803"/>
        <v>0.30555555555555558</v>
      </c>
      <c r="H3353" s="249">
        <f t="shared" si="804"/>
        <v>311.45725000000004</v>
      </c>
      <c r="I3353" s="258">
        <v>0.65277777777777779</v>
      </c>
      <c r="J3353" s="258">
        <f t="shared" si="805"/>
        <v>0.65277777777777779</v>
      </c>
      <c r="K3353" s="249">
        <f t="shared" si="806"/>
        <v>15.2925</v>
      </c>
      <c r="L3353" s="374">
        <v>3.2051282051282048E-2</v>
      </c>
      <c r="M3353" s="258">
        <f t="shared" si="807"/>
        <v>3.2051282051282048E-2</v>
      </c>
      <c r="N3353" s="251">
        <f t="shared" si="808"/>
        <v>4.5877500000000007</v>
      </c>
      <c r="O3353" s="258">
        <v>9.6153846153846159E-3</v>
      </c>
      <c r="P3353" s="258">
        <f t="shared" si="809"/>
        <v>9.6153846153846159E-3</v>
      </c>
      <c r="Q3353" s="249">
        <v>468</v>
      </c>
      <c r="R3353" s="249">
        <f t="shared" si="811"/>
        <v>477.12600000000003</v>
      </c>
      <c r="S3353" s="250">
        <v>0.1</v>
      </c>
      <c r="T3353" s="169">
        <f>Q3353*S3353+Q3353+0.2</f>
        <v>515</v>
      </c>
      <c r="U3353" s="315">
        <f t="shared" si="800"/>
        <v>524.83860000000004</v>
      </c>
      <c r="V3353" s="315">
        <f t="shared" si="812"/>
        <v>525</v>
      </c>
      <c r="W3353" s="316">
        <f t="shared" si="810"/>
        <v>0</v>
      </c>
    </row>
    <row r="3354" spans="1:23" ht="21" x14ac:dyDescent="0.25">
      <c r="A3354" s="208" t="s">
        <v>15515</v>
      </c>
      <c r="B3354" s="255" t="s">
        <v>22784</v>
      </c>
      <c r="C3354" s="248"/>
      <c r="D3354" s="247" t="s">
        <v>11</v>
      </c>
      <c r="E3354" s="249">
        <f t="shared" si="802"/>
        <v>260.8921028939863</v>
      </c>
      <c r="F3354" s="258">
        <v>0.40527691942001431</v>
      </c>
      <c r="G3354" s="258">
        <f t="shared" si="803"/>
        <v>0.40527691942001431</v>
      </c>
      <c r="H3354" s="249">
        <f t="shared" si="804"/>
        <v>357.34312275176302</v>
      </c>
      <c r="I3354" s="258">
        <v>0.55510656841771655</v>
      </c>
      <c r="J3354" s="258">
        <f t="shared" si="805"/>
        <v>0.55510656841771655</v>
      </c>
      <c r="K3354" s="249">
        <f t="shared" si="806"/>
        <v>20.402119483400686</v>
      </c>
      <c r="L3354" s="374">
        <v>3.1693209729815389E-2</v>
      </c>
      <c r="M3354" s="258">
        <f t="shared" si="807"/>
        <v>3.1693209729815389E-2</v>
      </c>
      <c r="N3354" s="251">
        <f t="shared" si="808"/>
        <v>5.1005298708501714</v>
      </c>
      <c r="O3354" s="258">
        <v>7.9233024324538472E-3</v>
      </c>
      <c r="P3354" s="258">
        <f t="shared" si="809"/>
        <v>7.9233024324538472E-3</v>
      </c>
      <c r="Q3354" s="249">
        <v>631.04999999999995</v>
      </c>
      <c r="R3354" s="249">
        <f t="shared" si="811"/>
        <v>643.73787500000014</v>
      </c>
      <c r="S3354" s="250">
        <v>0.1</v>
      </c>
      <c r="T3354" s="169">
        <f>Q3354*S3354+Q3354+0.34</f>
        <v>694.495</v>
      </c>
      <c r="U3354" s="315">
        <f t="shared" si="800"/>
        <v>708.11166250000019</v>
      </c>
      <c r="V3354" s="315">
        <f t="shared" si="812"/>
        <v>710</v>
      </c>
      <c r="W3354" s="316">
        <f t="shared" si="810"/>
        <v>0</v>
      </c>
    </row>
    <row r="3355" spans="1:23" ht="21" x14ac:dyDescent="0.25">
      <c r="A3355" s="208" t="s">
        <v>15516</v>
      </c>
      <c r="B3355" s="255" t="s">
        <v>22785</v>
      </c>
      <c r="C3355" s="248"/>
      <c r="D3355" s="247" t="s">
        <v>11</v>
      </c>
      <c r="E3355" s="249">
        <f t="shared" si="802"/>
        <v>260.88701967683602</v>
      </c>
      <c r="F3355" s="258">
        <v>0.40218587828274888</v>
      </c>
      <c r="G3355" s="258">
        <f t="shared" si="803"/>
        <v>0.40218587828274888</v>
      </c>
      <c r="H3355" s="249">
        <f t="shared" si="804"/>
        <v>362.28357786208528</v>
      </c>
      <c r="I3355" s="258">
        <v>0.55849976411385438</v>
      </c>
      <c r="J3355" s="258">
        <f t="shared" si="805"/>
        <v>0.55849976411385438</v>
      </c>
      <c r="K3355" s="249">
        <f t="shared" si="806"/>
        <v>20.401721968863033</v>
      </c>
      <c r="L3355" s="374">
        <v>3.145148608271741E-2</v>
      </c>
      <c r="M3355" s="258">
        <f t="shared" si="807"/>
        <v>3.145148608271741E-2</v>
      </c>
      <c r="N3355" s="251">
        <f t="shared" si="808"/>
        <v>5.1004304922157582</v>
      </c>
      <c r="O3355" s="258">
        <v>7.8628715206793525E-3</v>
      </c>
      <c r="P3355" s="258">
        <f t="shared" si="809"/>
        <v>7.8628715206793525E-3</v>
      </c>
      <c r="Q3355" s="249">
        <v>635.9</v>
      </c>
      <c r="R3355" s="249">
        <f t="shared" si="811"/>
        <v>648.67275000000006</v>
      </c>
      <c r="S3355" s="250">
        <v>0.1</v>
      </c>
      <c r="T3355" s="169">
        <f>Q3355*S3355+Q3355+0.01</f>
        <v>699.5</v>
      </c>
      <c r="U3355" s="315">
        <f t="shared" si="800"/>
        <v>713.54002500000001</v>
      </c>
      <c r="V3355" s="315">
        <f t="shared" si="812"/>
        <v>715</v>
      </c>
      <c r="W3355" s="316">
        <f t="shared" si="810"/>
        <v>0</v>
      </c>
    </row>
    <row r="3356" spans="1:23" ht="21" x14ac:dyDescent="0.25">
      <c r="A3356" s="208" t="s">
        <v>15517</v>
      </c>
      <c r="B3356" s="255" t="s">
        <v>22786</v>
      </c>
      <c r="C3356" s="248"/>
      <c r="D3356" s="247" t="s">
        <v>11</v>
      </c>
      <c r="E3356" s="249">
        <f t="shared" si="802"/>
        <v>330.46762210103674</v>
      </c>
      <c r="F3356" s="258">
        <v>0.38832624198477855</v>
      </c>
      <c r="G3356" s="258">
        <f t="shared" si="803"/>
        <v>0.38832624198477855</v>
      </c>
      <c r="H3356" s="249">
        <f t="shared" si="804"/>
        <v>495.03845798375983</v>
      </c>
      <c r="I3356" s="258">
        <v>0.58171031341763046</v>
      </c>
      <c r="J3356" s="258">
        <f t="shared" si="805"/>
        <v>0.58171031341763046</v>
      </c>
      <c r="K3356" s="249">
        <f t="shared" si="806"/>
        <v>20.39923593216276</v>
      </c>
      <c r="L3356" s="374">
        <v>2.3970755678072751E-2</v>
      </c>
      <c r="M3356" s="258">
        <f t="shared" si="807"/>
        <v>2.3970755678072751E-2</v>
      </c>
      <c r="N3356" s="251">
        <f t="shared" si="808"/>
        <v>5.0998089830406901</v>
      </c>
      <c r="O3356" s="258">
        <v>5.9926889195181876E-3</v>
      </c>
      <c r="P3356" s="258">
        <f t="shared" si="809"/>
        <v>5.9926889195181876E-3</v>
      </c>
      <c r="Q3356" s="249">
        <v>834.35</v>
      </c>
      <c r="R3356" s="249">
        <f t="shared" si="811"/>
        <v>851.00512500000002</v>
      </c>
      <c r="S3356" s="250">
        <v>0.1</v>
      </c>
      <c r="T3356" s="169">
        <f>Q3356*S3356+Q3356+0.21</f>
        <v>917.99500000000012</v>
      </c>
      <c r="U3356" s="315">
        <f t="shared" si="800"/>
        <v>936.10563750000006</v>
      </c>
      <c r="V3356" s="315">
        <f t="shared" si="812"/>
        <v>940</v>
      </c>
      <c r="W3356" s="316">
        <f t="shared" si="810"/>
        <v>0</v>
      </c>
    </row>
    <row r="3357" spans="1:23" ht="21" x14ac:dyDescent="0.25">
      <c r="A3357" s="208" t="s">
        <v>15518</v>
      </c>
      <c r="B3357" s="255" t="s">
        <v>22787</v>
      </c>
      <c r="C3357" s="248"/>
      <c r="D3357" s="247" t="s">
        <v>11</v>
      </c>
      <c r="E3357" s="249">
        <f t="shared" si="802"/>
        <v>1230.1414492119088</v>
      </c>
      <c r="F3357" s="258">
        <v>0.42206654991243431</v>
      </c>
      <c r="G3357" s="258">
        <f t="shared" si="803"/>
        <v>0.42206654991243431</v>
      </c>
      <c r="H3357" s="249">
        <f t="shared" si="804"/>
        <v>1148.4723073555167</v>
      </c>
      <c r="I3357" s="258">
        <v>0.39404553415061294</v>
      </c>
      <c r="J3357" s="258">
        <f t="shared" si="805"/>
        <v>0.39404553415061294</v>
      </c>
      <c r="K3357" s="249">
        <f t="shared" si="806"/>
        <v>433.8673161120841</v>
      </c>
      <c r="L3357" s="374">
        <v>0.14886164623467601</v>
      </c>
      <c r="M3357" s="258">
        <f t="shared" si="807"/>
        <v>0.14886164623467601</v>
      </c>
      <c r="N3357" s="251">
        <f t="shared" si="808"/>
        <v>102.08642732049037</v>
      </c>
      <c r="O3357" s="258">
        <v>3.5026269702276708E-2</v>
      </c>
      <c r="P3357" s="258">
        <f t="shared" si="809"/>
        <v>3.5026269702276708E-2</v>
      </c>
      <c r="Q3357" s="249">
        <v>2855</v>
      </c>
      <c r="R3357" s="249">
        <f t="shared" si="811"/>
        <v>2914.5675000000001</v>
      </c>
      <c r="S3357" s="250">
        <v>0.1</v>
      </c>
      <c r="T3357" s="290">
        <f>Q3357*S3357+Q3357-1</f>
        <v>3139.5</v>
      </c>
      <c r="U3357" s="315">
        <f t="shared" si="800"/>
        <v>3206.0242499999999</v>
      </c>
      <c r="V3357" s="315">
        <f t="shared" si="812"/>
        <v>3225</v>
      </c>
      <c r="W3357" s="316">
        <f t="shared" si="810"/>
        <v>0</v>
      </c>
    </row>
    <row r="3358" spans="1:23" ht="21" x14ac:dyDescent="0.25">
      <c r="A3358" s="208" t="s">
        <v>15519</v>
      </c>
      <c r="B3358" s="255" t="s">
        <v>22788</v>
      </c>
      <c r="C3358" s="248"/>
      <c r="D3358" s="247" t="s">
        <v>11</v>
      </c>
      <c r="E3358" s="249">
        <f t="shared" si="802"/>
        <v>1229.8453003246752</v>
      </c>
      <c r="F3358" s="258">
        <v>0.39123376623376621</v>
      </c>
      <c r="G3358" s="258">
        <f t="shared" si="803"/>
        <v>0.39123376623376621</v>
      </c>
      <c r="H3358" s="249">
        <f t="shared" si="804"/>
        <v>1377.8349837662338</v>
      </c>
      <c r="I3358" s="258">
        <v>0.43831168831168832</v>
      </c>
      <c r="J3358" s="258">
        <f t="shared" si="805"/>
        <v>0.43831168831168832</v>
      </c>
      <c r="K3358" s="249">
        <f t="shared" si="806"/>
        <v>433.76286525974029</v>
      </c>
      <c r="L3358" s="374">
        <v>0.13798701298701299</v>
      </c>
      <c r="M3358" s="258">
        <f t="shared" si="807"/>
        <v>0.13798701298701299</v>
      </c>
      <c r="N3358" s="251">
        <f t="shared" si="808"/>
        <v>102.06185064935065</v>
      </c>
      <c r="O3358" s="258">
        <v>3.2467532467532464E-2</v>
      </c>
      <c r="P3358" s="258">
        <f t="shared" si="809"/>
        <v>3.2467532467532464E-2</v>
      </c>
      <c r="Q3358" s="249">
        <v>3080</v>
      </c>
      <c r="R3358" s="249">
        <f t="shared" si="811"/>
        <v>3143.5050000000001</v>
      </c>
      <c r="S3358" s="250">
        <v>0.1</v>
      </c>
      <c r="T3358" s="290">
        <f>Q3358*S3358+Q3358+2</f>
        <v>3390</v>
      </c>
      <c r="U3358" s="315">
        <f t="shared" si="800"/>
        <v>3457.8555000000001</v>
      </c>
      <c r="V3358" s="315">
        <f t="shared" si="812"/>
        <v>3475</v>
      </c>
      <c r="W3358" s="316">
        <f t="shared" si="810"/>
        <v>0</v>
      </c>
    </row>
    <row r="3359" spans="1:23" ht="21" x14ac:dyDescent="0.25">
      <c r="A3359" s="208" t="s">
        <v>15520</v>
      </c>
      <c r="B3359" s="255" t="s">
        <v>22789</v>
      </c>
      <c r="C3359" s="248"/>
      <c r="D3359" s="247" t="s">
        <v>11</v>
      </c>
      <c r="E3359" s="249">
        <f t="shared" si="802"/>
        <v>1229.69874024961</v>
      </c>
      <c r="F3359" s="258">
        <v>0.37597503900156004</v>
      </c>
      <c r="G3359" s="258">
        <f t="shared" si="803"/>
        <v>0.37597503900156004</v>
      </c>
      <c r="H3359" s="249">
        <f t="shared" si="804"/>
        <v>1505.2328978159126</v>
      </c>
      <c r="I3359" s="258">
        <v>0.46021840873634945</v>
      </c>
      <c r="J3359" s="258">
        <f t="shared" si="805"/>
        <v>0.46021840873634945</v>
      </c>
      <c r="K3359" s="249">
        <f t="shared" si="806"/>
        <v>433.7111739469579</v>
      </c>
      <c r="L3359" s="374">
        <v>0.13260530421216848</v>
      </c>
      <c r="M3359" s="258">
        <f t="shared" si="807"/>
        <v>0.13260530421216848</v>
      </c>
      <c r="N3359" s="251">
        <f t="shared" si="808"/>
        <v>102.0496879875195</v>
      </c>
      <c r="O3359" s="258">
        <v>3.1201248049921998E-2</v>
      </c>
      <c r="P3359" s="258">
        <f t="shared" si="809"/>
        <v>3.1201248049921998E-2</v>
      </c>
      <c r="Q3359" s="249">
        <v>3205</v>
      </c>
      <c r="R3359" s="249">
        <f t="shared" si="811"/>
        <v>3270.6925000000001</v>
      </c>
      <c r="S3359" s="250">
        <v>0.1</v>
      </c>
      <c r="T3359" s="290">
        <f>Q3359*S3359+Q3359+4</f>
        <v>3529.5</v>
      </c>
      <c r="U3359" s="315">
        <f t="shared" ref="U3359:U3422" si="813">(R3359*S3359)+R3359</f>
        <v>3597.7617500000001</v>
      </c>
      <c r="V3359" s="315">
        <f t="shared" si="812"/>
        <v>3600</v>
      </c>
      <c r="W3359" s="316">
        <f t="shared" si="810"/>
        <v>0</v>
      </c>
    </row>
    <row r="3360" spans="1:23" ht="21" x14ac:dyDescent="0.25">
      <c r="A3360" s="208" t="s">
        <v>15521</v>
      </c>
      <c r="B3360" s="255" t="s">
        <v>15522</v>
      </c>
      <c r="C3360" s="248"/>
      <c r="D3360" s="247" t="s">
        <v>11</v>
      </c>
      <c r="E3360" s="249">
        <f t="shared" si="802"/>
        <v>46.992787991151339</v>
      </c>
      <c r="F3360" s="258">
        <v>0.69568437868797206</v>
      </c>
      <c r="G3360" s="258">
        <f t="shared" si="803"/>
        <v>0.69568437868797206</v>
      </c>
      <c r="H3360" s="249">
        <f t="shared" si="804"/>
        <v>11.666470409977137</v>
      </c>
      <c r="I3360" s="258">
        <v>0.17271120879601393</v>
      </c>
      <c r="J3360" s="258">
        <f t="shared" si="805"/>
        <v>0.17271120879601393</v>
      </c>
      <c r="K3360" s="249">
        <f t="shared" si="806"/>
        <v>3.7818354597326316</v>
      </c>
      <c r="L3360" s="374">
        <v>5.5986545267321504E-2</v>
      </c>
      <c r="M3360" s="258">
        <f t="shared" si="807"/>
        <v>5.5986545267321504E-2</v>
      </c>
      <c r="N3360" s="251">
        <f t="shared" si="808"/>
        <v>5.1079117381686236</v>
      </c>
      <c r="O3360" s="258">
        <v>7.5617867248692613E-2</v>
      </c>
      <c r="P3360" s="258">
        <f t="shared" si="809"/>
        <v>7.5617867248692613E-2</v>
      </c>
      <c r="Q3360" s="249">
        <v>66.12</v>
      </c>
      <c r="R3360" s="249">
        <f t="shared" si="811"/>
        <v>67.549005599029726</v>
      </c>
      <c r="S3360" s="250">
        <v>0.1</v>
      </c>
      <c r="T3360" s="290">
        <f>Q3360*S3360+Q3360-6</f>
        <v>66.731999999999999</v>
      </c>
      <c r="U3360" s="315">
        <f t="shared" si="813"/>
        <v>74.303906158932705</v>
      </c>
      <c r="V3360" s="315">
        <f t="shared" si="812"/>
        <v>75</v>
      </c>
      <c r="W3360" s="316">
        <f t="shared" si="810"/>
        <v>0</v>
      </c>
    </row>
    <row r="3361" spans="1:23" ht="21" x14ac:dyDescent="0.25">
      <c r="A3361" s="208" t="s">
        <v>15523</v>
      </c>
      <c r="B3361" s="255" t="s">
        <v>22790</v>
      </c>
      <c r="C3361" s="248"/>
      <c r="D3361" s="247" t="s">
        <v>11</v>
      </c>
      <c r="E3361" s="249">
        <f t="shared" si="802"/>
        <v>46.992787991151339</v>
      </c>
      <c r="F3361" s="258">
        <v>0.69568437868797206</v>
      </c>
      <c r="G3361" s="258">
        <f t="shared" si="803"/>
        <v>0.69568437868797206</v>
      </c>
      <c r="H3361" s="249">
        <f t="shared" si="804"/>
        <v>11.666470409977137</v>
      </c>
      <c r="I3361" s="258">
        <v>0.17271120879601393</v>
      </c>
      <c r="J3361" s="258">
        <f t="shared" si="805"/>
        <v>0.17271120879601393</v>
      </c>
      <c r="K3361" s="249">
        <f t="shared" si="806"/>
        <v>3.7818354597326316</v>
      </c>
      <c r="L3361" s="374">
        <v>5.5986545267321504E-2</v>
      </c>
      <c r="M3361" s="258">
        <f t="shared" si="807"/>
        <v>5.5986545267321504E-2</v>
      </c>
      <c r="N3361" s="251">
        <f t="shared" si="808"/>
        <v>5.1079117381686236</v>
      </c>
      <c r="O3361" s="258">
        <v>7.5617867248692613E-2</v>
      </c>
      <c r="P3361" s="258">
        <f t="shared" si="809"/>
        <v>7.5617867248692613E-2</v>
      </c>
      <c r="Q3361" s="249">
        <v>66.12</v>
      </c>
      <c r="R3361" s="249">
        <f t="shared" si="811"/>
        <v>67.549005599029726</v>
      </c>
      <c r="S3361" s="250">
        <v>0.1</v>
      </c>
      <c r="T3361" s="290">
        <f>Q3361*S3361+Q3361-6</f>
        <v>66.731999999999999</v>
      </c>
      <c r="U3361" s="315">
        <f t="shared" si="813"/>
        <v>74.303906158932705</v>
      </c>
      <c r="V3361" s="315">
        <f t="shared" si="812"/>
        <v>75</v>
      </c>
      <c r="W3361" s="316">
        <f t="shared" si="810"/>
        <v>0</v>
      </c>
    </row>
    <row r="3362" spans="1:23" ht="21" x14ac:dyDescent="0.25">
      <c r="A3362" s="208" t="s">
        <v>15524</v>
      </c>
      <c r="B3362" s="255" t="s">
        <v>15525</v>
      </c>
      <c r="C3362" s="248"/>
      <c r="D3362" s="247" t="s">
        <v>11</v>
      </c>
      <c r="E3362" s="249">
        <f t="shared" si="802"/>
        <v>46.915741760378062</v>
      </c>
      <c r="F3362" s="258">
        <v>0.40545374437616716</v>
      </c>
      <c r="G3362" s="258">
        <f t="shared" si="803"/>
        <v>0.40545374437616716</v>
      </c>
      <c r="H3362" s="249">
        <f t="shared" si="804"/>
        <v>59.277019806808106</v>
      </c>
      <c r="I3362" s="258">
        <v>0.51228199180745293</v>
      </c>
      <c r="J3362" s="258">
        <f t="shared" si="805"/>
        <v>0.51228199180745293</v>
      </c>
      <c r="K3362" s="249">
        <f t="shared" si="806"/>
        <v>4.4194006122344449</v>
      </c>
      <c r="L3362" s="374">
        <v>3.8193204645057321E-2</v>
      </c>
      <c r="M3362" s="258">
        <f t="shared" si="807"/>
        <v>3.8193204645057321E-2</v>
      </c>
      <c r="N3362" s="251">
        <f t="shared" si="808"/>
        <v>5.0995371478671805</v>
      </c>
      <c r="O3362" s="258">
        <v>4.4071059171322514E-2</v>
      </c>
      <c r="P3362" s="258">
        <f t="shared" si="809"/>
        <v>4.4071059171322514E-2</v>
      </c>
      <c r="Q3362" s="249">
        <v>113.45</v>
      </c>
      <c r="R3362" s="249">
        <f t="shared" si="811"/>
        <v>115.7116993272878</v>
      </c>
      <c r="S3362" s="250">
        <v>0.1</v>
      </c>
      <c r="T3362" s="290">
        <f>Q3362*S3362+Q3362</f>
        <v>124.795</v>
      </c>
      <c r="U3362" s="315">
        <f t="shared" si="813"/>
        <v>127.28286926001658</v>
      </c>
      <c r="V3362" s="315">
        <f t="shared" si="812"/>
        <v>130</v>
      </c>
      <c r="W3362" s="316">
        <f t="shared" si="810"/>
        <v>0</v>
      </c>
    </row>
    <row r="3363" spans="1:23" ht="21" x14ac:dyDescent="0.25">
      <c r="A3363" s="208" t="s">
        <v>15526</v>
      </c>
      <c r="B3363" s="255" t="s">
        <v>15527</v>
      </c>
      <c r="C3363" s="248"/>
      <c r="D3363" s="247" t="s">
        <v>11</v>
      </c>
      <c r="E3363" s="249">
        <f t="shared" si="802"/>
        <v>46.915741760378062</v>
      </c>
      <c r="F3363" s="258">
        <v>0.40545374437616716</v>
      </c>
      <c r="G3363" s="258">
        <f t="shared" si="803"/>
        <v>0.40545374437616716</v>
      </c>
      <c r="H3363" s="249">
        <f t="shared" si="804"/>
        <v>59.277019806808106</v>
      </c>
      <c r="I3363" s="258">
        <v>0.51228199180745293</v>
      </c>
      <c r="J3363" s="258">
        <f t="shared" si="805"/>
        <v>0.51228199180745293</v>
      </c>
      <c r="K3363" s="249">
        <f t="shared" si="806"/>
        <v>4.4194006122344449</v>
      </c>
      <c r="L3363" s="374">
        <v>3.8193204645057321E-2</v>
      </c>
      <c r="M3363" s="258">
        <f t="shared" si="807"/>
        <v>3.8193204645057321E-2</v>
      </c>
      <c r="N3363" s="251">
        <f t="shared" si="808"/>
        <v>5.0995371478671805</v>
      </c>
      <c r="O3363" s="258">
        <v>4.4071059171322514E-2</v>
      </c>
      <c r="P3363" s="258">
        <f t="shared" si="809"/>
        <v>4.4071059171322514E-2</v>
      </c>
      <c r="Q3363" s="249">
        <v>113.45</v>
      </c>
      <c r="R3363" s="249">
        <f t="shared" si="811"/>
        <v>115.7116993272878</v>
      </c>
      <c r="S3363" s="250">
        <v>0.1</v>
      </c>
      <c r="T3363" s="290">
        <f>Q3363*S3363+Q3363</f>
        <v>124.795</v>
      </c>
      <c r="U3363" s="315">
        <f t="shared" si="813"/>
        <v>127.28286926001658</v>
      </c>
      <c r="V3363" s="315">
        <f t="shared" si="812"/>
        <v>130</v>
      </c>
      <c r="W3363" s="316">
        <f t="shared" si="810"/>
        <v>0</v>
      </c>
    </row>
    <row r="3364" spans="1:23" ht="21" x14ac:dyDescent="0.25">
      <c r="A3364" s="208" t="s">
        <v>15528</v>
      </c>
      <c r="B3364" s="255" t="s">
        <v>15529</v>
      </c>
      <c r="C3364" s="248"/>
      <c r="D3364" s="247" t="s">
        <v>11</v>
      </c>
      <c r="E3364" s="249">
        <f t="shared" si="802"/>
        <v>46.919194063936658</v>
      </c>
      <c r="F3364" s="258">
        <v>0.41809387041179791</v>
      </c>
      <c r="G3364" s="258">
        <f t="shared" si="803"/>
        <v>0.41809387041179791</v>
      </c>
      <c r="H3364" s="249">
        <f t="shared" si="804"/>
        <v>55.782841812102085</v>
      </c>
      <c r="I3364" s="258">
        <v>0.49707725593089624</v>
      </c>
      <c r="J3364" s="258">
        <f t="shared" si="805"/>
        <v>0.49707725593089624</v>
      </c>
      <c r="K3364" s="249">
        <f t="shared" si="806"/>
        <v>4.4197258146481335</v>
      </c>
      <c r="L3364" s="374">
        <v>3.9383887742979996E-2</v>
      </c>
      <c r="M3364" s="258">
        <f t="shared" si="807"/>
        <v>3.9383887742979996E-2</v>
      </c>
      <c r="N3364" s="251">
        <f t="shared" si="808"/>
        <v>5.0999123982539842</v>
      </c>
      <c r="O3364" s="258">
        <v>4.5444985914325858E-2</v>
      </c>
      <c r="P3364" s="258">
        <f t="shared" si="809"/>
        <v>4.5444985914325858E-2</v>
      </c>
      <c r="Q3364" s="249">
        <v>110.02</v>
      </c>
      <c r="R3364" s="249">
        <f t="shared" si="811"/>
        <v>112.22167408894086</v>
      </c>
      <c r="S3364" s="250">
        <v>0.1</v>
      </c>
      <c r="T3364" s="290">
        <f>Q3364*S3364+Q3364-2</f>
        <v>119.02199999999999</v>
      </c>
      <c r="U3364" s="315">
        <f t="shared" si="813"/>
        <v>123.44384149783494</v>
      </c>
      <c r="V3364" s="315">
        <f t="shared" si="812"/>
        <v>125</v>
      </c>
      <c r="W3364" s="316">
        <f t="shared" si="810"/>
        <v>0</v>
      </c>
    </row>
    <row r="3365" spans="1:23" ht="21" x14ac:dyDescent="0.25">
      <c r="A3365" s="208" t="s">
        <v>15530</v>
      </c>
      <c r="B3365" s="255" t="s">
        <v>15531</v>
      </c>
      <c r="C3365" s="248"/>
      <c r="D3365" s="247" t="s">
        <v>11</v>
      </c>
      <c r="E3365" s="249">
        <f t="shared" si="802"/>
        <v>188.67746313314814</v>
      </c>
      <c r="F3365" s="258">
        <v>0.3953836289805514</v>
      </c>
      <c r="G3365" s="258">
        <f t="shared" si="803"/>
        <v>0.3953836289805514</v>
      </c>
      <c r="H3365" s="249">
        <f t="shared" si="804"/>
        <v>259.7119783073307</v>
      </c>
      <c r="I3365" s="258">
        <v>0.5442402222697158</v>
      </c>
      <c r="J3365" s="258">
        <f t="shared" si="805"/>
        <v>0.5442402222697158</v>
      </c>
      <c r="K3365" s="249">
        <f t="shared" si="806"/>
        <v>13.513385873049799</v>
      </c>
      <c r="L3365" s="374">
        <v>2.8318016670228683E-2</v>
      </c>
      <c r="M3365" s="258">
        <f t="shared" si="807"/>
        <v>2.8318016670228683E-2</v>
      </c>
      <c r="N3365" s="251">
        <f t="shared" si="808"/>
        <v>15.298172686471473</v>
      </c>
      <c r="O3365" s="258">
        <v>3.205813207950417E-2</v>
      </c>
      <c r="P3365" s="258">
        <f t="shared" si="809"/>
        <v>3.205813207950417E-2</v>
      </c>
      <c r="Q3365" s="249">
        <v>467.9</v>
      </c>
      <c r="R3365" s="249">
        <f t="shared" si="811"/>
        <v>477.20100000000008</v>
      </c>
      <c r="S3365" s="250">
        <v>0.1</v>
      </c>
      <c r="T3365" s="290">
        <f>Q3365*S3365+Q3365-5</f>
        <v>509.68999999999994</v>
      </c>
      <c r="U3365" s="315">
        <f t="shared" si="813"/>
        <v>524.92110000000014</v>
      </c>
      <c r="V3365" s="315">
        <f t="shared" si="812"/>
        <v>525</v>
      </c>
      <c r="W3365" s="316">
        <f t="shared" si="810"/>
        <v>0</v>
      </c>
    </row>
    <row r="3366" spans="1:23" ht="21" x14ac:dyDescent="0.25">
      <c r="A3366" s="208" t="s">
        <v>15532</v>
      </c>
      <c r="B3366" s="255" t="s">
        <v>15533</v>
      </c>
      <c r="C3366" s="248"/>
      <c r="D3366" s="247" t="s">
        <v>11</v>
      </c>
      <c r="E3366" s="249">
        <f t="shared" si="802"/>
        <v>2702.6798645363988</v>
      </c>
      <c r="F3366" s="258">
        <v>6.292915670189593E-2</v>
      </c>
      <c r="G3366" s="258">
        <f t="shared" si="803"/>
        <v>6.292915670189593E-2</v>
      </c>
      <c r="H3366" s="249">
        <f t="shared" si="804"/>
        <v>39181.528734450229</v>
      </c>
      <c r="I3366" s="258">
        <v>0.91230211683728246</v>
      </c>
      <c r="J3366" s="258">
        <f t="shared" si="805"/>
        <v>0.91230211683728246</v>
      </c>
      <c r="K3366" s="249">
        <f t="shared" si="806"/>
        <v>758.37909569853741</v>
      </c>
      <c r="L3366" s="374">
        <v>1.7658087285466088E-2</v>
      </c>
      <c r="M3366" s="258">
        <f t="shared" si="807"/>
        <v>1.7658087285466088E-2</v>
      </c>
      <c r="N3366" s="251">
        <f t="shared" si="808"/>
        <v>305.3875553148473</v>
      </c>
      <c r="O3366" s="258">
        <v>7.1106391753554725E-3</v>
      </c>
      <c r="P3366" s="258">
        <f t="shared" si="809"/>
        <v>7.1106391753554725E-3</v>
      </c>
      <c r="Q3366" s="249">
        <v>42190.3</v>
      </c>
      <c r="R3366" s="249">
        <f t="shared" si="811"/>
        <v>42947.97525000001</v>
      </c>
      <c r="S3366" s="250">
        <v>0.1</v>
      </c>
      <c r="T3366" s="290">
        <f>Q3366*S3366+Q3366-5</f>
        <v>46404.33</v>
      </c>
      <c r="U3366" s="315">
        <f t="shared" si="813"/>
        <v>47242.772775000012</v>
      </c>
      <c r="V3366" s="315">
        <f t="shared" si="812"/>
        <v>47250</v>
      </c>
      <c r="W3366" s="316">
        <f t="shared" si="810"/>
        <v>0</v>
      </c>
    </row>
    <row r="3367" spans="1:23" ht="21" x14ac:dyDescent="0.25">
      <c r="A3367" s="208" t="s">
        <v>15534</v>
      </c>
      <c r="B3367" s="255" t="s">
        <v>15535</v>
      </c>
      <c r="C3367" s="248"/>
      <c r="D3367" s="247" t="s">
        <v>11</v>
      </c>
      <c r="E3367" s="249">
        <f t="shared" si="802"/>
        <v>2977.4120841623767</v>
      </c>
      <c r="F3367" s="258">
        <v>6.209858835578224E-2</v>
      </c>
      <c r="G3367" s="258">
        <f t="shared" si="803"/>
        <v>6.209858835578224E-2</v>
      </c>
      <c r="H3367" s="249">
        <f t="shared" si="804"/>
        <v>43594.931823147308</v>
      </c>
      <c r="I3367" s="258">
        <v>0.90924052471077976</v>
      </c>
      <c r="J3367" s="258">
        <f t="shared" si="805"/>
        <v>0.90924052471077976</v>
      </c>
      <c r="K3367" s="249">
        <f t="shared" si="806"/>
        <v>804.15574238915485</v>
      </c>
      <c r="L3367" s="374">
        <v>1.6771926427715547E-2</v>
      </c>
      <c r="M3367" s="258">
        <f t="shared" si="807"/>
        <v>1.6771926427715547E-2</v>
      </c>
      <c r="N3367" s="251">
        <f t="shared" si="808"/>
        <v>570.03445030117302</v>
      </c>
      <c r="O3367" s="258">
        <v>1.1888960505722412E-2</v>
      </c>
      <c r="P3367" s="258">
        <f t="shared" si="809"/>
        <v>1.1888960505722412E-2</v>
      </c>
      <c r="Q3367" s="249">
        <v>47102.52</v>
      </c>
      <c r="R3367" s="249">
        <f t="shared" si="811"/>
        <v>47946.534100000012</v>
      </c>
      <c r="S3367" s="250">
        <v>0.1</v>
      </c>
      <c r="T3367" s="290">
        <f>Q3367*S3367+Q3367+7</f>
        <v>51819.771999999997</v>
      </c>
      <c r="U3367" s="315">
        <f t="shared" si="813"/>
        <v>52741.187510000011</v>
      </c>
      <c r="V3367" s="315">
        <f t="shared" si="812"/>
        <v>52750</v>
      </c>
      <c r="W3367" s="316">
        <f t="shared" si="810"/>
        <v>0</v>
      </c>
    </row>
    <row r="3368" spans="1:23" ht="21" x14ac:dyDescent="0.25">
      <c r="A3368" s="208" t="s">
        <v>15536</v>
      </c>
      <c r="B3368" s="255" t="s">
        <v>15537</v>
      </c>
      <c r="C3368" s="248"/>
      <c r="D3368" s="247" t="s">
        <v>11</v>
      </c>
      <c r="E3368" s="249">
        <f t="shared" si="802"/>
        <v>3280.7446023447592</v>
      </c>
      <c r="F3368" s="258">
        <v>6.2400146213435995E-2</v>
      </c>
      <c r="G3368" s="258">
        <f t="shared" si="803"/>
        <v>6.2400146213435995E-2</v>
      </c>
      <c r="H3368" s="249">
        <f t="shared" si="804"/>
        <v>47920.980338745714</v>
      </c>
      <c r="I3368" s="258">
        <v>0.91146265323175835</v>
      </c>
      <c r="J3368" s="258">
        <f t="shared" si="805"/>
        <v>0.91146265323175835</v>
      </c>
      <c r="K3368" s="249">
        <f t="shared" si="806"/>
        <v>804.15396706557863</v>
      </c>
      <c r="L3368" s="374">
        <v>1.5295102546886267E-2</v>
      </c>
      <c r="M3368" s="258">
        <f t="shared" si="807"/>
        <v>1.5295102546886267E-2</v>
      </c>
      <c r="N3368" s="251">
        <f t="shared" si="808"/>
        <v>570.03319184395446</v>
      </c>
      <c r="O3368" s="258">
        <v>1.0842098007919378E-2</v>
      </c>
      <c r="P3368" s="258">
        <f t="shared" si="809"/>
        <v>1.0842098007919378E-2</v>
      </c>
      <c r="Q3368" s="249">
        <v>51650.52</v>
      </c>
      <c r="R3368" s="249">
        <f t="shared" si="811"/>
        <v>52575.912100000009</v>
      </c>
      <c r="S3368" s="250">
        <v>0.1</v>
      </c>
      <c r="T3368" s="290">
        <f>Q3368*S3368+Q3368+14</f>
        <v>56829.572</v>
      </c>
      <c r="U3368" s="315">
        <f t="shared" si="813"/>
        <v>57833.503310000007</v>
      </c>
      <c r="V3368" s="315">
        <f t="shared" si="812"/>
        <v>58000</v>
      </c>
      <c r="W3368" s="316">
        <f t="shared" si="810"/>
        <v>0</v>
      </c>
    </row>
    <row r="3369" spans="1:23" ht="21" x14ac:dyDescent="0.25">
      <c r="A3369" s="208" t="s">
        <v>15538</v>
      </c>
      <c r="B3369" s="255" t="s">
        <v>15539</v>
      </c>
      <c r="C3369" s="248"/>
      <c r="D3369" s="247" t="s">
        <v>11</v>
      </c>
      <c r="E3369" s="249">
        <f t="shared" si="802"/>
        <v>4420.4255424088105</v>
      </c>
      <c r="F3369" s="258">
        <v>5.2350454652187101E-2</v>
      </c>
      <c r="G3369" s="258">
        <f t="shared" si="803"/>
        <v>5.2350454652187101E-2</v>
      </c>
      <c r="H3369" s="249">
        <f t="shared" si="804"/>
        <v>78323.996497929518</v>
      </c>
      <c r="I3369" s="258">
        <v>0.92757966116731749</v>
      </c>
      <c r="J3369" s="258">
        <f t="shared" si="805"/>
        <v>0.92757966116731749</v>
      </c>
      <c r="K3369" s="249">
        <f t="shared" si="806"/>
        <v>870.24265225869976</v>
      </c>
      <c r="L3369" s="374">
        <v>1.0306156741335476E-2</v>
      </c>
      <c r="M3369" s="258">
        <f t="shared" si="807"/>
        <v>1.0306156741335476E-2</v>
      </c>
      <c r="N3369" s="251">
        <f t="shared" si="808"/>
        <v>824.44040740297874</v>
      </c>
      <c r="O3369" s="258">
        <v>9.7637274391599253E-3</v>
      </c>
      <c r="P3369" s="258">
        <f t="shared" si="809"/>
        <v>9.7637274391599253E-3</v>
      </c>
      <c r="Q3369" s="249">
        <v>82960.12</v>
      </c>
      <c r="R3369" s="249">
        <f t="shared" si="811"/>
        <v>84439.105100000001</v>
      </c>
      <c r="S3369" s="250">
        <v>0.1</v>
      </c>
      <c r="T3369" s="290">
        <f>Q3369*S3369+Q3369-6</f>
        <v>91250.131999999998</v>
      </c>
      <c r="U3369" s="315">
        <f t="shared" si="813"/>
        <v>92883.015610000002</v>
      </c>
      <c r="V3369" s="315">
        <f t="shared" si="812"/>
        <v>93000</v>
      </c>
      <c r="W3369" s="316">
        <f t="shared" si="810"/>
        <v>0</v>
      </c>
    </row>
    <row r="3370" spans="1:23" ht="21" x14ac:dyDescent="0.25">
      <c r="A3370" s="208" t="s">
        <v>15540</v>
      </c>
      <c r="B3370" s="255" t="s">
        <v>15541</v>
      </c>
      <c r="C3370" s="248"/>
      <c r="D3370" s="247" t="s">
        <v>11</v>
      </c>
      <c r="E3370" s="249">
        <f t="shared" si="802"/>
        <v>5916.7505145172763</v>
      </c>
      <c r="F3370" s="258">
        <v>5.0647535670223814E-2</v>
      </c>
      <c r="G3370" s="258">
        <f t="shared" si="803"/>
        <v>5.0647535670223814E-2</v>
      </c>
      <c r="H3370" s="249">
        <f t="shared" si="804"/>
        <v>107872.14339907959</v>
      </c>
      <c r="I3370" s="258">
        <v>0.92338830532456939</v>
      </c>
      <c r="J3370" s="258">
        <f t="shared" si="805"/>
        <v>0.92338830532456939</v>
      </c>
      <c r="K3370" s="249">
        <f t="shared" si="806"/>
        <v>1796.5017474837423</v>
      </c>
      <c r="L3370" s="374">
        <v>1.5378100887312065E-2</v>
      </c>
      <c r="M3370" s="258">
        <f t="shared" si="807"/>
        <v>1.5378100887312065E-2</v>
      </c>
      <c r="N3370" s="251">
        <f t="shared" si="808"/>
        <v>1236.6853389194032</v>
      </c>
      <c r="O3370" s="258">
        <v>1.0586058117894707E-2</v>
      </c>
      <c r="P3370" s="258">
        <f t="shared" si="809"/>
        <v>1.0586058117894707E-2</v>
      </c>
      <c r="Q3370" s="249">
        <v>114773.6</v>
      </c>
      <c r="R3370" s="249">
        <f t="shared" si="811"/>
        <v>116822.08100000002</v>
      </c>
      <c r="S3370" s="250">
        <v>0.1</v>
      </c>
      <c r="T3370" s="290">
        <f>Q3370*S3370+Q3370-1</f>
        <v>126249.96</v>
      </c>
      <c r="U3370" s="315">
        <f t="shared" si="813"/>
        <v>128504.28910000002</v>
      </c>
      <c r="V3370" s="315">
        <f t="shared" si="812"/>
        <v>129000</v>
      </c>
      <c r="W3370" s="316">
        <f t="shared" si="810"/>
        <v>0</v>
      </c>
    </row>
    <row r="3371" spans="1:23" ht="21" x14ac:dyDescent="0.25">
      <c r="A3371" s="208" t="s">
        <v>15542</v>
      </c>
      <c r="B3371" s="255" t="s">
        <v>15543</v>
      </c>
      <c r="C3371" s="248"/>
      <c r="D3371" s="247" t="s">
        <v>11</v>
      </c>
      <c r="E3371" s="249">
        <f t="shared" si="802"/>
        <v>6458.0285183752494</v>
      </c>
      <c r="F3371" s="258">
        <v>4.6974598920583685E-2</v>
      </c>
      <c r="G3371" s="258">
        <f t="shared" si="803"/>
        <v>4.6974598920583685E-2</v>
      </c>
      <c r="H3371" s="249">
        <f t="shared" si="804"/>
        <v>127860.82215348368</v>
      </c>
      <c r="I3371" s="258">
        <v>0.93003783139487539</v>
      </c>
      <c r="J3371" s="258">
        <f t="shared" si="805"/>
        <v>0.93003783139487539</v>
      </c>
      <c r="K3371" s="249">
        <f t="shared" si="806"/>
        <v>1796.4413451429969</v>
      </c>
      <c r="L3371" s="374">
        <v>1.306700821037513E-2</v>
      </c>
      <c r="M3371" s="258">
        <f t="shared" si="807"/>
        <v>1.306700821037513E-2</v>
      </c>
      <c r="N3371" s="251">
        <f t="shared" si="808"/>
        <v>1363.8704829980825</v>
      </c>
      <c r="O3371" s="258">
        <v>9.9205614741658208E-3</v>
      </c>
      <c r="P3371" s="258">
        <f t="shared" si="809"/>
        <v>9.9205614741658208E-3</v>
      </c>
      <c r="Q3371" s="249">
        <v>135073</v>
      </c>
      <c r="R3371" s="249">
        <f t="shared" si="811"/>
        <v>137479.16250000001</v>
      </c>
      <c r="S3371" s="250">
        <v>0.1</v>
      </c>
      <c r="T3371" s="290">
        <f>Q3371*S3371+Q3371</f>
        <v>148580.29999999999</v>
      </c>
      <c r="U3371" s="315">
        <f t="shared" si="813"/>
        <v>151227.07875000002</v>
      </c>
      <c r="V3371" s="315">
        <f t="shared" si="812"/>
        <v>151500</v>
      </c>
      <c r="W3371" s="316">
        <f t="shared" si="810"/>
        <v>0</v>
      </c>
    </row>
    <row r="3372" spans="1:23" ht="21" x14ac:dyDescent="0.25">
      <c r="A3372" s="208" t="s">
        <v>15544</v>
      </c>
      <c r="B3372" s="255" t="s">
        <v>15545</v>
      </c>
      <c r="C3372" s="248"/>
      <c r="D3372" s="247" t="s">
        <v>11</v>
      </c>
      <c r="E3372" s="249">
        <f t="shared" si="802"/>
        <v>7179.6500870187829</v>
      </c>
      <c r="F3372" s="258">
        <v>2.4648460074974305E-2</v>
      </c>
      <c r="G3372" s="258">
        <f t="shared" si="803"/>
        <v>2.4648460074974305E-2</v>
      </c>
      <c r="H3372" s="249">
        <f t="shared" si="804"/>
        <v>280766.32775120728</v>
      </c>
      <c r="I3372" s="258">
        <v>0.96389901124643451</v>
      </c>
      <c r="J3372" s="258">
        <f t="shared" si="805"/>
        <v>0.96389901124643451</v>
      </c>
      <c r="K3372" s="249">
        <f t="shared" si="806"/>
        <v>1997.6803649113424</v>
      </c>
      <c r="L3372" s="374">
        <v>6.8582373960125982E-3</v>
      </c>
      <c r="M3372" s="258">
        <f t="shared" si="807"/>
        <v>6.8582373960125982E-3</v>
      </c>
      <c r="N3372" s="251">
        <f t="shared" si="808"/>
        <v>1338.2338574670021</v>
      </c>
      <c r="O3372" s="258">
        <v>4.5942912825784853E-3</v>
      </c>
      <c r="P3372" s="258">
        <f t="shared" si="809"/>
        <v>4.5942912825784853E-3</v>
      </c>
      <c r="Q3372" s="249">
        <v>286224.77747252752</v>
      </c>
      <c r="R3372" s="249">
        <f t="shared" si="811"/>
        <v>291281.89206060441</v>
      </c>
      <c r="S3372" s="250">
        <v>0.1</v>
      </c>
      <c r="T3372" s="290">
        <f>Q3372*S3372+Q3372+3</f>
        <v>314850.25521978026</v>
      </c>
      <c r="U3372" s="315">
        <f t="shared" si="813"/>
        <v>320410.08126666484</v>
      </c>
      <c r="V3372" s="315">
        <f t="shared" si="812"/>
        <v>320500</v>
      </c>
      <c r="W3372" s="316">
        <f t="shared" si="810"/>
        <v>0</v>
      </c>
    </row>
    <row r="3373" spans="1:23" ht="21" x14ac:dyDescent="0.25">
      <c r="A3373" s="208" t="s">
        <v>15546</v>
      </c>
      <c r="B3373" s="255" t="s">
        <v>15547</v>
      </c>
      <c r="C3373" s="248"/>
      <c r="D3373" s="247" t="s">
        <v>11</v>
      </c>
      <c r="E3373" s="249">
        <f t="shared" si="802"/>
        <v>382.05690699980028</v>
      </c>
      <c r="F3373" s="258">
        <v>0.23055995327318282</v>
      </c>
      <c r="G3373" s="258">
        <f t="shared" si="803"/>
        <v>0.23055995327318282</v>
      </c>
      <c r="H3373" s="249">
        <f t="shared" si="804"/>
        <v>1101.1898878152911</v>
      </c>
      <c r="I3373" s="258">
        <v>0.66453526798751905</v>
      </c>
      <c r="J3373" s="258">
        <f t="shared" si="805"/>
        <v>0.66453526798751905</v>
      </c>
      <c r="K3373" s="249">
        <f t="shared" si="806"/>
        <v>71.954050818295713</v>
      </c>
      <c r="L3373" s="374">
        <v>4.3422124533116099E-2</v>
      </c>
      <c r="M3373" s="258">
        <f t="shared" si="807"/>
        <v>4.3422124533116099E-2</v>
      </c>
      <c r="N3373" s="251">
        <f t="shared" si="808"/>
        <v>101.8818418666134</v>
      </c>
      <c r="O3373" s="258">
        <v>6.1482654206182083E-2</v>
      </c>
      <c r="P3373" s="258">
        <f t="shared" si="809"/>
        <v>6.1482654206182083E-2</v>
      </c>
      <c r="Q3373" s="249">
        <v>1626.4749999999999</v>
      </c>
      <c r="R3373" s="249">
        <f t="shared" si="811"/>
        <v>1657.0826875000002</v>
      </c>
      <c r="S3373" s="250">
        <v>0.1</v>
      </c>
      <c r="T3373" s="290">
        <f>Q3373*S3373+Q3373+11</f>
        <v>1800.1224999999999</v>
      </c>
      <c r="U3373" s="315">
        <f t="shared" si="813"/>
        <v>1822.7909562500004</v>
      </c>
      <c r="V3373" s="315">
        <f t="shared" si="812"/>
        <v>1825</v>
      </c>
      <c r="W3373" s="316">
        <f t="shared" si="810"/>
        <v>0</v>
      </c>
    </row>
    <row r="3374" spans="1:23" ht="21" x14ac:dyDescent="0.25">
      <c r="A3374" s="208" t="s">
        <v>15548</v>
      </c>
      <c r="B3374" s="255" t="s">
        <v>15549</v>
      </c>
      <c r="C3374" s="248"/>
      <c r="D3374" s="247" t="s">
        <v>11</v>
      </c>
      <c r="E3374" s="249">
        <f t="shared" si="802"/>
        <v>382.04173849268903</v>
      </c>
      <c r="F3374" s="258">
        <v>0.22348632710650762</v>
      </c>
      <c r="G3374" s="258">
        <f t="shared" si="803"/>
        <v>0.22348632710650762</v>
      </c>
      <c r="H3374" s="249">
        <f t="shared" si="804"/>
        <v>1153.5928579931374</v>
      </c>
      <c r="I3374" s="258">
        <v>0.67482739406003134</v>
      </c>
      <c r="J3374" s="258">
        <f t="shared" si="805"/>
        <v>0.67482739406003134</v>
      </c>
      <c r="K3374" s="249">
        <f t="shared" si="806"/>
        <v>71.951194082789783</v>
      </c>
      <c r="L3374" s="374">
        <v>4.2089924938392274E-2</v>
      </c>
      <c r="M3374" s="258">
        <f t="shared" si="807"/>
        <v>4.2089924938392274E-2</v>
      </c>
      <c r="N3374" s="251">
        <f t="shared" si="808"/>
        <v>101.87779693138376</v>
      </c>
      <c r="O3374" s="258">
        <v>5.9596353895068704E-2</v>
      </c>
      <c r="P3374" s="258">
        <f t="shared" si="809"/>
        <v>5.9596353895068704E-2</v>
      </c>
      <c r="Q3374" s="249">
        <v>1677.9549999999999</v>
      </c>
      <c r="R3374" s="249">
        <f t="shared" si="811"/>
        <v>1709.4635875000001</v>
      </c>
      <c r="S3374" s="250">
        <v>0.1</v>
      </c>
      <c r="T3374" s="290">
        <f>Q3374*S3374+Q3374-1</f>
        <v>1844.7504999999999</v>
      </c>
      <c r="U3374" s="315">
        <f t="shared" si="813"/>
        <v>1880.4099462500001</v>
      </c>
      <c r="V3374" s="315">
        <f t="shared" si="812"/>
        <v>1900</v>
      </c>
      <c r="W3374" s="316">
        <f t="shared" si="810"/>
        <v>0</v>
      </c>
    </row>
    <row r="3375" spans="1:23" ht="21.6" thickBot="1" x14ac:dyDescent="0.3">
      <c r="A3375" s="214" t="s">
        <v>15550</v>
      </c>
      <c r="B3375" s="327" t="s">
        <v>15551</v>
      </c>
      <c r="C3375" s="265"/>
      <c r="D3375" s="264" t="s">
        <v>11</v>
      </c>
      <c r="E3375" s="266">
        <f t="shared" si="802"/>
        <v>437.96975522356246</v>
      </c>
      <c r="F3375" s="322">
        <v>0.179744470244975</v>
      </c>
      <c r="G3375" s="322">
        <f t="shared" si="803"/>
        <v>0.179744470244975</v>
      </c>
      <c r="H3375" s="266">
        <f t="shared" si="804"/>
        <v>1824.867189869414</v>
      </c>
      <c r="I3375" s="322">
        <v>0.74893250595142313</v>
      </c>
      <c r="J3375" s="322">
        <f t="shared" si="805"/>
        <v>0.74893250595142313</v>
      </c>
      <c r="K3375" s="266">
        <f t="shared" si="806"/>
        <v>71.933985959683952</v>
      </c>
      <c r="L3375" s="391">
        <v>2.9521984211747346E-2</v>
      </c>
      <c r="M3375" s="322">
        <f t="shared" si="807"/>
        <v>2.9521984211747346E-2</v>
      </c>
      <c r="N3375" s="270">
        <f t="shared" si="808"/>
        <v>101.85343144734011</v>
      </c>
      <c r="O3375" s="322">
        <v>4.1801039591854654E-2</v>
      </c>
      <c r="P3375" s="322">
        <f t="shared" si="809"/>
        <v>4.1801039591854654E-2</v>
      </c>
      <c r="Q3375" s="266">
        <v>2392.2849999999999</v>
      </c>
      <c r="R3375" s="266">
        <f t="shared" si="811"/>
        <v>2436.6243625000002</v>
      </c>
      <c r="S3375" s="267">
        <v>0.1</v>
      </c>
      <c r="T3375" s="299">
        <f>Q3375*S3375+Q3375+18</f>
        <v>2649.5135</v>
      </c>
      <c r="U3375" s="324">
        <f t="shared" si="813"/>
        <v>2680.2867987500003</v>
      </c>
      <c r="V3375" s="324">
        <f t="shared" si="812"/>
        <v>2700</v>
      </c>
      <c r="W3375" s="325">
        <f t="shared" si="810"/>
        <v>0</v>
      </c>
    </row>
    <row r="3376" spans="1:23" ht="21" x14ac:dyDescent="0.25">
      <c r="A3376" s="208" t="s">
        <v>15552</v>
      </c>
      <c r="B3376" s="255" t="s">
        <v>15551</v>
      </c>
      <c r="C3376" s="248"/>
      <c r="D3376" s="247" t="s">
        <v>11</v>
      </c>
      <c r="E3376" s="249">
        <f t="shared" si="802"/>
        <v>437.96975522356246</v>
      </c>
      <c r="F3376" s="258">
        <v>0.179744470244975</v>
      </c>
      <c r="G3376" s="258">
        <f t="shared" si="803"/>
        <v>0.179744470244975</v>
      </c>
      <c r="H3376" s="249">
        <f t="shared" si="804"/>
        <v>1824.867189869414</v>
      </c>
      <c r="I3376" s="258">
        <v>0.74893250595142313</v>
      </c>
      <c r="J3376" s="258">
        <f t="shared" si="805"/>
        <v>0.74893250595142313</v>
      </c>
      <c r="K3376" s="249">
        <f t="shared" si="806"/>
        <v>71.933985959683952</v>
      </c>
      <c r="L3376" s="374">
        <v>2.9521984211747346E-2</v>
      </c>
      <c r="M3376" s="258">
        <f t="shared" si="807"/>
        <v>2.9521984211747346E-2</v>
      </c>
      <c r="N3376" s="251">
        <f t="shared" si="808"/>
        <v>101.85343144734011</v>
      </c>
      <c r="O3376" s="258">
        <v>4.1801039591854654E-2</v>
      </c>
      <c r="P3376" s="258">
        <f t="shared" si="809"/>
        <v>4.1801039591854654E-2</v>
      </c>
      <c r="Q3376" s="249">
        <v>2392.2849999999999</v>
      </c>
      <c r="R3376" s="249">
        <f t="shared" si="811"/>
        <v>2436.6243625000002</v>
      </c>
      <c r="S3376" s="250">
        <v>0.1</v>
      </c>
      <c r="T3376" s="290">
        <f>Q3376*S3376+Q3376</f>
        <v>2631.5135</v>
      </c>
      <c r="U3376" s="315">
        <f t="shared" si="813"/>
        <v>2680.2867987500003</v>
      </c>
      <c r="V3376" s="315">
        <f t="shared" si="812"/>
        <v>2700</v>
      </c>
      <c r="W3376" s="316">
        <f t="shared" si="810"/>
        <v>0</v>
      </c>
    </row>
    <row r="3377" spans="1:23" x14ac:dyDescent="0.25">
      <c r="A3377" s="208" t="s">
        <v>15553</v>
      </c>
      <c r="B3377" s="313" t="s">
        <v>22791</v>
      </c>
      <c r="C3377" s="248"/>
      <c r="D3377" s="247" t="s">
        <v>11</v>
      </c>
      <c r="E3377" s="249">
        <f t="shared" si="802"/>
        <v>86.648949704142026</v>
      </c>
      <c r="F3377" s="258">
        <v>0.28740490278951819</v>
      </c>
      <c r="G3377" s="258">
        <f t="shared" si="803"/>
        <v>0.28740490278951819</v>
      </c>
      <c r="H3377" s="249">
        <f t="shared" si="804"/>
        <v>178.90459615384617</v>
      </c>
      <c r="I3377" s="258">
        <v>0.59340659340659341</v>
      </c>
      <c r="J3377" s="258">
        <f t="shared" si="805"/>
        <v>0.59340659340659341</v>
      </c>
      <c r="K3377" s="249">
        <f t="shared" si="806"/>
        <v>20.64283801775148</v>
      </c>
      <c r="L3377" s="374">
        <v>6.8469991546914619E-2</v>
      </c>
      <c r="M3377" s="258">
        <f t="shared" si="807"/>
        <v>6.8469991546914619E-2</v>
      </c>
      <c r="N3377" s="251">
        <f t="shared" si="808"/>
        <v>15.290991124260358</v>
      </c>
      <c r="O3377" s="258">
        <v>5.0718512256973797E-2</v>
      </c>
      <c r="P3377" s="258">
        <f t="shared" si="809"/>
        <v>5.0718512256973797E-2</v>
      </c>
      <c r="Q3377" s="249">
        <v>295.75</v>
      </c>
      <c r="R3377" s="249">
        <f t="shared" si="811"/>
        <v>301.48737500000004</v>
      </c>
      <c r="S3377" s="250">
        <v>0.1</v>
      </c>
      <c r="T3377" s="290">
        <f>Q3377*S3377+Q3377-5</f>
        <v>320.32499999999999</v>
      </c>
      <c r="U3377" s="315">
        <f t="shared" si="813"/>
        <v>331.63611250000002</v>
      </c>
      <c r="V3377" s="315">
        <f t="shared" si="812"/>
        <v>335</v>
      </c>
      <c r="W3377" s="316">
        <f t="shared" si="810"/>
        <v>0</v>
      </c>
    </row>
    <row r="3378" spans="1:23" x14ac:dyDescent="0.25">
      <c r="A3378" s="208" t="s">
        <v>15554</v>
      </c>
      <c r="B3378" s="313" t="s">
        <v>22792</v>
      </c>
      <c r="C3378" s="248"/>
      <c r="D3378" s="247" t="s">
        <v>11</v>
      </c>
      <c r="E3378" s="249">
        <f t="shared" si="802"/>
        <v>86.63806997351162</v>
      </c>
      <c r="F3378" s="258">
        <v>0.26803733602421798</v>
      </c>
      <c r="G3378" s="258">
        <f t="shared" si="803"/>
        <v>0.26803733602421798</v>
      </c>
      <c r="H3378" s="249">
        <f t="shared" si="804"/>
        <v>200.66396277276741</v>
      </c>
      <c r="I3378" s="258">
        <v>0.62080600403632691</v>
      </c>
      <c r="J3378" s="258">
        <f t="shared" si="805"/>
        <v>0.62080600403632691</v>
      </c>
      <c r="K3378" s="249">
        <f t="shared" si="806"/>
        <v>20.640246081924825</v>
      </c>
      <c r="L3378" s="374">
        <v>6.3855953582240166E-2</v>
      </c>
      <c r="M3378" s="258">
        <f t="shared" si="807"/>
        <v>6.3855953582240166E-2</v>
      </c>
      <c r="N3378" s="251">
        <f t="shared" si="808"/>
        <v>15.289071171796166</v>
      </c>
      <c r="O3378" s="258">
        <v>4.7300706357214936E-2</v>
      </c>
      <c r="P3378" s="258">
        <f t="shared" si="809"/>
        <v>4.7300706357214936E-2</v>
      </c>
      <c r="Q3378" s="249">
        <v>317.12</v>
      </c>
      <c r="R3378" s="249">
        <f t="shared" si="811"/>
        <v>323.23135000000002</v>
      </c>
      <c r="S3378" s="250">
        <v>0.1</v>
      </c>
      <c r="T3378" s="290">
        <f>Q3378*S3378+Q3378+1</f>
        <v>349.83199999999999</v>
      </c>
      <c r="U3378" s="315">
        <f t="shared" si="813"/>
        <v>355.554485</v>
      </c>
      <c r="V3378" s="315">
        <f t="shared" si="812"/>
        <v>360</v>
      </c>
      <c r="W3378" s="316">
        <f t="shared" si="810"/>
        <v>0</v>
      </c>
    </row>
    <row r="3379" spans="1:23" x14ac:dyDescent="0.25">
      <c r="A3379" s="208" t="s">
        <v>15555</v>
      </c>
      <c r="B3379" s="313" t="s">
        <v>22793</v>
      </c>
      <c r="C3379" s="248"/>
      <c r="D3379" s="247" t="s">
        <v>11</v>
      </c>
      <c r="E3379" s="249">
        <f t="shared" si="802"/>
        <v>336.09337806998752</v>
      </c>
      <c r="F3379" s="258">
        <v>0.16443024918656854</v>
      </c>
      <c r="G3379" s="258">
        <f t="shared" si="803"/>
        <v>0.16443024918656854</v>
      </c>
      <c r="H3379" s="249">
        <f t="shared" si="804"/>
        <v>1648.0593409857345</v>
      </c>
      <c r="I3379" s="258">
        <v>0.8062961837233984</v>
      </c>
      <c r="J3379" s="258">
        <f t="shared" si="805"/>
        <v>0.8062961837233984</v>
      </c>
      <c r="K3379" s="249">
        <f t="shared" si="806"/>
        <v>24.1885385732188</v>
      </c>
      <c r="L3379" s="374">
        <v>1.18339952066091E-2</v>
      </c>
      <c r="M3379" s="258">
        <f t="shared" si="807"/>
        <v>1.18339952066091E-2</v>
      </c>
      <c r="N3379" s="251">
        <f t="shared" si="808"/>
        <v>35.646267371059281</v>
      </c>
      <c r="O3379" s="258">
        <v>1.7439571883423936E-2</v>
      </c>
      <c r="P3379" s="258">
        <f t="shared" si="809"/>
        <v>1.7439571883423936E-2</v>
      </c>
      <c r="Q3379" s="249">
        <v>2006.93</v>
      </c>
      <c r="R3379" s="249">
        <f t="shared" si="811"/>
        <v>2043.9875250000002</v>
      </c>
      <c r="S3379" s="250">
        <v>0.1</v>
      </c>
      <c r="T3379" s="290">
        <f>Q3379*S3379+Q3379-8</f>
        <v>2199.623</v>
      </c>
      <c r="U3379" s="315">
        <f t="shared" si="813"/>
        <v>2248.3862775000002</v>
      </c>
      <c r="V3379" s="315">
        <f t="shared" si="812"/>
        <v>2250</v>
      </c>
      <c r="W3379" s="316">
        <f t="shared" si="810"/>
        <v>0</v>
      </c>
    </row>
    <row r="3380" spans="1:23" x14ac:dyDescent="0.25">
      <c r="A3380" s="208" t="s">
        <v>15556</v>
      </c>
      <c r="B3380" s="313" t="s">
        <v>22794</v>
      </c>
      <c r="C3380" s="248"/>
      <c r="D3380" s="247" t="s">
        <v>11</v>
      </c>
      <c r="E3380" s="249">
        <f t="shared" si="802"/>
        <v>117.15431348253583</v>
      </c>
      <c r="F3380" s="258">
        <v>0.21294061734262457</v>
      </c>
      <c r="G3380" s="258">
        <f t="shared" si="803"/>
        <v>0.21294061734262457</v>
      </c>
      <c r="H3380" s="249">
        <f t="shared" si="804"/>
        <v>389.21719138380553</v>
      </c>
      <c r="I3380" s="258">
        <v>0.70744428053846209</v>
      </c>
      <c r="J3380" s="258">
        <f t="shared" si="805"/>
        <v>0.70744428053846209</v>
      </c>
      <c r="K3380" s="249">
        <f t="shared" si="806"/>
        <v>18.333801115716252</v>
      </c>
      <c r="L3380" s="374">
        <v>3.3323663566168976E-2</v>
      </c>
      <c r="M3380" s="258">
        <f t="shared" si="807"/>
        <v>3.3323663566168976E-2</v>
      </c>
      <c r="N3380" s="251">
        <f t="shared" si="808"/>
        <v>25.468329017942569</v>
      </c>
      <c r="O3380" s="258">
        <v>4.6291438552744472E-2</v>
      </c>
      <c r="P3380" s="258">
        <f t="shared" si="809"/>
        <v>4.6291438552744472E-2</v>
      </c>
      <c r="Q3380" s="249">
        <v>540.05666666666662</v>
      </c>
      <c r="R3380" s="249">
        <f t="shared" si="811"/>
        <v>550.1736350000001</v>
      </c>
      <c r="S3380" s="250">
        <v>0.1</v>
      </c>
      <c r="T3380" s="290">
        <f>Q3380*S3380+Q3380-4</f>
        <v>590.0623333333333</v>
      </c>
      <c r="U3380" s="315">
        <f t="shared" si="813"/>
        <v>605.19099850000009</v>
      </c>
      <c r="V3380" s="315">
        <f t="shared" si="812"/>
        <v>610</v>
      </c>
      <c r="W3380" s="316">
        <f t="shared" si="810"/>
        <v>0</v>
      </c>
    </row>
    <row r="3381" spans="1:23" x14ac:dyDescent="0.25">
      <c r="A3381" s="208" t="s">
        <v>15557</v>
      </c>
      <c r="B3381" s="313" t="s">
        <v>22795</v>
      </c>
      <c r="C3381" s="248"/>
      <c r="D3381" s="247" t="s">
        <v>11</v>
      </c>
      <c r="E3381" s="249">
        <f t="shared" si="802"/>
        <v>234.38939590218379</v>
      </c>
      <c r="F3381" s="258">
        <v>0.28117473991336556</v>
      </c>
      <c r="G3381" s="258">
        <f t="shared" si="803"/>
        <v>0.28117473991336556</v>
      </c>
      <c r="H3381" s="249">
        <f t="shared" si="804"/>
        <v>545.21011655507982</v>
      </c>
      <c r="I3381" s="258">
        <v>0.65403689501587214</v>
      </c>
      <c r="J3381" s="258">
        <f t="shared" si="805"/>
        <v>0.65403689501587214</v>
      </c>
      <c r="K3381" s="249">
        <f t="shared" si="806"/>
        <v>18.340120992404206</v>
      </c>
      <c r="L3381" s="374">
        <v>2.2000904649163194E-2</v>
      </c>
      <c r="M3381" s="258">
        <f t="shared" si="807"/>
        <v>2.2000904649163194E-2</v>
      </c>
      <c r="N3381" s="251">
        <f t="shared" si="808"/>
        <v>35.667951550332319</v>
      </c>
      <c r="O3381" s="258">
        <v>4.2787460421599109E-2</v>
      </c>
      <c r="P3381" s="258">
        <f t="shared" si="809"/>
        <v>4.2787460421599109E-2</v>
      </c>
      <c r="Q3381" s="249">
        <v>817.99666666666667</v>
      </c>
      <c r="R3381" s="249">
        <f t="shared" si="811"/>
        <v>833.60758500000009</v>
      </c>
      <c r="S3381" s="250">
        <v>0.1</v>
      </c>
      <c r="T3381" s="290">
        <f>Q3381*S3381+Q3381</f>
        <v>899.79633333333334</v>
      </c>
      <c r="U3381" s="315">
        <f t="shared" si="813"/>
        <v>916.96834350000006</v>
      </c>
      <c r="V3381" s="315">
        <f t="shared" si="812"/>
        <v>920</v>
      </c>
      <c r="W3381" s="316">
        <f t="shared" si="810"/>
        <v>0</v>
      </c>
    </row>
    <row r="3382" spans="1:23" x14ac:dyDescent="0.25">
      <c r="A3382" s="208" t="s">
        <v>15558</v>
      </c>
      <c r="B3382" s="313" t="s">
        <v>22796</v>
      </c>
      <c r="C3382" s="248"/>
      <c r="D3382" s="247" t="s">
        <v>11</v>
      </c>
      <c r="E3382" s="249">
        <f t="shared" si="802"/>
        <v>300.85444490818031</v>
      </c>
      <c r="F3382" s="258">
        <v>0.39398998330550916</v>
      </c>
      <c r="G3382" s="258">
        <f t="shared" si="803"/>
        <v>0.39398998330550916</v>
      </c>
      <c r="H3382" s="249">
        <f t="shared" si="804"/>
        <v>407.93823038397329</v>
      </c>
      <c r="I3382" s="258">
        <v>0.53422370617696158</v>
      </c>
      <c r="J3382" s="258">
        <f t="shared" si="805"/>
        <v>0.53422370617696158</v>
      </c>
      <c r="K3382" s="249">
        <f t="shared" si="806"/>
        <v>24.221332429048413</v>
      </c>
      <c r="L3382" s="374">
        <v>3.1719532554257093E-2</v>
      </c>
      <c r="M3382" s="258">
        <f t="shared" si="807"/>
        <v>3.1719532554257093E-2</v>
      </c>
      <c r="N3382" s="251">
        <f t="shared" si="808"/>
        <v>30.595367278797998</v>
      </c>
      <c r="O3382" s="258">
        <v>4.006677796327212E-2</v>
      </c>
      <c r="P3382" s="258">
        <f t="shared" si="809"/>
        <v>4.006677796327212E-2</v>
      </c>
      <c r="Q3382" s="249">
        <v>748.75</v>
      </c>
      <c r="R3382" s="249">
        <f t="shared" si="811"/>
        <v>763.609375</v>
      </c>
      <c r="S3382" s="250">
        <v>0.1</v>
      </c>
      <c r="T3382" s="290">
        <f>Q3382*S3382+Q3382+6</f>
        <v>829.625</v>
      </c>
      <c r="U3382" s="315">
        <f t="shared" si="813"/>
        <v>839.97031249999998</v>
      </c>
      <c r="V3382" s="315">
        <f t="shared" si="812"/>
        <v>840</v>
      </c>
      <c r="W3382" s="316">
        <f t="shared" si="810"/>
        <v>0</v>
      </c>
    </row>
    <row r="3383" spans="1:23" x14ac:dyDescent="0.25">
      <c r="A3383" s="208" t="s">
        <v>15559</v>
      </c>
      <c r="B3383" s="313" t="s">
        <v>22797</v>
      </c>
      <c r="C3383" s="248"/>
      <c r="D3383" s="247" t="s">
        <v>11</v>
      </c>
      <c r="E3383" s="249">
        <f t="shared" si="802"/>
        <v>348.68505674114994</v>
      </c>
      <c r="F3383" s="258">
        <v>0.34345970374089885</v>
      </c>
      <c r="G3383" s="258">
        <f t="shared" si="803"/>
        <v>0.34345970374089885</v>
      </c>
      <c r="H3383" s="249">
        <f t="shared" si="804"/>
        <v>611.72816972131557</v>
      </c>
      <c r="I3383" s="258">
        <v>0.60256088375596284</v>
      </c>
      <c r="J3383" s="258">
        <f t="shared" si="805"/>
        <v>0.60256088375596284</v>
      </c>
      <c r="K3383" s="249">
        <f t="shared" si="806"/>
        <v>24.214240051468742</v>
      </c>
      <c r="L3383" s="374">
        <v>2.3851368315340196E-2</v>
      </c>
      <c r="M3383" s="258">
        <f t="shared" si="807"/>
        <v>2.3851368315340196E-2</v>
      </c>
      <c r="N3383" s="251">
        <f t="shared" si="808"/>
        <v>30.586408486065778</v>
      </c>
      <c r="O3383" s="258">
        <v>3.0128044187798141E-2</v>
      </c>
      <c r="P3383" s="258">
        <f t="shared" si="809"/>
        <v>3.0128044187798141E-2</v>
      </c>
      <c r="Q3383" s="249">
        <v>995.75</v>
      </c>
      <c r="R3383" s="249">
        <f t="shared" si="811"/>
        <v>1015.213875</v>
      </c>
      <c r="S3383" s="250">
        <v>0.1</v>
      </c>
      <c r="T3383" s="290">
        <f>Q3383*S3383+Q3383-5</f>
        <v>1090.325</v>
      </c>
      <c r="U3383" s="315">
        <f t="shared" si="813"/>
        <v>1116.7352625000001</v>
      </c>
      <c r="V3383" s="315">
        <f t="shared" si="812"/>
        <v>1125</v>
      </c>
      <c r="W3383" s="316">
        <f t="shared" si="810"/>
        <v>0</v>
      </c>
    </row>
    <row r="3384" spans="1:23" x14ac:dyDescent="0.25">
      <c r="A3384" s="208" t="s">
        <v>15560</v>
      </c>
      <c r="B3384" s="313" t="s">
        <v>22798</v>
      </c>
      <c r="C3384" s="248"/>
      <c r="D3384" s="247" t="s">
        <v>11</v>
      </c>
      <c r="E3384" s="249">
        <f t="shared" si="802"/>
        <v>470.16559244187312</v>
      </c>
      <c r="F3384" s="258">
        <v>0.30135799850444461</v>
      </c>
      <c r="G3384" s="258">
        <f t="shared" si="803"/>
        <v>0.30135799850444461</v>
      </c>
      <c r="H3384" s="249">
        <f t="shared" si="804"/>
        <v>1033.3309723997213</v>
      </c>
      <c r="I3384" s="258">
        <v>0.66232527143833986</v>
      </c>
      <c r="J3384" s="258">
        <f t="shared" si="805"/>
        <v>0.66232527143833986</v>
      </c>
      <c r="K3384" s="249">
        <f t="shared" si="806"/>
        <v>10.159882944937955</v>
      </c>
      <c r="L3384" s="374">
        <v>6.5120928424903237E-3</v>
      </c>
      <c r="M3384" s="258">
        <f t="shared" si="807"/>
        <v>6.5120928424903237E-3</v>
      </c>
      <c r="N3384" s="251">
        <f t="shared" si="808"/>
        <v>46.499893757987451</v>
      </c>
      <c r="O3384" s="258">
        <v>2.9804637214725292E-2</v>
      </c>
      <c r="P3384" s="258">
        <f t="shared" si="809"/>
        <v>2.9804637214725292E-2</v>
      </c>
      <c r="Q3384" s="249">
        <v>1530.8033333333333</v>
      </c>
      <c r="R3384" s="249">
        <f t="shared" si="811"/>
        <v>1560.1563415445196</v>
      </c>
      <c r="S3384" s="250">
        <v>0.1</v>
      </c>
      <c r="T3384" s="290">
        <f>Q3384*S3384+Q3384-4</f>
        <v>1679.8836666666666</v>
      </c>
      <c r="U3384" s="315">
        <f t="shared" si="813"/>
        <v>1716.1719756989714</v>
      </c>
      <c r="V3384" s="315">
        <f t="shared" si="812"/>
        <v>1725</v>
      </c>
      <c r="W3384" s="316">
        <f t="shared" si="810"/>
        <v>0</v>
      </c>
    </row>
    <row r="3385" spans="1:23" ht="21" x14ac:dyDescent="0.25">
      <c r="A3385" s="208" t="s">
        <v>15561</v>
      </c>
      <c r="B3385" s="255" t="s">
        <v>15562</v>
      </c>
      <c r="C3385" s="248"/>
      <c r="D3385" s="247" t="s">
        <v>11</v>
      </c>
      <c r="E3385" s="249">
        <f t="shared" si="802"/>
        <v>982.46950021741509</v>
      </c>
      <c r="F3385" s="258">
        <v>8.3922165452766609E-2</v>
      </c>
      <c r="G3385" s="258">
        <f t="shared" si="803"/>
        <v>8.3922165452766609E-2</v>
      </c>
      <c r="H3385" s="249">
        <f t="shared" si="804"/>
        <v>10179.758461449614</v>
      </c>
      <c r="I3385" s="258">
        <v>0.86955103815632129</v>
      </c>
      <c r="J3385" s="258">
        <f t="shared" si="805"/>
        <v>0.86955103815632129</v>
      </c>
      <c r="K3385" s="249">
        <f t="shared" si="806"/>
        <v>341.06454152625287</v>
      </c>
      <c r="L3385" s="374">
        <v>2.9133601478421568E-2</v>
      </c>
      <c r="M3385" s="258">
        <f t="shared" si="807"/>
        <v>2.9133601478421568E-2</v>
      </c>
      <c r="N3385" s="251">
        <f t="shared" si="808"/>
        <v>203.62062180671813</v>
      </c>
      <c r="O3385" s="258">
        <v>1.7393194912490487E-2</v>
      </c>
      <c r="P3385" s="258">
        <f t="shared" si="809"/>
        <v>1.7393194912490487E-2</v>
      </c>
      <c r="Q3385" s="249">
        <v>11498.75</v>
      </c>
      <c r="R3385" s="249">
        <f t="shared" si="811"/>
        <v>11706.913125000001</v>
      </c>
      <c r="S3385" s="250">
        <v>0.1</v>
      </c>
      <c r="T3385" s="290">
        <f>Q3385*S3385+Q3385</f>
        <v>12648.625</v>
      </c>
      <c r="U3385" s="315">
        <f t="shared" si="813"/>
        <v>12877.604437500002</v>
      </c>
      <c r="V3385" s="315">
        <f t="shared" si="812"/>
        <v>13000</v>
      </c>
      <c r="W3385" s="316">
        <f t="shared" si="810"/>
        <v>0</v>
      </c>
    </row>
    <row r="3386" spans="1:23" x14ac:dyDescent="0.25">
      <c r="A3386" s="200" t="s">
        <v>15563</v>
      </c>
      <c r="B3386" s="313" t="s">
        <v>22799</v>
      </c>
      <c r="C3386" s="248"/>
      <c r="D3386" s="247" t="s">
        <v>11</v>
      </c>
      <c r="E3386" s="249">
        <f t="shared" si="802"/>
        <v>0</v>
      </c>
      <c r="F3386" s="314"/>
      <c r="G3386" s="258">
        <f t="shared" si="803"/>
        <v>0</v>
      </c>
      <c r="H3386" s="249">
        <f t="shared" si="804"/>
        <v>34.262454875000003</v>
      </c>
      <c r="I3386" s="258">
        <v>0.5</v>
      </c>
      <c r="J3386" s="258">
        <f t="shared" si="805"/>
        <v>0.5</v>
      </c>
      <c r="K3386" s="249">
        <f t="shared" si="806"/>
        <v>0</v>
      </c>
      <c r="L3386" s="314"/>
      <c r="M3386" s="258">
        <f t="shared" si="807"/>
        <v>0</v>
      </c>
      <c r="N3386" s="251">
        <f t="shared" si="808"/>
        <v>34.262454875000003</v>
      </c>
      <c r="O3386" s="258">
        <v>0.5</v>
      </c>
      <c r="P3386" s="258">
        <f t="shared" si="809"/>
        <v>0.5</v>
      </c>
      <c r="Q3386" s="249">
        <v>67.545500000000004</v>
      </c>
      <c r="R3386" s="249">
        <f t="shared" si="811"/>
        <v>68.524909750000006</v>
      </c>
      <c r="S3386" s="258">
        <v>0.1</v>
      </c>
      <c r="T3386" s="169">
        <f t="shared" ref="T3386:T3408" si="814">Q3386+Q3386*S3386</f>
        <v>74.300049999999999</v>
      </c>
      <c r="U3386" s="315">
        <f t="shared" si="813"/>
        <v>75.377400725000001</v>
      </c>
      <c r="V3386" s="315">
        <f t="shared" si="812"/>
        <v>76</v>
      </c>
      <c r="W3386" s="316">
        <f t="shared" si="810"/>
        <v>0</v>
      </c>
    </row>
    <row r="3387" spans="1:23" x14ac:dyDescent="0.25">
      <c r="A3387" s="200" t="s">
        <v>15564</v>
      </c>
      <c r="B3387" s="313" t="s">
        <v>22800</v>
      </c>
      <c r="C3387" s="248"/>
      <c r="D3387" s="247" t="s">
        <v>11</v>
      </c>
      <c r="E3387" s="249">
        <f t="shared" si="802"/>
        <v>0</v>
      </c>
      <c r="F3387" s="314"/>
      <c r="G3387" s="258">
        <f t="shared" si="803"/>
        <v>0</v>
      </c>
      <c r="H3387" s="249">
        <f t="shared" si="804"/>
        <v>191.60217292500002</v>
      </c>
      <c r="I3387" s="258">
        <v>0.5</v>
      </c>
      <c r="J3387" s="258">
        <f t="shared" si="805"/>
        <v>0.5</v>
      </c>
      <c r="K3387" s="249">
        <f t="shared" si="806"/>
        <v>0</v>
      </c>
      <c r="L3387" s="314"/>
      <c r="M3387" s="258">
        <f t="shared" si="807"/>
        <v>0</v>
      </c>
      <c r="N3387" s="251">
        <f t="shared" si="808"/>
        <v>191.60217292500002</v>
      </c>
      <c r="O3387" s="258">
        <v>0.5</v>
      </c>
      <c r="P3387" s="258">
        <f t="shared" si="809"/>
        <v>0.5</v>
      </c>
      <c r="Q3387" s="249">
        <v>377.72730000000001</v>
      </c>
      <c r="R3387" s="249">
        <f t="shared" si="811"/>
        <v>383.20434585000004</v>
      </c>
      <c r="S3387" s="258">
        <v>0.1</v>
      </c>
      <c r="T3387" s="169">
        <f t="shared" si="814"/>
        <v>415.50003000000004</v>
      </c>
      <c r="U3387" s="315">
        <f t="shared" si="813"/>
        <v>421.52478043500003</v>
      </c>
      <c r="V3387" s="315">
        <f t="shared" si="812"/>
        <v>425</v>
      </c>
      <c r="W3387" s="316">
        <f t="shared" si="810"/>
        <v>0</v>
      </c>
    </row>
    <row r="3388" spans="1:23" ht="21" x14ac:dyDescent="0.25">
      <c r="A3388" s="200" t="s">
        <v>15565</v>
      </c>
      <c r="B3388" s="255" t="s">
        <v>15566</v>
      </c>
      <c r="C3388" s="248"/>
      <c r="D3388" s="247" t="s">
        <v>11</v>
      </c>
      <c r="E3388" s="249">
        <f t="shared" si="802"/>
        <v>0</v>
      </c>
      <c r="F3388" s="314"/>
      <c r="G3388" s="258">
        <f t="shared" si="803"/>
        <v>0</v>
      </c>
      <c r="H3388" s="249">
        <f t="shared" si="804"/>
        <v>79.915489852000022</v>
      </c>
      <c r="I3388" s="258">
        <v>0.55000000000000004</v>
      </c>
      <c r="J3388" s="258">
        <f t="shared" si="805"/>
        <v>0.55000000000000004</v>
      </c>
      <c r="K3388" s="249">
        <f t="shared" si="806"/>
        <v>0</v>
      </c>
      <c r="L3388" s="314"/>
      <c r="M3388" s="258">
        <f t="shared" si="807"/>
        <v>0</v>
      </c>
      <c r="N3388" s="251">
        <f t="shared" si="808"/>
        <v>65.385400788000013</v>
      </c>
      <c r="O3388" s="258">
        <v>0.45</v>
      </c>
      <c r="P3388" s="258">
        <f t="shared" si="809"/>
        <v>0.45</v>
      </c>
      <c r="Q3388" s="249">
        <v>143.18180000000001</v>
      </c>
      <c r="R3388" s="249">
        <f t="shared" si="811"/>
        <v>145.30089064000003</v>
      </c>
      <c r="S3388" s="258">
        <v>0.1</v>
      </c>
      <c r="T3388" s="169">
        <f t="shared" si="814"/>
        <v>157.49998000000002</v>
      </c>
      <c r="U3388" s="315">
        <f t="shared" si="813"/>
        <v>159.83097970400004</v>
      </c>
      <c r="V3388" s="315">
        <f t="shared" si="812"/>
        <v>160</v>
      </c>
      <c r="W3388" s="316">
        <f t="shared" si="810"/>
        <v>0</v>
      </c>
    </row>
    <row r="3389" spans="1:23" ht="21" x14ac:dyDescent="0.25">
      <c r="A3389" s="200" t="s">
        <v>15567</v>
      </c>
      <c r="B3389" s="255" t="s">
        <v>22801</v>
      </c>
      <c r="C3389" s="248"/>
      <c r="D3389" s="247" t="s">
        <v>11</v>
      </c>
      <c r="E3389" s="249">
        <f t="shared" si="802"/>
        <v>0</v>
      </c>
      <c r="F3389" s="314"/>
      <c r="G3389" s="258">
        <f t="shared" si="803"/>
        <v>0</v>
      </c>
      <c r="H3389" s="249">
        <f t="shared" si="804"/>
        <v>338.68951014800007</v>
      </c>
      <c r="I3389" s="258">
        <v>0.55000000000000004</v>
      </c>
      <c r="J3389" s="258">
        <f t="shared" si="805"/>
        <v>0.55000000000000004</v>
      </c>
      <c r="K3389" s="249">
        <f t="shared" si="806"/>
        <v>0</v>
      </c>
      <c r="L3389" s="314"/>
      <c r="M3389" s="258">
        <f t="shared" si="807"/>
        <v>0</v>
      </c>
      <c r="N3389" s="251">
        <f t="shared" si="808"/>
        <v>277.10959921200003</v>
      </c>
      <c r="O3389" s="258">
        <v>0.45</v>
      </c>
      <c r="P3389" s="258">
        <f t="shared" si="809"/>
        <v>0.45</v>
      </c>
      <c r="Q3389" s="249">
        <v>606.81820000000005</v>
      </c>
      <c r="R3389" s="249">
        <f t="shared" si="811"/>
        <v>615.7991093600001</v>
      </c>
      <c r="S3389" s="258">
        <v>0.1</v>
      </c>
      <c r="T3389" s="169">
        <f t="shared" si="814"/>
        <v>667.50002000000006</v>
      </c>
      <c r="U3389" s="315">
        <f t="shared" si="813"/>
        <v>677.37902029600014</v>
      </c>
      <c r="V3389" s="315">
        <f t="shared" si="812"/>
        <v>680</v>
      </c>
      <c r="W3389" s="316">
        <f t="shared" si="810"/>
        <v>0</v>
      </c>
    </row>
    <row r="3390" spans="1:23" ht="21" x14ac:dyDescent="0.25">
      <c r="A3390" s="200" t="s">
        <v>15568</v>
      </c>
      <c r="B3390" s="255" t="s">
        <v>22802</v>
      </c>
      <c r="C3390" s="248"/>
      <c r="D3390" s="247" t="s">
        <v>11</v>
      </c>
      <c r="E3390" s="249">
        <f t="shared" si="802"/>
        <v>0</v>
      </c>
      <c r="F3390" s="314"/>
      <c r="G3390" s="258">
        <f t="shared" si="803"/>
        <v>0</v>
      </c>
      <c r="H3390" s="249">
        <f t="shared" si="804"/>
        <v>241.26868477800005</v>
      </c>
      <c r="I3390" s="258">
        <v>0.55000000000000004</v>
      </c>
      <c r="J3390" s="258">
        <f t="shared" si="805"/>
        <v>0.55000000000000004</v>
      </c>
      <c r="K3390" s="249">
        <f t="shared" si="806"/>
        <v>0</v>
      </c>
      <c r="L3390" s="314"/>
      <c r="M3390" s="258">
        <f t="shared" si="807"/>
        <v>0</v>
      </c>
      <c r="N3390" s="251">
        <f t="shared" si="808"/>
        <v>197.40165118200002</v>
      </c>
      <c r="O3390" s="258">
        <v>0.45</v>
      </c>
      <c r="P3390" s="258">
        <f t="shared" si="809"/>
        <v>0.45</v>
      </c>
      <c r="Q3390" s="249">
        <v>432.27269999999999</v>
      </c>
      <c r="R3390" s="249">
        <f t="shared" si="811"/>
        <v>438.67033596000005</v>
      </c>
      <c r="S3390" s="258">
        <v>0.1</v>
      </c>
      <c r="T3390" s="169">
        <f t="shared" si="814"/>
        <v>475.49996999999996</v>
      </c>
      <c r="U3390" s="315">
        <f t="shared" si="813"/>
        <v>482.53736955600004</v>
      </c>
      <c r="V3390" s="315">
        <f t="shared" si="812"/>
        <v>485</v>
      </c>
      <c r="W3390" s="316">
        <f t="shared" si="810"/>
        <v>0</v>
      </c>
    </row>
    <row r="3391" spans="1:23" x14ac:dyDescent="0.25">
      <c r="A3391" s="200" t="s">
        <v>15569</v>
      </c>
      <c r="B3391" s="313" t="s">
        <v>22803</v>
      </c>
      <c r="C3391" s="248"/>
      <c r="D3391" s="247" t="s">
        <v>11</v>
      </c>
      <c r="E3391" s="249">
        <f t="shared" si="802"/>
        <v>0</v>
      </c>
      <c r="F3391" s="314"/>
      <c r="G3391" s="258">
        <f t="shared" si="803"/>
        <v>0</v>
      </c>
      <c r="H3391" s="249">
        <f t="shared" si="804"/>
        <v>29.68288985200001</v>
      </c>
      <c r="I3391" s="258">
        <v>0.55000000000000004</v>
      </c>
      <c r="J3391" s="258">
        <f t="shared" si="805"/>
        <v>0.55000000000000004</v>
      </c>
      <c r="K3391" s="249">
        <f t="shared" si="806"/>
        <v>0</v>
      </c>
      <c r="L3391" s="314"/>
      <c r="M3391" s="258">
        <f t="shared" si="807"/>
        <v>0</v>
      </c>
      <c r="N3391" s="251">
        <f t="shared" si="808"/>
        <v>24.286000788000006</v>
      </c>
      <c r="O3391" s="258">
        <v>0.45</v>
      </c>
      <c r="P3391" s="258">
        <f t="shared" si="809"/>
        <v>0.45</v>
      </c>
      <c r="Q3391" s="249">
        <v>53.181800000000003</v>
      </c>
      <c r="R3391" s="249">
        <f t="shared" si="811"/>
        <v>53.968890640000012</v>
      </c>
      <c r="S3391" s="258">
        <v>0.1</v>
      </c>
      <c r="T3391" s="169">
        <f t="shared" si="814"/>
        <v>58.499980000000001</v>
      </c>
      <c r="U3391" s="315">
        <f t="shared" si="813"/>
        <v>59.365779704000012</v>
      </c>
      <c r="V3391" s="315">
        <f t="shared" si="812"/>
        <v>60</v>
      </c>
      <c r="W3391" s="316">
        <f t="shared" si="810"/>
        <v>0</v>
      </c>
    </row>
    <row r="3392" spans="1:23" x14ac:dyDescent="0.25">
      <c r="A3392" s="200" t="s">
        <v>15570</v>
      </c>
      <c r="B3392" s="313" t="s">
        <v>22804</v>
      </c>
      <c r="C3392" s="248"/>
      <c r="D3392" s="247" t="s">
        <v>11</v>
      </c>
      <c r="E3392" s="249">
        <f t="shared" si="802"/>
        <v>0</v>
      </c>
      <c r="F3392" s="314"/>
      <c r="G3392" s="258">
        <f t="shared" si="803"/>
        <v>0</v>
      </c>
      <c r="H3392" s="249">
        <f t="shared" si="804"/>
        <v>26.25797537</v>
      </c>
      <c r="I3392" s="258">
        <v>0.55000000000000004</v>
      </c>
      <c r="J3392" s="258">
        <f t="shared" si="805"/>
        <v>0.55000000000000004</v>
      </c>
      <c r="K3392" s="249">
        <f t="shared" si="806"/>
        <v>0</v>
      </c>
      <c r="L3392" s="314"/>
      <c r="M3392" s="258">
        <f t="shared" si="807"/>
        <v>0</v>
      </c>
      <c r="N3392" s="251">
        <f t="shared" si="808"/>
        <v>21.483798029999999</v>
      </c>
      <c r="O3392" s="258">
        <v>0.45</v>
      </c>
      <c r="P3392" s="258">
        <f t="shared" si="809"/>
        <v>0.45</v>
      </c>
      <c r="Q3392" s="249">
        <v>47.045499999999997</v>
      </c>
      <c r="R3392" s="249">
        <f t="shared" si="811"/>
        <v>47.7417734</v>
      </c>
      <c r="S3392" s="258">
        <v>0.1</v>
      </c>
      <c r="T3392" s="169">
        <f t="shared" si="814"/>
        <v>51.750049999999995</v>
      </c>
      <c r="U3392" s="315">
        <f t="shared" si="813"/>
        <v>52.515950740000001</v>
      </c>
      <c r="V3392" s="315">
        <f t="shared" si="812"/>
        <v>53</v>
      </c>
      <c r="W3392" s="316">
        <f t="shared" si="810"/>
        <v>0</v>
      </c>
    </row>
    <row r="3393" spans="1:23" x14ac:dyDescent="0.25">
      <c r="A3393" s="200" t="s">
        <v>15571</v>
      </c>
      <c r="B3393" s="313" t="s">
        <v>22805</v>
      </c>
      <c r="C3393" s="248"/>
      <c r="D3393" s="247" t="s">
        <v>11</v>
      </c>
      <c r="E3393" s="249">
        <f t="shared" si="802"/>
        <v>0</v>
      </c>
      <c r="F3393" s="314"/>
      <c r="G3393" s="258">
        <f t="shared" si="803"/>
        <v>0</v>
      </c>
      <c r="H3393" s="249">
        <f t="shared" si="804"/>
        <v>1983.0300754550003</v>
      </c>
      <c r="I3393" s="258">
        <v>0.65</v>
      </c>
      <c r="J3393" s="258">
        <f t="shared" si="805"/>
        <v>0.65</v>
      </c>
      <c r="K3393" s="249">
        <f t="shared" si="806"/>
        <v>0</v>
      </c>
      <c r="L3393" s="314"/>
      <c r="M3393" s="258">
        <f t="shared" si="807"/>
        <v>0</v>
      </c>
      <c r="N3393" s="251">
        <f t="shared" si="808"/>
        <v>1067.7854252450002</v>
      </c>
      <c r="O3393" s="258">
        <v>0.35</v>
      </c>
      <c r="P3393" s="258">
        <f t="shared" si="809"/>
        <v>0.35</v>
      </c>
      <c r="Q3393" s="249">
        <v>3004.5455000000002</v>
      </c>
      <c r="R3393" s="249">
        <f t="shared" si="811"/>
        <v>3050.8155007000005</v>
      </c>
      <c r="S3393" s="258">
        <v>0.1</v>
      </c>
      <c r="T3393" s="169">
        <f t="shared" si="814"/>
        <v>3305.0000500000001</v>
      </c>
      <c r="U3393" s="315">
        <f t="shared" si="813"/>
        <v>3355.8970507700005</v>
      </c>
      <c r="V3393" s="315">
        <f t="shared" si="812"/>
        <v>3375</v>
      </c>
      <c r="W3393" s="316">
        <f t="shared" si="810"/>
        <v>0</v>
      </c>
    </row>
    <row r="3394" spans="1:23" x14ac:dyDescent="0.25">
      <c r="A3394" s="200" t="s">
        <v>15572</v>
      </c>
      <c r="B3394" s="313" t="s">
        <v>22806</v>
      </c>
      <c r="C3394" s="248"/>
      <c r="D3394" s="247" t="s">
        <v>11</v>
      </c>
      <c r="E3394" s="249">
        <f t="shared" si="802"/>
        <v>0</v>
      </c>
      <c r="F3394" s="314"/>
      <c r="G3394" s="258">
        <f t="shared" si="803"/>
        <v>0</v>
      </c>
      <c r="H3394" s="249">
        <f t="shared" si="804"/>
        <v>2289.4636710000004</v>
      </c>
      <c r="I3394" s="258">
        <v>0.75</v>
      </c>
      <c r="J3394" s="258">
        <f t="shared" si="805"/>
        <v>0.75</v>
      </c>
      <c r="K3394" s="249">
        <f t="shared" si="806"/>
        <v>0</v>
      </c>
      <c r="L3394" s="314"/>
      <c r="M3394" s="258">
        <f t="shared" si="807"/>
        <v>0</v>
      </c>
      <c r="N3394" s="251">
        <f t="shared" si="808"/>
        <v>763.15455700000007</v>
      </c>
      <c r="O3394" s="258">
        <v>0.25</v>
      </c>
      <c r="P3394" s="258">
        <f t="shared" si="809"/>
        <v>0.25</v>
      </c>
      <c r="Q3394" s="249">
        <v>3004.5455000000002</v>
      </c>
      <c r="R3394" s="249">
        <f t="shared" si="811"/>
        <v>3052.6182280000003</v>
      </c>
      <c r="S3394" s="258">
        <v>0.1</v>
      </c>
      <c r="T3394" s="169">
        <f t="shared" si="814"/>
        <v>3305.0000500000001</v>
      </c>
      <c r="U3394" s="315">
        <f t="shared" si="813"/>
        <v>3357.8800508000004</v>
      </c>
      <c r="V3394" s="315">
        <f t="shared" si="812"/>
        <v>3375</v>
      </c>
      <c r="W3394" s="316">
        <f t="shared" si="810"/>
        <v>0</v>
      </c>
    </row>
    <row r="3395" spans="1:23" ht="21" x14ac:dyDescent="0.25">
      <c r="A3395" s="200" t="s">
        <v>15573</v>
      </c>
      <c r="B3395" s="255" t="s">
        <v>22807</v>
      </c>
      <c r="C3395" s="248"/>
      <c r="D3395" s="247" t="s">
        <v>11</v>
      </c>
      <c r="E3395" s="249">
        <f t="shared" ref="E3395:E3458" si="815">R3395*G3395</f>
        <v>0</v>
      </c>
      <c r="F3395" s="314"/>
      <c r="G3395" s="258">
        <f t="shared" ref="G3395:G3458" si="816">F3395</f>
        <v>0</v>
      </c>
      <c r="H3395" s="249">
        <f t="shared" ref="H3395:H3458" si="817">R3395*J3395</f>
        <v>684.98998477800012</v>
      </c>
      <c r="I3395" s="258">
        <v>0.55000000000000004</v>
      </c>
      <c r="J3395" s="258">
        <f t="shared" ref="J3395:J3458" si="818">I3395</f>
        <v>0.55000000000000004</v>
      </c>
      <c r="K3395" s="249">
        <f t="shared" ref="K3395:K3458" si="819">R3395*M3395</f>
        <v>0</v>
      </c>
      <c r="L3395" s="314"/>
      <c r="M3395" s="258">
        <f t="shared" ref="M3395:M3458" si="820">L3395</f>
        <v>0</v>
      </c>
      <c r="N3395" s="251">
        <f t="shared" ref="N3395:N3458" si="821">P3395*R3395</f>
        <v>560.44635118200006</v>
      </c>
      <c r="O3395" s="258">
        <v>0.45</v>
      </c>
      <c r="P3395" s="258">
        <f t="shared" ref="P3395:P3458" si="822">O3395</f>
        <v>0.45</v>
      </c>
      <c r="Q3395" s="249">
        <v>1227.2727</v>
      </c>
      <c r="R3395" s="249">
        <f t="shared" si="811"/>
        <v>1245.4363359600002</v>
      </c>
      <c r="S3395" s="258">
        <v>0.1</v>
      </c>
      <c r="T3395" s="169">
        <f t="shared" si="814"/>
        <v>1349.9999700000001</v>
      </c>
      <c r="U3395" s="315">
        <f t="shared" si="813"/>
        <v>1369.9799695560002</v>
      </c>
      <c r="V3395" s="315">
        <f t="shared" si="812"/>
        <v>1375</v>
      </c>
      <c r="W3395" s="316">
        <f t="shared" si="810"/>
        <v>0</v>
      </c>
    </row>
    <row r="3396" spans="1:23" ht="21" x14ac:dyDescent="0.25">
      <c r="A3396" s="200" t="s">
        <v>15574</v>
      </c>
      <c r="B3396" s="255" t="s">
        <v>22808</v>
      </c>
      <c r="C3396" s="248"/>
      <c r="D3396" s="247" t="s">
        <v>11</v>
      </c>
      <c r="E3396" s="249">
        <f t="shared" si="815"/>
        <v>0</v>
      </c>
      <c r="F3396" s="314"/>
      <c r="G3396" s="258">
        <f t="shared" si="816"/>
        <v>0</v>
      </c>
      <c r="H3396" s="249">
        <f t="shared" si="817"/>
        <v>1852.0099898520002</v>
      </c>
      <c r="I3396" s="258">
        <v>0.55000000000000004</v>
      </c>
      <c r="J3396" s="258">
        <f t="shared" si="818"/>
        <v>0.55000000000000004</v>
      </c>
      <c r="K3396" s="249">
        <f t="shared" si="819"/>
        <v>0</v>
      </c>
      <c r="L3396" s="314"/>
      <c r="M3396" s="258">
        <f t="shared" si="820"/>
        <v>0</v>
      </c>
      <c r="N3396" s="251">
        <f t="shared" si="821"/>
        <v>1515.2809007880001</v>
      </c>
      <c r="O3396" s="258">
        <v>0.45</v>
      </c>
      <c r="P3396" s="258">
        <f t="shared" si="822"/>
        <v>0.45</v>
      </c>
      <c r="Q3396" s="249">
        <v>3318.1817999999998</v>
      </c>
      <c r="R3396" s="249">
        <f t="shared" si="811"/>
        <v>3367.2908906400003</v>
      </c>
      <c r="S3396" s="258">
        <v>0.1</v>
      </c>
      <c r="T3396" s="169">
        <f t="shared" si="814"/>
        <v>3649.9999799999996</v>
      </c>
      <c r="U3396" s="315">
        <f t="shared" si="813"/>
        <v>3704.0199797040004</v>
      </c>
      <c r="V3396" s="315">
        <f t="shared" si="812"/>
        <v>3725</v>
      </c>
      <c r="W3396" s="316">
        <f t="shared" si="810"/>
        <v>0</v>
      </c>
    </row>
    <row r="3397" spans="1:23" ht="41.4" x14ac:dyDescent="0.25">
      <c r="A3397" s="200" t="s">
        <v>15575</v>
      </c>
      <c r="B3397" s="255" t="s">
        <v>15576</v>
      </c>
      <c r="C3397" s="248"/>
      <c r="D3397" s="247" t="s">
        <v>11</v>
      </c>
      <c r="E3397" s="249">
        <f t="shared" si="815"/>
        <v>0</v>
      </c>
      <c r="F3397" s="314"/>
      <c r="G3397" s="258">
        <f t="shared" si="816"/>
        <v>0</v>
      </c>
      <c r="H3397" s="249">
        <f t="shared" si="817"/>
        <v>57288.090426000002</v>
      </c>
      <c r="I3397" s="258">
        <v>0.95</v>
      </c>
      <c r="J3397" s="258">
        <f t="shared" si="818"/>
        <v>0.95</v>
      </c>
      <c r="K3397" s="249">
        <f t="shared" si="819"/>
        <v>603.03253080000002</v>
      </c>
      <c r="L3397" s="258">
        <v>0.01</v>
      </c>
      <c r="M3397" s="258">
        <f t="shared" si="820"/>
        <v>0.01</v>
      </c>
      <c r="N3397" s="251">
        <f t="shared" si="821"/>
        <v>2412.1301232000001</v>
      </c>
      <c r="O3397" s="258">
        <v>0.04</v>
      </c>
      <c r="P3397" s="258">
        <f t="shared" si="822"/>
        <v>0.04</v>
      </c>
      <c r="Q3397" s="249">
        <v>59276</v>
      </c>
      <c r="R3397" s="249">
        <f t="shared" si="811"/>
        <v>60303.253080000002</v>
      </c>
      <c r="S3397" s="258">
        <v>0.1</v>
      </c>
      <c r="T3397" s="290">
        <f>Q3397+Q3397*S3397+46</f>
        <v>65249.599999999999</v>
      </c>
      <c r="U3397" s="315">
        <f t="shared" si="813"/>
        <v>66333.578388000009</v>
      </c>
      <c r="V3397" s="315">
        <f t="shared" si="812"/>
        <v>66500</v>
      </c>
      <c r="W3397" s="316">
        <f t="shared" si="810"/>
        <v>0</v>
      </c>
    </row>
    <row r="3398" spans="1:23" ht="21" x14ac:dyDescent="0.25">
      <c r="A3398" s="200" t="s">
        <v>15574</v>
      </c>
      <c r="B3398" s="255" t="s">
        <v>22809</v>
      </c>
      <c r="C3398" s="248"/>
      <c r="D3398" s="247" t="s">
        <v>11</v>
      </c>
      <c r="E3398" s="249">
        <f t="shared" si="815"/>
        <v>0</v>
      </c>
      <c r="F3398" s="314"/>
      <c r="G3398" s="258">
        <f t="shared" si="816"/>
        <v>0</v>
      </c>
      <c r="H3398" s="249">
        <f t="shared" si="817"/>
        <v>111094.97932500001</v>
      </c>
      <c r="I3398" s="258">
        <v>0.95</v>
      </c>
      <c r="J3398" s="258">
        <f t="shared" si="818"/>
        <v>0.95</v>
      </c>
      <c r="K3398" s="249">
        <f t="shared" si="819"/>
        <v>1169.4208350000001</v>
      </c>
      <c r="L3398" s="258">
        <v>0.01</v>
      </c>
      <c r="M3398" s="258">
        <f t="shared" si="820"/>
        <v>0.01</v>
      </c>
      <c r="N3398" s="251">
        <f t="shared" si="821"/>
        <v>4677.6833400000005</v>
      </c>
      <c r="O3398" s="258">
        <v>0.04</v>
      </c>
      <c r="P3398" s="258">
        <f t="shared" si="822"/>
        <v>0.04</v>
      </c>
      <c r="Q3398" s="249">
        <v>114950</v>
      </c>
      <c r="R3398" s="249">
        <f t="shared" si="811"/>
        <v>116942.08350000001</v>
      </c>
      <c r="S3398" s="258">
        <v>0.1</v>
      </c>
      <c r="T3398" s="290">
        <f>Q3398+Q3398*S3398+55</f>
        <v>126500</v>
      </c>
      <c r="U3398" s="315">
        <f t="shared" si="813"/>
        <v>128636.29185000001</v>
      </c>
      <c r="V3398" s="315">
        <f t="shared" si="812"/>
        <v>129000</v>
      </c>
      <c r="W3398" s="316">
        <f t="shared" ref="W3398:W3461" si="823">C3398*V3398</f>
        <v>0</v>
      </c>
    </row>
    <row r="3399" spans="1:23" ht="21" x14ac:dyDescent="0.25">
      <c r="A3399" s="200" t="s">
        <v>15577</v>
      </c>
      <c r="B3399" s="255" t="s">
        <v>22810</v>
      </c>
      <c r="C3399" s="248"/>
      <c r="D3399" s="247" t="s">
        <v>11</v>
      </c>
      <c r="E3399" s="249">
        <f t="shared" si="815"/>
        <v>0</v>
      </c>
      <c r="F3399" s="314"/>
      <c r="G3399" s="258">
        <f t="shared" si="816"/>
        <v>0</v>
      </c>
      <c r="H3399" s="249">
        <f t="shared" si="817"/>
        <v>1202.5380253700005</v>
      </c>
      <c r="I3399" s="258">
        <v>0.55000000000000004</v>
      </c>
      <c r="J3399" s="258">
        <f t="shared" si="818"/>
        <v>0.55000000000000004</v>
      </c>
      <c r="K3399" s="249">
        <f t="shared" si="819"/>
        <v>0</v>
      </c>
      <c r="L3399" s="314"/>
      <c r="M3399" s="258">
        <f t="shared" si="820"/>
        <v>0</v>
      </c>
      <c r="N3399" s="251">
        <f t="shared" si="821"/>
        <v>983.89474803000041</v>
      </c>
      <c r="O3399" s="258">
        <v>0.45</v>
      </c>
      <c r="P3399" s="258">
        <f t="shared" si="822"/>
        <v>0.45</v>
      </c>
      <c r="Q3399" s="249">
        <v>2154.5455000000002</v>
      </c>
      <c r="R3399" s="249">
        <f t="shared" si="811"/>
        <v>2186.4327734000008</v>
      </c>
      <c r="S3399" s="258">
        <v>0.1</v>
      </c>
      <c r="T3399" s="290">
        <f t="shared" si="814"/>
        <v>2370.0000500000001</v>
      </c>
      <c r="U3399" s="315">
        <f t="shared" si="813"/>
        <v>2405.0760507400009</v>
      </c>
      <c r="V3399" s="315">
        <f t="shared" si="812"/>
        <v>2425</v>
      </c>
      <c r="W3399" s="316">
        <f t="shared" si="823"/>
        <v>0</v>
      </c>
    </row>
    <row r="3400" spans="1:23" ht="21" x14ac:dyDescent="0.25">
      <c r="A3400" s="200" t="s">
        <v>15578</v>
      </c>
      <c r="B3400" s="255" t="s">
        <v>15579</v>
      </c>
      <c r="C3400" s="248"/>
      <c r="D3400" s="247" t="s">
        <v>11</v>
      </c>
      <c r="E3400" s="249">
        <f t="shared" si="815"/>
        <v>0</v>
      </c>
      <c r="F3400" s="314"/>
      <c r="G3400" s="258">
        <f t="shared" si="816"/>
        <v>0</v>
      </c>
      <c r="H3400" s="249">
        <f t="shared" si="817"/>
        <v>301.46490139999997</v>
      </c>
      <c r="I3400" s="258">
        <v>0.59</v>
      </c>
      <c r="J3400" s="258">
        <f t="shared" si="818"/>
        <v>0.59</v>
      </c>
      <c r="K3400" s="249">
        <f t="shared" si="819"/>
        <v>30.657447599999998</v>
      </c>
      <c r="L3400" s="314">
        <v>0.06</v>
      </c>
      <c r="M3400" s="258">
        <f t="shared" si="820"/>
        <v>0.06</v>
      </c>
      <c r="N3400" s="251">
        <f t="shared" si="821"/>
        <v>178.83511099999998</v>
      </c>
      <c r="O3400" s="258">
        <v>0.35</v>
      </c>
      <c r="P3400" s="258">
        <f t="shared" si="822"/>
        <v>0.35</v>
      </c>
      <c r="Q3400" s="249">
        <v>503</v>
      </c>
      <c r="R3400" s="249">
        <f t="shared" si="811"/>
        <v>510.95745999999997</v>
      </c>
      <c r="S3400" s="258">
        <v>0.1</v>
      </c>
      <c r="T3400" s="290">
        <f>Q3400+Q3400*S3400+2</f>
        <v>555.29999999999995</v>
      </c>
      <c r="U3400" s="315">
        <f t="shared" si="813"/>
        <v>562.05320599999993</v>
      </c>
      <c r="V3400" s="315">
        <f t="shared" si="812"/>
        <v>565</v>
      </c>
      <c r="W3400" s="316">
        <f t="shared" si="823"/>
        <v>0</v>
      </c>
    </row>
    <row r="3401" spans="1:23" ht="21" x14ac:dyDescent="0.25">
      <c r="A3401" s="200" t="s">
        <v>15580</v>
      </c>
      <c r="B3401" s="255" t="s">
        <v>22811</v>
      </c>
      <c r="C3401" s="248"/>
      <c r="D3401" s="247" t="s">
        <v>11</v>
      </c>
      <c r="E3401" s="249">
        <f t="shared" si="815"/>
        <v>0</v>
      </c>
      <c r="F3401" s="314"/>
      <c r="G3401" s="258">
        <f t="shared" si="816"/>
        <v>0</v>
      </c>
      <c r="H3401" s="249">
        <f t="shared" si="817"/>
        <v>330.23292379999998</v>
      </c>
      <c r="I3401" s="258">
        <v>0.59</v>
      </c>
      <c r="J3401" s="258">
        <f t="shared" si="818"/>
        <v>0.59</v>
      </c>
      <c r="K3401" s="249">
        <f t="shared" si="819"/>
        <v>33.583009199999999</v>
      </c>
      <c r="L3401" s="314">
        <v>0.06</v>
      </c>
      <c r="M3401" s="258">
        <f t="shared" si="820"/>
        <v>0.06</v>
      </c>
      <c r="N3401" s="251">
        <f t="shared" si="821"/>
        <v>195.90088699999998</v>
      </c>
      <c r="O3401" s="258">
        <v>0.35</v>
      </c>
      <c r="P3401" s="258">
        <f t="shared" si="822"/>
        <v>0.35</v>
      </c>
      <c r="Q3401" s="249">
        <v>551</v>
      </c>
      <c r="R3401" s="249">
        <f t="shared" si="811"/>
        <v>559.71681999999998</v>
      </c>
      <c r="S3401" s="258">
        <v>0.1</v>
      </c>
      <c r="T3401" s="290">
        <f>Q3401+Q3401*S3401+4</f>
        <v>610.1</v>
      </c>
      <c r="U3401" s="315">
        <f t="shared" si="813"/>
        <v>615.68850199999997</v>
      </c>
      <c r="V3401" s="315">
        <f t="shared" si="812"/>
        <v>620</v>
      </c>
      <c r="W3401" s="316">
        <f t="shared" si="823"/>
        <v>0</v>
      </c>
    </row>
    <row r="3402" spans="1:23" ht="21" x14ac:dyDescent="0.25">
      <c r="A3402" s="200" t="s">
        <v>15581</v>
      </c>
      <c r="B3402" s="255" t="s">
        <v>22812</v>
      </c>
      <c r="C3402" s="248"/>
      <c r="D3402" s="247" t="s">
        <v>11</v>
      </c>
      <c r="E3402" s="249">
        <f t="shared" si="815"/>
        <v>0</v>
      </c>
      <c r="F3402" s="314"/>
      <c r="G3402" s="258">
        <f t="shared" si="816"/>
        <v>0</v>
      </c>
      <c r="H3402" s="249">
        <f t="shared" si="817"/>
        <v>408.14631779999996</v>
      </c>
      <c r="I3402" s="258">
        <v>0.59</v>
      </c>
      <c r="J3402" s="258">
        <f t="shared" si="818"/>
        <v>0.59</v>
      </c>
      <c r="K3402" s="249">
        <f t="shared" si="819"/>
        <v>41.506405199999996</v>
      </c>
      <c r="L3402" s="314">
        <v>0.06</v>
      </c>
      <c r="M3402" s="258">
        <f t="shared" si="820"/>
        <v>0.06</v>
      </c>
      <c r="N3402" s="251">
        <f t="shared" si="821"/>
        <v>242.12069699999998</v>
      </c>
      <c r="O3402" s="258">
        <v>0.35</v>
      </c>
      <c r="P3402" s="258">
        <f t="shared" si="822"/>
        <v>0.35</v>
      </c>
      <c r="Q3402" s="249">
        <v>681</v>
      </c>
      <c r="R3402" s="249">
        <f t="shared" si="811"/>
        <v>691.77341999999999</v>
      </c>
      <c r="S3402" s="258">
        <v>0.1</v>
      </c>
      <c r="T3402" s="290">
        <f>Q3402+Q3402*S3402+1</f>
        <v>750.1</v>
      </c>
      <c r="U3402" s="315">
        <f t="shared" si="813"/>
        <v>760.95076199999994</v>
      </c>
      <c r="V3402" s="315">
        <f t="shared" si="812"/>
        <v>765</v>
      </c>
      <c r="W3402" s="316">
        <f t="shared" si="823"/>
        <v>0</v>
      </c>
    </row>
    <row r="3403" spans="1:23" ht="21" x14ac:dyDescent="0.25">
      <c r="A3403" s="200" t="s">
        <v>15581</v>
      </c>
      <c r="B3403" s="255" t="s">
        <v>22813</v>
      </c>
      <c r="C3403" s="248"/>
      <c r="D3403" s="247" t="s">
        <v>11</v>
      </c>
      <c r="E3403" s="249">
        <f t="shared" si="815"/>
        <v>0</v>
      </c>
      <c r="F3403" s="314"/>
      <c r="G3403" s="258">
        <f t="shared" si="816"/>
        <v>0</v>
      </c>
      <c r="H3403" s="249">
        <f t="shared" si="817"/>
        <v>418.93432619999999</v>
      </c>
      <c r="I3403" s="258">
        <v>0.59</v>
      </c>
      <c r="J3403" s="258">
        <f t="shared" si="818"/>
        <v>0.59</v>
      </c>
      <c r="K3403" s="249">
        <f t="shared" si="819"/>
        <v>42.603490799999996</v>
      </c>
      <c r="L3403" s="314">
        <v>0.06</v>
      </c>
      <c r="M3403" s="258">
        <f t="shared" si="820"/>
        <v>0.06</v>
      </c>
      <c r="N3403" s="251">
        <f t="shared" si="821"/>
        <v>248.52036299999997</v>
      </c>
      <c r="O3403" s="258">
        <v>0.35</v>
      </c>
      <c r="P3403" s="258">
        <f t="shared" si="822"/>
        <v>0.35</v>
      </c>
      <c r="Q3403" s="249">
        <v>699</v>
      </c>
      <c r="R3403" s="249">
        <f t="shared" si="811"/>
        <v>710.05817999999999</v>
      </c>
      <c r="S3403" s="258">
        <v>0.1</v>
      </c>
      <c r="T3403" s="290">
        <f>Q3403+Q3403*S3403+1</f>
        <v>769.9</v>
      </c>
      <c r="U3403" s="315">
        <f t="shared" si="813"/>
        <v>781.06399799999997</v>
      </c>
      <c r="V3403" s="315">
        <f t="shared" si="812"/>
        <v>785</v>
      </c>
      <c r="W3403" s="316">
        <f t="shared" si="823"/>
        <v>0</v>
      </c>
    </row>
    <row r="3404" spans="1:23" x14ac:dyDescent="0.25">
      <c r="A3404" s="200" t="s">
        <v>15582</v>
      </c>
      <c r="B3404" s="313" t="s">
        <v>15583</v>
      </c>
      <c r="C3404" s="248"/>
      <c r="D3404" s="247" t="s">
        <v>11</v>
      </c>
      <c r="E3404" s="249">
        <f t="shared" si="815"/>
        <v>0</v>
      </c>
      <c r="F3404" s="314"/>
      <c r="G3404" s="258">
        <f t="shared" si="816"/>
        <v>0</v>
      </c>
      <c r="H3404" s="249">
        <f t="shared" si="817"/>
        <v>2235.03510955</v>
      </c>
      <c r="I3404" s="258">
        <v>0.63500000000000001</v>
      </c>
      <c r="J3404" s="258">
        <f t="shared" si="818"/>
        <v>0.63500000000000001</v>
      </c>
      <c r="K3404" s="249">
        <f t="shared" si="819"/>
        <v>52.796104949999993</v>
      </c>
      <c r="L3404" s="314">
        <v>1.4999999999999999E-2</v>
      </c>
      <c r="M3404" s="258">
        <f t="shared" si="820"/>
        <v>1.4999999999999999E-2</v>
      </c>
      <c r="N3404" s="251">
        <f t="shared" si="821"/>
        <v>1231.9091154999999</v>
      </c>
      <c r="O3404" s="258">
        <v>0.35</v>
      </c>
      <c r="P3404" s="258">
        <f t="shared" si="822"/>
        <v>0.35</v>
      </c>
      <c r="Q3404" s="249">
        <v>3466</v>
      </c>
      <c r="R3404" s="249">
        <f t="shared" si="811"/>
        <v>3519.7403299999996</v>
      </c>
      <c r="S3404" s="258">
        <v>0.1</v>
      </c>
      <c r="T3404" s="290">
        <f>Q3404+Q3404*S3404+7</f>
        <v>3819.6</v>
      </c>
      <c r="U3404" s="315">
        <f t="shared" si="813"/>
        <v>3871.7143629999996</v>
      </c>
      <c r="V3404" s="315">
        <f t="shared" si="812"/>
        <v>3875</v>
      </c>
      <c r="W3404" s="316">
        <f t="shared" si="823"/>
        <v>0</v>
      </c>
    </row>
    <row r="3405" spans="1:23" x14ac:dyDescent="0.25">
      <c r="A3405" s="200" t="s">
        <v>15584</v>
      </c>
      <c r="B3405" s="313" t="s">
        <v>15585</v>
      </c>
      <c r="C3405" s="248"/>
      <c r="D3405" s="247" t="s">
        <v>11</v>
      </c>
      <c r="E3405" s="249">
        <f t="shared" si="815"/>
        <v>0</v>
      </c>
      <c r="F3405" s="314"/>
      <c r="G3405" s="258">
        <f t="shared" si="816"/>
        <v>0</v>
      </c>
      <c r="H3405" s="249">
        <f t="shared" si="817"/>
        <v>320.76486000000006</v>
      </c>
      <c r="I3405" s="258">
        <v>0.65</v>
      </c>
      <c r="J3405" s="258">
        <f t="shared" si="818"/>
        <v>0.65</v>
      </c>
      <c r="K3405" s="249">
        <f t="shared" si="819"/>
        <v>0</v>
      </c>
      <c r="L3405" s="314"/>
      <c r="M3405" s="258">
        <f t="shared" si="820"/>
        <v>0</v>
      </c>
      <c r="N3405" s="251">
        <f t="shared" si="821"/>
        <v>172.71953999999999</v>
      </c>
      <c r="O3405" s="258">
        <v>0.35</v>
      </c>
      <c r="P3405" s="258">
        <f t="shared" si="822"/>
        <v>0.35</v>
      </c>
      <c r="Q3405" s="249">
        <v>486</v>
      </c>
      <c r="R3405" s="249">
        <f t="shared" si="811"/>
        <v>493.48440000000005</v>
      </c>
      <c r="S3405" s="258">
        <v>0.1</v>
      </c>
      <c r="T3405" s="290">
        <f>Q3405+Q3405*S3405+5</f>
        <v>539.6</v>
      </c>
      <c r="U3405" s="315">
        <f t="shared" si="813"/>
        <v>542.83284000000003</v>
      </c>
      <c r="V3405" s="315">
        <f t="shared" si="812"/>
        <v>545</v>
      </c>
      <c r="W3405" s="316">
        <f t="shared" si="823"/>
        <v>0</v>
      </c>
    </row>
    <row r="3406" spans="1:23" x14ac:dyDescent="0.25">
      <c r="A3406" s="200" t="s">
        <v>15586</v>
      </c>
      <c r="B3406" s="313" t="s">
        <v>15587</v>
      </c>
      <c r="C3406" s="248"/>
      <c r="D3406" s="247" t="s">
        <v>11</v>
      </c>
      <c r="E3406" s="249">
        <f t="shared" si="815"/>
        <v>0</v>
      </c>
      <c r="F3406" s="314"/>
      <c r="G3406" s="258">
        <f t="shared" si="816"/>
        <v>0</v>
      </c>
      <c r="H3406" s="249">
        <f t="shared" si="817"/>
        <v>427.02647000000007</v>
      </c>
      <c r="I3406" s="258">
        <v>0.65</v>
      </c>
      <c r="J3406" s="258">
        <f t="shared" si="818"/>
        <v>0.65</v>
      </c>
      <c r="K3406" s="249">
        <f t="shared" si="819"/>
        <v>0</v>
      </c>
      <c r="L3406" s="314"/>
      <c r="M3406" s="258">
        <f t="shared" si="820"/>
        <v>0</v>
      </c>
      <c r="N3406" s="251">
        <f t="shared" si="821"/>
        <v>229.93733000000003</v>
      </c>
      <c r="O3406" s="258">
        <v>0.35</v>
      </c>
      <c r="P3406" s="258">
        <f t="shared" si="822"/>
        <v>0.35</v>
      </c>
      <c r="Q3406" s="249">
        <v>647</v>
      </c>
      <c r="R3406" s="249">
        <f t="shared" si="811"/>
        <v>656.96380000000011</v>
      </c>
      <c r="S3406" s="258">
        <v>0.1</v>
      </c>
      <c r="T3406" s="290">
        <f>Q3406+Q3406*S3406+8</f>
        <v>719.7</v>
      </c>
      <c r="U3406" s="315">
        <f t="shared" si="813"/>
        <v>722.66018000000008</v>
      </c>
      <c r="V3406" s="315">
        <f t="shared" si="812"/>
        <v>725</v>
      </c>
      <c r="W3406" s="316">
        <f t="shared" si="823"/>
        <v>0</v>
      </c>
    </row>
    <row r="3407" spans="1:23" ht="21" x14ac:dyDescent="0.25">
      <c r="A3407" s="200" t="s">
        <v>15588</v>
      </c>
      <c r="B3407" s="255" t="s">
        <v>22814</v>
      </c>
      <c r="C3407" s="248"/>
      <c r="D3407" s="247" t="s">
        <v>11</v>
      </c>
      <c r="E3407" s="249">
        <f t="shared" si="815"/>
        <v>0</v>
      </c>
      <c r="F3407" s="314"/>
      <c r="G3407" s="258">
        <f t="shared" si="816"/>
        <v>0</v>
      </c>
      <c r="H3407" s="249">
        <f t="shared" si="817"/>
        <v>3995.6509368000011</v>
      </c>
      <c r="I3407" s="258">
        <v>0.75</v>
      </c>
      <c r="J3407" s="258">
        <f t="shared" si="818"/>
        <v>0.75</v>
      </c>
      <c r="K3407" s="249">
        <f t="shared" si="819"/>
        <v>0</v>
      </c>
      <c r="L3407" s="314"/>
      <c r="M3407" s="258">
        <f t="shared" si="820"/>
        <v>0</v>
      </c>
      <c r="N3407" s="251">
        <f t="shared" si="821"/>
        <v>1331.8836456000004</v>
      </c>
      <c r="O3407" s="258">
        <v>0.25</v>
      </c>
      <c r="P3407" s="258">
        <f t="shared" si="822"/>
        <v>0.25</v>
      </c>
      <c r="Q3407" s="249">
        <v>5243.6364000000003</v>
      </c>
      <c r="R3407" s="249">
        <f t="shared" si="811"/>
        <v>5327.5345824000015</v>
      </c>
      <c r="S3407" s="258">
        <v>0.1</v>
      </c>
      <c r="T3407" s="290">
        <f t="shared" si="814"/>
        <v>5768.0000400000008</v>
      </c>
      <c r="U3407" s="315">
        <f t="shared" si="813"/>
        <v>5860.2880406400018</v>
      </c>
      <c r="V3407" s="315">
        <f t="shared" si="812"/>
        <v>5875</v>
      </c>
      <c r="W3407" s="316">
        <f t="shared" si="823"/>
        <v>0</v>
      </c>
    </row>
    <row r="3408" spans="1:23" ht="21" x14ac:dyDescent="0.25">
      <c r="A3408" s="200" t="s">
        <v>15589</v>
      </c>
      <c r="B3408" s="255" t="s">
        <v>22815</v>
      </c>
      <c r="C3408" s="248"/>
      <c r="D3408" s="247" t="s">
        <v>11</v>
      </c>
      <c r="E3408" s="249">
        <f t="shared" si="815"/>
        <v>0</v>
      </c>
      <c r="F3408" s="314"/>
      <c r="G3408" s="258">
        <f t="shared" si="816"/>
        <v>0</v>
      </c>
      <c r="H3408" s="249">
        <f t="shared" si="817"/>
        <v>17699.181797400001</v>
      </c>
      <c r="I3408" s="258">
        <v>0.75</v>
      </c>
      <c r="J3408" s="258">
        <f t="shared" si="818"/>
        <v>0.75</v>
      </c>
      <c r="K3408" s="249">
        <f t="shared" si="819"/>
        <v>0</v>
      </c>
      <c r="L3408" s="314"/>
      <c r="M3408" s="258">
        <f t="shared" si="820"/>
        <v>0</v>
      </c>
      <c r="N3408" s="251">
        <f t="shared" si="821"/>
        <v>5899.7272658000002</v>
      </c>
      <c r="O3408" s="258">
        <v>0.25</v>
      </c>
      <c r="P3408" s="258">
        <f t="shared" si="822"/>
        <v>0.25</v>
      </c>
      <c r="Q3408" s="249">
        <v>23227.272700000001</v>
      </c>
      <c r="R3408" s="249">
        <f t="shared" si="811"/>
        <v>23598.909063200001</v>
      </c>
      <c r="S3408" s="258">
        <v>0.1</v>
      </c>
      <c r="T3408" s="290">
        <f t="shared" si="814"/>
        <v>25549.999970000001</v>
      </c>
      <c r="U3408" s="315">
        <f t="shared" si="813"/>
        <v>25958.799969520001</v>
      </c>
      <c r="V3408" s="315">
        <f t="shared" si="812"/>
        <v>26000</v>
      </c>
      <c r="W3408" s="316">
        <f t="shared" si="823"/>
        <v>0</v>
      </c>
    </row>
    <row r="3409" spans="1:23" x14ac:dyDescent="0.25">
      <c r="A3409" s="200" t="s">
        <v>15590</v>
      </c>
      <c r="B3409" s="313" t="s">
        <v>15591</v>
      </c>
      <c r="C3409" s="248"/>
      <c r="D3409" s="247" t="s">
        <v>11</v>
      </c>
      <c r="E3409" s="249">
        <f t="shared" si="815"/>
        <v>0</v>
      </c>
      <c r="F3409" s="314"/>
      <c r="G3409" s="258">
        <f t="shared" si="816"/>
        <v>0</v>
      </c>
      <c r="H3409" s="249">
        <f t="shared" si="817"/>
        <v>627.00950000000012</v>
      </c>
      <c r="I3409" s="258">
        <v>0.65</v>
      </c>
      <c r="J3409" s="258">
        <f t="shared" si="818"/>
        <v>0.65</v>
      </c>
      <c r="K3409" s="249">
        <f t="shared" si="819"/>
        <v>0</v>
      </c>
      <c r="L3409" s="314"/>
      <c r="M3409" s="258">
        <f t="shared" si="820"/>
        <v>0</v>
      </c>
      <c r="N3409" s="251">
        <f t="shared" si="821"/>
        <v>337.62049999999999</v>
      </c>
      <c r="O3409" s="258">
        <v>0.35</v>
      </c>
      <c r="P3409" s="258">
        <f t="shared" si="822"/>
        <v>0.35</v>
      </c>
      <c r="Q3409" s="249">
        <v>950</v>
      </c>
      <c r="R3409" s="249">
        <f t="shared" si="811"/>
        <v>964.63000000000011</v>
      </c>
      <c r="S3409" s="258">
        <v>0.1</v>
      </c>
      <c r="T3409" s="169">
        <f>Q3409+Q3409*S3409</f>
        <v>1045</v>
      </c>
      <c r="U3409" s="315">
        <f t="shared" si="813"/>
        <v>1061.0930000000001</v>
      </c>
      <c r="V3409" s="315">
        <f t="shared" si="812"/>
        <v>1075</v>
      </c>
      <c r="W3409" s="316">
        <f t="shared" si="823"/>
        <v>0</v>
      </c>
    </row>
    <row r="3410" spans="1:23" x14ac:dyDescent="0.25">
      <c r="A3410" s="200" t="s">
        <v>15592</v>
      </c>
      <c r="B3410" s="313" t="s">
        <v>15593</v>
      </c>
      <c r="C3410" s="248"/>
      <c r="D3410" s="247" t="s">
        <v>11</v>
      </c>
      <c r="E3410" s="249">
        <f t="shared" si="815"/>
        <v>0</v>
      </c>
      <c r="F3410" s="314"/>
      <c r="G3410" s="258">
        <f t="shared" si="816"/>
        <v>0</v>
      </c>
      <c r="H3410" s="249">
        <f t="shared" si="817"/>
        <v>7953.1205</v>
      </c>
      <c r="I3410" s="258">
        <v>0.65</v>
      </c>
      <c r="J3410" s="258">
        <f t="shared" si="818"/>
        <v>0.65</v>
      </c>
      <c r="K3410" s="249">
        <f t="shared" si="819"/>
        <v>0</v>
      </c>
      <c r="L3410" s="314"/>
      <c r="M3410" s="258">
        <f t="shared" si="820"/>
        <v>0</v>
      </c>
      <c r="N3410" s="251">
        <f t="shared" si="821"/>
        <v>4282.4494999999997</v>
      </c>
      <c r="O3410" s="258">
        <v>0.35</v>
      </c>
      <c r="P3410" s="258">
        <f t="shared" si="822"/>
        <v>0.35</v>
      </c>
      <c r="Q3410" s="249">
        <v>12050</v>
      </c>
      <c r="R3410" s="249">
        <f t="shared" si="811"/>
        <v>12235.57</v>
      </c>
      <c r="S3410" s="258">
        <v>0.1</v>
      </c>
      <c r="T3410" s="169">
        <f>Q3410+Q3410*S3410</f>
        <v>13255</v>
      </c>
      <c r="U3410" s="315">
        <f t="shared" si="813"/>
        <v>13459.127</v>
      </c>
      <c r="V3410" s="315">
        <f t="shared" si="812"/>
        <v>13500</v>
      </c>
      <c r="W3410" s="316">
        <f t="shared" si="823"/>
        <v>0</v>
      </c>
    </row>
    <row r="3411" spans="1:23" ht="21.6" thickBot="1" x14ac:dyDescent="0.3">
      <c r="A3411" s="263" t="s">
        <v>15594</v>
      </c>
      <c r="B3411" s="327" t="s">
        <v>22816</v>
      </c>
      <c r="C3411" s="265"/>
      <c r="D3411" s="264" t="s">
        <v>11</v>
      </c>
      <c r="E3411" s="266">
        <f t="shared" si="815"/>
        <v>0</v>
      </c>
      <c r="F3411" s="323"/>
      <c r="G3411" s="322">
        <f t="shared" si="816"/>
        <v>0</v>
      </c>
      <c r="H3411" s="266">
        <f t="shared" si="817"/>
        <v>258.48631640000002</v>
      </c>
      <c r="I3411" s="322">
        <v>0.65</v>
      </c>
      <c r="J3411" s="322">
        <f t="shared" si="818"/>
        <v>0.65</v>
      </c>
      <c r="K3411" s="266">
        <f t="shared" si="819"/>
        <v>0</v>
      </c>
      <c r="L3411" s="323"/>
      <c r="M3411" s="322">
        <f t="shared" si="820"/>
        <v>0</v>
      </c>
      <c r="N3411" s="270">
        <f t="shared" si="821"/>
        <v>139.18493960000001</v>
      </c>
      <c r="O3411" s="322">
        <v>0.35</v>
      </c>
      <c r="P3411" s="322">
        <f t="shared" si="822"/>
        <v>0.35</v>
      </c>
      <c r="Q3411" s="266">
        <v>391.64</v>
      </c>
      <c r="R3411" s="266">
        <f t="shared" si="811"/>
        <v>397.67125600000003</v>
      </c>
      <c r="S3411" s="322">
        <v>0.1</v>
      </c>
      <c r="T3411" s="291">
        <f>Q3411+Q3411*S3411+4.2</f>
        <v>435.00399999999996</v>
      </c>
      <c r="U3411" s="324">
        <f t="shared" si="813"/>
        <v>437.43838160000001</v>
      </c>
      <c r="V3411" s="324">
        <f t="shared" si="812"/>
        <v>440</v>
      </c>
      <c r="W3411" s="325">
        <f t="shared" si="823"/>
        <v>0</v>
      </c>
    </row>
    <row r="3412" spans="1:23" ht="21" x14ac:dyDescent="0.25">
      <c r="A3412" s="200" t="s">
        <v>15595</v>
      </c>
      <c r="B3412" s="255" t="s">
        <v>22817</v>
      </c>
      <c r="C3412" s="248"/>
      <c r="D3412" s="247" t="s">
        <v>11</v>
      </c>
      <c r="E3412" s="249">
        <f t="shared" si="815"/>
        <v>0</v>
      </c>
      <c r="F3412" s="314"/>
      <c r="G3412" s="258">
        <f t="shared" si="816"/>
        <v>0</v>
      </c>
      <c r="H3412" s="249">
        <f t="shared" si="817"/>
        <v>309.92749579999997</v>
      </c>
      <c r="I3412" s="258">
        <v>0.65</v>
      </c>
      <c r="J3412" s="258">
        <f t="shared" si="818"/>
        <v>0.65</v>
      </c>
      <c r="K3412" s="249">
        <f t="shared" si="819"/>
        <v>0</v>
      </c>
      <c r="L3412" s="314"/>
      <c r="M3412" s="258">
        <f t="shared" si="820"/>
        <v>0</v>
      </c>
      <c r="N3412" s="251">
        <f t="shared" si="821"/>
        <v>166.88403619999997</v>
      </c>
      <c r="O3412" s="258">
        <v>0.35</v>
      </c>
      <c r="P3412" s="258">
        <f t="shared" si="822"/>
        <v>0.35</v>
      </c>
      <c r="Q3412" s="249">
        <v>469.58</v>
      </c>
      <c r="R3412" s="249">
        <f t="shared" ref="R3412:R3471" si="824">SUM(F3412*Q3412*1.0235,I3412*Q3412*1.0175,L3412*Q3412*1.0245,O3412*Q3412*1.0115)</f>
        <v>476.81153199999994</v>
      </c>
      <c r="S3412" s="258">
        <v>0.1</v>
      </c>
      <c r="T3412" s="169">
        <f>Q3412+Q3412*S3412+3.46</f>
        <v>519.99800000000005</v>
      </c>
      <c r="U3412" s="315">
        <f t="shared" si="813"/>
        <v>524.49268519999998</v>
      </c>
      <c r="V3412" s="315">
        <f t="shared" si="812"/>
        <v>525</v>
      </c>
      <c r="W3412" s="316">
        <f t="shared" si="823"/>
        <v>0</v>
      </c>
    </row>
    <row r="3413" spans="1:23" ht="21" x14ac:dyDescent="0.25">
      <c r="A3413" s="200" t="s">
        <v>15596</v>
      </c>
      <c r="B3413" s="255" t="s">
        <v>22818</v>
      </c>
      <c r="C3413" s="248"/>
      <c r="D3413" s="247" t="s">
        <v>11</v>
      </c>
      <c r="E3413" s="249">
        <f t="shared" si="815"/>
        <v>0</v>
      </c>
      <c r="F3413" s="314"/>
      <c r="G3413" s="258">
        <f t="shared" si="816"/>
        <v>0</v>
      </c>
      <c r="H3413" s="249">
        <f t="shared" si="817"/>
        <v>471.84114900000009</v>
      </c>
      <c r="I3413" s="258">
        <v>0.65</v>
      </c>
      <c r="J3413" s="258">
        <f t="shared" si="818"/>
        <v>0.65</v>
      </c>
      <c r="K3413" s="249">
        <f t="shared" si="819"/>
        <v>0</v>
      </c>
      <c r="L3413" s="314"/>
      <c r="M3413" s="258">
        <f t="shared" si="820"/>
        <v>0</v>
      </c>
      <c r="N3413" s="251">
        <f t="shared" si="821"/>
        <v>254.06831100000002</v>
      </c>
      <c r="O3413" s="258">
        <v>0.35</v>
      </c>
      <c r="P3413" s="258">
        <f t="shared" si="822"/>
        <v>0.35</v>
      </c>
      <c r="Q3413" s="249">
        <v>714.9</v>
      </c>
      <c r="R3413" s="249">
        <f t="shared" si="824"/>
        <v>725.90946000000008</v>
      </c>
      <c r="S3413" s="258">
        <v>0.1</v>
      </c>
      <c r="T3413" s="169">
        <f>Q3413+Q3413*S3413+3.61</f>
        <v>790</v>
      </c>
      <c r="U3413" s="315">
        <f t="shared" si="813"/>
        <v>798.50040600000011</v>
      </c>
      <c r="V3413" s="315">
        <f t="shared" si="812"/>
        <v>800</v>
      </c>
      <c r="W3413" s="316">
        <f t="shared" si="823"/>
        <v>0</v>
      </c>
    </row>
    <row r="3414" spans="1:23" ht="21" x14ac:dyDescent="0.25">
      <c r="A3414" s="200" t="s">
        <v>15597</v>
      </c>
      <c r="B3414" s="255" t="s">
        <v>22819</v>
      </c>
      <c r="C3414" s="248"/>
      <c r="D3414" s="247" t="s">
        <v>11</v>
      </c>
      <c r="E3414" s="249">
        <f t="shared" si="815"/>
        <v>0</v>
      </c>
      <c r="F3414" s="314"/>
      <c r="G3414" s="258">
        <f t="shared" si="816"/>
        <v>0</v>
      </c>
      <c r="H3414" s="249">
        <f t="shared" si="817"/>
        <v>620.01339400000006</v>
      </c>
      <c r="I3414" s="258">
        <v>0.65</v>
      </c>
      <c r="J3414" s="258">
        <f t="shared" si="818"/>
        <v>0.65</v>
      </c>
      <c r="K3414" s="249">
        <f t="shared" si="819"/>
        <v>0</v>
      </c>
      <c r="L3414" s="314"/>
      <c r="M3414" s="258">
        <f t="shared" si="820"/>
        <v>0</v>
      </c>
      <c r="N3414" s="251">
        <f t="shared" si="821"/>
        <v>333.85336599999999</v>
      </c>
      <c r="O3414" s="258">
        <v>0.35</v>
      </c>
      <c r="P3414" s="258">
        <f t="shared" si="822"/>
        <v>0.35</v>
      </c>
      <c r="Q3414" s="249">
        <v>939.4</v>
      </c>
      <c r="R3414" s="249">
        <f t="shared" si="824"/>
        <v>953.86676000000011</v>
      </c>
      <c r="S3414" s="258">
        <v>0.1</v>
      </c>
      <c r="T3414" s="169">
        <f>Q3414+Q3414*S3414+1.66</f>
        <v>1035</v>
      </c>
      <c r="U3414" s="315">
        <f t="shared" si="813"/>
        <v>1049.2534360000002</v>
      </c>
      <c r="V3414" s="315">
        <f t="shared" si="812"/>
        <v>1050</v>
      </c>
      <c r="W3414" s="316">
        <f t="shared" si="823"/>
        <v>0</v>
      </c>
    </row>
    <row r="3415" spans="1:23" ht="21" x14ac:dyDescent="0.25">
      <c r="A3415" s="200" t="s">
        <v>15598</v>
      </c>
      <c r="B3415" s="255" t="s">
        <v>22820</v>
      </c>
      <c r="C3415" s="248"/>
      <c r="D3415" s="247" t="s">
        <v>11</v>
      </c>
      <c r="E3415" s="249">
        <f t="shared" si="815"/>
        <v>0</v>
      </c>
      <c r="F3415" s="314"/>
      <c r="G3415" s="258">
        <f t="shared" si="816"/>
        <v>0</v>
      </c>
      <c r="H3415" s="249">
        <f t="shared" si="817"/>
        <v>841.5259501999999</v>
      </c>
      <c r="I3415" s="258">
        <v>0.65</v>
      </c>
      <c r="J3415" s="258">
        <f t="shared" si="818"/>
        <v>0.65</v>
      </c>
      <c r="K3415" s="249">
        <f t="shared" si="819"/>
        <v>0</v>
      </c>
      <c r="L3415" s="314"/>
      <c r="M3415" s="258">
        <f t="shared" si="820"/>
        <v>0</v>
      </c>
      <c r="N3415" s="251">
        <f t="shared" si="821"/>
        <v>453.12935779999992</v>
      </c>
      <c r="O3415" s="258">
        <v>0.35</v>
      </c>
      <c r="P3415" s="258">
        <f t="shared" si="822"/>
        <v>0.35</v>
      </c>
      <c r="Q3415" s="249">
        <v>1275.02</v>
      </c>
      <c r="R3415" s="249">
        <f t="shared" si="824"/>
        <v>1294.6553079999999</v>
      </c>
      <c r="S3415" s="258">
        <v>0.1</v>
      </c>
      <c r="T3415" s="169">
        <f>Q3415+Q3415*S3415+2.48</f>
        <v>1405.002</v>
      </c>
      <c r="U3415" s="315">
        <f t="shared" si="813"/>
        <v>1424.1208387999998</v>
      </c>
      <c r="V3415" s="315">
        <f t="shared" ref="V3415:V3483" si="825">IF(U3415=0, 0, IF(U3415&lt;10, _xlfn.CEILING.MATH(U3415,1), IF(U3415&lt;100, _xlfn.CEILING.MATH(U3415,1),IF(U3415&lt;1000, _xlfn.CEILING.MATH(U3415,5), IF(U3415&lt;10000, _xlfn.CEILING.MATH(U3415, 25), IF(U3415&lt;100000, _xlfn.CEILING.MATH(U3415,250), IF(U3415&lt;1000000, _xlfn.CEILING.MATH(U3415,500), 0)))))))</f>
        <v>1425</v>
      </c>
      <c r="W3415" s="316">
        <f t="shared" si="823"/>
        <v>0</v>
      </c>
    </row>
    <row r="3416" spans="1:23" ht="21" x14ac:dyDescent="0.25">
      <c r="A3416" s="200" t="s">
        <v>15599</v>
      </c>
      <c r="B3416" s="255" t="s">
        <v>22821</v>
      </c>
      <c r="C3416" s="248"/>
      <c r="D3416" s="247" t="s">
        <v>11</v>
      </c>
      <c r="E3416" s="249">
        <f t="shared" si="815"/>
        <v>0</v>
      </c>
      <c r="F3416" s="314"/>
      <c r="G3416" s="258">
        <f t="shared" si="816"/>
        <v>0</v>
      </c>
      <c r="H3416" s="249">
        <f t="shared" si="817"/>
        <v>1201.9178106000002</v>
      </c>
      <c r="I3416" s="258">
        <v>0.65</v>
      </c>
      <c r="J3416" s="258">
        <f t="shared" si="818"/>
        <v>0.65</v>
      </c>
      <c r="K3416" s="249">
        <f t="shared" si="819"/>
        <v>0</v>
      </c>
      <c r="L3416" s="314"/>
      <c r="M3416" s="258">
        <f t="shared" si="820"/>
        <v>0</v>
      </c>
      <c r="N3416" s="251">
        <f t="shared" si="821"/>
        <v>647.18651340000008</v>
      </c>
      <c r="O3416" s="258">
        <v>0.35</v>
      </c>
      <c r="P3416" s="258">
        <f t="shared" si="822"/>
        <v>0.35</v>
      </c>
      <c r="Q3416" s="249">
        <v>1821.06</v>
      </c>
      <c r="R3416" s="249">
        <f t="shared" si="824"/>
        <v>1849.1043240000004</v>
      </c>
      <c r="S3416" s="258">
        <v>0.1</v>
      </c>
      <c r="T3416" s="169">
        <f>Q3416+Q3416*S3416+1.83</f>
        <v>2004.9959999999999</v>
      </c>
      <c r="U3416" s="315">
        <f t="shared" si="813"/>
        <v>2034.0147564000004</v>
      </c>
      <c r="V3416" s="315">
        <f t="shared" si="825"/>
        <v>2050</v>
      </c>
      <c r="W3416" s="316">
        <f t="shared" si="823"/>
        <v>0</v>
      </c>
    </row>
    <row r="3417" spans="1:23" ht="21" x14ac:dyDescent="0.25">
      <c r="A3417" s="200" t="s">
        <v>15600</v>
      </c>
      <c r="B3417" s="255" t="s">
        <v>22822</v>
      </c>
      <c r="C3417" s="248"/>
      <c r="D3417" s="247" t="s">
        <v>11</v>
      </c>
      <c r="E3417" s="249">
        <f t="shared" si="815"/>
        <v>0</v>
      </c>
      <c r="F3417" s="314"/>
      <c r="G3417" s="258">
        <f t="shared" si="816"/>
        <v>0</v>
      </c>
      <c r="H3417" s="249">
        <f t="shared" si="817"/>
        <v>1499.3183166000001</v>
      </c>
      <c r="I3417" s="258">
        <v>0.65</v>
      </c>
      <c r="J3417" s="258">
        <f t="shared" si="818"/>
        <v>0.65</v>
      </c>
      <c r="K3417" s="249">
        <f t="shared" si="819"/>
        <v>0</v>
      </c>
      <c r="L3417" s="314"/>
      <c r="M3417" s="258">
        <f t="shared" si="820"/>
        <v>0</v>
      </c>
      <c r="N3417" s="251">
        <f t="shared" si="821"/>
        <v>807.32524739999997</v>
      </c>
      <c r="O3417" s="258">
        <v>0.35</v>
      </c>
      <c r="P3417" s="258">
        <f t="shared" si="822"/>
        <v>0.35</v>
      </c>
      <c r="Q3417" s="249">
        <v>2271.66</v>
      </c>
      <c r="R3417" s="249">
        <f t="shared" si="824"/>
        <v>2306.643564</v>
      </c>
      <c r="S3417" s="258">
        <v>0.1</v>
      </c>
      <c r="T3417" s="169">
        <f>Q3417+Q3417*S3417+1.17</f>
        <v>2499.9960000000001</v>
      </c>
      <c r="U3417" s="315">
        <f t="shared" si="813"/>
        <v>2537.3079204000001</v>
      </c>
      <c r="V3417" s="315">
        <f t="shared" si="825"/>
        <v>2550</v>
      </c>
      <c r="W3417" s="316">
        <f t="shared" si="823"/>
        <v>0</v>
      </c>
    </row>
    <row r="3418" spans="1:23" ht="21" x14ac:dyDescent="0.25">
      <c r="A3418" s="200" t="s">
        <v>15601</v>
      </c>
      <c r="B3418" s="255" t="s">
        <v>22823</v>
      </c>
      <c r="C3418" s="248"/>
      <c r="D3418" s="247" t="s">
        <v>11</v>
      </c>
      <c r="E3418" s="249">
        <f t="shared" si="815"/>
        <v>0</v>
      </c>
      <c r="F3418" s="314"/>
      <c r="G3418" s="258">
        <f t="shared" si="816"/>
        <v>0</v>
      </c>
      <c r="H3418" s="249">
        <f t="shared" si="817"/>
        <v>1586.1030315000003</v>
      </c>
      <c r="I3418" s="258">
        <v>0.65</v>
      </c>
      <c r="J3418" s="258">
        <f t="shared" si="818"/>
        <v>0.65</v>
      </c>
      <c r="K3418" s="249">
        <f t="shared" si="819"/>
        <v>0</v>
      </c>
      <c r="L3418" s="314"/>
      <c r="M3418" s="258">
        <f t="shared" si="820"/>
        <v>0</v>
      </c>
      <c r="N3418" s="251">
        <f t="shared" si="821"/>
        <v>854.05547850000005</v>
      </c>
      <c r="O3418" s="258">
        <v>0.35</v>
      </c>
      <c r="P3418" s="258">
        <f t="shared" si="822"/>
        <v>0.35</v>
      </c>
      <c r="Q3418" s="249">
        <v>2403.15</v>
      </c>
      <c r="R3418" s="249">
        <f t="shared" si="824"/>
        <v>2440.1585100000002</v>
      </c>
      <c r="S3418" s="258">
        <v>0.1</v>
      </c>
      <c r="T3418" s="169">
        <f>Q3418+Q3418*S3418+1.53</f>
        <v>2644.9950000000003</v>
      </c>
      <c r="U3418" s="315">
        <f t="shared" si="813"/>
        <v>2684.1743610000003</v>
      </c>
      <c r="V3418" s="315">
        <f t="shared" si="825"/>
        <v>2700</v>
      </c>
      <c r="W3418" s="316">
        <f t="shared" si="823"/>
        <v>0</v>
      </c>
    </row>
    <row r="3419" spans="1:23" ht="21" x14ac:dyDescent="0.25">
      <c r="A3419" s="200" t="s">
        <v>15602</v>
      </c>
      <c r="B3419" s="255" t="s">
        <v>22817</v>
      </c>
      <c r="C3419" s="248"/>
      <c r="D3419" s="247" t="s">
        <v>11</v>
      </c>
      <c r="E3419" s="249">
        <f t="shared" si="815"/>
        <v>0</v>
      </c>
      <c r="F3419" s="314"/>
      <c r="G3419" s="258">
        <f t="shared" si="816"/>
        <v>0</v>
      </c>
      <c r="H3419" s="249">
        <f t="shared" si="817"/>
        <v>2783.6185754000007</v>
      </c>
      <c r="I3419" s="258">
        <v>0.65</v>
      </c>
      <c r="J3419" s="258">
        <f t="shared" si="818"/>
        <v>0.65</v>
      </c>
      <c r="K3419" s="249">
        <f t="shared" si="819"/>
        <v>0</v>
      </c>
      <c r="L3419" s="314"/>
      <c r="M3419" s="258">
        <f t="shared" si="820"/>
        <v>0</v>
      </c>
      <c r="N3419" s="251">
        <f t="shared" si="821"/>
        <v>1498.8715406000001</v>
      </c>
      <c r="O3419" s="258">
        <v>0.35</v>
      </c>
      <c r="P3419" s="258">
        <f t="shared" si="822"/>
        <v>0.35</v>
      </c>
      <c r="Q3419" s="249">
        <v>4217.54</v>
      </c>
      <c r="R3419" s="249">
        <f t="shared" si="824"/>
        <v>4282.4901160000009</v>
      </c>
      <c r="S3419" s="258">
        <v>0.1</v>
      </c>
      <c r="T3419" s="169">
        <f>Q3419+Q3419*S3419+0.71</f>
        <v>4640.0039999999999</v>
      </c>
      <c r="U3419" s="315">
        <f t="shared" si="813"/>
        <v>4710.7391276000008</v>
      </c>
      <c r="V3419" s="315">
        <f t="shared" si="825"/>
        <v>4725</v>
      </c>
      <c r="W3419" s="316">
        <f t="shared" si="823"/>
        <v>0</v>
      </c>
    </row>
    <row r="3420" spans="1:23" x14ac:dyDescent="0.25">
      <c r="A3420" s="200" t="s">
        <v>15603</v>
      </c>
      <c r="B3420" s="313" t="s">
        <v>22824</v>
      </c>
      <c r="C3420" s="248"/>
      <c r="D3420" s="247" t="s">
        <v>11</v>
      </c>
      <c r="E3420" s="249">
        <f t="shared" si="815"/>
        <v>0</v>
      </c>
      <c r="F3420" s="314"/>
      <c r="G3420" s="258">
        <f t="shared" si="816"/>
        <v>0</v>
      </c>
      <c r="H3420" s="249">
        <f t="shared" si="817"/>
        <v>926.59195197954011</v>
      </c>
      <c r="I3420" s="258">
        <v>0.80100000000000005</v>
      </c>
      <c r="J3420" s="258">
        <f t="shared" si="818"/>
        <v>0.80100000000000005</v>
      </c>
      <c r="K3420" s="249">
        <f t="shared" si="819"/>
        <v>41.644582111440002</v>
      </c>
      <c r="L3420" s="314">
        <v>3.5999999999999997E-2</v>
      </c>
      <c r="M3420" s="258">
        <f t="shared" si="820"/>
        <v>3.5999999999999997E-2</v>
      </c>
      <c r="N3420" s="251">
        <f t="shared" si="821"/>
        <v>188.55741344902003</v>
      </c>
      <c r="O3420" s="258">
        <v>0.16300000000000001</v>
      </c>
      <c r="P3420" s="258">
        <f t="shared" si="822"/>
        <v>0.16300000000000001</v>
      </c>
      <c r="Q3420" s="249">
        <v>1137.71</v>
      </c>
      <c r="R3420" s="249">
        <f t="shared" si="824"/>
        <v>1156.7939475400001</v>
      </c>
      <c r="S3420" s="258">
        <v>0.1</v>
      </c>
      <c r="T3420" s="169">
        <f>Q3420+Q3420*S3420+0.52</f>
        <v>1252.001</v>
      </c>
      <c r="U3420" s="315">
        <f t="shared" si="813"/>
        <v>1272.4733422940001</v>
      </c>
      <c r="V3420" s="315">
        <f t="shared" si="825"/>
        <v>1275</v>
      </c>
      <c r="W3420" s="316">
        <f t="shared" si="823"/>
        <v>0</v>
      </c>
    </row>
    <row r="3421" spans="1:23" x14ac:dyDescent="0.25">
      <c r="A3421" s="200" t="s">
        <v>15604</v>
      </c>
      <c r="B3421" s="313" t="s">
        <v>22825</v>
      </c>
      <c r="C3421" s="248"/>
      <c r="D3421" s="247" t="s">
        <v>11</v>
      </c>
      <c r="E3421" s="249">
        <f t="shared" si="815"/>
        <v>0</v>
      </c>
      <c r="F3421" s="314"/>
      <c r="G3421" s="258">
        <f t="shared" si="816"/>
        <v>0</v>
      </c>
      <c r="H3421" s="249">
        <f t="shared" si="817"/>
        <v>1164.751717895</v>
      </c>
      <c r="I3421" s="258">
        <v>0.83499999999999996</v>
      </c>
      <c r="J3421" s="258">
        <f t="shared" si="818"/>
        <v>0.83499999999999996</v>
      </c>
      <c r="K3421" s="249">
        <f t="shared" si="819"/>
        <v>41.84736711</v>
      </c>
      <c r="L3421" s="314">
        <v>0.03</v>
      </c>
      <c r="M3421" s="258">
        <f t="shared" si="820"/>
        <v>0.03</v>
      </c>
      <c r="N3421" s="251">
        <f t="shared" si="821"/>
        <v>188.31315199500003</v>
      </c>
      <c r="O3421" s="258">
        <v>0.13500000000000001</v>
      </c>
      <c r="P3421" s="258">
        <f t="shared" si="822"/>
        <v>0.13500000000000001</v>
      </c>
      <c r="Q3421" s="249">
        <v>1371.73</v>
      </c>
      <c r="R3421" s="249">
        <f t="shared" si="824"/>
        <v>1394.912237</v>
      </c>
      <c r="S3421" s="258">
        <v>0.1</v>
      </c>
      <c r="T3421" s="169">
        <f>Q3421+Q3421*S3421+1.1</f>
        <v>1510.0029999999999</v>
      </c>
      <c r="U3421" s="315">
        <f t="shared" si="813"/>
        <v>1534.4034607000001</v>
      </c>
      <c r="V3421" s="315">
        <f t="shared" si="825"/>
        <v>1550</v>
      </c>
      <c r="W3421" s="316">
        <f t="shared" si="823"/>
        <v>0</v>
      </c>
    </row>
    <row r="3422" spans="1:23" x14ac:dyDescent="0.25">
      <c r="A3422" s="200" t="s">
        <v>15605</v>
      </c>
      <c r="B3422" s="313" t="s">
        <v>22826</v>
      </c>
      <c r="C3422" s="248"/>
      <c r="D3422" s="247" t="s">
        <v>11</v>
      </c>
      <c r="E3422" s="249">
        <f t="shared" si="815"/>
        <v>0</v>
      </c>
      <c r="F3422" s="314"/>
      <c r="G3422" s="258">
        <f t="shared" si="816"/>
        <v>0</v>
      </c>
      <c r="H3422" s="249">
        <f t="shared" si="817"/>
        <v>1165.2951492549998</v>
      </c>
      <c r="I3422" s="258">
        <v>0.83499999999999996</v>
      </c>
      <c r="J3422" s="258">
        <f t="shared" si="818"/>
        <v>0.83499999999999996</v>
      </c>
      <c r="K3422" s="249">
        <f t="shared" si="819"/>
        <v>41.866891589999994</v>
      </c>
      <c r="L3422" s="314">
        <v>0.03</v>
      </c>
      <c r="M3422" s="258">
        <f t="shared" si="820"/>
        <v>0.03</v>
      </c>
      <c r="N3422" s="251">
        <f t="shared" si="821"/>
        <v>188.40101215499999</v>
      </c>
      <c r="O3422" s="258">
        <v>0.13500000000000001</v>
      </c>
      <c r="P3422" s="258">
        <f t="shared" si="822"/>
        <v>0.13500000000000001</v>
      </c>
      <c r="Q3422" s="249">
        <v>1372.37</v>
      </c>
      <c r="R3422" s="249">
        <f t="shared" si="824"/>
        <v>1395.5630529999999</v>
      </c>
      <c r="S3422" s="258">
        <v>0.1</v>
      </c>
      <c r="T3422" s="169">
        <f>Q3422+Q3422*S3422+1.39</f>
        <v>1510.9970000000001</v>
      </c>
      <c r="U3422" s="315">
        <f t="shared" si="813"/>
        <v>1535.1193582999999</v>
      </c>
      <c r="V3422" s="315">
        <f t="shared" si="825"/>
        <v>1550</v>
      </c>
      <c r="W3422" s="316">
        <f t="shared" si="823"/>
        <v>0</v>
      </c>
    </row>
    <row r="3423" spans="1:23" x14ac:dyDescent="0.25">
      <c r="A3423" s="200" t="s">
        <v>15606</v>
      </c>
      <c r="B3423" s="313" t="s">
        <v>22827</v>
      </c>
      <c r="C3423" s="248"/>
      <c r="D3423" s="247" t="s">
        <v>11</v>
      </c>
      <c r="E3423" s="249">
        <f t="shared" si="815"/>
        <v>0</v>
      </c>
      <c r="F3423" s="314"/>
      <c r="G3423" s="258">
        <f t="shared" si="816"/>
        <v>0</v>
      </c>
      <c r="H3423" s="249">
        <f t="shared" si="817"/>
        <v>1009.44193160712</v>
      </c>
      <c r="I3423" s="258">
        <v>0.81399999999999995</v>
      </c>
      <c r="J3423" s="258">
        <f t="shared" si="818"/>
        <v>0.81399999999999995</v>
      </c>
      <c r="K3423" s="249">
        <f t="shared" si="819"/>
        <v>42.163422204720007</v>
      </c>
      <c r="L3423" s="314">
        <v>3.4000000000000002E-2</v>
      </c>
      <c r="M3423" s="258">
        <f t="shared" si="820"/>
        <v>3.4000000000000002E-2</v>
      </c>
      <c r="N3423" s="251">
        <f t="shared" si="821"/>
        <v>188.49529926816001</v>
      </c>
      <c r="O3423" s="258">
        <v>0.152</v>
      </c>
      <c r="P3423" s="258">
        <f t="shared" si="822"/>
        <v>0.152</v>
      </c>
      <c r="Q3423" s="249">
        <v>1219.58</v>
      </c>
      <c r="R3423" s="249">
        <f t="shared" si="824"/>
        <v>1240.10065308</v>
      </c>
      <c r="S3423" s="258">
        <v>0.1</v>
      </c>
      <c r="T3423" s="169">
        <f>Q3423+Q3423*S3423+1.46</f>
        <v>1342.998</v>
      </c>
      <c r="U3423" s="315">
        <f t="shared" ref="U3423:U3483" si="826">(R3423*S3423)+R3423</f>
        <v>1364.1107183880001</v>
      </c>
      <c r="V3423" s="315">
        <f t="shared" si="825"/>
        <v>1375</v>
      </c>
      <c r="W3423" s="316">
        <f t="shared" si="823"/>
        <v>0</v>
      </c>
    </row>
    <row r="3424" spans="1:23" x14ac:dyDescent="0.25">
      <c r="A3424" s="200" t="s">
        <v>15607</v>
      </c>
      <c r="B3424" s="313" t="s">
        <v>22828</v>
      </c>
      <c r="C3424" s="248"/>
      <c r="D3424" s="247" t="s">
        <v>11</v>
      </c>
      <c r="E3424" s="249">
        <f t="shared" si="815"/>
        <v>0</v>
      </c>
      <c r="F3424" s="314"/>
      <c r="G3424" s="258">
        <f t="shared" si="816"/>
        <v>0</v>
      </c>
      <c r="H3424" s="249">
        <f t="shared" si="817"/>
        <v>1338.5460597299998</v>
      </c>
      <c r="I3424" s="258">
        <v>0.82499999999999996</v>
      </c>
      <c r="J3424" s="258">
        <f t="shared" si="818"/>
        <v>0.82499999999999996</v>
      </c>
      <c r="K3424" s="249">
        <f t="shared" si="819"/>
        <v>48.674402171999994</v>
      </c>
      <c r="L3424" s="314">
        <v>0.03</v>
      </c>
      <c r="M3424" s="258">
        <f t="shared" si="820"/>
        <v>0.03</v>
      </c>
      <c r="N3424" s="251">
        <f t="shared" si="821"/>
        <v>235.25961049799997</v>
      </c>
      <c r="O3424" s="258">
        <v>0.14499999999999999</v>
      </c>
      <c r="P3424" s="258">
        <f t="shared" si="822"/>
        <v>0.14499999999999999</v>
      </c>
      <c r="Q3424" s="249">
        <v>1595.61</v>
      </c>
      <c r="R3424" s="249">
        <f t="shared" si="824"/>
        <v>1622.4800723999999</v>
      </c>
      <c r="S3424" s="258">
        <v>0.1</v>
      </c>
      <c r="T3424" s="169">
        <f>Q3424+Q3424*S3424+1.83</f>
        <v>1757.0009999999997</v>
      </c>
      <c r="U3424" s="315">
        <f t="shared" si="826"/>
        <v>1784.72807964</v>
      </c>
      <c r="V3424" s="315">
        <f t="shared" si="825"/>
        <v>1800</v>
      </c>
      <c r="W3424" s="316">
        <f t="shared" si="823"/>
        <v>0</v>
      </c>
    </row>
    <row r="3425" spans="1:23" x14ac:dyDescent="0.25">
      <c r="A3425" s="200" t="s">
        <v>15608</v>
      </c>
      <c r="B3425" s="313" t="s">
        <v>22829</v>
      </c>
      <c r="C3425" s="248"/>
      <c r="D3425" s="247" t="s">
        <v>11</v>
      </c>
      <c r="E3425" s="249">
        <f t="shared" si="815"/>
        <v>0</v>
      </c>
      <c r="F3425" s="314"/>
      <c r="G3425" s="258">
        <f t="shared" si="816"/>
        <v>0</v>
      </c>
      <c r="H3425" s="249">
        <f t="shared" si="817"/>
        <v>1359.3818691500901</v>
      </c>
      <c r="I3425" s="258">
        <v>0.82699999999999996</v>
      </c>
      <c r="J3425" s="258">
        <f t="shared" si="818"/>
        <v>0.82699999999999996</v>
      </c>
      <c r="K3425" s="249">
        <f t="shared" si="819"/>
        <v>47.668771711430004</v>
      </c>
      <c r="L3425" s="314">
        <v>2.9000000000000001E-2</v>
      </c>
      <c r="M3425" s="258">
        <f t="shared" si="820"/>
        <v>2.9000000000000001E-2</v>
      </c>
      <c r="N3425" s="251">
        <f t="shared" si="821"/>
        <v>236.70010780848</v>
      </c>
      <c r="O3425" s="258">
        <v>0.14399999999999999</v>
      </c>
      <c r="P3425" s="258">
        <f t="shared" si="822"/>
        <v>0.14399999999999999</v>
      </c>
      <c r="Q3425" s="249">
        <v>1616.53</v>
      </c>
      <c r="R3425" s="249">
        <f t="shared" si="824"/>
        <v>1643.7507486700001</v>
      </c>
      <c r="S3425" s="258">
        <v>0.1</v>
      </c>
      <c r="T3425" s="169">
        <f>Q3425+Q3425*S3425+1.82</f>
        <v>1780.0029999999999</v>
      </c>
      <c r="U3425" s="315">
        <f t="shared" si="826"/>
        <v>1808.1258235370001</v>
      </c>
      <c r="V3425" s="315">
        <f t="shared" si="825"/>
        <v>1825</v>
      </c>
      <c r="W3425" s="316">
        <f t="shared" si="823"/>
        <v>0</v>
      </c>
    </row>
    <row r="3426" spans="1:23" x14ac:dyDescent="0.25">
      <c r="A3426" s="200" t="s">
        <v>15609</v>
      </c>
      <c r="B3426" s="313" t="s">
        <v>22830</v>
      </c>
      <c r="C3426" s="248"/>
      <c r="D3426" s="247" t="s">
        <v>11</v>
      </c>
      <c r="E3426" s="249">
        <f t="shared" si="815"/>
        <v>0</v>
      </c>
      <c r="F3426" s="314"/>
      <c r="G3426" s="258">
        <f t="shared" si="816"/>
        <v>0</v>
      </c>
      <c r="H3426" s="249">
        <f t="shared" si="817"/>
        <v>1365.8748498647999</v>
      </c>
      <c r="I3426" s="258">
        <v>0.82799999999999996</v>
      </c>
      <c r="J3426" s="258">
        <f t="shared" si="818"/>
        <v>0.82799999999999996</v>
      </c>
      <c r="K3426" s="249">
        <f t="shared" si="819"/>
        <v>47.838611891399999</v>
      </c>
      <c r="L3426" s="314">
        <v>2.9000000000000001E-2</v>
      </c>
      <c r="M3426" s="258">
        <f t="shared" si="820"/>
        <v>2.9000000000000001E-2</v>
      </c>
      <c r="N3426" s="251">
        <f t="shared" si="821"/>
        <v>235.89384484379997</v>
      </c>
      <c r="O3426" s="258">
        <v>0.14299999999999999</v>
      </c>
      <c r="P3426" s="258">
        <f t="shared" si="822"/>
        <v>0.14299999999999999</v>
      </c>
      <c r="Q3426" s="249">
        <v>1622.28</v>
      </c>
      <c r="R3426" s="249">
        <f t="shared" si="824"/>
        <v>1649.6073065999999</v>
      </c>
      <c r="S3426" s="258">
        <v>0.1</v>
      </c>
      <c r="T3426" s="169">
        <f>Q3426+Q3426*S3426+1.49</f>
        <v>1785.998</v>
      </c>
      <c r="U3426" s="315">
        <f t="shared" si="826"/>
        <v>1814.56803726</v>
      </c>
      <c r="V3426" s="315">
        <f t="shared" si="825"/>
        <v>1825</v>
      </c>
      <c r="W3426" s="316">
        <f t="shared" si="823"/>
        <v>0</v>
      </c>
    </row>
    <row r="3427" spans="1:23" x14ac:dyDescent="0.25">
      <c r="A3427" s="200" t="s">
        <v>15610</v>
      </c>
      <c r="B3427" s="313" t="s">
        <v>22831</v>
      </c>
      <c r="C3427" s="248"/>
      <c r="D3427" s="247" t="s">
        <v>11</v>
      </c>
      <c r="E3427" s="249">
        <f t="shared" si="815"/>
        <v>0</v>
      </c>
      <c r="F3427" s="314"/>
      <c r="G3427" s="258">
        <f t="shared" si="816"/>
        <v>0</v>
      </c>
      <c r="H3427" s="249">
        <f t="shared" si="817"/>
        <v>2115.0965350503998</v>
      </c>
      <c r="I3427" s="258">
        <v>0.86</v>
      </c>
      <c r="J3427" s="258">
        <f t="shared" si="818"/>
        <v>0.86</v>
      </c>
      <c r="K3427" s="249">
        <f t="shared" si="819"/>
        <v>59.025949815360001</v>
      </c>
      <c r="L3427" s="314">
        <v>2.4E-2</v>
      </c>
      <c r="M3427" s="258">
        <f t="shared" si="820"/>
        <v>2.4E-2</v>
      </c>
      <c r="N3427" s="251">
        <f t="shared" si="821"/>
        <v>285.29209077424002</v>
      </c>
      <c r="O3427" s="258">
        <v>0.11600000000000001</v>
      </c>
      <c r="P3427" s="258">
        <f t="shared" si="822"/>
        <v>0.11600000000000001</v>
      </c>
      <c r="Q3427" s="249">
        <v>2418.37</v>
      </c>
      <c r="R3427" s="249">
        <f t="shared" si="824"/>
        <v>2459.4145756399998</v>
      </c>
      <c r="S3427" s="258">
        <v>0.1</v>
      </c>
      <c r="T3427" s="169">
        <f>Q3427+Q3427*S3427+1.79</f>
        <v>2661.9969999999998</v>
      </c>
      <c r="U3427" s="315">
        <f t="shared" si="826"/>
        <v>2705.3560332039997</v>
      </c>
      <c r="V3427" s="315">
        <f t="shared" si="825"/>
        <v>2725</v>
      </c>
      <c r="W3427" s="316">
        <f t="shared" si="823"/>
        <v>0</v>
      </c>
    </row>
    <row r="3428" spans="1:23" x14ac:dyDescent="0.25">
      <c r="A3428" s="200" t="s">
        <v>15611</v>
      </c>
      <c r="B3428" s="313" t="s">
        <v>22832</v>
      </c>
      <c r="C3428" s="248"/>
      <c r="D3428" s="247" t="s">
        <v>11</v>
      </c>
      <c r="E3428" s="249">
        <f t="shared" si="815"/>
        <v>0</v>
      </c>
      <c r="F3428" s="314"/>
      <c r="G3428" s="258">
        <f t="shared" si="816"/>
        <v>0</v>
      </c>
      <c r="H3428" s="249">
        <f t="shared" si="817"/>
        <v>1125.5587098461999</v>
      </c>
      <c r="I3428" s="258">
        <v>0.83</v>
      </c>
      <c r="J3428" s="258">
        <f t="shared" si="818"/>
        <v>0.83</v>
      </c>
      <c r="K3428" s="249">
        <f t="shared" si="819"/>
        <v>42.038939765339997</v>
      </c>
      <c r="L3428" s="314">
        <v>3.1E-2</v>
      </c>
      <c r="M3428" s="258">
        <f t="shared" si="820"/>
        <v>3.1E-2</v>
      </c>
      <c r="N3428" s="251">
        <f t="shared" si="821"/>
        <v>188.49718152846</v>
      </c>
      <c r="O3428" s="258">
        <v>0.13900000000000001</v>
      </c>
      <c r="P3428" s="258">
        <f t="shared" si="822"/>
        <v>0.13900000000000001</v>
      </c>
      <c r="Q3428" s="249">
        <v>1333.58</v>
      </c>
      <c r="R3428" s="249">
        <f t="shared" si="824"/>
        <v>1356.09483114</v>
      </c>
      <c r="S3428" s="258">
        <v>0.1</v>
      </c>
      <c r="T3428" s="169">
        <f>Q3428+Q3428*S3428+1.06</f>
        <v>1467.9979999999998</v>
      </c>
      <c r="U3428" s="315">
        <f t="shared" si="826"/>
        <v>1491.7043142540001</v>
      </c>
      <c r="V3428" s="315">
        <f t="shared" si="825"/>
        <v>1500</v>
      </c>
      <c r="W3428" s="316">
        <f t="shared" si="823"/>
        <v>0</v>
      </c>
    </row>
    <row r="3429" spans="1:23" x14ac:dyDescent="0.25">
      <c r="A3429" s="200" t="s">
        <v>15612</v>
      </c>
      <c r="B3429" s="313" t="s">
        <v>22833</v>
      </c>
      <c r="C3429" s="248"/>
      <c r="D3429" s="247" t="s">
        <v>11</v>
      </c>
      <c r="E3429" s="249">
        <f t="shared" si="815"/>
        <v>0</v>
      </c>
      <c r="F3429" s="314"/>
      <c r="G3429" s="258">
        <f t="shared" si="816"/>
        <v>0</v>
      </c>
      <c r="H3429" s="249">
        <f t="shared" si="817"/>
        <v>1267.7841152639996</v>
      </c>
      <c r="I3429" s="258">
        <v>0.84599999999999997</v>
      </c>
      <c r="J3429" s="258">
        <f t="shared" si="818"/>
        <v>0.84599999999999997</v>
      </c>
      <c r="K3429" s="249">
        <f t="shared" si="819"/>
        <v>41.959757951999997</v>
      </c>
      <c r="L3429" s="314">
        <v>2.8000000000000001E-2</v>
      </c>
      <c r="M3429" s="258">
        <f t="shared" si="820"/>
        <v>2.8000000000000001E-2</v>
      </c>
      <c r="N3429" s="251">
        <f t="shared" si="821"/>
        <v>188.81891078399997</v>
      </c>
      <c r="O3429" s="258">
        <v>0.126</v>
      </c>
      <c r="P3429" s="258">
        <f t="shared" si="822"/>
        <v>0.126</v>
      </c>
      <c r="Q3429" s="249">
        <v>1473.6</v>
      </c>
      <c r="R3429" s="249">
        <f t="shared" si="824"/>
        <v>1498.5627839999997</v>
      </c>
      <c r="S3429" s="258">
        <v>0.1</v>
      </c>
      <c r="T3429" s="169">
        <f>Q3429+Q3429*S3429+1.04</f>
        <v>1621.9999999999998</v>
      </c>
      <c r="U3429" s="315">
        <f t="shared" si="826"/>
        <v>1648.4190623999998</v>
      </c>
      <c r="V3429" s="315">
        <f t="shared" si="825"/>
        <v>1650</v>
      </c>
      <c r="W3429" s="316">
        <f t="shared" si="823"/>
        <v>0</v>
      </c>
    </row>
    <row r="3430" spans="1:23" x14ac:dyDescent="0.25">
      <c r="A3430" s="200" t="s">
        <v>15613</v>
      </c>
      <c r="B3430" s="313" t="s">
        <v>22834</v>
      </c>
      <c r="C3430" s="248"/>
      <c r="D3430" s="247" t="s">
        <v>11</v>
      </c>
      <c r="E3430" s="249">
        <f t="shared" si="815"/>
        <v>0</v>
      </c>
      <c r="F3430" s="314"/>
      <c r="G3430" s="258">
        <f t="shared" si="816"/>
        <v>0</v>
      </c>
      <c r="H3430" s="249">
        <f t="shared" si="817"/>
        <v>1269.8414329708801</v>
      </c>
      <c r="I3430" s="258">
        <v>0.84699999999999998</v>
      </c>
      <c r="J3430" s="258">
        <f t="shared" si="818"/>
        <v>0.84699999999999998</v>
      </c>
      <c r="K3430" s="249">
        <f t="shared" si="819"/>
        <v>41.97822918912</v>
      </c>
      <c r="L3430" s="314">
        <v>2.8000000000000001E-2</v>
      </c>
      <c r="M3430" s="258">
        <f t="shared" si="820"/>
        <v>2.8000000000000001E-2</v>
      </c>
      <c r="N3430" s="251">
        <f t="shared" si="821"/>
        <v>187.40280888000001</v>
      </c>
      <c r="O3430" s="258">
        <v>0.125</v>
      </c>
      <c r="P3430" s="258">
        <f t="shared" si="822"/>
        <v>0.125</v>
      </c>
      <c r="Q3430" s="249">
        <v>1474.24</v>
      </c>
      <c r="R3430" s="249">
        <f t="shared" si="824"/>
        <v>1499.2224710400001</v>
      </c>
      <c r="S3430" s="258">
        <v>0.1</v>
      </c>
      <c r="T3430" s="169">
        <f>Q3430+Q3430*S3430+1.34</f>
        <v>1623.0039999999999</v>
      </c>
      <c r="U3430" s="315">
        <f t="shared" si="826"/>
        <v>1649.1447181440001</v>
      </c>
      <c r="V3430" s="315">
        <f t="shared" si="825"/>
        <v>1650</v>
      </c>
      <c r="W3430" s="316">
        <f t="shared" si="823"/>
        <v>0</v>
      </c>
    </row>
    <row r="3431" spans="1:23" x14ac:dyDescent="0.25">
      <c r="A3431" s="200" t="s">
        <v>15614</v>
      </c>
      <c r="B3431" s="313" t="s">
        <v>22835</v>
      </c>
      <c r="C3431" s="248"/>
      <c r="D3431" s="247" t="s">
        <v>11</v>
      </c>
      <c r="E3431" s="249">
        <f t="shared" si="815"/>
        <v>0</v>
      </c>
      <c r="F3431" s="314"/>
      <c r="G3431" s="258">
        <f t="shared" si="816"/>
        <v>0</v>
      </c>
      <c r="H3431" s="249">
        <f t="shared" si="817"/>
        <v>1337.9580577345198</v>
      </c>
      <c r="I3431" s="258">
        <v>0.85299999999999998</v>
      </c>
      <c r="J3431" s="258">
        <f t="shared" si="818"/>
        <v>0.85299999999999998</v>
      </c>
      <c r="K3431" s="249">
        <f t="shared" si="819"/>
        <v>42.350372284679992</v>
      </c>
      <c r="L3431" s="314">
        <v>2.7E-2</v>
      </c>
      <c r="M3431" s="258">
        <f t="shared" si="820"/>
        <v>2.7E-2</v>
      </c>
      <c r="N3431" s="251">
        <f t="shared" si="821"/>
        <v>188.22387682079997</v>
      </c>
      <c r="O3431" s="258">
        <v>0.12</v>
      </c>
      <c r="P3431" s="258">
        <f t="shared" si="822"/>
        <v>0.12</v>
      </c>
      <c r="Q3431" s="249">
        <v>1542.36</v>
      </c>
      <c r="R3431" s="249">
        <f t="shared" si="824"/>
        <v>1568.5323068399998</v>
      </c>
      <c r="S3431" s="258">
        <v>0.1</v>
      </c>
      <c r="T3431" s="169">
        <f>Q3431+Q3431*S3431+1.4</f>
        <v>1697.9960000000001</v>
      </c>
      <c r="U3431" s="315">
        <f t="shared" si="826"/>
        <v>1725.3855375239998</v>
      </c>
      <c r="V3431" s="315">
        <f t="shared" si="825"/>
        <v>1750</v>
      </c>
      <c r="W3431" s="316">
        <f t="shared" si="823"/>
        <v>0</v>
      </c>
    </row>
    <row r="3432" spans="1:23" x14ac:dyDescent="0.25">
      <c r="A3432" s="200" t="s">
        <v>15615</v>
      </c>
      <c r="B3432" s="313" t="s">
        <v>22835</v>
      </c>
      <c r="C3432" s="248"/>
      <c r="D3432" s="247" t="s">
        <v>11</v>
      </c>
      <c r="E3432" s="249">
        <f t="shared" si="815"/>
        <v>0</v>
      </c>
      <c r="F3432" s="314"/>
      <c r="G3432" s="258">
        <f t="shared" si="816"/>
        <v>0</v>
      </c>
      <c r="H3432" s="249">
        <f t="shared" si="817"/>
        <v>1337.9580577345198</v>
      </c>
      <c r="I3432" s="258">
        <v>0.85299999999999998</v>
      </c>
      <c r="J3432" s="258">
        <f t="shared" si="818"/>
        <v>0.85299999999999998</v>
      </c>
      <c r="K3432" s="249">
        <f t="shared" si="819"/>
        <v>42.350372284679992</v>
      </c>
      <c r="L3432" s="314">
        <v>2.7E-2</v>
      </c>
      <c r="M3432" s="258">
        <f t="shared" si="820"/>
        <v>2.7E-2</v>
      </c>
      <c r="N3432" s="251">
        <f t="shared" si="821"/>
        <v>188.22387682079997</v>
      </c>
      <c r="O3432" s="258">
        <v>0.12</v>
      </c>
      <c r="P3432" s="258">
        <f t="shared" si="822"/>
        <v>0.12</v>
      </c>
      <c r="Q3432" s="249">
        <v>1542.36</v>
      </c>
      <c r="R3432" s="249">
        <f t="shared" si="824"/>
        <v>1568.5323068399998</v>
      </c>
      <c r="S3432" s="258">
        <v>0.1</v>
      </c>
      <c r="T3432" s="169">
        <f>Q3432+Q3432*S3432+1.4</f>
        <v>1697.9960000000001</v>
      </c>
      <c r="U3432" s="315">
        <f t="shared" si="826"/>
        <v>1725.3855375239998</v>
      </c>
      <c r="V3432" s="315">
        <f t="shared" si="825"/>
        <v>1750</v>
      </c>
      <c r="W3432" s="316">
        <f t="shared" si="823"/>
        <v>0</v>
      </c>
    </row>
    <row r="3433" spans="1:23" x14ac:dyDescent="0.25">
      <c r="A3433" s="200" t="s">
        <v>15616</v>
      </c>
      <c r="B3433" s="313" t="s">
        <v>22836</v>
      </c>
      <c r="C3433" s="248"/>
      <c r="D3433" s="247" t="s">
        <v>11</v>
      </c>
      <c r="E3433" s="249">
        <f t="shared" si="815"/>
        <v>0</v>
      </c>
      <c r="F3433" s="314"/>
      <c r="G3433" s="258">
        <f t="shared" si="816"/>
        <v>0</v>
      </c>
      <c r="H3433" s="249">
        <f t="shared" si="817"/>
        <v>1342.9373616917001</v>
      </c>
      <c r="I3433" s="258">
        <v>0.85299999999999998</v>
      </c>
      <c r="J3433" s="258">
        <f t="shared" si="818"/>
        <v>0.85299999999999998</v>
      </c>
      <c r="K3433" s="249">
        <f t="shared" si="819"/>
        <v>42.507982140300008</v>
      </c>
      <c r="L3433" s="314">
        <v>2.7E-2</v>
      </c>
      <c r="M3433" s="258">
        <f t="shared" si="820"/>
        <v>2.7E-2</v>
      </c>
      <c r="N3433" s="251">
        <f t="shared" si="821"/>
        <v>188.92436506800001</v>
      </c>
      <c r="O3433" s="258">
        <v>0.12</v>
      </c>
      <c r="P3433" s="258">
        <f t="shared" si="822"/>
        <v>0.12</v>
      </c>
      <c r="Q3433" s="249">
        <v>1548.1</v>
      </c>
      <c r="R3433" s="249">
        <f t="shared" si="824"/>
        <v>1574.3697089000002</v>
      </c>
      <c r="S3433" s="258">
        <v>0.1</v>
      </c>
      <c r="T3433" s="169">
        <f>Q3433+Q3433*S3433+2.09</f>
        <v>1704.9999999999998</v>
      </c>
      <c r="U3433" s="315">
        <f t="shared" si="826"/>
        <v>1731.8066797900003</v>
      </c>
      <c r="V3433" s="315">
        <f t="shared" si="825"/>
        <v>1750</v>
      </c>
      <c r="W3433" s="316">
        <f t="shared" si="823"/>
        <v>0</v>
      </c>
    </row>
    <row r="3434" spans="1:23" x14ac:dyDescent="0.25">
      <c r="A3434" s="200" t="s">
        <v>15617</v>
      </c>
      <c r="B3434" s="313" t="s">
        <v>22837</v>
      </c>
      <c r="C3434" s="248"/>
      <c r="D3434" s="247" t="s">
        <v>11</v>
      </c>
      <c r="E3434" s="249">
        <f t="shared" si="815"/>
        <v>0</v>
      </c>
      <c r="F3434" s="314"/>
      <c r="G3434" s="258">
        <f t="shared" si="816"/>
        <v>0</v>
      </c>
      <c r="H3434" s="249">
        <f t="shared" si="817"/>
        <v>1463.1602714064004</v>
      </c>
      <c r="I3434" s="258">
        <v>0.86399999999999999</v>
      </c>
      <c r="J3434" s="258">
        <f t="shared" si="818"/>
        <v>0.86399999999999999</v>
      </c>
      <c r="K3434" s="249">
        <f t="shared" si="819"/>
        <v>42.336813408750011</v>
      </c>
      <c r="L3434" s="314">
        <v>2.5000000000000001E-2</v>
      </c>
      <c r="M3434" s="258">
        <f t="shared" si="820"/>
        <v>2.5000000000000001E-2</v>
      </c>
      <c r="N3434" s="251">
        <f t="shared" si="821"/>
        <v>187.97545153485004</v>
      </c>
      <c r="O3434" s="258">
        <v>0.111</v>
      </c>
      <c r="P3434" s="258">
        <f t="shared" si="822"/>
        <v>0.111</v>
      </c>
      <c r="Q3434" s="249">
        <v>1665.15</v>
      </c>
      <c r="R3434" s="249">
        <f t="shared" si="824"/>
        <v>1693.4725363500004</v>
      </c>
      <c r="S3434" s="258">
        <v>0.1</v>
      </c>
      <c r="T3434" s="169">
        <f>Q3434+Q3434*S3434+2.33</f>
        <v>1833.9950000000001</v>
      </c>
      <c r="U3434" s="315">
        <f t="shared" si="826"/>
        <v>1862.8197899850004</v>
      </c>
      <c r="V3434" s="315">
        <f t="shared" si="825"/>
        <v>1875</v>
      </c>
      <c r="W3434" s="316">
        <f t="shared" si="823"/>
        <v>0</v>
      </c>
    </row>
    <row r="3435" spans="1:23" x14ac:dyDescent="0.25">
      <c r="A3435" s="200" t="s">
        <v>15618</v>
      </c>
      <c r="B3435" s="313" t="s">
        <v>22838</v>
      </c>
      <c r="C3435" s="248"/>
      <c r="D3435" s="247" t="s">
        <v>11</v>
      </c>
      <c r="E3435" s="249">
        <f t="shared" si="815"/>
        <v>0</v>
      </c>
      <c r="F3435" s="314"/>
      <c r="G3435" s="258">
        <f t="shared" si="816"/>
        <v>0</v>
      </c>
      <c r="H3435" s="249">
        <f t="shared" si="817"/>
        <v>1468.22155907616</v>
      </c>
      <c r="I3435" s="258">
        <v>0.86399999999999999</v>
      </c>
      <c r="J3435" s="258">
        <f t="shared" si="818"/>
        <v>0.86399999999999999</v>
      </c>
      <c r="K3435" s="249">
        <f t="shared" si="819"/>
        <v>42.483262704750004</v>
      </c>
      <c r="L3435" s="314">
        <v>2.5000000000000001E-2</v>
      </c>
      <c r="M3435" s="258">
        <f t="shared" si="820"/>
        <v>2.5000000000000001E-2</v>
      </c>
      <c r="N3435" s="251">
        <f t="shared" si="821"/>
        <v>188.62568640909001</v>
      </c>
      <c r="O3435" s="258">
        <v>0.111</v>
      </c>
      <c r="P3435" s="258">
        <f t="shared" si="822"/>
        <v>0.111</v>
      </c>
      <c r="Q3435" s="249">
        <v>1670.91</v>
      </c>
      <c r="R3435" s="249">
        <f t="shared" si="824"/>
        <v>1699.33050819</v>
      </c>
      <c r="S3435" s="258">
        <v>0.1</v>
      </c>
      <c r="T3435" s="169">
        <f>Q3435+Q3435*S3435+7</f>
        <v>1845.0010000000002</v>
      </c>
      <c r="U3435" s="315">
        <f t="shared" si="826"/>
        <v>1869.2635590090001</v>
      </c>
      <c r="V3435" s="315">
        <f t="shared" si="825"/>
        <v>1875</v>
      </c>
      <c r="W3435" s="316">
        <f t="shared" si="823"/>
        <v>0</v>
      </c>
    </row>
    <row r="3436" spans="1:23" x14ac:dyDescent="0.25">
      <c r="A3436" s="200" t="s">
        <v>15619</v>
      </c>
      <c r="B3436" s="313" t="s">
        <v>22839</v>
      </c>
      <c r="C3436" s="248"/>
      <c r="D3436" s="247" t="s">
        <v>11</v>
      </c>
      <c r="E3436" s="249">
        <f t="shared" si="815"/>
        <v>0</v>
      </c>
      <c r="F3436" s="314"/>
      <c r="G3436" s="258">
        <f t="shared" si="816"/>
        <v>0</v>
      </c>
      <c r="H3436" s="249">
        <f t="shared" si="817"/>
        <v>1364.7120690739202</v>
      </c>
      <c r="I3436" s="258">
        <v>0.85599999999999998</v>
      </c>
      <c r="J3436" s="258">
        <f t="shared" si="818"/>
        <v>0.85599999999999998</v>
      </c>
      <c r="K3436" s="249">
        <f t="shared" si="819"/>
        <v>41.451534808320005</v>
      </c>
      <c r="L3436" s="314">
        <v>2.5999999999999999E-2</v>
      </c>
      <c r="M3436" s="258">
        <f t="shared" si="820"/>
        <v>2.5999999999999999E-2</v>
      </c>
      <c r="N3436" s="251">
        <f t="shared" si="821"/>
        <v>188.12619643776003</v>
      </c>
      <c r="O3436" s="258">
        <v>0.11799999999999999</v>
      </c>
      <c r="P3436" s="258">
        <f t="shared" si="822"/>
        <v>0.11799999999999999</v>
      </c>
      <c r="Q3436" s="249">
        <v>1567.68</v>
      </c>
      <c r="R3436" s="249">
        <f t="shared" si="824"/>
        <v>1594.2898003200003</v>
      </c>
      <c r="S3436" s="258">
        <v>0.1</v>
      </c>
      <c r="T3436" s="169">
        <f>Q3436+Q3436*S3436+10.55</f>
        <v>1734.998</v>
      </c>
      <c r="U3436" s="315">
        <f t="shared" si="826"/>
        <v>1753.7187803520003</v>
      </c>
      <c r="V3436" s="315">
        <f t="shared" si="825"/>
        <v>1775</v>
      </c>
      <c r="W3436" s="316">
        <f t="shared" si="823"/>
        <v>0</v>
      </c>
    </row>
    <row r="3437" spans="1:23" x14ac:dyDescent="0.25">
      <c r="A3437" s="200" t="s">
        <v>15620</v>
      </c>
      <c r="B3437" s="313" t="s">
        <v>15621</v>
      </c>
      <c r="C3437" s="248"/>
      <c r="D3437" s="247" t="s">
        <v>11</v>
      </c>
      <c r="E3437" s="249">
        <f t="shared" si="815"/>
        <v>0</v>
      </c>
      <c r="F3437" s="314"/>
      <c r="G3437" s="258">
        <f t="shared" si="816"/>
        <v>0</v>
      </c>
      <c r="H3437" s="249">
        <f t="shared" si="817"/>
        <v>963.97202797037994</v>
      </c>
      <c r="I3437" s="258">
        <v>0.85799999999999998</v>
      </c>
      <c r="J3437" s="258">
        <f t="shared" si="818"/>
        <v>0.85799999999999998</v>
      </c>
      <c r="K3437" s="249">
        <f t="shared" si="819"/>
        <v>41.569889318069997</v>
      </c>
      <c r="L3437" s="314">
        <v>3.6999999999999998E-2</v>
      </c>
      <c r="M3437" s="258">
        <f t="shared" si="820"/>
        <v>3.6999999999999998E-2</v>
      </c>
      <c r="N3437" s="251">
        <f t="shared" si="821"/>
        <v>117.96860482155</v>
      </c>
      <c r="O3437" s="258">
        <v>0.105</v>
      </c>
      <c r="P3437" s="258">
        <f t="shared" si="822"/>
        <v>0.105</v>
      </c>
      <c r="Q3437" s="249">
        <v>1104.5899999999999</v>
      </c>
      <c r="R3437" s="249">
        <f t="shared" si="824"/>
        <v>1123.51052211</v>
      </c>
      <c r="S3437" s="258">
        <v>0.1</v>
      </c>
      <c r="T3437" s="169">
        <f>Q3437+Q3437*S3437+0.95</f>
        <v>1215.999</v>
      </c>
      <c r="U3437" s="315">
        <f t="shared" si="826"/>
        <v>1235.861574321</v>
      </c>
      <c r="V3437" s="315">
        <f t="shared" si="825"/>
        <v>1250</v>
      </c>
      <c r="W3437" s="316">
        <f t="shared" si="823"/>
        <v>0</v>
      </c>
    </row>
    <row r="3438" spans="1:23" x14ac:dyDescent="0.25">
      <c r="A3438" s="200" t="s">
        <v>15622</v>
      </c>
      <c r="B3438" s="313" t="s">
        <v>15623</v>
      </c>
      <c r="C3438" s="248"/>
      <c r="D3438" s="247" t="s">
        <v>11</v>
      </c>
      <c r="E3438" s="249">
        <f t="shared" si="815"/>
        <v>0</v>
      </c>
      <c r="F3438" s="314"/>
      <c r="G3438" s="258">
        <f t="shared" si="816"/>
        <v>0</v>
      </c>
      <c r="H3438" s="249">
        <f t="shared" si="817"/>
        <v>1106.4519627171799</v>
      </c>
      <c r="I3438" s="258">
        <v>0.874</v>
      </c>
      <c r="J3438" s="258">
        <f t="shared" si="818"/>
        <v>0.874</v>
      </c>
      <c r="K3438" s="249">
        <f t="shared" si="819"/>
        <v>41.776790354309995</v>
      </c>
      <c r="L3438" s="314">
        <v>3.3000000000000002E-2</v>
      </c>
      <c r="M3438" s="258">
        <f t="shared" si="820"/>
        <v>3.3000000000000002E-2</v>
      </c>
      <c r="N3438" s="251">
        <f t="shared" si="821"/>
        <v>117.73459099850997</v>
      </c>
      <c r="O3438" s="258">
        <v>9.2999999999999999E-2</v>
      </c>
      <c r="P3438" s="258">
        <f t="shared" si="822"/>
        <v>9.2999999999999999E-2</v>
      </c>
      <c r="Q3438" s="249">
        <v>1244.5899999999999</v>
      </c>
      <c r="R3438" s="249">
        <f t="shared" si="824"/>
        <v>1265.9633440699997</v>
      </c>
      <c r="S3438" s="258">
        <v>0.1</v>
      </c>
      <c r="T3438" s="169">
        <f>Q3438+Q3438*S3438+0.95</f>
        <v>1369.999</v>
      </c>
      <c r="U3438" s="315">
        <f t="shared" si="826"/>
        <v>1392.5596784769996</v>
      </c>
      <c r="V3438" s="315">
        <f t="shared" si="825"/>
        <v>1400</v>
      </c>
      <c r="W3438" s="316">
        <f t="shared" si="823"/>
        <v>0</v>
      </c>
    </row>
    <row r="3439" spans="1:23" x14ac:dyDescent="0.25">
      <c r="A3439" s="200" t="s">
        <v>15624</v>
      </c>
      <c r="B3439" s="313" t="s">
        <v>15625</v>
      </c>
      <c r="C3439" s="248"/>
      <c r="D3439" s="247" t="s">
        <v>11</v>
      </c>
      <c r="E3439" s="249">
        <f t="shared" si="815"/>
        <v>0</v>
      </c>
      <c r="F3439" s="314"/>
      <c r="G3439" s="258">
        <f t="shared" si="816"/>
        <v>0</v>
      </c>
      <c r="H3439" s="249">
        <f t="shared" si="817"/>
        <v>1111.0481402915202</v>
      </c>
      <c r="I3439" s="258">
        <v>0.874</v>
      </c>
      <c r="J3439" s="258">
        <f t="shared" si="818"/>
        <v>0.874</v>
      </c>
      <c r="K3439" s="249">
        <f t="shared" si="819"/>
        <v>41.950330239840014</v>
      </c>
      <c r="L3439" s="314">
        <v>3.3000000000000002E-2</v>
      </c>
      <c r="M3439" s="258">
        <f t="shared" si="820"/>
        <v>3.3000000000000002E-2</v>
      </c>
      <c r="N3439" s="251">
        <f t="shared" si="821"/>
        <v>118.22365794864002</v>
      </c>
      <c r="O3439" s="258">
        <v>9.2999999999999999E-2</v>
      </c>
      <c r="P3439" s="258">
        <f t="shared" si="822"/>
        <v>9.2999999999999999E-2</v>
      </c>
      <c r="Q3439" s="249">
        <v>1249.76</v>
      </c>
      <c r="R3439" s="249">
        <f t="shared" si="824"/>
        <v>1271.2221284800003</v>
      </c>
      <c r="S3439" s="258">
        <v>0.1</v>
      </c>
      <c r="T3439" s="169">
        <f>Q3439+Q3439*S3439+0.95+0.31</f>
        <v>1375.9959999999999</v>
      </c>
      <c r="U3439" s="315">
        <f t="shared" si="826"/>
        <v>1398.3443413280004</v>
      </c>
      <c r="V3439" s="315">
        <f t="shared" si="825"/>
        <v>1400</v>
      </c>
      <c r="W3439" s="316">
        <f t="shared" si="823"/>
        <v>0</v>
      </c>
    </row>
    <row r="3440" spans="1:23" x14ac:dyDescent="0.25">
      <c r="A3440" s="200" t="s">
        <v>15626</v>
      </c>
      <c r="B3440" s="313" t="s">
        <v>15627</v>
      </c>
      <c r="C3440" s="248"/>
      <c r="D3440" s="247" t="s">
        <v>11</v>
      </c>
      <c r="E3440" s="249">
        <f t="shared" si="815"/>
        <v>0</v>
      </c>
      <c r="F3440" s="314"/>
      <c r="G3440" s="258">
        <f t="shared" si="816"/>
        <v>0</v>
      </c>
      <c r="H3440" s="249">
        <f t="shared" si="817"/>
        <v>1174.23352235124</v>
      </c>
      <c r="I3440" s="258">
        <v>0.84599999999999997</v>
      </c>
      <c r="J3440" s="258">
        <f t="shared" si="818"/>
        <v>0.84599999999999997</v>
      </c>
      <c r="K3440" s="249">
        <f t="shared" si="819"/>
        <v>48.57940104290001</v>
      </c>
      <c r="L3440" s="314">
        <v>3.5000000000000003E-2</v>
      </c>
      <c r="M3440" s="258">
        <f t="shared" si="820"/>
        <v>3.5000000000000003E-2</v>
      </c>
      <c r="N3440" s="251">
        <f t="shared" si="821"/>
        <v>165.16996354586001</v>
      </c>
      <c r="O3440" s="258">
        <v>0.11899999999999999</v>
      </c>
      <c r="P3440" s="258">
        <f t="shared" si="822"/>
        <v>0.11899999999999999</v>
      </c>
      <c r="Q3440" s="249">
        <v>1364.74</v>
      </c>
      <c r="R3440" s="249">
        <f t="shared" si="824"/>
        <v>1387.9828869400001</v>
      </c>
      <c r="S3440" s="258">
        <v>0.1</v>
      </c>
      <c r="T3440" s="169">
        <f>Q3440+Q3440*S3440+0.79</f>
        <v>1502.0039999999999</v>
      </c>
      <c r="U3440" s="315">
        <f t="shared" si="826"/>
        <v>1526.7811756340002</v>
      </c>
      <c r="V3440" s="315">
        <f t="shared" si="825"/>
        <v>1550</v>
      </c>
      <c r="W3440" s="316">
        <f t="shared" si="823"/>
        <v>0</v>
      </c>
    </row>
    <row r="3441" spans="1:23" x14ac:dyDescent="0.25">
      <c r="A3441" s="200" t="s">
        <v>15628</v>
      </c>
      <c r="B3441" s="313" t="s">
        <v>15629</v>
      </c>
      <c r="C3441" s="248"/>
      <c r="D3441" s="247" t="s">
        <v>11</v>
      </c>
      <c r="E3441" s="249">
        <f t="shared" si="815"/>
        <v>0</v>
      </c>
      <c r="F3441" s="314"/>
      <c r="G3441" s="258">
        <f t="shared" si="816"/>
        <v>0</v>
      </c>
      <c r="H3441" s="249">
        <f t="shared" si="817"/>
        <v>1179.5852615169599</v>
      </c>
      <c r="I3441" s="258">
        <v>0.84599999999999997</v>
      </c>
      <c r="J3441" s="258">
        <f t="shared" si="818"/>
        <v>0.84599999999999997</v>
      </c>
      <c r="K3441" s="249">
        <f t="shared" si="819"/>
        <v>48.800808691600004</v>
      </c>
      <c r="L3441" s="314">
        <v>3.5000000000000003E-2</v>
      </c>
      <c r="M3441" s="258">
        <f t="shared" si="820"/>
        <v>3.5000000000000003E-2</v>
      </c>
      <c r="N3441" s="251">
        <f t="shared" si="821"/>
        <v>165.92274955144001</v>
      </c>
      <c r="O3441" s="258">
        <v>0.11899999999999999</v>
      </c>
      <c r="P3441" s="258">
        <f t="shared" si="822"/>
        <v>0.11899999999999999</v>
      </c>
      <c r="Q3441" s="249">
        <v>1370.96</v>
      </c>
      <c r="R3441" s="249">
        <f t="shared" si="824"/>
        <v>1394.30881976</v>
      </c>
      <c r="S3441" s="258">
        <v>0.1</v>
      </c>
      <c r="T3441" s="169">
        <f>Q3441+Q3441*S3441+0.94</f>
        <v>1508.9960000000001</v>
      </c>
      <c r="U3441" s="315">
        <f t="shared" si="826"/>
        <v>1533.7397017359999</v>
      </c>
      <c r="V3441" s="315">
        <f t="shared" si="825"/>
        <v>1550</v>
      </c>
      <c r="W3441" s="316">
        <f t="shared" si="823"/>
        <v>0</v>
      </c>
    </row>
    <row r="3442" spans="1:23" x14ac:dyDescent="0.25">
      <c r="A3442" s="200" t="s">
        <v>15630</v>
      </c>
      <c r="B3442" s="313" t="s">
        <v>15631</v>
      </c>
      <c r="C3442" s="248"/>
      <c r="D3442" s="247" t="s">
        <v>11</v>
      </c>
      <c r="E3442" s="249">
        <f t="shared" si="815"/>
        <v>0</v>
      </c>
      <c r="F3442" s="314"/>
      <c r="G3442" s="258">
        <f t="shared" si="816"/>
        <v>0</v>
      </c>
      <c r="H3442" s="249">
        <f t="shared" si="817"/>
        <v>1311.0134049823998</v>
      </c>
      <c r="I3442" s="258">
        <v>0.86</v>
      </c>
      <c r="J3442" s="258">
        <f t="shared" si="818"/>
        <v>0.86</v>
      </c>
      <c r="K3442" s="249">
        <f t="shared" si="819"/>
        <v>48.781894138879998</v>
      </c>
      <c r="L3442" s="314">
        <v>3.2000000000000001E-2</v>
      </c>
      <c r="M3442" s="258">
        <f t="shared" si="820"/>
        <v>3.2000000000000001E-2</v>
      </c>
      <c r="N3442" s="251">
        <f t="shared" si="821"/>
        <v>164.63889271871997</v>
      </c>
      <c r="O3442" s="258">
        <v>0.108</v>
      </c>
      <c r="P3442" s="258">
        <f t="shared" si="822"/>
        <v>0.108</v>
      </c>
      <c r="Q3442" s="249">
        <v>1498.84</v>
      </c>
      <c r="R3442" s="249">
        <f t="shared" si="824"/>
        <v>1524.4341918399998</v>
      </c>
      <c r="S3442" s="258">
        <v>0.1</v>
      </c>
      <c r="T3442" s="169">
        <f>Q3442+Q3442*S3442+1.28</f>
        <v>1650.0039999999999</v>
      </c>
      <c r="U3442" s="315">
        <f t="shared" si="826"/>
        <v>1676.8776110239999</v>
      </c>
      <c r="V3442" s="315">
        <f t="shared" si="825"/>
        <v>1700</v>
      </c>
      <c r="W3442" s="316">
        <f t="shared" si="823"/>
        <v>0</v>
      </c>
    </row>
    <row r="3443" spans="1:23" x14ac:dyDescent="0.25">
      <c r="A3443" s="200" t="s">
        <v>15632</v>
      </c>
      <c r="B3443" s="313" t="s">
        <v>15633</v>
      </c>
      <c r="C3443" s="248"/>
      <c r="D3443" s="247" t="s">
        <v>11</v>
      </c>
      <c r="E3443" s="249">
        <f t="shared" si="815"/>
        <v>0</v>
      </c>
      <c r="F3443" s="314"/>
      <c r="G3443" s="258">
        <f t="shared" si="816"/>
        <v>0</v>
      </c>
      <c r="H3443" s="249">
        <f t="shared" si="817"/>
        <v>1316.0428458024001</v>
      </c>
      <c r="I3443" s="258">
        <v>0.86</v>
      </c>
      <c r="J3443" s="258">
        <f t="shared" si="818"/>
        <v>0.86</v>
      </c>
      <c r="K3443" s="249">
        <f t="shared" si="819"/>
        <v>48.969036122880006</v>
      </c>
      <c r="L3443" s="314">
        <v>3.2000000000000001E-2</v>
      </c>
      <c r="M3443" s="258">
        <f t="shared" si="820"/>
        <v>3.2000000000000001E-2</v>
      </c>
      <c r="N3443" s="251">
        <f t="shared" si="821"/>
        <v>165.27049691472001</v>
      </c>
      <c r="O3443" s="258">
        <v>0.108</v>
      </c>
      <c r="P3443" s="258">
        <f t="shared" si="822"/>
        <v>0.108</v>
      </c>
      <c r="Q3443" s="249">
        <v>1504.59</v>
      </c>
      <c r="R3443" s="249">
        <f t="shared" si="824"/>
        <v>1530.2823788400001</v>
      </c>
      <c r="S3443" s="258">
        <v>0.1</v>
      </c>
      <c r="T3443" s="169">
        <f>Q3443+Q3443*S3443+1.28+0.67</f>
        <v>1656.999</v>
      </c>
      <c r="U3443" s="315">
        <f t="shared" si="826"/>
        <v>1683.3106167240001</v>
      </c>
      <c r="V3443" s="315">
        <f t="shared" si="825"/>
        <v>1700</v>
      </c>
      <c r="W3443" s="316">
        <f t="shared" si="823"/>
        <v>0</v>
      </c>
    </row>
    <row r="3444" spans="1:23" x14ac:dyDescent="0.25">
      <c r="A3444" s="200" t="s">
        <v>15634</v>
      </c>
      <c r="B3444" s="313" t="s">
        <v>15635</v>
      </c>
      <c r="C3444" s="248"/>
      <c r="D3444" s="247" t="s">
        <v>11</v>
      </c>
      <c r="E3444" s="249">
        <f t="shared" si="815"/>
        <v>0</v>
      </c>
      <c r="F3444" s="314"/>
      <c r="G3444" s="258">
        <f t="shared" si="816"/>
        <v>0</v>
      </c>
      <c r="H3444" s="249">
        <f t="shared" si="817"/>
        <v>1199.7653529067202</v>
      </c>
      <c r="I3444" s="258">
        <v>0.84899999999999998</v>
      </c>
      <c r="J3444" s="258">
        <f t="shared" si="818"/>
        <v>0.84899999999999998</v>
      </c>
      <c r="K3444" s="249">
        <f t="shared" si="819"/>
        <v>48.047140163520012</v>
      </c>
      <c r="L3444" s="314">
        <v>3.4000000000000002E-2</v>
      </c>
      <c r="M3444" s="258">
        <f t="shared" si="820"/>
        <v>3.4000000000000002E-2</v>
      </c>
      <c r="N3444" s="251">
        <f t="shared" si="821"/>
        <v>165.33868820976002</v>
      </c>
      <c r="O3444" s="258">
        <v>0.11700000000000001</v>
      </c>
      <c r="P3444" s="258">
        <f t="shared" si="822"/>
        <v>0.11700000000000001</v>
      </c>
      <c r="Q3444" s="249">
        <v>1389.48</v>
      </c>
      <c r="R3444" s="249">
        <f t="shared" si="824"/>
        <v>1413.1511812800002</v>
      </c>
      <c r="S3444" s="258">
        <v>0.1</v>
      </c>
      <c r="T3444" s="169">
        <f>Q3444+Q3444*S3444+1.28+0.67-0.38</f>
        <v>1529.998</v>
      </c>
      <c r="U3444" s="315">
        <f t="shared" si="826"/>
        <v>1554.4662994080002</v>
      </c>
      <c r="V3444" s="315">
        <f t="shared" si="825"/>
        <v>1575</v>
      </c>
      <c r="W3444" s="316">
        <f t="shared" si="823"/>
        <v>0</v>
      </c>
    </row>
    <row r="3445" spans="1:23" x14ac:dyDescent="0.25">
      <c r="A3445" s="200" t="s">
        <v>15636</v>
      </c>
      <c r="B3445" s="313" t="s">
        <v>15637</v>
      </c>
      <c r="C3445" s="248"/>
      <c r="D3445" s="247" t="s">
        <v>11</v>
      </c>
      <c r="E3445" s="249">
        <f t="shared" si="815"/>
        <v>0</v>
      </c>
      <c r="F3445" s="314"/>
      <c r="G3445" s="258">
        <f t="shared" si="816"/>
        <v>0</v>
      </c>
      <c r="H3445" s="249">
        <f t="shared" si="817"/>
        <v>1071.6658155151201</v>
      </c>
      <c r="I3445" s="258">
        <v>0.86099999999999999</v>
      </c>
      <c r="J3445" s="258">
        <f t="shared" si="818"/>
        <v>0.86099999999999999</v>
      </c>
      <c r="K3445" s="249">
        <f t="shared" si="819"/>
        <v>42.318975293280005</v>
      </c>
      <c r="L3445" s="314">
        <v>3.4000000000000002E-2</v>
      </c>
      <c r="M3445" s="258">
        <f t="shared" si="820"/>
        <v>3.4000000000000002E-2</v>
      </c>
      <c r="N3445" s="251">
        <f t="shared" si="821"/>
        <v>130.69095311160001</v>
      </c>
      <c r="O3445" s="258">
        <v>0.105</v>
      </c>
      <c r="P3445" s="258">
        <f t="shared" si="822"/>
        <v>0.105</v>
      </c>
      <c r="Q3445" s="249">
        <v>1223.74</v>
      </c>
      <c r="R3445" s="249">
        <f t="shared" si="824"/>
        <v>1244.6757439200001</v>
      </c>
      <c r="S3445" s="258">
        <v>0.1</v>
      </c>
      <c r="T3445" s="169">
        <f>Q3445+Q3445*S3445+1.28+0.61</f>
        <v>1348.0039999999999</v>
      </c>
      <c r="U3445" s="315">
        <f t="shared" si="826"/>
        <v>1369.143318312</v>
      </c>
      <c r="V3445" s="315">
        <f t="shared" si="825"/>
        <v>1375</v>
      </c>
      <c r="W3445" s="316">
        <f t="shared" si="823"/>
        <v>0</v>
      </c>
    </row>
    <row r="3446" spans="1:23" x14ac:dyDescent="0.25">
      <c r="A3446" s="200" t="s">
        <v>15638</v>
      </c>
      <c r="B3446" s="313" t="s">
        <v>15637</v>
      </c>
      <c r="C3446" s="248"/>
      <c r="D3446" s="247" t="s">
        <v>11</v>
      </c>
      <c r="E3446" s="249">
        <f t="shared" si="815"/>
        <v>0</v>
      </c>
      <c r="F3446" s="314"/>
      <c r="G3446" s="258">
        <f t="shared" si="816"/>
        <v>0</v>
      </c>
      <c r="H3446" s="249">
        <f t="shared" si="817"/>
        <v>1213.6806907750001</v>
      </c>
      <c r="I3446" s="258">
        <v>0.875</v>
      </c>
      <c r="J3446" s="258">
        <f t="shared" si="818"/>
        <v>0.875</v>
      </c>
      <c r="K3446" s="249">
        <f t="shared" si="819"/>
        <v>41.611909398000002</v>
      </c>
      <c r="L3446" s="314">
        <v>0.03</v>
      </c>
      <c r="M3446" s="258">
        <f t="shared" si="820"/>
        <v>0.03</v>
      </c>
      <c r="N3446" s="251">
        <f t="shared" si="821"/>
        <v>131.77104642700002</v>
      </c>
      <c r="O3446" s="258">
        <v>9.5000000000000001E-2</v>
      </c>
      <c r="P3446" s="258">
        <f t="shared" si="822"/>
        <v>9.5000000000000001E-2</v>
      </c>
      <c r="Q3446" s="249">
        <v>1363.69</v>
      </c>
      <c r="R3446" s="249">
        <f t="shared" si="824"/>
        <v>1387.0636466000001</v>
      </c>
      <c r="S3446" s="258">
        <v>0.1</v>
      </c>
      <c r="T3446" s="169">
        <f>Q3446+Q3446*S3446+1.28+0.67-0.76-1.25</f>
        <v>1499.999</v>
      </c>
      <c r="U3446" s="315">
        <f t="shared" si="826"/>
        <v>1525.77001126</v>
      </c>
      <c r="V3446" s="315">
        <f t="shared" si="825"/>
        <v>1550</v>
      </c>
      <c r="W3446" s="316">
        <f t="shared" si="823"/>
        <v>0</v>
      </c>
    </row>
    <row r="3447" spans="1:23" x14ac:dyDescent="0.25">
      <c r="A3447" s="200" t="s">
        <v>15639</v>
      </c>
      <c r="B3447" s="313" t="s">
        <v>15640</v>
      </c>
      <c r="C3447" s="248"/>
      <c r="D3447" s="247" t="s">
        <v>11</v>
      </c>
      <c r="E3447" s="249">
        <f t="shared" si="815"/>
        <v>0</v>
      </c>
      <c r="F3447" s="314"/>
      <c r="G3447" s="258">
        <f t="shared" si="816"/>
        <v>0</v>
      </c>
      <c r="H3447" s="249">
        <f t="shared" si="817"/>
        <v>1214.2591891499999</v>
      </c>
      <c r="I3447" s="258">
        <v>0.875</v>
      </c>
      <c r="J3447" s="258">
        <f t="shared" si="818"/>
        <v>0.875</v>
      </c>
      <c r="K3447" s="249">
        <f t="shared" si="819"/>
        <v>41.631743627999995</v>
      </c>
      <c r="L3447" s="314">
        <v>0.03</v>
      </c>
      <c r="M3447" s="258">
        <f t="shared" si="820"/>
        <v>0.03</v>
      </c>
      <c r="N3447" s="251">
        <f t="shared" si="821"/>
        <v>131.83385482199998</v>
      </c>
      <c r="O3447" s="258">
        <v>9.5000000000000001E-2</v>
      </c>
      <c r="P3447" s="258">
        <f t="shared" si="822"/>
        <v>9.5000000000000001E-2</v>
      </c>
      <c r="Q3447" s="249">
        <v>1364.34</v>
      </c>
      <c r="R3447" s="249">
        <f t="shared" si="824"/>
        <v>1387.7247875999999</v>
      </c>
      <c r="S3447" s="258">
        <v>0.1</v>
      </c>
      <c r="T3447" s="169">
        <f>Q3447+Q3447*S3447+1.28+0.67-0.76-1.25+0.29</f>
        <v>1501.0039999999999</v>
      </c>
      <c r="U3447" s="315">
        <f t="shared" si="826"/>
        <v>1526.4972663599999</v>
      </c>
      <c r="V3447" s="315">
        <f t="shared" si="825"/>
        <v>1550</v>
      </c>
      <c r="W3447" s="316">
        <f t="shared" si="823"/>
        <v>0</v>
      </c>
    </row>
    <row r="3448" spans="1:23" x14ac:dyDescent="0.25">
      <c r="A3448" s="200" t="s">
        <v>15641</v>
      </c>
      <c r="B3448" s="313" t="s">
        <v>15642</v>
      </c>
      <c r="C3448" s="248"/>
      <c r="D3448" s="247" t="s">
        <v>11</v>
      </c>
      <c r="E3448" s="249">
        <f t="shared" si="815"/>
        <v>0</v>
      </c>
      <c r="F3448" s="314"/>
      <c r="G3448" s="258">
        <f t="shared" si="816"/>
        <v>0</v>
      </c>
      <c r="H3448" s="249">
        <f t="shared" si="817"/>
        <v>1283.82462444152</v>
      </c>
      <c r="I3448" s="258">
        <v>0.85699999999999998</v>
      </c>
      <c r="J3448" s="258">
        <f t="shared" si="818"/>
        <v>0.85699999999999998</v>
      </c>
      <c r="K3448" s="249">
        <f t="shared" si="819"/>
        <v>47.937442219520001</v>
      </c>
      <c r="L3448" s="314">
        <v>3.2000000000000001E-2</v>
      </c>
      <c r="M3448" s="258">
        <f t="shared" si="820"/>
        <v>3.2000000000000001E-2</v>
      </c>
      <c r="N3448" s="251">
        <f t="shared" si="821"/>
        <v>166.28300269896002</v>
      </c>
      <c r="O3448" s="258">
        <v>0.111</v>
      </c>
      <c r="P3448" s="258">
        <f t="shared" si="822"/>
        <v>0.111</v>
      </c>
      <c r="Q3448" s="249">
        <v>1472.92</v>
      </c>
      <c r="R3448" s="249">
        <f t="shared" si="824"/>
        <v>1498.0450693600001</v>
      </c>
      <c r="S3448" s="258">
        <v>0.1</v>
      </c>
      <c r="T3448" s="169">
        <f>Q3448+Q3448*S3448+1.28+0.67-0.76-1.25+0.29-0.44</f>
        <v>1620.002</v>
      </c>
      <c r="U3448" s="315">
        <f t="shared" si="826"/>
        <v>1647.8495762960001</v>
      </c>
      <c r="V3448" s="315">
        <f t="shared" si="825"/>
        <v>1650</v>
      </c>
      <c r="W3448" s="316">
        <f t="shared" si="823"/>
        <v>0</v>
      </c>
    </row>
    <row r="3449" spans="1:23" x14ac:dyDescent="0.25">
      <c r="A3449" s="200" t="s">
        <v>15643</v>
      </c>
      <c r="B3449" s="313" t="s">
        <v>15644</v>
      </c>
      <c r="C3449" s="248"/>
      <c r="D3449" s="247" t="s">
        <v>11</v>
      </c>
      <c r="E3449" s="249">
        <f t="shared" si="815"/>
        <v>0</v>
      </c>
      <c r="F3449" s="314"/>
      <c r="G3449" s="258">
        <f t="shared" si="816"/>
        <v>0</v>
      </c>
      <c r="H3449" s="249">
        <f t="shared" si="817"/>
        <v>1290.34793734704</v>
      </c>
      <c r="I3449" s="258">
        <v>0.85799999999999998</v>
      </c>
      <c r="J3449" s="258">
        <f t="shared" si="818"/>
        <v>0.85799999999999998</v>
      </c>
      <c r="K3449" s="249">
        <f t="shared" si="819"/>
        <v>48.124864796160004</v>
      </c>
      <c r="L3449" s="314">
        <v>3.2000000000000001E-2</v>
      </c>
      <c r="M3449" s="258">
        <f t="shared" si="820"/>
        <v>3.2000000000000001E-2</v>
      </c>
      <c r="N3449" s="251">
        <f t="shared" si="821"/>
        <v>165.4292227368</v>
      </c>
      <c r="O3449" s="258">
        <v>0.11</v>
      </c>
      <c r="P3449" s="258">
        <f t="shared" si="822"/>
        <v>0.11</v>
      </c>
      <c r="Q3449" s="249">
        <v>1478.67</v>
      </c>
      <c r="R3449" s="249">
        <f t="shared" si="824"/>
        <v>1503.90202488</v>
      </c>
      <c r="S3449" s="258">
        <v>0.1</v>
      </c>
      <c r="T3449" s="169">
        <f>Q3449+Q3449*S3449+1.28+0.67-0.76-1.25+0.29-0.44+0.67</f>
        <v>1626.9970000000001</v>
      </c>
      <c r="U3449" s="315">
        <f t="shared" si="826"/>
        <v>1654.2922273680001</v>
      </c>
      <c r="V3449" s="315">
        <f t="shared" si="825"/>
        <v>1675</v>
      </c>
      <c r="W3449" s="316">
        <f t="shared" si="823"/>
        <v>0</v>
      </c>
    </row>
    <row r="3450" spans="1:23" x14ac:dyDescent="0.25">
      <c r="A3450" s="200" t="s">
        <v>15645</v>
      </c>
      <c r="B3450" s="313" t="s">
        <v>15646</v>
      </c>
      <c r="C3450" s="248"/>
      <c r="D3450" s="247" t="s">
        <v>11</v>
      </c>
      <c r="E3450" s="249">
        <f t="shared" si="815"/>
        <v>0</v>
      </c>
      <c r="F3450" s="314"/>
      <c r="G3450" s="258">
        <f t="shared" si="816"/>
        <v>0</v>
      </c>
      <c r="H3450" s="249">
        <f t="shared" si="817"/>
        <v>1413.12837750224</v>
      </c>
      <c r="I3450" s="258">
        <v>0.86799999999999999</v>
      </c>
      <c r="J3450" s="258">
        <f t="shared" si="818"/>
        <v>0.86799999999999999</v>
      </c>
      <c r="K3450" s="249">
        <f t="shared" si="819"/>
        <v>48.840842540400004</v>
      </c>
      <c r="L3450" s="314">
        <v>0.03</v>
      </c>
      <c r="M3450" s="258">
        <f t="shared" si="820"/>
        <v>0.03</v>
      </c>
      <c r="N3450" s="251">
        <f t="shared" si="821"/>
        <v>166.05886463735999</v>
      </c>
      <c r="O3450" s="258">
        <v>0.10199999999999999</v>
      </c>
      <c r="P3450" s="258">
        <f t="shared" si="822"/>
        <v>0.10199999999999999</v>
      </c>
      <c r="Q3450" s="249">
        <v>1600.66</v>
      </c>
      <c r="R3450" s="249">
        <f t="shared" si="824"/>
        <v>1628.0280846800001</v>
      </c>
      <c r="S3450" s="258">
        <v>0.1</v>
      </c>
      <c r="T3450" s="169">
        <f>Q3450+Q3450*S3450+1.28+0.67-0.76-1.25+0.29-0.44+1.48</f>
        <v>1761.9960000000001</v>
      </c>
      <c r="U3450" s="315">
        <f t="shared" si="826"/>
        <v>1790.8308931480001</v>
      </c>
      <c r="V3450" s="315">
        <f t="shared" si="825"/>
        <v>1800</v>
      </c>
      <c r="W3450" s="316">
        <f t="shared" si="823"/>
        <v>0</v>
      </c>
    </row>
    <row r="3451" spans="1:23" x14ac:dyDescent="0.25">
      <c r="A3451" s="200" t="s">
        <v>15647</v>
      </c>
      <c r="B3451" s="313" t="s">
        <v>15648</v>
      </c>
      <c r="C3451" s="248"/>
      <c r="D3451" s="247" t="s">
        <v>11</v>
      </c>
      <c r="E3451" s="249">
        <f t="shared" si="815"/>
        <v>0</v>
      </c>
      <c r="F3451" s="314"/>
      <c r="G3451" s="258">
        <f t="shared" si="816"/>
        <v>0</v>
      </c>
      <c r="H3451" s="249">
        <f t="shared" si="817"/>
        <v>1314.8532737128003</v>
      </c>
      <c r="I3451" s="258">
        <v>0.86</v>
      </c>
      <c r="J3451" s="258">
        <f t="shared" si="818"/>
        <v>0.86</v>
      </c>
      <c r="K3451" s="249">
        <f t="shared" si="819"/>
        <v>48.924772975360007</v>
      </c>
      <c r="L3451" s="314">
        <v>3.2000000000000001E-2</v>
      </c>
      <c r="M3451" s="258">
        <f t="shared" si="820"/>
        <v>3.2000000000000001E-2</v>
      </c>
      <c r="N3451" s="251">
        <f t="shared" si="821"/>
        <v>165.12110879184002</v>
      </c>
      <c r="O3451" s="258">
        <v>0.108</v>
      </c>
      <c r="P3451" s="258">
        <f t="shared" si="822"/>
        <v>0.108</v>
      </c>
      <c r="Q3451" s="249">
        <v>1503.23</v>
      </c>
      <c r="R3451" s="249">
        <f t="shared" si="824"/>
        <v>1528.8991554800002</v>
      </c>
      <c r="S3451" s="258">
        <v>0.1</v>
      </c>
      <c r="T3451" s="169">
        <f>Q3451+Q3451*S3451+1.28+0.67-0.76-1.25+0.29-0.44+1.66</f>
        <v>1655.0030000000002</v>
      </c>
      <c r="U3451" s="315">
        <f t="shared" si="826"/>
        <v>1681.7890710280003</v>
      </c>
      <c r="V3451" s="315">
        <f t="shared" si="825"/>
        <v>1700</v>
      </c>
      <c r="W3451" s="316">
        <f t="shared" si="823"/>
        <v>0</v>
      </c>
    </row>
    <row r="3452" spans="1:23" ht="21" x14ac:dyDescent="0.25">
      <c r="A3452" s="200" t="s">
        <v>15649</v>
      </c>
      <c r="B3452" s="255" t="s">
        <v>15650</v>
      </c>
      <c r="C3452" s="248"/>
      <c r="D3452" s="247" t="s">
        <v>11</v>
      </c>
      <c r="E3452" s="249">
        <f t="shared" si="815"/>
        <v>0</v>
      </c>
      <c r="F3452" s="314"/>
      <c r="G3452" s="258">
        <f t="shared" si="816"/>
        <v>0</v>
      </c>
      <c r="H3452" s="249">
        <f t="shared" si="817"/>
        <v>195.89603808283996</v>
      </c>
      <c r="I3452" s="258">
        <v>0.58699999999999997</v>
      </c>
      <c r="J3452" s="258">
        <f t="shared" si="818"/>
        <v>0.58699999999999997</v>
      </c>
      <c r="K3452" s="249">
        <f t="shared" si="819"/>
        <v>21.024617375159998</v>
      </c>
      <c r="L3452" s="314">
        <v>6.3E-2</v>
      </c>
      <c r="M3452" s="258">
        <f t="shared" si="820"/>
        <v>6.3E-2</v>
      </c>
      <c r="N3452" s="251">
        <f t="shared" si="821"/>
        <v>116.80342986199999</v>
      </c>
      <c r="O3452" s="258">
        <v>0.35</v>
      </c>
      <c r="P3452" s="258">
        <f t="shared" si="822"/>
        <v>0.35</v>
      </c>
      <c r="Q3452" s="249">
        <v>328.52</v>
      </c>
      <c r="R3452" s="249">
        <f t="shared" si="824"/>
        <v>333.72408531999997</v>
      </c>
      <c r="S3452" s="258">
        <v>0.1</v>
      </c>
      <c r="T3452" s="169">
        <f>Q3452+Q3452*S3452+0.63</f>
        <v>362.00199999999995</v>
      </c>
      <c r="U3452" s="315">
        <f t="shared" si="826"/>
        <v>367.09649385199998</v>
      </c>
      <c r="V3452" s="315">
        <f t="shared" si="825"/>
        <v>370</v>
      </c>
      <c r="W3452" s="316">
        <f t="shared" si="823"/>
        <v>0</v>
      </c>
    </row>
    <row r="3453" spans="1:23" ht="21.6" thickBot="1" x14ac:dyDescent="0.3">
      <c r="A3453" s="263" t="s">
        <v>15651</v>
      </c>
      <c r="B3453" s="327" t="s">
        <v>15652</v>
      </c>
      <c r="C3453" s="265"/>
      <c r="D3453" s="264" t="s">
        <v>11</v>
      </c>
      <c r="E3453" s="266">
        <f t="shared" si="815"/>
        <v>0</v>
      </c>
      <c r="F3453" s="323"/>
      <c r="G3453" s="322">
        <f t="shared" si="816"/>
        <v>0</v>
      </c>
      <c r="H3453" s="266">
        <f t="shared" si="817"/>
        <v>199.8600571632</v>
      </c>
      <c r="I3453" s="322">
        <v>0.58799999999999997</v>
      </c>
      <c r="J3453" s="322">
        <f t="shared" si="818"/>
        <v>0.58799999999999997</v>
      </c>
      <c r="K3453" s="266">
        <f t="shared" si="819"/>
        <v>21.073679496800001</v>
      </c>
      <c r="L3453" s="323">
        <v>6.2E-2</v>
      </c>
      <c r="M3453" s="322">
        <f t="shared" si="820"/>
        <v>6.2E-2</v>
      </c>
      <c r="N3453" s="270">
        <f t="shared" si="821"/>
        <v>118.96431974000001</v>
      </c>
      <c r="O3453" s="322">
        <v>0.35</v>
      </c>
      <c r="P3453" s="322">
        <f t="shared" si="822"/>
        <v>0.35</v>
      </c>
      <c r="Q3453" s="266">
        <v>334.6</v>
      </c>
      <c r="R3453" s="266">
        <f t="shared" si="824"/>
        <v>339.89805640000003</v>
      </c>
      <c r="S3453" s="322">
        <v>0.1</v>
      </c>
      <c r="T3453" s="291">
        <f>Q3453+Q3453*S3453-0.06</f>
        <v>368</v>
      </c>
      <c r="U3453" s="324">
        <f t="shared" si="826"/>
        <v>373.88786204000002</v>
      </c>
      <c r="V3453" s="324">
        <f t="shared" si="825"/>
        <v>375</v>
      </c>
      <c r="W3453" s="325">
        <f t="shared" si="823"/>
        <v>0</v>
      </c>
    </row>
    <row r="3454" spans="1:23" ht="21" x14ac:dyDescent="0.25">
      <c r="A3454" s="200" t="s">
        <v>15653</v>
      </c>
      <c r="B3454" s="255" t="s">
        <v>15654</v>
      </c>
      <c r="C3454" s="248"/>
      <c r="D3454" s="247" t="s">
        <v>11</v>
      </c>
      <c r="E3454" s="249">
        <f t="shared" si="815"/>
        <v>0</v>
      </c>
      <c r="F3454" s="314"/>
      <c r="G3454" s="258">
        <f t="shared" si="816"/>
        <v>0</v>
      </c>
      <c r="H3454" s="249">
        <f t="shared" si="817"/>
        <v>126.76986543</v>
      </c>
      <c r="I3454" s="258">
        <v>0.57999999999999996</v>
      </c>
      <c r="J3454" s="258">
        <f t="shared" si="818"/>
        <v>0.57999999999999996</v>
      </c>
      <c r="K3454" s="249">
        <f t="shared" si="819"/>
        <v>15.299811345000002</v>
      </c>
      <c r="L3454" s="314">
        <v>7.0000000000000007E-2</v>
      </c>
      <c r="M3454" s="258">
        <f t="shared" si="820"/>
        <v>7.0000000000000007E-2</v>
      </c>
      <c r="N3454" s="251">
        <f t="shared" si="821"/>
        <v>76.499056725000003</v>
      </c>
      <c r="O3454" s="258">
        <v>0.35</v>
      </c>
      <c r="P3454" s="258">
        <f t="shared" si="822"/>
        <v>0.35</v>
      </c>
      <c r="Q3454" s="249">
        <v>215.15</v>
      </c>
      <c r="R3454" s="249">
        <f t="shared" si="824"/>
        <v>218.56873350000001</v>
      </c>
      <c r="S3454" s="258">
        <v>0.1</v>
      </c>
      <c r="T3454" s="169">
        <f>Q3454+Q3454*S3454+0.33</f>
        <v>236.99500000000003</v>
      </c>
      <c r="U3454" s="315">
        <f t="shared" si="826"/>
        <v>240.42560685000001</v>
      </c>
      <c r="V3454" s="315">
        <f t="shared" si="825"/>
        <v>245</v>
      </c>
      <c r="W3454" s="316">
        <f t="shared" si="823"/>
        <v>0</v>
      </c>
    </row>
    <row r="3455" spans="1:23" ht="21" x14ac:dyDescent="0.25">
      <c r="A3455" s="200" t="s">
        <v>15655</v>
      </c>
      <c r="B3455" s="255" t="s">
        <v>15656</v>
      </c>
      <c r="C3455" s="248"/>
      <c r="D3455" s="247" t="s">
        <v>11</v>
      </c>
      <c r="E3455" s="249">
        <f t="shared" si="815"/>
        <v>0</v>
      </c>
      <c r="F3455" s="314"/>
      <c r="G3455" s="258">
        <f t="shared" si="816"/>
        <v>0</v>
      </c>
      <c r="H3455" s="249">
        <f t="shared" si="817"/>
        <v>127.39481648432</v>
      </c>
      <c r="I3455" s="258">
        <v>0.58099999999999996</v>
      </c>
      <c r="J3455" s="258">
        <f t="shared" si="818"/>
        <v>0.58099999999999996</v>
      </c>
      <c r="K3455" s="249">
        <f t="shared" si="819"/>
        <v>15.129504883680003</v>
      </c>
      <c r="L3455" s="314">
        <v>6.9000000000000006E-2</v>
      </c>
      <c r="M3455" s="258">
        <f t="shared" si="820"/>
        <v>6.9000000000000006E-2</v>
      </c>
      <c r="N3455" s="251">
        <f t="shared" si="821"/>
        <v>76.743865352</v>
      </c>
      <c r="O3455" s="258">
        <v>0.35</v>
      </c>
      <c r="P3455" s="258">
        <f t="shared" si="822"/>
        <v>0.35</v>
      </c>
      <c r="Q3455" s="249">
        <v>215.84</v>
      </c>
      <c r="R3455" s="249">
        <f t="shared" si="824"/>
        <v>219.26818672000002</v>
      </c>
      <c r="S3455" s="258">
        <v>0.1</v>
      </c>
      <c r="T3455" s="169">
        <f>Q3455+Q3455*S3455+0.58</f>
        <v>238.00400000000002</v>
      </c>
      <c r="U3455" s="315">
        <f t="shared" si="826"/>
        <v>241.19500539200001</v>
      </c>
      <c r="V3455" s="315">
        <f t="shared" si="825"/>
        <v>245</v>
      </c>
      <c r="W3455" s="316">
        <f t="shared" si="823"/>
        <v>0</v>
      </c>
    </row>
    <row r="3456" spans="1:23" ht="21" x14ac:dyDescent="0.25">
      <c r="A3456" s="200" t="s">
        <v>15657</v>
      </c>
      <c r="B3456" s="255" t="s">
        <v>15650</v>
      </c>
      <c r="C3456" s="248"/>
      <c r="D3456" s="247" t="s">
        <v>11</v>
      </c>
      <c r="E3456" s="249">
        <f t="shared" si="815"/>
        <v>0</v>
      </c>
      <c r="F3456" s="314"/>
      <c r="G3456" s="258">
        <f t="shared" si="816"/>
        <v>0</v>
      </c>
      <c r="H3456" s="249">
        <f t="shared" si="817"/>
        <v>195.89007509616997</v>
      </c>
      <c r="I3456" s="258">
        <v>0.58699999999999997</v>
      </c>
      <c r="J3456" s="258">
        <f t="shared" si="818"/>
        <v>0.58699999999999997</v>
      </c>
      <c r="K3456" s="249">
        <f t="shared" si="819"/>
        <v>21.023977395329997</v>
      </c>
      <c r="L3456" s="314">
        <v>6.3E-2</v>
      </c>
      <c r="M3456" s="258">
        <f t="shared" si="820"/>
        <v>6.3E-2</v>
      </c>
      <c r="N3456" s="251">
        <f t="shared" si="821"/>
        <v>116.79987441849997</v>
      </c>
      <c r="O3456" s="258">
        <v>0.35</v>
      </c>
      <c r="P3456" s="258">
        <f t="shared" si="822"/>
        <v>0.35</v>
      </c>
      <c r="Q3456" s="249">
        <v>328.51</v>
      </c>
      <c r="R3456" s="249">
        <f t="shared" si="824"/>
        <v>333.71392690999994</v>
      </c>
      <c r="S3456" s="258">
        <v>0.1</v>
      </c>
      <c r="T3456" s="169">
        <f>Q3456+Q3456*S3456+0.64</f>
        <v>362.00099999999998</v>
      </c>
      <c r="U3456" s="315">
        <f t="shared" si="826"/>
        <v>367.08531960099992</v>
      </c>
      <c r="V3456" s="315">
        <f t="shared" si="825"/>
        <v>370</v>
      </c>
      <c r="W3456" s="316">
        <f t="shared" si="823"/>
        <v>0</v>
      </c>
    </row>
    <row r="3457" spans="1:28" ht="21" x14ac:dyDescent="0.25">
      <c r="A3457" s="200" t="s">
        <v>15658</v>
      </c>
      <c r="B3457" s="255" t="s">
        <v>15659</v>
      </c>
      <c r="C3457" s="248"/>
      <c r="D3457" s="247" t="s">
        <v>11</v>
      </c>
      <c r="E3457" s="249">
        <f t="shared" si="815"/>
        <v>0</v>
      </c>
      <c r="F3457" s="314"/>
      <c r="G3457" s="258">
        <f t="shared" si="816"/>
        <v>0</v>
      </c>
      <c r="H3457" s="249">
        <f t="shared" si="817"/>
        <v>114.84456999792</v>
      </c>
      <c r="I3457" s="258">
        <v>0.57399999999999995</v>
      </c>
      <c r="J3457" s="258">
        <f t="shared" si="818"/>
        <v>0.57399999999999995</v>
      </c>
      <c r="K3457" s="249">
        <f t="shared" si="819"/>
        <v>15.20590125408</v>
      </c>
      <c r="L3457" s="314">
        <v>7.5999999999999998E-2</v>
      </c>
      <c r="M3457" s="258">
        <f t="shared" si="820"/>
        <v>7.5999999999999998E-2</v>
      </c>
      <c r="N3457" s="251">
        <f t="shared" si="821"/>
        <v>70.027176827999995</v>
      </c>
      <c r="O3457" s="258">
        <v>0.35</v>
      </c>
      <c r="P3457" s="258">
        <f t="shared" si="822"/>
        <v>0.35</v>
      </c>
      <c r="Q3457" s="249">
        <v>196.94</v>
      </c>
      <c r="R3457" s="249">
        <f t="shared" si="824"/>
        <v>200.07764808000002</v>
      </c>
      <c r="S3457" s="258">
        <v>0.1</v>
      </c>
      <c r="T3457" s="169">
        <f>Q3457+Q3457*S3457+0.37</f>
        <v>217.00400000000002</v>
      </c>
      <c r="U3457" s="315">
        <f t="shared" si="826"/>
        <v>220.08541288800001</v>
      </c>
      <c r="V3457" s="315">
        <f t="shared" si="825"/>
        <v>225</v>
      </c>
      <c r="W3457" s="316">
        <f t="shared" si="823"/>
        <v>0</v>
      </c>
    </row>
    <row r="3458" spans="1:28" ht="21" x14ac:dyDescent="0.25">
      <c r="A3458" s="200" t="s">
        <v>15660</v>
      </c>
      <c r="B3458" s="255" t="s">
        <v>15652</v>
      </c>
      <c r="C3458" s="248"/>
      <c r="D3458" s="247" t="s">
        <v>11</v>
      </c>
      <c r="E3458" s="249">
        <f t="shared" si="815"/>
        <v>0</v>
      </c>
      <c r="F3458" s="314"/>
      <c r="G3458" s="258">
        <f t="shared" si="816"/>
        <v>0</v>
      </c>
      <c r="H3458" s="249">
        <f t="shared" si="817"/>
        <v>199.8600571632</v>
      </c>
      <c r="I3458" s="258">
        <v>0.58799999999999997</v>
      </c>
      <c r="J3458" s="258">
        <f t="shared" si="818"/>
        <v>0.58799999999999997</v>
      </c>
      <c r="K3458" s="249">
        <f t="shared" si="819"/>
        <v>21.073679496800001</v>
      </c>
      <c r="L3458" s="314">
        <v>6.2E-2</v>
      </c>
      <c r="M3458" s="258">
        <f t="shared" si="820"/>
        <v>6.2E-2</v>
      </c>
      <c r="N3458" s="251">
        <f t="shared" si="821"/>
        <v>118.96431974000001</v>
      </c>
      <c r="O3458" s="258">
        <v>0.35</v>
      </c>
      <c r="P3458" s="258">
        <f t="shared" si="822"/>
        <v>0.35</v>
      </c>
      <c r="Q3458" s="249">
        <v>334.6</v>
      </c>
      <c r="R3458" s="249">
        <f t="shared" si="824"/>
        <v>339.89805640000003</v>
      </c>
      <c r="S3458" s="258">
        <v>0.1</v>
      </c>
      <c r="T3458" s="169">
        <f>Q3458+Q3458*S3458+0.94</f>
        <v>369</v>
      </c>
      <c r="U3458" s="315">
        <f t="shared" si="826"/>
        <v>373.88786204000002</v>
      </c>
      <c r="V3458" s="315">
        <f t="shared" si="825"/>
        <v>375</v>
      </c>
      <c r="W3458" s="316">
        <f t="shared" si="823"/>
        <v>0</v>
      </c>
    </row>
    <row r="3459" spans="1:28" ht="21" x14ac:dyDescent="0.25">
      <c r="A3459" s="200" t="s">
        <v>15661</v>
      </c>
      <c r="B3459" s="255" t="s">
        <v>15662</v>
      </c>
      <c r="C3459" s="248"/>
      <c r="D3459" s="247" t="s">
        <v>11</v>
      </c>
      <c r="E3459" s="249">
        <f t="shared" ref="E3459:E3520" si="827">R3459*G3459</f>
        <v>0</v>
      </c>
      <c r="F3459" s="314"/>
      <c r="G3459" s="258">
        <f t="shared" ref="G3459:G3520" si="828">F3459</f>
        <v>0</v>
      </c>
      <c r="H3459" s="249">
        <f t="shared" ref="H3459:H3520" si="829">R3459*J3459</f>
        <v>213.67422324864</v>
      </c>
      <c r="I3459" s="258">
        <v>0.59199999999999997</v>
      </c>
      <c r="J3459" s="258">
        <f t="shared" ref="J3459:J3520" si="830">I3459</f>
        <v>0.59199999999999997</v>
      </c>
      <c r="K3459" s="249">
        <f t="shared" ref="K3459:K3520" si="831">R3459*M3459</f>
        <v>20.934298899360002</v>
      </c>
      <c r="L3459" s="314">
        <v>5.8000000000000003E-2</v>
      </c>
      <c r="M3459" s="258">
        <f t="shared" ref="M3459:M3520" si="832">L3459</f>
        <v>5.8000000000000003E-2</v>
      </c>
      <c r="N3459" s="251">
        <f t="shared" ref="N3459:N3520" si="833">P3459*R3459</f>
        <v>126.32766577199999</v>
      </c>
      <c r="O3459" s="258">
        <v>0.35</v>
      </c>
      <c r="P3459" s="258">
        <f t="shared" ref="P3459:P3520" si="834">O3459</f>
        <v>0.35</v>
      </c>
      <c r="Q3459" s="249">
        <v>355.32</v>
      </c>
      <c r="R3459" s="249">
        <f t="shared" si="824"/>
        <v>360.93618792000001</v>
      </c>
      <c r="S3459" s="258">
        <v>0.1</v>
      </c>
      <c r="T3459" s="169">
        <f>Q3459+Q3459*S3459+2.15</f>
        <v>393.00199999999995</v>
      </c>
      <c r="U3459" s="315">
        <f t="shared" si="826"/>
        <v>397.02980671199998</v>
      </c>
      <c r="V3459" s="315">
        <f t="shared" si="825"/>
        <v>400</v>
      </c>
      <c r="W3459" s="316">
        <f t="shared" si="823"/>
        <v>0</v>
      </c>
    </row>
    <row r="3460" spans="1:28" x14ac:dyDescent="0.25">
      <c r="A3460" s="195" t="s">
        <v>15663</v>
      </c>
      <c r="B3460" s="317" t="s">
        <v>15664</v>
      </c>
      <c r="C3460" s="318"/>
      <c r="D3460" s="319"/>
      <c r="E3460" s="319"/>
      <c r="F3460" s="319"/>
      <c r="G3460" s="319"/>
      <c r="H3460" s="319"/>
      <c r="I3460" s="319"/>
      <c r="J3460" s="319"/>
      <c r="K3460" s="319"/>
      <c r="L3460" s="319"/>
      <c r="M3460" s="319"/>
      <c r="N3460" s="319"/>
      <c r="O3460" s="319"/>
      <c r="P3460" s="319"/>
      <c r="Q3460" s="319"/>
      <c r="R3460" s="319"/>
      <c r="S3460" s="319"/>
      <c r="T3460" s="319"/>
      <c r="U3460" s="320"/>
      <c r="V3460" s="320"/>
      <c r="W3460" s="306"/>
    </row>
    <row r="3461" spans="1:28" x14ac:dyDescent="0.25">
      <c r="A3461" s="200" t="s">
        <v>15665</v>
      </c>
      <c r="B3461" s="313" t="s">
        <v>22840</v>
      </c>
      <c r="C3461" s="248"/>
      <c r="D3461" s="247" t="s">
        <v>11</v>
      </c>
      <c r="E3461" s="249">
        <f t="shared" si="827"/>
        <v>0</v>
      </c>
      <c r="F3461" s="314"/>
      <c r="G3461" s="258">
        <f t="shared" si="828"/>
        <v>0</v>
      </c>
      <c r="H3461" s="249">
        <f t="shared" si="829"/>
        <v>0</v>
      </c>
      <c r="I3461" s="314"/>
      <c r="J3461" s="258">
        <f t="shared" si="830"/>
        <v>0</v>
      </c>
      <c r="K3461" s="249">
        <f t="shared" si="831"/>
        <v>0</v>
      </c>
      <c r="L3461" s="314"/>
      <c r="M3461" s="258">
        <f t="shared" si="832"/>
        <v>0</v>
      </c>
      <c r="N3461" s="251">
        <f t="shared" si="833"/>
        <v>24.367945350000003</v>
      </c>
      <c r="O3461" s="258">
        <v>1</v>
      </c>
      <c r="P3461" s="258">
        <f t="shared" si="834"/>
        <v>1</v>
      </c>
      <c r="Q3461" s="249">
        <v>24.090900000000001</v>
      </c>
      <c r="R3461" s="249">
        <f t="shared" si="824"/>
        <v>24.367945350000003</v>
      </c>
      <c r="S3461" s="258">
        <v>0.1</v>
      </c>
      <c r="T3461" s="169">
        <f>Q3461+Q3461*S3461</f>
        <v>26.49999</v>
      </c>
      <c r="U3461" s="315">
        <f t="shared" si="826"/>
        <v>26.804739885000004</v>
      </c>
      <c r="V3461" s="315">
        <f t="shared" si="825"/>
        <v>27</v>
      </c>
      <c r="W3461" s="316">
        <f t="shared" si="823"/>
        <v>0</v>
      </c>
    </row>
    <row r="3462" spans="1:28" ht="21" x14ac:dyDescent="0.25">
      <c r="A3462" s="200" t="s">
        <v>15666</v>
      </c>
      <c r="B3462" s="255" t="s">
        <v>22841</v>
      </c>
      <c r="C3462" s="248"/>
      <c r="D3462" s="247" t="s">
        <v>11</v>
      </c>
      <c r="E3462" s="249">
        <f t="shared" si="827"/>
        <v>0</v>
      </c>
      <c r="F3462" s="314"/>
      <c r="G3462" s="258">
        <f t="shared" si="828"/>
        <v>0</v>
      </c>
      <c r="H3462" s="249">
        <f t="shared" si="829"/>
        <v>0</v>
      </c>
      <c r="I3462" s="314"/>
      <c r="J3462" s="258">
        <f t="shared" si="830"/>
        <v>0</v>
      </c>
      <c r="K3462" s="249">
        <f t="shared" si="831"/>
        <v>0</v>
      </c>
      <c r="L3462" s="314"/>
      <c r="M3462" s="258">
        <f t="shared" si="832"/>
        <v>0</v>
      </c>
      <c r="N3462" s="251">
        <f t="shared" si="833"/>
        <v>23.908218600000001</v>
      </c>
      <c r="O3462" s="258">
        <v>1</v>
      </c>
      <c r="P3462" s="258">
        <f t="shared" si="834"/>
        <v>1</v>
      </c>
      <c r="Q3462" s="249">
        <v>23.636399999999998</v>
      </c>
      <c r="R3462" s="249">
        <f t="shared" si="824"/>
        <v>23.908218600000001</v>
      </c>
      <c r="S3462" s="258">
        <v>0.1</v>
      </c>
      <c r="T3462" s="169">
        <f>Q3462+Q3462*S3462</f>
        <v>26.000039999999998</v>
      </c>
      <c r="U3462" s="315">
        <f t="shared" si="826"/>
        <v>26.299040460000001</v>
      </c>
      <c r="V3462" s="315">
        <f t="shared" si="825"/>
        <v>27</v>
      </c>
      <c r="W3462" s="316">
        <f t="shared" ref="W3462:W3525" si="835">C3462*V3462</f>
        <v>0</v>
      </c>
    </row>
    <row r="3463" spans="1:28" x14ac:dyDescent="0.25">
      <c r="A3463" s="200" t="s">
        <v>15666</v>
      </c>
      <c r="B3463" s="313" t="s">
        <v>22842</v>
      </c>
      <c r="C3463" s="248"/>
      <c r="D3463" s="247" t="s">
        <v>11</v>
      </c>
      <c r="E3463" s="249">
        <f t="shared" si="827"/>
        <v>0</v>
      </c>
      <c r="F3463" s="314"/>
      <c r="G3463" s="258">
        <f t="shared" si="828"/>
        <v>0</v>
      </c>
      <c r="H3463" s="249">
        <f t="shared" si="829"/>
        <v>0</v>
      </c>
      <c r="I3463" s="314"/>
      <c r="J3463" s="258">
        <f t="shared" si="830"/>
        <v>0</v>
      </c>
      <c r="K3463" s="249">
        <f t="shared" si="831"/>
        <v>0</v>
      </c>
      <c r="L3463" s="314"/>
      <c r="M3463" s="258">
        <f t="shared" si="832"/>
        <v>0</v>
      </c>
      <c r="N3463" s="251">
        <f t="shared" si="833"/>
        <v>7.1724453500000012</v>
      </c>
      <c r="O3463" s="258">
        <v>1</v>
      </c>
      <c r="P3463" s="258">
        <f t="shared" si="834"/>
        <v>1</v>
      </c>
      <c r="Q3463" s="249">
        <v>7.0909000000000004</v>
      </c>
      <c r="R3463" s="249">
        <f t="shared" si="824"/>
        <v>7.1724453500000012</v>
      </c>
      <c r="S3463" s="258">
        <v>0.1</v>
      </c>
      <c r="T3463" s="169">
        <f>Q3463+Q3463*S3463</f>
        <v>7.7999900000000002</v>
      </c>
      <c r="U3463" s="315">
        <f t="shared" si="826"/>
        <v>7.889689885000001</v>
      </c>
      <c r="V3463" s="315">
        <f t="shared" si="825"/>
        <v>8</v>
      </c>
      <c r="W3463" s="316">
        <f t="shared" si="835"/>
        <v>0</v>
      </c>
    </row>
    <row r="3464" spans="1:28" ht="31.2" x14ac:dyDescent="0.25">
      <c r="A3464" s="200" t="s">
        <v>15667</v>
      </c>
      <c r="B3464" s="255" t="s">
        <v>15668</v>
      </c>
      <c r="C3464" s="248"/>
      <c r="D3464" s="247" t="s">
        <v>11</v>
      </c>
      <c r="E3464" s="249">
        <f t="shared" si="827"/>
        <v>0</v>
      </c>
      <c r="F3464" s="314"/>
      <c r="G3464" s="258">
        <f t="shared" si="828"/>
        <v>0</v>
      </c>
      <c r="H3464" s="249">
        <f t="shared" si="829"/>
        <v>0</v>
      </c>
      <c r="I3464" s="314"/>
      <c r="J3464" s="258">
        <f t="shared" si="830"/>
        <v>0</v>
      </c>
      <c r="K3464" s="249">
        <f t="shared" si="831"/>
        <v>0</v>
      </c>
      <c r="L3464" s="314"/>
      <c r="M3464" s="258">
        <f t="shared" si="832"/>
        <v>0</v>
      </c>
      <c r="N3464" s="251">
        <f t="shared" si="833"/>
        <v>478.62339070000002</v>
      </c>
      <c r="O3464" s="258">
        <v>1</v>
      </c>
      <c r="P3464" s="258">
        <f t="shared" si="834"/>
        <v>1</v>
      </c>
      <c r="Q3464" s="249">
        <v>473.18180000000001</v>
      </c>
      <c r="R3464" s="249">
        <f t="shared" si="824"/>
        <v>478.62339070000002</v>
      </c>
      <c r="S3464" s="258">
        <v>0.1</v>
      </c>
      <c r="T3464" s="169">
        <f>Q3464+Q3464*S3464</f>
        <v>520.49998000000005</v>
      </c>
      <c r="U3464" s="315">
        <f t="shared" si="826"/>
        <v>526.48572977000003</v>
      </c>
      <c r="V3464" s="315">
        <f t="shared" si="825"/>
        <v>530</v>
      </c>
      <c r="W3464" s="316">
        <f t="shared" si="835"/>
        <v>0</v>
      </c>
    </row>
    <row r="3465" spans="1:28" x14ac:dyDescent="0.25">
      <c r="A3465" s="200" t="s">
        <v>15669</v>
      </c>
      <c r="B3465" s="313" t="s">
        <v>22843</v>
      </c>
      <c r="C3465" s="248"/>
      <c r="D3465" s="247" t="s">
        <v>11</v>
      </c>
      <c r="E3465" s="249">
        <f t="shared" si="827"/>
        <v>0</v>
      </c>
      <c r="F3465" s="314"/>
      <c r="G3465" s="258">
        <f t="shared" si="828"/>
        <v>0</v>
      </c>
      <c r="H3465" s="249">
        <f t="shared" si="829"/>
        <v>871.96553759899996</v>
      </c>
      <c r="I3465" s="258">
        <v>0.85</v>
      </c>
      <c r="J3465" s="258">
        <f t="shared" si="830"/>
        <v>0.85</v>
      </c>
      <c r="K3465" s="249">
        <f t="shared" si="831"/>
        <v>0</v>
      </c>
      <c r="L3465" s="314"/>
      <c r="M3465" s="258">
        <f t="shared" si="832"/>
        <v>0</v>
      </c>
      <c r="N3465" s="251">
        <f t="shared" si="833"/>
        <v>153.87627134099998</v>
      </c>
      <c r="O3465" s="258">
        <v>0.15</v>
      </c>
      <c r="P3465" s="258">
        <f t="shared" si="834"/>
        <v>0.15</v>
      </c>
      <c r="Q3465" s="249">
        <v>1009.0909</v>
      </c>
      <c r="R3465" s="249">
        <f t="shared" si="824"/>
        <v>1025.84180894</v>
      </c>
      <c r="S3465" s="258">
        <v>0.1</v>
      </c>
      <c r="T3465" s="169">
        <f t="shared" ref="T3465:T3471" si="836">Q3465+Q3465*S3465</f>
        <v>1109.99999</v>
      </c>
      <c r="U3465" s="315">
        <f t="shared" si="826"/>
        <v>1128.4259898339999</v>
      </c>
      <c r="V3465" s="315">
        <f t="shared" si="825"/>
        <v>1150</v>
      </c>
      <c r="W3465" s="316">
        <f t="shared" si="835"/>
        <v>0</v>
      </c>
    </row>
    <row r="3466" spans="1:28" x14ac:dyDescent="0.25">
      <c r="A3466" s="200" t="s">
        <v>15670</v>
      </c>
      <c r="B3466" s="313" t="s">
        <v>22844</v>
      </c>
      <c r="C3466" s="248"/>
      <c r="D3466" s="247" t="s">
        <v>11</v>
      </c>
      <c r="E3466" s="249">
        <f t="shared" si="827"/>
        <v>0</v>
      </c>
      <c r="F3466" s="314"/>
      <c r="G3466" s="258">
        <f t="shared" si="828"/>
        <v>0</v>
      </c>
      <c r="H3466" s="249">
        <f t="shared" si="829"/>
        <v>313.63226580000003</v>
      </c>
      <c r="I3466" s="258">
        <v>0.75</v>
      </c>
      <c r="J3466" s="258">
        <f t="shared" si="830"/>
        <v>0.75</v>
      </c>
      <c r="K3466" s="249">
        <f t="shared" si="831"/>
        <v>0</v>
      </c>
      <c r="L3466" s="314"/>
      <c r="M3466" s="258">
        <f t="shared" si="832"/>
        <v>0</v>
      </c>
      <c r="N3466" s="251">
        <f t="shared" si="833"/>
        <v>104.54408860000001</v>
      </c>
      <c r="O3466" s="258">
        <v>0.25</v>
      </c>
      <c r="P3466" s="258">
        <f t="shared" si="834"/>
        <v>0.25</v>
      </c>
      <c r="Q3466" s="249">
        <v>411.59089999999998</v>
      </c>
      <c r="R3466" s="249">
        <f t="shared" si="824"/>
        <v>418.17635440000004</v>
      </c>
      <c r="S3466" s="258">
        <v>0.1</v>
      </c>
      <c r="T3466" s="169">
        <f t="shared" si="836"/>
        <v>452.74998999999997</v>
      </c>
      <c r="U3466" s="315">
        <f t="shared" si="826"/>
        <v>459.99398984000004</v>
      </c>
      <c r="V3466" s="315">
        <f t="shared" si="825"/>
        <v>460</v>
      </c>
      <c r="W3466" s="316">
        <f t="shared" si="835"/>
        <v>0</v>
      </c>
    </row>
    <row r="3467" spans="1:28" ht="41.4" x14ac:dyDescent="0.25">
      <c r="A3467" s="200" t="s">
        <v>15671</v>
      </c>
      <c r="B3467" s="255" t="s">
        <v>22845</v>
      </c>
      <c r="C3467" s="248"/>
      <c r="D3467" s="247" t="s">
        <v>11</v>
      </c>
      <c r="E3467" s="249">
        <f t="shared" si="827"/>
        <v>0</v>
      </c>
      <c r="F3467" s="314"/>
      <c r="G3467" s="258">
        <f t="shared" si="828"/>
        <v>0</v>
      </c>
      <c r="H3467" s="249">
        <f t="shared" si="829"/>
        <v>3220.4890631999997</v>
      </c>
      <c r="I3467" s="258">
        <v>0.75</v>
      </c>
      <c r="J3467" s="258">
        <f t="shared" si="830"/>
        <v>0.75</v>
      </c>
      <c r="K3467" s="249">
        <f t="shared" si="831"/>
        <v>0</v>
      </c>
      <c r="L3467" s="314"/>
      <c r="M3467" s="258">
        <f t="shared" si="832"/>
        <v>0</v>
      </c>
      <c r="N3467" s="251">
        <f t="shared" si="833"/>
        <v>1073.4963544</v>
      </c>
      <c r="O3467" s="258">
        <v>0.25</v>
      </c>
      <c r="P3467" s="258">
        <f t="shared" si="834"/>
        <v>0.25</v>
      </c>
      <c r="Q3467" s="249">
        <v>4226.3635999999997</v>
      </c>
      <c r="R3467" s="249">
        <f t="shared" si="824"/>
        <v>4293.9854175999999</v>
      </c>
      <c r="S3467" s="258">
        <v>0.1</v>
      </c>
      <c r="T3467" s="169">
        <f t="shared" si="836"/>
        <v>4648.9999599999992</v>
      </c>
      <c r="U3467" s="315">
        <f t="shared" si="826"/>
        <v>4723.3839593599996</v>
      </c>
      <c r="V3467" s="315">
        <f t="shared" si="825"/>
        <v>4725</v>
      </c>
      <c r="W3467" s="316">
        <f t="shared" si="835"/>
        <v>0</v>
      </c>
    </row>
    <row r="3468" spans="1:28" s="289" customFormat="1" x14ac:dyDescent="0.25">
      <c r="A3468" s="200" t="s">
        <v>15672</v>
      </c>
      <c r="B3468" s="255" t="s">
        <v>22846</v>
      </c>
      <c r="C3468" s="248"/>
      <c r="D3468" s="247" t="s">
        <v>11</v>
      </c>
      <c r="E3468" s="249">
        <f t="shared" si="827"/>
        <v>0</v>
      </c>
      <c r="F3468" s="314"/>
      <c r="G3468" s="258">
        <f t="shared" si="828"/>
        <v>0</v>
      </c>
      <c r="H3468" s="249">
        <f t="shared" si="829"/>
        <v>147.45224009100002</v>
      </c>
      <c r="I3468" s="258">
        <v>0.65</v>
      </c>
      <c r="J3468" s="258">
        <f t="shared" si="830"/>
        <v>0.65</v>
      </c>
      <c r="K3468" s="249">
        <f t="shared" si="831"/>
        <v>0</v>
      </c>
      <c r="L3468" s="314"/>
      <c r="M3468" s="258">
        <f t="shared" si="832"/>
        <v>0</v>
      </c>
      <c r="N3468" s="251">
        <f t="shared" si="833"/>
        <v>79.397360049</v>
      </c>
      <c r="O3468" s="258">
        <v>0.35</v>
      </c>
      <c r="P3468" s="258">
        <f t="shared" si="834"/>
        <v>0.35</v>
      </c>
      <c r="Q3468" s="249">
        <v>223.4091</v>
      </c>
      <c r="R3468" s="249">
        <f t="shared" si="824"/>
        <v>226.84960014000001</v>
      </c>
      <c r="S3468" s="258">
        <v>0.1</v>
      </c>
      <c r="T3468" s="169">
        <f t="shared" si="836"/>
        <v>245.75001</v>
      </c>
      <c r="U3468" s="315">
        <f t="shared" si="826"/>
        <v>249.53456015400002</v>
      </c>
      <c r="V3468" s="315">
        <f t="shared" si="825"/>
        <v>250</v>
      </c>
      <c r="W3468" s="316">
        <f t="shared" si="835"/>
        <v>0</v>
      </c>
      <c r="X3468" s="185"/>
      <c r="Y3468" s="185"/>
      <c r="Z3468" s="185"/>
      <c r="AA3468" s="211"/>
      <c r="AB3468" s="288"/>
    </row>
    <row r="3469" spans="1:28" s="289" customFormat="1" ht="21" x14ac:dyDescent="0.25">
      <c r="A3469" s="200" t="s">
        <v>15673</v>
      </c>
      <c r="B3469" s="255" t="s">
        <v>22847</v>
      </c>
      <c r="C3469" s="248"/>
      <c r="D3469" s="247" t="s">
        <v>2</v>
      </c>
      <c r="E3469" s="249">
        <f t="shared" si="827"/>
        <v>0</v>
      </c>
      <c r="F3469" s="314"/>
      <c r="G3469" s="258">
        <f t="shared" si="828"/>
        <v>0</v>
      </c>
      <c r="H3469" s="249">
        <f t="shared" si="829"/>
        <v>7.6963784040000007</v>
      </c>
      <c r="I3469" s="258">
        <v>0.45</v>
      </c>
      <c r="J3469" s="258">
        <f t="shared" si="830"/>
        <v>0.45</v>
      </c>
      <c r="K3469" s="249">
        <f t="shared" si="831"/>
        <v>0</v>
      </c>
      <c r="L3469" s="314"/>
      <c r="M3469" s="258">
        <f t="shared" si="832"/>
        <v>0</v>
      </c>
      <c r="N3469" s="251">
        <f t="shared" si="833"/>
        <v>9.4066847160000009</v>
      </c>
      <c r="O3469" s="258">
        <v>0.55000000000000004</v>
      </c>
      <c r="P3469" s="258">
        <f t="shared" si="834"/>
        <v>0.55000000000000004</v>
      </c>
      <c r="Q3469" s="249">
        <v>16.863600000000002</v>
      </c>
      <c r="R3469" s="249">
        <f t="shared" si="824"/>
        <v>17.103063120000002</v>
      </c>
      <c r="S3469" s="258">
        <v>0.1</v>
      </c>
      <c r="T3469" s="169">
        <f t="shared" si="836"/>
        <v>18.549960000000002</v>
      </c>
      <c r="U3469" s="315">
        <f t="shared" si="826"/>
        <v>18.813369432000002</v>
      </c>
      <c r="V3469" s="315">
        <f t="shared" si="825"/>
        <v>19</v>
      </c>
      <c r="W3469" s="316">
        <f t="shared" si="835"/>
        <v>0</v>
      </c>
      <c r="X3469" s="185"/>
      <c r="Y3469" s="185"/>
      <c r="Z3469" s="185"/>
      <c r="AA3469" s="211"/>
      <c r="AB3469" s="288"/>
    </row>
    <row r="3470" spans="1:28" s="289" customFormat="1" ht="21" x14ac:dyDescent="0.25">
      <c r="A3470" s="200" t="s">
        <v>15674</v>
      </c>
      <c r="B3470" s="255" t="s">
        <v>22848</v>
      </c>
      <c r="C3470" s="248"/>
      <c r="D3470" s="247" t="s">
        <v>2</v>
      </c>
      <c r="E3470" s="249">
        <f t="shared" si="827"/>
        <v>0</v>
      </c>
      <c r="F3470" s="314"/>
      <c r="G3470" s="258">
        <f t="shared" si="828"/>
        <v>0</v>
      </c>
      <c r="H3470" s="249">
        <f t="shared" si="829"/>
        <v>8.9825767019999994</v>
      </c>
      <c r="I3470" s="258">
        <v>0.45</v>
      </c>
      <c r="J3470" s="258">
        <f t="shared" si="830"/>
        <v>0.45</v>
      </c>
      <c r="K3470" s="249">
        <f t="shared" si="831"/>
        <v>0</v>
      </c>
      <c r="L3470" s="314"/>
      <c r="M3470" s="258">
        <f t="shared" si="832"/>
        <v>0</v>
      </c>
      <c r="N3470" s="251">
        <f t="shared" si="833"/>
        <v>10.978704858</v>
      </c>
      <c r="O3470" s="258">
        <v>0.55000000000000004</v>
      </c>
      <c r="P3470" s="258">
        <f t="shared" si="834"/>
        <v>0.55000000000000004</v>
      </c>
      <c r="Q3470" s="249">
        <v>19.681799999999999</v>
      </c>
      <c r="R3470" s="249">
        <f t="shared" si="824"/>
        <v>19.96128156</v>
      </c>
      <c r="S3470" s="258">
        <v>0.1</v>
      </c>
      <c r="T3470" s="169">
        <f t="shared" si="836"/>
        <v>21.649979999999999</v>
      </c>
      <c r="U3470" s="315">
        <f t="shared" si="826"/>
        <v>21.957409716000001</v>
      </c>
      <c r="V3470" s="315">
        <f t="shared" si="825"/>
        <v>22</v>
      </c>
      <c r="W3470" s="316">
        <f t="shared" si="835"/>
        <v>0</v>
      </c>
      <c r="X3470" s="185"/>
      <c r="Y3470" s="185"/>
      <c r="Z3470" s="185"/>
      <c r="AA3470" s="211"/>
      <c r="AB3470" s="288"/>
    </row>
    <row r="3471" spans="1:28" s="289" customFormat="1" ht="21" x14ac:dyDescent="0.25">
      <c r="A3471" s="200" t="s">
        <v>15675</v>
      </c>
      <c r="B3471" s="255" t="s">
        <v>22849</v>
      </c>
      <c r="C3471" s="248"/>
      <c r="D3471" s="247" t="s">
        <v>2</v>
      </c>
      <c r="E3471" s="249">
        <f t="shared" si="827"/>
        <v>0</v>
      </c>
      <c r="F3471" s="314"/>
      <c r="G3471" s="258">
        <f t="shared" si="828"/>
        <v>0</v>
      </c>
      <c r="H3471" s="249">
        <f t="shared" si="829"/>
        <v>9.2730232980000018</v>
      </c>
      <c r="I3471" s="258">
        <v>0.45</v>
      </c>
      <c r="J3471" s="258">
        <f t="shared" si="830"/>
        <v>0.45</v>
      </c>
      <c r="K3471" s="249">
        <f t="shared" si="831"/>
        <v>0</v>
      </c>
      <c r="L3471" s="314"/>
      <c r="M3471" s="258">
        <f t="shared" si="832"/>
        <v>0</v>
      </c>
      <c r="N3471" s="251">
        <f t="shared" si="833"/>
        <v>11.333695142000002</v>
      </c>
      <c r="O3471" s="258">
        <v>0.55000000000000004</v>
      </c>
      <c r="P3471" s="258">
        <f t="shared" si="834"/>
        <v>0.55000000000000004</v>
      </c>
      <c r="Q3471" s="249">
        <v>20.318200000000001</v>
      </c>
      <c r="R3471" s="249">
        <f t="shared" si="824"/>
        <v>20.606718440000002</v>
      </c>
      <c r="S3471" s="258">
        <v>0.1</v>
      </c>
      <c r="T3471" s="169">
        <f t="shared" si="836"/>
        <v>22.350020000000001</v>
      </c>
      <c r="U3471" s="315">
        <f t="shared" si="826"/>
        <v>22.667390284000003</v>
      </c>
      <c r="V3471" s="315">
        <f t="shared" si="825"/>
        <v>23</v>
      </c>
      <c r="W3471" s="316">
        <f t="shared" si="835"/>
        <v>0</v>
      </c>
      <c r="X3471" s="185"/>
      <c r="Y3471" s="185"/>
      <c r="Z3471" s="185"/>
      <c r="AA3471" s="211"/>
      <c r="AB3471" s="288"/>
    </row>
    <row r="3472" spans="1:28" x14ac:dyDescent="0.25">
      <c r="A3472" s="195" t="s">
        <v>18813</v>
      </c>
      <c r="B3472" s="317" t="s">
        <v>22850</v>
      </c>
      <c r="C3472" s="318"/>
      <c r="D3472" s="319"/>
      <c r="E3472" s="319"/>
      <c r="F3472" s="319"/>
      <c r="G3472" s="319"/>
      <c r="H3472" s="319"/>
      <c r="I3472" s="319"/>
      <c r="J3472" s="319"/>
      <c r="K3472" s="319"/>
      <c r="L3472" s="319"/>
      <c r="M3472" s="319"/>
      <c r="N3472" s="319"/>
      <c r="O3472" s="319"/>
      <c r="P3472" s="319"/>
      <c r="Q3472" s="319"/>
      <c r="R3472" s="319"/>
      <c r="S3472" s="319"/>
      <c r="T3472" s="319"/>
      <c r="U3472" s="320"/>
      <c r="V3472" s="320"/>
      <c r="W3472" s="306"/>
    </row>
    <row r="3473" spans="1:28" s="289" customFormat="1" x14ac:dyDescent="0.25">
      <c r="A3473" s="200" t="s">
        <v>18814</v>
      </c>
      <c r="B3473" s="313" t="s">
        <v>18815</v>
      </c>
      <c r="C3473" s="248"/>
      <c r="D3473" s="247" t="s">
        <v>3</v>
      </c>
      <c r="E3473" s="249">
        <f t="shared" si="827"/>
        <v>0</v>
      </c>
      <c r="F3473" s="314"/>
      <c r="G3473" s="258">
        <f t="shared" si="828"/>
        <v>0</v>
      </c>
      <c r="H3473" s="249">
        <f t="shared" si="829"/>
        <v>205</v>
      </c>
      <c r="I3473" s="258">
        <v>1</v>
      </c>
      <c r="J3473" s="258">
        <f t="shared" si="830"/>
        <v>1</v>
      </c>
      <c r="K3473" s="249">
        <f t="shared" si="831"/>
        <v>0</v>
      </c>
      <c r="L3473" s="314"/>
      <c r="M3473" s="258">
        <f t="shared" si="832"/>
        <v>0</v>
      </c>
      <c r="N3473" s="251">
        <f t="shared" si="833"/>
        <v>0</v>
      </c>
      <c r="O3473" s="258"/>
      <c r="P3473" s="258">
        <f t="shared" si="834"/>
        <v>0</v>
      </c>
      <c r="Q3473" s="249"/>
      <c r="R3473" s="249">
        <v>205</v>
      </c>
      <c r="S3473" s="258">
        <v>0.2</v>
      </c>
      <c r="T3473" s="169">
        <f>Q3473+Q3473*S3473</f>
        <v>0</v>
      </c>
      <c r="U3473" s="315">
        <f>(R3473*S3473)+R3473</f>
        <v>246</v>
      </c>
      <c r="V3473" s="315">
        <f>IF(U3473=0, 0, IF(U3473&lt;10, _xlfn.CEILING.MATH(U3473,1), IF(U3473&lt;100, _xlfn.CEILING.MATH(U3473,1),IF(U3473&lt;1000, _xlfn.CEILING.MATH(U3473,5), IF(U3473&lt;10000, _xlfn.CEILING.MATH(U3473, 25), IF(U3473&lt;100000, _xlfn.CEILING.MATH(U3473,250), IF(U3473&lt;1000000, _xlfn.CEILING.MATH(U3473,500), 0)))))))</f>
        <v>250</v>
      </c>
      <c r="W3473" s="316">
        <f t="shared" si="835"/>
        <v>0</v>
      </c>
      <c r="X3473" s="185"/>
      <c r="Y3473" s="185"/>
      <c r="Z3473" s="185"/>
      <c r="AA3473" s="211"/>
      <c r="AB3473" s="288"/>
    </row>
    <row r="3474" spans="1:28" s="289" customFormat="1" x14ac:dyDescent="0.25">
      <c r="A3474" s="200" t="s">
        <v>18816</v>
      </c>
      <c r="B3474" s="313" t="s">
        <v>18817</v>
      </c>
      <c r="C3474" s="248"/>
      <c r="D3474" s="247" t="s">
        <v>3</v>
      </c>
      <c r="E3474" s="249">
        <f t="shared" si="827"/>
        <v>0</v>
      </c>
      <c r="F3474" s="314"/>
      <c r="G3474" s="258">
        <f t="shared" si="828"/>
        <v>0</v>
      </c>
      <c r="H3474" s="249">
        <f t="shared" si="829"/>
        <v>210</v>
      </c>
      <c r="I3474" s="258">
        <v>1</v>
      </c>
      <c r="J3474" s="258">
        <f t="shared" si="830"/>
        <v>1</v>
      </c>
      <c r="K3474" s="249">
        <f t="shared" si="831"/>
        <v>0</v>
      </c>
      <c r="L3474" s="314"/>
      <c r="M3474" s="258">
        <f t="shared" si="832"/>
        <v>0</v>
      </c>
      <c r="N3474" s="251">
        <f t="shared" si="833"/>
        <v>0</v>
      </c>
      <c r="O3474" s="258"/>
      <c r="P3474" s="258">
        <f t="shared" si="834"/>
        <v>0</v>
      </c>
      <c r="Q3474" s="249"/>
      <c r="R3474" s="249">
        <v>210</v>
      </c>
      <c r="S3474" s="258">
        <v>0.2</v>
      </c>
      <c r="T3474" s="169">
        <f>Q3474+Q3474*S3474</f>
        <v>0</v>
      </c>
      <c r="U3474" s="315">
        <f>(R3474*S3474)+R3474</f>
        <v>252</v>
      </c>
      <c r="V3474" s="315">
        <f>IF(U3474=0, 0, IF(U3474&lt;10, _xlfn.CEILING.MATH(U3474,1), IF(U3474&lt;100, _xlfn.CEILING.MATH(U3474,1),IF(U3474&lt;1000, _xlfn.CEILING.MATH(U3474,5), IF(U3474&lt;10000, _xlfn.CEILING.MATH(U3474, 25), IF(U3474&lt;100000, _xlfn.CEILING.MATH(U3474,250), IF(U3474&lt;1000000, _xlfn.CEILING.MATH(U3474,500), 0)))))))</f>
        <v>255</v>
      </c>
      <c r="W3474" s="316">
        <f t="shared" si="835"/>
        <v>0</v>
      </c>
      <c r="X3474" s="185"/>
      <c r="Y3474" s="185"/>
      <c r="Z3474" s="185"/>
      <c r="AA3474" s="211"/>
      <c r="AB3474" s="288"/>
    </row>
    <row r="3475" spans="1:28" s="289" customFormat="1" x14ac:dyDescent="0.25">
      <c r="A3475" s="200" t="s">
        <v>18818</v>
      </c>
      <c r="B3475" s="313" t="s">
        <v>18819</v>
      </c>
      <c r="C3475" s="248"/>
      <c r="D3475" s="247" t="s">
        <v>3</v>
      </c>
      <c r="E3475" s="249">
        <f t="shared" si="827"/>
        <v>0</v>
      </c>
      <c r="F3475" s="314"/>
      <c r="G3475" s="258">
        <f t="shared" si="828"/>
        <v>0</v>
      </c>
      <c r="H3475" s="249">
        <f t="shared" si="829"/>
        <v>220</v>
      </c>
      <c r="I3475" s="258">
        <v>1</v>
      </c>
      <c r="J3475" s="258">
        <f t="shared" si="830"/>
        <v>1</v>
      </c>
      <c r="K3475" s="249">
        <f t="shared" si="831"/>
        <v>0</v>
      </c>
      <c r="L3475" s="314"/>
      <c r="M3475" s="258">
        <f t="shared" si="832"/>
        <v>0</v>
      </c>
      <c r="N3475" s="251">
        <f t="shared" si="833"/>
        <v>0</v>
      </c>
      <c r="O3475" s="258"/>
      <c r="P3475" s="258">
        <f t="shared" si="834"/>
        <v>0</v>
      </c>
      <c r="Q3475" s="249"/>
      <c r="R3475" s="249">
        <v>220</v>
      </c>
      <c r="S3475" s="258">
        <v>0.2</v>
      </c>
      <c r="T3475" s="169">
        <f>Q3475+Q3475*S3475</f>
        <v>0</v>
      </c>
      <c r="U3475" s="315">
        <f>(R3475*S3475)+R3475</f>
        <v>264</v>
      </c>
      <c r="V3475" s="315">
        <f>IF(U3475=0, 0, IF(U3475&lt;10, _xlfn.CEILING.MATH(U3475,1), IF(U3475&lt;100, _xlfn.CEILING.MATH(U3475,1),IF(U3475&lt;1000, _xlfn.CEILING.MATH(U3475,5), IF(U3475&lt;10000, _xlfn.CEILING.MATH(U3475, 25), IF(U3475&lt;100000, _xlfn.CEILING.MATH(U3475,250), IF(U3475&lt;1000000, _xlfn.CEILING.MATH(U3475,500), 0)))))))</f>
        <v>265</v>
      </c>
      <c r="W3475" s="316">
        <f t="shared" si="835"/>
        <v>0</v>
      </c>
      <c r="X3475" s="185"/>
      <c r="Y3475" s="185"/>
      <c r="Z3475" s="185"/>
      <c r="AA3475" s="211"/>
      <c r="AB3475" s="288"/>
    </row>
    <row r="3476" spans="1:28" s="289" customFormat="1" x14ac:dyDescent="0.25">
      <c r="A3476" s="200" t="s">
        <v>18820</v>
      </c>
      <c r="B3476" s="313" t="s">
        <v>18821</v>
      </c>
      <c r="C3476" s="248"/>
      <c r="D3476" s="247" t="s">
        <v>3</v>
      </c>
      <c r="E3476" s="249">
        <f t="shared" si="827"/>
        <v>0</v>
      </c>
      <c r="F3476" s="314"/>
      <c r="G3476" s="258">
        <f t="shared" si="828"/>
        <v>0</v>
      </c>
      <c r="H3476" s="249">
        <f t="shared" si="829"/>
        <v>230</v>
      </c>
      <c r="I3476" s="258">
        <v>1</v>
      </c>
      <c r="J3476" s="258">
        <f t="shared" si="830"/>
        <v>1</v>
      </c>
      <c r="K3476" s="249">
        <f t="shared" si="831"/>
        <v>0</v>
      </c>
      <c r="L3476" s="314"/>
      <c r="M3476" s="258">
        <f t="shared" si="832"/>
        <v>0</v>
      </c>
      <c r="N3476" s="251">
        <f t="shared" si="833"/>
        <v>0</v>
      </c>
      <c r="O3476" s="258"/>
      <c r="P3476" s="258">
        <f t="shared" si="834"/>
        <v>0</v>
      </c>
      <c r="Q3476" s="249"/>
      <c r="R3476" s="249">
        <v>230</v>
      </c>
      <c r="S3476" s="258">
        <v>0.2</v>
      </c>
      <c r="T3476" s="169">
        <f>Q3476+Q3476*S3476</f>
        <v>0</v>
      </c>
      <c r="U3476" s="315">
        <f>(R3476*S3476)+R3476</f>
        <v>276</v>
      </c>
      <c r="V3476" s="315">
        <f>IF(U3476=0, 0, IF(U3476&lt;10, _xlfn.CEILING.MATH(U3476,1), IF(U3476&lt;100, _xlfn.CEILING.MATH(U3476,1),IF(U3476&lt;1000, _xlfn.CEILING.MATH(U3476,5), IF(U3476&lt;10000, _xlfn.CEILING.MATH(U3476, 25), IF(U3476&lt;100000, _xlfn.CEILING.MATH(U3476,250), IF(U3476&lt;1000000, _xlfn.CEILING.MATH(U3476,500), 0)))))))</f>
        <v>280</v>
      </c>
      <c r="W3476" s="316">
        <f t="shared" si="835"/>
        <v>0</v>
      </c>
      <c r="X3476" s="185"/>
      <c r="Y3476" s="185"/>
      <c r="Z3476" s="185"/>
      <c r="AA3476" s="211"/>
      <c r="AB3476" s="288"/>
    </row>
    <row r="3477" spans="1:28" s="289" customFormat="1" x14ac:dyDescent="0.25">
      <c r="A3477" s="200" t="s">
        <v>18822</v>
      </c>
      <c r="B3477" s="313" t="s">
        <v>18823</v>
      </c>
      <c r="C3477" s="248"/>
      <c r="D3477" s="247" t="s">
        <v>3</v>
      </c>
      <c r="E3477" s="249">
        <f t="shared" si="827"/>
        <v>0</v>
      </c>
      <c r="F3477" s="314"/>
      <c r="G3477" s="258">
        <f t="shared" si="828"/>
        <v>0</v>
      </c>
      <c r="H3477" s="249">
        <f t="shared" si="829"/>
        <v>255</v>
      </c>
      <c r="I3477" s="258">
        <v>1</v>
      </c>
      <c r="J3477" s="258">
        <f t="shared" si="830"/>
        <v>1</v>
      </c>
      <c r="K3477" s="249">
        <f t="shared" si="831"/>
        <v>0</v>
      </c>
      <c r="L3477" s="314"/>
      <c r="M3477" s="258">
        <f t="shared" si="832"/>
        <v>0</v>
      </c>
      <c r="N3477" s="251">
        <f t="shared" si="833"/>
        <v>0</v>
      </c>
      <c r="O3477" s="258"/>
      <c r="P3477" s="258">
        <f t="shared" si="834"/>
        <v>0</v>
      </c>
      <c r="Q3477" s="249"/>
      <c r="R3477" s="249">
        <v>255</v>
      </c>
      <c r="S3477" s="258">
        <v>0.2</v>
      </c>
      <c r="T3477" s="169">
        <f>Q3477+Q3477*S3477</f>
        <v>0</v>
      </c>
      <c r="U3477" s="315">
        <f>(R3477*S3477)+R3477</f>
        <v>306</v>
      </c>
      <c r="V3477" s="315">
        <f>IF(U3477=0, 0, IF(U3477&lt;10, _xlfn.CEILING.MATH(U3477,1), IF(U3477&lt;100, _xlfn.CEILING.MATH(U3477,1),IF(U3477&lt;1000, _xlfn.CEILING.MATH(U3477,5), IF(U3477&lt;10000, _xlfn.CEILING.MATH(U3477, 25), IF(U3477&lt;100000, _xlfn.CEILING.MATH(U3477,250), IF(U3477&lt;1000000, _xlfn.CEILING.MATH(U3477,500), 0)))))))</f>
        <v>310</v>
      </c>
      <c r="W3477" s="316">
        <f t="shared" si="835"/>
        <v>0</v>
      </c>
      <c r="X3477" s="185"/>
      <c r="Y3477" s="185"/>
      <c r="Z3477" s="185"/>
      <c r="AA3477" s="211"/>
      <c r="AB3477" s="288"/>
    </row>
    <row r="3478" spans="1:28" x14ac:dyDescent="0.25">
      <c r="A3478" s="195" t="s">
        <v>15676</v>
      </c>
      <c r="B3478" s="317" t="s">
        <v>15677</v>
      </c>
      <c r="C3478" s="318"/>
      <c r="D3478" s="319"/>
      <c r="E3478" s="319"/>
      <c r="F3478" s="319"/>
      <c r="G3478" s="319"/>
      <c r="H3478" s="319"/>
      <c r="I3478" s="319"/>
      <c r="J3478" s="319"/>
      <c r="K3478" s="319"/>
      <c r="L3478" s="319"/>
      <c r="M3478" s="319"/>
      <c r="N3478" s="319"/>
      <c r="O3478" s="319"/>
      <c r="P3478" s="319"/>
      <c r="Q3478" s="319"/>
      <c r="R3478" s="319"/>
      <c r="S3478" s="319"/>
      <c r="T3478" s="319"/>
      <c r="U3478" s="320"/>
      <c r="V3478" s="320"/>
      <c r="W3478" s="306"/>
    </row>
    <row r="3479" spans="1:28" x14ac:dyDescent="0.25">
      <c r="A3479" s="199" t="s">
        <v>15678</v>
      </c>
      <c r="B3479" s="307" t="s">
        <v>22851</v>
      </c>
      <c r="C3479" s="308"/>
      <c r="D3479" s="309"/>
      <c r="E3479" s="310"/>
      <c r="F3479" s="311"/>
      <c r="G3479" s="311"/>
      <c r="H3479" s="310"/>
      <c r="I3479" s="311"/>
      <c r="J3479" s="311"/>
      <c r="K3479" s="310"/>
      <c r="L3479" s="311"/>
      <c r="M3479" s="311"/>
      <c r="N3479" s="310"/>
      <c r="O3479" s="311"/>
      <c r="P3479" s="311"/>
      <c r="Q3479" s="310"/>
      <c r="R3479" s="310"/>
      <c r="S3479" s="309"/>
      <c r="T3479" s="309"/>
      <c r="U3479" s="309"/>
      <c r="V3479" s="309"/>
      <c r="W3479" s="312"/>
    </row>
    <row r="3480" spans="1:28" s="289" customFormat="1" ht="21" x14ac:dyDescent="0.25">
      <c r="A3480" s="200" t="s">
        <v>15679</v>
      </c>
      <c r="B3480" s="255" t="s">
        <v>15680</v>
      </c>
      <c r="C3480" s="248"/>
      <c r="D3480" s="247" t="s">
        <v>2</v>
      </c>
      <c r="E3480" s="249">
        <f t="shared" si="827"/>
        <v>16.717483282500002</v>
      </c>
      <c r="F3480" s="258">
        <v>0.45</v>
      </c>
      <c r="G3480" s="258">
        <f t="shared" si="828"/>
        <v>0.45</v>
      </c>
      <c r="H3480" s="249">
        <f t="shared" si="829"/>
        <v>11.144988854999999</v>
      </c>
      <c r="I3480" s="258">
        <v>0.3</v>
      </c>
      <c r="J3480" s="258">
        <f t="shared" si="830"/>
        <v>0.3</v>
      </c>
      <c r="K3480" s="249">
        <f t="shared" si="831"/>
        <v>8.3587416412500009</v>
      </c>
      <c r="L3480" s="258">
        <v>0.22500000000000001</v>
      </c>
      <c r="M3480" s="258">
        <f t="shared" si="832"/>
        <v>0.22500000000000001</v>
      </c>
      <c r="N3480" s="251">
        <f t="shared" si="833"/>
        <v>0.92874907125000006</v>
      </c>
      <c r="O3480" s="258">
        <v>2.5000000000000001E-2</v>
      </c>
      <c r="P3480" s="258">
        <f t="shared" si="834"/>
        <v>2.5000000000000001E-2</v>
      </c>
      <c r="Q3480" s="249">
        <v>36.363599999999998</v>
      </c>
      <c r="R3480" s="249">
        <f t="shared" ref="R3480:R3536" si="837">SUM(F3480*Q3480*1.0235,I3480*Q3480*1.0175,L3480*Q3480*1.0245,O3480*Q3480*1.0115)</f>
        <v>37.149962850000001</v>
      </c>
      <c r="S3480" s="258">
        <v>0.1</v>
      </c>
      <c r="T3480" s="169">
        <f>Q3480+Q3480*S3480</f>
        <v>39.999960000000002</v>
      </c>
      <c r="U3480" s="315">
        <f t="shared" si="826"/>
        <v>40.864959134999999</v>
      </c>
      <c r="V3480" s="315">
        <f t="shared" si="825"/>
        <v>41</v>
      </c>
      <c r="W3480" s="316">
        <f t="shared" si="835"/>
        <v>0</v>
      </c>
      <c r="X3480" s="185"/>
      <c r="Y3480" s="185"/>
      <c r="Z3480" s="185"/>
      <c r="AA3480" s="211"/>
      <c r="AB3480" s="288"/>
    </row>
    <row r="3481" spans="1:28" s="289" customFormat="1" ht="21" x14ac:dyDescent="0.25">
      <c r="A3481" s="200" t="s">
        <v>15681</v>
      </c>
      <c r="B3481" s="255" t="s">
        <v>15682</v>
      </c>
      <c r="C3481" s="248"/>
      <c r="D3481" s="247" t="s">
        <v>2</v>
      </c>
      <c r="E3481" s="249">
        <f t="shared" si="827"/>
        <v>18.807191679375006</v>
      </c>
      <c r="F3481" s="258">
        <v>0.45</v>
      </c>
      <c r="G3481" s="258">
        <f t="shared" si="828"/>
        <v>0.45</v>
      </c>
      <c r="H3481" s="249">
        <f t="shared" si="829"/>
        <v>12.538127786250003</v>
      </c>
      <c r="I3481" s="258">
        <v>0.3</v>
      </c>
      <c r="J3481" s="258">
        <f t="shared" si="830"/>
        <v>0.3</v>
      </c>
      <c r="K3481" s="249">
        <f t="shared" si="831"/>
        <v>9.4035958396875028</v>
      </c>
      <c r="L3481" s="258">
        <v>0.22500000000000001</v>
      </c>
      <c r="M3481" s="258">
        <f t="shared" si="832"/>
        <v>0.22500000000000001</v>
      </c>
      <c r="N3481" s="251">
        <f t="shared" si="833"/>
        <v>1.0448439821875002</v>
      </c>
      <c r="O3481" s="258">
        <v>2.5000000000000001E-2</v>
      </c>
      <c r="P3481" s="258">
        <f t="shared" si="834"/>
        <v>2.5000000000000001E-2</v>
      </c>
      <c r="Q3481" s="249">
        <v>40.909100000000002</v>
      </c>
      <c r="R3481" s="249">
        <f t="shared" si="837"/>
        <v>41.793759287500009</v>
      </c>
      <c r="S3481" s="258">
        <v>0.1</v>
      </c>
      <c r="T3481" s="169">
        <f>Q3481+Q3481*S3481</f>
        <v>45.000010000000003</v>
      </c>
      <c r="U3481" s="315">
        <f t="shared" si="826"/>
        <v>45.973135216250007</v>
      </c>
      <c r="V3481" s="315">
        <f t="shared" si="825"/>
        <v>46</v>
      </c>
      <c r="W3481" s="316">
        <f t="shared" si="835"/>
        <v>0</v>
      </c>
      <c r="X3481" s="185"/>
      <c r="Y3481" s="185"/>
      <c r="Z3481" s="185"/>
      <c r="AA3481" s="211"/>
      <c r="AB3481" s="288"/>
    </row>
    <row r="3482" spans="1:28" s="289" customFormat="1" ht="21" x14ac:dyDescent="0.25">
      <c r="A3482" s="200" t="s">
        <v>15683</v>
      </c>
      <c r="B3482" s="255" t="s">
        <v>15684</v>
      </c>
      <c r="C3482" s="248"/>
      <c r="D3482" s="247" t="s">
        <v>2</v>
      </c>
      <c r="E3482" s="249">
        <f t="shared" si="827"/>
        <v>22.986562500000002</v>
      </c>
      <c r="F3482" s="258">
        <v>0.45</v>
      </c>
      <c r="G3482" s="258">
        <f t="shared" si="828"/>
        <v>0.45</v>
      </c>
      <c r="H3482" s="249">
        <f t="shared" si="829"/>
        <v>15.324375</v>
      </c>
      <c r="I3482" s="258">
        <v>0.3</v>
      </c>
      <c r="J3482" s="258">
        <f t="shared" si="830"/>
        <v>0.3</v>
      </c>
      <c r="K3482" s="249">
        <f t="shared" si="831"/>
        <v>11.493281250000001</v>
      </c>
      <c r="L3482" s="258">
        <v>0.22500000000000001</v>
      </c>
      <c r="M3482" s="258">
        <f t="shared" si="832"/>
        <v>0.22500000000000001</v>
      </c>
      <c r="N3482" s="251">
        <f t="shared" si="833"/>
        <v>1.2770312500000003</v>
      </c>
      <c r="O3482" s="258">
        <v>2.5000000000000001E-2</v>
      </c>
      <c r="P3482" s="258">
        <f t="shared" si="834"/>
        <v>2.5000000000000001E-2</v>
      </c>
      <c r="Q3482" s="249">
        <v>50</v>
      </c>
      <c r="R3482" s="249">
        <f t="shared" si="837"/>
        <v>51.081250000000004</v>
      </c>
      <c r="S3482" s="258">
        <v>0.1</v>
      </c>
      <c r="T3482" s="169">
        <f>Q3482+Q3482*S3482</f>
        <v>55</v>
      </c>
      <c r="U3482" s="315">
        <f t="shared" si="826"/>
        <v>56.189375000000005</v>
      </c>
      <c r="V3482" s="315">
        <f t="shared" si="825"/>
        <v>57</v>
      </c>
      <c r="W3482" s="316">
        <f t="shared" si="835"/>
        <v>0</v>
      </c>
      <c r="X3482" s="185"/>
      <c r="Y3482" s="185"/>
      <c r="Z3482" s="185"/>
      <c r="AA3482" s="211"/>
      <c r="AB3482" s="288"/>
    </row>
    <row r="3483" spans="1:28" s="289" customFormat="1" ht="21" x14ac:dyDescent="0.25">
      <c r="A3483" s="200" t="s">
        <v>15685</v>
      </c>
      <c r="B3483" s="255" t="s">
        <v>15686</v>
      </c>
      <c r="C3483" s="248"/>
      <c r="D3483" s="247" t="s">
        <v>2</v>
      </c>
      <c r="E3483" s="249">
        <f t="shared" si="827"/>
        <v>24.240387538125006</v>
      </c>
      <c r="F3483" s="258">
        <v>0.45</v>
      </c>
      <c r="G3483" s="258">
        <f t="shared" si="828"/>
        <v>0.45</v>
      </c>
      <c r="H3483" s="249">
        <f t="shared" si="829"/>
        <v>16.160258358750003</v>
      </c>
      <c r="I3483" s="258">
        <v>0.3</v>
      </c>
      <c r="J3483" s="258">
        <f t="shared" si="830"/>
        <v>0.3</v>
      </c>
      <c r="K3483" s="249">
        <f t="shared" si="831"/>
        <v>12.120193769062503</v>
      </c>
      <c r="L3483" s="258">
        <v>0.22500000000000001</v>
      </c>
      <c r="M3483" s="258">
        <f t="shared" si="832"/>
        <v>0.22500000000000001</v>
      </c>
      <c r="N3483" s="251">
        <f t="shared" si="833"/>
        <v>1.3466881965625004</v>
      </c>
      <c r="O3483" s="258">
        <v>2.5000000000000001E-2</v>
      </c>
      <c r="P3483" s="258">
        <f t="shared" si="834"/>
        <v>2.5000000000000001E-2</v>
      </c>
      <c r="Q3483" s="249">
        <v>52.7273</v>
      </c>
      <c r="R3483" s="249">
        <f t="shared" si="837"/>
        <v>53.867527862500012</v>
      </c>
      <c r="S3483" s="258">
        <v>0.1</v>
      </c>
      <c r="T3483" s="169">
        <f>Q3483+Q3483*S3483</f>
        <v>58.000030000000002</v>
      </c>
      <c r="U3483" s="315">
        <f t="shared" si="826"/>
        <v>59.254280648750012</v>
      </c>
      <c r="V3483" s="315">
        <f t="shared" si="825"/>
        <v>60</v>
      </c>
      <c r="W3483" s="316">
        <f t="shared" si="835"/>
        <v>0</v>
      </c>
      <c r="X3483" s="185"/>
      <c r="Y3483" s="185"/>
      <c r="Z3483" s="185"/>
      <c r="AA3483" s="211"/>
      <c r="AB3483" s="288"/>
    </row>
    <row r="3484" spans="1:28" x14ac:dyDescent="0.25">
      <c r="A3484" s="199" t="s">
        <v>15678</v>
      </c>
      <c r="B3484" s="307" t="s">
        <v>18824</v>
      </c>
      <c r="C3484" s="308"/>
      <c r="D3484" s="309"/>
      <c r="E3484" s="310"/>
      <c r="F3484" s="311"/>
      <c r="G3484" s="311"/>
      <c r="H3484" s="310"/>
      <c r="I3484" s="311"/>
      <c r="J3484" s="311"/>
      <c r="K3484" s="310"/>
      <c r="L3484" s="311"/>
      <c r="M3484" s="311"/>
      <c r="N3484" s="310"/>
      <c r="O3484" s="311"/>
      <c r="P3484" s="311"/>
      <c r="Q3484" s="310"/>
      <c r="R3484" s="310"/>
      <c r="S3484" s="309"/>
      <c r="T3484" s="309"/>
      <c r="U3484" s="309"/>
      <c r="V3484" s="309"/>
      <c r="W3484" s="312"/>
    </row>
    <row r="3485" spans="1:28" s="289" customFormat="1" ht="20.399999999999999" x14ac:dyDescent="0.25">
      <c r="A3485" s="212" t="s">
        <v>18825</v>
      </c>
      <c r="B3485" s="392" t="s">
        <v>18826</v>
      </c>
      <c r="C3485" s="352"/>
      <c r="D3485" s="353" t="s">
        <v>1</v>
      </c>
      <c r="E3485" s="249">
        <f t="shared" si="827"/>
        <v>0.42000000000000004</v>
      </c>
      <c r="F3485" s="336">
        <f>0.42/1.32</f>
        <v>0.31818181818181818</v>
      </c>
      <c r="G3485" s="258">
        <f t="shared" si="828"/>
        <v>0.31818181818181818</v>
      </c>
      <c r="H3485" s="249">
        <f t="shared" si="829"/>
        <v>0.8</v>
      </c>
      <c r="I3485" s="336">
        <f>0.8/1.32</f>
        <v>0.60606060606060608</v>
      </c>
      <c r="J3485" s="258">
        <f t="shared" si="830"/>
        <v>0.60606060606060608</v>
      </c>
      <c r="K3485" s="249">
        <f t="shared" si="831"/>
        <v>0.05</v>
      </c>
      <c r="L3485" s="336">
        <f>0.05/1.32</f>
        <v>3.787878787878788E-2</v>
      </c>
      <c r="M3485" s="258">
        <f t="shared" si="832"/>
        <v>3.787878787878788E-2</v>
      </c>
      <c r="N3485" s="251">
        <f t="shared" si="833"/>
        <v>0.05</v>
      </c>
      <c r="O3485" s="336">
        <f>0.05/1.32</f>
        <v>3.787878787878788E-2</v>
      </c>
      <c r="P3485" s="258">
        <f t="shared" si="834"/>
        <v>3.787878787878788E-2</v>
      </c>
      <c r="Q3485" s="354"/>
      <c r="R3485" s="249">
        <v>1.32</v>
      </c>
      <c r="S3485" s="355">
        <v>0.2</v>
      </c>
      <c r="T3485" s="355"/>
      <c r="U3485" s="315">
        <f t="shared" ref="U3485:U3557" si="838">(R3485*S3485)+R3485</f>
        <v>1.5840000000000001</v>
      </c>
      <c r="V3485" s="315">
        <f>IF(U3485=0, 0, IF(U3485&lt;10, _xlfn.CEILING.MATH(U3485,0.05), IF(U3485&lt;100, _xlfn.CEILING.MATH(U3485,1),IF(U3485&lt;1000, _xlfn.CEILING.MATH(U3485,5), IF(U3485&lt;10000, _xlfn.CEILING.MATH(U3485, 25), IF(U3485&lt;100000, _xlfn.CEILING.MATH(U3485,250), IF(U3485&lt;1000000, _xlfn.CEILING.MATH(U3485,500), 0)))))))</f>
        <v>1.6</v>
      </c>
      <c r="W3485" s="316">
        <f t="shared" si="835"/>
        <v>0</v>
      </c>
      <c r="X3485" s="185"/>
      <c r="Y3485" s="185"/>
      <c r="Z3485" s="185"/>
      <c r="AA3485" s="211"/>
      <c r="AB3485" s="288"/>
    </row>
    <row r="3486" spans="1:28" ht="30.6" x14ac:dyDescent="0.25">
      <c r="A3486" s="212" t="s">
        <v>18827</v>
      </c>
      <c r="B3486" s="392" t="s">
        <v>18828</v>
      </c>
      <c r="C3486" s="352"/>
      <c r="D3486" s="353" t="s">
        <v>1</v>
      </c>
      <c r="E3486" s="249">
        <f t="shared" si="827"/>
        <v>0.52</v>
      </c>
      <c r="F3486" s="336">
        <f>0.52/1.46</f>
        <v>0.35616438356164387</v>
      </c>
      <c r="G3486" s="258">
        <f t="shared" si="828"/>
        <v>0.35616438356164387</v>
      </c>
      <c r="H3486" s="249">
        <f t="shared" si="829"/>
        <v>0.8</v>
      </c>
      <c r="I3486" s="336">
        <f>0.8/1.46</f>
        <v>0.54794520547945214</v>
      </c>
      <c r="J3486" s="258">
        <f t="shared" si="830"/>
        <v>0.54794520547945214</v>
      </c>
      <c r="K3486" s="249">
        <f t="shared" si="831"/>
        <v>7.0000000000000007E-2</v>
      </c>
      <c r="L3486" s="336">
        <f>0.07/1.46</f>
        <v>4.7945205479452059E-2</v>
      </c>
      <c r="M3486" s="258">
        <f t="shared" si="832"/>
        <v>4.7945205479452059E-2</v>
      </c>
      <c r="N3486" s="251">
        <f t="shared" si="833"/>
        <v>7.0000000000000007E-2</v>
      </c>
      <c r="O3486" s="336">
        <f>0.07/1.46</f>
        <v>4.7945205479452059E-2</v>
      </c>
      <c r="P3486" s="258">
        <f t="shared" si="834"/>
        <v>4.7945205479452059E-2</v>
      </c>
      <c r="Q3486" s="354"/>
      <c r="R3486" s="249">
        <v>1.46</v>
      </c>
      <c r="S3486" s="355">
        <v>0.2</v>
      </c>
      <c r="T3486" s="355"/>
      <c r="U3486" s="315">
        <f t="shared" si="838"/>
        <v>1.752</v>
      </c>
      <c r="V3486" s="315">
        <f>IF(U3486=0, 0, IF(U3486&lt;10, _xlfn.CEILING.MATH(U3486,0.05), IF(U3486&lt;100, _xlfn.CEILING.MATH(U3486,1),IF(U3486&lt;1000, _xlfn.CEILING.MATH(U3486,5), IF(U3486&lt;10000, _xlfn.CEILING.MATH(U3486, 25), IF(U3486&lt;100000, _xlfn.CEILING.MATH(U3486,250), IF(U3486&lt;1000000, _xlfn.CEILING.MATH(U3486,500), 0)))))))</f>
        <v>1.8</v>
      </c>
      <c r="W3486" s="316">
        <f t="shared" si="835"/>
        <v>0</v>
      </c>
    </row>
    <row r="3487" spans="1:28" ht="21" thickBot="1" x14ac:dyDescent="0.3">
      <c r="A3487" s="421" t="s">
        <v>18829</v>
      </c>
      <c r="B3487" s="422" t="s">
        <v>18830</v>
      </c>
      <c r="C3487" s="358"/>
      <c r="D3487" s="359" t="s">
        <v>11</v>
      </c>
      <c r="E3487" s="266">
        <f t="shared" si="827"/>
        <v>95.000000000000014</v>
      </c>
      <c r="F3487" s="360">
        <f>95/372.5</f>
        <v>0.25503355704697989</v>
      </c>
      <c r="G3487" s="322">
        <f t="shared" si="828"/>
        <v>0.25503355704697989</v>
      </c>
      <c r="H3487" s="266">
        <f t="shared" si="829"/>
        <v>255</v>
      </c>
      <c r="I3487" s="360">
        <f>255/372.5</f>
        <v>0.68456375838926176</v>
      </c>
      <c r="J3487" s="322">
        <f t="shared" si="830"/>
        <v>0.68456375838926176</v>
      </c>
      <c r="K3487" s="266">
        <f t="shared" si="831"/>
        <v>14.999999999999998</v>
      </c>
      <c r="L3487" s="360">
        <f>15/372.5</f>
        <v>4.0268456375838924E-2</v>
      </c>
      <c r="M3487" s="322">
        <f t="shared" si="832"/>
        <v>4.0268456375838924E-2</v>
      </c>
      <c r="N3487" s="270">
        <f t="shared" si="833"/>
        <v>7.4999999999999991</v>
      </c>
      <c r="O3487" s="360">
        <f>7.5/372.5</f>
        <v>2.0134228187919462E-2</v>
      </c>
      <c r="P3487" s="322">
        <f t="shared" si="834"/>
        <v>2.0134228187919462E-2</v>
      </c>
      <c r="Q3487" s="361"/>
      <c r="R3487" s="266">
        <v>372.5</v>
      </c>
      <c r="S3487" s="362">
        <v>0.2</v>
      </c>
      <c r="T3487" s="362"/>
      <c r="U3487" s="324">
        <f>(R3487*S3487)+R3487</f>
        <v>447</v>
      </c>
      <c r="V3487" s="324">
        <f t="shared" ref="V3487:V3492" si="839">IF(U3487=0, 0, IF(U3487&lt;10, _xlfn.CEILING.MATH(U3487,1), IF(U3487&lt;100, _xlfn.CEILING.MATH(U3487,1),IF(U3487&lt;1000, _xlfn.CEILING.MATH(U3487,5), IF(U3487&lt;10000, _xlfn.CEILING.MATH(U3487, 25), IF(U3487&lt;100000, _xlfn.CEILING.MATH(U3487,250), IF(U3487&lt;1000000, _xlfn.CEILING.MATH(U3487,500), 0)))))))</f>
        <v>450</v>
      </c>
      <c r="W3487" s="325">
        <f t="shared" si="835"/>
        <v>0</v>
      </c>
    </row>
    <row r="3488" spans="1:28" x14ac:dyDescent="0.25">
      <c r="A3488" s="212" t="s">
        <v>18831</v>
      </c>
      <c r="B3488" s="353" t="s">
        <v>18832</v>
      </c>
      <c r="C3488" s="352"/>
      <c r="D3488" s="353" t="s">
        <v>2</v>
      </c>
      <c r="E3488" s="249">
        <f t="shared" si="827"/>
        <v>346</v>
      </c>
      <c r="F3488" s="336">
        <f>346/618.81</f>
        <v>0.55913769977860739</v>
      </c>
      <c r="G3488" s="258">
        <f t="shared" si="828"/>
        <v>0.55913769977860739</v>
      </c>
      <c r="H3488" s="249">
        <f t="shared" si="829"/>
        <v>150.81</v>
      </c>
      <c r="I3488" s="336">
        <f>150.81/618.81</f>
        <v>0.24370970087749069</v>
      </c>
      <c r="J3488" s="258">
        <f t="shared" si="830"/>
        <v>0.24370970087749069</v>
      </c>
      <c r="K3488" s="249">
        <f t="shared" si="831"/>
        <v>87.000000000000014</v>
      </c>
      <c r="L3488" s="336">
        <f>87/618.81</f>
        <v>0.14059242740097933</v>
      </c>
      <c r="M3488" s="258">
        <f t="shared" si="832"/>
        <v>0.14059242740097933</v>
      </c>
      <c r="N3488" s="251">
        <f t="shared" si="833"/>
        <v>35</v>
      </c>
      <c r="O3488" s="336">
        <f>35/618.81</f>
        <v>5.6560171942922711E-2</v>
      </c>
      <c r="P3488" s="258">
        <f t="shared" si="834"/>
        <v>5.6560171942922711E-2</v>
      </c>
      <c r="Q3488" s="354"/>
      <c r="R3488" s="249">
        <v>618.80999999999995</v>
      </c>
      <c r="S3488" s="355">
        <v>0.2</v>
      </c>
      <c r="T3488" s="355"/>
      <c r="U3488" s="315">
        <f t="shared" ref="U3488:U3493" si="840">(R3488*S3488)+R3488-2.58</f>
        <v>739.99199999999985</v>
      </c>
      <c r="V3488" s="315">
        <f t="shared" si="839"/>
        <v>740</v>
      </c>
      <c r="W3488" s="316">
        <f t="shared" si="835"/>
        <v>0</v>
      </c>
    </row>
    <row r="3489" spans="1:23" x14ac:dyDescent="0.25">
      <c r="A3489" s="212" t="s">
        <v>18833</v>
      </c>
      <c r="B3489" s="353" t="s">
        <v>18834</v>
      </c>
      <c r="C3489" s="352"/>
      <c r="D3489" s="353" t="s">
        <v>2</v>
      </c>
      <c r="E3489" s="249">
        <f t="shared" si="827"/>
        <v>346</v>
      </c>
      <c r="F3489" s="336">
        <f>346/640.12</f>
        <v>0.54052365181528461</v>
      </c>
      <c r="G3489" s="258">
        <f t="shared" si="828"/>
        <v>0.54052365181528461</v>
      </c>
      <c r="H3489" s="249">
        <f t="shared" si="829"/>
        <v>170.12</v>
      </c>
      <c r="I3489" s="336">
        <f>170.12/640.12</f>
        <v>0.26576266949946886</v>
      </c>
      <c r="J3489" s="258">
        <f t="shared" si="830"/>
        <v>0.26576266949946886</v>
      </c>
      <c r="K3489" s="249">
        <f t="shared" si="831"/>
        <v>86.999999999999986</v>
      </c>
      <c r="L3489" s="336">
        <f>87/640.12</f>
        <v>0.13591201649690682</v>
      </c>
      <c r="M3489" s="258">
        <f t="shared" si="832"/>
        <v>0.13591201649690682</v>
      </c>
      <c r="N3489" s="251">
        <f t="shared" si="833"/>
        <v>37</v>
      </c>
      <c r="O3489" s="336">
        <f>37/640.12</f>
        <v>5.7801662188339688E-2</v>
      </c>
      <c r="P3489" s="258">
        <f t="shared" si="834"/>
        <v>5.7801662188339688E-2</v>
      </c>
      <c r="Q3489" s="354"/>
      <c r="R3489" s="249">
        <v>640.12</v>
      </c>
      <c r="S3489" s="355">
        <v>0.2</v>
      </c>
      <c r="T3489" s="355"/>
      <c r="U3489" s="315">
        <f t="shared" si="840"/>
        <v>765.56399999999996</v>
      </c>
      <c r="V3489" s="315">
        <f t="shared" si="839"/>
        <v>770</v>
      </c>
      <c r="W3489" s="316">
        <f t="shared" si="835"/>
        <v>0</v>
      </c>
    </row>
    <row r="3490" spans="1:23" x14ac:dyDescent="0.25">
      <c r="A3490" s="212" t="s">
        <v>18835</v>
      </c>
      <c r="B3490" s="353" t="s">
        <v>18836</v>
      </c>
      <c r="C3490" s="352"/>
      <c r="D3490" s="353" t="s">
        <v>2</v>
      </c>
      <c r="E3490" s="249">
        <f t="shared" si="827"/>
        <v>346</v>
      </c>
      <c r="F3490" s="336">
        <f>346/662.42</f>
        <v>0.52232722441955259</v>
      </c>
      <c r="G3490" s="258">
        <f t="shared" si="828"/>
        <v>0.52232722441955259</v>
      </c>
      <c r="H3490" s="249">
        <f t="shared" si="829"/>
        <v>189.42</v>
      </c>
      <c r="I3490" s="336">
        <f>189.42/662.42</f>
        <v>0.2859515111258718</v>
      </c>
      <c r="J3490" s="258">
        <f t="shared" si="830"/>
        <v>0.2859515111258718</v>
      </c>
      <c r="K3490" s="249">
        <f t="shared" si="831"/>
        <v>87</v>
      </c>
      <c r="L3490" s="336">
        <f>87/662.42</f>
        <v>0.13133661423266207</v>
      </c>
      <c r="M3490" s="258">
        <f t="shared" si="832"/>
        <v>0.13133661423266207</v>
      </c>
      <c r="N3490" s="251">
        <f t="shared" si="833"/>
        <v>40</v>
      </c>
      <c r="O3490" s="336">
        <f>40/662.42</f>
        <v>6.0384650221913597E-2</v>
      </c>
      <c r="P3490" s="258">
        <f t="shared" si="834"/>
        <v>6.0384650221913597E-2</v>
      </c>
      <c r="Q3490" s="354"/>
      <c r="R3490" s="249">
        <v>662.42</v>
      </c>
      <c r="S3490" s="355">
        <v>0.2</v>
      </c>
      <c r="T3490" s="355"/>
      <c r="U3490" s="315">
        <f t="shared" si="840"/>
        <v>792.32399999999996</v>
      </c>
      <c r="V3490" s="315">
        <f t="shared" si="839"/>
        <v>795</v>
      </c>
      <c r="W3490" s="316">
        <f t="shared" si="835"/>
        <v>0</v>
      </c>
    </row>
    <row r="3491" spans="1:23" x14ac:dyDescent="0.25">
      <c r="A3491" s="212" t="s">
        <v>18837</v>
      </c>
      <c r="B3491" s="353" t="s">
        <v>18838</v>
      </c>
      <c r="C3491" s="352"/>
      <c r="D3491" s="353" t="s">
        <v>2</v>
      </c>
      <c r="E3491" s="249">
        <f t="shared" si="827"/>
        <v>414.99999999999994</v>
      </c>
      <c r="F3491" s="336">
        <f>415/783</f>
        <v>0.53001277139208169</v>
      </c>
      <c r="G3491" s="258">
        <f t="shared" si="828"/>
        <v>0.53001277139208169</v>
      </c>
      <c r="H3491" s="249">
        <f t="shared" si="829"/>
        <v>228</v>
      </c>
      <c r="I3491" s="336">
        <f>228/783</f>
        <v>0.29118773946360155</v>
      </c>
      <c r="J3491" s="258">
        <f t="shared" si="830"/>
        <v>0.29118773946360155</v>
      </c>
      <c r="K3491" s="249">
        <f t="shared" si="831"/>
        <v>95</v>
      </c>
      <c r="L3491" s="336">
        <f>95/783</f>
        <v>0.12132822477650064</v>
      </c>
      <c r="M3491" s="258">
        <f t="shared" si="832"/>
        <v>0.12132822477650064</v>
      </c>
      <c r="N3491" s="251">
        <f t="shared" si="833"/>
        <v>45</v>
      </c>
      <c r="O3491" s="336">
        <f>45/783</f>
        <v>5.7471264367816091E-2</v>
      </c>
      <c r="P3491" s="258">
        <f t="shared" si="834"/>
        <v>5.7471264367816091E-2</v>
      </c>
      <c r="Q3491" s="354"/>
      <c r="R3491" s="249">
        <v>783</v>
      </c>
      <c r="S3491" s="355">
        <v>0.2</v>
      </c>
      <c r="T3491" s="355"/>
      <c r="U3491" s="315">
        <f t="shared" si="840"/>
        <v>937.02</v>
      </c>
      <c r="V3491" s="315">
        <f t="shared" si="839"/>
        <v>940</v>
      </c>
      <c r="W3491" s="316">
        <f t="shared" si="835"/>
        <v>0</v>
      </c>
    </row>
    <row r="3492" spans="1:23" x14ac:dyDescent="0.25">
      <c r="A3492" s="212" t="s">
        <v>18839</v>
      </c>
      <c r="B3492" s="353" t="s">
        <v>18840</v>
      </c>
      <c r="C3492" s="352"/>
      <c r="D3492" s="353" t="s">
        <v>2</v>
      </c>
      <c r="E3492" s="249">
        <f t="shared" si="827"/>
        <v>485</v>
      </c>
      <c r="F3492" s="336">
        <f>485/1083</f>
        <v>0.44783010156971376</v>
      </c>
      <c r="G3492" s="258">
        <f t="shared" si="828"/>
        <v>0.44783010156971376</v>
      </c>
      <c r="H3492" s="249">
        <f t="shared" si="829"/>
        <v>408</v>
      </c>
      <c r="I3492" s="336">
        <f>408/1083</f>
        <v>0.37673130193905818</v>
      </c>
      <c r="J3492" s="258">
        <f t="shared" si="830"/>
        <v>0.37673130193905818</v>
      </c>
      <c r="K3492" s="249">
        <f t="shared" si="831"/>
        <v>105</v>
      </c>
      <c r="L3492" s="336">
        <f>105/1083</f>
        <v>9.6952908587257622E-2</v>
      </c>
      <c r="M3492" s="258">
        <f t="shared" si="832"/>
        <v>9.6952908587257622E-2</v>
      </c>
      <c r="N3492" s="251">
        <f t="shared" si="833"/>
        <v>85</v>
      </c>
      <c r="O3492" s="336">
        <f>85/1083</f>
        <v>7.8485687903970452E-2</v>
      </c>
      <c r="P3492" s="258">
        <f t="shared" si="834"/>
        <v>7.8485687903970452E-2</v>
      </c>
      <c r="Q3492" s="354"/>
      <c r="R3492" s="249">
        <v>1083</v>
      </c>
      <c r="S3492" s="355">
        <v>0.2</v>
      </c>
      <c r="T3492" s="355"/>
      <c r="U3492" s="315">
        <f t="shared" si="840"/>
        <v>1297.02</v>
      </c>
      <c r="V3492" s="315">
        <f t="shared" si="839"/>
        <v>1300</v>
      </c>
      <c r="W3492" s="316">
        <f t="shared" si="835"/>
        <v>0</v>
      </c>
    </row>
    <row r="3493" spans="1:23" x14ac:dyDescent="0.25">
      <c r="A3493" s="212" t="s">
        <v>18841</v>
      </c>
      <c r="B3493" s="353" t="s">
        <v>18842</v>
      </c>
      <c r="C3493" s="352"/>
      <c r="D3493" s="353" t="s">
        <v>2</v>
      </c>
      <c r="E3493" s="249">
        <f t="shared" si="827"/>
        <v>485</v>
      </c>
      <c r="F3493" s="336">
        <f>485/1236.13</f>
        <v>0.39235355504679925</v>
      </c>
      <c r="G3493" s="258">
        <f t="shared" si="828"/>
        <v>0.39235355504679925</v>
      </c>
      <c r="H3493" s="249">
        <f t="shared" si="829"/>
        <v>536.13</v>
      </c>
      <c r="I3493" s="336">
        <f>536.13/1236.13</f>
        <v>0.43371651848915566</v>
      </c>
      <c r="J3493" s="258">
        <f t="shared" si="830"/>
        <v>0.43371651848915566</v>
      </c>
      <c r="K3493" s="249">
        <f t="shared" si="831"/>
        <v>105</v>
      </c>
      <c r="L3493" s="336">
        <f>105/1236.13</f>
        <v>8.4942522226626641E-2</v>
      </c>
      <c r="M3493" s="258">
        <f t="shared" si="832"/>
        <v>8.4942522226626641E-2</v>
      </c>
      <c r="N3493" s="251">
        <f t="shared" si="833"/>
        <v>110</v>
      </c>
      <c r="O3493" s="336">
        <f>110/1236.13</f>
        <v>8.8987404237418383E-2</v>
      </c>
      <c r="P3493" s="258">
        <f t="shared" si="834"/>
        <v>8.8987404237418383E-2</v>
      </c>
      <c r="Q3493" s="354"/>
      <c r="R3493" s="249">
        <v>1236.1300000000001</v>
      </c>
      <c r="S3493" s="355">
        <v>0.2</v>
      </c>
      <c r="T3493" s="355"/>
      <c r="U3493" s="315">
        <f t="shared" si="840"/>
        <v>1480.7760000000003</v>
      </c>
      <c r="V3493" s="315">
        <f>IF(U3493=0, 0, IF(U3493&lt;10, _xlfn.CEILING.MATH(U3493,1), IF(U3493&lt;100, _xlfn.CEILING.MATH(U3493,1),IF(U3493&lt;1000, _xlfn.CEILING.MATH(U3493,5), IF(U3493&lt;10000, _xlfn.CEILING.MATH(U3493, 5), IF(U3493&lt;100000, _xlfn.CEILING.MATH(U3493,250), IF(U3493&lt;1000000, _xlfn.CEILING.MATH(U3493,500), 0)))))))</f>
        <v>1485</v>
      </c>
      <c r="W3493" s="316">
        <f t="shared" si="835"/>
        <v>0</v>
      </c>
    </row>
    <row r="3494" spans="1:23" x14ac:dyDescent="0.25">
      <c r="A3494" s="179" t="s">
        <v>18843</v>
      </c>
      <c r="B3494" s="335" t="s">
        <v>22852</v>
      </c>
      <c r="C3494" s="334"/>
      <c r="D3494" s="335" t="s">
        <v>2</v>
      </c>
      <c r="E3494" s="249">
        <f t="shared" si="827"/>
        <v>118.25832702750002</v>
      </c>
      <c r="F3494" s="336">
        <v>0.41738546115850234</v>
      </c>
      <c r="G3494" s="258">
        <f t="shared" si="828"/>
        <v>0.41738546115850234</v>
      </c>
      <c r="H3494" s="249">
        <f t="shared" si="829"/>
        <v>148.55500000000004</v>
      </c>
      <c r="I3494" s="336">
        <v>0.52431569717693227</v>
      </c>
      <c r="J3494" s="258">
        <f t="shared" si="830"/>
        <v>0.52431569717693227</v>
      </c>
      <c r="K3494" s="249">
        <f t="shared" si="831"/>
        <v>12.665381250000003</v>
      </c>
      <c r="L3494" s="336">
        <v>4.4701680859650608E-2</v>
      </c>
      <c r="M3494" s="258">
        <f t="shared" si="832"/>
        <v>4.4701680859650608E-2</v>
      </c>
      <c r="N3494" s="251">
        <f t="shared" si="833"/>
        <v>3.8525</v>
      </c>
      <c r="O3494" s="336">
        <v>1.3597160804914889E-2</v>
      </c>
      <c r="P3494" s="258">
        <f t="shared" si="834"/>
        <v>1.3597160804914889E-2</v>
      </c>
      <c r="Q3494" s="337"/>
      <c r="R3494" s="249">
        <v>283.33120827750002</v>
      </c>
      <c r="S3494" s="338">
        <v>0.2</v>
      </c>
      <c r="T3494" s="338"/>
      <c r="U3494" s="315">
        <f t="shared" si="838"/>
        <v>339.99744993300004</v>
      </c>
      <c r="V3494" s="315">
        <f t="shared" ref="V3494:V3557" si="841">IF(U3494=0, 0, IF(U3494&lt;10, _xlfn.CEILING.MATH(U3494,1), IF(U3494&lt;100, _xlfn.CEILING.MATH(U3494,1),IF(U3494&lt;1000, _xlfn.CEILING.MATH(U3494,5), IF(U3494&lt;10000, _xlfn.CEILING.MATH(U3494, 25), IF(U3494&lt;100000, _xlfn.CEILING.MATH(U3494,250), IF(U3494&lt;1000000, _xlfn.CEILING.MATH(U3494,500), 0)))))))</f>
        <v>340</v>
      </c>
      <c r="W3494" s="316">
        <f t="shared" si="835"/>
        <v>0</v>
      </c>
    </row>
    <row r="3495" spans="1:23" x14ac:dyDescent="0.25">
      <c r="A3495" s="179" t="s">
        <v>18843</v>
      </c>
      <c r="B3495" s="335" t="s">
        <v>18844</v>
      </c>
      <c r="C3495" s="334"/>
      <c r="D3495" s="335" t="s">
        <v>2</v>
      </c>
      <c r="E3495" s="249">
        <f t="shared" si="827"/>
        <v>110.64414718499997</v>
      </c>
      <c r="F3495" s="336">
        <v>0.40234402175972056</v>
      </c>
      <c r="G3495" s="258">
        <f t="shared" si="828"/>
        <v>0.40234402175972056</v>
      </c>
      <c r="H3495" s="249">
        <f t="shared" si="829"/>
        <v>148.55499999999998</v>
      </c>
      <c r="I3495" s="336">
        <v>0.54020224000260841</v>
      </c>
      <c r="J3495" s="258">
        <f t="shared" si="830"/>
        <v>0.54020224000260841</v>
      </c>
      <c r="K3495" s="249">
        <f t="shared" si="831"/>
        <v>12.1147125</v>
      </c>
      <c r="L3495" s="336">
        <v>4.4053682673000576E-2</v>
      </c>
      <c r="M3495" s="258">
        <f t="shared" si="832"/>
        <v>4.4053682673000576E-2</v>
      </c>
      <c r="N3495" s="251">
        <f t="shared" si="833"/>
        <v>3.6849999999999996</v>
      </c>
      <c r="O3495" s="336">
        <v>1.3400055564670405E-2</v>
      </c>
      <c r="P3495" s="258">
        <f t="shared" si="834"/>
        <v>1.3400055564670405E-2</v>
      </c>
      <c r="Q3495" s="337"/>
      <c r="R3495" s="249">
        <v>274.99885968499996</v>
      </c>
      <c r="S3495" s="338">
        <v>0.2</v>
      </c>
      <c r="T3495" s="338"/>
      <c r="U3495" s="315">
        <f t="shared" si="838"/>
        <v>329.99863162199995</v>
      </c>
      <c r="V3495" s="315">
        <f t="shared" si="841"/>
        <v>330</v>
      </c>
      <c r="W3495" s="316">
        <f t="shared" si="835"/>
        <v>0</v>
      </c>
    </row>
    <row r="3496" spans="1:23" x14ac:dyDescent="0.25">
      <c r="A3496" s="179" t="s">
        <v>18843</v>
      </c>
      <c r="B3496" s="335" t="s">
        <v>18845</v>
      </c>
      <c r="C3496" s="334"/>
      <c r="D3496" s="335" t="s">
        <v>2</v>
      </c>
      <c r="E3496" s="249">
        <f t="shared" si="827"/>
        <v>95.415787500000008</v>
      </c>
      <c r="F3496" s="336">
        <v>0.3693502499887138</v>
      </c>
      <c r="G3496" s="258">
        <f t="shared" si="828"/>
        <v>0.3693502499887138</v>
      </c>
      <c r="H3496" s="249">
        <f t="shared" si="829"/>
        <v>148.55500000000001</v>
      </c>
      <c r="I3496" s="336">
        <v>0.57504976717897316</v>
      </c>
      <c r="J3496" s="258">
        <f t="shared" si="830"/>
        <v>0.57504976717897316</v>
      </c>
      <c r="K3496" s="249">
        <f t="shared" si="831"/>
        <v>11.013375</v>
      </c>
      <c r="L3496" s="336">
        <v>4.2632282518964171E-2</v>
      </c>
      <c r="M3496" s="258">
        <f t="shared" si="832"/>
        <v>4.2632282518964171E-2</v>
      </c>
      <c r="N3496" s="251">
        <f t="shared" si="833"/>
        <v>3.35</v>
      </c>
      <c r="O3496" s="336">
        <v>1.2967700313348995E-2</v>
      </c>
      <c r="P3496" s="258">
        <f t="shared" si="834"/>
        <v>1.2967700313348995E-2</v>
      </c>
      <c r="Q3496" s="337"/>
      <c r="R3496" s="249">
        <v>258.33416249999999</v>
      </c>
      <c r="S3496" s="338">
        <v>0.2</v>
      </c>
      <c r="T3496" s="338"/>
      <c r="U3496" s="315">
        <f t="shared" si="838"/>
        <v>310.00099499999999</v>
      </c>
      <c r="V3496" s="315">
        <f t="shared" si="841"/>
        <v>315</v>
      </c>
      <c r="W3496" s="316">
        <f t="shared" si="835"/>
        <v>0</v>
      </c>
    </row>
    <row r="3497" spans="1:23" x14ac:dyDescent="0.25">
      <c r="A3497" s="179" t="s">
        <v>18846</v>
      </c>
      <c r="B3497" s="335" t="s">
        <v>22853</v>
      </c>
      <c r="C3497" s="334"/>
      <c r="D3497" s="335" t="s">
        <v>2</v>
      </c>
      <c r="E3497" s="249">
        <f t="shared" si="827"/>
        <v>208.0007875</v>
      </c>
      <c r="F3497" s="336">
        <v>0.47999952807917373</v>
      </c>
      <c r="G3497" s="258">
        <f t="shared" si="828"/>
        <v>0.47999952807917373</v>
      </c>
      <c r="H3497" s="249">
        <f t="shared" si="829"/>
        <v>205.72323750000001</v>
      </c>
      <c r="I3497" s="336">
        <v>0.47474366853019623</v>
      </c>
      <c r="J3497" s="258">
        <f t="shared" si="830"/>
        <v>0.47474366853019623</v>
      </c>
      <c r="K3497" s="249">
        <f t="shared" si="831"/>
        <v>15.111374999999999</v>
      </c>
      <c r="L3497" s="336">
        <v>3.4872237532405606E-2</v>
      </c>
      <c r="M3497" s="258">
        <f t="shared" si="832"/>
        <v>3.4872237532405606E-2</v>
      </c>
      <c r="N3497" s="251">
        <f t="shared" si="833"/>
        <v>4.5</v>
      </c>
      <c r="O3497" s="336">
        <v>1.0384565858224367E-2</v>
      </c>
      <c r="P3497" s="258">
        <f t="shared" si="834"/>
        <v>1.0384565858224367E-2</v>
      </c>
      <c r="Q3497" s="337"/>
      <c r="R3497" s="249">
        <v>433.33540000000005</v>
      </c>
      <c r="S3497" s="338">
        <v>0.2</v>
      </c>
      <c r="T3497" s="338"/>
      <c r="U3497" s="315">
        <f t="shared" si="838"/>
        <v>520.00248000000011</v>
      </c>
      <c r="V3497" s="315">
        <f t="shared" si="841"/>
        <v>525</v>
      </c>
      <c r="W3497" s="316">
        <f t="shared" si="835"/>
        <v>0</v>
      </c>
    </row>
    <row r="3498" spans="1:23" x14ac:dyDescent="0.25">
      <c r="A3498" s="179" t="s">
        <v>18846</v>
      </c>
      <c r="B3498" s="335" t="s">
        <v>18847</v>
      </c>
      <c r="C3498" s="334"/>
      <c r="D3498" s="335" t="s">
        <v>2</v>
      </c>
      <c r="E3498" s="249">
        <f t="shared" si="827"/>
        <v>200.64795966187501</v>
      </c>
      <c r="F3498" s="336">
        <v>0.47211062077612004</v>
      </c>
      <c r="G3498" s="258">
        <f t="shared" si="828"/>
        <v>0.47211062077612004</v>
      </c>
      <c r="H3498" s="249">
        <f t="shared" si="829"/>
        <v>205.72323750000001</v>
      </c>
      <c r="I3498" s="336">
        <v>0.48405239469102201</v>
      </c>
      <c r="J3498" s="258">
        <f t="shared" si="830"/>
        <v>0.48405239469102201</v>
      </c>
      <c r="K3498" s="249">
        <f t="shared" si="831"/>
        <v>14.355806249999997</v>
      </c>
      <c r="L3498" s="336">
        <v>3.3778208419614431E-2</v>
      </c>
      <c r="M3498" s="258">
        <f t="shared" si="832"/>
        <v>3.3778208419614431E-2</v>
      </c>
      <c r="N3498" s="251">
        <f t="shared" si="833"/>
        <v>4.2749999999999995</v>
      </c>
      <c r="O3498" s="336">
        <v>1.0058776113243496E-2</v>
      </c>
      <c r="P3498" s="258">
        <f t="shared" si="834"/>
        <v>1.0058776113243496E-2</v>
      </c>
      <c r="Q3498" s="337"/>
      <c r="R3498" s="249">
        <v>425.00200341187502</v>
      </c>
      <c r="S3498" s="338">
        <v>0.2</v>
      </c>
      <c r="T3498" s="338"/>
      <c r="U3498" s="315">
        <f t="shared" si="838"/>
        <v>510.00240409425004</v>
      </c>
      <c r="V3498" s="315">
        <f t="shared" si="841"/>
        <v>515</v>
      </c>
      <c r="W3498" s="316">
        <f t="shared" si="835"/>
        <v>0</v>
      </c>
    </row>
    <row r="3499" spans="1:23" x14ac:dyDescent="0.25">
      <c r="A3499" s="179" t="s">
        <v>18846</v>
      </c>
      <c r="B3499" s="335" t="s">
        <v>22854</v>
      </c>
      <c r="C3499" s="334"/>
      <c r="D3499" s="335" t="s">
        <v>2</v>
      </c>
      <c r="E3499" s="249">
        <f t="shared" si="827"/>
        <v>196.238342966875</v>
      </c>
      <c r="F3499" s="336">
        <v>0.47096812909925695</v>
      </c>
      <c r="G3499" s="258">
        <f t="shared" si="828"/>
        <v>0.47096812909925695</v>
      </c>
      <c r="H3499" s="249">
        <f t="shared" si="829"/>
        <v>205.72323750000001</v>
      </c>
      <c r="I3499" s="336">
        <v>0.4937316877669109</v>
      </c>
      <c r="J3499" s="258">
        <f t="shared" si="830"/>
        <v>0.4937316877669109</v>
      </c>
      <c r="K3499" s="249">
        <f t="shared" si="831"/>
        <v>11.33353125</v>
      </c>
      <c r="L3499" s="336">
        <v>2.7200250105054502E-2</v>
      </c>
      <c r="M3499" s="258">
        <f t="shared" si="832"/>
        <v>2.7200250105054502E-2</v>
      </c>
      <c r="N3499" s="251">
        <f t="shared" si="833"/>
        <v>3.375</v>
      </c>
      <c r="O3499" s="336">
        <v>8.0999330287776766E-3</v>
      </c>
      <c r="P3499" s="258">
        <f t="shared" si="834"/>
        <v>8.0999330287776766E-3</v>
      </c>
      <c r="Q3499" s="337"/>
      <c r="R3499" s="249">
        <v>416.670111716875</v>
      </c>
      <c r="S3499" s="338">
        <v>0.2</v>
      </c>
      <c r="T3499" s="338"/>
      <c r="U3499" s="315">
        <f t="shared" si="838"/>
        <v>500.00413406025001</v>
      </c>
      <c r="V3499" s="315">
        <f t="shared" si="841"/>
        <v>505</v>
      </c>
      <c r="W3499" s="316">
        <f t="shared" si="835"/>
        <v>0</v>
      </c>
    </row>
    <row r="3500" spans="1:23" x14ac:dyDescent="0.25">
      <c r="A3500" s="179" t="s">
        <v>18848</v>
      </c>
      <c r="B3500" s="335" t="s">
        <v>22855</v>
      </c>
      <c r="C3500" s="334"/>
      <c r="D3500" s="335" t="s">
        <v>2</v>
      </c>
      <c r="E3500" s="249">
        <f t="shared" si="827"/>
        <v>169.03102500000003</v>
      </c>
      <c r="F3500" s="336">
        <v>0.47726074099271287</v>
      </c>
      <c r="G3500" s="258">
        <f t="shared" si="828"/>
        <v>0.47726074099271287</v>
      </c>
      <c r="H3500" s="249">
        <f t="shared" si="829"/>
        <v>168.0757375</v>
      </c>
      <c r="I3500" s="336">
        <v>0.47456347745715133</v>
      </c>
      <c r="J3500" s="258">
        <f t="shared" si="830"/>
        <v>0.47456347745715133</v>
      </c>
      <c r="K3500" s="249">
        <f t="shared" si="831"/>
        <v>13.062374999999999</v>
      </c>
      <c r="L3500" s="336">
        <v>3.6881742695606838E-2</v>
      </c>
      <c r="M3500" s="258">
        <f t="shared" si="832"/>
        <v>3.6881742695606838E-2</v>
      </c>
      <c r="N3500" s="251">
        <f t="shared" si="833"/>
        <v>4</v>
      </c>
      <c r="O3500" s="336">
        <v>1.1294038854528931E-2</v>
      </c>
      <c r="P3500" s="258">
        <f t="shared" si="834"/>
        <v>1.1294038854528931E-2</v>
      </c>
      <c r="Q3500" s="337"/>
      <c r="R3500" s="249">
        <v>354.16913750000003</v>
      </c>
      <c r="S3500" s="338">
        <v>0.2</v>
      </c>
      <c r="T3500" s="338"/>
      <c r="U3500" s="315">
        <f t="shared" si="838"/>
        <v>425.00296500000002</v>
      </c>
      <c r="V3500" s="315">
        <f t="shared" si="841"/>
        <v>430</v>
      </c>
      <c r="W3500" s="316">
        <f t="shared" si="835"/>
        <v>0</v>
      </c>
    </row>
    <row r="3501" spans="1:23" x14ac:dyDescent="0.25">
      <c r="A3501" s="179" t="s">
        <v>18848</v>
      </c>
      <c r="B3501" s="335" t="s">
        <v>18849</v>
      </c>
      <c r="C3501" s="334"/>
      <c r="D3501" s="335" t="s">
        <v>2</v>
      </c>
      <c r="E3501" s="249">
        <f t="shared" si="827"/>
        <v>161.55140214375004</v>
      </c>
      <c r="F3501" s="336">
        <v>0.46713244777563218</v>
      </c>
      <c r="G3501" s="258">
        <f t="shared" si="828"/>
        <v>0.46713244777563218</v>
      </c>
      <c r="H3501" s="249">
        <f t="shared" si="829"/>
        <v>168.0757375</v>
      </c>
      <c r="I3501" s="336">
        <v>0.48599782872950498</v>
      </c>
      <c r="J3501" s="258">
        <f t="shared" si="830"/>
        <v>0.48599782872950498</v>
      </c>
      <c r="K3501" s="249">
        <f t="shared" si="831"/>
        <v>12.409256249999999</v>
      </c>
      <c r="L3501" s="336">
        <v>3.5881868991638595E-2</v>
      </c>
      <c r="M3501" s="258">
        <f t="shared" si="832"/>
        <v>3.5881868991638595E-2</v>
      </c>
      <c r="N3501" s="251">
        <f t="shared" si="833"/>
        <v>3.8</v>
      </c>
      <c r="O3501" s="336">
        <v>1.098785450322429E-2</v>
      </c>
      <c r="P3501" s="258">
        <f t="shared" si="834"/>
        <v>1.098785450322429E-2</v>
      </c>
      <c r="Q3501" s="337"/>
      <c r="R3501" s="249">
        <v>345.83639589375002</v>
      </c>
      <c r="S3501" s="338">
        <v>0.2</v>
      </c>
      <c r="T3501" s="338"/>
      <c r="U3501" s="315">
        <f t="shared" si="838"/>
        <v>415.00367507250002</v>
      </c>
      <c r="V3501" s="315">
        <f t="shared" si="841"/>
        <v>420</v>
      </c>
      <c r="W3501" s="316">
        <f t="shared" si="835"/>
        <v>0</v>
      </c>
    </row>
    <row r="3502" spans="1:23" x14ac:dyDescent="0.25">
      <c r="A3502" s="179" t="s">
        <v>18848</v>
      </c>
      <c r="B3502" s="335" t="s">
        <v>18850</v>
      </c>
      <c r="C3502" s="334"/>
      <c r="D3502" s="335" t="s">
        <v>2</v>
      </c>
      <c r="E3502" s="249">
        <f t="shared" si="827"/>
        <v>156.63090900600002</v>
      </c>
      <c r="F3502" s="336">
        <v>0.46408686882800249</v>
      </c>
      <c r="G3502" s="258">
        <f t="shared" si="828"/>
        <v>0.46408686882800249</v>
      </c>
      <c r="H3502" s="249">
        <f t="shared" si="829"/>
        <v>168.0757375</v>
      </c>
      <c r="I3502" s="336">
        <v>0.49799712736995155</v>
      </c>
      <c r="J3502" s="258">
        <f t="shared" si="830"/>
        <v>0.49799712736995155</v>
      </c>
      <c r="K3502" s="249">
        <f t="shared" si="831"/>
        <v>9.7967812500000004</v>
      </c>
      <c r="L3502" s="336">
        <v>2.9027205190587387E-2</v>
      </c>
      <c r="M3502" s="258">
        <f t="shared" si="832"/>
        <v>2.9027205190587387E-2</v>
      </c>
      <c r="N3502" s="251">
        <f t="shared" si="833"/>
        <v>3</v>
      </c>
      <c r="O3502" s="336">
        <v>8.8887986114584479E-3</v>
      </c>
      <c r="P3502" s="258">
        <f t="shared" si="834"/>
        <v>8.8887986114584479E-3</v>
      </c>
      <c r="Q3502" s="337"/>
      <c r="R3502" s="249">
        <v>337.50342775600006</v>
      </c>
      <c r="S3502" s="338">
        <v>0.2</v>
      </c>
      <c r="T3502" s="338"/>
      <c r="U3502" s="315">
        <f t="shared" si="838"/>
        <v>405.0041133072001</v>
      </c>
      <c r="V3502" s="315">
        <f t="shared" si="841"/>
        <v>410</v>
      </c>
      <c r="W3502" s="316">
        <f t="shared" si="835"/>
        <v>0</v>
      </c>
    </row>
    <row r="3503" spans="1:23" ht="21" x14ac:dyDescent="0.25">
      <c r="A3503" s="200" t="s">
        <v>15687</v>
      </c>
      <c r="B3503" s="255" t="s">
        <v>22856</v>
      </c>
      <c r="C3503" s="248"/>
      <c r="D3503" s="247" t="s">
        <v>2</v>
      </c>
      <c r="E3503" s="249">
        <f t="shared" si="827"/>
        <v>19.478465676000006</v>
      </c>
      <c r="F3503" s="258">
        <v>0.4</v>
      </c>
      <c r="G3503" s="258">
        <f t="shared" si="828"/>
        <v>0.4</v>
      </c>
      <c r="H3503" s="249">
        <f t="shared" si="829"/>
        <v>21.913273885500004</v>
      </c>
      <c r="I3503" s="258">
        <v>0.45</v>
      </c>
      <c r="J3503" s="258">
        <f t="shared" si="830"/>
        <v>0.45</v>
      </c>
      <c r="K3503" s="249">
        <f t="shared" si="831"/>
        <v>4.8696164190000015</v>
      </c>
      <c r="L3503" s="258">
        <v>0.1</v>
      </c>
      <c r="M3503" s="258">
        <f t="shared" si="832"/>
        <v>0.1</v>
      </c>
      <c r="N3503" s="251">
        <f t="shared" si="833"/>
        <v>2.4348082095000008</v>
      </c>
      <c r="O3503" s="258">
        <v>0.05</v>
      </c>
      <c r="P3503" s="258">
        <f t="shared" si="834"/>
        <v>0.05</v>
      </c>
      <c r="Q3503" s="249">
        <v>47.7273</v>
      </c>
      <c r="R3503" s="249">
        <f t="shared" si="837"/>
        <v>48.696164190000012</v>
      </c>
      <c r="S3503" s="258">
        <v>0.1</v>
      </c>
      <c r="T3503" s="169">
        <f t="shared" ref="T3503:T3520" si="842">Q3503+Q3503*S3503</f>
        <v>52.500030000000002</v>
      </c>
      <c r="U3503" s="315">
        <f t="shared" si="838"/>
        <v>53.565780609000015</v>
      </c>
      <c r="V3503" s="315">
        <f t="shared" si="841"/>
        <v>54</v>
      </c>
      <c r="W3503" s="316">
        <f t="shared" si="835"/>
        <v>0</v>
      </c>
    </row>
    <row r="3504" spans="1:23" ht="21" x14ac:dyDescent="0.25">
      <c r="A3504" s="200" t="s">
        <v>15688</v>
      </c>
      <c r="B3504" s="255" t="s">
        <v>22857</v>
      </c>
      <c r="C3504" s="248"/>
      <c r="D3504" s="247" t="s">
        <v>2</v>
      </c>
      <c r="E3504" s="249">
        <f t="shared" si="827"/>
        <v>21.069491187359997</v>
      </c>
      <c r="F3504" s="258">
        <v>0.41</v>
      </c>
      <c r="G3504" s="258">
        <f t="shared" si="828"/>
        <v>0.41</v>
      </c>
      <c r="H3504" s="249">
        <f t="shared" si="829"/>
        <v>22.611161274239997</v>
      </c>
      <c r="I3504" s="258">
        <v>0.44</v>
      </c>
      <c r="J3504" s="258">
        <f t="shared" si="830"/>
        <v>0.44</v>
      </c>
      <c r="K3504" s="249">
        <f t="shared" si="831"/>
        <v>5.1389002895999996</v>
      </c>
      <c r="L3504" s="258">
        <v>0.1</v>
      </c>
      <c r="M3504" s="258">
        <f t="shared" si="832"/>
        <v>0.1</v>
      </c>
      <c r="N3504" s="251">
        <f t="shared" si="833"/>
        <v>2.5694501447999998</v>
      </c>
      <c r="O3504" s="258">
        <v>0.05</v>
      </c>
      <c r="P3504" s="258">
        <f t="shared" si="834"/>
        <v>0.05</v>
      </c>
      <c r="Q3504" s="249">
        <v>50.363599999999998</v>
      </c>
      <c r="R3504" s="249">
        <f t="shared" si="837"/>
        <v>51.389002895999994</v>
      </c>
      <c r="S3504" s="258">
        <v>0.1</v>
      </c>
      <c r="T3504" s="169">
        <f t="shared" si="842"/>
        <v>55.39996</v>
      </c>
      <c r="U3504" s="315">
        <f t="shared" si="838"/>
        <v>56.527903185599996</v>
      </c>
      <c r="V3504" s="315">
        <f t="shared" si="841"/>
        <v>57</v>
      </c>
      <c r="W3504" s="316">
        <f t="shared" si="835"/>
        <v>0</v>
      </c>
    </row>
    <row r="3505" spans="1:23" ht="21" x14ac:dyDescent="0.25">
      <c r="A3505" s="200" t="s">
        <v>15689</v>
      </c>
      <c r="B3505" s="255" t="s">
        <v>22858</v>
      </c>
      <c r="C3505" s="248"/>
      <c r="D3505" s="247" t="s">
        <v>2</v>
      </c>
      <c r="E3505" s="249">
        <f t="shared" si="827"/>
        <v>22.792464389519999</v>
      </c>
      <c r="F3505" s="258">
        <v>0.42</v>
      </c>
      <c r="G3505" s="258">
        <f t="shared" si="828"/>
        <v>0.42</v>
      </c>
      <c r="H3505" s="249">
        <f t="shared" si="829"/>
        <v>23.33514211308</v>
      </c>
      <c r="I3505" s="258">
        <v>0.43</v>
      </c>
      <c r="J3505" s="258">
        <f t="shared" si="830"/>
        <v>0.43</v>
      </c>
      <c r="K3505" s="249">
        <f t="shared" si="831"/>
        <v>5.4267772356000004</v>
      </c>
      <c r="L3505" s="258">
        <v>0.1</v>
      </c>
      <c r="M3505" s="258">
        <f t="shared" si="832"/>
        <v>0.1</v>
      </c>
      <c r="N3505" s="251">
        <f t="shared" si="833"/>
        <v>2.7133886178000002</v>
      </c>
      <c r="O3505" s="258">
        <v>0.05</v>
      </c>
      <c r="P3505" s="258">
        <f t="shared" si="834"/>
        <v>0.05</v>
      </c>
      <c r="Q3505" s="249">
        <v>53.181800000000003</v>
      </c>
      <c r="R3505" s="249">
        <f t="shared" si="837"/>
        <v>54.267772356000002</v>
      </c>
      <c r="S3505" s="258">
        <v>0.1</v>
      </c>
      <c r="T3505" s="169">
        <f t="shared" si="842"/>
        <v>58.499980000000001</v>
      </c>
      <c r="U3505" s="315">
        <f t="shared" si="838"/>
        <v>59.694549591600001</v>
      </c>
      <c r="V3505" s="315">
        <f t="shared" si="841"/>
        <v>60</v>
      </c>
      <c r="W3505" s="316">
        <f t="shared" si="835"/>
        <v>0</v>
      </c>
    </row>
    <row r="3506" spans="1:23" ht="21" x14ac:dyDescent="0.25">
      <c r="A3506" s="200" t="s">
        <v>15690</v>
      </c>
      <c r="B3506" s="255" t="s">
        <v>22859</v>
      </c>
      <c r="C3506" s="248"/>
      <c r="D3506" s="247" t="s">
        <v>2</v>
      </c>
      <c r="E3506" s="249">
        <f t="shared" si="827"/>
        <v>29.918610203519997</v>
      </c>
      <c r="F3506" s="258">
        <v>0.43</v>
      </c>
      <c r="G3506" s="258">
        <f t="shared" si="828"/>
        <v>0.43</v>
      </c>
      <c r="H3506" s="249">
        <f t="shared" si="829"/>
        <v>29.222828570879997</v>
      </c>
      <c r="I3506" s="258">
        <v>0.42</v>
      </c>
      <c r="J3506" s="258">
        <f t="shared" si="830"/>
        <v>0.42</v>
      </c>
      <c r="K3506" s="249">
        <f t="shared" si="831"/>
        <v>6.9578163263999997</v>
      </c>
      <c r="L3506" s="258">
        <v>0.1</v>
      </c>
      <c r="M3506" s="258">
        <f t="shared" si="832"/>
        <v>0.1</v>
      </c>
      <c r="N3506" s="251">
        <f t="shared" si="833"/>
        <v>3.4789081631999998</v>
      </c>
      <c r="O3506" s="258">
        <v>0.05</v>
      </c>
      <c r="P3506" s="258">
        <f t="shared" si="834"/>
        <v>0.05</v>
      </c>
      <c r="Q3506" s="249">
        <v>68.181799999999996</v>
      </c>
      <c r="R3506" s="249">
        <f t="shared" si="837"/>
        <v>69.578163263999997</v>
      </c>
      <c r="S3506" s="258">
        <v>0.1</v>
      </c>
      <c r="T3506" s="169">
        <f t="shared" si="842"/>
        <v>74.999979999999994</v>
      </c>
      <c r="U3506" s="315">
        <f t="shared" si="838"/>
        <v>76.53597959039999</v>
      </c>
      <c r="V3506" s="315">
        <f t="shared" si="841"/>
        <v>77</v>
      </c>
      <c r="W3506" s="316">
        <f t="shared" si="835"/>
        <v>0</v>
      </c>
    </row>
    <row r="3507" spans="1:23" ht="21" x14ac:dyDescent="0.25">
      <c r="A3507" s="200" t="s">
        <v>15691</v>
      </c>
      <c r="B3507" s="255" t="s">
        <v>22860</v>
      </c>
      <c r="C3507" s="248"/>
      <c r="D3507" s="247" t="s">
        <v>2</v>
      </c>
      <c r="E3507" s="249">
        <f t="shared" si="827"/>
        <v>15.026243784</v>
      </c>
      <c r="F3507" s="258">
        <v>0.4</v>
      </c>
      <c r="G3507" s="258">
        <f t="shared" si="828"/>
        <v>0.4</v>
      </c>
      <c r="H3507" s="249">
        <f t="shared" si="829"/>
        <v>16.904524256999998</v>
      </c>
      <c r="I3507" s="258">
        <v>0.45</v>
      </c>
      <c r="J3507" s="258">
        <f t="shared" si="830"/>
        <v>0.45</v>
      </c>
      <c r="K3507" s="249">
        <f t="shared" si="831"/>
        <v>3.756560946</v>
      </c>
      <c r="L3507" s="258">
        <v>0.1</v>
      </c>
      <c r="M3507" s="258">
        <f t="shared" si="832"/>
        <v>0.1</v>
      </c>
      <c r="N3507" s="251">
        <f t="shared" si="833"/>
        <v>1.878280473</v>
      </c>
      <c r="O3507" s="258">
        <v>0.05</v>
      </c>
      <c r="P3507" s="258">
        <f t="shared" si="834"/>
        <v>0.05</v>
      </c>
      <c r="Q3507" s="249">
        <v>36.818199999999997</v>
      </c>
      <c r="R3507" s="249">
        <f t="shared" si="837"/>
        <v>37.565609459999997</v>
      </c>
      <c r="S3507" s="258">
        <v>0.1</v>
      </c>
      <c r="T3507" s="169">
        <f t="shared" si="842"/>
        <v>40.500019999999999</v>
      </c>
      <c r="U3507" s="315">
        <f t="shared" si="838"/>
        <v>41.322170405999998</v>
      </c>
      <c r="V3507" s="315">
        <f t="shared" si="841"/>
        <v>42</v>
      </c>
      <c r="W3507" s="316">
        <f t="shared" si="835"/>
        <v>0</v>
      </c>
    </row>
    <row r="3508" spans="1:23" ht="21" x14ac:dyDescent="0.25">
      <c r="A3508" s="200" t="s">
        <v>15692</v>
      </c>
      <c r="B3508" s="255" t="s">
        <v>22861</v>
      </c>
      <c r="C3508" s="248"/>
      <c r="D3508" s="247" t="s">
        <v>2</v>
      </c>
      <c r="E3508" s="249">
        <f t="shared" si="827"/>
        <v>17.304362787360002</v>
      </c>
      <c r="F3508" s="258">
        <v>0.41</v>
      </c>
      <c r="G3508" s="258">
        <f t="shared" si="828"/>
        <v>0.41</v>
      </c>
      <c r="H3508" s="249">
        <f t="shared" si="829"/>
        <v>18.570535674240006</v>
      </c>
      <c r="I3508" s="258">
        <v>0.44</v>
      </c>
      <c r="J3508" s="258">
        <f t="shared" si="830"/>
        <v>0.44</v>
      </c>
      <c r="K3508" s="249">
        <f t="shared" si="831"/>
        <v>4.2205762896000012</v>
      </c>
      <c r="L3508" s="258">
        <v>0.1</v>
      </c>
      <c r="M3508" s="258">
        <f t="shared" si="832"/>
        <v>0.1</v>
      </c>
      <c r="N3508" s="251">
        <f t="shared" si="833"/>
        <v>2.1102881448000006</v>
      </c>
      <c r="O3508" s="258">
        <v>0.05</v>
      </c>
      <c r="P3508" s="258">
        <f t="shared" si="834"/>
        <v>0.05</v>
      </c>
      <c r="Q3508" s="249">
        <v>41.363599999999998</v>
      </c>
      <c r="R3508" s="249">
        <f t="shared" si="837"/>
        <v>42.20576289600001</v>
      </c>
      <c r="S3508" s="258">
        <v>0.1</v>
      </c>
      <c r="T3508" s="169">
        <f t="shared" si="842"/>
        <v>45.499960000000002</v>
      </c>
      <c r="U3508" s="315">
        <f t="shared" si="838"/>
        <v>46.426339185600014</v>
      </c>
      <c r="V3508" s="315">
        <f t="shared" si="841"/>
        <v>47</v>
      </c>
      <c r="W3508" s="316">
        <f t="shared" si="835"/>
        <v>0</v>
      </c>
    </row>
    <row r="3509" spans="1:23" ht="21" x14ac:dyDescent="0.25">
      <c r="A3509" s="200" t="s">
        <v>15693</v>
      </c>
      <c r="B3509" s="255" t="s">
        <v>22862</v>
      </c>
      <c r="C3509" s="248"/>
      <c r="D3509" s="247" t="s">
        <v>2</v>
      </c>
      <c r="E3509" s="249">
        <f t="shared" si="827"/>
        <v>17.252334324000003</v>
      </c>
      <c r="F3509" s="258">
        <v>0.4</v>
      </c>
      <c r="G3509" s="258">
        <f t="shared" si="828"/>
        <v>0.4</v>
      </c>
      <c r="H3509" s="249">
        <f t="shared" si="829"/>
        <v>19.408876114500003</v>
      </c>
      <c r="I3509" s="258">
        <v>0.45</v>
      </c>
      <c r="J3509" s="258">
        <f t="shared" si="830"/>
        <v>0.45</v>
      </c>
      <c r="K3509" s="249">
        <f t="shared" si="831"/>
        <v>4.3130835810000008</v>
      </c>
      <c r="L3509" s="258">
        <v>0.1</v>
      </c>
      <c r="M3509" s="258">
        <f t="shared" si="832"/>
        <v>0.1</v>
      </c>
      <c r="N3509" s="251">
        <f t="shared" si="833"/>
        <v>2.1565417905000004</v>
      </c>
      <c r="O3509" s="258">
        <v>0.05</v>
      </c>
      <c r="P3509" s="258">
        <f t="shared" si="834"/>
        <v>0.05</v>
      </c>
      <c r="Q3509" s="249">
        <v>42.2727</v>
      </c>
      <c r="R3509" s="249">
        <f t="shared" si="837"/>
        <v>43.130835810000008</v>
      </c>
      <c r="S3509" s="258">
        <v>0.1</v>
      </c>
      <c r="T3509" s="169">
        <f t="shared" si="842"/>
        <v>46.499969999999998</v>
      </c>
      <c r="U3509" s="315">
        <f t="shared" si="838"/>
        <v>47.443919391000009</v>
      </c>
      <c r="V3509" s="315">
        <f t="shared" si="841"/>
        <v>48</v>
      </c>
      <c r="W3509" s="316">
        <f t="shared" si="835"/>
        <v>0</v>
      </c>
    </row>
    <row r="3510" spans="1:23" ht="21" x14ac:dyDescent="0.25">
      <c r="A3510" s="200" t="s">
        <v>15694</v>
      </c>
      <c r="B3510" s="255" t="s">
        <v>22863</v>
      </c>
      <c r="C3510" s="248"/>
      <c r="D3510" s="247" t="s">
        <v>2</v>
      </c>
      <c r="E3510" s="249">
        <f t="shared" si="827"/>
        <v>18.633202104000002</v>
      </c>
      <c r="F3510" s="258">
        <v>0.41</v>
      </c>
      <c r="G3510" s="258">
        <f t="shared" si="828"/>
        <v>0.41</v>
      </c>
      <c r="H3510" s="249">
        <f t="shared" si="829"/>
        <v>19.996607136000005</v>
      </c>
      <c r="I3510" s="258">
        <v>0.44</v>
      </c>
      <c r="J3510" s="258">
        <f t="shared" si="830"/>
        <v>0.44</v>
      </c>
      <c r="K3510" s="249">
        <f t="shared" si="831"/>
        <v>4.5446834400000009</v>
      </c>
      <c r="L3510" s="258">
        <v>0.1</v>
      </c>
      <c r="M3510" s="258">
        <f t="shared" si="832"/>
        <v>0.1</v>
      </c>
      <c r="N3510" s="251">
        <f t="shared" si="833"/>
        <v>2.2723417200000005</v>
      </c>
      <c r="O3510" s="258">
        <v>0.05</v>
      </c>
      <c r="P3510" s="258">
        <f t="shared" si="834"/>
        <v>0.05</v>
      </c>
      <c r="Q3510" s="249">
        <v>44.54</v>
      </c>
      <c r="R3510" s="249">
        <f t="shared" si="837"/>
        <v>45.446834400000007</v>
      </c>
      <c r="S3510" s="258">
        <v>0.1</v>
      </c>
      <c r="T3510" s="169">
        <f t="shared" si="842"/>
        <v>48.994</v>
      </c>
      <c r="U3510" s="315">
        <f t="shared" si="838"/>
        <v>49.991517840000007</v>
      </c>
      <c r="V3510" s="315">
        <f t="shared" si="841"/>
        <v>50</v>
      </c>
      <c r="W3510" s="316">
        <f t="shared" si="835"/>
        <v>0</v>
      </c>
    </row>
    <row r="3511" spans="1:23" ht="21" x14ac:dyDescent="0.25">
      <c r="A3511" s="200" t="s">
        <v>15695</v>
      </c>
      <c r="B3511" s="255" t="s">
        <v>22864</v>
      </c>
      <c r="C3511" s="248"/>
      <c r="D3511" s="247" t="s">
        <v>2</v>
      </c>
      <c r="E3511" s="249">
        <f t="shared" si="827"/>
        <v>20.552166973800002</v>
      </c>
      <c r="F3511" s="258">
        <v>0.42</v>
      </c>
      <c r="G3511" s="258">
        <f t="shared" si="828"/>
        <v>0.42</v>
      </c>
      <c r="H3511" s="249">
        <f t="shared" si="829"/>
        <v>21.041504282700004</v>
      </c>
      <c r="I3511" s="258">
        <v>0.43</v>
      </c>
      <c r="J3511" s="258">
        <f t="shared" si="830"/>
        <v>0.43</v>
      </c>
      <c r="K3511" s="249">
        <f t="shared" si="831"/>
        <v>4.8933730890000007</v>
      </c>
      <c r="L3511" s="258">
        <v>0.1</v>
      </c>
      <c r="M3511" s="258">
        <f t="shared" si="832"/>
        <v>0.1</v>
      </c>
      <c r="N3511" s="251">
        <f t="shared" si="833"/>
        <v>2.4466865445000003</v>
      </c>
      <c r="O3511" s="258">
        <v>0.05</v>
      </c>
      <c r="P3511" s="258">
        <f t="shared" si="834"/>
        <v>0.05</v>
      </c>
      <c r="Q3511" s="249">
        <v>47.954500000000003</v>
      </c>
      <c r="R3511" s="249">
        <f t="shared" si="837"/>
        <v>48.933730890000007</v>
      </c>
      <c r="S3511" s="258">
        <v>0.1</v>
      </c>
      <c r="T3511" s="169">
        <f t="shared" si="842"/>
        <v>52.749950000000005</v>
      </c>
      <c r="U3511" s="315">
        <f t="shared" si="838"/>
        <v>53.827103979000007</v>
      </c>
      <c r="V3511" s="315">
        <f t="shared" si="841"/>
        <v>54</v>
      </c>
      <c r="W3511" s="316">
        <f t="shared" si="835"/>
        <v>0</v>
      </c>
    </row>
    <row r="3512" spans="1:23" ht="21" x14ac:dyDescent="0.25">
      <c r="A3512" s="200" t="s">
        <v>15696</v>
      </c>
      <c r="B3512" s="255" t="s">
        <v>22865</v>
      </c>
      <c r="C3512" s="248"/>
      <c r="D3512" s="247" t="s">
        <v>2</v>
      </c>
      <c r="E3512" s="249">
        <f t="shared" si="827"/>
        <v>38.894219592959999</v>
      </c>
      <c r="F3512" s="258">
        <v>0.43</v>
      </c>
      <c r="G3512" s="258">
        <f t="shared" si="828"/>
        <v>0.43</v>
      </c>
      <c r="H3512" s="249">
        <f t="shared" si="829"/>
        <v>37.989702858239994</v>
      </c>
      <c r="I3512" s="258">
        <v>0.42</v>
      </c>
      <c r="J3512" s="258">
        <f t="shared" si="830"/>
        <v>0.42</v>
      </c>
      <c r="K3512" s="249">
        <f t="shared" si="831"/>
        <v>9.0451673471999996</v>
      </c>
      <c r="L3512" s="258">
        <v>0.1</v>
      </c>
      <c r="M3512" s="258">
        <f t="shared" si="832"/>
        <v>0.1</v>
      </c>
      <c r="N3512" s="251">
        <f t="shared" si="833"/>
        <v>4.5225836735999998</v>
      </c>
      <c r="O3512" s="258">
        <v>0.05</v>
      </c>
      <c r="P3512" s="258">
        <f t="shared" si="834"/>
        <v>0.05</v>
      </c>
      <c r="Q3512" s="249">
        <v>88.636399999999995</v>
      </c>
      <c r="R3512" s="249">
        <f t="shared" si="837"/>
        <v>90.451673471999996</v>
      </c>
      <c r="S3512" s="258">
        <v>0.1</v>
      </c>
      <c r="T3512" s="169">
        <f t="shared" si="842"/>
        <v>97.500039999999998</v>
      </c>
      <c r="U3512" s="315">
        <f t="shared" si="838"/>
        <v>99.496840819200003</v>
      </c>
      <c r="V3512" s="315">
        <f t="shared" si="841"/>
        <v>100</v>
      </c>
      <c r="W3512" s="316">
        <f t="shared" si="835"/>
        <v>0</v>
      </c>
    </row>
    <row r="3513" spans="1:23" ht="21" x14ac:dyDescent="0.25">
      <c r="A3513" s="200" t="s">
        <v>15697</v>
      </c>
      <c r="B3513" s="255" t="s">
        <v>22866</v>
      </c>
      <c r="C3513" s="248"/>
      <c r="D3513" s="247" t="s">
        <v>2</v>
      </c>
      <c r="E3513" s="249">
        <f t="shared" si="827"/>
        <v>98.788271999999992</v>
      </c>
      <c r="F3513" s="258">
        <v>0.44</v>
      </c>
      <c r="G3513" s="258">
        <f t="shared" si="828"/>
        <v>0.44</v>
      </c>
      <c r="H3513" s="249">
        <f t="shared" si="829"/>
        <v>92.052707999999981</v>
      </c>
      <c r="I3513" s="258">
        <v>0.41</v>
      </c>
      <c r="J3513" s="258">
        <f t="shared" si="830"/>
        <v>0.41</v>
      </c>
      <c r="K3513" s="249">
        <f t="shared" si="831"/>
        <v>22.451879999999999</v>
      </c>
      <c r="L3513" s="258">
        <v>0.1</v>
      </c>
      <c r="M3513" s="258">
        <f t="shared" si="832"/>
        <v>0.1</v>
      </c>
      <c r="N3513" s="251">
        <f t="shared" si="833"/>
        <v>11.22594</v>
      </c>
      <c r="O3513" s="258">
        <v>0.05</v>
      </c>
      <c r="P3513" s="258">
        <f t="shared" si="834"/>
        <v>0.05</v>
      </c>
      <c r="Q3513" s="249">
        <v>220</v>
      </c>
      <c r="R3513" s="249">
        <f t="shared" si="837"/>
        <v>224.51879999999997</v>
      </c>
      <c r="S3513" s="258">
        <v>0.1</v>
      </c>
      <c r="T3513" s="169">
        <f t="shared" si="842"/>
        <v>242</v>
      </c>
      <c r="U3513" s="315">
        <f t="shared" si="838"/>
        <v>246.97067999999996</v>
      </c>
      <c r="V3513" s="315">
        <f t="shared" si="841"/>
        <v>250</v>
      </c>
      <c r="W3513" s="316">
        <f t="shared" si="835"/>
        <v>0</v>
      </c>
    </row>
    <row r="3514" spans="1:23" ht="21" x14ac:dyDescent="0.25">
      <c r="A3514" s="200" t="s">
        <v>15698</v>
      </c>
      <c r="B3514" s="255" t="s">
        <v>22867</v>
      </c>
      <c r="C3514" s="248"/>
      <c r="D3514" s="247" t="s">
        <v>2</v>
      </c>
      <c r="E3514" s="249">
        <f t="shared" si="827"/>
        <v>34.418586590520007</v>
      </c>
      <c r="F3514" s="258">
        <v>0.41</v>
      </c>
      <c r="G3514" s="258">
        <f t="shared" si="828"/>
        <v>0.41</v>
      </c>
      <c r="H3514" s="249">
        <f t="shared" si="829"/>
        <v>36.937019755680005</v>
      </c>
      <c r="I3514" s="258">
        <v>0.44</v>
      </c>
      <c r="J3514" s="258">
        <f t="shared" si="830"/>
        <v>0.44</v>
      </c>
      <c r="K3514" s="249">
        <f t="shared" si="831"/>
        <v>8.3947772172000015</v>
      </c>
      <c r="L3514" s="258">
        <v>0.1</v>
      </c>
      <c r="M3514" s="258">
        <f t="shared" si="832"/>
        <v>0.1</v>
      </c>
      <c r="N3514" s="251">
        <f t="shared" si="833"/>
        <v>4.1973886086000007</v>
      </c>
      <c r="O3514" s="258">
        <v>0.05</v>
      </c>
      <c r="P3514" s="258">
        <f t="shared" si="834"/>
        <v>0.05</v>
      </c>
      <c r="Q3514" s="249">
        <v>82.2727</v>
      </c>
      <c r="R3514" s="249">
        <f t="shared" si="837"/>
        <v>83.947772172000015</v>
      </c>
      <c r="S3514" s="258">
        <v>0.1</v>
      </c>
      <c r="T3514" s="169">
        <f t="shared" si="842"/>
        <v>90.499970000000005</v>
      </c>
      <c r="U3514" s="315">
        <f t="shared" si="838"/>
        <v>92.342549389200016</v>
      </c>
      <c r="V3514" s="315">
        <f t="shared" si="841"/>
        <v>93</v>
      </c>
      <c r="W3514" s="316">
        <f t="shared" si="835"/>
        <v>0</v>
      </c>
    </row>
    <row r="3515" spans="1:23" ht="21" x14ac:dyDescent="0.25">
      <c r="A3515" s="200" t="s">
        <v>15699</v>
      </c>
      <c r="B3515" s="255" t="s">
        <v>22868</v>
      </c>
      <c r="C3515" s="248"/>
      <c r="D3515" s="247" t="s">
        <v>2</v>
      </c>
      <c r="E3515" s="249">
        <f t="shared" si="827"/>
        <v>38.279672610480006</v>
      </c>
      <c r="F3515" s="258">
        <v>0.42</v>
      </c>
      <c r="G3515" s="258">
        <f t="shared" si="828"/>
        <v>0.42</v>
      </c>
      <c r="H3515" s="249">
        <f t="shared" si="829"/>
        <v>39.191093386920002</v>
      </c>
      <c r="I3515" s="258">
        <v>0.43</v>
      </c>
      <c r="J3515" s="258">
        <f t="shared" si="830"/>
        <v>0.43</v>
      </c>
      <c r="K3515" s="249">
        <f t="shared" si="831"/>
        <v>9.1142077644000015</v>
      </c>
      <c r="L3515" s="258">
        <v>0.1</v>
      </c>
      <c r="M3515" s="258">
        <f t="shared" si="832"/>
        <v>0.1</v>
      </c>
      <c r="N3515" s="251">
        <f t="shared" si="833"/>
        <v>4.5571038822000007</v>
      </c>
      <c r="O3515" s="258">
        <v>0.05</v>
      </c>
      <c r="P3515" s="258">
        <f t="shared" si="834"/>
        <v>0.05</v>
      </c>
      <c r="Q3515" s="249">
        <v>89.318200000000004</v>
      </c>
      <c r="R3515" s="249">
        <f t="shared" si="837"/>
        <v>91.142077644000011</v>
      </c>
      <c r="S3515" s="258">
        <v>0.1</v>
      </c>
      <c r="T3515" s="169">
        <f t="shared" si="842"/>
        <v>98.250020000000006</v>
      </c>
      <c r="U3515" s="315">
        <f t="shared" si="838"/>
        <v>100.25628540840002</v>
      </c>
      <c r="V3515" s="315">
        <f t="shared" si="841"/>
        <v>105</v>
      </c>
      <c r="W3515" s="316">
        <f t="shared" si="835"/>
        <v>0</v>
      </c>
    </row>
    <row r="3516" spans="1:23" ht="21" x14ac:dyDescent="0.25">
      <c r="A3516" s="200" t="s">
        <v>15700</v>
      </c>
      <c r="B3516" s="255" t="s">
        <v>22869</v>
      </c>
      <c r="C3516" s="248"/>
      <c r="D3516" s="247" t="s">
        <v>2</v>
      </c>
      <c r="E3516" s="249">
        <f t="shared" si="827"/>
        <v>44.150421600000016</v>
      </c>
      <c r="F3516" s="258">
        <v>0.4</v>
      </c>
      <c r="G3516" s="258">
        <f t="shared" si="828"/>
        <v>0.4</v>
      </c>
      <c r="H3516" s="249">
        <f t="shared" si="829"/>
        <v>49.669224300000018</v>
      </c>
      <c r="I3516" s="258">
        <v>0.45</v>
      </c>
      <c r="J3516" s="258">
        <f t="shared" si="830"/>
        <v>0.45</v>
      </c>
      <c r="K3516" s="249">
        <f t="shared" si="831"/>
        <v>11.037605400000004</v>
      </c>
      <c r="L3516" s="258">
        <v>0.1</v>
      </c>
      <c r="M3516" s="258">
        <f t="shared" si="832"/>
        <v>0.1</v>
      </c>
      <c r="N3516" s="251">
        <f t="shared" si="833"/>
        <v>5.5188027000000019</v>
      </c>
      <c r="O3516" s="258">
        <v>0.05</v>
      </c>
      <c r="P3516" s="258">
        <f t="shared" si="834"/>
        <v>0.05</v>
      </c>
      <c r="Q3516" s="249">
        <v>108.18</v>
      </c>
      <c r="R3516" s="249">
        <f t="shared" si="837"/>
        <v>110.37605400000004</v>
      </c>
      <c r="S3516" s="258">
        <v>0.1</v>
      </c>
      <c r="T3516" s="169">
        <f t="shared" si="842"/>
        <v>118.998</v>
      </c>
      <c r="U3516" s="315">
        <f t="shared" si="838"/>
        <v>121.41365940000004</v>
      </c>
      <c r="V3516" s="315">
        <f t="shared" si="841"/>
        <v>125</v>
      </c>
      <c r="W3516" s="316">
        <f t="shared" si="835"/>
        <v>0</v>
      </c>
    </row>
    <row r="3517" spans="1:23" ht="21" x14ac:dyDescent="0.25">
      <c r="A3517" s="200" t="s">
        <v>15701</v>
      </c>
      <c r="B3517" s="255" t="s">
        <v>22870</v>
      </c>
      <c r="C3517" s="248"/>
      <c r="D3517" s="247" t="s">
        <v>2</v>
      </c>
      <c r="E3517" s="249">
        <f t="shared" si="827"/>
        <v>48.0200570262</v>
      </c>
      <c r="F3517" s="258">
        <v>0.42</v>
      </c>
      <c r="G3517" s="258">
        <f t="shared" si="828"/>
        <v>0.42</v>
      </c>
      <c r="H3517" s="249">
        <f t="shared" si="829"/>
        <v>49.163391717299994</v>
      </c>
      <c r="I3517" s="258">
        <v>0.43</v>
      </c>
      <c r="J3517" s="258">
        <f t="shared" si="830"/>
        <v>0.43</v>
      </c>
      <c r="K3517" s="249">
        <f t="shared" si="831"/>
        <v>11.433346911000001</v>
      </c>
      <c r="L3517" s="258">
        <v>0.1</v>
      </c>
      <c r="M3517" s="258">
        <f t="shared" si="832"/>
        <v>0.1</v>
      </c>
      <c r="N3517" s="251">
        <f t="shared" si="833"/>
        <v>5.7166734555000005</v>
      </c>
      <c r="O3517" s="258">
        <v>0.05</v>
      </c>
      <c r="P3517" s="258">
        <f t="shared" si="834"/>
        <v>0.05</v>
      </c>
      <c r="Q3517" s="249">
        <v>112.0455</v>
      </c>
      <c r="R3517" s="249">
        <f t="shared" si="837"/>
        <v>114.33346911</v>
      </c>
      <c r="S3517" s="258">
        <v>0.1</v>
      </c>
      <c r="T3517" s="169">
        <f t="shared" si="842"/>
        <v>123.25005</v>
      </c>
      <c r="U3517" s="315">
        <f t="shared" si="838"/>
        <v>125.766816021</v>
      </c>
      <c r="V3517" s="315">
        <f t="shared" si="841"/>
        <v>130</v>
      </c>
      <c r="W3517" s="316">
        <f t="shared" si="835"/>
        <v>0</v>
      </c>
    </row>
    <row r="3518" spans="1:23" ht="21" x14ac:dyDescent="0.25">
      <c r="A3518" s="200" t="s">
        <v>15702</v>
      </c>
      <c r="B3518" s="255" t="s">
        <v>22871</v>
      </c>
      <c r="C3518" s="248"/>
      <c r="D3518" s="247" t="s">
        <v>2</v>
      </c>
      <c r="E3518" s="249">
        <f t="shared" si="827"/>
        <v>50.861654898240012</v>
      </c>
      <c r="F3518" s="258">
        <v>0.43</v>
      </c>
      <c r="G3518" s="258">
        <f t="shared" si="828"/>
        <v>0.43</v>
      </c>
      <c r="H3518" s="249">
        <f t="shared" si="829"/>
        <v>49.678825714560006</v>
      </c>
      <c r="I3518" s="258">
        <v>0.42</v>
      </c>
      <c r="J3518" s="258">
        <f t="shared" si="830"/>
        <v>0.42</v>
      </c>
      <c r="K3518" s="249">
        <f t="shared" si="831"/>
        <v>11.828291836800004</v>
      </c>
      <c r="L3518" s="258">
        <v>0.1</v>
      </c>
      <c r="M3518" s="258">
        <f t="shared" si="832"/>
        <v>0.1</v>
      </c>
      <c r="N3518" s="251">
        <f t="shared" si="833"/>
        <v>5.9141459184000018</v>
      </c>
      <c r="O3518" s="258">
        <v>0.05</v>
      </c>
      <c r="P3518" s="258">
        <f t="shared" si="834"/>
        <v>0.05</v>
      </c>
      <c r="Q3518" s="249">
        <v>115.9091</v>
      </c>
      <c r="R3518" s="249">
        <f t="shared" si="837"/>
        <v>118.28291836800003</v>
      </c>
      <c r="S3518" s="258">
        <v>0.1</v>
      </c>
      <c r="T3518" s="169">
        <f t="shared" si="842"/>
        <v>127.50001</v>
      </c>
      <c r="U3518" s="315">
        <f t="shared" si="838"/>
        <v>130.11121020480002</v>
      </c>
      <c r="V3518" s="315">
        <f t="shared" si="841"/>
        <v>135</v>
      </c>
      <c r="W3518" s="316">
        <f t="shared" si="835"/>
        <v>0</v>
      </c>
    </row>
    <row r="3519" spans="1:23" ht="21" x14ac:dyDescent="0.25">
      <c r="A3519" s="200" t="s">
        <v>15703</v>
      </c>
      <c r="B3519" s="255" t="s">
        <v>22872</v>
      </c>
      <c r="C3519" s="248"/>
      <c r="D3519" s="247" t="s">
        <v>2</v>
      </c>
      <c r="E3519" s="249">
        <f t="shared" si="827"/>
        <v>89.755874491200004</v>
      </c>
      <c r="F3519" s="258">
        <v>0.43</v>
      </c>
      <c r="G3519" s="258">
        <f t="shared" si="828"/>
        <v>0.43</v>
      </c>
      <c r="H3519" s="249">
        <f t="shared" si="829"/>
        <v>87.6685285728</v>
      </c>
      <c r="I3519" s="258">
        <v>0.42</v>
      </c>
      <c r="J3519" s="258">
        <f t="shared" si="830"/>
        <v>0.42</v>
      </c>
      <c r="K3519" s="249">
        <f t="shared" si="831"/>
        <v>20.873459184000001</v>
      </c>
      <c r="L3519" s="258">
        <v>0.1</v>
      </c>
      <c r="M3519" s="258">
        <f t="shared" si="832"/>
        <v>0.1</v>
      </c>
      <c r="N3519" s="251">
        <f t="shared" si="833"/>
        <v>10.436729592000001</v>
      </c>
      <c r="O3519" s="258">
        <v>0.05</v>
      </c>
      <c r="P3519" s="258">
        <f t="shared" si="834"/>
        <v>0.05</v>
      </c>
      <c r="Q3519" s="249">
        <v>204.5455</v>
      </c>
      <c r="R3519" s="249">
        <f t="shared" si="837"/>
        <v>208.73459184000001</v>
      </c>
      <c r="S3519" s="258">
        <v>0.1</v>
      </c>
      <c r="T3519" s="169">
        <f t="shared" si="842"/>
        <v>225.00005000000002</v>
      </c>
      <c r="U3519" s="315">
        <f t="shared" si="838"/>
        <v>229.60805102400002</v>
      </c>
      <c r="V3519" s="315">
        <f t="shared" si="841"/>
        <v>230</v>
      </c>
      <c r="W3519" s="316">
        <f t="shared" si="835"/>
        <v>0</v>
      </c>
    </row>
    <row r="3520" spans="1:23" ht="21" x14ac:dyDescent="0.25">
      <c r="A3520" s="200" t="s">
        <v>15704</v>
      </c>
      <c r="B3520" s="255" t="s">
        <v>22873</v>
      </c>
      <c r="C3520" s="248"/>
      <c r="D3520" s="247" t="s">
        <v>2</v>
      </c>
      <c r="E3520" s="249">
        <f t="shared" si="827"/>
        <v>139.62021020352003</v>
      </c>
      <c r="F3520" s="258">
        <v>0.43</v>
      </c>
      <c r="G3520" s="258">
        <f t="shared" si="828"/>
        <v>0.43</v>
      </c>
      <c r="H3520" s="249">
        <f t="shared" si="829"/>
        <v>136.37322857088003</v>
      </c>
      <c r="I3520" s="258">
        <v>0.42</v>
      </c>
      <c r="J3520" s="258">
        <f t="shared" si="830"/>
        <v>0.42</v>
      </c>
      <c r="K3520" s="249">
        <f t="shared" si="831"/>
        <v>32.469816326400007</v>
      </c>
      <c r="L3520" s="258">
        <v>0.1</v>
      </c>
      <c r="M3520" s="258">
        <f t="shared" si="832"/>
        <v>0.1</v>
      </c>
      <c r="N3520" s="251">
        <f t="shared" si="833"/>
        <v>16.234908163200004</v>
      </c>
      <c r="O3520" s="258">
        <v>0.05</v>
      </c>
      <c r="P3520" s="258">
        <f t="shared" si="834"/>
        <v>0.05</v>
      </c>
      <c r="Q3520" s="249">
        <v>318.18180000000001</v>
      </c>
      <c r="R3520" s="249">
        <f t="shared" si="837"/>
        <v>324.69816326400007</v>
      </c>
      <c r="S3520" s="258">
        <v>0.1</v>
      </c>
      <c r="T3520" s="169">
        <f t="shared" si="842"/>
        <v>349.99997999999999</v>
      </c>
      <c r="U3520" s="315">
        <f t="shared" si="838"/>
        <v>357.16797959040008</v>
      </c>
      <c r="V3520" s="315">
        <f t="shared" si="841"/>
        <v>360</v>
      </c>
      <c r="W3520" s="316">
        <f t="shared" si="835"/>
        <v>0</v>
      </c>
    </row>
    <row r="3521" spans="1:23" x14ac:dyDescent="0.25">
      <c r="A3521" s="199" t="s">
        <v>15678</v>
      </c>
      <c r="B3521" s="307" t="s">
        <v>14689</v>
      </c>
      <c r="C3521" s="308"/>
      <c r="D3521" s="309"/>
      <c r="E3521" s="310"/>
      <c r="F3521" s="311"/>
      <c r="G3521" s="311"/>
      <c r="H3521" s="310"/>
      <c r="I3521" s="311"/>
      <c r="J3521" s="311"/>
      <c r="K3521" s="310"/>
      <c r="L3521" s="311"/>
      <c r="M3521" s="311"/>
      <c r="N3521" s="310"/>
      <c r="O3521" s="311"/>
      <c r="P3521" s="311"/>
      <c r="Q3521" s="310"/>
      <c r="R3521" s="310"/>
      <c r="S3521" s="309"/>
      <c r="T3521" s="309"/>
      <c r="U3521" s="309"/>
      <c r="V3521" s="309"/>
      <c r="W3521" s="312"/>
    </row>
    <row r="3522" spans="1:23" x14ac:dyDescent="0.25">
      <c r="A3522" s="200" t="s">
        <v>15705</v>
      </c>
      <c r="B3522" s="313" t="s">
        <v>15706</v>
      </c>
      <c r="C3522" s="248"/>
      <c r="D3522" s="247" t="s">
        <v>11</v>
      </c>
      <c r="E3522" s="249">
        <f t="shared" ref="E3522:E3585" si="843">R3522*G3522</f>
        <v>1190.7583469420003</v>
      </c>
      <c r="F3522" s="258">
        <v>0.4</v>
      </c>
      <c r="G3522" s="258">
        <f t="shared" ref="G3522:G3585" si="844">F3522</f>
        <v>0.4</v>
      </c>
      <c r="H3522" s="249">
        <f t="shared" ref="H3522:H3585" si="845">R3522*J3522</f>
        <v>1190.7583469420003</v>
      </c>
      <c r="I3522" s="258">
        <v>0.4</v>
      </c>
      <c r="J3522" s="258">
        <f t="shared" ref="J3522:J3585" si="846">I3522</f>
        <v>0.4</v>
      </c>
      <c r="K3522" s="249">
        <f t="shared" ref="K3522:K3585" si="847">R3522*M3522</f>
        <v>446.53438010325004</v>
      </c>
      <c r="L3522" s="258">
        <v>0.15</v>
      </c>
      <c r="M3522" s="258">
        <f t="shared" ref="M3522:M3585" si="848">L3522</f>
        <v>0.15</v>
      </c>
      <c r="N3522" s="251">
        <f t="shared" ref="N3522:N3585" si="849">P3522*R3522</f>
        <v>148.84479336775004</v>
      </c>
      <c r="O3522" s="258">
        <v>0.05</v>
      </c>
      <c r="P3522" s="258">
        <f t="shared" ref="P3522:P3585" si="850">O3522</f>
        <v>0.05</v>
      </c>
      <c r="Q3522" s="249">
        <v>2916.6667000000002</v>
      </c>
      <c r="R3522" s="249">
        <f t="shared" si="837"/>
        <v>2976.8958673550005</v>
      </c>
      <c r="S3522" s="258">
        <v>0.2</v>
      </c>
      <c r="T3522" s="169">
        <f t="shared" ref="T3522:T3531" si="851">Q3522+Q3522*S3522</f>
        <v>3500.0000400000004</v>
      </c>
      <c r="U3522" s="315">
        <f t="shared" si="838"/>
        <v>3572.2750408260008</v>
      </c>
      <c r="V3522" s="315">
        <f t="shared" si="841"/>
        <v>3575</v>
      </c>
      <c r="W3522" s="316">
        <f t="shared" si="835"/>
        <v>0</v>
      </c>
    </row>
    <row r="3523" spans="1:23" x14ac:dyDescent="0.25">
      <c r="A3523" s="200" t="s">
        <v>15707</v>
      </c>
      <c r="B3523" s="313" t="s">
        <v>14690</v>
      </c>
      <c r="C3523" s="248"/>
      <c r="D3523" s="247" t="s">
        <v>2</v>
      </c>
      <c r="E3523" s="249">
        <f t="shared" si="843"/>
        <v>17.010846942000004</v>
      </c>
      <c r="F3523" s="258">
        <v>0.4</v>
      </c>
      <c r="G3523" s="258">
        <f t="shared" si="844"/>
        <v>0.4</v>
      </c>
      <c r="H3523" s="249">
        <f t="shared" si="845"/>
        <v>17.010846942000004</v>
      </c>
      <c r="I3523" s="258">
        <v>0.4</v>
      </c>
      <c r="J3523" s="258">
        <f t="shared" si="846"/>
        <v>0.4</v>
      </c>
      <c r="K3523" s="249">
        <f t="shared" si="847"/>
        <v>6.3790676032500011</v>
      </c>
      <c r="L3523" s="258">
        <v>0.15</v>
      </c>
      <c r="M3523" s="258">
        <f t="shared" si="848"/>
        <v>0.15</v>
      </c>
      <c r="N3523" s="251">
        <f t="shared" si="849"/>
        <v>2.1263558677500005</v>
      </c>
      <c r="O3523" s="258">
        <v>0.05</v>
      </c>
      <c r="P3523" s="258">
        <f t="shared" si="850"/>
        <v>0.05</v>
      </c>
      <c r="Q3523" s="249">
        <v>41.666699999999999</v>
      </c>
      <c r="R3523" s="249">
        <f t="shared" si="837"/>
        <v>42.527117355000009</v>
      </c>
      <c r="S3523" s="258">
        <v>0.2</v>
      </c>
      <c r="T3523" s="169">
        <f t="shared" si="851"/>
        <v>50.000039999999998</v>
      </c>
      <c r="U3523" s="315">
        <f t="shared" si="838"/>
        <v>51.032540826000009</v>
      </c>
      <c r="V3523" s="315">
        <f t="shared" si="841"/>
        <v>52</v>
      </c>
      <c r="W3523" s="316">
        <f t="shared" si="835"/>
        <v>0</v>
      </c>
    </row>
    <row r="3524" spans="1:23" x14ac:dyDescent="0.25">
      <c r="A3524" s="200" t="s">
        <v>15708</v>
      </c>
      <c r="B3524" s="313" t="s">
        <v>15709</v>
      </c>
      <c r="C3524" s="248"/>
      <c r="D3524" s="247" t="s">
        <v>2</v>
      </c>
      <c r="E3524" s="249">
        <f t="shared" si="843"/>
        <v>25.516250000000003</v>
      </c>
      <c r="F3524" s="258">
        <v>0.4</v>
      </c>
      <c r="G3524" s="258">
        <f t="shared" si="844"/>
        <v>0.4</v>
      </c>
      <c r="H3524" s="249">
        <f t="shared" si="845"/>
        <v>25.516250000000003</v>
      </c>
      <c r="I3524" s="258">
        <v>0.4</v>
      </c>
      <c r="J3524" s="258">
        <f t="shared" si="846"/>
        <v>0.4</v>
      </c>
      <c r="K3524" s="249">
        <f t="shared" si="847"/>
        <v>9.5685937499999998</v>
      </c>
      <c r="L3524" s="258">
        <v>0.15</v>
      </c>
      <c r="M3524" s="258">
        <f t="shared" si="848"/>
        <v>0.15</v>
      </c>
      <c r="N3524" s="251">
        <f t="shared" si="849"/>
        <v>3.1895312500000004</v>
      </c>
      <c r="O3524" s="258">
        <v>0.05</v>
      </c>
      <c r="P3524" s="258">
        <f t="shared" si="850"/>
        <v>0.05</v>
      </c>
      <c r="Q3524" s="249">
        <v>62.5</v>
      </c>
      <c r="R3524" s="249">
        <f t="shared" si="837"/>
        <v>63.790625000000006</v>
      </c>
      <c r="S3524" s="258">
        <v>0.2</v>
      </c>
      <c r="T3524" s="169">
        <f t="shared" si="851"/>
        <v>75</v>
      </c>
      <c r="U3524" s="315">
        <f t="shared" si="838"/>
        <v>76.548750000000013</v>
      </c>
      <c r="V3524" s="315">
        <f t="shared" si="841"/>
        <v>77</v>
      </c>
      <c r="W3524" s="316">
        <f t="shared" si="835"/>
        <v>0</v>
      </c>
    </row>
    <row r="3525" spans="1:23" ht="14.4" thickBot="1" x14ac:dyDescent="0.3">
      <c r="A3525" s="263" t="s">
        <v>15710</v>
      </c>
      <c r="B3525" s="321" t="s">
        <v>15711</v>
      </c>
      <c r="C3525" s="265"/>
      <c r="D3525" s="264" t="s">
        <v>2</v>
      </c>
      <c r="E3525" s="266">
        <f t="shared" si="843"/>
        <v>32.320584694200001</v>
      </c>
      <c r="F3525" s="322">
        <v>0.4</v>
      </c>
      <c r="G3525" s="322">
        <f t="shared" si="844"/>
        <v>0.4</v>
      </c>
      <c r="H3525" s="266">
        <f t="shared" si="845"/>
        <v>32.320584694200001</v>
      </c>
      <c r="I3525" s="322">
        <v>0.4</v>
      </c>
      <c r="J3525" s="322">
        <f t="shared" si="846"/>
        <v>0.4</v>
      </c>
      <c r="K3525" s="266">
        <f t="shared" si="847"/>
        <v>12.120219260324999</v>
      </c>
      <c r="L3525" s="322">
        <v>0.15</v>
      </c>
      <c r="M3525" s="322">
        <f t="shared" si="848"/>
        <v>0.15</v>
      </c>
      <c r="N3525" s="270">
        <f t="shared" si="849"/>
        <v>4.0400730867750001</v>
      </c>
      <c r="O3525" s="322">
        <v>0.05</v>
      </c>
      <c r="P3525" s="322">
        <f t="shared" si="850"/>
        <v>0.05</v>
      </c>
      <c r="Q3525" s="266">
        <v>79.166669999999996</v>
      </c>
      <c r="R3525" s="266">
        <f t="shared" si="837"/>
        <v>80.801461735499998</v>
      </c>
      <c r="S3525" s="322">
        <v>0.2</v>
      </c>
      <c r="T3525" s="291">
        <f t="shared" si="851"/>
        <v>95.00000399999999</v>
      </c>
      <c r="U3525" s="324">
        <f t="shared" si="838"/>
        <v>96.961754082599995</v>
      </c>
      <c r="V3525" s="324">
        <f t="shared" si="841"/>
        <v>97</v>
      </c>
      <c r="W3525" s="325">
        <f t="shared" si="835"/>
        <v>0</v>
      </c>
    </row>
    <row r="3526" spans="1:23" x14ac:dyDescent="0.25">
      <c r="A3526" s="200" t="s">
        <v>15712</v>
      </c>
      <c r="B3526" s="313" t="s">
        <v>15713</v>
      </c>
      <c r="C3526" s="248"/>
      <c r="D3526" s="247" t="s">
        <v>2</v>
      </c>
      <c r="E3526" s="249">
        <f t="shared" si="843"/>
        <v>39.124903058000001</v>
      </c>
      <c r="F3526" s="258">
        <v>0.4</v>
      </c>
      <c r="G3526" s="258">
        <f t="shared" si="844"/>
        <v>0.4</v>
      </c>
      <c r="H3526" s="249">
        <f t="shared" si="845"/>
        <v>39.124903058000001</v>
      </c>
      <c r="I3526" s="258">
        <v>0.4</v>
      </c>
      <c r="J3526" s="258">
        <f t="shared" si="846"/>
        <v>0.4</v>
      </c>
      <c r="K3526" s="249">
        <f t="shared" si="847"/>
        <v>14.67183864675</v>
      </c>
      <c r="L3526" s="258">
        <v>0.15</v>
      </c>
      <c r="M3526" s="258">
        <f t="shared" si="848"/>
        <v>0.15</v>
      </c>
      <c r="N3526" s="251">
        <f t="shared" si="849"/>
        <v>4.8906128822500001</v>
      </c>
      <c r="O3526" s="258">
        <v>0.05</v>
      </c>
      <c r="P3526" s="258">
        <f t="shared" si="850"/>
        <v>0.05</v>
      </c>
      <c r="Q3526" s="249">
        <v>95.833299999999994</v>
      </c>
      <c r="R3526" s="249">
        <f t="shared" si="837"/>
        <v>97.812257645000003</v>
      </c>
      <c r="S3526" s="258">
        <v>0.2</v>
      </c>
      <c r="T3526" s="169">
        <f t="shared" si="851"/>
        <v>114.99995999999999</v>
      </c>
      <c r="U3526" s="315">
        <f t="shared" si="838"/>
        <v>117.374709174</v>
      </c>
      <c r="V3526" s="315">
        <f t="shared" si="841"/>
        <v>120</v>
      </c>
      <c r="W3526" s="316">
        <f t="shared" ref="W3526:W3589" si="852">C3526*V3526</f>
        <v>0</v>
      </c>
    </row>
    <row r="3527" spans="1:23" x14ac:dyDescent="0.25">
      <c r="A3527" s="200" t="s">
        <v>15714</v>
      </c>
      <c r="B3527" s="313" t="s">
        <v>15715</v>
      </c>
      <c r="C3527" s="248"/>
      <c r="D3527" s="247" t="s">
        <v>2</v>
      </c>
      <c r="E3527" s="249">
        <f t="shared" si="843"/>
        <v>45.929250000000003</v>
      </c>
      <c r="F3527" s="258">
        <v>0.4</v>
      </c>
      <c r="G3527" s="258">
        <f t="shared" si="844"/>
        <v>0.4</v>
      </c>
      <c r="H3527" s="249">
        <f t="shared" si="845"/>
        <v>45.929250000000003</v>
      </c>
      <c r="I3527" s="258">
        <v>0.4</v>
      </c>
      <c r="J3527" s="258">
        <f t="shared" si="846"/>
        <v>0.4</v>
      </c>
      <c r="K3527" s="249">
        <f t="shared" si="847"/>
        <v>17.223468749999999</v>
      </c>
      <c r="L3527" s="258">
        <v>0.15</v>
      </c>
      <c r="M3527" s="258">
        <f t="shared" si="848"/>
        <v>0.15</v>
      </c>
      <c r="N3527" s="251">
        <f t="shared" si="849"/>
        <v>5.7411562500000004</v>
      </c>
      <c r="O3527" s="258">
        <v>0.05</v>
      </c>
      <c r="P3527" s="258">
        <f t="shared" si="850"/>
        <v>0.05</v>
      </c>
      <c r="Q3527" s="249">
        <v>112.5</v>
      </c>
      <c r="R3527" s="249">
        <f t="shared" si="837"/>
        <v>114.823125</v>
      </c>
      <c r="S3527" s="258">
        <v>0.2</v>
      </c>
      <c r="T3527" s="169">
        <f t="shared" si="851"/>
        <v>135</v>
      </c>
      <c r="U3527" s="315">
        <f t="shared" si="838"/>
        <v>137.78775000000002</v>
      </c>
      <c r="V3527" s="315">
        <f t="shared" si="841"/>
        <v>140</v>
      </c>
      <c r="W3527" s="316">
        <f t="shared" si="852"/>
        <v>0</v>
      </c>
    </row>
    <row r="3528" spans="1:23" x14ac:dyDescent="0.25">
      <c r="A3528" s="200" t="s">
        <v>15716</v>
      </c>
      <c r="B3528" s="313" t="s">
        <v>22874</v>
      </c>
      <c r="C3528" s="248"/>
      <c r="D3528" s="247" t="s">
        <v>11</v>
      </c>
      <c r="E3528" s="249">
        <f t="shared" si="843"/>
        <v>833.13409785187525</v>
      </c>
      <c r="F3528" s="258">
        <v>0.15</v>
      </c>
      <c r="G3528" s="258">
        <f t="shared" si="844"/>
        <v>0.15</v>
      </c>
      <c r="H3528" s="249">
        <f t="shared" si="845"/>
        <v>4304.5261722346886</v>
      </c>
      <c r="I3528" s="258">
        <v>0.77500000000000002</v>
      </c>
      <c r="J3528" s="258">
        <f t="shared" si="846"/>
        <v>0.77500000000000002</v>
      </c>
      <c r="K3528" s="249">
        <f t="shared" si="847"/>
        <v>138.85568297531253</v>
      </c>
      <c r="L3528" s="258">
        <v>2.5000000000000001E-2</v>
      </c>
      <c r="M3528" s="258">
        <f t="shared" si="848"/>
        <v>2.5000000000000001E-2</v>
      </c>
      <c r="N3528" s="251">
        <f t="shared" si="849"/>
        <v>277.71136595062507</v>
      </c>
      <c r="O3528" s="258">
        <v>0.05</v>
      </c>
      <c r="P3528" s="258">
        <f t="shared" si="850"/>
        <v>0.05</v>
      </c>
      <c r="Q3528" s="249">
        <v>5454.5455000000002</v>
      </c>
      <c r="R3528" s="249">
        <f t="shared" si="837"/>
        <v>5554.2273190125015</v>
      </c>
      <c r="S3528" s="258">
        <v>0.1</v>
      </c>
      <c r="T3528" s="169">
        <f t="shared" si="851"/>
        <v>6000.0000500000006</v>
      </c>
      <c r="U3528" s="315">
        <f t="shared" si="838"/>
        <v>6109.6500509137513</v>
      </c>
      <c r="V3528" s="315">
        <f t="shared" si="841"/>
        <v>6125</v>
      </c>
      <c r="W3528" s="316">
        <f t="shared" si="852"/>
        <v>0</v>
      </c>
    </row>
    <row r="3529" spans="1:23" x14ac:dyDescent="0.25">
      <c r="A3529" s="200" t="s">
        <v>15717</v>
      </c>
      <c r="B3529" s="313" t="s">
        <v>22875</v>
      </c>
      <c r="C3529" s="248"/>
      <c r="D3529" s="247" t="s">
        <v>11</v>
      </c>
      <c r="E3529" s="249">
        <f t="shared" si="843"/>
        <v>1312.1861945703754</v>
      </c>
      <c r="F3529" s="258">
        <v>0.15</v>
      </c>
      <c r="G3529" s="258">
        <f t="shared" si="844"/>
        <v>0.15</v>
      </c>
      <c r="H3529" s="249">
        <f t="shared" si="845"/>
        <v>6779.6286719469399</v>
      </c>
      <c r="I3529" s="258">
        <v>0.77500000000000002</v>
      </c>
      <c r="J3529" s="258">
        <f t="shared" si="846"/>
        <v>0.77500000000000002</v>
      </c>
      <c r="K3529" s="249">
        <f t="shared" si="847"/>
        <v>218.6976990950626</v>
      </c>
      <c r="L3529" s="258">
        <v>2.5000000000000001E-2</v>
      </c>
      <c r="M3529" s="258">
        <f t="shared" si="848"/>
        <v>2.5000000000000001E-2</v>
      </c>
      <c r="N3529" s="251">
        <f t="shared" si="849"/>
        <v>437.39539819012521</v>
      </c>
      <c r="O3529" s="258">
        <v>0.05</v>
      </c>
      <c r="P3529" s="258">
        <f t="shared" si="850"/>
        <v>0.05</v>
      </c>
      <c r="Q3529" s="249">
        <v>8590.9091000000008</v>
      </c>
      <c r="R3529" s="249">
        <f t="shared" si="837"/>
        <v>8747.9079638025032</v>
      </c>
      <c r="S3529" s="258">
        <v>0.1</v>
      </c>
      <c r="T3529" s="169">
        <f t="shared" si="851"/>
        <v>9450.0000100000016</v>
      </c>
      <c r="U3529" s="315">
        <f t="shared" si="838"/>
        <v>9622.6987601827532</v>
      </c>
      <c r="V3529" s="315">
        <f t="shared" si="841"/>
        <v>9625</v>
      </c>
      <c r="W3529" s="316">
        <f t="shared" si="852"/>
        <v>0</v>
      </c>
    </row>
    <row r="3530" spans="1:23" x14ac:dyDescent="0.25">
      <c r="A3530" s="200" t="s">
        <v>15703</v>
      </c>
      <c r="B3530" s="313" t="s">
        <v>22876</v>
      </c>
      <c r="C3530" s="248"/>
      <c r="D3530" s="247" t="s">
        <v>11</v>
      </c>
      <c r="E3530" s="249">
        <f t="shared" si="843"/>
        <v>1548.2408467185001</v>
      </c>
      <c r="F3530" s="258">
        <v>0.15</v>
      </c>
      <c r="G3530" s="258">
        <f t="shared" si="844"/>
        <v>0.15</v>
      </c>
      <c r="H3530" s="249">
        <f t="shared" si="845"/>
        <v>7999.2443747122506</v>
      </c>
      <c r="I3530" s="258">
        <v>0.77500000000000002</v>
      </c>
      <c r="J3530" s="258">
        <f t="shared" si="846"/>
        <v>0.77500000000000002</v>
      </c>
      <c r="K3530" s="249">
        <f t="shared" si="847"/>
        <v>258.04014111975005</v>
      </c>
      <c r="L3530" s="258">
        <v>2.5000000000000001E-2</v>
      </c>
      <c r="M3530" s="258">
        <f t="shared" si="848"/>
        <v>2.5000000000000001E-2</v>
      </c>
      <c r="N3530" s="251">
        <f t="shared" si="849"/>
        <v>516.08028223950009</v>
      </c>
      <c r="O3530" s="258">
        <v>0.05</v>
      </c>
      <c r="P3530" s="258">
        <f t="shared" si="850"/>
        <v>0.05</v>
      </c>
      <c r="Q3530" s="249">
        <v>10136.363600000001</v>
      </c>
      <c r="R3530" s="249">
        <f t="shared" si="837"/>
        <v>10321.605644790001</v>
      </c>
      <c r="S3530" s="258">
        <v>0.1</v>
      </c>
      <c r="T3530" s="169">
        <f t="shared" si="851"/>
        <v>11149.999960000001</v>
      </c>
      <c r="U3530" s="315">
        <f t="shared" si="838"/>
        <v>11353.766209269001</v>
      </c>
      <c r="V3530" s="315">
        <f t="shared" si="841"/>
        <v>11500</v>
      </c>
      <c r="W3530" s="316">
        <f t="shared" si="852"/>
        <v>0</v>
      </c>
    </row>
    <row r="3531" spans="1:23" x14ac:dyDescent="0.25">
      <c r="A3531" s="200" t="s">
        <v>15718</v>
      </c>
      <c r="B3531" s="313" t="s">
        <v>22877</v>
      </c>
      <c r="C3531" s="248"/>
      <c r="D3531" s="247" t="s">
        <v>11</v>
      </c>
      <c r="E3531" s="249">
        <f t="shared" si="843"/>
        <v>2034.2357358592501</v>
      </c>
      <c r="F3531" s="258">
        <v>0.15</v>
      </c>
      <c r="G3531" s="258">
        <f t="shared" si="844"/>
        <v>0.15</v>
      </c>
      <c r="H3531" s="249">
        <f t="shared" si="845"/>
        <v>10510.217968606126</v>
      </c>
      <c r="I3531" s="258">
        <v>0.77500000000000002</v>
      </c>
      <c r="J3531" s="258">
        <f t="shared" si="846"/>
        <v>0.77500000000000002</v>
      </c>
      <c r="K3531" s="249">
        <f t="shared" si="847"/>
        <v>339.03928930987507</v>
      </c>
      <c r="L3531" s="258">
        <v>2.5000000000000001E-2</v>
      </c>
      <c r="M3531" s="258">
        <f t="shared" si="848"/>
        <v>2.5000000000000001E-2</v>
      </c>
      <c r="N3531" s="251">
        <f t="shared" si="849"/>
        <v>678.07857861975015</v>
      </c>
      <c r="O3531" s="258">
        <v>0.05</v>
      </c>
      <c r="P3531" s="258">
        <f t="shared" si="850"/>
        <v>0.05</v>
      </c>
      <c r="Q3531" s="249">
        <v>13318.1818</v>
      </c>
      <c r="R3531" s="249">
        <f t="shared" si="837"/>
        <v>13561.571572395002</v>
      </c>
      <c r="S3531" s="258">
        <v>0.1</v>
      </c>
      <c r="T3531" s="169">
        <f t="shared" si="851"/>
        <v>14649.999980000001</v>
      </c>
      <c r="U3531" s="315">
        <f t="shared" si="838"/>
        <v>14917.728729634502</v>
      </c>
      <c r="V3531" s="315">
        <f t="shared" si="841"/>
        <v>15000</v>
      </c>
      <c r="W3531" s="316">
        <f t="shared" si="852"/>
        <v>0</v>
      </c>
    </row>
    <row r="3532" spans="1:23" x14ac:dyDescent="0.25">
      <c r="A3532" s="199" t="s">
        <v>15719</v>
      </c>
      <c r="B3532" s="307" t="s">
        <v>14570</v>
      </c>
      <c r="C3532" s="308"/>
      <c r="D3532" s="309"/>
      <c r="E3532" s="310"/>
      <c r="F3532" s="311"/>
      <c r="G3532" s="311"/>
      <c r="H3532" s="310"/>
      <c r="I3532" s="311"/>
      <c r="J3532" s="311"/>
      <c r="K3532" s="310"/>
      <c r="L3532" s="311"/>
      <c r="M3532" s="311"/>
      <c r="N3532" s="310"/>
      <c r="O3532" s="311"/>
      <c r="P3532" s="311"/>
      <c r="Q3532" s="310"/>
      <c r="R3532" s="310"/>
      <c r="S3532" s="309"/>
      <c r="T3532" s="309"/>
      <c r="U3532" s="309"/>
      <c r="V3532" s="309"/>
      <c r="W3532" s="312"/>
    </row>
    <row r="3533" spans="1:23" x14ac:dyDescent="0.25">
      <c r="A3533" s="200">
        <v>216010</v>
      </c>
      <c r="B3533" s="313" t="s">
        <v>18936</v>
      </c>
      <c r="C3533" s="248"/>
      <c r="D3533" s="247" t="s">
        <v>11</v>
      </c>
      <c r="E3533" s="249">
        <f t="shared" si="843"/>
        <v>5892.7680000000009</v>
      </c>
      <c r="F3533" s="258">
        <v>0.45</v>
      </c>
      <c r="G3533" s="258">
        <f t="shared" si="844"/>
        <v>0.45</v>
      </c>
      <c r="H3533" s="249">
        <f t="shared" si="845"/>
        <v>654.75200000000007</v>
      </c>
      <c r="I3533" s="258">
        <v>0.05</v>
      </c>
      <c r="J3533" s="258">
        <f t="shared" si="846"/>
        <v>0.05</v>
      </c>
      <c r="K3533" s="249">
        <f t="shared" si="847"/>
        <v>5892.7680000000009</v>
      </c>
      <c r="L3533" s="258">
        <v>0.45</v>
      </c>
      <c r="M3533" s="258">
        <f t="shared" si="848"/>
        <v>0.45</v>
      </c>
      <c r="N3533" s="251">
        <f t="shared" si="849"/>
        <v>654.75200000000007</v>
      </c>
      <c r="O3533" s="258">
        <v>0.05</v>
      </c>
      <c r="P3533" s="258">
        <f t="shared" si="850"/>
        <v>0.05</v>
      </c>
      <c r="Q3533" s="249">
        <v>12800</v>
      </c>
      <c r="R3533" s="249">
        <f t="shared" si="837"/>
        <v>13095.04</v>
      </c>
      <c r="S3533" s="258">
        <v>0.25</v>
      </c>
      <c r="T3533" s="169">
        <f>Q3533+Q3533*S3533</f>
        <v>16000</v>
      </c>
      <c r="U3533" s="315">
        <f t="shared" si="838"/>
        <v>16368.800000000001</v>
      </c>
      <c r="V3533" s="315">
        <f t="shared" si="841"/>
        <v>16500</v>
      </c>
      <c r="W3533" s="316">
        <f t="shared" si="852"/>
        <v>0</v>
      </c>
    </row>
    <row r="3534" spans="1:23" x14ac:dyDescent="0.25">
      <c r="A3534" s="200">
        <v>216011</v>
      </c>
      <c r="B3534" s="313" t="s">
        <v>22878</v>
      </c>
      <c r="C3534" s="248"/>
      <c r="D3534" s="247" t="s">
        <v>14869</v>
      </c>
      <c r="E3534" s="249">
        <f t="shared" si="843"/>
        <v>67.155808725000014</v>
      </c>
      <c r="F3534" s="258">
        <v>0.45</v>
      </c>
      <c r="G3534" s="258">
        <f t="shared" si="844"/>
        <v>0.45</v>
      </c>
      <c r="H3534" s="249">
        <f t="shared" si="845"/>
        <v>14.923513050000004</v>
      </c>
      <c r="I3534" s="258">
        <v>0.1</v>
      </c>
      <c r="J3534" s="258">
        <f t="shared" si="846"/>
        <v>0.1</v>
      </c>
      <c r="K3534" s="249">
        <f t="shared" si="847"/>
        <v>67.155808725000014</v>
      </c>
      <c r="L3534" s="258">
        <v>0.45</v>
      </c>
      <c r="M3534" s="258">
        <f t="shared" si="848"/>
        <v>0.45</v>
      </c>
      <c r="N3534" s="251">
        <f t="shared" si="849"/>
        <v>0</v>
      </c>
      <c r="O3534" s="314"/>
      <c r="P3534" s="258">
        <f t="shared" si="850"/>
        <v>0</v>
      </c>
      <c r="Q3534" s="249">
        <v>145.83000000000001</v>
      </c>
      <c r="R3534" s="249">
        <f t="shared" si="837"/>
        <v>149.23513050000003</v>
      </c>
      <c r="S3534" s="258">
        <v>0.2</v>
      </c>
      <c r="T3534" s="169">
        <f>Q3534+Q3534*S3534</f>
        <v>174.99600000000001</v>
      </c>
      <c r="U3534" s="315">
        <f t="shared" si="838"/>
        <v>179.08215660000002</v>
      </c>
      <c r="V3534" s="315">
        <f t="shared" si="841"/>
        <v>180</v>
      </c>
      <c r="W3534" s="316">
        <f t="shared" si="852"/>
        <v>0</v>
      </c>
    </row>
    <row r="3535" spans="1:23" x14ac:dyDescent="0.25">
      <c r="A3535" s="200">
        <v>216012</v>
      </c>
      <c r="B3535" s="313" t="s">
        <v>22879</v>
      </c>
      <c r="C3535" s="248"/>
      <c r="D3535" s="247" t="s">
        <v>14869</v>
      </c>
      <c r="E3535" s="249">
        <f t="shared" si="843"/>
        <v>57.563437500000006</v>
      </c>
      <c r="F3535" s="258">
        <v>0.45</v>
      </c>
      <c r="G3535" s="258">
        <f t="shared" si="844"/>
        <v>0.45</v>
      </c>
      <c r="H3535" s="249">
        <f t="shared" si="845"/>
        <v>12.791875000000001</v>
      </c>
      <c r="I3535" s="258">
        <v>0.1</v>
      </c>
      <c r="J3535" s="258">
        <f t="shared" si="846"/>
        <v>0.1</v>
      </c>
      <c r="K3535" s="249">
        <f t="shared" si="847"/>
        <v>57.563437500000006</v>
      </c>
      <c r="L3535" s="258">
        <v>0.45</v>
      </c>
      <c r="M3535" s="258">
        <f t="shared" si="848"/>
        <v>0.45</v>
      </c>
      <c r="N3535" s="251">
        <f t="shared" si="849"/>
        <v>0</v>
      </c>
      <c r="O3535" s="314"/>
      <c r="P3535" s="258">
        <f t="shared" si="850"/>
        <v>0</v>
      </c>
      <c r="Q3535" s="249">
        <v>125</v>
      </c>
      <c r="R3535" s="249">
        <f t="shared" si="837"/>
        <v>127.91875</v>
      </c>
      <c r="S3535" s="258">
        <v>0.2</v>
      </c>
      <c r="T3535" s="169">
        <f>Q3535+Q3535*S3535</f>
        <v>150</v>
      </c>
      <c r="U3535" s="315">
        <f t="shared" si="838"/>
        <v>153.5025</v>
      </c>
      <c r="V3535" s="315">
        <f t="shared" si="841"/>
        <v>155</v>
      </c>
      <c r="W3535" s="316">
        <f t="shared" si="852"/>
        <v>0</v>
      </c>
    </row>
    <row r="3536" spans="1:23" x14ac:dyDescent="0.25">
      <c r="A3536" s="200">
        <v>216013</v>
      </c>
      <c r="B3536" s="313" t="s">
        <v>22880</v>
      </c>
      <c r="C3536" s="248"/>
      <c r="D3536" s="247" t="s">
        <v>14869</v>
      </c>
      <c r="E3536" s="249">
        <f t="shared" si="843"/>
        <v>47.971066275000005</v>
      </c>
      <c r="F3536" s="258">
        <v>0.45</v>
      </c>
      <c r="G3536" s="258">
        <f t="shared" si="844"/>
        <v>0.45</v>
      </c>
      <c r="H3536" s="249">
        <f t="shared" si="845"/>
        <v>10.660236950000002</v>
      </c>
      <c r="I3536" s="258">
        <v>0.1</v>
      </c>
      <c r="J3536" s="258">
        <f t="shared" si="846"/>
        <v>0.1</v>
      </c>
      <c r="K3536" s="249">
        <f t="shared" si="847"/>
        <v>47.971066275000005</v>
      </c>
      <c r="L3536" s="258">
        <v>0.45</v>
      </c>
      <c r="M3536" s="258">
        <f t="shared" si="848"/>
        <v>0.45</v>
      </c>
      <c r="N3536" s="251">
        <f t="shared" si="849"/>
        <v>0</v>
      </c>
      <c r="O3536" s="314"/>
      <c r="P3536" s="258">
        <f t="shared" si="850"/>
        <v>0</v>
      </c>
      <c r="Q3536" s="249">
        <v>104.17</v>
      </c>
      <c r="R3536" s="249">
        <f t="shared" si="837"/>
        <v>106.60236950000001</v>
      </c>
      <c r="S3536" s="258">
        <v>0.2</v>
      </c>
      <c r="T3536" s="169">
        <f>Q3536+Q3536*S3536</f>
        <v>125.004</v>
      </c>
      <c r="U3536" s="315">
        <f t="shared" si="838"/>
        <v>127.9228434</v>
      </c>
      <c r="V3536" s="315">
        <f t="shared" si="841"/>
        <v>130</v>
      </c>
      <c r="W3536" s="316">
        <f t="shared" si="852"/>
        <v>0</v>
      </c>
    </row>
    <row r="3537" spans="1:23" x14ac:dyDescent="0.25">
      <c r="A3537" s="195" t="s">
        <v>15720</v>
      </c>
      <c r="B3537" s="317" t="s">
        <v>15721</v>
      </c>
      <c r="C3537" s="318"/>
      <c r="D3537" s="319"/>
      <c r="E3537" s="319"/>
      <c r="F3537" s="319"/>
      <c r="G3537" s="319"/>
      <c r="H3537" s="319"/>
      <c r="I3537" s="319"/>
      <c r="J3537" s="319"/>
      <c r="K3537" s="319"/>
      <c r="L3537" s="319"/>
      <c r="M3537" s="319"/>
      <c r="N3537" s="319"/>
      <c r="O3537" s="319"/>
      <c r="P3537" s="319"/>
      <c r="Q3537" s="319"/>
      <c r="R3537" s="319"/>
      <c r="S3537" s="319"/>
      <c r="T3537" s="319"/>
      <c r="U3537" s="320"/>
      <c r="V3537" s="320"/>
      <c r="W3537" s="306"/>
    </row>
    <row r="3538" spans="1:23" x14ac:dyDescent="0.25">
      <c r="A3538" s="199" t="s">
        <v>14936</v>
      </c>
      <c r="B3538" s="307" t="s">
        <v>15722</v>
      </c>
      <c r="C3538" s="308"/>
      <c r="D3538" s="309"/>
      <c r="E3538" s="310"/>
      <c r="F3538" s="311"/>
      <c r="G3538" s="311"/>
      <c r="H3538" s="310"/>
      <c r="I3538" s="311"/>
      <c r="J3538" s="311"/>
      <c r="K3538" s="310"/>
      <c r="L3538" s="311"/>
      <c r="M3538" s="311"/>
      <c r="N3538" s="310"/>
      <c r="O3538" s="311"/>
      <c r="P3538" s="311"/>
      <c r="Q3538" s="310"/>
      <c r="R3538" s="310"/>
      <c r="S3538" s="309"/>
      <c r="T3538" s="309"/>
      <c r="U3538" s="309"/>
      <c r="V3538" s="309"/>
      <c r="W3538" s="312"/>
    </row>
    <row r="3539" spans="1:23" x14ac:dyDescent="0.25">
      <c r="A3539" s="200" t="s">
        <v>18851</v>
      </c>
      <c r="B3539" s="313" t="s">
        <v>18852</v>
      </c>
      <c r="C3539" s="248"/>
      <c r="D3539" s="247" t="s">
        <v>11</v>
      </c>
      <c r="E3539" s="249">
        <f t="shared" si="843"/>
        <v>675</v>
      </c>
      <c r="F3539" s="258">
        <f>675/6074</f>
        <v>0.11112940401712217</v>
      </c>
      <c r="G3539" s="258">
        <f t="shared" si="844"/>
        <v>0.11112940401712217</v>
      </c>
      <c r="H3539" s="249">
        <f t="shared" si="845"/>
        <v>4909</v>
      </c>
      <c r="I3539" s="258">
        <f>4909/6074</f>
        <v>0.80819888047415211</v>
      </c>
      <c r="J3539" s="258">
        <f t="shared" si="846"/>
        <v>0.80819888047415211</v>
      </c>
      <c r="K3539" s="249">
        <f t="shared" si="847"/>
        <v>75</v>
      </c>
      <c r="L3539" s="258">
        <f>75/6074</f>
        <v>1.2347711557458018E-2</v>
      </c>
      <c r="M3539" s="258">
        <f t="shared" si="848"/>
        <v>1.2347711557458018E-2</v>
      </c>
      <c r="N3539" s="251">
        <f t="shared" si="849"/>
        <v>415</v>
      </c>
      <c r="O3539" s="340">
        <f>415/6074</f>
        <v>6.8324003951267698E-2</v>
      </c>
      <c r="P3539" s="258">
        <f t="shared" si="850"/>
        <v>6.8324003951267698E-2</v>
      </c>
      <c r="Q3539" s="249"/>
      <c r="R3539" s="249">
        <v>6074</v>
      </c>
      <c r="S3539" s="250">
        <v>0.15</v>
      </c>
      <c r="T3539" s="300">
        <f>Q3539+Q3539*S3539</f>
        <v>0</v>
      </c>
      <c r="U3539" s="315">
        <f>(R3539*S3539)+R3539</f>
        <v>6985.1</v>
      </c>
      <c r="V3539" s="315">
        <f>IF(U3539=0, 0, IF(U3539&lt;10, _xlfn.CEILING.MATH(U3539,1), IF(U3539&lt;100, _xlfn.CEILING.MATH(U3539,1),IF(U3539&lt;1000, _xlfn.CEILING.MATH(U3539,5), IF(U3539&lt;10000, _xlfn.CEILING.MATH(U3539, 10), IF(U3539&lt;100000, _xlfn.CEILING.MATH(U3539,250), IF(U3539&lt;1000000, _xlfn.CEILING.MATH(U3539,500), 0)))))))</f>
        <v>6990</v>
      </c>
      <c r="W3539" s="316">
        <f t="shared" si="852"/>
        <v>0</v>
      </c>
    </row>
    <row r="3540" spans="1:23" x14ac:dyDescent="0.25">
      <c r="A3540" s="200" t="s">
        <v>18853</v>
      </c>
      <c r="B3540" s="313" t="s">
        <v>18854</v>
      </c>
      <c r="C3540" s="248"/>
      <c r="D3540" s="247" t="s">
        <v>11</v>
      </c>
      <c r="E3540" s="249">
        <f t="shared" si="843"/>
        <v>675</v>
      </c>
      <c r="F3540" s="258">
        <f>675/5836</f>
        <v>0.11566141192597669</v>
      </c>
      <c r="G3540" s="258">
        <f t="shared" si="844"/>
        <v>0.11566141192597669</v>
      </c>
      <c r="H3540" s="249">
        <f t="shared" si="845"/>
        <v>4671</v>
      </c>
      <c r="I3540" s="258">
        <f>4671/5836</f>
        <v>0.80037697052775869</v>
      </c>
      <c r="J3540" s="258">
        <f t="shared" si="846"/>
        <v>0.80037697052775869</v>
      </c>
      <c r="K3540" s="249">
        <f t="shared" si="847"/>
        <v>75</v>
      </c>
      <c r="L3540" s="258">
        <f>75/5836</f>
        <v>1.2851267991775189E-2</v>
      </c>
      <c r="M3540" s="258">
        <f t="shared" si="848"/>
        <v>1.2851267991775189E-2</v>
      </c>
      <c r="N3540" s="251">
        <f t="shared" si="849"/>
        <v>415</v>
      </c>
      <c r="O3540" s="340">
        <f>415/5836</f>
        <v>7.1110349554489374E-2</v>
      </c>
      <c r="P3540" s="258">
        <f t="shared" si="850"/>
        <v>7.1110349554489374E-2</v>
      </c>
      <c r="Q3540" s="249"/>
      <c r="R3540" s="249">
        <v>5836</v>
      </c>
      <c r="S3540" s="250">
        <v>0.15</v>
      </c>
      <c r="T3540" s="300">
        <f>Q3540+Q3540*S3540</f>
        <v>0</v>
      </c>
      <c r="U3540" s="315">
        <f>(R3540*S3540)+R3540</f>
        <v>6711.4</v>
      </c>
      <c r="V3540" s="315">
        <f>IF(U3540=0, 0, IF(U3540&lt;10, _xlfn.CEILING.MATH(U3540,1), IF(U3540&lt;100, _xlfn.CEILING.MATH(U3540,1),IF(U3540&lt;1000, _xlfn.CEILING.MATH(U3540,5), IF(U3540&lt;10000, _xlfn.CEILING.MATH(U3540, 10), IF(U3540&lt;100000, _xlfn.CEILING.MATH(U3540,250), IF(U3540&lt;1000000, _xlfn.CEILING.MATH(U3540,500), 0)))))))</f>
        <v>6720</v>
      </c>
      <c r="W3540" s="316">
        <f t="shared" si="852"/>
        <v>0</v>
      </c>
    </row>
    <row r="3541" spans="1:23" x14ac:dyDescent="0.25">
      <c r="A3541" s="200" t="s">
        <v>15723</v>
      </c>
      <c r="B3541" s="313" t="s">
        <v>15724</v>
      </c>
      <c r="C3541" s="248"/>
      <c r="D3541" s="247" t="s">
        <v>11</v>
      </c>
      <c r="E3541" s="249">
        <f t="shared" si="843"/>
        <v>515.44889999999998</v>
      </c>
      <c r="F3541" s="258">
        <v>0.57999999999999996</v>
      </c>
      <c r="G3541" s="258">
        <f t="shared" si="844"/>
        <v>0.57999999999999996</v>
      </c>
      <c r="H3541" s="249">
        <f t="shared" si="845"/>
        <v>257.72444999999999</v>
      </c>
      <c r="I3541" s="258">
        <v>0.28999999999999998</v>
      </c>
      <c r="J3541" s="258">
        <f t="shared" si="846"/>
        <v>0.28999999999999998</v>
      </c>
      <c r="K3541" s="249">
        <f t="shared" si="847"/>
        <v>88.870500000000007</v>
      </c>
      <c r="L3541" s="258">
        <v>0.1</v>
      </c>
      <c r="M3541" s="258">
        <f t="shared" si="848"/>
        <v>0.1</v>
      </c>
      <c r="N3541" s="251">
        <f t="shared" si="849"/>
        <v>26.661149999999999</v>
      </c>
      <c r="O3541" s="340">
        <v>0.03</v>
      </c>
      <c r="P3541" s="258">
        <f t="shared" si="850"/>
        <v>0.03</v>
      </c>
      <c r="Q3541" s="249">
        <v>870</v>
      </c>
      <c r="R3541" s="249">
        <f t="shared" ref="R3541:R3604" si="853">SUM(F3541*Q3541*1.0235,I3541*Q3541*1.0175,L3541*Q3541*1.0245,O3541*Q3541*1.0115)</f>
        <v>888.70500000000004</v>
      </c>
      <c r="S3541" s="250">
        <v>0.15</v>
      </c>
      <c r="T3541" s="300">
        <f>Q3541+Q3541*S3541-1</f>
        <v>999.5</v>
      </c>
      <c r="U3541" s="315">
        <f t="shared" si="838"/>
        <v>1022.01075</v>
      </c>
      <c r="V3541" s="315">
        <f t="shared" si="841"/>
        <v>1025</v>
      </c>
      <c r="W3541" s="316">
        <f t="shared" si="852"/>
        <v>0</v>
      </c>
    </row>
    <row r="3542" spans="1:23" x14ac:dyDescent="0.25">
      <c r="A3542" s="200" t="s">
        <v>15725</v>
      </c>
      <c r="B3542" s="313" t="s">
        <v>15726</v>
      </c>
      <c r="C3542" s="248"/>
      <c r="D3542" s="247" t="s">
        <v>11</v>
      </c>
      <c r="E3542" s="249">
        <f t="shared" si="843"/>
        <v>665.31384000000014</v>
      </c>
      <c r="F3542" s="258">
        <v>0.4</v>
      </c>
      <c r="G3542" s="258">
        <f t="shared" si="844"/>
        <v>0.4</v>
      </c>
      <c r="H3542" s="249">
        <f t="shared" si="845"/>
        <v>781.74376200000006</v>
      </c>
      <c r="I3542" s="258">
        <v>0.47</v>
      </c>
      <c r="J3542" s="258">
        <f t="shared" si="846"/>
        <v>0.47</v>
      </c>
      <c r="K3542" s="249">
        <f t="shared" si="847"/>
        <v>166.32846000000004</v>
      </c>
      <c r="L3542" s="258">
        <v>0.1</v>
      </c>
      <c r="M3542" s="258">
        <f t="shared" si="848"/>
        <v>0.1</v>
      </c>
      <c r="N3542" s="251">
        <f t="shared" si="849"/>
        <v>49.898538000000002</v>
      </c>
      <c r="O3542" s="340">
        <v>0.03</v>
      </c>
      <c r="P3542" s="258">
        <f t="shared" si="850"/>
        <v>0.03</v>
      </c>
      <c r="Q3542" s="249">
        <v>1630</v>
      </c>
      <c r="R3542" s="249">
        <f t="shared" si="853"/>
        <v>1663.2846000000002</v>
      </c>
      <c r="S3542" s="250">
        <v>0.15</v>
      </c>
      <c r="T3542" s="300">
        <f>Q3542+Q3542*S3542-5+30</f>
        <v>1899.5</v>
      </c>
      <c r="U3542" s="315">
        <f t="shared" si="838"/>
        <v>1912.7772900000002</v>
      </c>
      <c r="V3542" s="315">
        <f t="shared" si="841"/>
        <v>1925</v>
      </c>
      <c r="W3542" s="316">
        <f t="shared" si="852"/>
        <v>0</v>
      </c>
    </row>
    <row r="3543" spans="1:23" x14ac:dyDescent="0.25">
      <c r="A3543" s="200" t="s">
        <v>15727</v>
      </c>
      <c r="B3543" s="313" t="s">
        <v>15728</v>
      </c>
      <c r="C3543" s="248"/>
      <c r="D3543" s="247" t="s">
        <v>11</v>
      </c>
      <c r="E3543" s="249">
        <f t="shared" si="843"/>
        <v>599.79527999999993</v>
      </c>
      <c r="F3543" s="258">
        <v>0.35</v>
      </c>
      <c r="G3543" s="258">
        <f t="shared" si="844"/>
        <v>0.35</v>
      </c>
      <c r="H3543" s="249">
        <f t="shared" si="845"/>
        <v>873.98740800000007</v>
      </c>
      <c r="I3543" s="258">
        <v>0.51</v>
      </c>
      <c r="J3543" s="258">
        <f t="shared" si="846"/>
        <v>0.51</v>
      </c>
      <c r="K3543" s="249">
        <f t="shared" si="847"/>
        <v>171.37008000000003</v>
      </c>
      <c r="L3543" s="258">
        <v>0.1</v>
      </c>
      <c r="M3543" s="258">
        <f t="shared" si="848"/>
        <v>0.1</v>
      </c>
      <c r="N3543" s="251">
        <f t="shared" si="849"/>
        <v>68.548032000000006</v>
      </c>
      <c r="O3543" s="340">
        <v>0.04</v>
      </c>
      <c r="P3543" s="258">
        <f t="shared" si="850"/>
        <v>0.04</v>
      </c>
      <c r="Q3543" s="249">
        <v>1680</v>
      </c>
      <c r="R3543" s="249">
        <f t="shared" si="853"/>
        <v>1713.7008000000001</v>
      </c>
      <c r="S3543" s="250">
        <v>0.15</v>
      </c>
      <c r="T3543" s="300">
        <f>Q3543+Q3543*S3543-2+70</f>
        <v>2000</v>
      </c>
      <c r="U3543" s="315">
        <f t="shared" si="838"/>
        <v>1970.7559200000001</v>
      </c>
      <c r="V3543" s="315">
        <f t="shared" si="841"/>
        <v>1975</v>
      </c>
      <c r="W3543" s="316">
        <f t="shared" si="852"/>
        <v>0</v>
      </c>
    </row>
    <row r="3544" spans="1:23" x14ac:dyDescent="0.25">
      <c r="A3544" s="200" t="s">
        <v>15729</v>
      </c>
      <c r="B3544" s="313" t="s">
        <v>22881</v>
      </c>
      <c r="C3544" s="248"/>
      <c r="D3544" s="247" t="s">
        <v>11</v>
      </c>
      <c r="E3544" s="249">
        <f t="shared" si="843"/>
        <v>497.6163360000001</v>
      </c>
      <c r="F3544" s="258">
        <v>0.56000000000000005</v>
      </c>
      <c r="G3544" s="258">
        <f t="shared" si="844"/>
        <v>0.56000000000000005</v>
      </c>
      <c r="H3544" s="249">
        <f t="shared" si="845"/>
        <v>275.46618600000005</v>
      </c>
      <c r="I3544" s="258">
        <v>0.31</v>
      </c>
      <c r="J3544" s="258">
        <f t="shared" si="846"/>
        <v>0.31</v>
      </c>
      <c r="K3544" s="249">
        <f t="shared" si="847"/>
        <v>88.860060000000018</v>
      </c>
      <c r="L3544" s="258">
        <v>0.1</v>
      </c>
      <c r="M3544" s="258">
        <f t="shared" si="848"/>
        <v>0.1</v>
      </c>
      <c r="N3544" s="251">
        <f t="shared" si="849"/>
        <v>26.658018000000002</v>
      </c>
      <c r="O3544" s="340">
        <v>0.03</v>
      </c>
      <c r="P3544" s="258">
        <f t="shared" si="850"/>
        <v>0.03</v>
      </c>
      <c r="Q3544" s="249">
        <v>870</v>
      </c>
      <c r="R3544" s="249">
        <f t="shared" si="853"/>
        <v>888.6006000000001</v>
      </c>
      <c r="S3544" s="250">
        <v>0.15</v>
      </c>
      <c r="T3544" s="300">
        <f>Q3544+Q3544*S3544-1</f>
        <v>999.5</v>
      </c>
      <c r="U3544" s="315">
        <f t="shared" si="838"/>
        <v>1021.8906900000002</v>
      </c>
      <c r="V3544" s="315">
        <f t="shared" si="841"/>
        <v>1025</v>
      </c>
      <c r="W3544" s="316">
        <f t="shared" si="852"/>
        <v>0</v>
      </c>
    </row>
    <row r="3545" spans="1:23" x14ac:dyDescent="0.25">
      <c r="A3545" s="200" t="s">
        <v>15730</v>
      </c>
      <c r="B3545" s="313" t="s">
        <v>22882</v>
      </c>
      <c r="C3545" s="248"/>
      <c r="D3545" s="247" t="s">
        <v>11</v>
      </c>
      <c r="E3545" s="249">
        <f t="shared" si="843"/>
        <v>659.73011400000007</v>
      </c>
      <c r="F3545" s="258">
        <v>0.46</v>
      </c>
      <c r="G3545" s="258">
        <f t="shared" si="844"/>
        <v>0.46</v>
      </c>
      <c r="H3545" s="249">
        <f t="shared" si="845"/>
        <v>588.02031900000009</v>
      </c>
      <c r="I3545" s="258">
        <v>0.41</v>
      </c>
      <c r="J3545" s="258">
        <f t="shared" si="846"/>
        <v>0.41</v>
      </c>
      <c r="K3545" s="249">
        <f t="shared" si="847"/>
        <v>143.41959000000003</v>
      </c>
      <c r="L3545" s="258">
        <v>0.1</v>
      </c>
      <c r="M3545" s="258">
        <f t="shared" si="848"/>
        <v>0.1</v>
      </c>
      <c r="N3545" s="251">
        <f t="shared" si="849"/>
        <v>43.025877000000001</v>
      </c>
      <c r="O3545" s="340">
        <v>0.03</v>
      </c>
      <c r="P3545" s="258">
        <f t="shared" si="850"/>
        <v>0.03</v>
      </c>
      <c r="Q3545" s="249">
        <v>1405</v>
      </c>
      <c r="R3545" s="249">
        <f t="shared" si="853"/>
        <v>1434.1959000000002</v>
      </c>
      <c r="S3545" s="250">
        <v>0.15</v>
      </c>
      <c r="T3545" s="300">
        <f>Q3545+Q3545*S3545+4-20</f>
        <v>1599.75</v>
      </c>
      <c r="U3545" s="315">
        <f t="shared" si="838"/>
        <v>1649.3252850000001</v>
      </c>
      <c r="V3545" s="315">
        <f t="shared" si="841"/>
        <v>1650</v>
      </c>
      <c r="W3545" s="316">
        <f t="shared" si="852"/>
        <v>0</v>
      </c>
    </row>
    <row r="3546" spans="1:23" x14ac:dyDescent="0.25">
      <c r="A3546" s="200" t="s">
        <v>15731</v>
      </c>
      <c r="B3546" s="313" t="s">
        <v>22883</v>
      </c>
      <c r="C3546" s="248"/>
      <c r="D3546" s="247" t="s">
        <v>11</v>
      </c>
      <c r="E3546" s="249">
        <f t="shared" si="843"/>
        <v>651.8566800000001</v>
      </c>
      <c r="F3546" s="258">
        <v>0.36</v>
      </c>
      <c r="G3546" s="258">
        <f t="shared" si="844"/>
        <v>0.36</v>
      </c>
      <c r="H3546" s="249">
        <f t="shared" si="845"/>
        <v>905.3565000000001</v>
      </c>
      <c r="I3546" s="258">
        <v>0.5</v>
      </c>
      <c r="J3546" s="258">
        <f t="shared" si="846"/>
        <v>0.5</v>
      </c>
      <c r="K3546" s="249">
        <f t="shared" si="847"/>
        <v>181.07130000000004</v>
      </c>
      <c r="L3546" s="258">
        <v>0.1</v>
      </c>
      <c r="M3546" s="258">
        <f t="shared" si="848"/>
        <v>0.1</v>
      </c>
      <c r="N3546" s="251">
        <f t="shared" si="849"/>
        <v>72.428520000000006</v>
      </c>
      <c r="O3546" s="340">
        <v>0.04</v>
      </c>
      <c r="P3546" s="258">
        <f t="shared" si="850"/>
        <v>0.04</v>
      </c>
      <c r="Q3546" s="249">
        <v>1775</v>
      </c>
      <c r="R3546" s="249">
        <f t="shared" si="853"/>
        <v>1810.7130000000002</v>
      </c>
      <c r="S3546" s="250">
        <v>0.15</v>
      </c>
      <c r="T3546" s="300">
        <f>Q3546+Q3546*S3546-1+10</f>
        <v>2050.25</v>
      </c>
      <c r="U3546" s="315">
        <f t="shared" si="838"/>
        <v>2082.3199500000001</v>
      </c>
      <c r="V3546" s="315">
        <f t="shared" si="841"/>
        <v>2100</v>
      </c>
      <c r="W3546" s="316">
        <f t="shared" si="852"/>
        <v>0</v>
      </c>
    </row>
    <row r="3547" spans="1:23" x14ac:dyDescent="0.25">
      <c r="A3547" s="200" t="s">
        <v>15732</v>
      </c>
      <c r="B3547" s="313" t="s">
        <v>15733</v>
      </c>
      <c r="C3547" s="248"/>
      <c r="D3547" s="247" t="s">
        <v>11</v>
      </c>
      <c r="E3547" s="249">
        <f t="shared" si="843"/>
        <v>896.65523000000007</v>
      </c>
      <c r="F3547" s="258">
        <v>0.46</v>
      </c>
      <c r="G3547" s="258">
        <f t="shared" si="844"/>
        <v>0.46</v>
      </c>
      <c r="H3547" s="249">
        <f t="shared" si="845"/>
        <v>935.64024000000006</v>
      </c>
      <c r="I3547" s="258">
        <v>0.48</v>
      </c>
      <c r="J3547" s="258">
        <f t="shared" si="846"/>
        <v>0.48</v>
      </c>
      <c r="K3547" s="249">
        <f t="shared" si="847"/>
        <v>97.462525000000014</v>
      </c>
      <c r="L3547" s="258">
        <v>0.05</v>
      </c>
      <c r="M3547" s="258">
        <f t="shared" si="848"/>
        <v>0.05</v>
      </c>
      <c r="N3547" s="251">
        <f t="shared" si="849"/>
        <v>19.492505000000001</v>
      </c>
      <c r="O3547" s="340">
        <v>0.01</v>
      </c>
      <c r="P3547" s="258">
        <f t="shared" si="850"/>
        <v>0.01</v>
      </c>
      <c r="Q3547" s="249">
        <v>1910</v>
      </c>
      <c r="R3547" s="249">
        <f t="shared" si="853"/>
        <v>1949.2505000000001</v>
      </c>
      <c r="S3547" s="250">
        <v>0.15</v>
      </c>
      <c r="T3547" s="300">
        <f>Q3547+Q3547*S3547-10</f>
        <v>2186.5</v>
      </c>
      <c r="U3547" s="315">
        <f t="shared" si="838"/>
        <v>2241.6380750000003</v>
      </c>
      <c r="V3547" s="315">
        <f t="shared" si="841"/>
        <v>2250</v>
      </c>
      <c r="W3547" s="316">
        <f t="shared" si="852"/>
        <v>0</v>
      </c>
    </row>
    <row r="3548" spans="1:23" x14ac:dyDescent="0.25">
      <c r="A3548" s="200" t="s">
        <v>15734</v>
      </c>
      <c r="B3548" s="313" t="s">
        <v>15735</v>
      </c>
      <c r="C3548" s="248"/>
      <c r="D3548" s="247" t="s">
        <v>11</v>
      </c>
      <c r="E3548" s="249">
        <f t="shared" si="843"/>
        <v>971.15424000000007</v>
      </c>
      <c r="F3548" s="258">
        <v>0.4</v>
      </c>
      <c r="G3548" s="258">
        <f t="shared" si="844"/>
        <v>0.4</v>
      </c>
      <c r="H3548" s="249">
        <f t="shared" si="845"/>
        <v>1335.3370800000002</v>
      </c>
      <c r="I3548" s="258">
        <v>0.55000000000000004</v>
      </c>
      <c r="J3548" s="258">
        <f t="shared" si="846"/>
        <v>0.55000000000000004</v>
      </c>
      <c r="K3548" s="249">
        <f t="shared" si="847"/>
        <v>97.115424000000004</v>
      </c>
      <c r="L3548" s="258">
        <v>0.04</v>
      </c>
      <c r="M3548" s="258">
        <f t="shared" si="848"/>
        <v>0.04</v>
      </c>
      <c r="N3548" s="251">
        <f t="shared" si="849"/>
        <v>24.278856000000001</v>
      </c>
      <c r="O3548" s="340">
        <v>0.01</v>
      </c>
      <c r="P3548" s="258">
        <f t="shared" si="850"/>
        <v>0.01</v>
      </c>
      <c r="Q3548" s="249">
        <v>2380</v>
      </c>
      <c r="R3548" s="249">
        <f t="shared" si="853"/>
        <v>2427.8856000000001</v>
      </c>
      <c r="S3548" s="250">
        <v>0.15</v>
      </c>
      <c r="T3548" s="300">
        <f>Q3548+Q3548*S3548+3+10</f>
        <v>2750</v>
      </c>
      <c r="U3548" s="315">
        <f t="shared" si="838"/>
        <v>2792.06844</v>
      </c>
      <c r="V3548" s="315">
        <f t="shared" si="841"/>
        <v>2800</v>
      </c>
      <c r="W3548" s="316">
        <f t="shared" si="852"/>
        <v>0</v>
      </c>
    </row>
    <row r="3549" spans="1:23" x14ac:dyDescent="0.25">
      <c r="A3549" s="200" t="s">
        <v>15736</v>
      </c>
      <c r="B3549" s="313" t="s">
        <v>15737</v>
      </c>
      <c r="C3549" s="248"/>
      <c r="D3549" s="247" t="s">
        <v>11</v>
      </c>
      <c r="E3549" s="249">
        <f t="shared" si="843"/>
        <v>1242.14076</v>
      </c>
      <c r="F3549" s="258">
        <v>0.35</v>
      </c>
      <c r="G3549" s="258">
        <f t="shared" si="844"/>
        <v>0.35</v>
      </c>
      <c r="H3549" s="249">
        <f t="shared" si="845"/>
        <v>2129.3841600000001</v>
      </c>
      <c r="I3549" s="258">
        <v>0.6</v>
      </c>
      <c r="J3549" s="258">
        <f t="shared" si="846"/>
        <v>0.6</v>
      </c>
      <c r="K3549" s="249">
        <f t="shared" si="847"/>
        <v>141.958944</v>
      </c>
      <c r="L3549" s="258">
        <v>0.04</v>
      </c>
      <c r="M3549" s="258">
        <f t="shared" si="848"/>
        <v>0.04</v>
      </c>
      <c r="N3549" s="251">
        <f t="shared" si="849"/>
        <v>35.489736000000001</v>
      </c>
      <c r="O3549" s="340">
        <v>0.01</v>
      </c>
      <c r="P3549" s="258">
        <f t="shared" si="850"/>
        <v>0.01</v>
      </c>
      <c r="Q3549" s="249">
        <v>3480</v>
      </c>
      <c r="R3549" s="249">
        <f t="shared" si="853"/>
        <v>3548.9736000000003</v>
      </c>
      <c r="S3549" s="250">
        <v>0.15</v>
      </c>
      <c r="T3549" s="300">
        <f>Q3549+Q3549*S3549-2</f>
        <v>4000</v>
      </c>
      <c r="U3549" s="315">
        <f t="shared" si="838"/>
        <v>4081.3196400000002</v>
      </c>
      <c r="V3549" s="315">
        <f t="shared" si="841"/>
        <v>4100</v>
      </c>
      <c r="W3549" s="316">
        <f t="shared" si="852"/>
        <v>0</v>
      </c>
    </row>
    <row r="3550" spans="1:23" x14ac:dyDescent="0.25">
      <c r="A3550" s="200" t="s">
        <v>15738</v>
      </c>
      <c r="B3550" s="313" t="s">
        <v>15739</v>
      </c>
      <c r="C3550" s="248"/>
      <c r="D3550" s="247" t="s">
        <v>11</v>
      </c>
      <c r="E3550" s="249">
        <f t="shared" si="843"/>
        <v>2393.8818600000004</v>
      </c>
      <c r="F3550" s="258">
        <v>0.46</v>
      </c>
      <c r="G3550" s="258">
        <f t="shared" si="844"/>
        <v>0.46</v>
      </c>
      <c r="H3550" s="249">
        <f t="shared" si="845"/>
        <v>2602.0455000000002</v>
      </c>
      <c r="I3550" s="258">
        <v>0.5</v>
      </c>
      <c r="J3550" s="258">
        <f t="shared" si="846"/>
        <v>0.5</v>
      </c>
      <c r="K3550" s="249">
        <f t="shared" si="847"/>
        <v>156.12273000000002</v>
      </c>
      <c r="L3550" s="258">
        <v>0.03</v>
      </c>
      <c r="M3550" s="258">
        <f t="shared" si="848"/>
        <v>0.03</v>
      </c>
      <c r="N3550" s="251">
        <f t="shared" si="849"/>
        <v>52.040910000000004</v>
      </c>
      <c r="O3550" s="340">
        <v>0.01</v>
      </c>
      <c r="P3550" s="258">
        <f t="shared" si="850"/>
        <v>0.01</v>
      </c>
      <c r="Q3550" s="249">
        <v>5100</v>
      </c>
      <c r="R3550" s="249">
        <f t="shared" si="853"/>
        <v>5204.0910000000003</v>
      </c>
      <c r="S3550" s="250">
        <v>0.15</v>
      </c>
      <c r="T3550" s="300">
        <f>Q3550+Q3550*S3550+35</f>
        <v>5900</v>
      </c>
      <c r="U3550" s="315">
        <f t="shared" si="838"/>
        <v>5984.7046500000006</v>
      </c>
      <c r="V3550" s="315">
        <f t="shared" si="841"/>
        <v>6000</v>
      </c>
      <c r="W3550" s="316">
        <f t="shared" si="852"/>
        <v>0</v>
      </c>
    </row>
    <row r="3551" spans="1:23" x14ac:dyDescent="0.25">
      <c r="A3551" s="200" t="s">
        <v>15740</v>
      </c>
      <c r="B3551" s="313" t="s">
        <v>15741</v>
      </c>
      <c r="C3551" s="248"/>
      <c r="D3551" s="247" t="s">
        <v>11</v>
      </c>
      <c r="E3551" s="249">
        <f t="shared" si="843"/>
        <v>2127.6358092</v>
      </c>
      <c r="F3551" s="258">
        <v>0.31</v>
      </c>
      <c r="G3551" s="258">
        <f t="shared" si="844"/>
        <v>0.31</v>
      </c>
      <c r="H3551" s="249">
        <f t="shared" si="845"/>
        <v>4461.1718580000006</v>
      </c>
      <c r="I3551" s="258">
        <v>0.65</v>
      </c>
      <c r="J3551" s="258">
        <f t="shared" si="846"/>
        <v>0.65</v>
      </c>
      <c r="K3551" s="249">
        <f t="shared" si="847"/>
        <v>205.90023959999999</v>
      </c>
      <c r="L3551" s="258">
        <v>0.03</v>
      </c>
      <c r="M3551" s="258">
        <f t="shared" si="848"/>
        <v>0.03</v>
      </c>
      <c r="N3551" s="251">
        <f t="shared" si="849"/>
        <v>68.633413200000007</v>
      </c>
      <c r="O3551" s="340">
        <v>0.01</v>
      </c>
      <c r="P3551" s="258">
        <f t="shared" si="850"/>
        <v>0.01</v>
      </c>
      <c r="Q3551" s="249">
        <v>6732</v>
      </c>
      <c r="R3551" s="249">
        <f t="shared" si="853"/>
        <v>6863.3413200000005</v>
      </c>
      <c r="S3551" s="250">
        <v>0.15</v>
      </c>
      <c r="T3551" s="300">
        <f>Q3551+Q3551*S3551+8</f>
        <v>7749.8</v>
      </c>
      <c r="U3551" s="315">
        <f t="shared" si="838"/>
        <v>7892.8425180000004</v>
      </c>
      <c r="V3551" s="315">
        <f t="shared" si="841"/>
        <v>7900</v>
      </c>
      <c r="W3551" s="316">
        <f t="shared" si="852"/>
        <v>0</v>
      </c>
    </row>
    <row r="3552" spans="1:23" x14ac:dyDescent="0.25">
      <c r="A3552" s="200" t="s">
        <v>15742</v>
      </c>
      <c r="B3552" s="313" t="s">
        <v>15743</v>
      </c>
      <c r="C3552" s="248"/>
      <c r="D3552" s="247" t="s">
        <v>11</v>
      </c>
      <c r="E3552" s="249">
        <f t="shared" si="843"/>
        <v>2504.1989700000004</v>
      </c>
      <c r="F3552" s="258">
        <v>0.26</v>
      </c>
      <c r="G3552" s="258">
        <f t="shared" si="844"/>
        <v>0.26</v>
      </c>
      <c r="H3552" s="249">
        <f t="shared" si="845"/>
        <v>6742.0741500000004</v>
      </c>
      <c r="I3552" s="258">
        <v>0.7</v>
      </c>
      <c r="J3552" s="258">
        <f t="shared" si="846"/>
        <v>0.7</v>
      </c>
      <c r="K3552" s="249">
        <f t="shared" si="847"/>
        <v>288.94603500000005</v>
      </c>
      <c r="L3552" s="258">
        <v>0.03</v>
      </c>
      <c r="M3552" s="258">
        <f t="shared" si="848"/>
        <v>0.03</v>
      </c>
      <c r="N3552" s="251">
        <f t="shared" si="849"/>
        <v>96.315345000000022</v>
      </c>
      <c r="O3552" s="340">
        <v>0.01</v>
      </c>
      <c r="P3552" s="258">
        <f t="shared" si="850"/>
        <v>0.01</v>
      </c>
      <c r="Q3552" s="249">
        <v>9450</v>
      </c>
      <c r="R3552" s="249">
        <f t="shared" si="853"/>
        <v>9631.5345000000016</v>
      </c>
      <c r="S3552" s="250">
        <v>0.15</v>
      </c>
      <c r="T3552" s="300">
        <f>Q3552+Q3552*S3552+32</f>
        <v>10899.5</v>
      </c>
      <c r="U3552" s="315">
        <f t="shared" si="838"/>
        <v>11076.264675000002</v>
      </c>
      <c r="V3552" s="315">
        <f t="shared" si="841"/>
        <v>11250</v>
      </c>
      <c r="W3552" s="316">
        <f t="shared" si="852"/>
        <v>0</v>
      </c>
    </row>
    <row r="3553" spans="1:23" x14ac:dyDescent="0.25">
      <c r="A3553" s="200" t="s">
        <v>15744</v>
      </c>
      <c r="B3553" s="313" t="s">
        <v>15745</v>
      </c>
      <c r="C3553" s="248"/>
      <c r="D3553" s="247" t="s">
        <v>11</v>
      </c>
      <c r="E3553" s="249">
        <f t="shared" si="843"/>
        <v>2609.9622817500008</v>
      </c>
      <c r="F3553" s="258">
        <v>0.215</v>
      </c>
      <c r="G3553" s="258">
        <f t="shared" si="844"/>
        <v>0.215</v>
      </c>
      <c r="H3553" s="249">
        <f t="shared" si="845"/>
        <v>9347.3067765000033</v>
      </c>
      <c r="I3553" s="258">
        <v>0.77</v>
      </c>
      <c r="J3553" s="258">
        <f t="shared" si="846"/>
        <v>0.77</v>
      </c>
      <c r="K3553" s="249">
        <f t="shared" si="847"/>
        <v>121.39359450000003</v>
      </c>
      <c r="L3553" s="258">
        <v>0.01</v>
      </c>
      <c r="M3553" s="258">
        <f t="shared" si="848"/>
        <v>0.01</v>
      </c>
      <c r="N3553" s="251">
        <f t="shared" si="849"/>
        <v>60.696797250000017</v>
      </c>
      <c r="O3553" s="340">
        <v>5.0000000000000001E-3</v>
      </c>
      <c r="P3553" s="258">
        <f t="shared" si="850"/>
        <v>5.0000000000000001E-3</v>
      </c>
      <c r="Q3553" s="249">
        <v>11915</v>
      </c>
      <c r="R3553" s="249">
        <f t="shared" si="853"/>
        <v>12139.359450000004</v>
      </c>
      <c r="S3553" s="250">
        <v>0.15</v>
      </c>
      <c r="T3553" s="300">
        <f>Q3553+Q3553*S3553-2</f>
        <v>13700.25</v>
      </c>
      <c r="U3553" s="315">
        <f t="shared" si="838"/>
        <v>13960.263367500003</v>
      </c>
      <c r="V3553" s="315">
        <f t="shared" si="841"/>
        <v>14000</v>
      </c>
      <c r="W3553" s="316">
        <f t="shared" si="852"/>
        <v>0</v>
      </c>
    </row>
    <row r="3554" spans="1:23" x14ac:dyDescent="0.25">
      <c r="A3554" s="200" t="s">
        <v>15746</v>
      </c>
      <c r="B3554" s="313" t="s">
        <v>15747</v>
      </c>
      <c r="C3554" s="248"/>
      <c r="D3554" s="247" t="s">
        <v>11</v>
      </c>
      <c r="E3554" s="249">
        <f t="shared" si="843"/>
        <v>2610.2406330000003</v>
      </c>
      <c r="F3554" s="258">
        <v>0.19500000000000001</v>
      </c>
      <c r="G3554" s="258">
        <f t="shared" si="844"/>
        <v>0.19500000000000001</v>
      </c>
      <c r="H3554" s="249">
        <f t="shared" si="845"/>
        <v>10574.821026000001</v>
      </c>
      <c r="I3554" s="258">
        <v>0.79</v>
      </c>
      <c r="J3554" s="258">
        <f t="shared" si="846"/>
        <v>0.79</v>
      </c>
      <c r="K3554" s="249">
        <f t="shared" si="847"/>
        <v>133.85849400000001</v>
      </c>
      <c r="L3554" s="258">
        <v>0.01</v>
      </c>
      <c r="M3554" s="258">
        <f t="shared" si="848"/>
        <v>0.01</v>
      </c>
      <c r="N3554" s="251">
        <f t="shared" si="849"/>
        <v>66.929247000000004</v>
      </c>
      <c r="O3554" s="340">
        <v>5.0000000000000001E-3</v>
      </c>
      <c r="P3554" s="258">
        <f t="shared" si="850"/>
        <v>5.0000000000000001E-3</v>
      </c>
      <c r="Q3554" s="249">
        <v>13140</v>
      </c>
      <c r="R3554" s="249">
        <f t="shared" si="853"/>
        <v>13385.849400000001</v>
      </c>
      <c r="S3554" s="250">
        <v>0.15</v>
      </c>
      <c r="T3554" s="300">
        <f>Q3554+Q3554*S3554+39</f>
        <v>15150</v>
      </c>
      <c r="U3554" s="315">
        <f t="shared" si="838"/>
        <v>15393.72681</v>
      </c>
      <c r="V3554" s="315">
        <f t="shared" si="841"/>
        <v>15500</v>
      </c>
      <c r="W3554" s="316">
        <f t="shared" si="852"/>
        <v>0</v>
      </c>
    </row>
    <row r="3555" spans="1:23" x14ac:dyDescent="0.25">
      <c r="A3555" s="200" t="s">
        <v>15748</v>
      </c>
      <c r="B3555" s="313" t="s">
        <v>22884</v>
      </c>
      <c r="C3555" s="248"/>
      <c r="D3555" s="247" t="s">
        <v>11</v>
      </c>
      <c r="E3555" s="249">
        <f t="shared" si="843"/>
        <v>1862.9056600000004</v>
      </c>
      <c r="F3555" s="258">
        <v>0.16</v>
      </c>
      <c r="G3555" s="258">
        <f t="shared" si="844"/>
        <v>0.16</v>
      </c>
      <c r="H3555" s="249">
        <f t="shared" si="845"/>
        <v>8615.9386775000003</v>
      </c>
      <c r="I3555" s="258">
        <v>0.74</v>
      </c>
      <c r="J3555" s="258">
        <f t="shared" si="846"/>
        <v>0.74</v>
      </c>
      <c r="K3555" s="249">
        <f t="shared" si="847"/>
        <v>1106.1002356250001</v>
      </c>
      <c r="L3555" s="258">
        <v>9.5000000000000001E-2</v>
      </c>
      <c r="M3555" s="258">
        <f t="shared" si="848"/>
        <v>9.5000000000000001E-2</v>
      </c>
      <c r="N3555" s="251">
        <f t="shared" si="849"/>
        <v>58.215801875000011</v>
      </c>
      <c r="O3555" s="340">
        <v>5.0000000000000001E-3</v>
      </c>
      <c r="P3555" s="258">
        <f t="shared" si="850"/>
        <v>5.0000000000000001E-3</v>
      </c>
      <c r="Q3555" s="249">
        <v>11425</v>
      </c>
      <c r="R3555" s="249">
        <f t="shared" si="853"/>
        <v>11643.160375000001</v>
      </c>
      <c r="S3555" s="250">
        <v>0.15</v>
      </c>
      <c r="T3555" s="300">
        <f>Q3555+Q3555*S3555+11</f>
        <v>13149.75</v>
      </c>
      <c r="U3555" s="315">
        <f t="shared" si="838"/>
        <v>13389.63443125</v>
      </c>
      <c r="V3555" s="315">
        <f t="shared" si="841"/>
        <v>13500</v>
      </c>
      <c r="W3555" s="316">
        <f t="shared" si="852"/>
        <v>0</v>
      </c>
    </row>
    <row r="3556" spans="1:23" x14ac:dyDescent="0.25">
      <c r="A3556" s="200" t="s">
        <v>15749</v>
      </c>
      <c r="B3556" s="313" t="s">
        <v>22885</v>
      </c>
      <c r="C3556" s="248"/>
      <c r="D3556" s="247" t="s">
        <v>11</v>
      </c>
      <c r="E3556" s="249">
        <f t="shared" si="843"/>
        <v>1868.6554312499998</v>
      </c>
      <c r="F3556" s="258">
        <v>0.15</v>
      </c>
      <c r="G3556" s="258">
        <f t="shared" si="844"/>
        <v>0.15</v>
      </c>
      <c r="H3556" s="249">
        <f t="shared" si="845"/>
        <v>9343.2771562499984</v>
      </c>
      <c r="I3556" s="258">
        <v>0.75</v>
      </c>
      <c r="J3556" s="258">
        <f t="shared" si="846"/>
        <v>0.75</v>
      </c>
      <c r="K3556" s="249">
        <f t="shared" si="847"/>
        <v>1183.481773125</v>
      </c>
      <c r="L3556" s="258">
        <v>9.5000000000000001E-2</v>
      </c>
      <c r="M3556" s="258">
        <f t="shared" si="848"/>
        <v>9.5000000000000001E-2</v>
      </c>
      <c r="N3556" s="251">
        <f t="shared" si="849"/>
        <v>62.288514374999998</v>
      </c>
      <c r="O3556" s="340">
        <v>5.0000000000000001E-3</v>
      </c>
      <c r="P3556" s="258">
        <f t="shared" si="850"/>
        <v>5.0000000000000001E-3</v>
      </c>
      <c r="Q3556" s="249">
        <v>12225</v>
      </c>
      <c r="R3556" s="249">
        <f t="shared" si="853"/>
        <v>12457.702874999999</v>
      </c>
      <c r="S3556" s="250">
        <v>0.15</v>
      </c>
      <c r="T3556" s="300">
        <f>Q3556+Q3556*S3556-9</f>
        <v>14049.75</v>
      </c>
      <c r="U3556" s="315">
        <f t="shared" si="838"/>
        <v>14326.358306249998</v>
      </c>
      <c r="V3556" s="315">
        <f t="shared" si="841"/>
        <v>14500</v>
      </c>
      <c r="W3556" s="316">
        <f t="shared" si="852"/>
        <v>0</v>
      </c>
    </row>
    <row r="3557" spans="1:23" x14ac:dyDescent="0.25">
      <c r="A3557" s="200" t="s">
        <v>15750</v>
      </c>
      <c r="B3557" s="313" t="s">
        <v>22886</v>
      </c>
      <c r="C3557" s="248"/>
      <c r="D3557" s="247" t="s">
        <v>11</v>
      </c>
      <c r="E3557" s="249">
        <f t="shared" si="843"/>
        <v>1902.2896187500003</v>
      </c>
      <c r="F3557" s="258">
        <v>0.14499999999999999</v>
      </c>
      <c r="G3557" s="258">
        <f t="shared" si="844"/>
        <v>0.14499999999999999</v>
      </c>
      <c r="H3557" s="249">
        <f t="shared" si="845"/>
        <v>9970.6214500000024</v>
      </c>
      <c r="I3557" s="258">
        <v>0.76</v>
      </c>
      <c r="J3557" s="258">
        <f t="shared" si="846"/>
        <v>0.76</v>
      </c>
      <c r="K3557" s="249">
        <f t="shared" si="847"/>
        <v>1180.7314875000002</v>
      </c>
      <c r="L3557" s="258">
        <v>0.09</v>
      </c>
      <c r="M3557" s="258">
        <f t="shared" si="848"/>
        <v>0.09</v>
      </c>
      <c r="N3557" s="251">
        <f t="shared" si="849"/>
        <v>65.596193750000012</v>
      </c>
      <c r="O3557" s="340">
        <v>5.0000000000000001E-3</v>
      </c>
      <c r="P3557" s="258">
        <f t="shared" si="850"/>
        <v>5.0000000000000001E-3</v>
      </c>
      <c r="Q3557" s="249">
        <v>12875</v>
      </c>
      <c r="R3557" s="249">
        <f t="shared" si="853"/>
        <v>13119.238750000002</v>
      </c>
      <c r="S3557" s="250">
        <v>0.15</v>
      </c>
      <c r="T3557" s="300">
        <f>Q3557+Q3557*S3557+44</f>
        <v>14850.25</v>
      </c>
      <c r="U3557" s="315">
        <f t="shared" si="838"/>
        <v>15087.124562500003</v>
      </c>
      <c r="V3557" s="315">
        <f t="shared" si="841"/>
        <v>15250</v>
      </c>
      <c r="W3557" s="316">
        <f t="shared" si="852"/>
        <v>0</v>
      </c>
    </row>
    <row r="3558" spans="1:23" x14ac:dyDescent="0.25">
      <c r="A3558" s="200" t="s">
        <v>15751</v>
      </c>
      <c r="B3558" s="313" t="s">
        <v>22887</v>
      </c>
      <c r="C3558" s="248"/>
      <c r="D3558" s="247" t="s">
        <v>11</v>
      </c>
      <c r="E3558" s="249">
        <f t="shared" si="843"/>
        <v>2249.1945787500003</v>
      </c>
      <c r="F3558" s="258">
        <v>0.14499999999999999</v>
      </c>
      <c r="G3558" s="258">
        <f t="shared" si="844"/>
        <v>0.14499999999999999</v>
      </c>
      <c r="H3558" s="249">
        <f t="shared" si="845"/>
        <v>12099.115665000003</v>
      </c>
      <c r="I3558" s="258">
        <v>0.78</v>
      </c>
      <c r="J3558" s="258">
        <f t="shared" si="846"/>
        <v>0.78</v>
      </c>
      <c r="K3558" s="249">
        <f t="shared" si="847"/>
        <v>1085.8180725000002</v>
      </c>
      <c r="L3558" s="258">
        <v>7.0000000000000007E-2</v>
      </c>
      <c r="M3558" s="258">
        <f t="shared" si="848"/>
        <v>7.0000000000000007E-2</v>
      </c>
      <c r="N3558" s="251">
        <f t="shared" si="849"/>
        <v>77.55843375000002</v>
      </c>
      <c r="O3558" s="340">
        <v>5.0000000000000001E-3</v>
      </c>
      <c r="P3558" s="258">
        <f t="shared" si="850"/>
        <v>5.0000000000000001E-3</v>
      </c>
      <c r="Q3558" s="249">
        <v>15225</v>
      </c>
      <c r="R3558" s="249">
        <f t="shared" si="853"/>
        <v>15511.686750000003</v>
      </c>
      <c r="S3558" s="250">
        <v>0.15</v>
      </c>
      <c r="T3558" s="300">
        <f>Q3558+Q3558*S3558+41</f>
        <v>17549.75</v>
      </c>
      <c r="U3558" s="315">
        <f t="shared" ref="U3558:U3621" si="854">(R3558*S3558)+R3558</f>
        <v>17838.439762500002</v>
      </c>
      <c r="V3558" s="315">
        <f t="shared" ref="V3558:V3621" si="855">IF(U3558=0, 0, IF(U3558&lt;10, _xlfn.CEILING.MATH(U3558,1), IF(U3558&lt;100, _xlfn.CEILING.MATH(U3558,1),IF(U3558&lt;1000, _xlfn.CEILING.MATH(U3558,5), IF(U3558&lt;10000, _xlfn.CEILING.MATH(U3558, 25), IF(U3558&lt;100000, _xlfn.CEILING.MATH(U3558,250), IF(U3558&lt;1000000, _xlfn.CEILING.MATH(U3558,500), 0)))))))</f>
        <v>18000</v>
      </c>
      <c r="W3558" s="316">
        <f t="shared" si="852"/>
        <v>0</v>
      </c>
    </row>
    <row r="3559" spans="1:23" x14ac:dyDescent="0.25">
      <c r="A3559" s="200" t="s">
        <v>15752</v>
      </c>
      <c r="B3559" s="313" t="s">
        <v>22888</v>
      </c>
      <c r="C3559" s="248"/>
      <c r="D3559" s="247" t="s">
        <v>11</v>
      </c>
      <c r="E3559" s="249">
        <f t="shared" si="843"/>
        <v>2378.3068925000007</v>
      </c>
      <c r="F3559" s="258">
        <v>0.14000000000000001</v>
      </c>
      <c r="G3559" s="258">
        <f t="shared" si="844"/>
        <v>0.14000000000000001</v>
      </c>
      <c r="H3559" s="249">
        <f t="shared" si="845"/>
        <v>13420.446036250003</v>
      </c>
      <c r="I3559" s="258">
        <v>0.79</v>
      </c>
      <c r="J3559" s="258">
        <f t="shared" si="846"/>
        <v>0.79</v>
      </c>
      <c r="K3559" s="249">
        <f t="shared" si="847"/>
        <v>1104.2139143750003</v>
      </c>
      <c r="L3559" s="258">
        <v>6.5000000000000002E-2</v>
      </c>
      <c r="M3559" s="258">
        <f t="shared" si="848"/>
        <v>6.5000000000000002E-2</v>
      </c>
      <c r="N3559" s="251">
        <f t="shared" si="849"/>
        <v>84.939531875000014</v>
      </c>
      <c r="O3559" s="340">
        <v>5.0000000000000001E-3</v>
      </c>
      <c r="P3559" s="258">
        <f t="shared" si="850"/>
        <v>5.0000000000000001E-3</v>
      </c>
      <c r="Q3559" s="249">
        <v>16675</v>
      </c>
      <c r="R3559" s="249">
        <f t="shared" si="853"/>
        <v>16987.906375000002</v>
      </c>
      <c r="S3559" s="250">
        <v>0.15</v>
      </c>
      <c r="T3559" s="300">
        <f>Q3559+Q3559*S3559+24</f>
        <v>19200.25</v>
      </c>
      <c r="U3559" s="315">
        <f t="shared" si="854"/>
        <v>19536.092331250002</v>
      </c>
      <c r="V3559" s="315">
        <f t="shared" si="855"/>
        <v>19750</v>
      </c>
      <c r="W3559" s="316">
        <f t="shared" si="852"/>
        <v>0</v>
      </c>
    </row>
    <row r="3560" spans="1:23" x14ac:dyDescent="0.25">
      <c r="A3560" s="200" t="s">
        <v>15753</v>
      </c>
      <c r="B3560" s="313" t="s">
        <v>22889</v>
      </c>
      <c r="C3560" s="248"/>
      <c r="D3560" s="247" t="s">
        <v>11</v>
      </c>
      <c r="E3560" s="249">
        <f t="shared" si="843"/>
        <v>2559.8774781249999</v>
      </c>
      <c r="F3560" s="258">
        <v>0.13750000000000001</v>
      </c>
      <c r="G3560" s="258">
        <f t="shared" si="844"/>
        <v>0.13750000000000001</v>
      </c>
      <c r="H3560" s="249">
        <f t="shared" si="845"/>
        <v>14893.832599999998</v>
      </c>
      <c r="I3560" s="258">
        <v>0.8</v>
      </c>
      <c r="J3560" s="258">
        <f t="shared" si="846"/>
        <v>0.8</v>
      </c>
      <c r="K3560" s="249">
        <f t="shared" si="847"/>
        <v>1117.0374449999997</v>
      </c>
      <c r="L3560" s="258">
        <v>0.06</v>
      </c>
      <c r="M3560" s="258">
        <f t="shared" si="848"/>
        <v>0.06</v>
      </c>
      <c r="N3560" s="251">
        <f t="shared" si="849"/>
        <v>46.543226874999995</v>
      </c>
      <c r="O3560" s="340">
        <v>2.5000000000000001E-3</v>
      </c>
      <c r="P3560" s="258">
        <f t="shared" si="850"/>
        <v>2.5000000000000001E-3</v>
      </c>
      <c r="Q3560" s="249">
        <v>18275</v>
      </c>
      <c r="R3560" s="249">
        <f t="shared" si="853"/>
        <v>18617.290749999996</v>
      </c>
      <c r="S3560" s="250">
        <v>0.15</v>
      </c>
      <c r="T3560" s="300">
        <f>Q3560+Q3560*S3560+34</f>
        <v>21050.25</v>
      </c>
      <c r="U3560" s="315">
        <f t="shared" si="854"/>
        <v>21409.884362499997</v>
      </c>
      <c r="V3560" s="315">
        <f t="shared" si="855"/>
        <v>21500</v>
      </c>
      <c r="W3560" s="316">
        <f t="shared" si="852"/>
        <v>0</v>
      </c>
    </row>
    <row r="3561" spans="1:23" x14ac:dyDescent="0.25">
      <c r="A3561" s="200" t="s">
        <v>15754</v>
      </c>
      <c r="B3561" s="313" t="s">
        <v>22890</v>
      </c>
      <c r="C3561" s="248"/>
      <c r="D3561" s="247" t="s">
        <v>11</v>
      </c>
      <c r="E3561" s="249">
        <f t="shared" si="843"/>
        <v>2558.3026781249996</v>
      </c>
      <c r="F3561" s="258">
        <v>0.11749999999999999</v>
      </c>
      <c r="G3561" s="258">
        <f t="shared" si="844"/>
        <v>0.11749999999999999</v>
      </c>
      <c r="H3561" s="249">
        <f t="shared" si="845"/>
        <v>17853.686774999998</v>
      </c>
      <c r="I3561" s="258">
        <v>0.82</v>
      </c>
      <c r="J3561" s="258">
        <f t="shared" si="846"/>
        <v>0.82</v>
      </c>
      <c r="K3561" s="249">
        <f t="shared" si="847"/>
        <v>1306.3673249999999</v>
      </c>
      <c r="L3561" s="258">
        <v>0.06</v>
      </c>
      <c r="M3561" s="258">
        <f t="shared" si="848"/>
        <v>0.06</v>
      </c>
      <c r="N3561" s="251">
        <f t="shared" si="849"/>
        <v>54.431971875000002</v>
      </c>
      <c r="O3561" s="340">
        <v>2.5000000000000001E-3</v>
      </c>
      <c r="P3561" s="258">
        <f t="shared" si="850"/>
        <v>2.5000000000000001E-3</v>
      </c>
      <c r="Q3561" s="249">
        <v>21375</v>
      </c>
      <c r="R3561" s="249">
        <f t="shared" si="853"/>
        <v>21772.78875</v>
      </c>
      <c r="S3561" s="250">
        <v>0.15</v>
      </c>
      <c r="T3561" s="300">
        <f>Q3561+Q3561*S3561+19</f>
        <v>24600.25</v>
      </c>
      <c r="U3561" s="315">
        <f t="shared" si="854"/>
        <v>25038.707062499998</v>
      </c>
      <c r="V3561" s="315">
        <f t="shared" si="855"/>
        <v>25250</v>
      </c>
      <c r="W3561" s="316">
        <f t="shared" si="852"/>
        <v>0</v>
      </c>
    </row>
    <row r="3562" spans="1:23" ht="21" x14ac:dyDescent="0.25">
      <c r="A3562" s="200" t="s">
        <v>15755</v>
      </c>
      <c r="B3562" s="255" t="s">
        <v>22891</v>
      </c>
      <c r="C3562" s="248"/>
      <c r="D3562" s="247" t="s">
        <v>11</v>
      </c>
      <c r="E3562" s="249">
        <f t="shared" si="843"/>
        <v>772.32427500000017</v>
      </c>
      <c r="F3562" s="258">
        <v>0.25</v>
      </c>
      <c r="G3562" s="258">
        <f t="shared" si="844"/>
        <v>0.25</v>
      </c>
      <c r="H3562" s="249">
        <f t="shared" si="845"/>
        <v>2008.0431150000006</v>
      </c>
      <c r="I3562" s="258">
        <v>0.65</v>
      </c>
      <c r="J3562" s="258">
        <f t="shared" si="846"/>
        <v>0.65</v>
      </c>
      <c r="K3562" s="249">
        <f t="shared" si="847"/>
        <v>278.03673900000007</v>
      </c>
      <c r="L3562" s="258">
        <v>0.09</v>
      </c>
      <c r="M3562" s="258">
        <f t="shared" si="848"/>
        <v>0.09</v>
      </c>
      <c r="N3562" s="251">
        <f t="shared" si="849"/>
        <v>30.892971000000006</v>
      </c>
      <c r="O3562" s="340">
        <v>0.01</v>
      </c>
      <c r="P3562" s="258">
        <f t="shared" si="850"/>
        <v>0.01</v>
      </c>
      <c r="Q3562" s="249">
        <v>3030</v>
      </c>
      <c r="R3562" s="249">
        <f t="shared" si="853"/>
        <v>3089.2971000000007</v>
      </c>
      <c r="S3562" s="250">
        <v>0.15</v>
      </c>
      <c r="T3562" s="300">
        <f>Q3562+Q3562*S3562+5</f>
        <v>3489.5</v>
      </c>
      <c r="U3562" s="315">
        <f t="shared" si="854"/>
        <v>3552.6916650000007</v>
      </c>
      <c r="V3562" s="315">
        <f t="shared" si="855"/>
        <v>3575</v>
      </c>
      <c r="W3562" s="316">
        <f t="shared" si="852"/>
        <v>0</v>
      </c>
    </row>
    <row r="3563" spans="1:23" ht="21" x14ac:dyDescent="0.25">
      <c r="A3563" s="200" t="s">
        <v>15756</v>
      </c>
      <c r="B3563" s="255" t="s">
        <v>22892</v>
      </c>
      <c r="C3563" s="248"/>
      <c r="D3563" s="247" t="s">
        <v>11</v>
      </c>
      <c r="E3563" s="249">
        <f t="shared" si="843"/>
        <v>556.66611000000012</v>
      </c>
      <c r="F3563" s="258">
        <v>0.28000000000000003</v>
      </c>
      <c r="G3563" s="258">
        <f t="shared" si="844"/>
        <v>0.28000000000000003</v>
      </c>
      <c r="H3563" s="249">
        <f t="shared" si="845"/>
        <v>1312.1415450000004</v>
      </c>
      <c r="I3563" s="258">
        <v>0.66</v>
      </c>
      <c r="J3563" s="258">
        <f t="shared" si="846"/>
        <v>0.66</v>
      </c>
      <c r="K3563" s="249">
        <f t="shared" si="847"/>
        <v>109.34512875000001</v>
      </c>
      <c r="L3563" s="258">
        <v>5.5E-2</v>
      </c>
      <c r="M3563" s="258">
        <f t="shared" si="848"/>
        <v>5.5E-2</v>
      </c>
      <c r="N3563" s="251">
        <f t="shared" si="849"/>
        <v>9.9404662500000018</v>
      </c>
      <c r="O3563" s="340">
        <v>5.0000000000000001E-3</v>
      </c>
      <c r="P3563" s="258">
        <f t="shared" si="850"/>
        <v>5.0000000000000001E-3</v>
      </c>
      <c r="Q3563" s="249">
        <v>1950</v>
      </c>
      <c r="R3563" s="249">
        <f t="shared" si="853"/>
        <v>1988.0932500000004</v>
      </c>
      <c r="S3563" s="250">
        <v>0.15</v>
      </c>
      <c r="T3563" s="300">
        <f>Q3563+Q3563*S3563+7</f>
        <v>2249.5</v>
      </c>
      <c r="U3563" s="315">
        <f t="shared" si="854"/>
        <v>2286.3072375000002</v>
      </c>
      <c r="V3563" s="315">
        <f t="shared" si="855"/>
        <v>2300</v>
      </c>
      <c r="W3563" s="316">
        <f t="shared" si="852"/>
        <v>0</v>
      </c>
    </row>
    <row r="3564" spans="1:23" ht="21" x14ac:dyDescent="0.25">
      <c r="A3564" s="200" t="s">
        <v>15757</v>
      </c>
      <c r="B3564" s="255" t="s">
        <v>22893</v>
      </c>
      <c r="C3564" s="248"/>
      <c r="D3564" s="247" t="s">
        <v>11</v>
      </c>
      <c r="E3564" s="249">
        <f t="shared" si="843"/>
        <v>550.89922000000001</v>
      </c>
      <c r="F3564" s="258">
        <v>0.23</v>
      </c>
      <c r="G3564" s="258">
        <f t="shared" si="844"/>
        <v>0.23</v>
      </c>
      <c r="H3564" s="249">
        <f t="shared" si="845"/>
        <v>1676.6497999999999</v>
      </c>
      <c r="I3564" s="258">
        <v>0.7</v>
      </c>
      <c r="J3564" s="258">
        <f t="shared" si="846"/>
        <v>0.7</v>
      </c>
      <c r="K3564" s="249">
        <f t="shared" si="847"/>
        <v>143.71284</v>
      </c>
      <c r="L3564" s="258">
        <v>0.06</v>
      </c>
      <c r="M3564" s="258">
        <f t="shared" si="848"/>
        <v>0.06</v>
      </c>
      <c r="N3564" s="251">
        <f t="shared" si="849"/>
        <v>23.95214</v>
      </c>
      <c r="O3564" s="340">
        <v>0.01</v>
      </c>
      <c r="P3564" s="258">
        <f t="shared" si="850"/>
        <v>0.01</v>
      </c>
      <c r="Q3564" s="249">
        <v>2350</v>
      </c>
      <c r="R3564" s="249">
        <f t="shared" si="853"/>
        <v>2395.2139999999999</v>
      </c>
      <c r="S3564" s="250">
        <v>0.15</v>
      </c>
      <c r="T3564" s="300">
        <f>Q3564+Q3564*S3564-3</f>
        <v>2699.5</v>
      </c>
      <c r="U3564" s="315">
        <f t="shared" si="854"/>
        <v>2754.4960999999998</v>
      </c>
      <c r="V3564" s="315">
        <f t="shared" si="855"/>
        <v>2775</v>
      </c>
      <c r="W3564" s="316">
        <f t="shared" si="852"/>
        <v>0</v>
      </c>
    </row>
    <row r="3565" spans="1:23" ht="21" x14ac:dyDescent="0.25">
      <c r="A3565" s="200" t="s">
        <v>15758</v>
      </c>
      <c r="B3565" s="255" t="s">
        <v>22894</v>
      </c>
      <c r="C3565" s="248"/>
      <c r="D3565" s="247" t="s">
        <v>11</v>
      </c>
      <c r="E3565" s="249">
        <f t="shared" si="843"/>
        <v>1019.7824280000001</v>
      </c>
      <c r="F3565" s="258">
        <v>0.21</v>
      </c>
      <c r="G3565" s="258">
        <f t="shared" si="844"/>
        <v>0.21</v>
      </c>
      <c r="H3565" s="249">
        <f t="shared" si="845"/>
        <v>3496.3968960000002</v>
      </c>
      <c r="I3565" s="258">
        <v>0.72</v>
      </c>
      <c r="J3565" s="258">
        <f t="shared" si="846"/>
        <v>0.72</v>
      </c>
      <c r="K3565" s="249">
        <f t="shared" si="847"/>
        <v>291.36640800000004</v>
      </c>
      <c r="L3565" s="258">
        <v>0.06</v>
      </c>
      <c r="M3565" s="258">
        <f t="shared" si="848"/>
        <v>0.06</v>
      </c>
      <c r="N3565" s="251">
        <f t="shared" si="849"/>
        <v>48.561068000000006</v>
      </c>
      <c r="O3565" s="340">
        <v>0.01</v>
      </c>
      <c r="P3565" s="258">
        <f t="shared" si="850"/>
        <v>0.01</v>
      </c>
      <c r="Q3565" s="249">
        <v>4765</v>
      </c>
      <c r="R3565" s="249">
        <f t="shared" si="853"/>
        <v>4856.1068000000005</v>
      </c>
      <c r="S3565" s="250">
        <v>0.15</v>
      </c>
      <c r="T3565" s="300">
        <f>Q3565+Q3565*S3565+20</f>
        <v>5499.75</v>
      </c>
      <c r="U3565" s="315">
        <f t="shared" si="854"/>
        <v>5584.5228200000001</v>
      </c>
      <c r="V3565" s="315">
        <f t="shared" si="855"/>
        <v>5600</v>
      </c>
      <c r="W3565" s="316">
        <f t="shared" si="852"/>
        <v>0</v>
      </c>
    </row>
    <row r="3566" spans="1:23" ht="21" x14ac:dyDescent="0.25">
      <c r="A3566" s="200" t="s">
        <v>15759</v>
      </c>
      <c r="B3566" s="255" t="s">
        <v>22895</v>
      </c>
      <c r="C3566" s="248"/>
      <c r="D3566" s="247" t="s">
        <v>11</v>
      </c>
      <c r="E3566" s="249">
        <f t="shared" si="843"/>
        <v>779.10959500000001</v>
      </c>
      <c r="F3566" s="258">
        <v>0.22</v>
      </c>
      <c r="G3566" s="258">
        <f t="shared" si="844"/>
        <v>0.22</v>
      </c>
      <c r="H3566" s="249">
        <f t="shared" si="845"/>
        <v>2549.81322</v>
      </c>
      <c r="I3566" s="258">
        <v>0.72</v>
      </c>
      <c r="J3566" s="258">
        <f t="shared" si="846"/>
        <v>0.72</v>
      </c>
      <c r="K3566" s="249">
        <f t="shared" si="847"/>
        <v>177.07036250000002</v>
      </c>
      <c r="L3566" s="258">
        <v>0.05</v>
      </c>
      <c r="M3566" s="258">
        <f t="shared" si="848"/>
        <v>0.05</v>
      </c>
      <c r="N3566" s="251">
        <f t="shared" si="849"/>
        <v>35.414072500000003</v>
      </c>
      <c r="O3566" s="340">
        <v>0.01</v>
      </c>
      <c r="P3566" s="258">
        <f t="shared" si="850"/>
        <v>0.01</v>
      </c>
      <c r="Q3566" s="249">
        <v>3475</v>
      </c>
      <c r="R3566" s="249">
        <f t="shared" si="853"/>
        <v>3541.4072500000002</v>
      </c>
      <c r="S3566" s="250">
        <v>0.15</v>
      </c>
      <c r="T3566" s="300">
        <f>Q3566+Q3566*S3566+4</f>
        <v>4000.25</v>
      </c>
      <c r="U3566" s="315">
        <f t="shared" si="854"/>
        <v>4072.6183375000001</v>
      </c>
      <c r="V3566" s="315">
        <f t="shared" si="855"/>
        <v>4075</v>
      </c>
      <c r="W3566" s="316">
        <f t="shared" si="852"/>
        <v>0</v>
      </c>
    </row>
    <row r="3567" spans="1:23" ht="21" x14ac:dyDescent="0.25">
      <c r="A3567" s="200" t="s">
        <v>15760</v>
      </c>
      <c r="B3567" s="255" t="s">
        <v>22896</v>
      </c>
      <c r="C3567" s="248"/>
      <c r="D3567" s="247" t="s">
        <v>11</v>
      </c>
      <c r="E3567" s="249">
        <f t="shared" si="843"/>
        <v>1024.1265429999999</v>
      </c>
      <c r="F3567" s="258">
        <v>0.19</v>
      </c>
      <c r="G3567" s="258">
        <f t="shared" si="844"/>
        <v>0.19</v>
      </c>
      <c r="H3567" s="249">
        <f t="shared" si="845"/>
        <v>4042.6047749999998</v>
      </c>
      <c r="I3567" s="258">
        <v>0.75</v>
      </c>
      <c r="J3567" s="258">
        <f t="shared" si="846"/>
        <v>0.75</v>
      </c>
      <c r="K3567" s="249">
        <f t="shared" si="847"/>
        <v>269.50698499999999</v>
      </c>
      <c r="L3567" s="258">
        <v>0.05</v>
      </c>
      <c r="M3567" s="258">
        <f t="shared" si="848"/>
        <v>0.05</v>
      </c>
      <c r="N3567" s="251">
        <f t="shared" si="849"/>
        <v>53.901396999999996</v>
      </c>
      <c r="O3567" s="340">
        <v>0.01</v>
      </c>
      <c r="P3567" s="258">
        <f t="shared" si="850"/>
        <v>0.01</v>
      </c>
      <c r="Q3567" s="249">
        <v>5290</v>
      </c>
      <c r="R3567" s="249">
        <f t="shared" si="853"/>
        <v>5390.1396999999997</v>
      </c>
      <c r="S3567" s="250">
        <v>0.15</v>
      </c>
      <c r="T3567" s="300">
        <f>Q3567+Q3567*S3567+16</f>
        <v>6099.5</v>
      </c>
      <c r="U3567" s="315">
        <f t="shared" si="854"/>
        <v>6198.6606549999997</v>
      </c>
      <c r="V3567" s="315">
        <f t="shared" si="855"/>
        <v>6200</v>
      </c>
      <c r="W3567" s="316">
        <f t="shared" si="852"/>
        <v>0</v>
      </c>
    </row>
    <row r="3568" spans="1:23" ht="21.6" thickBot="1" x14ac:dyDescent="0.3">
      <c r="A3568" s="263" t="s">
        <v>15761</v>
      </c>
      <c r="B3568" s="327" t="s">
        <v>22897</v>
      </c>
      <c r="C3568" s="265"/>
      <c r="D3568" s="264" t="s">
        <v>11</v>
      </c>
      <c r="E3568" s="266">
        <f t="shared" si="843"/>
        <v>1281.9359430000002</v>
      </c>
      <c r="F3568" s="322">
        <v>0.18</v>
      </c>
      <c r="G3568" s="322">
        <f t="shared" si="844"/>
        <v>0.18</v>
      </c>
      <c r="H3568" s="266">
        <f t="shared" si="845"/>
        <v>5483.8370895000007</v>
      </c>
      <c r="I3568" s="322">
        <v>0.77</v>
      </c>
      <c r="J3568" s="322">
        <f t="shared" si="846"/>
        <v>0.77</v>
      </c>
      <c r="K3568" s="266">
        <f t="shared" si="847"/>
        <v>320.48398575000004</v>
      </c>
      <c r="L3568" s="322">
        <v>4.4999999999999998E-2</v>
      </c>
      <c r="M3568" s="322">
        <f t="shared" si="848"/>
        <v>4.4999999999999998E-2</v>
      </c>
      <c r="N3568" s="270">
        <f t="shared" si="849"/>
        <v>35.60933175000001</v>
      </c>
      <c r="O3568" s="393">
        <v>5.0000000000000001E-3</v>
      </c>
      <c r="P3568" s="322">
        <f t="shared" si="850"/>
        <v>5.0000000000000001E-3</v>
      </c>
      <c r="Q3568" s="266">
        <v>6990</v>
      </c>
      <c r="R3568" s="266">
        <f t="shared" si="853"/>
        <v>7121.8663500000011</v>
      </c>
      <c r="S3568" s="267">
        <v>0.15</v>
      </c>
      <c r="T3568" s="301">
        <f>Q3568+Q3568*S3568+11</f>
        <v>8049.5</v>
      </c>
      <c r="U3568" s="324">
        <f t="shared" si="854"/>
        <v>8190.1463025000012</v>
      </c>
      <c r="V3568" s="324">
        <f t="shared" si="855"/>
        <v>8200</v>
      </c>
      <c r="W3568" s="325">
        <f t="shared" si="852"/>
        <v>0</v>
      </c>
    </row>
    <row r="3569" spans="1:23" ht="21" x14ac:dyDescent="0.25">
      <c r="A3569" s="200" t="s">
        <v>15762</v>
      </c>
      <c r="B3569" s="255" t="s">
        <v>22898</v>
      </c>
      <c r="C3569" s="248"/>
      <c r="D3569" s="247" t="s">
        <v>11</v>
      </c>
      <c r="E3569" s="249">
        <f t="shared" si="843"/>
        <v>1921.7681175000007</v>
      </c>
      <c r="F3569" s="258">
        <v>0.14000000000000001</v>
      </c>
      <c r="G3569" s="258">
        <f t="shared" si="844"/>
        <v>0.14000000000000001</v>
      </c>
      <c r="H3569" s="249">
        <f t="shared" si="845"/>
        <v>10981.532100000004</v>
      </c>
      <c r="I3569" s="258">
        <v>0.8</v>
      </c>
      <c r="J3569" s="258">
        <f t="shared" si="846"/>
        <v>0.8</v>
      </c>
      <c r="K3569" s="249">
        <f t="shared" si="847"/>
        <v>754.98033187500016</v>
      </c>
      <c r="L3569" s="258">
        <v>5.5E-2</v>
      </c>
      <c r="M3569" s="258">
        <f t="shared" si="848"/>
        <v>5.5E-2</v>
      </c>
      <c r="N3569" s="251">
        <f t="shared" si="849"/>
        <v>68.634575625000011</v>
      </c>
      <c r="O3569" s="340">
        <v>5.0000000000000001E-3</v>
      </c>
      <c r="P3569" s="258">
        <f t="shared" si="850"/>
        <v>5.0000000000000001E-3</v>
      </c>
      <c r="Q3569" s="249">
        <v>13475</v>
      </c>
      <c r="R3569" s="249">
        <f t="shared" si="853"/>
        <v>13726.915125000003</v>
      </c>
      <c r="S3569" s="250">
        <v>0.15</v>
      </c>
      <c r="T3569" s="300">
        <f>Q3569+Q3569*S3569+4</f>
        <v>15500.25</v>
      </c>
      <c r="U3569" s="315">
        <f t="shared" si="854"/>
        <v>15785.952393750003</v>
      </c>
      <c r="V3569" s="315">
        <f t="shared" si="855"/>
        <v>16000</v>
      </c>
      <c r="W3569" s="316">
        <f t="shared" si="852"/>
        <v>0</v>
      </c>
    </row>
    <row r="3570" spans="1:23" ht="21" x14ac:dyDescent="0.25">
      <c r="A3570" s="200" t="s">
        <v>15763</v>
      </c>
      <c r="B3570" s="255" t="s">
        <v>22899</v>
      </c>
      <c r="C3570" s="248"/>
      <c r="D3570" s="247" t="s">
        <v>11</v>
      </c>
      <c r="E3570" s="249">
        <f t="shared" si="843"/>
        <v>1813.4907000000001</v>
      </c>
      <c r="F3570" s="258">
        <v>0.16</v>
      </c>
      <c r="G3570" s="258">
        <f t="shared" si="844"/>
        <v>0.16</v>
      </c>
      <c r="H3570" s="249">
        <f t="shared" si="845"/>
        <v>8840.7671625000003</v>
      </c>
      <c r="I3570" s="258">
        <v>0.78</v>
      </c>
      <c r="J3570" s="258">
        <f t="shared" si="846"/>
        <v>0.78</v>
      </c>
      <c r="K3570" s="249">
        <f t="shared" si="847"/>
        <v>623.38742812500004</v>
      </c>
      <c r="L3570" s="258">
        <v>5.5E-2</v>
      </c>
      <c r="M3570" s="258">
        <f t="shared" si="848"/>
        <v>5.5E-2</v>
      </c>
      <c r="N3570" s="251">
        <f t="shared" si="849"/>
        <v>56.671584375000002</v>
      </c>
      <c r="O3570" s="340">
        <v>5.0000000000000001E-3</v>
      </c>
      <c r="P3570" s="258">
        <f t="shared" si="850"/>
        <v>5.0000000000000001E-3</v>
      </c>
      <c r="Q3570" s="249">
        <v>11125</v>
      </c>
      <c r="R3570" s="249">
        <f t="shared" si="853"/>
        <v>11334.316875</v>
      </c>
      <c r="S3570" s="250">
        <v>0.15</v>
      </c>
      <c r="T3570" s="300">
        <f>Q3570+Q3570*S3570-4+10</f>
        <v>12799.75</v>
      </c>
      <c r="U3570" s="315">
        <f t="shared" si="854"/>
        <v>13034.464406250001</v>
      </c>
      <c r="V3570" s="315">
        <f t="shared" si="855"/>
        <v>13250</v>
      </c>
      <c r="W3570" s="316">
        <f t="shared" si="852"/>
        <v>0</v>
      </c>
    </row>
    <row r="3571" spans="1:23" ht="21" x14ac:dyDescent="0.25">
      <c r="A3571" s="200" t="s">
        <v>15764</v>
      </c>
      <c r="B3571" s="255" t="s">
        <v>22900</v>
      </c>
      <c r="C3571" s="248"/>
      <c r="D3571" s="247" t="s">
        <v>11</v>
      </c>
      <c r="E3571" s="249">
        <f t="shared" si="843"/>
        <v>2270.9408312500004</v>
      </c>
      <c r="F3571" s="258">
        <v>0.14000000000000001</v>
      </c>
      <c r="G3571" s="258">
        <f t="shared" si="844"/>
        <v>0.14000000000000001</v>
      </c>
      <c r="H3571" s="249">
        <f t="shared" si="845"/>
        <v>13301.224868750001</v>
      </c>
      <c r="I3571" s="258">
        <v>0.82</v>
      </c>
      <c r="J3571" s="258">
        <f t="shared" si="846"/>
        <v>0.82</v>
      </c>
      <c r="K3571" s="249">
        <f t="shared" si="847"/>
        <v>608.28772265625003</v>
      </c>
      <c r="L3571" s="258">
        <v>3.7499999999999999E-2</v>
      </c>
      <c r="M3571" s="258">
        <f t="shared" si="848"/>
        <v>3.7499999999999999E-2</v>
      </c>
      <c r="N3571" s="251">
        <f t="shared" si="849"/>
        <v>40.552514843750004</v>
      </c>
      <c r="O3571" s="340">
        <v>2.5000000000000001E-3</v>
      </c>
      <c r="P3571" s="258">
        <f t="shared" si="850"/>
        <v>2.5000000000000001E-3</v>
      </c>
      <c r="Q3571" s="249">
        <v>15925</v>
      </c>
      <c r="R3571" s="249">
        <f t="shared" si="853"/>
        <v>16221.005937500002</v>
      </c>
      <c r="S3571" s="250">
        <v>0.15</v>
      </c>
      <c r="T3571" s="300">
        <f>Q3571+Q3571*S3571+36</f>
        <v>18349.75</v>
      </c>
      <c r="U3571" s="315">
        <f t="shared" si="854"/>
        <v>18654.156828125</v>
      </c>
      <c r="V3571" s="315">
        <f t="shared" si="855"/>
        <v>18750</v>
      </c>
      <c r="W3571" s="316">
        <f t="shared" si="852"/>
        <v>0</v>
      </c>
    </row>
    <row r="3572" spans="1:23" ht="21" x14ac:dyDescent="0.25">
      <c r="A3572" s="200" t="s">
        <v>15765</v>
      </c>
      <c r="B3572" s="255" t="s">
        <v>22901</v>
      </c>
      <c r="C3572" s="248"/>
      <c r="D3572" s="247" t="s">
        <v>11</v>
      </c>
      <c r="E3572" s="249">
        <f t="shared" si="843"/>
        <v>2000.2076325</v>
      </c>
      <c r="F3572" s="258">
        <v>0.14000000000000001</v>
      </c>
      <c r="G3572" s="258">
        <f t="shared" si="844"/>
        <v>0.14000000000000001</v>
      </c>
      <c r="H3572" s="249">
        <f t="shared" si="845"/>
        <v>11429.757900000001</v>
      </c>
      <c r="I3572" s="258">
        <v>0.8</v>
      </c>
      <c r="J3572" s="258">
        <f t="shared" si="846"/>
        <v>0.8</v>
      </c>
      <c r="K3572" s="249">
        <f t="shared" si="847"/>
        <v>785.79585562499994</v>
      </c>
      <c r="L3572" s="258">
        <v>5.5E-2</v>
      </c>
      <c r="M3572" s="258">
        <f t="shared" si="848"/>
        <v>5.5E-2</v>
      </c>
      <c r="N3572" s="251">
        <f t="shared" si="849"/>
        <v>71.435986874999998</v>
      </c>
      <c r="O3572" s="340">
        <v>5.0000000000000001E-3</v>
      </c>
      <c r="P3572" s="258">
        <f t="shared" si="850"/>
        <v>5.0000000000000001E-3</v>
      </c>
      <c r="Q3572" s="249">
        <v>14025</v>
      </c>
      <c r="R3572" s="249">
        <f t="shared" si="853"/>
        <v>14287.197375</v>
      </c>
      <c r="S3572" s="250">
        <v>0.15</v>
      </c>
      <c r="T3572" s="300">
        <f>Q3572+Q3572*S3572+21</f>
        <v>16149.75</v>
      </c>
      <c r="U3572" s="315">
        <f t="shared" si="854"/>
        <v>16430.276981250001</v>
      </c>
      <c r="V3572" s="315">
        <f t="shared" si="855"/>
        <v>16500</v>
      </c>
      <c r="W3572" s="316">
        <f t="shared" si="852"/>
        <v>0</v>
      </c>
    </row>
    <row r="3573" spans="1:23" ht="21" x14ac:dyDescent="0.25">
      <c r="A3573" s="200" t="s">
        <v>15766</v>
      </c>
      <c r="B3573" s="255" t="s">
        <v>22902</v>
      </c>
      <c r="C3573" s="248"/>
      <c r="D3573" s="247" t="s">
        <v>11</v>
      </c>
      <c r="E3573" s="249">
        <f t="shared" si="843"/>
        <v>3076.6435437500004</v>
      </c>
      <c r="F3573" s="258">
        <v>0.14000000000000001</v>
      </c>
      <c r="G3573" s="258">
        <f t="shared" si="844"/>
        <v>0.14000000000000001</v>
      </c>
      <c r="H3573" s="249">
        <f t="shared" si="845"/>
        <v>18020.34075625</v>
      </c>
      <c r="I3573" s="258">
        <v>0.82</v>
      </c>
      <c r="J3573" s="258">
        <f t="shared" si="846"/>
        <v>0.82</v>
      </c>
      <c r="K3573" s="249">
        <f t="shared" si="847"/>
        <v>824.10094921875009</v>
      </c>
      <c r="L3573" s="258">
        <v>3.7499999999999999E-2</v>
      </c>
      <c r="M3573" s="258">
        <f t="shared" si="848"/>
        <v>3.7499999999999999E-2</v>
      </c>
      <c r="N3573" s="251">
        <f t="shared" si="849"/>
        <v>54.940063281250005</v>
      </c>
      <c r="O3573" s="340">
        <v>2.5000000000000001E-3</v>
      </c>
      <c r="P3573" s="258">
        <f t="shared" si="850"/>
        <v>2.5000000000000001E-3</v>
      </c>
      <c r="Q3573" s="249">
        <v>21575</v>
      </c>
      <c r="R3573" s="249">
        <f t="shared" si="853"/>
        <v>21976.025312500002</v>
      </c>
      <c r="S3573" s="250">
        <v>0.15</v>
      </c>
      <c r="T3573" s="300">
        <f>Q3573+Q3573*S3573+39</f>
        <v>24850.25</v>
      </c>
      <c r="U3573" s="315">
        <f t="shared" si="854"/>
        <v>25272.429109375003</v>
      </c>
      <c r="V3573" s="315">
        <f t="shared" si="855"/>
        <v>25500</v>
      </c>
      <c r="W3573" s="316">
        <f t="shared" si="852"/>
        <v>0</v>
      </c>
    </row>
    <row r="3574" spans="1:23" ht="21.6" x14ac:dyDescent="0.3">
      <c r="A3574" s="208" t="s">
        <v>15767</v>
      </c>
      <c r="B3574" s="255" t="s">
        <v>22903</v>
      </c>
      <c r="C3574" s="394"/>
      <c r="D3574" s="247" t="s">
        <v>11</v>
      </c>
      <c r="E3574" s="249">
        <f t="shared" si="843"/>
        <v>3304.6871300000007</v>
      </c>
      <c r="F3574" s="258">
        <v>0.16</v>
      </c>
      <c r="G3574" s="258">
        <f t="shared" si="844"/>
        <v>0.16</v>
      </c>
      <c r="H3574" s="249">
        <f t="shared" si="845"/>
        <v>16523.435650000003</v>
      </c>
      <c r="I3574" s="258">
        <v>0.8</v>
      </c>
      <c r="J3574" s="258">
        <f t="shared" si="846"/>
        <v>0.8</v>
      </c>
      <c r="K3574" s="249">
        <f t="shared" si="847"/>
        <v>774.53604609375009</v>
      </c>
      <c r="L3574" s="258">
        <v>3.7499999999999999E-2</v>
      </c>
      <c r="M3574" s="258">
        <f t="shared" si="848"/>
        <v>3.7499999999999999E-2</v>
      </c>
      <c r="N3574" s="251">
        <f t="shared" si="849"/>
        <v>51.635736406250011</v>
      </c>
      <c r="O3574" s="340">
        <v>2.5000000000000001E-3</v>
      </c>
      <c r="P3574" s="258">
        <f t="shared" si="850"/>
        <v>2.5000000000000001E-3</v>
      </c>
      <c r="Q3574" s="249">
        <v>20275</v>
      </c>
      <c r="R3574" s="249">
        <f t="shared" si="853"/>
        <v>20654.294562500003</v>
      </c>
      <c r="S3574" s="250">
        <v>0.15</v>
      </c>
      <c r="T3574" s="300">
        <f>Q3574+Q3574*S3574+14</f>
        <v>23330.25</v>
      </c>
      <c r="U3574" s="315">
        <f t="shared" si="854"/>
        <v>23752.438746875003</v>
      </c>
      <c r="V3574" s="315">
        <f t="shared" si="855"/>
        <v>24000</v>
      </c>
      <c r="W3574" s="316">
        <f t="shared" si="852"/>
        <v>0</v>
      </c>
    </row>
    <row r="3575" spans="1:23" x14ac:dyDescent="0.25">
      <c r="A3575" s="199" t="s">
        <v>14936</v>
      </c>
      <c r="B3575" s="307" t="s">
        <v>15768</v>
      </c>
      <c r="C3575" s="308"/>
      <c r="D3575" s="309"/>
      <c r="E3575" s="310"/>
      <c r="F3575" s="311"/>
      <c r="G3575" s="311"/>
      <c r="H3575" s="310"/>
      <c r="I3575" s="311"/>
      <c r="J3575" s="311"/>
      <c r="K3575" s="310"/>
      <c r="L3575" s="311"/>
      <c r="M3575" s="311"/>
      <c r="N3575" s="310"/>
      <c r="O3575" s="311"/>
      <c r="P3575" s="311"/>
      <c r="Q3575" s="310"/>
      <c r="R3575" s="310"/>
      <c r="S3575" s="309"/>
      <c r="T3575" s="309"/>
      <c r="U3575" s="309"/>
      <c r="V3575" s="309"/>
      <c r="W3575" s="312"/>
    </row>
    <row r="3576" spans="1:23" x14ac:dyDescent="0.25">
      <c r="A3576" s="208" t="s">
        <v>15769</v>
      </c>
      <c r="B3576" s="313" t="s">
        <v>22904</v>
      </c>
      <c r="C3576" s="248"/>
      <c r="D3576" s="247" t="s">
        <v>11</v>
      </c>
      <c r="E3576" s="249">
        <f t="shared" si="843"/>
        <v>344.2150408</v>
      </c>
      <c r="F3576" s="258">
        <v>0.2</v>
      </c>
      <c r="G3576" s="258">
        <f t="shared" si="844"/>
        <v>0.2</v>
      </c>
      <c r="H3576" s="249">
        <f t="shared" si="845"/>
        <v>1239.1741468799999</v>
      </c>
      <c r="I3576" s="258">
        <v>0.72</v>
      </c>
      <c r="J3576" s="258">
        <f t="shared" si="846"/>
        <v>0.72</v>
      </c>
      <c r="K3576" s="249">
        <f t="shared" si="847"/>
        <v>86.053760199999999</v>
      </c>
      <c r="L3576" s="258">
        <v>0.05</v>
      </c>
      <c r="M3576" s="258">
        <f t="shared" si="848"/>
        <v>0.05</v>
      </c>
      <c r="N3576" s="251">
        <f t="shared" si="849"/>
        <v>51.632256120000001</v>
      </c>
      <c r="O3576" s="340">
        <v>0.03</v>
      </c>
      <c r="P3576" s="258">
        <f t="shared" si="850"/>
        <v>0.03</v>
      </c>
      <c r="Q3576" s="249">
        <v>1689.2</v>
      </c>
      <c r="R3576" s="249">
        <f t="shared" si="853"/>
        <v>1721.075204</v>
      </c>
      <c r="S3576" s="250">
        <v>0.15</v>
      </c>
      <c r="T3576" s="300">
        <f>Q3576+Q3576*S3576-3+10</f>
        <v>1949.58</v>
      </c>
      <c r="U3576" s="315">
        <f t="shared" si="854"/>
        <v>1979.2364846</v>
      </c>
      <c r="V3576" s="315">
        <f t="shared" si="855"/>
        <v>2000</v>
      </c>
      <c r="W3576" s="316">
        <f t="shared" si="852"/>
        <v>0</v>
      </c>
    </row>
    <row r="3577" spans="1:23" x14ac:dyDescent="0.25">
      <c r="A3577" s="208" t="s">
        <v>15770</v>
      </c>
      <c r="B3577" s="313" t="s">
        <v>22905</v>
      </c>
      <c r="C3577" s="248"/>
      <c r="D3577" s="247" t="s">
        <v>11</v>
      </c>
      <c r="E3577" s="249">
        <f t="shared" si="843"/>
        <v>362.71772000000004</v>
      </c>
      <c r="F3577" s="258">
        <v>0.2</v>
      </c>
      <c r="G3577" s="258">
        <f t="shared" si="844"/>
        <v>0.2</v>
      </c>
      <c r="H3577" s="249">
        <f t="shared" si="845"/>
        <v>1305.7837919999999</v>
      </c>
      <c r="I3577" s="258">
        <v>0.72</v>
      </c>
      <c r="J3577" s="258">
        <f t="shared" si="846"/>
        <v>0.72</v>
      </c>
      <c r="K3577" s="249">
        <f t="shared" si="847"/>
        <v>90.679430000000011</v>
      </c>
      <c r="L3577" s="258">
        <v>0.05</v>
      </c>
      <c r="M3577" s="258">
        <f t="shared" si="848"/>
        <v>0.05</v>
      </c>
      <c r="N3577" s="251">
        <f t="shared" si="849"/>
        <v>54.407657999999998</v>
      </c>
      <c r="O3577" s="340">
        <v>0.03</v>
      </c>
      <c r="P3577" s="258">
        <f t="shared" si="850"/>
        <v>0.03</v>
      </c>
      <c r="Q3577" s="249">
        <v>1780</v>
      </c>
      <c r="R3577" s="249">
        <f t="shared" si="853"/>
        <v>1813.5886</v>
      </c>
      <c r="S3577" s="250">
        <v>0.15</v>
      </c>
      <c r="T3577" s="300">
        <f>Q3577+Q3577*S3577+3</f>
        <v>2050</v>
      </c>
      <c r="U3577" s="315">
        <f t="shared" si="854"/>
        <v>2085.62689</v>
      </c>
      <c r="V3577" s="315">
        <f t="shared" si="855"/>
        <v>2100</v>
      </c>
      <c r="W3577" s="316">
        <f t="shared" si="852"/>
        <v>0</v>
      </c>
    </row>
    <row r="3578" spans="1:23" x14ac:dyDescent="0.25">
      <c r="A3578" s="208" t="s">
        <v>15771</v>
      </c>
      <c r="B3578" s="313" t="s">
        <v>22906</v>
      </c>
      <c r="C3578" s="248"/>
      <c r="D3578" s="247" t="s">
        <v>11</v>
      </c>
      <c r="E3578" s="249">
        <f t="shared" si="843"/>
        <v>342.60726394</v>
      </c>
      <c r="F3578" s="258">
        <v>0.19</v>
      </c>
      <c r="G3578" s="258">
        <f t="shared" si="844"/>
        <v>0.19</v>
      </c>
      <c r="H3578" s="249">
        <f t="shared" si="845"/>
        <v>1334.36513324</v>
      </c>
      <c r="I3578" s="258">
        <v>0.74</v>
      </c>
      <c r="J3578" s="258">
        <f t="shared" si="846"/>
        <v>0.74</v>
      </c>
      <c r="K3578" s="249">
        <f t="shared" si="847"/>
        <v>90.159806300000014</v>
      </c>
      <c r="L3578" s="258">
        <v>0.05</v>
      </c>
      <c r="M3578" s="258">
        <f t="shared" si="848"/>
        <v>0.05</v>
      </c>
      <c r="N3578" s="251">
        <f t="shared" si="849"/>
        <v>36.063922519999998</v>
      </c>
      <c r="O3578" s="340">
        <v>0.02</v>
      </c>
      <c r="P3578" s="258">
        <f t="shared" si="850"/>
        <v>0.02</v>
      </c>
      <c r="Q3578" s="249">
        <v>1769.8</v>
      </c>
      <c r="R3578" s="249">
        <f t="shared" si="853"/>
        <v>1803.196126</v>
      </c>
      <c r="S3578" s="250">
        <v>0.15</v>
      </c>
      <c r="T3578" s="300">
        <f>Q3578+Q3578*S3578+15</f>
        <v>2050.27</v>
      </c>
      <c r="U3578" s="315">
        <f t="shared" si="854"/>
        <v>2073.6755449000002</v>
      </c>
      <c r="V3578" s="315">
        <f t="shared" si="855"/>
        <v>2075</v>
      </c>
      <c r="W3578" s="316">
        <f t="shared" si="852"/>
        <v>0</v>
      </c>
    </row>
    <row r="3579" spans="1:23" x14ac:dyDescent="0.25">
      <c r="A3579" s="208" t="s">
        <v>15772</v>
      </c>
      <c r="B3579" s="313" t="s">
        <v>22907</v>
      </c>
      <c r="C3579" s="248"/>
      <c r="D3579" s="247" t="s">
        <v>11</v>
      </c>
      <c r="E3579" s="249">
        <f t="shared" si="843"/>
        <v>355.24546874999999</v>
      </c>
      <c r="F3579" s="258">
        <v>0.15</v>
      </c>
      <c r="G3579" s="258">
        <f t="shared" si="844"/>
        <v>0.15</v>
      </c>
      <c r="H3579" s="249">
        <f t="shared" si="845"/>
        <v>1870.95946875</v>
      </c>
      <c r="I3579" s="258">
        <v>0.79</v>
      </c>
      <c r="J3579" s="258">
        <f t="shared" si="846"/>
        <v>0.79</v>
      </c>
      <c r="K3579" s="249">
        <f t="shared" si="847"/>
        <v>106.573640625</v>
      </c>
      <c r="L3579" s="258">
        <v>4.4999999999999998E-2</v>
      </c>
      <c r="M3579" s="258">
        <f t="shared" si="848"/>
        <v>4.4999999999999998E-2</v>
      </c>
      <c r="N3579" s="251">
        <f t="shared" si="849"/>
        <v>35.524546874999999</v>
      </c>
      <c r="O3579" s="340">
        <v>1.4999999999999999E-2</v>
      </c>
      <c r="P3579" s="258">
        <f t="shared" si="850"/>
        <v>1.4999999999999999E-2</v>
      </c>
      <c r="Q3579" s="249">
        <v>2325</v>
      </c>
      <c r="R3579" s="249">
        <f t="shared" si="853"/>
        <v>2368.3031249999999</v>
      </c>
      <c r="S3579" s="250">
        <v>0.15</v>
      </c>
      <c r="T3579" s="300">
        <f>Q3579+Q3579*S3579+26</f>
        <v>2699.75</v>
      </c>
      <c r="U3579" s="315">
        <f t="shared" si="854"/>
        <v>2723.5485937499998</v>
      </c>
      <c r="V3579" s="315">
        <f t="shared" si="855"/>
        <v>2725</v>
      </c>
      <c r="W3579" s="316">
        <f t="shared" si="852"/>
        <v>0</v>
      </c>
    </row>
    <row r="3580" spans="1:23" x14ac:dyDescent="0.25">
      <c r="A3580" s="208" t="s">
        <v>15773</v>
      </c>
      <c r="B3580" s="313" t="s">
        <v>22908</v>
      </c>
      <c r="C3580" s="248"/>
      <c r="D3580" s="247" t="s">
        <v>11</v>
      </c>
      <c r="E3580" s="249">
        <f t="shared" si="843"/>
        <v>351.92080439999995</v>
      </c>
      <c r="F3580" s="258">
        <v>0.18</v>
      </c>
      <c r="G3580" s="258">
        <f t="shared" si="844"/>
        <v>0.18</v>
      </c>
      <c r="H3580" s="249">
        <f t="shared" si="845"/>
        <v>1427.2343733999999</v>
      </c>
      <c r="I3580" s="258">
        <v>0.73</v>
      </c>
      <c r="J3580" s="258">
        <f t="shared" si="846"/>
        <v>0.73</v>
      </c>
      <c r="K3580" s="249">
        <f t="shared" si="847"/>
        <v>117.30693479999999</v>
      </c>
      <c r="L3580" s="258">
        <v>0.06</v>
      </c>
      <c r="M3580" s="258">
        <f t="shared" si="848"/>
        <v>0.06</v>
      </c>
      <c r="N3580" s="251">
        <f t="shared" si="849"/>
        <v>58.653467399999997</v>
      </c>
      <c r="O3580" s="340">
        <v>0.03</v>
      </c>
      <c r="P3580" s="258">
        <f t="shared" si="850"/>
        <v>0.03</v>
      </c>
      <c r="Q3580" s="249">
        <v>1919</v>
      </c>
      <c r="R3580" s="249">
        <f t="shared" si="853"/>
        <v>1955.1155799999999</v>
      </c>
      <c r="S3580" s="250">
        <v>0.15</v>
      </c>
      <c r="T3580" s="300">
        <f>Q3580+Q3580*S3580-7</f>
        <v>2199.85</v>
      </c>
      <c r="U3580" s="315">
        <f t="shared" si="854"/>
        <v>2248.3829169999999</v>
      </c>
      <c r="V3580" s="315">
        <f t="shared" si="855"/>
        <v>2250</v>
      </c>
      <c r="W3580" s="316">
        <f t="shared" si="852"/>
        <v>0</v>
      </c>
    </row>
    <row r="3581" spans="1:23" x14ac:dyDescent="0.25">
      <c r="A3581" s="208" t="s">
        <v>15774</v>
      </c>
      <c r="B3581" s="313" t="s">
        <v>22909</v>
      </c>
      <c r="C3581" s="248"/>
      <c r="D3581" s="247" t="s">
        <v>11</v>
      </c>
      <c r="E3581" s="249">
        <f t="shared" si="843"/>
        <v>371.18727940000008</v>
      </c>
      <c r="F3581" s="258">
        <v>0.14000000000000001</v>
      </c>
      <c r="G3581" s="258">
        <f t="shared" si="844"/>
        <v>0.14000000000000001</v>
      </c>
      <c r="H3581" s="249">
        <f t="shared" si="845"/>
        <v>2094.5567909000001</v>
      </c>
      <c r="I3581" s="258">
        <v>0.79</v>
      </c>
      <c r="J3581" s="258">
        <f t="shared" si="846"/>
        <v>0.79</v>
      </c>
      <c r="K3581" s="249">
        <f t="shared" si="847"/>
        <v>132.56688550000001</v>
      </c>
      <c r="L3581" s="258">
        <v>0.05</v>
      </c>
      <c r="M3581" s="258">
        <f t="shared" si="848"/>
        <v>0.05</v>
      </c>
      <c r="N3581" s="251">
        <f t="shared" si="849"/>
        <v>53.026754200000006</v>
      </c>
      <c r="O3581" s="340">
        <v>0.02</v>
      </c>
      <c r="P3581" s="258">
        <f t="shared" si="850"/>
        <v>0.02</v>
      </c>
      <c r="Q3581" s="249">
        <v>2603</v>
      </c>
      <c r="R3581" s="249">
        <f t="shared" si="853"/>
        <v>2651.3377100000002</v>
      </c>
      <c r="S3581" s="250">
        <v>0.15</v>
      </c>
      <c r="T3581" s="300">
        <f>Q3581+Q3581*S3581+7</f>
        <v>3000.45</v>
      </c>
      <c r="U3581" s="315">
        <f t="shared" si="854"/>
        <v>3049.0383665000004</v>
      </c>
      <c r="V3581" s="315">
        <f t="shared" si="855"/>
        <v>3050</v>
      </c>
      <c r="W3581" s="316">
        <f t="shared" si="852"/>
        <v>0</v>
      </c>
    </row>
    <row r="3582" spans="1:23" x14ac:dyDescent="0.25">
      <c r="A3582" s="208" t="s">
        <v>15775</v>
      </c>
      <c r="B3582" s="313" t="s">
        <v>22910</v>
      </c>
      <c r="C3582" s="248"/>
      <c r="D3582" s="247" t="s">
        <v>11</v>
      </c>
      <c r="E3582" s="249">
        <f t="shared" si="843"/>
        <v>460.42088399999994</v>
      </c>
      <c r="F3582" s="258">
        <v>0.21</v>
      </c>
      <c r="G3582" s="258">
        <f t="shared" si="844"/>
        <v>0.21</v>
      </c>
      <c r="H3582" s="249">
        <f t="shared" si="845"/>
        <v>1534.7362799999999</v>
      </c>
      <c r="I3582" s="258">
        <v>0.7</v>
      </c>
      <c r="J3582" s="258">
        <f t="shared" si="846"/>
        <v>0.7</v>
      </c>
      <c r="K3582" s="249">
        <f t="shared" si="847"/>
        <v>131.548824</v>
      </c>
      <c r="L3582" s="258">
        <v>0.06</v>
      </c>
      <c r="M3582" s="258">
        <f t="shared" si="848"/>
        <v>0.06</v>
      </c>
      <c r="N3582" s="251">
        <f t="shared" si="849"/>
        <v>65.774411999999998</v>
      </c>
      <c r="O3582" s="340">
        <v>0.03</v>
      </c>
      <c r="P3582" s="258">
        <f t="shared" si="850"/>
        <v>0.03</v>
      </c>
      <c r="Q3582" s="249">
        <v>2151.6</v>
      </c>
      <c r="R3582" s="249">
        <f t="shared" si="853"/>
        <v>2192.4803999999999</v>
      </c>
      <c r="S3582" s="250">
        <v>0.15</v>
      </c>
      <c r="T3582" s="300">
        <f>Q3582+Q3582*S3582+26</f>
        <v>2500.3399999999997</v>
      </c>
      <c r="U3582" s="315">
        <f t="shared" si="854"/>
        <v>2521.3524600000001</v>
      </c>
      <c r="V3582" s="315">
        <f t="shared" si="855"/>
        <v>2525</v>
      </c>
      <c r="W3582" s="316">
        <f t="shared" si="852"/>
        <v>0</v>
      </c>
    </row>
    <row r="3583" spans="1:23" x14ac:dyDescent="0.25">
      <c r="A3583" s="208" t="s">
        <v>15776</v>
      </c>
      <c r="B3583" s="313" t="s">
        <v>22911</v>
      </c>
      <c r="C3583" s="248"/>
      <c r="D3583" s="247" t="s">
        <v>11</v>
      </c>
      <c r="E3583" s="249">
        <f t="shared" si="843"/>
        <v>474.40450560000005</v>
      </c>
      <c r="F3583" s="258">
        <v>0.16</v>
      </c>
      <c r="G3583" s="258">
        <f t="shared" si="844"/>
        <v>0.16</v>
      </c>
      <c r="H3583" s="249">
        <f t="shared" si="845"/>
        <v>2283.0716832000003</v>
      </c>
      <c r="I3583" s="258">
        <v>0.77</v>
      </c>
      <c r="J3583" s="258">
        <f t="shared" si="846"/>
        <v>0.77</v>
      </c>
      <c r="K3583" s="249">
        <f t="shared" si="847"/>
        <v>118.60112640000001</v>
      </c>
      <c r="L3583" s="258">
        <v>0.04</v>
      </c>
      <c r="M3583" s="258">
        <f t="shared" si="848"/>
        <v>0.04</v>
      </c>
      <c r="N3583" s="251">
        <f t="shared" si="849"/>
        <v>88.950844799999999</v>
      </c>
      <c r="O3583" s="340">
        <v>0.03</v>
      </c>
      <c r="P3583" s="258">
        <f t="shared" si="850"/>
        <v>0.03</v>
      </c>
      <c r="Q3583" s="249">
        <v>2911</v>
      </c>
      <c r="R3583" s="249">
        <f t="shared" si="853"/>
        <v>2965.0281600000003</v>
      </c>
      <c r="S3583" s="250">
        <v>0.15</v>
      </c>
      <c r="T3583" s="300">
        <f>Q3583+Q3583*S3583+2</f>
        <v>3349.65</v>
      </c>
      <c r="U3583" s="315">
        <f t="shared" si="854"/>
        <v>3409.7823840000001</v>
      </c>
      <c r="V3583" s="315">
        <f t="shared" si="855"/>
        <v>3425</v>
      </c>
      <c r="W3583" s="316">
        <f t="shared" si="852"/>
        <v>0</v>
      </c>
    </row>
    <row r="3584" spans="1:23" x14ac:dyDescent="0.25">
      <c r="A3584" s="208" t="s">
        <v>15777</v>
      </c>
      <c r="B3584" s="313" t="s">
        <v>22912</v>
      </c>
      <c r="C3584" s="248"/>
      <c r="D3584" s="247" t="s">
        <v>11</v>
      </c>
      <c r="E3584" s="249">
        <f t="shared" si="843"/>
        <v>471.46276799999993</v>
      </c>
      <c r="F3584" s="258">
        <v>0.21</v>
      </c>
      <c r="G3584" s="258">
        <f t="shared" si="844"/>
        <v>0.21</v>
      </c>
      <c r="H3584" s="249">
        <f t="shared" si="845"/>
        <v>1571.5425599999996</v>
      </c>
      <c r="I3584" s="258">
        <v>0.7</v>
      </c>
      <c r="J3584" s="258">
        <f t="shared" si="846"/>
        <v>0.7</v>
      </c>
      <c r="K3584" s="249">
        <f t="shared" si="847"/>
        <v>134.70364799999999</v>
      </c>
      <c r="L3584" s="258">
        <v>0.06</v>
      </c>
      <c r="M3584" s="258">
        <f t="shared" si="848"/>
        <v>0.06</v>
      </c>
      <c r="N3584" s="251">
        <f t="shared" si="849"/>
        <v>67.351823999999993</v>
      </c>
      <c r="O3584" s="340">
        <v>0.03</v>
      </c>
      <c r="P3584" s="258">
        <f t="shared" si="850"/>
        <v>0.03</v>
      </c>
      <c r="Q3584" s="249">
        <v>2203.1999999999998</v>
      </c>
      <c r="R3584" s="249">
        <f t="shared" si="853"/>
        <v>2245.0607999999997</v>
      </c>
      <c r="S3584" s="250">
        <v>0.15</v>
      </c>
      <c r="T3584" s="300">
        <f>Q3584+Q3584*S3584+16</f>
        <v>2549.6799999999998</v>
      </c>
      <c r="U3584" s="315">
        <f t="shared" si="854"/>
        <v>2581.8199199999999</v>
      </c>
      <c r="V3584" s="315">
        <f t="shared" si="855"/>
        <v>2600</v>
      </c>
      <c r="W3584" s="316">
        <f t="shared" si="852"/>
        <v>0</v>
      </c>
    </row>
    <row r="3585" spans="1:23" x14ac:dyDescent="0.25">
      <c r="A3585" s="208" t="s">
        <v>15778</v>
      </c>
      <c r="B3585" s="313" t="s">
        <v>22913</v>
      </c>
      <c r="C3585" s="248"/>
      <c r="D3585" s="247" t="s">
        <v>11</v>
      </c>
      <c r="E3585" s="249">
        <f t="shared" si="843"/>
        <v>457.16114399999998</v>
      </c>
      <c r="F3585" s="258">
        <v>0.15</v>
      </c>
      <c r="G3585" s="258">
        <f t="shared" si="844"/>
        <v>0.15</v>
      </c>
      <c r="H3585" s="249">
        <f t="shared" si="845"/>
        <v>2377.2379488000001</v>
      </c>
      <c r="I3585" s="258">
        <v>0.78</v>
      </c>
      <c r="J3585" s="258">
        <f t="shared" si="846"/>
        <v>0.78</v>
      </c>
      <c r="K3585" s="249">
        <f t="shared" si="847"/>
        <v>152.38704800000002</v>
      </c>
      <c r="L3585" s="258">
        <v>0.05</v>
      </c>
      <c r="M3585" s="258">
        <f t="shared" si="848"/>
        <v>0.05</v>
      </c>
      <c r="N3585" s="251">
        <f t="shared" si="849"/>
        <v>60.954819200000003</v>
      </c>
      <c r="O3585" s="340">
        <v>0.02</v>
      </c>
      <c r="P3585" s="258">
        <f t="shared" si="850"/>
        <v>0.02</v>
      </c>
      <c r="Q3585" s="249">
        <v>2992</v>
      </c>
      <c r="R3585" s="249">
        <f t="shared" si="853"/>
        <v>3047.7409600000001</v>
      </c>
      <c r="S3585" s="250">
        <v>0.15</v>
      </c>
      <c r="T3585" s="300">
        <f>Q3585+Q3585*S3585+9</f>
        <v>3449.8</v>
      </c>
      <c r="U3585" s="315">
        <f t="shared" si="854"/>
        <v>3504.9021040000002</v>
      </c>
      <c r="V3585" s="315">
        <f t="shared" si="855"/>
        <v>3525</v>
      </c>
      <c r="W3585" s="316">
        <f t="shared" si="852"/>
        <v>0</v>
      </c>
    </row>
    <row r="3586" spans="1:23" x14ac:dyDescent="0.25">
      <c r="A3586" s="208" t="s">
        <v>15779</v>
      </c>
      <c r="B3586" s="313" t="s">
        <v>22914</v>
      </c>
      <c r="C3586" s="248"/>
      <c r="D3586" s="247" t="s">
        <v>11</v>
      </c>
      <c r="E3586" s="249">
        <f t="shared" ref="E3586:E3649" si="856">R3586*G3586</f>
        <v>565.26035328</v>
      </c>
      <c r="F3586" s="258">
        <v>0.24</v>
      </c>
      <c r="G3586" s="258">
        <f t="shared" ref="G3586:G3649" si="857">F3586</f>
        <v>0.24</v>
      </c>
      <c r="H3586" s="249">
        <f t="shared" ref="H3586:H3649" si="858">R3586*J3586</f>
        <v>1530.9134567999999</v>
      </c>
      <c r="I3586" s="258">
        <v>0.65</v>
      </c>
      <c r="J3586" s="258">
        <f t="shared" ref="J3586:J3649" si="859">I3586</f>
        <v>0.65</v>
      </c>
      <c r="K3586" s="249">
        <f t="shared" ref="K3586:K3649" si="860">R3586*M3586</f>
        <v>141.31508832</v>
      </c>
      <c r="L3586" s="258">
        <v>0.06</v>
      </c>
      <c r="M3586" s="258">
        <f t="shared" ref="M3586:M3649" si="861">L3586</f>
        <v>0.06</v>
      </c>
      <c r="N3586" s="251">
        <f t="shared" ref="N3586:N3649" si="862">P3586*R3586</f>
        <v>117.7625736</v>
      </c>
      <c r="O3586" s="340">
        <v>0.05</v>
      </c>
      <c r="P3586" s="258">
        <f t="shared" ref="P3586:P3649" si="863">O3586</f>
        <v>0.05</v>
      </c>
      <c r="Q3586" s="249">
        <v>2311.1999999999998</v>
      </c>
      <c r="R3586" s="249">
        <f t="shared" si="853"/>
        <v>2355.2514719999999</v>
      </c>
      <c r="S3586" s="250">
        <v>0.15</v>
      </c>
      <c r="T3586" s="300">
        <f>Q3586+Q3586*S3586-8</f>
        <v>2649.8799999999997</v>
      </c>
      <c r="U3586" s="315">
        <f t="shared" si="854"/>
        <v>2708.5391927999999</v>
      </c>
      <c r="V3586" s="315">
        <f t="shared" si="855"/>
        <v>2725</v>
      </c>
      <c r="W3586" s="316">
        <f t="shared" si="852"/>
        <v>0</v>
      </c>
    </row>
    <row r="3587" spans="1:23" x14ac:dyDescent="0.25">
      <c r="A3587" s="208" t="s">
        <v>15780</v>
      </c>
      <c r="B3587" s="313" t="s">
        <v>22915</v>
      </c>
      <c r="C3587" s="248"/>
      <c r="D3587" s="247" t="s">
        <v>11</v>
      </c>
      <c r="E3587" s="249">
        <f t="shared" si="856"/>
        <v>542.01302299999998</v>
      </c>
      <c r="F3587" s="258">
        <v>0.17</v>
      </c>
      <c r="G3587" s="258">
        <f t="shared" si="857"/>
        <v>0.17</v>
      </c>
      <c r="H3587" s="249">
        <f t="shared" si="858"/>
        <v>2359.3508059999999</v>
      </c>
      <c r="I3587" s="258">
        <v>0.74</v>
      </c>
      <c r="J3587" s="258">
        <f t="shared" si="859"/>
        <v>0.74</v>
      </c>
      <c r="K3587" s="249">
        <f t="shared" si="860"/>
        <v>159.415595</v>
      </c>
      <c r="L3587" s="258">
        <v>0.05</v>
      </c>
      <c r="M3587" s="258">
        <f t="shared" si="861"/>
        <v>0.05</v>
      </c>
      <c r="N3587" s="251">
        <f t="shared" si="862"/>
        <v>127.53247599999999</v>
      </c>
      <c r="O3587" s="340">
        <v>0.04</v>
      </c>
      <c r="P3587" s="258">
        <f t="shared" si="863"/>
        <v>0.04</v>
      </c>
      <c r="Q3587" s="249">
        <v>3130</v>
      </c>
      <c r="R3587" s="249">
        <f t="shared" si="853"/>
        <v>3188.3118999999997</v>
      </c>
      <c r="S3587" s="250">
        <v>0.15</v>
      </c>
      <c r="T3587" s="300">
        <f>Q3587+Q3587*S3587</f>
        <v>3599.5</v>
      </c>
      <c r="U3587" s="315">
        <f t="shared" si="854"/>
        <v>3666.5586849999995</v>
      </c>
      <c r="V3587" s="315">
        <f t="shared" si="855"/>
        <v>3675</v>
      </c>
      <c r="W3587" s="316">
        <f t="shared" si="852"/>
        <v>0</v>
      </c>
    </row>
    <row r="3588" spans="1:23" x14ac:dyDescent="0.25">
      <c r="A3588" s="208" t="s">
        <v>15781</v>
      </c>
      <c r="B3588" s="313" t="s">
        <v>22916</v>
      </c>
      <c r="C3588" s="248"/>
      <c r="D3588" s="247" t="s">
        <v>11</v>
      </c>
      <c r="E3588" s="249">
        <f t="shared" si="856"/>
        <v>406.51170240000005</v>
      </c>
      <c r="F3588" s="258">
        <v>0.15</v>
      </c>
      <c r="G3588" s="258">
        <f t="shared" si="857"/>
        <v>0.15</v>
      </c>
      <c r="H3588" s="249">
        <f t="shared" si="858"/>
        <v>2005.4577318400002</v>
      </c>
      <c r="I3588" s="258">
        <v>0.74</v>
      </c>
      <c r="J3588" s="258">
        <f t="shared" si="859"/>
        <v>0.74</v>
      </c>
      <c r="K3588" s="249">
        <f t="shared" si="860"/>
        <v>162.60468096000002</v>
      </c>
      <c r="L3588" s="258">
        <v>0.06</v>
      </c>
      <c r="M3588" s="258">
        <f t="shared" si="861"/>
        <v>0.06</v>
      </c>
      <c r="N3588" s="251">
        <f t="shared" si="862"/>
        <v>135.50390080000003</v>
      </c>
      <c r="O3588" s="340">
        <v>0.05</v>
      </c>
      <c r="P3588" s="258">
        <f t="shared" si="863"/>
        <v>0.05</v>
      </c>
      <c r="Q3588" s="249">
        <v>2660.8</v>
      </c>
      <c r="R3588" s="249">
        <f t="shared" si="853"/>
        <v>2710.0780160000004</v>
      </c>
      <c r="S3588" s="250">
        <v>0.15</v>
      </c>
      <c r="T3588" s="300">
        <f>Q3588+Q3588*S3589-10</f>
        <v>3049.92</v>
      </c>
      <c r="U3588" s="315">
        <f t="shared" si="854"/>
        <v>3116.5897184000005</v>
      </c>
      <c r="V3588" s="315">
        <f t="shared" si="855"/>
        <v>3125</v>
      </c>
      <c r="W3588" s="316">
        <f t="shared" si="852"/>
        <v>0</v>
      </c>
    </row>
    <row r="3589" spans="1:23" x14ac:dyDescent="0.25">
      <c r="A3589" s="208" t="s">
        <v>15782</v>
      </c>
      <c r="B3589" s="313" t="s">
        <v>22917</v>
      </c>
      <c r="C3589" s="248"/>
      <c r="D3589" s="247" t="s">
        <v>11</v>
      </c>
      <c r="E3589" s="249">
        <f t="shared" si="856"/>
        <v>664.44216270000015</v>
      </c>
      <c r="F3589" s="258">
        <v>0.17</v>
      </c>
      <c r="G3589" s="258">
        <f t="shared" si="857"/>
        <v>0.17</v>
      </c>
      <c r="H3589" s="249">
        <f t="shared" si="858"/>
        <v>2892.2776494000004</v>
      </c>
      <c r="I3589" s="258">
        <v>0.74</v>
      </c>
      <c r="J3589" s="258">
        <f t="shared" si="859"/>
        <v>0.74</v>
      </c>
      <c r="K3589" s="249">
        <f t="shared" si="860"/>
        <v>195.42416550000004</v>
      </c>
      <c r="L3589" s="258">
        <v>0.05</v>
      </c>
      <c r="M3589" s="258">
        <f t="shared" si="861"/>
        <v>0.05</v>
      </c>
      <c r="N3589" s="251">
        <f t="shared" si="862"/>
        <v>156.33933240000002</v>
      </c>
      <c r="O3589" s="340">
        <v>0.04</v>
      </c>
      <c r="P3589" s="258">
        <f t="shared" si="863"/>
        <v>0.04</v>
      </c>
      <c r="Q3589" s="249">
        <v>3837</v>
      </c>
      <c r="R3589" s="249">
        <f t="shared" si="853"/>
        <v>3908.4833100000005</v>
      </c>
      <c r="S3589" s="250">
        <v>0.15</v>
      </c>
      <c r="T3589" s="300">
        <f>Q3589+Q3589*S3591+13</f>
        <v>4425.55</v>
      </c>
      <c r="U3589" s="315">
        <f t="shared" si="854"/>
        <v>4494.7558065000003</v>
      </c>
      <c r="V3589" s="315">
        <f t="shared" si="855"/>
        <v>4500</v>
      </c>
      <c r="W3589" s="316">
        <f t="shared" si="852"/>
        <v>0</v>
      </c>
    </row>
    <row r="3590" spans="1:23" x14ac:dyDescent="0.25">
      <c r="A3590" s="199" t="s">
        <v>14936</v>
      </c>
      <c r="B3590" s="307" t="s">
        <v>15783</v>
      </c>
      <c r="C3590" s="308"/>
      <c r="D3590" s="309"/>
      <c r="E3590" s="310"/>
      <c r="F3590" s="311"/>
      <c r="G3590" s="311"/>
      <c r="H3590" s="310"/>
      <c r="I3590" s="311"/>
      <c r="J3590" s="311"/>
      <c r="K3590" s="310"/>
      <c r="L3590" s="311"/>
      <c r="M3590" s="311"/>
      <c r="N3590" s="310"/>
      <c r="O3590" s="311"/>
      <c r="P3590" s="311"/>
      <c r="Q3590" s="310"/>
      <c r="R3590" s="310"/>
      <c r="S3590" s="309"/>
      <c r="T3590" s="309"/>
      <c r="U3590" s="309"/>
      <c r="V3590" s="309"/>
      <c r="W3590" s="312"/>
    </row>
    <row r="3591" spans="1:23" ht="21" x14ac:dyDescent="0.25">
      <c r="A3591" s="208" t="s">
        <v>15784</v>
      </c>
      <c r="B3591" s="255" t="s">
        <v>18855</v>
      </c>
      <c r="C3591" s="248"/>
      <c r="D3591" s="247" t="s">
        <v>11</v>
      </c>
      <c r="E3591" s="249">
        <f t="shared" si="856"/>
        <v>568.36541440000008</v>
      </c>
      <c r="F3591" s="258">
        <v>0.16</v>
      </c>
      <c r="G3591" s="258">
        <f t="shared" si="857"/>
        <v>0.16</v>
      </c>
      <c r="H3591" s="249">
        <f t="shared" si="858"/>
        <v>2735.2585568000004</v>
      </c>
      <c r="I3591" s="258">
        <v>0.77</v>
      </c>
      <c r="J3591" s="258">
        <f t="shared" si="859"/>
        <v>0.77</v>
      </c>
      <c r="K3591" s="249">
        <f t="shared" si="860"/>
        <v>106.56851520000001</v>
      </c>
      <c r="L3591" s="258">
        <v>0.03</v>
      </c>
      <c r="M3591" s="258">
        <f t="shared" si="861"/>
        <v>0.03</v>
      </c>
      <c r="N3591" s="251">
        <f t="shared" si="862"/>
        <v>142.09135360000002</v>
      </c>
      <c r="O3591" s="340">
        <v>0.04</v>
      </c>
      <c r="P3591" s="258">
        <f t="shared" si="863"/>
        <v>0.04</v>
      </c>
      <c r="Q3591" s="249">
        <v>3488</v>
      </c>
      <c r="R3591" s="249">
        <f t="shared" si="853"/>
        <v>3552.2838400000005</v>
      </c>
      <c r="S3591" s="250">
        <v>0.15</v>
      </c>
      <c r="T3591" s="300">
        <f>Q3591+Q3591*S3593-11</f>
        <v>4000.2</v>
      </c>
      <c r="U3591" s="315">
        <f t="shared" si="854"/>
        <v>4085.1264160000005</v>
      </c>
      <c r="V3591" s="315">
        <f t="shared" si="855"/>
        <v>4100</v>
      </c>
      <c r="W3591" s="316">
        <f t="shared" ref="W3591:W3654" si="864">C3591*V3591</f>
        <v>0</v>
      </c>
    </row>
    <row r="3592" spans="1:23" ht="21" x14ac:dyDescent="0.25">
      <c r="A3592" s="208" t="s">
        <v>15785</v>
      </c>
      <c r="B3592" s="255" t="s">
        <v>18856</v>
      </c>
      <c r="C3592" s="248"/>
      <c r="D3592" s="247" t="s">
        <v>11</v>
      </c>
      <c r="E3592" s="249">
        <f t="shared" si="856"/>
        <v>577.16464960000008</v>
      </c>
      <c r="F3592" s="258">
        <v>0.16</v>
      </c>
      <c r="G3592" s="258">
        <f t="shared" si="857"/>
        <v>0.16</v>
      </c>
      <c r="H3592" s="249">
        <f t="shared" si="858"/>
        <v>2777.6048762000005</v>
      </c>
      <c r="I3592" s="258">
        <v>0.77</v>
      </c>
      <c r="J3592" s="258">
        <f t="shared" si="859"/>
        <v>0.77</v>
      </c>
      <c r="K3592" s="249">
        <f t="shared" si="860"/>
        <v>108.2183718</v>
      </c>
      <c r="L3592" s="258">
        <v>0.03</v>
      </c>
      <c r="M3592" s="258">
        <f t="shared" si="861"/>
        <v>0.03</v>
      </c>
      <c r="N3592" s="251">
        <f t="shared" si="862"/>
        <v>144.29116240000002</v>
      </c>
      <c r="O3592" s="340">
        <v>0.04</v>
      </c>
      <c r="P3592" s="258">
        <f t="shared" si="863"/>
        <v>0.04</v>
      </c>
      <c r="Q3592" s="249">
        <v>3542</v>
      </c>
      <c r="R3592" s="249">
        <f t="shared" si="853"/>
        <v>3607.2790600000003</v>
      </c>
      <c r="S3592" s="250">
        <v>0.15</v>
      </c>
      <c r="T3592" s="300">
        <f>Q3592+Q3592*S3594+27</f>
        <v>4100.3</v>
      </c>
      <c r="U3592" s="315">
        <f t="shared" si="854"/>
        <v>4148.370919</v>
      </c>
      <c r="V3592" s="315">
        <f t="shared" si="855"/>
        <v>4150</v>
      </c>
      <c r="W3592" s="316">
        <f t="shared" si="864"/>
        <v>0</v>
      </c>
    </row>
    <row r="3593" spans="1:23" ht="21" x14ac:dyDescent="0.25">
      <c r="A3593" s="208" t="s">
        <v>15786</v>
      </c>
      <c r="B3593" s="255" t="s">
        <v>18857</v>
      </c>
      <c r="C3593" s="248"/>
      <c r="D3593" s="247" t="s">
        <v>11</v>
      </c>
      <c r="E3593" s="249">
        <f t="shared" si="856"/>
        <v>582.41668500000003</v>
      </c>
      <c r="F3593" s="258">
        <v>0.15</v>
      </c>
      <c r="G3593" s="258">
        <f t="shared" si="857"/>
        <v>0.15</v>
      </c>
      <c r="H3593" s="249">
        <f t="shared" si="858"/>
        <v>3067.3945410000001</v>
      </c>
      <c r="I3593" s="258">
        <v>0.79</v>
      </c>
      <c r="J3593" s="258">
        <f t="shared" si="859"/>
        <v>0.79</v>
      </c>
      <c r="K3593" s="249">
        <f t="shared" si="860"/>
        <v>77.655557999999999</v>
      </c>
      <c r="L3593" s="258">
        <v>0.02</v>
      </c>
      <c r="M3593" s="258">
        <f t="shared" si="861"/>
        <v>0.02</v>
      </c>
      <c r="N3593" s="251">
        <f t="shared" si="862"/>
        <v>155.311116</v>
      </c>
      <c r="O3593" s="340">
        <v>0.04</v>
      </c>
      <c r="P3593" s="258">
        <f t="shared" si="863"/>
        <v>0.04</v>
      </c>
      <c r="Q3593" s="249">
        <v>3813</v>
      </c>
      <c r="R3593" s="249">
        <f t="shared" si="853"/>
        <v>3882.7779</v>
      </c>
      <c r="S3593" s="250">
        <v>0.15</v>
      </c>
      <c r="T3593" s="300">
        <f>Q3593*S3593+Q3593+15</f>
        <v>4399.95</v>
      </c>
      <c r="U3593" s="315">
        <f t="shared" si="854"/>
        <v>4465.1945850000002</v>
      </c>
      <c r="V3593" s="315">
        <f t="shared" si="855"/>
        <v>4475</v>
      </c>
      <c r="W3593" s="316">
        <f t="shared" si="864"/>
        <v>0</v>
      </c>
    </row>
    <row r="3594" spans="1:23" ht="21" x14ac:dyDescent="0.25">
      <c r="A3594" s="208" t="s">
        <v>15787</v>
      </c>
      <c r="B3594" s="255" t="s">
        <v>18858</v>
      </c>
      <c r="C3594" s="248"/>
      <c r="D3594" s="247" t="s">
        <v>11</v>
      </c>
      <c r="E3594" s="249">
        <f t="shared" si="856"/>
        <v>588.52648500000009</v>
      </c>
      <c r="F3594" s="258">
        <v>0.15</v>
      </c>
      <c r="G3594" s="258">
        <f t="shared" si="857"/>
        <v>0.15</v>
      </c>
      <c r="H3594" s="249">
        <f t="shared" si="858"/>
        <v>3099.5728210000007</v>
      </c>
      <c r="I3594" s="258">
        <v>0.79</v>
      </c>
      <c r="J3594" s="258">
        <f t="shared" si="859"/>
        <v>0.79</v>
      </c>
      <c r="K3594" s="249">
        <f t="shared" si="860"/>
        <v>78.470198000000025</v>
      </c>
      <c r="L3594" s="258">
        <v>0.02</v>
      </c>
      <c r="M3594" s="258">
        <f t="shared" si="861"/>
        <v>0.02</v>
      </c>
      <c r="N3594" s="251">
        <f t="shared" si="862"/>
        <v>156.94039600000005</v>
      </c>
      <c r="O3594" s="340">
        <v>0.04</v>
      </c>
      <c r="P3594" s="258">
        <f t="shared" si="863"/>
        <v>0.04</v>
      </c>
      <c r="Q3594" s="249">
        <v>3853</v>
      </c>
      <c r="R3594" s="249">
        <f t="shared" si="853"/>
        <v>3923.5099000000009</v>
      </c>
      <c r="S3594" s="250">
        <v>0.15</v>
      </c>
      <c r="T3594" s="300">
        <f>Q3594*S3594+Q3594+19</f>
        <v>4449.95</v>
      </c>
      <c r="U3594" s="315">
        <f t="shared" si="854"/>
        <v>4512.0363850000012</v>
      </c>
      <c r="V3594" s="315">
        <f t="shared" si="855"/>
        <v>4525</v>
      </c>
      <c r="W3594" s="316">
        <f t="shared" si="864"/>
        <v>0</v>
      </c>
    </row>
    <row r="3595" spans="1:23" ht="21" x14ac:dyDescent="0.25">
      <c r="A3595" s="208" t="s">
        <v>15788</v>
      </c>
      <c r="B3595" s="255" t="s">
        <v>18859</v>
      </c>
      <c r="C3595" s="248"/>
      <c r="D3595" s="247" t="s">
        <v>11</v>
      </c>
      <c r="E3595" s="249">
        <f t="shared" si="856"/>
        <v>625.98589199999992</v>
      </c>
      <c r="F3595" s="258">
        <v>0.15</v>
      </c>
      <c r="G3595" s="258">
        <f t="shared" si="857"/>
        <v>0.15</v>
      </c>
      <c r="H3595" s="249">
        <f t="shared" si="858"/>
        <v>3338.5914240000002</v>
      </c>
      <c r="I3595" s="258">
        <v>0.8</v>
      </c>
      <c r="J3595" s="258">
        <f t="shared" si="859"/>
        <v>0.8</v>
      </c>
      <c r="K3595" s="249">
        <f t="shared" si="860"/>
        <v>83.464785599999999</v>
      </c>
      <c r="L3595" s="258">
        <v>0.02</v>
      </c>
      <c r="M3595" s="258">
        <f t="shared" si="861"/>
        <v>0.02</v>
      </c>
      <c r="N3595" s="251">
        <f t="shared" si="862"/>
        <v>125.19717839999998</v>
      </c>
      <c r="O3595" s="340">
        <v>0.03</v>
      </c>
      <c r="P3595" s="258">
        <f t="shared" si="863"/>
        <v>0.03</v>
      </c>
      <c r="Q3595" s="249">
        <v>4098</v>
      </c>
      <c r="R3595" s="249">
        <f t="shared" si="853"/>
        <v>4173.2392799999998</v>
      </c>
      <c r="S3595" s="250">
        <v>0.15</v>
      </c>
      <c r="T3595" s="300">
        <f>Q3595*S3595+Q3595-13</f>
        <v>4699.7</v>
      </c>
      <c r="U3595" s="315">
        <f t="shared" si="854"/>
        <v>4799.2251719999995</v>
      </c>
      <c r="V3595" s="315">
        <f t="shared" si="855"/>
        <v>4800</v>
      </c>
      <c r="W3595" s="316">
        <f t="shared" si="864"/>
        <v>0</v>
      </c>
    </row>
    <row r="3596" spans="1:23" ht="21" x14ac:dyDescent="0.25">
      <c r="A3596" s="208" t="s">
        <v>15789</v>
      </c>
      <c r="B3596" s="255" t="s">
        <v>18860</v>
      </c>
      <c r="C3596" s="248"/>
      <c r="D3596" s="247" t="s">
        <v>11</v>
      </c>
      <c r="E3596" s="249">
        <f t="shared" si="856"/>
        <v>628.58271000000002</v>
      </c>
      <c r="F3596" s="258">
        <v>0.15</v>
      </c>
      <c r="G3596" s="258">
        <f t="shared" si="857"/>
        <v>0.15</v>
      </c>
      <c r="H3596" s="249">
        <f t="shared" si="858"/>
        <v>3352.4411200000004</v>
      </c>
      <c r="I3596" s="258">
        <v>0.8</v>
      </c>
      <c r="J3596" s="258">
        <f t="shared" si="859"/>
        <v>0.8</v>
      </c>
      <c r="K3596" s="249">
        <f t="shared" si="860"/>
        <v>83.811028000000007</v>
      </c>
      <c r="L3596" s="258">
        <v>0.02</v>
      </c>
      <c r="M3596" s="258">
        <f t="shared" si="861"/>
        <v>0.02</v>
      </c>
      <c r="N3596" s="251">
        <f t="shared" si="862"/>
        <v>125.716542</v>
      </c>
      <c r="O3596" s="340">
        <v>0.03</v>
      </c>
      <c r="P3596" s="258">
        <f t="shared" si="863"/>
        <v>0.03</v>
      </c>
      <c r="Q3596" s="249">
        <v>4115</v>
      </c>
      <c r="R3596" s="249">
        <f t="shared" si="853"/>
        <v>4190.5514000000003</v>
      </c>
      <c r="S3596" s="250">
        <v>0.15</v>
      </c>
      <c r="T3596" s="300">
        <f>Q3596*S3596+Q3596+18</f>
        <v>4750.25</v>
      </c>
      <c r="U3596" s="315">
        <f t="shared" si="854"/>
        <v>4819.13411</v>
      </c>
      <c r="V3596" s="315">
        <f t="shared" si="855"/>
        <v>4825</v>
      </c>
      <c r="W3596" s="316">
        <f t="shared" si="864"/>
        <v>0</v>
      </c>
    </row>
    <row r="3597" spans="1:23" ht="21" x14ac:dyDescent="0.25">
      <c r="A3597" s="208" t="s">
        <v>15790</v>
      </c>
      <c r="B3597" s="255" t="s">
        <v>18861</v>
      </c>
      <c r="C3597" s="248"/>
      <c r="D3597" s="247" t="s">
        <v>11</v>
      </c>
      <c r="E3597" s="249">
        <f t="shared" si="856"/>
        <v>814.39183800000012</v>
      </c>
      <c r="F3597" s="258">
        <v>0.18</v>
      </c>
      <c r="G3597" s="258">
        <f t="shared" si="857"/>
        <v>0.18</v>
      </c>
      <c r="H3597" s="249">
        <f t="shared" si="858"/>
        <v>3393.2993250000004</v>
      </c>
      <c r="I3597" s="258">
        <v>0.75</v>
      </c>
      <c r="J3597" s="258">
        <f t="shared" si="859"/>
        <v>0.75</v>
      </c>
      <c r="K3597" s="249">
        <f t="shared" si="860"/>
        <v>135.73197300000001</v>
      </c>
      <c r="L3597" s="258">
        <v>0.03</v>
      </c>
      <c r="M3597" s="258">
        <f t="shared" si="861"/>
        <v>0.03</v>
      </c>
      <c r="N3597" s="251">
        <f t="shared" si="862"/>
        <v>180.97596400000003</v>
      </c>
      <c r="O3597" s="340">
        <v>0.04</v>
      </c>
      <c r="P3597" s="258">
        <f t="shared" si="863"/>
        <v>0.04</v>
      </c>
      <c r="Q3597" s="249">
        <v>4442</v>
      </c>
      <c r="R3597" s="249">
        <f t="shared" si="853"/>
        <v>4524.3991000000005</v>
      </c>
      <c r="S3597" s="250">
        <v>0.15</v>
      </c>
      <c r="T3597" s="300">
        <f>Q3597*S3597+Q3597-8</f>
        <v>5100.3</v>
      </c>
      <c r="U3597" s="315">
        <f t="shared" si="854"/>
        <v>5203.0589650000002</v>
      </c>
      <c r="V3597" s="315">
        <f t="shared" si="855"/>
        <v>5225</v>
      </c>
      <c r="W3597" s="316">
        <f t="shared" si="864"/>
        <v>0</v>
      </c>
    </row>
    <row r="3598" spans="1:23" ht="21" x14ac:dyDescent="0.25">
      <c r="A3598" s="208" t="s">
        <v>15791</v>
      </c>
      <c r="B3598" s="255" t="s">
        <v>18862</v>
      </c>
      <c r="C3598" s="248"/>
      <c r="D3598" s="247" t="s">
        <v>11</v>
      </c>
      <c r="E3598" s="249">
        <f t="shared" si="856"/>
        <v>817.14192299999991</v>
      </c>
      <c r="F3598" s="258">
        <v>0.18</v>
      </c>
      <c r="G3598" s="258">
        <f t="shared" si="857"/>
        <v>0.18</v>
      </c>
      <c r="H3598" s="249">
        <f t="shared" si="858"/>
        <v>3404.7580124999999</v>
      </c>
      <c r="I3598" s="258">
        <v>0.75</v>
      </c>
      <c r="J3598" s="258">
        <f t="shared" si="859"/>
        <v>0.75</v>
      </c>
      <c r="K3598" s="249">
        <f t="shared" si="860"/>
        <v>136.19032049999998</v>
      </c>
      <c r="L3598" s="258">
        <v>0.03</v>
      </c>
      <c r="M3598" s="258">
        <f t="shared" si="861"/>
        <v>0.03</v>
      </c>
      <c r="N3598" s="251">
        <f t="shared" si="862"/>
        <v>181.58709400000001</v>
      </c>
      <c r="O3598" s="340">
        <v>0.04</v>
      </c>
      <c r="P3598" s="258">
        <f t="shared" si="863"/>
        <v>0.04</v>
      </c>
      <c r="Q3598" s="249">
        <v>4457</v>
      </c>
      <c r="R3598" s="249">
        <f t="shared" si="853"/>
        <v>4539.6773499999999</v>
      </c>
      <c r="S3598" s="250">
        <v>0.15</v>
      </c>
      <c r="T3598" s="300">
        <f>Q3598*S3598+Q3598+24</f>
        <v>5149.55</v>
      </c>
      <c r="U3598" s="315">
        <f t="shared" si="854"/>
        <v>5220.6289525000002</v>
      </c>
      <c r="V3598" s="315">
        <f t="shared" si="855"/>
        <v>5225</v>
      </c>
      <c r="W3598" s="316">
        <f t="shared" si="864"/>
        <v>0</v>
      </c>
    </row>
    <row r="3599" spans="1:23" ht="21" x14ac:dyDescent="0.25">
      <c r="A3599" s="208" t="s">
        <v>15792</v>
      </c>
      <c r="B3599" s="255" t="s">
        <v>18863</v>
      </c>
      <c r="C3599" s="248"/>
      <c r="D3599" s="247" t="s">
        <v>11</v>
      </c>
      <c r="E3599" s="249">
        <f t="shared" si="856"/>
        <v>848.25223000000005</v>
      </c>
      <c r="F3599" s="258">
        <v>0.14000000000000001</v>
      </c>
      <c r="G3599" s="258">
        <f t="shared" si="857"/>
        <v>0.14000000000000001</v>
      </c>
      <c r="H3599" s="249">
        <f t="shared" si="858"/>
        <v>4786.5661549999995</v>
      </c>
      <c r="I3599" s="258">
        <v>0.79</v>
      </c>
      <c r="J3599" s="258">
        <f t="shared" si="859"/>
        <v>0.79</v>
      </c>
      <c r="K3599" s="249">
        <f t="shared" si="860"/>
        <v>181.76833499999998</v>
      </c>
      <c r="L3599" s="258">
        <v>0.03</v>
      </c>
      <c r="M3599" s="258">
        <f t="shared" si="861"/>
        <v>0.03</v>
      </c>
      <c r="N3599" s="251">
        <f t="shared" si="862"/>
        <v>242.35777999999999</v>
      </c>
      <c r="O3599" s="340">
        <v>0.04</v>
      </c>
      <c r="P3599" s="258">
        <f t="shared" si="863"/>
        <v>0.04</v>
      </c>
      <c r="Q3599" s="249">
        <v>5950</v>
      </c>
      <c r="R3599" s="249">
        <f t="shared" si="853"/>
        <v>6058.9444999999996</v>
      </c>
      <c r="S3599" s="250">
        <v>0.15</v>
      </c>
      <c r="T3599" s="300">
        <f>Q3599*S3599+Q3599+7</f>
        <v>6849.5</v>
      </c>
      <c r="U3599" s="315">
        <f t="shared" si="854"/>
        <v>6967.7861749999993</v>
      </c>
      <c r="V3599" s="315">
        <f t="shared" si="855"/>
        <v>6975</v>
      </c>
      <c r="W3599" s="316">
        <f t="shared" si="864"/>
        <v>0</v>
      </c>
    </row>
    <row r="3600" spans="1:23" x14ac:dyDescent="0.25">
      <c r="A3600" s="199" t="s">
        <v>14936</v>
      </c>
      <c r="B3600" s="307" t="s">
        <v>15793</v>
      </c>
      <c r="C3600" s="308"/>
      <c r="D3600" s="309"/>
      <c r="E3600" s="310"/>
      <c r="F3600" s="311"/>
      <c r="G3600" s="311"/>
      <c r="H3600" s="310"/>
      <c r="I3600" s="311"/>
      <c r="J3600" s="311"/>
      <c r="K3600" s="310"/>
      <c r="L3600" s="311"/>
      <c r="M3600" s="311"/>
      <c r="N3600" s="310"/>
      <c r="O3600" s="311"/>
      <c r="P3600" s="311"/>
      <c r="Q3600" s="310"/>
      <c r="R3600" s="310"/>
      <c r="S3600" s="309"/>
      <c r="T3600" s="309"/>
      <c r="U3600" s="309"/>
      <c r="V3600" s="309"/>
      <c r="W3600" s="312"/>
    </row>
    <row r="3601" spans="1:23" ht="21" x14ac:dyDescent="0.25">
      <c r="A3601" s="208" t="s">
        <v>15794</v>
      </c>
      <c r="B3601" s="255" t="s">
        <v>15795</v>
      </c>
      <c r="C3601" s="248"/>
      <c r="D3601" s="247" t="s">
        <v>11</v>
      </c>
      <c r="E3601" s="249">
        <f t="shared" si="856"/>
        <v>475.13083200000011</v>
      </c>
      <c r="F3601" s="258">
        <v>0.4</v>
      </c>
      <c r="G3601" s="258">
        <f t="shared" si="857"/>
        <v>0.4</v>
      </c>
      <c r="H3601" s="249">
        <f t="shared" si="858"/>
        <v>593.91354000000013</v>
      </c>
      <c r="I3601" s="258">
        <v>0.5</v>
      </c>
      <c r="J3601" s="258">
        <f t="shared" si="859"/>
        <v>0.5</v>
      </c>
      <c r="K3601" s="249">
        <f t="shared" si="860"/>
        <v>106.90443720000002</v>
      </c>
      <c r="L3601" s="258">
        <v>0.09</v>
      </c>
      <c r="M3601" s="258">
        <f t="shared" si="861"/>
        <v>0.09</v>
      </c>
      <c r="N3601" s="251">
        <f t="shared" si="862"/>
        <v>11.878270800000003</v>
      </c>
      <c r="O3601" s="340">
        <v>0.01</v>
      </c>
      <c r="P3601" s="258">
        <f t="shared" si="863"/>
        <v>0.01</v>
      </c>
      <c r="Q3601" s="249">
        <v>1164</v>
      </c>
      <c r="R3601" s="249">
        <f t="shared" si="853"/>
        <v>1187.8270800000003</v>
      </c>
      <c r="S3601" s="250">
        <v>0.15</v>
      </c>
      <c r="T3601" s="300">
        <f>Q3601*S3601+Q3601+11</f>
        <v>1349.6</v>
      </c>
      <c r="U3601" s="315">
        <f t="shared" si="854"/>
        <v>1366.0011420000003</v>
      </c>
      <c r="V3601" s="315">
        <f t="shared" si="855"/>
        <v>1375</v>
      </c>
      <c r="W3601" s="316">
        <f t="shared" si="864"/>
        <v>0</v>
      </c>
    </row>
    <row r="3602" spans="1:23" x14ac:dyDescent="0.25">
      <c r="A3602" s="208" t="s">
        <v>15796</v>
      </c>
      <c r="B3602" s="313" t="s">
        <v>15797</v>
      </c>
      <c r="C3602" s="248"/>
      <c r="D3602" s="247" t="s">
        <v>11</v>
      </c>
      <c r="E3602" s="249">
        <f t="shared" si="856"/>
        <v>421.02287640000003</v>
      </c>
      <c r="F3602" s="258">
        <v>0.42</v>
      </c>
      <c r="G3602" s="258">
        <f t="shared" si="857"/>
        <v>0.42</v>
      </c>
      <c r="H3602" s="249">
        <f t="shared" si="858"/>
        <v>431.04723060000003</v>
      </c>
      <c r="I3602" s="258">
        <v>0.43</v>
      </c>
      <c r="J3602" s="258">
        <f t="shared" si="859"/>
        <v>0.43</v>
      </c>
      <c r="K3602" s="249">
        <f t="shared" si="860"/>
        <v>130.31660460000003</v>
      </c>
      <c r="L3602" s="258">
        <v>0.13</v>
      </c>
      <c r="M3602" s="258">
        <f t="shared" si="861"/>
        <v>0.13</v>
      </c>
      <c r="N3602" s="251">
        <f t="shared" si="862"/>
        <v>20.048708400000002</v>
      </c>
      <c r="O3602" s="258">
        <v>0.02</v>
      </c>
      <c r="P3602" s="258">
        <f t="shared" si="863"/>
        <v>0.02</v>
      </c>
      <c r="Q3602" s="249">
        <v>982</v>
      </c>
      <c r="R3602" s="249">
        <f t="shared" si="853"/>
        <v>1002.4354200000001</v>
      </c>
      <c r="S3602" s="250">
        <v>0.15</v>
      </c>
      <c r="T3602" s="300">
        <f>Q3602*S3602+Q3602+21</f>
        <v>1150.3</v>
      </c>
      <c r="U3602" s="315">
        <f t="shared" si="854"/>
        <v>1152.800733</v>
      </c>
      <c r="V3602" s="315">
        <f t="shared" si="855"/>
        <v>1175</v>
      </c>
      <c r="W3602" s="316">
        <f t="shared" si="864"/>
        <v>0</v>
      </c>
    </row>
    <row r="3603" spans="1:23" ht="21" x14ac:dyDescent="0.25">
      <c r="A3603" s="208" t="s">
        <v>15798</v>
      </c>
      <c r="B3603" s="255" t="s">
        <v>22918</v>
      </c>
      <c r="C3603" s="248"/>
      <c r="D3603" s="247" t="s">
        <v>11</v>
      </c>
      <c r="E3603" s="249">
        <f t="shared" si="856"/>
        <v>428.89907240000008</v>
      </c>
      <c r="F3603" s="258">
        <v>0.34</v>
      </c>
      <c r="G3603" s="258">
        <f t="shared" si="857"/>
        <v>0.34</v>
      </c>
      <c r="H3603" s="249">
        <f t="shared" si="858"/>
        <v>719.03668020000009</v>
      </c>
      <c r="I3603" s="258">
        <v>0.56999999999999995</v>
      </c>
      <c r="J3603" s="258">
        <f t="shared" si="859"/>
        <v>0.56999999999999995</v>
      </c>
      <c r="K3603" s="249">
        <f t="shared" si="860"/>
        <v>75.688071600000015</v>
      </c>
      <c r="L3603" s="258">
        <v>0.06</v>
      </c>
      <c r="M3603" s="258">
        <f t="shared" si="861"/>
        <v>0.06</v>
      </c>
      <c r="N3603" s="251">
        <f t="shared" si="862"/>
        <v>37.844035800000007</v>
      </c>
      <c r="O3603" s="258">
        <v>0.03</v>
      </c>
      <c r="P3603" s="258">
        <f t="shared" si="863"/>
        <v>0.03</v>
      </c>
      <c r="Q3603" s="249">
        <v>1237</v>
      </c>
      <c r="R3603" s="249">
        <f t="shared" si="853"/>
        <v>1261.4678600000002</v>
      </c>
      <c r="S3603" s="250">
        <v>0.15</v>
      </c>
      <c r="T3603" s="300">
        <f>Q3603*S3603+Q3603+27</f>
        <v>1449.55</v>
      </c>
      <c r="U3603" s="315">
        <f t="shared" si="854"/>
        <v>1450.6880390000001</v>
      </c>
      <c r="V3603" s="315">
        <f t="shared" si="855"/>
        <v>1475</v>
      </c>
      <c r="W3603" s="316">
        <f t="shared" si="864"/>
        <v>0</v>
      </c>
    </row>
    <row r="3604" spans="1:23" ht="31.8" thickBot="1" x14ac:dyDescent="0.3">
      <c r="A3604" s="214" t="s">
        <v>15799</v>
      </c>
      <c r="B3604" s="327" t="s">
        <v>22919</v>
      </c>
      <c r="C3604" s="265"/>
      <c r="D3604" s="264" t="s">
        <v>11</v>
      </c>
      <c r="E3604" s="266">
        <f t="shared" si="856"/>
        <v>432.90733366400002</v>
      </c>
      <c r="F3604" s="322">
        <v>0.33800000000000002</v>
      </c>
      <c r="G3604" s="322">
        <f t="shared" si="857"/>
        <v>0.33800000000000002</v>
      </c>
      <c r="H3604" s="266">
        <f t="shared" si="858"/>
        <v>726.20845617599991</v>
      </c>
      <c r="I3604" s="322">
        <v>0.56699999999999995</v>
      </c>
      <c r="J3604" s="322">
        <f t="shared" si="859"/>
        <v>0.56699999999999995</v>
      </c>
      <c r="K3604" s="266">
        <f t="shared" si="860"/>
        <v>76.847455679999996</v>
      </c>
      <c r="L3604" s="322">
        <v>0.06</v>
      </c>
      <c r="M3604" s="322">
        <f t="shared" si="861"/>
        <v>0.06</v>
      </c>
      <c r="N3604" s="270">
        <f t="shared" si="862"/>
        <v>44.82768248</v>
      </c>
      <c r="O3604" s="322">
        <v>3.5000000000000003E-2</v>
      </c>
      <c r="P3604" s="322">
        <f t="shared" si="863"/>
        <v>3.5000000000000003E-2</v>
      </c>
      <c r="Q3604" s="266">
        <v>1256</v>
      </c>
      <c r="R3604" s="266">
        <f t="shared" si="853"/>
        <v>1280.7909279999999</v>
      </c>
      <c r="S3604" s="267">
        <v>0.15</v>
      </c>
      <c r="T3604" s="301">
        <f>Q3604*S3604+Q3604+6</f>
        <v>1450.4</v>
      </c>
      <c r="U3604" s="324">
        <f t="shared" si="854"/>
        <v>1472.9095671999999</v>
      </c>
      <c r="V3604" s="324">
        <f t="shared" si="855"/>
        <v>1475</v>
      </c>
      <c r="W3604" s="325">
        <f t="shared" si="864"/>
        <v>0</v>
      </c>
    </row>
    <row r="3605" spans="1:23" ht="21" x14ac:dyDescent="0.25">
      <c r="A3605" s="208" t="s">
        <v>15800</v>
      </c>
      <c r="B3605" s="255" t="s">
        <v>22920</v>
      </c>
      <c r="C3605" s="248"/>
      <c r="D3605" s="247" t="s">
        <v>11</v>
      </c>
      <c r="E3605" s="249">
        <f t="shared" si="856"/>
        <v>433.42908756000003</v>
      </c>
      <c r="F3605" s="258">
        <v>0.32900000000000001</v>
      </c>
      <c r="G3605" s="258">
        <f t="shared" si="857"/>
        <v>0.32900000000000001</v>
      </c>
      <c r="H3605" s="249">
        <f t="shared" si="858"/>
        <v>761.46508391999998</v>
      </c>
      <c r="I3605" s="258">
        <v>0.57799999999999996</v>
      </c>
      <c r="J3605" s="258">
        <f t="shared" si="859"/>
        <v>0.57799999999999996</v>
      </c>
      <c r="K3605" s="249">
        <f t="shared" si="860"/>
        <v>76.409991120000001</v>
      </c>
      <c r="L3605" s="258">
        <v>5.8000000000000003E-2</v>
      </c>
      <c r="M3605" s="258">
        <f t="shared" si="861"/>
        <v>5.8000000000000003E-2</v>
      </c>
      <c r="N3605" s="251">
        <f t="shared" si="862"/>
        <v>46.109477400000003</v>
      </c>
      <c r="O3605" s="258">
        <v>3.5000000000000003E-2</v>
      </c>
      <c r="P3605" s="258">
        <f t="shared" si="863"/>
        <v>3.5000000000000003E-2</v>
      </c>
      <c r="Q3605" s="249">
        <v>1292</v>
      </c>
      <c r="R3605" s="249">
        <f t="shared" ref="R3605:R3668" si="865">SUM(F3605*Q3605*1.0235,I3605*Q3605*1.0175,L3605*Q3605*1.0245,O3605*Q3605*1.0115)</f>
        <v>1317.41364</v>
      </c>
      <c r="S3605" s="250">
        <v>0.15</v>
      </c>
      <c r="T3605" s="300">
        <f>Q3605*S3605+Q3605+14</f>
        <v>1499.8</v>
      </c>
      <c r="U3605" s="315">
        <f t="shared" si="854"/>
        <v>1515.025686</v>
      </c>
      <c r="V3605" s="315">
        <f t="shared" si="855"/>
        <v>1525</v>
      </c>
      <c r="W3605" s="316">
        <f t="shared" si="864"/>
        <v>0</v>
      </c>
    </row>
    <row r="3606" spans="1:23" ht="21" x14ac:dyDescent="0.25">
      <c r="A3606" s="208" t="s">
        <v>15801</v>
      </c>
      <c r="B3606" s="255" t="s">
        <v>15802</v>
      </c>
      <c r="C3606" s="248"/>
      <c r="D3606" s="247" t="s">
        <v>11</v>
      </c>
      <c r="E3606" s="249">
        <f t="shared" si="856"/>
        <v>755.86272209850017</v>
      </c>
      <c r="F3606" s="258">
        <v>0.40849999999999997</v>
      </c>
      <c r="G3606" s="258">
        <f t="shared" si="857"/>
        <v>0.40849999999999997</v>
      </c>
      <c r="H3606" s="249">
        <f t="shared" si="858"/>
        <v>952.92362761500021</v>
      </c>
      <c r="I3606" s="258">
        <v>0.51500000000000001</v>
      </c>
      <c r="J3606" s="258">
        <f t="shared" si="859"/>
        <v>0.51500000000000001</v>
      </c>
      <c r="K3606" s="249">
        <f t="shared" si="860"/>
        <v>76.788991351500016</v>
      </c>
      <c r="L3606" s="258">
        <v>4.1500000000000002E-2</v>
      </c>
      <c r="M3606" s="258">
        <f t="shared" si="861"/>
        <v>4.1500000000000002E-2</v>
      </c>
      <c r="N3606" s="251">
        <f t="shared" si="862"/>
        <v>64.761799935000028</v>
      </c>
      <c r="O3606" s="258">
        <v>3.5000000000000003E-2</v>
      </c>
      <c r="P3606" s="258">
        <f t="shared" si="863"/>
        <v>3.5000000000000003E-2</v>
      </c>
      <c r="Q3606" s="249">
        <v>1814</v>
      </c>
      <c r="R3606" s="249">
        <f t="shared" si="865"/>
        <v>1850.3371410000004</v>
      </c>
      <c r="S3606" s="250">
        <v>0.15</v>
      </c>
      <c r="T3606" s="300">
        <f>Q3606*S3606+Q3606+14</f>
        <v>2100.1</v>
      </c>
      <c r="U3606" s="315">
        <f t="shared" si="854"/>
        <v>2127.8877121500004</v>
      </c>
      <c r="V3606" s="315">
        <f t="shared" si="855"/>
        <v>2150</v>
      </c>
      <c r="W3606" s="316">
        <f t="shared" si="864"/>
        <v>0</v>
      </c>
    </row>
    <row r="3607" spans="1:23" ht="21" x14ac:dyDescent="0.25">
      <c r="A3607" s="208" t="s">
        <v>15803</v>
      </c>
      <c r="B3607" s="255" t="s">
        <v>18864</v>
      </c>
      <c r="C3607" s="248"/>
      <c r="D3607" s="247" t="s">
        <v>11</v>
      </c>
      <c r="E3607" s="249">
        <f t="shared" si="856"/>
        <v>833.23397500000021</v>
      </c>
      <c r="F3607" s="258">
        <v>0.14000000000000001</v>
      </c>
      <c r="G3607" s="258">
        <f t="shared" si="857"/>
        <v>0.14000000000000001</v>
      </c>
      <c r="H3607" s="249">
        <f t="shared" si="858"/>
        <v>4642.3035750000008</v>
      </c>
      <c r="I3607" s="258">
        <v>0.78</v>
      </c>
      <c r="J3607" s="258">
        <f t="shared" si="859"/>
        <v>0.78</v>
      </c>
      <c r="K3607" s="249">
        <f t="shared" si="860"/>
        <v>178.55013750000003</v>
      </c>
      <c r="L3607" s="258">
        <v>0.03</v>
      </c>
      <c r="M3607" s="258">
        <f t="shared" si="861"/>
        <v>0.03</v>
      </c>
      <c r="N3607" s="251">
        <f t="shared" si="862"/>
        <v>297.58356250000008</v>
      </c>
      <c r="O3607" s="340">
        <v>0.05</v>
      </c>
      <c r="P3607" s="258">
        <f t="shared" si="863"/>
        <v>0.05</v>
      </c>
      <c r="Q3607" s="249">
        <v>5845</v>
      </c>
      <c r="R3607" s="249">
        <f t="shared" si="865"/>
        <v>5951.6712500000012</v>
      </c>
      <c r="S3607" s="250">
        <v>0.15</v>
      </c>
      <c r="T3607" s="300">
        <f>Q3607*S3607+Q3607+28</f>
        <v>6749.75</v>
      </c>
      <c r="U3607" s="315">
        <f t="shared" si="854"/>
        <v>6844.4219375000011</v>
      </c>
      <c r="V3607" s="315">
        <f t="shared" si="855"/>
        <v>6850</v>
      </c>
      <c r="W3607" s="316">
        <f t="shared" si="864"/>
        <v>0</v>
      </c>
    </row>
    <row r="3608" spans="1:23" ht="21" x14ac:dyDescent="0.25">
      <c r="A3608" s="208" t="s">
        <v>15804</v>
      </c>
      <c r="B3608" s="255" t="s">
        <v>22921</v>
      </c>
      <c r="C3608" s="248"/>
      <c r="D3608" s="247" t="s">
        <v>11</v>
      </c>
      <c r="E3608" s="249">
        <f t="shared" si="856"/>
        <v>767.14904000000013</v>
      </c>
      <c r="F3608" s="258">
        <v>0.4</v>
      </c>
      <c r="G3608" s="258">
        <f t="shared" si="857"/>
        <v>0.4</v>
      </c>
      <c r="H3608" s="249">
        <f t="shared" si="858"/>
        <v>958.93630000000007</v>
      </c>
      <c r="I3608" s="258">
        <v>0.5</v>
      </c>
      <c r="J3608" s="258">
        <f t="shared" si="859"/>
        <v>0.5</v>
      </c>
      <c r="K3608" s="249">
        <f t="shared" si="860"/>
        <v>124.66171900000002</v>
      </c>
      <c r="L3608" s="258">
        <v>6.5000000000000002E-2</v>
      </c>
      <c r="M3608" s="258">
        <f t="shared" si="861"/>
        <v>6.5000000000000002E-2</v>
      </c>
      <c r="N3608" s="251">
        <f t="shared" si="862"/>
        <v>67.125541000000013</v>
      </c>
      <c r="O3608" s="258">
        <v>3.5000000000000003E-2</v>
      </c>
      <c r="P3608" s="258">
        <f t="shared" si="863"/>
        <v>3.5000000000000003E-2</v>
      </c>
      <c r="Q3608" s="249">
        <v>1880</v>
      </c>
      <c r="R3608" s="249">
        <f t="shared" si="865"/>
        <v>1917.8726000000001</v>
      </c>
      <c r="S3608" s="250">
        <v>0.15</v>
      </c>
      <c r="T3608" s="300">
        <f>Q3608*S3608+Q3608-12</f>
        <v>2150</v>
      </c>
      <c r="U3608" s="315">
        <f t="shared" si="854"/>
        <v>2205.5534900000002</v>
      </c>
      <c r="V3608" s="315">
        <f t="shared" si="855"/>
        <v>2225</v>
      </c>
      <c r="W3608" s="316">
        <f t="shared" si="864"/>
        <v>0</v>
      </c>
    </row>
    <row r="3609" spans="1:23" ht="21" x14ac:dyDescent="0.25">
      <c r="A3609" s="208" t="s">
        <v>15805</v>
      </c>
      <c r="B3609" s="255" t="s">
        <v>22922</v>
      </c>
      <c r="C3609" s="248"/>
      <c r="D3609" s="247" t="s">
        <v>11</v>
      </c>
      <c r="E3609" s="249">
        <f t="shared" si="856"/>
        <v>755.05630054400012</v>
      </c>
      <c r="F3609" s="258">
        <v>0.39200000000000002</v>
      </c>
      <c r="G3609" s="258">
        <f t="shared" si="857"/>
        <v>0.39200000000000002</v>
      </c>
      <c r="H3609" s="249">
        <f t="shared" si="858"/>
        <v>953.45119584000008</v>
      </c>
      <c r="I3609" s="258">
        <v>0.495</v>
      </c>
      <c r="J3609" s="258">
        <f t="shared" si="859"/>
        <v>0.495</v>
      </c>
      <c r="K3609" s="249">
        <f t="shared" si="860"/>
        <v>154.09312256000001</v>
      </c>
      <c r="L3609" s="258">
        <v>0.08</v>
      </c>
      <c r="M3609" s="258">
        <f t="shared" si="861"/>
        <v>0.08</v>
      </c>
      <c r="N3609" s="251">
        <f t="shared" si="862"/>
        <v>63.563413056000009</v>
      </c>
      <c r="O3609" s="258">
        <v>3.3000000000000002E-2</v>
      </c>
      <c r="P3609" s="258">
        <f t="shared" si="863"/>
        <v>3.3000000000000002E-2</v>
      </c>
      <c r="Q3609" s="249">
        <v>1888</v>
      </c>
      <c r="R3609" s="249">
        <f t="shared" si="865"/>
        <v>1926.1640320000001</v>
      </c>
      <c r="S3609" s="250">
        <v>0.15</v>
      </c>
      <c r="T3609" s="300">
        <f>Q3609*S3609+Q3609+29</f>
        <v>2200.1999999999998</v>
      </c>
      <c r="U3609" s="315">
        <f t="shared" si="854"/>
        <v>2215.0886368000001</v>
      </c>
      <c r="V3609" s="315">
        <f t="shared" si="855"/>
        <v>2225</v>
      </c>
      <c r="W3609" s="316">
        <f t="shared" si="864"/>
        <v>0</v>
      </c>
    </row>
    <row r="3610" spans="1:23" ht="21" x14ac:dyDescent="0.25">
      <c r="A3610" s="208" t="s">
        <v>15806</v>
      </c>
      <c r="B3610" s="255" t="s">
        <v>22923</v>
      </c>
      <c r="C3610" s="248"/>
      <c r="D3610" s="247" t="s">
        <v>11</v>
      </c>
      <c r="E3610" s="249">
        <f t="shared" si="856"/>
        <v>1120.8709490174999</v>
      </c>
      <c r="F3610" s="258">
        <v>0.28949999999999998</v>
      </c>
      <c r="G3610" s="258">
        <f t="shared" si="857"/>
        <v>0.28949999999999998</v>
      </c>
      <c r="H3610" s="249">
        <f t="shared" si="858"/>
        <v>2535.9947205750004</v>
      </c>
      <c r="I3610" s="258">
        <v>0.65500000000000003</v>
      </c>
      <c r="J3610" s="258">
        <f t="shared" si="859"/>
        <v>0.65500000000000003</v>
      </c>
      <c r="K3610" s="249">
        <f t="shared" si="860"/>
        <v>152.93403276750001</v>
      </c>
      <c r="L3610" s="258">
        <v>3.95E-2</v>
      </c>
      <c r="M3610" s="258">
        <f t="shared" si="861"/>
        <v>3.95E-2</v>
      </c>
      <c r="N3610" s="251">
        <f t="shared" si="862"/>
        <v>61.947962640000007</v>
      </c>
      <c r="O3610" s="258">
        <v>1.6E-2</v>
      </c>
      <c r="P3610" s="258">
        <f t="shared" si="863"/>
        <v>1.6E-2</v>
      </c>
      <c r="Q3610" s="249">
        <v>3798</v>
      </c>
      <c r="R3610" s="249">
        <f t="shared" si="865"/>
        <v>3871.7476650000003</v>
      </c>
      <c r="S3610" s="250">
        <v>0.15</v>
      </c>
      <c r="T3610" s="300">
        <f>Q3610*S3610+Q3610-18</f>
        <v>4349.7</v>
      </c>
      <c r="U3610" s="315">
        <f t="shared" si="854"/>
        <v>4452.5098147500003</v>
      </c>
      <c r="V3610" s="315">
        <f t="shared" si="855"/>
        <v>4475</v>
      </c>
      <c r="W3610" s="316">
        <f t="shared" si="864"/>
        <v>0</v>
      </c>
    </row>
    <row r="3611" spans="1:23" ht="31.2" x14ac:dyDescent="0.25">
      <c r="A3611" s="208" t="s">
        <v>15807</v>
      </c>
      <c r="B3611" s="255" t="s">
        <v>22924</v>
      </c>
      <c r="C3611" s="248"/>
      <c r="D3611" s="247" t="s">
        <v>11</v>
      </c>
      <c r="E3611" s="249">
        <f t="shared" si="856"/>
        <v>756.26535940871997</v>
      </c>
      <c r="F3611" s="258">
        <v>0.38569999999999999</v>
      </c>
      <c r="G3611" s="258">
        <f t="shared" si="857"/>
        <v>0.38569999999999999</v>
      </c>
      <c r="H3611" s="249">
        <f t="shared" si="858"/>
        <v>989.20371745319994</v>
      </c>
      <c r="I3611" s="258">
        <v>0.50449999999999995</v>
      </c>
      <c r="J3611" s="258">
        <f t="shared" si="859"/>
        <v>0.50449999999999995</v>
      </c>
      <c r="K3611" s="249">
        <f t="shared" si="860"/>
        <v>152.54717387087999</v>
      </c>
      <c r="L3611" s="258">
        <v>7.7799999999999994E-2</v>
      </c>
      <c r="M3611" s="258">
        <f t="shared" si="861"/>
        <v>7.7799999999999994E-2</v>
      </c>
      <c r="N3611" s="251">
        <f t="shared" si="862"/>
        <v>62.7443388672</v>
      </c>
      <c r="O3611" s="258">
        <v>3.2000000000000001E-2</v>
      </c>
      <c r="P3611" s="258">
        <f t="shared" si="863"/>
        <v>3.2000000000000001E-2</v>
      </c>
      <c r="Q3611" s="249">
        <v>1922</v>
      </c>
      <c r="R3611" s="249">
        <f t="shared" si="865"/>
        <v>1960.7605896</v>
      </c>
      <c r="S3611" s="250">
        <v>0.15</v>
      </c>
      <c r="T3611" s="300">
        <f>Q3611*S3611+Q3611-10</f>
        <v>2200.3000000000002</v>
      </c>
      <c r="U3611" s="315">
        <f t="shared" si="854"/>
        <v>2254.8746780400002</v>
      </c>
      <c r="V3611" s="315">
        <f t="shared" si="855"/>
        <v>2275</v>
      </c>
      <c r="W3611" s="316">
        <f t="shared" si="864"/>
        <v>0</v>
      </c>
    </row>
    <row r="3612" spans="1:23" ht="21" x14ac:dyDescent="0.25">
      <c r="A3612" s="208" t="s">
        <v>15808</v>
      </c>
      <c r="B3612" s="255" t="s">
        <v>22925</v>
      </c>
      <c r="C3612" s="248"/>
      <c r="D3612" s="247" t="s">
        <v>11</v>
      </c>
      <c r="E3612" s="249">
        <f t="shared" si="856"/>
        <v>758.62704000000008</v>
      </c>
      <c r="F3612" s="258">
        <v>0.31</v>
      </c>
      <c r="G3612" s="258">
        <f t="shared" si="857"/>
        <v>0.31</v>
      </c>
      <c r="H3612" s="249">
        <f t="shared" si="858"/>
        <v>1492.78224</v>
      </c>
      <c r="I3612" s="258">
        <v>0.61</v>
      </c>
      <c r="J3612" s="258">
        <f t="shared" si="859"/>
        <v>0.61</v>
      </c>
      <c r="K3612" s="249">
        <f t="shared" si="860"/>
        <v>146.83104</v>
      </c>
      <c r="L3612" s="258">
        <v>0.06</v>
      </c>
      <c r="M3612" s="258">
        <f t="shared" si="861"/>
        <v>0.06</v>
      </c>
      <c r="N3612" s="251">
        <f t="shared" si="862"/>
        <v>48.943680000000008</v>
      </c>
      <c r="O3612" s="258">
        <v>0.02</v>
      </c>
      <c r="P3612" s="258">
        <f t="shared" si="863"/>
        <v>0.02</v>
      </c>
      <c r="Q3612" s="249">
        <v>2400</v>
      </c>
      <c r="R3612" s="249">
        <f t="shared" si="865"/>
        <v>2447.1840000000002</v>
      </c>
      <c r="S3612" s="250">
        <v>0.15</v>
      </c>
      <c r="T3612" s="300">
        <f>Q3612*S3612+Q3612-10</f>
        <v>2750</v>
      </c>
      <c r="U3612" s="315">
        <f t="shared" si="854"/>
        <v>2814.2616000000003</v>
      </c>
      <c r="V3612" s="315">
        <f t="shared" si="855"/>
        <v>2825</v>
      </c>
      <c r="W3612" s="316">
        <f t="shared" si="864"/>
        <v>0</v>
      </c>
    </row>
    <row r="3613" spans="1:23" ht="21" x14ac:dyDescent="0.25">
      <c r="A3613" s="208" t="s">
        <v>15809</v>
      </c>
      <c r="B3613" s="255" t="s">
        <v>22926</v>
      </c>
      <c r="C3613" s="248"/>
      <c r="D3613" s="247" t="s">
        <v>11</v>
      </c>
      <c r="E3613" s="249">
        <f t="shared" si="856"/>
        <v>757.45681321800009</v>
      </c>
      <c r="F3613" s="258">
        <v>0.3085</v>
      </c>
      <c r="G3613" s="258">
        <f t="shared" si="857"/>
        <v>0.3085</v>
      </c>
      <c r="H3613" s="249">
        <f t="shared" si="858"/>
        <v>1482.9948628320001</v>
      </c>
      <c r="I3613" s="258">
        <v>0.60399999999999998</v>
      </c>
      <c r="J3613" s="258">
        <f t="shared" si="859"/>
        <v>0.60399999999999998</v>
      </c>
      <c r="K3613" s="249">
        <f t="shared" si="860"/>
        <v>153.45559425000002</v>
      </c>
      <c r="L3613" s="258">
        <v>6.25E-2</v>
      </c>
      <c r="M3613" s="258">
        <f t="shared" si="861"/>
        <v>6.25E-2</v>
      </c>
      <c r="N3613" s="251">
        <f t="shared" si="862"/>
        <v>61.382237700000012</v>
      </c>
      <c r="O3613" s="258">
        <v>2.5000000000000001E-2</v>
      </c>
      <c r="P3613" s="258">
        <f t="shared" si="863"/>
        <v>2.5000000000000001E-2</v>
      </c>
      <c r="Q3613" s="249">
        <v>2408</v>
      </c>
      <c r="R3613" s="249">
        <f t="shared" si="865"/>
        <v>2455.2895080000003</v>
      </c>
      <c r="S3613" s="250">
        <v>0.15</v>
      </c>
      <c r="T3613" s="300">
        <f>Q3613*S3613+Q3613+31</f>
        <v>2800.2</v>
      </c>
      <c r="U3613" s="315">
        <f t="shared" si="854"/>
        <v>2823.5829342000002</v>
      </c>
      <c r="V3613" s="315">
        <f t="shared" si="855"/>
        <v>2825</v>
      </c>
      <c r="W3613" s="316">
        <f t="shared" si="864"/>
        <v>0</v>
      </c>
    </row>
    <row r="3614" spans="1:23" ht="21" x14ac:dyDescent="0.25">
      <c r="A3614" s="208" t="s">
        <v>15810</v>
      </c>
      <c r="B3614" s="255" t="s">
        <v>22927</v>
      </c>
      <c r="C3614" s="248"/>
      <c r="D3614" s="247" t="s">
        <v>11</v>
      </c>
      <c r="E3614" s="249">
        <f t="shared" si="856"/>
        <v>754.84431253872003</v>
      </c>
      <c r="F3614" s="258">
        <v>0.30120000000000002</v>
      </c>
      <c r="G3614" s="258">
        <f t="shared" si="857"/>
        <v>0.30120000000000002</v>
      </c>
      <c r="H3614" s="249">
        <f t="shared" si="858"/>
        <v>1533.24618330408</v>
      </c>
      <c r="I3614" s="258">
        <v>0.61180000000000001</v>
      </c>
      <c r="J3614" s="258">
        <f t="shared" si="859"/>
        <v>0.61180000000000001</v>
      </c>
      <c r="K3614" s="249">
        <f t="shared" si="860"/>
        <v>152.8735161516</v>
      </c>
      <c r="L3614" s="258">
        <v>6.0999999999999999E-2</v>
      </c>
      <c r="M3614" s="258">
        <f t="shared" si="861"/>
        <v>6.0999999999999999E-2</v>
      </c>
      <c r="N3614" s="251">
        <f t="shared" si="862"/>
        <v>65.159203605599998</v>
      </c>
      <c r="O3614" s="258">
        <v>2.5999999999999999E-2</v>
      </c>
      <c r="P3614" s="258">
        <f t="shared" si="863"/>
        <v>2.5999999999999999E-2</v>
      </c>
      <c r="Q3614" s="249">
        <v>2458</v>
      </c>
      <c r="R3614" s="249">
        <f t="shared" si="865"/>
        <v>2506.1232156000001</v>
      </c>
      <c r="S3614" s="250">
        <v>0.15</v>
      </c>
      <c r="T3614" s="300">
        <f>Q3614*S3614+Q3614+23</f>
        <v>2849.7</v>
      </c>
      <c r="U3614" s="315">
        <f t="shared" si="854"/>
        <v>2882.0416979400002</v>
      </c>
      <c r="V3614" s="315">
        <f t="shared" si="855"/>
        <v>2900</v>
      </c>
      <c r="W3614" s="316">
        <f t="shared" si="864"/>
        <v>0</v>
      </c>
    </row>
    <row r="3615" spans="1:23" ht="31.2" x14ac:dyDescent="0.25">
      <c r="A3615" s="208" t="s">
        <v>15811</v>
      </c>
      <c r="B3615" s="255" t="s">
        <v>22928</v>
      </c>
      <c r="C3615" s="248"/>
      <c r="D3615" s="247" t="s">
        <v>11</v>
      </c>
      <c r="E3615" s="249">
        <f t="shared" si="856"/>
        <v>754.84431253872003</v>
      </c>
      <c r="F3615" s="258">
        <v>0.30120000000000002</v>
      </c>
      <c r="G3615" s="258">
        <f t="shared" si="857"/>
        <v>0.30120000000000002</v>
      </c>
      <c r="H3615" s="249">
        <f t="shared" si="858"/>
        <v>1533.24618330408</v>
      </c>
      <c r="I3615" s="258">
        <v>0.61180000000000001</v>
      </c>
      <c r="J3615" s="258">
        <f t="shared" si="859"/>
        <v>0.61180000000000001</v>
      </c>
      <c r="K3615" s="249">
        <f t="shared" si="860"/>
        <v>152.8735161516</v>
      </c>
      <c r="L3615" s="258">
        <v>6.0999999999999999E-2</v>
      </c>
      <c r="M3615" s="258">
        <f t="shared" si="861"/>
        <v>6.0999999999999999E-2</v>
      </c>
      <c r="N3615" s="251">
        <f t="shared" si="862"/>
        <v>65.159203605599998</v>
      </c>
      <c r="O3615" s="258">
        <v>2.5999999999999999E-2</v>
      </c>
      <c r="P3615" s="258">
        <f t="shared" si="863"/>
        <v>2.5999999999999999E-2</v>
      </c>
      <c r="Q3615" s="249">
        <v>2458</v>
      </c>
      <c r="R3615" s="249">
        <f t="shared" si="865"/>
        <v>2506.1232156000001</v>
      </c>
      <c r="S3615" s="250">
        <v>0.15</v>
      </c>
      <c r="T3615" s="300">
        <f>Q3615*S3615+Q3615+23</f>
        <v>2849.7</v>
      </c>
      <c r="U3615" s="315">
        <f t="shared" si="854"/>
        <v>2882.0416979400002</v>
      </c>
      <c r="V3615" s="315">
        <f t="shared" si="855"/>
        <v>2900</v>
      </c>
      <c r="W3615" s="316">
        <f t="shared" si="864"/>
        <v>0</v>
      </c>
    </row>
    <row r="3616" spans="1:23" x14ac:dyDescent="0.25">
      <c r="A3616" s="208" t="s">
        <v>15812</v>
      </c>
      <c r="B3616" s="313" t="s">
        <v>22929</v>
      </c>
      <c r="C3616" s="248"/>
      <c r="D3616" s="247" t="s">
        <v>11</v>
      </c>
      <c r="E3616" s="249">
        <f t="shared" si="856"/>
        <v>1109.1073030350001</v>
      </c>
      <c r="F3616" s="258">
        <v>0.30499999999999999</v>
      </c>
      <c r="G3616" s="258">
        <f t="shared" si="857"/>
        <v>0.30499999999999999</v>
      </c>
      <c r="H3616" s="249">
        <f t="shared" si="858"/>
        <v>2283.6701190360004</v>
      </c>
      <c r="I3616" s="258">
        <v>0.628</v>
      </c>
      <c r="J3616" s="258">
        <f t="shared" si="859"/>
        <v>0.628</v>
      </c>
      <c r="K3616" s="249">
        <f t="shared" si="860"/>
        <v>149.09311286700003</v>
      </c>
      <c r="L3616" s="258">
        <v>4.1000000000000002E-2</v>
      </c>
      <c r="M3616" s="258">
        <f t="shared" si="861"/>
        <v>4.1000000000000002E-2</v>
      </c>
      <c r="N3616" s="251">
        <f t="shared" si="862"/>
        <v>94.546852062000013</v>
      </c>
      <c r="O3616" s="258">
        <v>2.5999999999999999E-2</v>
      </c>
      <c r="P3616" s="258">
        <f t="shared" si="863"/>
        <v>2.5999999999999999E-2</v>
      </c>
      <c r="Q3616" s="249">
        <v>3567</v>
      </c>
      <c r="R3616" s="249">
        <f t="shared" si="865"/>
        <v>3636.4173870000004</v>
      </c>
      <c r="S3616" s="250">
        <v>0.15</v>
      </c>
      <c r="T3616" s="300">
        <f>Q3616*S3616+Q3616-2</f>
        <v>4100.05</v>
      </c>
      <c r="U3616" s="315">
        <f t="shared" si="854"/>
        <v>4181.8799950500006</v>
      </c>
      <c r="V3616" s="315">
        <f t="shared" si="855"/>
        <v>4200</v>
      </c>
      <c r="W3616" s="316">
        <f t="shared" si="864"/>
        <v>0</v>
      </c>
    </row>
    <row r="3617" spans="1:23" ht="21" x14ac:dyDescent="0.25">
      <c r="A3617" s="208" t="s">
        <v>15813</v>
      </c>
      <c r="B3617" s="255" t="s">
        <v>22930</v>
      </c>
      <c r="C3617" s="248"/>
      <c r="D3617" s="247" t="s">
        <v>11</v>
      </c>
      <c r="E3617" s="249">
        <f t="shared" si="856"/>
        <v>1117.2882481600002</v>
      </c>
      <c r="F3617" s="258">
        <v>0.30399999999999999</v>
      </c>
      <c r="G3617" s="258">
        <f t="shared" si="857"/>
        <v>0.30399999999999999</v>
      </c>
      <c r="H3617" s="249">
        <f t="shared" si="858"/>
        <v>2330.1340438600005</v>
      </c>
      <c r="I3617" s="258">
        <v>0.63400000000000001</v>
      </c>
      <c r="J3617" s="258">
        <f t="shared" si="859"/>
        <v>0.63400000000000001</v>
      </c>
      <c r="K3617" s="249">
        <f t="shared" si="860"/>
        <v>154.36219218000002</v>
      </c>
      <c r="L3617" s="258">
        <v>4.2000000000000003E-2</v>
      </c>
      <c r="M3617" s="258">
        <f t="shared" si="861"/>
        <v>4.2000000000000003E-2</v>
      </c>
      <c r="N3617" s="251">
        <f t="shared" si="862"/>
        <v>73.505805800000005</v>
      </c>
      <c r="O3617" s="258">
        <v>0.02</v>
      </c>
      <c r="P3617" s="258">
        <f t="shared" si="863"/>
        <v>0.02</v>
      </c>
      <c r="Q3617" s="249">
        <v>3605</v>
      </c>
      <c r="R3617" s="249">
        <f t="shared" si="865"/>
        <v>3675.2902900000004</v>
      </c>
      <c r="S3617" s="250">
        <v>0.15</v>
      </c>
      <c r="T3617" s="300">
        <f>Q3617*S3617+Q3617-2+6</f>
        <v>4149.75</v>
      </c>
      <c r="U3617" s="315">
        <f t="shared" si="854"/>
        <v>4226.5838335000008</v>
      </c>
      <c r="V3617" s="315">
        <f t="shared" si="855"/>
        <v>4250</v>
      </c>
      <c r="W3617" s="316">
        <f t="shared" si="864"/>
        <v>0</v>
      </c>
    </row>
    <row r="3618" spans="1:23" ht="21" x14ac:dyDescent="0.25">
      <c r="A3618" s="208" t="s">
        <v>15796</v>
      </c>
      <c r="B3618" s="255" t="s">
        <v>22931</v>
      </c>
      <c r="C3618" s="248"/>
      <c r="D3618" s="247" t="s">
        <v>11</v>
      </c>
      <c r="E3618" s="249">
        <f t="shared" si="856"/>
        <v>1121.81376892052</v>
      </c>
      <c r="F3618" s="258">
        <v>0.26889999999999997</v>
      </c>
      <c r="G3618" s="258">
        <f t="shared" si="857"/>
        <v>0.26889999999999997</v>
      </c>
      <c r="H3618" s="249">
        <f t="shared" si="858"/>
        <v>2826.4366993070003</v>
      </c>
      <c r="I3618" s="258">
        <v>0.67749999999999999</v>
      </c>
      <c r="J3618" s="258">
        <f t="shared" si="859"/>
        <v>0.67749999999999999</v>
      </c>
      <c r="K3618" s="249">
        <f t="shared" si="860"/>
        <v>152.69015969688002</v>
      </c>
      <c r="L3618" s="258">
        <v>3.6600000000000001E-2</v>
      </c>
      <c r="M3618" s="258">
        <f t="shared" si="861"/>
        <v>3.6600000000000001E-2</v>
      </c>
      <c r="N3618" s="251">
        <f t="shared" si="862"/>
        <v>70.921658875600002</v>
      </c>
      <c r="O3618" s="258">
        <v>1.7000000000000001E-2</v>
      </c>
      <c r="P3618" s="258">
        <f t="shared" si="863"/>
        <v>1.7000000000000001E-2</v>
      </c>
      <c r="Q3618" s="249">
        <v>4093</v>
      </c>
      <c r="R3618" s="249">
        <f t="shared" si="865"/>
        <v>4171.8622868000002</v>
      </c>
      <c r="S3618" s="250">
        <v>0.15</v>
      </c>
      <c r="T3618" s="300">
        <f>Q3618*S3618+Q3618-7</f>
        <v>4699.95</v>
      </c>
      <c r="U3618" s="315">
        <f t="shared" si="854"/>
        <v>4797.6416298200002</v>
      </c>
      <c r="V3618" s="315">
        <f t="shared" si="855"/>
        <v>4800</v>
      </c>
      <c r="W3618" s="316">
        <f t="shared" si="864"/>
        <v>0</v>
      </c>
    </row>
    <row r="3619" spans="1:23" ht="21.6" x14ac:dyDescent="0.3">
      <c r="A3619" s="208" t="s">
        <v>15814</v>
      </c>
      <c r="B3619" s="255" t="s">
        <v>22932</v>
      </c>
      <c r="C3619" s="394"/>
      <c r="D3619" s="247" t="s">
        <v>11</v>
      </c>
      <c r="E3619" s="249">
        <f t="shared" si="856"/>
        <v>1116.870757272</v>
      </c>
      <c r="F3619" s="258">
        <v>0.26429999999999998</v>
      </c>
      <c r="G3619" s="258">
        <f t="shared" si="857"/>
        <v>0.26429999999999998</v>
      </c>
      <c r="H3619" s="249">
        <f t="shared" si="858"/>
        <v>2882.3970621840003</v>
      </c>
      <c r="I3619" s="258">
        <v>0.68210000000000004</v>
      </c>
      <c r="J3619" s="258">
        <f t="shared" si="859"/>
        <v>0.68210000000000004</v>
      </c>
      <c r="K3619" s="249">
        <f t="shared" si="860"/>
        <v>154.663146864</v>
      </c>
      <c r="L3619" s="258">
        <v>3.6600000000000001E-2</v>
      </c>
      <c r="M3619" s="258">
        <f t="shared" si="861"/>
        <v>3.6600000000000001E-2</v>
      </c>
      <c r="N3619" s="251">
        <f t="shared" si="862"/>
        <v>71.838073680000008</v>
      </c>
      <c r="O3619" s="258">
        <v>1.7000000000000001E-2</v>
      </c>
      <c r="P3619" s="258">
        <f t="shared" si="863"/>
        <v>1.7000000000000001E-2</v>
      </c>
      <c r="Q3619" s="249">
        <v>4146</v>
      </c>
      <c r="R3619" s="249">
        <f t="shared" si="865"/>
        <v>4225.7690400000001</v>
      </c>
      <c r="S3619" s="250">
        <v>0.15</v>
      </c>
      <c r="T3619" s="300">
        <f>Q3619*S3619+Q3619-18</f>
        <v>4749.8999999999996</v>
      </c>
      <c r="U3619" s="315">
        <f t="shared" si="854"/>
        <v>4859.6343960000004</v>
      </c>
      <c r="V3619" s="315">
        <f t="shared" si="855"/>
        <v>4875</v>
      </c>
      <c r="W3619" s="316">
        <f t="shared" si="864"/>
        <v>0</v>
      </c>
    </row>
    <row r="3620" spans="1:23" ht="21.6" x14ac:dyDescent="0.3">
      <c r="A3620" s="208" t="s">
        <v>15815</v>
      </c>
      <c r="B3620" s="255" t="s">
        <v>22933</v>
      </c>
      <c r="C3620" s="394"/>
      <c r="D3620" s="247" t="s">
        <v>11</v>
      </c>
      <c r="E3620" s="249">
        <f t="shared" si="856"/>
        <v>1120.9812186058202</v>
      </c>
      <c r="F3620" s="258">
        <v>0.25740000000000002</v>
      </c>
      <c r="G3620" s="258">
        <f t="shared" si="857"/>
        <v>0.25740000000000002</v>
      </c>
      <c r="H3620" s="249">
        <f t="shared" si="858"/>
        <v>3011.4938332009506</v>
      </c>
      <c r="I3620" s="258">
        <v>0.6915</v>
      </c>
      <c r="J3620" s="258">
        <f t="shared" si="859"/>
        <v>0.6915</v>
      </c>
      <c r="K3620" s="249">
        <f t="shared" si="860"/>
        <v>152.86107526443001</v>
      </c>
      <c r="L3620" s="258">
        <v>3.5099999999999999E-2</v>
      </c>
      <c r="M3620" s="258">
        <f t="shared" si="861"/>
        <v>3.5099999999999999E-2</v>
      </c>
      <c r="N3620" s="251">
        <f t="shared" si="862"/>
        <v>69.680262228800018</v>
      </c>
      <c r="O3620" s="258">
        <v>1.6E-2</v>
      </c>
      <c r="P3620" s="258">
        <f t="shared" si="863"/>
        <v>1.6E-2</v>
      </c>
      <c r="Q3620" s="249">
        <v>4273</v>
      </c>
      <c r="R3620" s="249">
        <f t="shared" si="865"/>
        <v>4355.0163893000008</v>
      </c>
      <c r="S3620" s="250">
        <v>0.15</v>
      </c>
      <c r="T3620" s="300">
        <f>Q3620*S3620+Q3620-14</f>
        <v>4899.95</v>
      </c>
      <c r="U3620" s="315">
        <f t="shared" si="854"/>
        <v>5008.2688476950007</v>
      </c>
      <c r="V3620" s="315">
        <f t="shared" si="855"/>
        <v>5025</v>
      </c>
      <c r="W3620" s="316">
        <f t="shared" si="864"/>
        <v>0</v>
      </c>
    </row>
    <row r="3621" spans="1:23" ht="14.4" x14ac:dyDescent="0.3">
      <c r="A3621" s="208" t="s">
        <v>15816</v>
      </c>
      <c r="B3621" s="313" t="s">
        <v>22934</v>
      </c>
      <c r="C3621" s="394"/>
      <c r="D3621" s="247" t="s">
        <v>11</v>
      </c>
      <c r="E3621" s="249">
        <f t="shared" si="856"/>
        <v>1921.46469766272</v>
      </c>
      <c r="F3621" s="258">
        <v>0.23780000000000001</v>
      </c>
      <c r="G3621" s="258">
        <f t="shared" si="857"/>
        <v>0.23780000000000001</v>
      </c>
      <c r="H3621" s="249">
        <f t="shared" si="858"/>
        <v>5848.4278728691197</v>
      </c>
      <c r="I3621" s="258">
        <v>0.7238</v>
      </c>
      <c r="J3621" s="258">
        <f t="shared" si="859"/>
        <v>0.7238</v>
      </c>
      <c r="K3621" s="249">
        <f t="shared" si="860"/>
        <v>229.47686044416</v>
      </c>
      <c r="L3621" s="258">
        <v>2.8400000000000002E-2</v>
      </c>
      <c r="M3621" s="258">
        <f t="shared" si="861"/>
        <v>2.8400000000000002E-2</v>
      </c>
      <c r="N3621" s="251">
        <f t="shared" si="862"/>
        <v>80.801711424000004</v>
      </c>
      <c r="O3621" s="258">
        <v>0.01</v>
      </c>
      <c r="P3621" s="258">
        <f t="shared" si="863"/>
        <v>0.01</v>
      </c>
      <c r="Q3621" s="249">
        <v>7929</v>
      </c>
      <c r="R3621" s="249">
        <f t="shared" si="865"/>
        <v>8080.1711423999996</v>
      </c>
      <c r="S3621" s="250">
        <v>0.15</v>
      </c>
      <c r="T3621" s="300">
        <f>Q3621*S3621+Q3621-18</f>
        <v>9100.35</v>
      </c>
      <c r="U3621" s="315">
        <f t="shared" si="854"/>
        <v>9292.1968137599997</v>
      </c>
      <c r="V3621" s="315">
        <f t="shared" si="855"/>
        <v>9300</v>
      </c>
      <c r="W3621" s="316">
        <f t="shared" si="864"/>
        <v>0</v>
      </c>
    </row>
    <row r="3622" spans="1:23" ht="14.4" x14ac:dyDescent="0.3">
      <c r="A3622" s="208" t="s">
        <v>15817</v>
      </c>
      <c r="B3622" s="313" t="s">
        <v>22935</v>
      </c>
      <c r="C3622" s="394"/>
      <c r="D3622" s="247" t="s">
        <v>11</v>
      </c>
      <c r="E3622" s="249">
        <f t="shared" si="856"/>
        <v>1119.235807751</v>
      </c>
      <c r="F3622" s="258">
        <v>0.25700000000000001</v>
      </c>
      <c r="G3622" s="258">
        <f t="shared" si="857"/>
        <v>0.25700000000000001</v>
      </c>
      <c r="H3622" s="249">
        <f t="shared" si="858"/>
        <v>3013.6621749559995</v>
      </c>
      <c r="I3622" s="258">
        <v>0.69199999999999995</v>
      </c>
      <c r="J3622" s="258">
        <f t="shared" si="859"/>
        <v>0.69199999999999995</v>
      </c>
      <c r="K3622" s="249">
        <f t="shared" si="860"/>
        <v>152.42511000500002</v>
      </c>
      <c r="L3622" s="258">
        <v>3.5000000000000003E-2</v>
      </c>
      <c r="M3622" s="258">
        <f t="shared" si="861"/>
        <v>3.5000000000000003E-2</v>
      </c>
      <c r="N3622" s="251">
        <f t="shared" si="862"/>
        <v>69.680050288000004</v>
      </c>
      <c r="O3622" s="258">
        <v>1.6E-2</v>
      </c>
      <c r="P3622" s="258">
        <f t="shared" si="863"/>
        <v>1.6E-2</v>
      </c>
      <c r="Q3622" s="249">
        <v>4273</v>
      </c>
      <c r="R3622" s="249">
        <f t="shared" si="865"/>
        <v>4355.0031429999999</v>
      </c>
      <c r="S3622" s="250">
        <v>0.15</v>
      </c>
      <c r="T3622" s="300">
        <f>Q3622*S3622+Q3622-14</f>
        <v>4899.95</v>
      </c>
      <c r="U3622" s="315">
        <f t="shared" ref="U3622:U3685" si="866">(R3622*S3622)+R3622</f>
        <v>5008.25361445</v>
      </c>
      <c r="V3622" s="315">
        <f t="shared" ref="V3622:V3685" si="867">IF(U3622=0, 0, IF(U3622&lt;10, _xlfn.CEILING.MATH(U3622,1), IF(U3622&lt;100, _xlfn.CEILING.MATH(U3622,1),IF(U3622&lt;1000, _xlfn.CEILING.MATH(U3622,5), IF(U3622&lt;10000, _xlfn.CEILING.MATH(U3622, 25), IF(U3622&lt;100000, _xlfn.CEILING.MATH(U3622,250), IF(U3622&lt;1000000, _xlfn.CEILING.MATH(U3622,500), 0)))))))</f>
        <v>5025</v>
      </c>
      <c r="W3622" s="316">
        <f t="shared" si="864"/>
        <v>0</v>
      </c>
    </row>
    <row r="3623" spans="1:23" x14ac:dyDescent="0.25">
      <c r="A3623" s="199" t="s">
        <v>14936</v>
      </c>
      <c r="B3623" s="307" t="s">
        <v>15818</v>
      </c>
      <c r="C3623" s="308"/>
      <c r="D3623" s="309"/>
      <c r="E3623" s="310"/>
      <c r="F3623" s="311"/>
      <c r="G3623" s="311"/>
      <c r="H3623" s="310"/>
      <c r="I3623" s="311"/>
      <c r="J3623" s="311"/>
      <c r="K3623" s="310"/>
      <c r="L3623" s="311"/>
      <c r="M3623" s="311"/>
      <c r="N3623" s="310"/>
      <c r="O3623" s="311"/>
      <c r="P3623" s="311"/>
      <c r="Q3623" s="310"/>
      <c r="R3623" s="310"/>
      <c r="S3623" s="309"/>
      <c r="T3623" s="309"/>
      <c r="U3623" s="309"/>
      <c r="V3623" s="309"/>
      <c r="W3623" s="312"/>
    </row>
    <row r="3624" spans="1:23" ht="21" x14ac:dyDescent="0.25">
      <c r="A3624" s="208" t="s">
        <v>15819</v>
      </c>
      <c r="B3624" s="255" t="s">
        <v>15820</v>
      </c>
      <c r="C3624" s="248"/>
      <c r="D3624" s="247" t="s">
        <v>11</v>
      </c>
      <c r="E3624" s="249">
        <f t="shared" si="856"/>
        <v>100.05722041500002</v>
      </c>
      <c r="F3624" s="258">
        <v>0.53700000000000003</v>
      </c>
      <c r="G3624" s="258">
        <f t="shared" si="857"/>
        <v>0.53700000000000003</v>
      </c>
      <c r="H3624" s="249">
        <f t="shared" si="858"/>
        <v>60.74237217000001</v>
      </c>
      <c r="I3624" s="258">
        <v>0.32600000000000001</v>
      </c>
      <c r="J3624" s="258">
        <f t="shared" si="859"/>
        <v>0.32600000000000001</v>
      </c>
      <c r="K3624" s="249">
        <f t="shared" si="860"/>
        <v>15.278756190000001</v>
      </c>
      <c r="L3624" s="374">
        <v>8.2000000000000003E-2</v>
      </c>
      <c r="M3624" s="258">
        <f t="shared" si="861"/>
        <v>8.2000000000000003E-2</v>
      </c>
      <c r="N3624" s="251">
        <f t="shared" si="862"/>
        <v>10.247946225000002</v>
      </c>
      <c r="O3624" s="258">
        <v>5.5E-2</v>
      </c>
      <c r="P3624" s="258">
        <f t="shared" si="863"/>
        <v>5.5E-2</v>
      </c>
      <c r="Q3624" s="249">
        <v>182.5</v>
      </c>
      <c r="R3624" s="249">
        <f t="shared" si="865"/>
        <v>186.32629500000002</v>
      </c>
      <c r="S3624" s="250">
        <v>0.1</v>
      </c>
      <c r="T3624" s="300">
        <f>Q3624*S3624+Q3624-1</f>
        <v>199.75</v>
      </c>
      <c r="U3624" s="315">
        <f t="shared" si="866"/>
        <v>204.95892450000002</v>
      </c>
      <c r="V3624" s="315">
        <f t="shared" si="867"/>
        <v>205</v>
      </c>
      <c r="W3624" s="316">
        <f t="shared" si="864"/>
        <v>0</v>
      </c>
    </row>
    <row r="3625" spans="1:23" ht="21" x14ac:dyDescent="0.25">
      <c r="A3625" s="208" t="s">
        <v>15821</v>
      </c>
      <c r="B3625" s="255" t="s">
        <v>15822</v>
      </c>
      <c r="C3625" s="248"/>
      <c r="D3625" s="247" t="s">
        <v>11</v>
      </c>
      <c r="E3625" s="249">
        <f t="shared" si="856"/>
        <v>100.03835082799999</v>
      </c>
      <c r="F3625" s="258">
        <v>0.52</v>
      </c>
      <c r="G3625" s="258">
        <f t="shared" si="857"/>
        <v>0.52</v>
      </c>
      <c r="H3625" s="249">
        <f t="shared" si="858"/>
        <v>66.756361033299982</v>
      </c>
      <c r="I3625" s="258">
        <v>0.34699999999999998</v>
      </c>
      <c r="J3625" s="258">
        <f t="shared" si="859"/>
        <v>0.34699999999999998</v>
      </c>
      <c r="K3625" s="249">
        <f t="shared" si="860"/>
        <v>15.390515511999997</v>
      </c>
      <c r="L3625" s="374">
        <v>0.08</v>
      </c>
      <c r="M3625" s="258">
        <f t="shared" si="861"/>
        <v>0.08</v>
      </c>
      <c r="N3625" s="251">
        <f t="shared" si="862"/>
        <v>10.196216526699997</v>
      </c>
      <c r="O3625" s="258">
        <v>5.2999999999999999E-2</v>
      </c>
      <c r="P3625" s="258">
        <f t="shared" si="863"/>
        <v>5.2999999999999999E-2</v>
      </c>
      <c r="Q3625" s="249">
        <v>188.45</v>
      </c>
      <c r="R3625" s="249">
        <f t="shared" si="865"/>
        <v>192.38144389999997</v>
      </c>
      <c r="S3625" s="250">
        <v>0.1</v>
      </c>
      <c r="T3625" s="300">
        <f>Q3625*S3625+Q3625+3</f>
        <v>210.29499999999999</v>
      </c>
      <c r="U3625" s="315">
        <f t="shared" si="866"/>
        <v>211.61958828999997</v>
      </c>
      <c r="V3625" s="315">
        <f t="shared" si="867"/>
        <v>215</v>
      </c>
      <c r="W3625" s="316">
        <f t="shared" si="864"/>
        <v>0</v>
      </c>
    </row>
    <row r="3626" spans="1:23" ht="21" x14ac:dyDescent="0.25">
      <c r="A3626" s="208" t="s">
        <v>15823</v>
      </c>
      <c r="B3626" s="255" t="s">
        <v>22936</v>
      </c>
      <c r="C3626" s="248"/>
      <c r="D3626" s="247" t="s">
        <v>11</v>
      </c>
      <c r="E3626" s="249">
        <f t="shared" si="856"/>
        <v>100.01328132960001</v>
      </c>
      <c r="F3626" s="258">
        <v>0.496</v>
      </c>
      <c r="G3626" s="258">
        <f t="shared" si="857"/>
        <v>0.496</v>
      </c>
      <c r="H3626" s="249">
        <f t="shared" si="858"/>
        <v>76.018159397700003</v>
      </c>
      <c r="I3626" s="258">
        <v>0.377</v>
      </c>
      <c r="J3626" s="258">
        <f t="shared" si="859"/>
        <v>0.377</v>
      </c>
      <c r="K3626" s="249">
        <f t="shared" si="860"/>
        <v>15.324615687600001</v>
      </c>
      <c r="L3626" s="374">
        <v>7.5999999999999998E-2</v>
      </c>
      <c r="M3626" s="258">
        <f t="shared" si="861"/>
        <v>7.5999999999999998E-2</v>
      </c>
      <c r="N3626" s="251">
        <f t="shared" si="862"/>
        <v>10.2836236851</v>
      </c>
      <c r="O3626" s="258">
        <v>5.0999999999999997E-2</v>
      </c>
      <c r="P3626" s="258">
        <f t="shared" si="863"/>
        <v>5.0999999999999997E-2</v>
      </c>
      <c r="Q3626" s="249">
        <v>197.55</v>
      </c>
      <c r="R3626" s="249">
        <f t="shared" si="865"/>
        <v>201.63968010000002</v>
      </c>
      <c r="S3626" s="250">
        <v>0.1</v>
      </c>
      <c r="T3626" s="300">
        <f>Q3626*S3626+Q3626+3</f>
        <v>220.30500000000001</v>
      </c>
      <c r="U3626" s="315">
        <f t="shared" si="866"/>
        <v>221.80364811000004</v>
      </c>
      <c r="V3626" s="315">
        <f t="shared" si="867"/>
        <v>225</v>
      </c>
      <c r="W3626" s="316">
        <f t="shared" si="864"/>
        <v>0</v>
      </c>
    </row>
    <row r="3627" spans="1:23" ht="21" x14ac:dyDescent="0.25">
      <c r="A3627" s="208" t="s">
        <v>15824</v>
      </c>
      <c r="B3627" s="255" t="s">
        <v>22937</v>
      </c>
      <c r="C3627" s="248"/>
      <c r="D3627" s="247" t="s">
        <v>11</v>
      </c>
      <c r="E3627" s="249">
        <f t="shared" si="856"/>
        <v>99.985063227840001</v>
      </c>
      <c r="F3627" s="258">
        <v>0.432</v>
      </c>
      <c r="G3627" s="258">
        <f t="shared" si="857"/>
        <v>0.432</v>
      </c>
      <c r="H3627" s="249">
        <f t="shared" si="858"/>
        <v>95.587572021059998</v>
      </c>
      <c r="I3627" s="258">
        <v>0.41299999999999998</v>
      </c>
      <c r="J3627" s="258">
        <f t="shared" si="859"/>
        <v>0.41299999999999998</v>
      </c>
      <c r="K3627" s="249">
        <f t="shared" si="860"/>
        <v>25.227712712580001</v>
      </c>
      <c r="L3627" s="374">
        <v>0.109</v>
      </c>
      <c r="M3627" s="258">
        <f t="shared" si="861"/>
        <v>0.109</v>
      </c>
      <c r="N3627" s="251">
        <f t="shared" si="862"/>
        <v>10.646557658519999</v>
      </c>
      <c r="O3627" s="258">
        <v>4.5999999999999999E-2</v>
      </c>
      <c r="P3627" s="258">
        <f t="shared" si="863"/>
        <v>4.5999999999999999E-2</v>
      </c>
      <c r="Q3627" s="249">
        <v>226.78</v>
      </c>
      <c r="R3627" s="249">
        <f t="shared" si="865"/>
        <v>231.44690562</v>
      </c>
      <c r="S3627" s="250">
        <v>0.1</v>
      </c>
      <c r="T3627" s="300">
        <f>Q3627*S3627+Q3627+1</f>
        <v>250.458</v>
      </c>
      <c r="U3627" s="315">
        <f t="shared" si="866"/>
        <v>254.59159618199999</v>
      </c>
      <c r="V3627" s="315">
        <f t="shared" si="867"/>
        <v>255</v>
      </c>
      <c r="W3627" s="316">
        <f t="shared" si="864"/>
        <v>0</v>
      </c>
    </row>
    <row r="3628" spans="1:23" ht="21" x14ac:dyDescent="0.25">
      <c r="A3628" s="208" t="s">
        <v>15825</v>
      </c>
      <c r="B3628" s="255" t="s">
        <v>22938</v>
      </c>
      <c r="C3628" s="248"/>
      <c r="D3628" s="247" t="s">
        <v>11</v>
      </c>
      <c r="E3628" s="249">
        <f t="shared" si="856"/>
        <v>149.88510815399999</v>
      </c>
      <c r="F3628" s="258">
        <v>0.254</v>
      </c>
      <c r="G3628" s="258">
        <f t="shared" si="857"/>
        <v>0.254</v>
      </c>
      <c r="H3628" s="249">
        <f t="shared" si="858"/>
        <v>399.496922127</v>
      </c>
      <c r="I3628" s="258">
        <v>0.67700000000000005</v>
      </c>
      <c r="J3628" s="258">
        <f t="shared" si="859"/>
        <v>0.67700000000000005</v>
      </c>
      <c r="K3628" s="249">
        <f t="shared" si="860"/>
        <v>25.374250592999996</v>
      </c>
      <c r="L3628" s="374">
        <v>4.2999999999999997E-2</v>
      </c>
      <c r="M3628" s="258">
        <f t="shared" si="861"/>
        <v>4.2999999999999997E-2</v>
      </c>
      <c r="N3628" s="251">
        <f t="shared" si="862"/>
        <v>15.342570125999998</v>
      </c>
      <c r="O3628" s="258">
        <v>2.5999999999999999E-2</v>
      </c>
      <c r="P3628" s="258">
        <f t="shared" si="863"/>
        <v>2.5999999999999999E-2</v>
      </c>
      <c r="Q3628" s="249">
        <v>579</v>
      </c>
      <c r="R3628" s="249">
        <f t="shared" si="865"/>
        <v>590.09885099999997</v>
      </c>
      <c r="S3628" s="250">
        <v>0.1</v>
      </c>
      <c r="T3628" s="300">
        <f>Q3628*S3628+Q3628+3</f>
        <v>639.9</v>
      </c>
      <c r="U3628" s="315">
        <f t="shared" si="866"/>
        <v>649.10873609999999</v>
      </c>
      <c r="V3628" s="315">
        <f t="shared" si="867"/>
        <v>650</v>
      </c>
      <c r="W3628" s="316">
        <f t="shared" si="864"/>
        <v>0</v>
      </c>
    </row>
    <row r="3629" spans="1:23" x14ac:dyDescent="0.25">
      <c r="A3629" s="208" t="s">
        <v>15826</v>
      </c>
      <c r="B3629" s="313" t="s">
        <v>22939</v>
      </c>
      <c r="C3629" s="248"/>
      <c r="D3629" s="247" t="s">
        <v>11</v>
      </c>
      <c r="E3629" s="249">
        <f t="shared" si="856"/>
        <v>150.3331466091</v>
      </c>
      <c r="F3629" s="258">
        <v>0.54500000000000004</v>
      </c>
      <c r="G3629" s="258">
        <f t="shared" si="857"/>
        <v>0.54500000000000004</v>
      </c>
      <c r="H3629" s="249">
        <f t="shared" si="858"/>
        <v>95.165019413099998</v>
      </c>
      <c r="I3629" s="258">
        <v>0.34499999999999997</v>
      </c>
      <c r="J3629" s="258">
        <f t="shared" si="859"/>
        <v>0.34499999999999997</v>
      </c>
      <c r="K3629" s="249">
        <f t="shared" si="860"/>
        <v>15.447075614880001</v>
      </c>
      <c r="L3629" s="374">
        <v>5.6000000000000001E-2</v>
      </c>
      <c r="M3629" s="258">
        <f t="shared" si="861"/>
        <v>5.6000000000000001E-2</v>
      </c>
      <c r="N3629" s="251">
        <f t="shared" si="862"/>
        <v>14.89539434292</v>
      </c>
      <c r="O3629" s="258">
        <v>5.3999999999999999E-2</v>
      </c>
      <c r="P3629" s="258">
        <f t="shared" si="863"/>
        <v>5.3999999999999999E-2</v>
      </c>
      <c r="Q3629" s="249">
        <v>270.20999999999998</v>
      </c>
      <c r="R3629" s="249">
        <f t="shared" si="865"/>
        <v>275.84063598</v>
      </c>
      <c r="S3629" s="250">
        <v>0.1</v>
      </c>
      <c r="T3629" s="300">
        <f>Q3629*S3629+Q3629+3</f>
        <v>300.23099999999999</v>
      </c>
      <c r="U3629" s="315">
        <f t="shared" si="866"/>
        <v>303.424699578</v>
      </c>
      <c r="V3629" s="315">
        <f t="shared" si="867"/>
        <v>305</v>
      </c>
      <c r="W3629" s="316">
        <f t="shared" si="864"/>
        <v>0</v>
      </c>
    </row>
    <row r="3630" spans="1:23" x14ac:dyDescent="0.25">
      <c r="A3630" s="208" t="s">
        <v>15827</v>
      </c>
      <c r="B3630" s="313" t="s">
        <v>22940</v>
      </c>
      <c r="C3630" s="248"/>
      <c r="D3630" s="247" t="s">
        <v>11</v>
      </c>
      <c r="E3630" s="249">
        <f t="shared" si="856"/>
        <v>149.94835451376005</v>
      </c>
      <c r="F3630" s="258">
        <v>0.45100000000000001</v>
      </c>
      <c r="G3630" s="258">
        <f t="shared" si="857"/>
        <v>0.45100000000000001</v>
      </c>
      <c r="H3630" s="249">
        <f t="shared" si="858"/>
        <v>151.94323284432005</v>
      </c>
      <c r="I3630" s="258">
        <v>0.45700000000000002</v>
      </c>
      <c r="J3630" s="258">
        <f t="shared" si="859"/>
        <v>0.45700000000000002</v>
      </c>
      <c r="K3630" s="249">
        <f t="shared" si="860"/>
        <v>15.294067200960002</v>
      </c>
      <c r="L3630" s="374">
        <v>4.5999999999999999E-2</v>
      </c>
      <c r="M3630" s="258">
        <f t="shared" si="861"/>
        <v>4.5999999999999999E-2</v>
      </c>
      <c r="N3630" s="251">
        <f t="shared" si="862"/>
        <v>15.294067200960002</v>
      </c>
      <c r="O3630" s="258">
        <v>4.5999999999999999E-2</v>
      </c>
      <c r="P3630" s="258">
        <f t="shared" si="863"/>
        <v>4.5999999999999999E-2</v>
      </c>
      <c r="Q3630" s="249">
        <v>325.88</v>
      </c>
      <c r="R3630" s="249">
        <f t="shared" si="865"/>
        <v>332.47972176000007</v>
      </c>
      <c r="S3630" s="250">
        <v>0.1</v>
      </c>
      <c r="T3630" s="300">
        <f>Q3630*S3630+Q3630+2</f>
        <v>360.46800000000002</v>
      </c>
      <c r="U3630" s="315">
        <f t="shared" si="866"/>
        <v>365.72769393600009</v>
      </c>
      <c r="V3630" s="315">
        <f t="shared" si="867"/>
        <v>370</v>
      </c>
      <c r="W3630" s="316">
        <f t="shared" si="864"/>
        <v>0</v>
      </c>
    </row>
    <row r="3631" spans="1:23" x14ac:dyDescent="0.25">
      <c r="A3631" s="208" t="s">
        <v>15828</v>
      </c>
      <c r="B3631" s="313" t="s">
        <v>22941</v>
      </c>
      <c r="C3631" s="248"/>
      <c r="D3631" s="247" t="s">
        <v>11</v>
      </c>
      <c r="E3631" s="249">
        <f t="shared" si="856"/>
        <v>149.97149284380001</v>
      </c>
      <c r="F3631" s="258">
        <v>0.56499999999999995</v>
      </c>
      <c r="G3631" s="258">
        <f t="shared" si="857"/>
        <v>0.56499999999999995</v>
      </c>
      <c r="H3631" s="249">
        <f t="shared" si="858"/>
        <v>84.674170295880018</v>
      </c>
      <c r="I3631" s="258">
        <v>0.31900000000000001</v>
      </c>
      <c r="J3631" s="258">
        <f t="shared" si="859"/>
        <v>0.31900000000000001</v>
      </c>
      <c r="K3631" s="249">
        <f t="shared" si="860"/>
        <v>15.395303690160004</v>
      </c>
      <c r="L3631" s="374">
        <v>5.8000000000000003E-2</v>
      </c>
      <c r="M3631" s="258">
        <f t="shared" si="861"/>
        <v>5.8000000000000003E-2</v>
      </c>
      <c r="N3631" s="251">
        <f t="shared" si="862"/>
        <v>15.395303690160004</v>
      </c>
      <c r="O3631" s="258">
        <v>5.8000000000000003E-2</v>
      </c>
      <c r="P3631" s="258">
        <f t="shared" si="863"/>
        <v>5.8000000000000003E-2</v>
      </c>
      <c r="Q3631" s="249">
        <v>259.99</v>
      </c>
      <c r="R3631" s="249">
        <f t="shared" si="865"/>
        <v>265.43627052000005</v>
      </c>
      <c r="S3631" s="250">
        <v>0.1</v>
      </c>
      <c r="T3631" s="300">
        <f>Q3631*S3631+Q3631+4</f>
        <v>289.98900000000003</v>
      </c>
      <c r="U3631" s="315">
        <f t="shared" si="866"/>
        <v>291.97989757200003</v>
      </c>
      <c r="V3631" s="315">
        <f t="shared" si="867"/>
        <v>295</v>
      </c>
      <c r="W3631" s="316">
        <f t="shared" si="864"/>
        <v>0</v>
      </c>
    </row>
    <row r="3632" spans="1:23" ht="14.4" x14ac:dyDescent="0.3">
      <c r="A3632" s="208" t="s">
        <v>15829</v>
      </c>
      <c r="B3632" s="313" t="s">
        <v>22942</v>
      </c>
      <c r="C3632" s="394"/>
      <c r="D3632" s="395" t="s">
        <v>11</v>
      </c>
      <c r="E3632" s="249">
        <f t="shared" si="856"/>
        <v>199.16201698224</v>
      </c>
      <c r="F3632" s="258">
        <v>0.498</v>
      </c>
      <c r="G3632" s="258">
        <f t="shared" si="857"/>
        <v>0.498</v>
      </c>
      <c r="H3632" s="249">
        <f t="shared" si="858"/>
        <v>170.36750850287999</v>
      </c>
      <c r="I3632" s="258">
        <v>0.42599999999999999</v>
      </c>
      <c r="J3632" s="258">
        <f t="shared" si="859"/>
        <v>0.42599999999999999</v>
      </c>
      <c r="K3632" s="249">
        <f t="shared" si="860"/>
        <v>15.197101697439999</v>
      </c>
      <c r="L3632" s="374">
        <v>3.7999999999999999E-2</v>
      </c>
      <c r="M3632" s="258">
        <f t="shared" si="861"/>
        <v>3.7999999999999999E-2</v>
      </c>
      <c r="N3632" s="251">
        <f t="shared" si="862"/>
        <v>15.197101697439999</v>
      </c>
      <c r="O3632" s="258">
        <v>3.7999999999999999E-2</v>
      </c>
      <c r="P3632" s="258">
        <f t="shared" si="863"/>
        <v>3.7999999999999999E-2</v>
      </c>
      <c r="Q3632" s="249">
        <v>391.88</v>
      </c>
      <c r="R3632" s="249">
        <f t="shared" si="865"/>
        <v>399.92372888</v>
      </c>
      <c r="S3632" s="250">
        <v>0.1</v>
      </c>
      <c r="T3632" s="300">
        <f>Q3632*S3632+Q3632-1</f>
        <v>430.06799999999998</v>
      </c>
      <c r="U3632" s="315">
        <f t="shared" si="866"/>
        <v>439.91610176799998</v>
      </c>
      <c r="V3632" s="315">
        <f t="shared" si="867"/>
        <v>440</v>
      </c>
      <c r="W3632" s="316">
        <f t="shared" si="864"/>
        <v>0</v>
      </c>
    </row>
    <row r="3633" spans="1:23" ht="14.4" x14ac:dyDescent="0.3">
      <c r="A3633" s="208" t="s">
        <v>15830</v>
      </c>
      <c r="B3633" s="313" t="s">
        <v>22943</v>
      </c>
      <c r="C3633" s="394"/>
      <c r="D3633" s="247" t="s">
        <v>11</v>
      </c>
      <c r="E3633" s="249">
        <f t="shared" si="856"/>
        <v>199.36773816960005</v>
      </c>
      <c r="F3633" s="258">
        <v>0.51600000000000001</v>
      </c>
      <c r="G3633" s="258">
        <f t="shared" si="857"/>
        <v>0.51600000000000001</v>
      </c>
      <c r="H3633" s="249">
        <f t="shared" si="858"/>
        <v>156.86686375360003</v>
      </c>
      <c r="I3633" s="258">
        <v>0.40600000000000003</v>
      </c>
      <c r="J3633" s="258">
        <f t="shared" si="859"/>
        <v>0.40600000000000003</v>
      </c>
      <c r="K3633" s="249">
        <f t="shared" si="860"/>
        <v>15.068491838400002</v>
      </c>
      <c r="L3633" s="374">
        <v>3.9E-2</v>
      </c>
      <c r="M3633" s="258">
        <f t="shared" si="861"/>
        <v>3.9E-2</v>
      </c>
      <c r="N3633" s="251">
        <f t="shared" si="862"/>
        <v>15.068491838400002</v>
      </c>
      <c r="O3633" s="258">
        <v>3.9E-2</v>
      </c>
      <c r="P3633" s="258">
        <f t="shared" si="863"/>
        <v>3.9E-2</v>
      </c>
      <c r="Q3633" s="249">
        <v>378.56</v>
      </c>
      <c r="R3633" s="249">
        <f t="shared" si="865"/>
        <v>386.37158560000006</v>
      </c>
      <c r="S3633" s="250">
        <v>0.1</v>
      </c>
      <c r="T3633" s="300">
        <f>Q3633*S3633+Q3633+4</f>
        <v>420.416</v>
      </c>
      <c r="U3633" s="315">
        <f t="shared" si="866"/>
        <v>425.00874416000005</v>
      </c>
      <c r="V3633" s="315">
        <f t="shared" si="867"/>
        <v>430</v>
      </c>
      <c r="W3633" s="316">
        <f t="shared" si="864"/>
        <v>0</v>
      </c>
    </row>
    <row r="3634" spans="1:23" x14ac:dyDescent="0.25">
      <c r="A3634" s="208" t="s">
        <v>15831</v>
      </c>
      <c r="B3634" s="313" t="s">
        <v>15832</v>
      </c>
      <c r="C3634" s="248"/>
      <c r="D3634" s="247" t="s">
        <v>11</v>
      </c>
      <c r="E3634" s="249">
        <f t="shared" si="856"/>
        <v>199.02232376496005</v>
      </c>
      <c r="F3634" s="258">
        <v>0.55200000000000005</v>
      </c>
      <c r="G3634" s="258">
        <f t="shared" si="857"/>
        <v>0.55200000000000005</v>
      </c>
      <c r="H3634" s="249">
        <f t="shared" si="858"/>
        <v>130.87881073674001</v>
      </c>
      <c r="I3634" s="258">
        <v>0.36299999999999999</v>
      </c>
      <c r="J3634" s="258">
        <f t="shared" si="859"/>
        <v>0.36299999999999999</v>
      </c>
      <c r="K3634" s="249">
        <f t="shared" si="860"/>
        <v>15.503550583140001</v>
      </c>
      <c r="L3634" s="314">
        <v>4.2999999999999997E-2</v>
      </c>
      <c r="M3634" s="258">
        <f t="shared" si="861"/>
        <v>4.2999999999999997E-2</v>
      </c>
      <c r="N3634" s="251">
        <f t="shared" si="862"/>
        <v>15.143002895160002</v>
      </c>
      <c r="O3634" s="258">
        <v>4.2000000000000003E-2</v>
      </c>
      <c r="P3634" s="258">
        <f t="shared" si="863"/>
        <v>4.2000000000000003E-2</v>
      </c>
      <c r="Q3634" s="249">
        <v>353.18</v>
      </c>
      <c r="R3634" s="249">
        <f t="shared" si="865"/>
        <v>360.54768798000003</v>
      </c>
      <c r="S3634" s="250">
        <v>0.1</v>
      </c>
      <c r="T3634" s="300">
        <f>Q3634*S3634+Q3634+2</f>
        <v>390.49799999999999</v>
      </c>
      <c r="U3634" s="315">
        <f t="shared" si="866"/>
        <v>396.60245677800003</v>
      </c>
      <c r="V3634" s="315">
        <f t="shared" si="867"/>
        <v>400</v>
      </c>
      <c r="W3634" s="316">
        <f t="shared" si="864"/>
        <v>0</v>
      </c>
    </row>
    <row r="3635" spans="1:23" x14ac:dyDescent="0.25">
      <c r="A3635" s="208" t="s">
        <v>15833</v>
      </c>
      <c r="B3635" s="313" t="s">
        <v>22944</v>
      </c>
      <c r="C3635" s="248"/>
      <c r="D3635" s="247" t="s">
        <v>11</v>
      </c>
      <c r="E3635" s="249">
        <f t="shared" si="856"/>
        <v>198.82349122196001</v>
      </c>
      <c r="F3635" s="258">
        <v>0.46700000000000003</v>
      </c>
      <c r="G3635" s="258">
        <f t="shared" si="857"/>
        <v>0.46700000000000003</v>
      </c>
      <c r="H3635" s="249">
        <f t="shared" si="858"/>
        <v>196.26901381868001</v>
      </c>
      <c r="I3635" s="258">
        <v>0.46100000000000002</v>
      </c>
      <c r="J3635" s="258">
        <f t="shared" si="859"/>
        <v>0.46100000000000002</v>
      </c>
      <c r="K3635" s="249">
        <f t="shared" si="860"/>
        <v>15.326864419679998</v>
      </c>
      <c r="L3635" s="314">
        <v>3.5999999999999997E-2</v>
      </c>
      <c r="M3635" s="258">
        <f t="shared" si="861"/>
        <v>3.5999999999999997E-2</v>
      </c>
      <c r="N3635" s="251">
        <f t="shared" si="862"/>
        <v>15.326864419679998</v>
      </c>
      <c r="O3635" s="258">
        <v>3.5999999999999997E-2</v>
      </c>
      <c r="P3635" s="258">
        <f t="shared" si="863"/>
        <v>3.5999999999999997E-2</v>
      </c>
      <c r="Q3635" s="249">
        <v>417.26</v>
      </c>
      <c r="R3635" s="249">
        <f t="shared" si="865"/>
        <v>425.74623387999998</v>
      </c>
      <c r="S3635" s="250">
        <v>0.1</v>
      </c>
      <c r="T3635" s="300">
        <f>Q3635*S3635+Q3635+1</f>
        <v>459.98599999999999</v>
      </c>
      <c r="U3635" s="315">
        <f t="shared" si="866"/>
        <v>468.320857268</v>
      </c>
      <c r="V3635" s="315">
        <f t="shared" si="867"/>
        <v>470</v>
      </c>
      <c r="W3635" s="316">
        <f t="shared" si="864"/>
        <v>0</v>
      </c>
    </row>
    <row r="3636" spans="1:23" x14ac:dyDescent="0.25">
      <c r="A3636" s="208" t="s">
        <v>15834</v>
      </c>
      <c r="B3636" s="313" t="s">
        <v>15835</v>
      </c>
      <c r="C3636" s="248"/>
      <c r="D3636" s="247" t="s">
        <v>11</v>
      </c>
      <c r="E3636" s="249">
        <f t="shared" si="856"/>
        <v>199.22413720999998</v>
      </c>
      <c r="F3636" s="258">
        <v>0.51100000000000001</v>
      </c>
      <c r="G3636" s="258">
        <f t="shared" si="857"/>
        <v>0.51100000000000001</v>
      </c>
      <c r="H3636" s="249">
        <f t="shared" si="858"/>
        <v>160.23702620999995</v>
      </c>
      <c r="I3636" s="258">
        <v>0.41099999999999998</v>
      </c>
      <c r="J3636" s="258">
        <f t="shared" si="859"/>
        <v>0.41099999999999998</v>
      </c>
      <c r="K3636" s="249">
        <f t="shared" si="860"/>
        <v>15.204973289999998</v>
      </c>
      <c r="L3636" s="314">
        <v>3.9E-2</v>
      </c>
      <c r="M3636" s="258">
        <f t="shared" si="861"/>
        <v>3.9E-2</v>
      </c>
      <c r="N3636" s="251">
        <f t="shared" si="862"/>
        <v>15.204973289999998</v>
      </c>
      <c r="O3636" s="258">
        <v>3.9E-2</v>
      </c>
      <c r="P3636" s="258">
        <f t="shared" si="863"/>
        <v>3.9E-2</v>
      </c>
      <c r="Q3636" s="249">
        <v>382</v>
      </c>
      <c r="R3636" s="249">
        <f t="shared" si="865"/>
        <v>389.87110999999993</v>
      </c>
      <c r="S3636" s="250">
        <v>0.1</v>
      </c>
      <c r="T3636" s="300">
        <f>Q3636*S3636+Q3636</f>
        <v>420.2</v>
      </c>
      <c r="U3636" s="315">
        <f t="shared" si="866"/>
        <v>428.85822099999996</v>
      </c>
      <c r="V3636" s="315">
        <f t="shared" si="867"/>
        <v>430</v>
      </c>
      <c r="W3636" s="316">
        <f t="shared" si="864"/>
        <v>0</v>
      </c>
    </row>
    <row r="3637" spans="1:23" x14ac:dyDescent="0.25">
      <c r="A3637" s="208" t="s">
        <v>15836</v>
      </c>
      <c r="B3637" s="313" t="s">
        <v>15837</v>
      </c>
      <c r="C3637" s="248"/>
      <c r="D3637" s="247" t="s">
        <v>11</v>
      </c>
      <c r="E3637" s="249">
        <f t="shared" si="856"/>
        <v>199.32279001830003</v>
      </c>
      <c r="F3637" s="258">
        <v>0.48499999999999999</v>
      </c>
      <c r="G3637" s="258">
        <f t="shared" si="857"/>
        <v>0.48499999999999999</v>
      </c>
      <c r="H3637" s="249">
        <f t="shared" si="858"/>
        <v>181.23989772798004</v>
      </c>
      <c r="I3637" s="258">
        <v>0.441</v>
      </c>
      <c r="J3637" s="258">
        <f t="shared" si="859"/>
        <v>0.441</v>
      </c>
      <c r="K3637" s="249">
        <f t="shared" si="860"/>
        <v>15.206068516860002</v>
      </c>
      <c r="L3637" s="314">
        <v>3.6999999999999998E-2</v>
      </c>
      <c r="M3637" s="258">
        <f t="shared" si="861"/>
        <v>3.6999999999999998E-2</v>
      </c>
      <c r="N3637" s="251">
        <f t="shared" si="862"/>
        <v>15.206068516860002</v>
      </c>
      <c r="O3637" s="258">
        <v>3.6999999999999998E-2</v>
      </c>
      <c r="P3637" s="258">
        <f t="shared" si="863"/>
        <v>3.6999999999999998E-2</v>
      </c>
      <c r="Q3637" s="249">
        <v>402.74</v>
      </c>
      <c r="R3637" s="249">
        <f t="shared" si="865"/>
        <v>410.97482478000006</v>
      </c>
      <c r="S3637" s="250">
        <v>0.1</v>
      </c>
      <c r="T3637" s="300">
        <f>Q3637*S3637+Q3637+7</f>
        <v>450.01400000000001</v>
      </c>
      <c r="U3637" s="315">
        <f t="shared" si="866"/>
        <v>452.07230725800008</v>
      </c>
      <c r="V3637" s="315">
        <f t="shared" si="867"/>
        <v>455</v>
      </c>
      <c r="W3637" s="316">
        <f t="shared" si="864"/>
        <v>0</v>
      </c>
    </row>
    <row r="3638" spans="1:23" x14ac:dyDescent="0.25">
      <c r="A3638" s="208" t="s">
        <v>15838</v>
      </c>
      <c r="B3638" s="313" t="s">
        <v>22945</v>
      </c>
      <c r="C3638" s="248"/>
      <c r="D3638" s="247" t="s">
        <v>11</v>
      </c>
      <c r="E3638" s="249">
        <f t="shared" si="856"/>
        <v>100.03315049595001</v>
      </c>
      <c r="F3638" s="258">
        <v>0.59499999999999997</v>
      </c>
      <c r="G3638" s="258">
        <f t="shared" si="857"/>
        <v>0.59499999999999997</v>
      </c>
      <c r="H3638" s="249">
        <f t="shared" si="858"/>
        <v>42.535104328530011</v>
      </c>
      <c r="I3638" s="258">
        <v>0.253</v>
      </c>
      <c r="J3638" s="258">
        <f t="shared" si="859"/>
        <v>0.253</v>
      </c>
      <c r="K3638" s="249">
        <f t="shared" si="860"/>
        <v>15.299187722910002</v>
      </c>
      <c r="L3638" s="314">
        <v>9.0999999999999998E-2</v>
      </c>
      <c r="M3638" s="258">
        <f t="shared" si="861"/>
        <v>9.0999999999999998E-2</v>
      </c>
      <c r="N3638" s="251">
        <f t="shared" si="862"/>
        <v>10.255499462610002</v>
      </c>
      <c r="O3638" s="258">
        <v>6.0999999999999999E-2</v>
      </c>
      <c r="P3638" s="258">
        <f t="shared" si="863"/>
        <v>6.0999999999999999E-2</v>
      </c>
      <c r="Q3638" s="249">
        <v>164.61</v>
      </c>
      <c r="R3638" s="249">
        <f t="shared" si="865"/>
        <v>168.12294201000003</v>
      </c>
      <c r="S3638" s="250">
        <v>0.1</v>
      </c>
      <c r="T3638" s="300">
        <f>Q3638*S3638+Q3638-1</f>
        <v>180.07100000000003</v>
      </c>
      <c r="U3638" s="315">
        <f t="shared" si="866"/>
        <v>184.93523621100005</v>
      </c>
      <c r="V3638" s="315">
        <f t="shared" si="867"/>
        <v>185</v>
      </c>
      <c r="W3638" s="316">
        <f t="shared" si="864"/>
        <v>0</v>
      </c>
    </row>
    <row r="3639" spans="1:23" ht="14.4" thickBot="1" x14ac:dyDescent="0.3">
      <c r="A3639" s="214" t="s">
        <v>15839</v>
      </c>
      <c r="B3639" s="321" t="s">
        <v>15840</v>
      </c>
      <c r="C3639" s="265"/>
      <c r="D3639" s="264" t="s">
        <v>11</v>
      </c>
      <c r="E3639" s="266">
        <f t="shared" si="856"/>
        <v>106.15317278040001</v>
      </c>
      <c r="F3639" s="322">
        <v>0.51900000000000002</v>
      </c>
      <c r="G3639" s="322">
        <f t="shared" si="857"/>
        <v>0.51900000000000002</v>
      </c>
      <c r="H3639" s="266">
        <f t="shared" si="858"/>
        <v>78.950143917600016</v>
      </c>
      <c r="I3639" s="322">
        <v>0.38600000000000001</v>
      </c>
      <c r="J3639" s="322">
        <f t="shared" si="859"/>
        <v>0.38600000000000001</v>
      </c>
      <c r="K3639" s="266">
        <f t="shared" si="860"/>
        <v>9.2040323220000015</v>
      </c>
      <c r="L3639" s="323">
        <v>4.4999999999999998E-2</v>
      </c>
      <c r="M3639" s="322">
        <f t="shared" si="861"/>
        <v>4.4999999999999998E-2</v>
      </c>
      <c r="N3639" s="270">
        <f t="shared" si="862"/>
        <v>10.226702580000001</v>
      </c>
      <c r="O3639" s="322">
        <v>0.05</v>
      </c>
      <c r="P3639" s="322">
        <f t="shared" si="863"/>
        <v>0.05</v>
      </c>
      <c r="Q3639" s="266">
        <v>200.4</v>
      </c>
      <c r="R3639" s="266">
        <f t="shared" si="865"/>
        <v>204.53405160000003</v>
      </c>
      <c r="S3639" s="267">
        <v>0.1</v>
      </c>
      <c r="T3639" s="301">
        <f>Q3639*S3639+Q3639</f>
        <v>220.44</v>
      </c>
      <c r="U3639" s="324">
        <f t="shared" si="866"/>
        <v>224.98745676000004</v>
      </c>
      <c r="V3639" s="324">
        <f t="shared" si="867"/>
        <v>225</v>
      </c>
      <c r="W3639" s="325">
        <f t="shared" si="864"/>
        <v>0</v>
      </c>
    </row>
    <row r="3640" spans="1:23" x14ac:dyDescent="0.25">
      <c r="A3640" s="208" t="s">
        <v>15841</v>
      </c>
      <c r="B3640" s="313" t="s">
        <v>22946</v>
      </c>
      <c r="C3640" s="248"/>
      <c r="D3640" s="247" t="s">
        <v>11</v>
      </c>
      <c r="E3640" s="249">
        <f t="shared" si="856"/>
        <v>150.03977178042001</v>
      </c>
      <c r="F3640" s="258">
        <v>0.45900000000000002</v>
      </c>
      <c r="G3640" s="258">
        <f t="shared" si="857"/>
        <v>0.45900000000000002</v>
      </c>
      <c r="H3640" s="249">
        <f t="shared" si="858"/>
        <v>146.11716336786</v>
      </c>
      <c r="I3640" s="258">
        <v>0.44700000000000001</v>
      </c>
      <c r="J3640" s="258">
        <f t="shared" si="859"/>
        <v>0.44700000000000001</v>
      </c>
      <c r="K3640" s="249">
        <f t="shared" si="860"/>
        <v>15.36354961586</v>
      </c>
      <c r="L3640" s="314">
        <v>4.7E-2</v>
      </c>
      <c r="M3640" s="258">
        <f t="shared" si="861"/>
        <v>4.7E-2</v>
      </c>
      <c r="N3640" s="251">
        <f t="shared" si="862"/>
        <v>15.36354961586</v>
      </c>
      <c r="O3640" s="258">
        <v>4.7E-2</v>
      </c>
      <c r="P3640" s="258">
        <f t="shared" si="863"/>
        <v>4.7E-2</v>
      </c>
      <c r="Q3640" s="249">
        <v>320.38</v>
      </c>
      <c r="R3640" s="249">
        <f t="shared" si="865"/>
        <v>326.88403438</v>
      </c>
      <c r="S3640" s="250">
        <v>0.1</v>
      </c>
      <c r="T3640" s="300">
        <f>Q3640*S3640+Q3640+8</f>
        <v>360.41800000000001</v>
      </c>
      <c r="U3640" s="315">
        <f t="shared" si="866"/>
        <v>359.57243781800003</v>
      </c>
      <c r="V3640" s="315">
        <f t="shared" si="867"/>
        <v>360</v>
      </c>
      <c r="W3640" s="316">
        <f t="shared" si="864"/>
        <v>0</v>
      </c>
    </row>
    <row r="3641" spans="1:23" x14ac:dyDescent="0.25">
      <c r="A3641" s="208" t="s">
        <v>15842</v>
      </c>
      <c r="B3641" s="313" t="s">
        <v>22947</v>
      </c>
      <c r="C3641" s="248"/>
      <c r="D3641" s="247" t="s">
        <v>11</v>
      </c>
      <c r="E3641" s="249">
        <f t="shared" si="856"/>
        <v>150.08509790820005</v>
      </c>
      <c r="F3641" s="258">
        <v>0.39</v>
      </c>
      <c r="G3641" s="258">
        <f t="shared" si="857"/>
        <v>0.39</v>
      </c>
      <c r="H3641" s="249">
        <f t="shared" si="858"/>
        <v>204.34663330578007</v>
      </c>
      <c r="I3641" s="258">
        <v>0.53100000000000003</v>
      </c>
      <c r="J3641" s="258">
        <f t="shared" si="859"/>
        <v>0.53100000000000003</v>
      </c>
      <c r="K3641" s="249">
        <f t="shared" si="860"/>
        <v>15.393343375200004</v>
      </c>
      <c r="L3641" s="314">
        <v>0.04</v>
      </c>
      <c r="M3641" s="258">
        <f t="shared" si="861"/>
        <v>0.04</v>
      </c>
      <c r="N3641" s="251">
        <f t="shared" si="862"/>
        <v>15.008509790820003</v>
      </c>
      <c r="O3641" s="258">
        <v>3.9E-2</v>
      </c>
      <c r="P3641" s="258">
        <f t="shared" si="863"/>
        <v>3.9E-2</v>
      </c>
      <c r="Q3641" s="249">
        <v>377.33000000000004</v>
      </c>
      <c r="R3641" s="249">
        <f t="shared" si="865"/>
        <v>384.8335843800001</v>
      </c>
      <c r="S3641" s="250">
        <v>0.1</v>
      </c>
      <c r="T3641" s="300">
        <f>Q3641*S3641+Q3641+5</f>
        <v>420.06300000000005</v>
      </c>
      <c r="U3641" s="315">
        <f t="shared" si="866"/>
        <v>423.31694281800014</v>
      </c>
      <c r="V3641" s="315">
        <f t="shared" si="867"/>
        <v>425</v>
      </c>
      <c r="W3641" s="316">
        <f t="shared" si="864"/>
        <v>0</v>
      </c>
    </row>
    <row r="3642" spans="1:23" x14ac:dyDescent="0.25">
      <c r="A3642" s="208" t="s">
        <v>15843</v>
      </c>
      <c r="B3642" s="313" t="s">
        <v>22948</v>
      </c>
      <c r="C3642" s="248"/>
      <c r="D3642" s="247" t="s">
        <v>11</v>
      </c>
      <c r="E3642" s="249">
        <f t="shared" si="856"/>
        <v>150.2783028186</v>
      </c>
      <c r="F3642" s="258">
        <v>0.48499999999999999</v>
      </c>
      <c r="G3642" s="258">
        <f t="shared" si="857"/>
        <v>0.48499999999999999</v>
      </c>
      <c r="H3642" s="249">
        <f t="shared" si="858"/>
        <v>129.20835520691998</v>
      </c>
      <c r="I3642" s="258">
        <v>0.41699999999999998</v>
      </c>
      <c r="J3642" s="258">
        <f t="shared" si="859"/>
        <v>0.41699999999999998</v>
      </c>
      <c r="K3642" s="249">
        <f t="shared" si="860"/>
        <v>15.18275636724</v>
      </c>
      <c r="L3642" s="314">
        <v>4.9000000000000002E-2</v>
      </c>
      <c r="M3642" s="258">
        <f t="shared" si="861"/>
        <v>4.9000000000000002E-2</v>
      </c>
      <c r="N3642" s="251">
        <f t="shared" si="862"/>
        <v>15.18275636724</v>
      </c>
      <c r="O3642" s="258">
        <v>4.9000000000000002E-2</v>
      </c>
      <c r="P3642" s="258">
        <f t="shared" si="863"/>
        <v>4.9000000000000002E-2</v>
      </c>
      <c r="Q3642" s="249">
        <v>303.64</v>
      </c>
      <c r="R3642" s="249">
        <f t="shared" si="865"/>
        <v>309.85217075999998</v>
      </c>
      <c r="S3642" s="250">
        <v>0.1</v>
      </c>
      <c r="T3642" s="300">
        <f>Q3642*S3642+Q3642+6</f>
        <v>340.00399999999996</v>
      </c>
      <c r="U3642" s="315">
        <f t="shared" si="866"/>
        <v>340.83738783599995</v>
      </c>
      <c r="V3642" s="315">
        <f t="shared" si="867"/>
        <v>345</v>
      </c>
      <c r="W3642" s="316">
        <f t="shared" si="864"/>
        <v>0</v>
      </c>
    </row>
    <row r="3643" spans="1:23" ht="14.4" x14ac:dyDescent="0.3">
      <c r="A3643" s="208" t="s">
        <v>15844</v>
      </c>
      <c r="B3643" s="313" t="s">
        <v>22949</v>
      </c>
      <c r="C3643" s="394"/>
      <c r="D3643" s="395" t="s">
        <v>11</v>
      </c>
      <c r="E3643" s="249">
        <f t="shared" si="856"/>
        <v>199.21393449216004</v>
      </c>
      <c r="F3643" s="258">
        <v>0.44800000000000001</v>
      </c>
      <c r="G3643" s="258">
        <f t="shared" si="857"/>
        <v>0.44800000000000001</v>
      </c>
      <c r="H3643" s="249">
        <f t="shared" si="858"/>
        <v>215.22219708528002</v>
      </c>
      <c r="I3643" s="258">
        <v>0.48399999999999999</v>
      </c>
      <c r="J3643" s="258">
        <f t="shared" si="859"/>
        <v>0.48399999999999999</v>
      </c>
      <c r="K3643" s="249">
        <f t="shared" si="860"/>
        <v>15.118914671280004</v>
      </c>
      <c r="L3643" s="314">
        <v>3.4000000000000002E-2</v>
      </c>
      <c r="M3643" s="258">
        <f t="shared" si="861"/>
        <v>3.4000000000000002E-2</v>
      </c>
      <c r="N3643" s="251">
        <f t="shared" si="862"/>
        <v>15.118914671280004</v>
      </c>
      <c r="O3643" s="258">
        <v>3.4000000000000002E-2</v>
      </c>
      <c r="P3643" s="258">
        <f t="shared" si="863"/>
        <v>3.4000000000000002E-2</v>
      </c>
      <c r="Q3643" s="249">
        <v>435.86</v>
      </c>
      <c r="R3643" s="249">
        <f t="shared" si="865"/>
        <v>444.67396092000007</v>
      </c>
      <c r="S3643" s="250">
        <v>0.1</v>
      </c>
      <c r="T3643" s="300">
        <f>Q3643*S3643+Q3643+1</f>
        <v>480.44600000000003</v>
      </c>
      <c r="U3643" s="315">
        <f t="shared" si="866"/>
        <v>489.14135701200007</v>
      </c>
      <c r="V3643" s="315">
        <f t="shared" si="867"/>
        <v>490</v>
      </c>
      <c r="W3643" s="316">
        <f t="shared" si="864"/>
        <v>0</v>
      </c>
    </row>
    <row r="3644" spans="1:23" ht="14.4" x14ac:dyDescent="0.3">
      <c r="A3644" s="208" t="s">
        <v>15845</v>
      </c>
      <c r="B3644" s="313" t="s">
        <v>22950</v>
      </c>
      <c r="C3644" s="394"/>
      <c r="D3644" s="247" t="s">
        <v>11</v>
      </c>
      <c r="E3644" s="249">
        <f t="shared" si="856"/>
        <v>198.8072798698</v>
      </c>
      <c r="F3644" s="258">
        <v>0.42799999999999999</v>
      </c>
      <c r="G3644" s="258">
        <f t="shared" si="857"/>
        <v>0.42799999999999999</v>
      </c>
      <c r="H3644" s="249">
        <f t="shared" si="858"/>
        <v>235.0385131171</v>
      </c>
      <c r="I3644" s="258">
        <v>0.50600000000000001</v>
      </c>
      <c r="J3644" s="258">
        <f t="shared" si="859"/>
        <v>0.50600000000000001</v>
      </c>
      <c r="K3644" s="249">
        <f t="shared" si="860"/>
        <v>15.328598681550002</v>
      </c>
      <c r="L3644" s="314">
        <v>3.3000000000000002E-2</v>
      </c>
      <c r="M3644" s="258">
        <f t="shared" si="861"/>
        <v>3.3000000000000002E-2</v>
      </c>
      <c r="N3644" s="251">
        <f t="shared" si="862"/>
        <v>15.328598681550002</v>
      </c>
      <c r="O3644" s="258">
        <v>3.3000000000000002E-2</v>
      </c>
      <c r="P3644" s="258">
        <f t="shared" si="863"/>
        <v>3.3000000000000002E-2</v>
      </c>
      <c r="Q3644" s="249">
        <v>455.35</v>
      </c>
      <c r="R3644" s="249">
        <f t="shared" si="865"/>
        <v>464.50299035</v>
      </c>
      <c r="S3644" s="250">
        <v>0.1</v>
      </c>
      <c r="T3644" s="300">
        <f>Q3644*S3644+Q3644-1</f>
        <v>499.88500000000005</v>
      </c>
      <c r="U3644" s="315">
        <f t="shared" si="866"/>
        <v>510.95328938500001</v>
      </c>
      <c r="V3644" s="315">
        <f t="shared" si="867"/>
        <v>515</v>
      </c>
      <c r="W3644" s="316">
        <f t="shared" si="864"/>
        <v>0</v>
      </c>
    </row>
    <row r="3645" spans="1:23" x14ac:dyDescent="0.25">
      <c r="A3645" s="208" t="s">
        <v>15846</v>
      </c>
      <c r="B3645" s="313" t="s">
        <v>15847</v>
      </c>
      <c r="C3645" s="248"/>
      <c r="D3645" s="247" t="s">
        <v>11</v>
      </c>
      <c r="E3645" s="249">
        <f t="shared" si="856"/>
        <v>199.43257008527999</v>
      </c>
      <c r="F3645" s="258">
        <v>0.441</v>
      </c>
      <c r="G3645" s="258">
        <f t="shared" si="857"/>
        <v>0.441</v>
      </c>
      <c r="H3645" s="249">
        <f t="shared" si="858"/>
        <v>222.49620063936001</v>
      </c>
      <c r="I3645" s="258">
        <v>0.49199999999999999</v>
      </c>
      <c r="J3645" s="258">
        <f t="shared" si="859"/>
        <v>0.49199999999999999</v>
      </c>
      <c r="K3645" s="249">
        <f t="shared" si="860"/>
        <v>15.375753702720001</v>
      </c>
      <c r="L3645" s="314">
        <v>3.4000000000000002E-2</v>
      </c>
      <c r="M3645" s="258">
        <f t="shared" si="861"/>
        <v>3.4000000000000002E-2</v>
      </c>
      <c r="N3645" s="251">
        <f t="shared" si="862"/>
        <v>14.92352565264</v>
      </c>
      <c r="O3645" s="258">
        <v>3.3000000000000002E-2</v>
      </c>
      <c r="P3645" s="258">
        <f t="shared" si="863"/>
        <v>3.3000000000000002E-2</v>
      </c>
      <c r="Q3645" s="249">
        <v>443.28</v>
      </c>
      <c r="R3645" s="249">
        <f t="shared" si="865"/>
        <v>452.22805008</v>
      </c>
      <c r="S3645" s="250">
        <v>0.1</v>
      </c>
      <c r="T3645" s="300">
        <f>Q3645*S3645+Q3645+2</f>
        <v>489.60799999999995</v>
      </c>
      <c r="U3645" s="315">
        <f t="shared" si="866"/>
        <v>497.45085508800003</v>
      </c>
      <c r="V3645" s="315">
        <f t="shared" si="867"/>
        <v>500</v>
      </c>
      <c r="W3645" s="316">
        <f t="shared" si="864"/>
        <v>0</v>
      </c>
    </row>
    <row r="3646" spans="1:23" x14ac:dyDescent="0.25">
      <c r="A3646" s="208" t="s">
        <v>15848</v>
      </c>
      <c r="B3646" s="313" t="s">
        <v>22951</v>
      </c>
      <c r="C3646" s="248"/>
      <c r="D3646" s="247" t="s">
        <v>11</v>
      </c>
      <c r="E3646" s="249">
        <f t="shared" si="856"/>
        <v>198.72724255230005</v>
      </c>
      <c r="F3646" s="258">
        <v>0.38500000000000001</v>
      </c>
      <c r="G3646" s="258">
        <f t="shared" si="857"/>
        <v>0.38500000000000001</v>
      </c>
      <c r="H3646" s="249">
        <f t="shared" si="858"/>
        <v>286.99310872488007</v>
      </c>
      <c r="I3646" s="258">
        <v>0.55600000000000005</v>
      </c>
      <c r="J3646" s="258">
        <f t="shared" si="859"/>
        <v>0.55600000000000005</v>
      </c>
      <c r="K3646" s="249">
        <f t="shared" si="860"/>
        <v>15.485239679400003</v>
      </c>
      <c r="L3646" s="314">
        <v>0.03</v>
      </c>
      <c r="M3646" s="258">
        <f t="shared" si="861"/>
        <v>0.03</v>
      </c>
      <c r="N3646" s="251">
        <f t="shared" si="862"/>
        <v>14.969065023420004</v>
      </c>
      <c r="O3646" s="258">
        <v>2.9000000000000001E-2</v>
      </c>
      <c r="P3646" s="258">
        <f t="shared" si="863"/>
        <v>2.9000000000000001E-2</v>
      </c>
      <c r="Q3646" s="249">
        <v>506.13</v>
      </c>
      <c r="R3646" s="249">
        <f t="shared" si="865"/>
        <v>516.17465598000013</v>
      </c>
      <c r="S3646" s="250">
        <v>0.1</v>
      </c>
      <c r="T3646" s="300">
        <f>Q3646*S3646+Q3646+3</f>
        <v>559.74299999999994</v>
      </c>
      <c r="U3646" s="315">
        <f t="shared" si="866"/>
        <v>567.79212157800009</v>
      </c>
      <c r="V3646" s="315">
        <f t="shared" si="867"/>
        <v>570</v>
      </c>
      <c r="W3646" s="316">
        <f t="shared" si="864"/>
        <v>0</v>
      </c>
    </row>
    <row r="3647" spans="1:23" x14ac:dyDescent="0.25">
      <c r="A3647" s="208" t="s">
        <v>15849</v>
      </c>
      <c r="B3647" s="313" t="s">
        <v>15850</v>
      </c>
      <c r="C3647" s="248"/>
      <c r="D3647" s="247" t="s">
        <v>11</v>
      </c>
      <c r="E3647" s="249">
        <f t="shared" si="856"/>
        <v>199.50473164859997</v>
      </c>
      <c r="F3647" s="258">
        <v>0.41</v>
      </c>
      <c r="G3647" s="258">
        <f t="shared" si="857"/>
        <v>0.41</v>
      </c>
      <c r="H3647" s="249">
        <f t="shared" si="858"/>
        <v>256.92316661088</v>
      </c>
      <c r="I3647" s="258">
        <v>0.52800000000000002</v>
      </c>
      <c r="J3647" s="258">
        <f t="shared" si="859"/>
        <v>0.52800000000000002</v>
      </c>
      <c r="K3647" s="249">
        <f t="shared" si="860"/>
        <v>15.084504100259998</v>
      </c>
      <c r="L3647" s="314">
        <v>3.1E-2</v>
      </c>
      <c r="M3647" s="258">
        <f t="shared" si="861"/>
        <v>3.1E-2</v>
      </c>
      <c r="N3647" s="251">
        <f t="shared" si="862"/>
        <v>15.084504100259998</v>
      </c>
      <c r="O3647" s="258">
        <v>3.1E-2</v>
      </c>
      <c r="P3647" s="258">
        <f t="shared" si="863"/>
        <v>3.1E-2</v>
      </c>
      <c r="Q3647" s="249">
        <v>477.06</v>
      </c>
      <c r="R3647" s="249">
        <f t="shared" si="865"/>
        <v>486.59690645999996</v>
      </c>
      <c r="S3647" s="250">
        <v>0.1</v>
      </c>
      <c r="T3647" s="300">
        <f>Q3647*S3647+Q3647+5</f>
        <v>529.76599999999996</v>
      </c>
      <c r="U3647" s="315">
        <f t="shared" si="866"/>
        <v>535.25659710599996</v>
      </c>
      <c r="V3647" s="315">
        <f t="shared" si="867"/>
        <v>540</v>
      </c>
      <c r="W3647" s="316">
        <f t="shared" si="864"/>
        <v>0</v>
      </c>
    </row>
    <row r="3648" spans="1:23" x14ac:dyDescent="0.25">
      <c r="A3648" s="208" t="s">
        <v>15851</v>
      </c>
      <c r="B3648" s="313" t="s">
        <v>15852</v>
      </c>
      <c r="C3648" s="248"/>
      <c r="D3648" s="247" t="s">
        <v>11</v>
      </c>
      <c r="E3648" s="249">
        <f t="shared" si="856"/>
        <v>199.34769469362004</v>
      </c>
      <c r="F3648" s="258">
        <v>0.38200000000000001</v>
      </c>
      <c r="G3648" s="258">
        <f t="shared" si="857"/>
        <v>0.38200000000000001</v>
      </c>
      <c r="H3648" s="249">
        <f t="shared" si="858"/>
        <v>292.23745818960009</v>
      </c>
      <c r="I3648" s="258">
        <v>0.56000000000000005</v>
      </c>
      <c r="J3648" s="258">
        <f t="shared" si="859"/>
        <v>0.56000000000000005</v>
      </c>
      <c r="K3648" s="249">
        <f t="shared" si="860"/>
        <v>15.133725513390003</v>
      </c>
      <c r="L3648" s="314">
        <v>2.9000000000000001E-2</v>
      </c>
      <c r="M3648" s="258">
        <f t="shared" si="861"/>
        <v>2.9000000000000001E-2</v>
      </c>
      <c r="N3648" s="251">
        <f t="shared" si="862"/>
        <v>15.133725513390003</v>
      </c>
      <c r="O3648" s="258">
        <v>2.9000000000000001E-2</v>
      </c>
      <c r="P3648" s="258">
        <f t="shared" si="863"/>
        <v>2.9000000000000001E-2</v>
      </c>
      <c r="Q3648" s="249">
        <v>511.71</v>
      </c>
      <c r="R3648" s="249">
        <f t="shared" si="865"/>
        <v>521.85260391000008</v>
      </c>
      <c r="S3648" s="250">
        <v>0.1</v>
      </c>
      <c r="T3648" s="300">
        <f>Q3648*S3648+Q3648+5</f>
        <v>567.88099999999997</v>
      </c>
      <c r="U3648" s="315">
        <f t="shared" si="866"/>
        <v>574.03786430100013</v>
      </c>
      <c r="V3648" s="315">
        <f t="shared" si="867"/>
        <v>575</v>
      </c>
      <c r="W3648" s="316">
        <f t="shared" si="864"/>
        <v>0</v>
      </c>
    </row>
    <row r="3649" spans="1:23" x14ac:dyDescent="0.25">
      <c r="A3649" s="208" t="s">
        <v>15853</v>
      </c>
      <c r="B3649" s="313" t="s">
        <v>22952</v>
      </c>
      <c r="C3649" s="248"/>
      <c r="D3649" s="247" t="s">
        <v>11</v>
      </c>
      <c r="E3649" s="249">
        <f t="shared" si="856"/>
        <v>100.03841221212301</v>
      </c>
      <c r="F3649" s="258">
        <v>0.52429999999999999</v>
      </c>
      <c r="G3649" s="258">
        <f t="shared" si="857"/>
        <v>0.52429999999999999</v>
      </c>
      <c r="H3649" s="249">
        <f t="shared" si="858"/>
        <v>65.235806094458994</v>
      </c>
      <c r="I3649" s="258">
        <v>0.34189999999999998</v>
      </c>
      <c r="J3649" s="258">
        <f t="shared" si="859"/>
        <v>0.34189999999999998</v>
      </c>
      <c r="K3649" s="249">
        <f t="shared" si="860"/>
        <v>15.321542057283001</v>
      </c>
      <c r="L3649" s="314">
        <v>8.0299999999999996E-2</v>
      </c>
      <c r="M3649" s="258">
        <f t="shared" si="861"/>
        <v>8.0299999999999996E-2</v>
      </c>
      <c r="N3649" s="251">
        <f t="shared" si="862"/>
        <v>10.208001246135</v>
      </c>
      <c r="O3649" s="258">
        <v>5.3499999999999999E-2</v>
      </c>
      <c r="P3649" s="258">
        <f t="shared" si="863"/>
        <v>5.3499999999999999E-2</v>
      </c>
      <c r="Q3649" s="249">
        <v>186.9</v>
      </c>
      <c r="R3649" s="249">
        <f t="shared" si="865"/>
        <v>190.80376161000001</v>
      </c>
      <c r="S3649" s="250">
        <v>0.1</v>
      </c>
      <c r="T3649" s="300">
        <f>Q3649*S3649+Q3649+4</f>
        <v>209.59</v>
      </c>
      <c r="U3649" s="315">
        <f t="shared" si="866"/>
        <v>209.88413777100001</v>
      </c>
      <c r="V3649" s="315">
        <f t="shared" si="867"/>
        <v>210</v>
      </c>
      <c r="W3649" s="316">
        <f t="shared" si="864"/>
        <v>0</v>
      </c>
    </row>
    <row r="3650" spans="1:23" x14ac:dyDescent="0.25">
      <c r="A3650" s="208" t="s">
        <v>15854</v>
      </c>
      <c r="B3650" s="313" t="s">
        <v>15855</v>
      </c>
      <c r="C3650" s="248"/>
      <c r="D3650" s="247" t="s">
        <v>11</v>
      </c>
      <c r="E3650" s="249">
        <f t="shared" ref="E3650:E3713" si="868">R3650*G3650</f>
        <v>99.994970805449995</v>
      </c>
      <c r="F3650" s="258">
        <v>0.41099999999999998</v>
      </c>
      <c r="G3650" s="258">
        <f t="shared" ref="G3650:G3713" si="869">F3650</f>
        <v>0.41099999999999998</v>
      </c>
      <c r="H3650" s="249">
        <f t="shared" ref="H3650:H3713" si="870">R3650*J3650</f>
        <v>117.7556347198</v>
      </c>
      <c r="I3650" s="258">
        <v>0.48399999999999999</v>
      </c>
      <c r="J3650" s="258">
        <f t="shared" ref="J3650:J3713" si="871">I3650</f>
        <v>0.48399999999999999</v>
      </c>
      <c r="K3650" s="249">
        <f t="shared" ref="K3650:K3713" si="872">R3650*M3650</f>
        <v>15.32769625485</v>
      </c>
      <c r="L3650" s="314">
        <v>6.3E-2</v>
      </c>
      <c r="M3650" s="258">
        <f t="shared" ref="M3650:M3713" si="873">L3650</f>
        <v>6.3E-2</v>
      </c>
      <c r="N3650" s="251">
        <f t="shared" ref="N3650:N3713" si="874">P3650*R3650</f>
        <v>10.218464169900001</v>
      </c>
      <c r="O3650" s="258">
        <v>4.2000000000000003E-2</v>
      </c>
      <c r="P3650" s="258">
        <f t="shared" ref="P3650:P3713" si="875">O3650</f>
        <v>4.2000000000000003E-2</v>
      </c>
      <c r="Q3650" s="249">
        <v>238.49</v>
      </c>
      <c r="R3650" s="249">
        <f t="shared" si="865"/>
        <v>243.29676595000001</v>
      </c>
      <c r="S3650" s="250">
        <v>0.1</v>
      </c>
      <c r="T3650" s="300">
        <f>Q3650*S3650+Q3650+8</f>
        <v>270.339</v>
      </c>
      <c r="U3650" s="315">
        <f t="shared" si="866"/>
        <v>267.62644254500003</v>
      </c>
      <c r="V3650" s="315">
        <f t="shared" si="867"/>
        <v>270</v>
      </c>
      <c r="W3650" s="316">
        <f t="shared" si="864"/>
        <v>0</v>
      </c>
    </row>
    <row r="3651" spans="1:23" x14ac:dyDescent="0.25">
      <c r="A3651" s="208" t="s">
        <v>15856</v>
      </c>
      <c r="B3651" s="313" t="s">
        <v>15857</v>
      </c>
      <c r="C3651" s="248"/>
      <c r="D3651" s="247" t="s">
        <v>11</v>
      </c>
      <c r="E3651" s="249">
        <f t="shared" si="868"/>
        <v>100.17356489208001</v>
      </c>
      <c r="F3651" s="258">
        <v>0.436</v>
      </c>
      <c r="G3651" s="258">
        <f t="shared" si="869"/>
        <v>0.436</v>
      </c>
      <c r="H3651" s="249">
        <f t="shared" si="870"/>
        <v>104.07941489934002</v>
      </c>
      <c r="I3651" s="258">
        <v>0.45300000000000001</v>
      </c>
      <c r="J3651" s="258">
        <f t="shared" si="871"/>
        <v>0.45300000000000001</v>
      </c>
      <c r="K3651" s="249">
        <f t="shared" si="872"/>
        <v>15.393644146260003</v>
      </c>
      <c r="L3651" s="314">
        <v>6.7000000000000004E-2</v>
      </c>
      <c r="M3651" s="258">
        <f t="shared" si="873"/>
        <v>6.7000000000000004E-2</v>
      </c>
      <c r="N3651" s="251">
        <f t="shared" si="874"/>
        <v>10.109258842320001</v>
      </c>
      <c r="O3651" s="258">
        <v>4.3999999999999997E-2</v>
      </c>
      <c r="P3651" s="258">
        <f t="shared" si="875"/>
        <v>4.3999999999999997E-2</v>
      </c>
      <c r="Q3651" s="249">
        <v>225.18</v>
      </c>
      <c r="R3651" s="249">
        <f t="shared" si="865"/>
        <v>229.75588278000004</v>
      </c>
      <c r="S3651" s="250">
        <v>0.1</v>
      </c>
      <c r="T3651" s="300">
        <f>Q3651*S3651+Q3651+2</f>
        <v>249.69800000000001</v>
      </c>
      <c r="U3651" s="315">
        <f t="shared" si="866"/>
        <v>252.73147105800004</v>
      </c>
      <c r="V3651" s="315">
        <f t="shared" si="867"/>
        <v>255</v>
      </c>
      <c r="W3651" s="316">
        <f t="shared" si="864"/>
        <v>0</v>
      </c>
    </row>
    <row r="3652" spans="1:23" x14ac:dyDescent="0.25">
      <c r="A3652" s="208" t="s">
        <v>15858</v>
      </c>
      <c r="B3652" s="313" t="s">
        <v>22953</v>
      </c>
      <c r="C3652" s="248"/>
      <c r="D3652" s="247" t="s">
        <v>11</v>
      </c>
      <c r="E3652" s="249">
        <f t="shared" si="868"/>
        <v>150.38363887008003</v>
      </c>
      <c r="F3652" s="258">
        <v>0.33700000000000002</v>
      </c>
      <c r="G3652" s="258">
        <f t="shared" si="869"/>
        <v>0.33700000000000002</v>
      </c>
      <c r="H3652" s="249">
        <f t="shared" si="870"/>
        <v>240.07833148992003</v>
      </c>
      <c r="I3652" s="258">
        <v>0.53800000000000003</v>
      </c>
      <c r="J3652" s="258">
        <f t="shared" si="871"/>
        <v>0.53800000000000003</v>
      </c>
      <c r="K3652" s="249">
        <f t="shared" si="872"/>
        <v>30.344473125120004</v>
      </c>
      <c r="L3652" s="314">
        <v>6.8000000000000005E-2</v>
      </c>
      <c r="M3652" s="258">
        <f t="shared" si="873"/>
        <v>6.8000000000000005E-2</v>
      </c>
      <c r="N3652" s="251">
        <f t="shared" si="874"/>
        <v>25.435808354880002</v>
      </c>
      <c r="O3652" s="258">
        <v>5.7000000000000002E-2</v>
      </c>
      <c r="P3652" s="258">
        <f t="shared" si="875"/>
        <v>5.7000000000000002E-2</v>
      </c>
      <c r="Q3652" s="249">
        <v>437.64</v>
      </c>
      <c r="R3652" s="249">
        <f t="shared" si="865"/>
        <v>446.24225184000005</v>
      </c>
      <c r="S3652" s="250">
        <v>0.1</v>
      </c>
      <c r="T3652" s="300">
        <f>Q3652*S3652+Q3652+9</f>
        <v>490.404</v>
      </c>
      <c r="U3652" s="315">
        <f t="shared" si="866"/>
        <v>490.86647702400006</v>
      </c>
      <c r="V3652" s="315">
        <f t="shared" si="867"/>
        <v>495</v>
      </c>
      <c r="W3652" s="316">
        <f t="shared" si="864"/>
        <v>0</v>
      </c>
    </row>
    <row r="3653" spans="1:23" x14ac:dyDescent="0.25">
      <c r="A3653" s="208" t="s">
        <v>15859</v>
      </c>
      <c r="B3653" s="313" t="s">
        <v>22954</v>
      </c>
      <c r="C3653" s="248"/>
      <c r="D3653" s="247" t="s">
        <v>11</v>
      </c>
      <c r="E3653" s="249">
        <f t="shared" si="868"/>
        <v>150.58505410209006</v>
      </c>
      <c r="F3653" s="258">
        <v>0.251</v>
      </c>
      <c r="G3653" s="258">
        <f t="shared" si="869"/>
        <v>0.251</v>
      </c>
      <c r="H3653" s="249">
        <f t="shared" si="870"/>
        <v>393.56093821104014</v>
      </c>
      <c r="I3653" s="258">
        <v>0.65600000000000003</v>
      </c>
      <c r="J3653" s="258">
        <f t="shared" si="871"/>
        <v>0.65600000000000003</v>
      </c>
      <c r="K3653" s="249">
        <f t="shared" si="872"/>
        <v>30.596963184090008</v>
      </c>
      <c r="L3653" s="314">
        <v>5.0999999999999997E-2</v>
      </c>
      <c r="M3653" s="258">
        <f t="shared" si="873"/>
        <v>5.0999999999999997E-2</v>
      </c>
      <c r="N3653" s="251">
        <f t="shared" si="874"/>
        <v>25.19749909278001</v>
      </c>
      <c r="O3653" s="258">
        <v>4.2000000000000003E-2</v>
      </c>
      <c r="P3653" s="258">
        <f t="shared" si="875"/>
        <v>4.2000000000000003E-2</v>
      </c>
      <c r="Q3653" s="249">
        <v>588.69000000000005</v>
      </c>
      <c r="R3653" s="249">
        <f t="shared" si="865"/>
        <v>599.94045459000017</v>
      </c>
      <c r="S3653" s="250">
        <v>0.1</v>
      </c>
      <c r="T3653" s="300">
        <f>Q3653*S3653+Q3653+2</f>
        <v>649.55900000000008</v>
      </c>
      <c r="U3653" s="315">
        <f t="shared" si="866"/>
        <v>659.93450004900023</v>
      </c>
      <c r="V3653" s="315">
        <f t="shared" si="867"/>
        <v>660</v>
      </c>
      <c r="W3653" s="316">
        <f t="shared" si="864"/>
        <v>0</v>
      </c>
    </row>
    <row r="3654" spans="1:23" x14ac:dyDescent="0.25">
      <c r="A3654" s="208" t="s">
        <v>15860</v>
      </c>
      <c r="B3654" s="313" t="s">
        <v>22955</v>
      </c>
      <c r="C3654" s="248"/>
      <c r="D3654" s="247" t="s">
        <v>11</v>
      </c>
      <c r="E3654" s="249">
        <f t="shared" si="868"/>
        <v>150.24430438164003</v>
      </c>
      <c r="F3654" s="258">
        <v>0.371</v>
      </c>
      <c r="G3654" s="258">
        <f t="shared" si="869"/>
        <v>0.371</v>
      </c>
      <c r="H3654" s="249">
        <f t="shared" si="870"/>
        <v>198.84084488244002</v>
      </c>
      <c r="I3654" s="258">
        <v>0.49099999999999999</v>
      </c>
      <c r="J3654" s="258">
        <f t="shared" si="871"/>
        <v>0.49099999999999999</v>
      </c>
      <c r="K3654" s="249">
        <f t="shared" si="872"/>
        <v>30.372837813000004</v>
      </c>
      <c r="L3654" s="314">
        <v>7.4999999999999997E-2</v>
      </c>
      <c r="M3654" s="258">
        <f t="shared" si="873"/>
        <v>7.4999999999999997E-2</v>
      </c>
      <c r="N3654" s="251">
        <f t="shared" si="874"/>
        <v>25.513183762920004</v>
      </c>
      <c r="O3654" s="258">
        <v>6.3E-2</v>
      </c>
      <c r="P3654" s="258">
        <f t="shared" si="875"/>
        <v>6.3E-2</v>
      </c>
      <c r="Q3654" s="249">
        <v>397.08000000000004</v>
      </c>
      <c r="R3654" s="249">
        <f t="shared" si="865"/>
        <v>404.97117084000007</v>
      </c>
      <c r="S3654" s="250">
        <v>0.1</v>
      </c>
      <c r="T3654" s="300">
        <f>Q3654*S3654+Q3654+3</f>
        <v>439.78800000000007</v>
      </c>
      <c r="U3654" s="315">
        <f t="shared" si="866"/>
        <v>445.46828792400009</v>
      </c>
      <c r="V3654" s="315">
        <f t="shared" si="867"/>
        <v>450</v>
      </c>
      <c r="W3654" s="316">
        <f t="shared" si="864"/>
        <v>0</v>
      </c>
    </row>
    <row r="3655" spans="1:23" ht="14.4" x14ac:dyDescent="0.3">
      <c r="A3655" s="208" t="s">
        <v>15861</v>
      </c>
      <c r="B3655" s="313" t="s">
        <v>22956</v>
      </c>
      <c r="C3655" s="394"/>
      <c r="D3655" s="395" t="s">
        <v>11</v>
      </c>
      <c r="E3655" s="249">
        <f t="shared" si="868"/>
        <v>207.05023426429443</v>
      </c>
      <c r="F3655" s="258">
        <v>0.33760000000000001</v>
      </c>
      <c r="G3655" s="258">
        <f t="shared" si="869"/>
        <v>0.33760000000000001</v>
      </c>
      <c r="H3655" s="249">
        <f t="shared" si="870"/>
        <v>296.83742116089604</v>
      </c>
      <c r="I3655" s="258">
        <v>0.48399999999999999</v>
      </c>
      <c r="J3655" s="258">
        <f t="shared" si="871"/>
        <v>0.48399999999999999</v>
      </c>
      <c r="K3655" s="249">
        <f t="shared" si="872"/>
        <v>59.674134460651203</v>
      </c>
      <c r="L3655" s="314">
        <v>9.7299999999999998E-2</v>
      </c>
      <c r="M3655" s="258">
        <f t="shared" si="873"/>
        <v>9.7299999999999998E-2</v>
      </c>
      <c r="N3655" s="251">
        <f t="shared" si="874"/>
        <v>49.738667058158413</v>
      </c>
      <c r="O3655" s="258">
        <v>8.1100000000000005E-2</v>
      </c>
      <c r="P3655" s="258">
        <f t="shared" si="875"/>
        <v>8.1100000000000005E-2</v>
      </c>
      <c r="Q3655" s="249">
        <v>601.44000000000005</v>
      </c>
      <c r="R3655" s="249">
        <f t="shared" si="865"/>
        <v>613.30045694400008</v>
      </c>
      <c r="S3655" s="250">
        <v>0.1</v>
      </c>
      <c r="T3655" s="300">
        <f>Q3655*S3655+Q3655+8</f>
        <v>669.58400000000006</v>
      </c>
      <c r="U3655" s="315">
        <f t="shared" si="866"/>
        <v>674.63050263840012</v>
      </c>
      <c r="V3655" s="315">
        <f t="shared" si="867"/>
        <v>675</v>
      </c>
      <c r="W3655" s="316">
        <f t="shared" ref="W3655:W3718" si="876">C3655*V3655</f>
        <v>0</v>
      </c>
    </row>
    <row r="3656" spans="1:23" ht="14.4" x14ac:dyDescent="0.3">
      <c r="A3656" s="208" t="s">
        <v>15862</v>
      </c>
      <c r="B3656" s="313" t="s">
        <v>22957</v>
      </c>
      <c r="C3656" s="394"/>
      <c r="D3656" s="247" t="s">
        <v>11</v>
      </c>
      <c r="E3656" s="249">
        <f t="shared" si="868"/>
        <v>198.87087512682004</v>
      </c>
      <c r="F3656" s="258">
        <v>0.35099999999999998</v>
      </c>
      <c r="G3656" s="258">
        <f t="shared" si="869"/>
        <v>0.35099999999999998</v>
      </c>
      <c r="H3656" s="249">
        <f t="shared" si="870"/>
        <v>311.6210294010001</v>
      </c>
      <c r="I3656" s="258">
        <v>0.55000000000000004</v>
      </c>
      <c r="J3656" s="258">
        <f t="shared" si="871"/>
        <v>0.55000000000000004</v>
      </c>
      <c r="K3656" s="249">
        <f t="shared" si="872"/>
        <v>30.595519250280006</v>
      </c>
      <c r="L3656" s="314">
        <v>5.3999999999999999E-2</v>
      </c>
      <c r="M3656" s="258">
        <f t="shared" si="873"/>
        <v>5.3999999999999999E-2</v>
      </c>
      <c r="N3656" s="251">
        <f t="shared" si="874"/>
        <v>25.496266041900004</v>
      </c>
      <c r="O3656" s="258">
        <v>4.4999999999999998E-2</v>
      </c>
      <c r="P3656" s="258">
        <f t="shared" si="875"/>
        <v>4.4999999999999998E-2</v>
      </c>
      <c r="Q3656" s="249">
        <v>555.63</v>
      </c>
      <c r="R3656" s="249">
        <f t="shared" si="865"/>
        <v>566.58368982000013</v>
      </c>
      <c r="S3656" s="250">
        <v>0.1</v>
      </c>
      <c r="T3656" s="300">
        <f>Q3656*S3656+Q3656-1</f>
        <v>610.19299999999998</v>
      </c>
      <c r="U3656" s="315">
        <f t="shared" si="866"/>
        <v>623.2420588020002</v>
      </c>
      <c r="V3656" s="315">
        <f t="shared" si="867"/>
        <v>625</v>
      </c>
      <c r="W3656" s="316">
        <f t="shared" si="876"/>
        <v>0</v>
      </c>
    </row>
    <row r="3657" spans="1:23" x14ac:dyDescent="0.25">
      <c r="A3657" s="208" t="s">
        <v>15863</v>
      </c>
      <c r="B3657" s="313" t="s">
        <v>15864</v>
      </c>
      <c r="C3657" s="248"/>
      <c r="D3657" s="247" t="s">
        <v>11</v>
      </c>
      <c r="E3657" s="249">
        <f t="shared" si="868"/>
        <v>198.76990665346563</v>
      </c>
      <c r="F3657" s="258">
        <v>0.33860000000000001</v>
      </c>
      <c r="G3657" s="258">
        <f t="shared" si="869"/>
        <v>0.33860000000000001</v>
      </c>
      <c r="H3657" s="249">
        <f t="shared" si="870"/>
        <v>332.26156871193598</v>
      </c>
      <c r="I3657" s="258">
        <v>0.56599999999999995</v>
      </c>
      <c r="J3657" s="258">
        <f t="shared" si="871"/>
        <v>0.56599999999999995</v>
      </c>
      <c r="K3657" s="249">
        <f t="shared" si="872"/>
        <v>30.525797832192001</v>
      </c>
      <c r="L3657" s="314">
        <v>5.1999999999999998E-2</v>
      </c>
      <c r="M3657" s="258">
        <f t="shared" si="873"/>
        <v>5.1999999999999998E-2</v>
      </c>
      <c r="N3657" s="251">
        <f t="shared" si="874"/>
        <v>25.477300498406404</v>
      </c>
      <c r="O3657" s="258">
        <v>4.3400000000000001E-2</v>
      </c>
      <c r="P3657" s="258">
        <f t="shared" si="875"/>
        <v>4.3400000000000001E-2</v>
      </c>
      <c r="Q3657" s="249">
        <v>575.73</v>
      </c>
      <c r="R3657" s="249">
        <f t="shared" si="865"/>
        <v>587.03457369600005</v>
      </c>
      <c r="S3657" s="250">
        <v>0.1</v>
      </c>
      <c r="T3657" s="300">
        <f>Q3657*S3657+Q3657-3</f>
        <v>630.303</v>
      </c>
      <c r="U3657" s="315">
        <f t="shared" si="866"/>
        <v>645.73803106560001</v>
      </c>
      <c r="V3657" s="315">
        <f t="shared" si="867"/>
        <v>650</v>
      </c>
      <c r="W3657" s="316">
        <f t="shared" si="876"/>
        <v>0</v>
      </c>
    </row>
    <row r="3658" spans="1:23" x14ac:dyDescent="0.25">
      <c r="A3658" s="208" t="s">
        <v>15865</v>
      </c>
      <c r="B3658" s="313" t="s">
        <v>22958</v>
      </c>
      <c r="C3658" s="248"/>
      <c r="D3658" s="247" t="s">
        <v>11</v>
      </c>
      <c r="E3658" s="249">
        <f t="shared" si="868"/>
        <v>198.72499302647901</v>
      </c>
      <c r="F3658" s="258">
        <v>0.2606</v>
      </c>
      <c r="G3658" s="258">
        <f t="shared" si="869"/>
        <v>0.2606</v>
      </c>
      <c r="H3658" s="249">
        <f t="shared" si="870"/>
        <v>482.3237071728625</v>
      </c>
      <c r="I3658" s="258">
        <v>0.63249999999999995</v>
      </c>
      <c r="J3658" s="258">
        <f t="shared" si="871"/>
        <v>0.63249999999999995</v>
      </c>
      <c r="K3658" s="249">
        <f t="shared" si="872"/>
        <v>30.578941751196499</v>
      </c>
      <c r="L3658" s="314">
        <v>4.0099999999999997E-2</v>
      </c>
      <c r="M3658" s="258">
        <f t="shared" si="873"/>
        <v>4.0099999999999997E-2</v>
      </c>
      <c r="N3658" s="251">
        <f t="shared" si="874"/>
        <v>50.939484014462003</v>
      </c>
      <c r="O3658" s="258">
        <v>6.6799999999999998E-2</v>
      </c>
      <c r="P3658" s="258">
        <f t="shared" si="875"/>
        <v>6.6799999999999998E-2</v>
      </c>
      <c r="Q3658" s="249">
        <v>748.39</v>
      </c>
      <c r="R3658" s="249">
        <f t="shared" si="865"/>
        <v>762.56712596500006</v>
      </c>
      <c r="S3658" s="250">
        <v>0.1</v>
      </c>
      <c r="T3658" s="300">
        <f>Q3658*S3658+Q3658+7</f>
        <v>830.22900000000004</v>
      </c>
      <c r="U3658" s="315">
        <f t="shared" si="866"/>
        <v>838.82383856150011</v>
      </c>
      <c r="V3658" s="315">
        <f t="shared" si="867"/>
        <v>840</v>
      </c>
      <c r="W3658" s="316">
        <f t="shared" si="876"/>
        <v>0</v>
      </c>
    </row>
    <row r="3659" spans="1:23" x14ac:dyDescent="0.25">
      <c r="A3659" s="208" t="s">
        <v>15866</v>
      </c>
      <c r="B3659" s="313" t="s">
        <v>15867</v>
      </c>
      <c r="C3659" s="248"/>
      <c r="D3659" s="247" t="s">
        <v>11</v>
      </c>
      <c r="E3659" s="249">
        <f t="shared" si="868"/>
        <v>198.69430084156446</v>
      </c>
      <c r="F3659" s="258">
        <v>0.28260000000000002</v>
      </c>
      <c r="G3659" s="258">
        <f t="shared" si="869"/>
        <v>0.28260000000000002</v>
      </c>
      <c r="H3659" s="249">
        <f t="shared" si="870"/>
        <v>422.84059634153175</v>
      </c>
      <c r="I3659" s="258">
        <v>0.60140000000000005</v>
      </c>
      <c r="J3659" s="258">
        <f t="shared" si="871"/>
        <v>0.60140000000000005</v>
      </c>
      <c r="K3659" s="249">
        <f t="shared" si="872"/>
        <v>30.584579216589006</v>
      </c>
      <c r="L3659" s="314">
        <v>4.3499999999999997E-2</v>
      </c>
      <c r="M3659" s="258">
        <f t="shared" si="873"/>
        <v>4.3499999999999997E-2</v>
      </c>
      <c r="N3659" s="251">
        <f t="shared" si="874"/>
        <v>50.97429869431501</v>
      </c>
      <c r="O3659" s="258">
        <v>7.2499999999999995E-2</v>
      </c>
      <c r="P3659" s="258">
        <f t="shared" si="875"/>
        <v>7.2499999999999995E-2</v>
      </c>
      <c r="Q3659" s="249">
        <v>689.94</v>
      </c>
      <c r="R3659" s="249">
        <f t="shared" si="865"/>
        <v>703.09377509400019</v>
      </c>
      <c r="S3659" s="250">
        <v>0.1</v>
      </c>
      <c r="T3659" s="300">
        <f>Q3659*S3659+Q3659+1</f>
        <v>759.93400000000008</v>
      </c>
      <c r="U3659" s="315">
        <f t="shared" si="866"/>
        <v>773.40315260340026</v>
      </c>
      <c r="V3659" s="315">
        <f t="shared" si="867"/>
        <v>775</v>
      </c>
      <c r="W3659" s="316">
        <f t="shared" si="876"/>
        <v>0</v>
      </c>
    </row>
    <row r="3660" spans="1:23" x14ac:dyDescent="0.25">
      <c r="A3660" s="208" t="s">
        <v>15868</v>
      </c>
      <c r="B3660" s="313" t="s">
        <v>15869</v>
      </c>
      <c r="C3660" s="248"/>
      <c r="D3660" s="247" t="s">
        <v>11</v>
      </c>
      <c r="E3660" s="249">
        <f t="shared" si="868"/>
        <v>198.75886892514001</v>
      </c>
      <c r="F3660" s="258">
        <v>0.27589999999999998</v>
      </c>
      <c r="G3660" s="258">
        <f t="shared" si="869"/>
        <v>0.27589999999999998</v>
      </c>
      <c r="H3660" s="249">
        <f t="shared" si="870"/>
        <v>440.16552705060008</v>
      </c>
      <c r="I3660" s="258">
        <v>0.61099999999999999</v>
      </c>
      <c r="J3660" s="258">
        <f t="shared" si="871"/>
        <v>0.61099999999999999</v>
      </c>
      <c r="K3660" s="249">
        <f t="shared" si="872"/>
        <v>30.545038211040005</v>
      </c>
      <c r="L3660" s="314">
        <v>4.24E-2</v>
      </c>
      <c r="M3660" s="258">
        <f t="shared" si="873"/>
        <v>4.24E-2</v>
      </c>
      <c r="N3660" s="251">
        <f t="shared" si="874"/>
        <v>50.932410413220005</v>
      </c>
      <c r="O3660" s="258">
        <v>7.0699999999999999E-2</v>
      </c>
      <c r="P3660" s="258">
        <f t="shared" si="875"/>
        <v>7.0699999999999999E-2</v>
      </c>
      <c r="Q3660" s="249">
        <v>706.95</v>
      </c>
      <c r="R3660" s="249">
        <f t="shared" si="865"/>
        <v>720.40184460000012</v>
      </c>
      <c r="S3660" s="250">
        <v>0.1</v>
      </c>
      <c r="T3660" s="300">
        <f>Q3660*S3660+Q3660+2</f>
        <v>779.6450000000001</v>
      </c>
      <c r="U3660" s="315">
        <f t="shared" si="866"/>
        <v>792.4420290600001</v>
      </c>
      <c r="V3660" s="315">
        <f t="shared" si="867"/>
        <v>795</v>
      </c>
      <c r="W3660" s="316">
        <f t="shared" si="876"/>
        <v>0</v>
      </c>
    </row>
    <row r="3661" spans="1:23" x14ac:dyDescent="0.25">
      <c r="A3661" s="208" t="s">
        <v>15870</v>
      </c>
      <c r="B3661" s="313" t="s">
        <v>22959</v>
      </c>
      <c r="C3661" s="248"/>
      <c r="D3661" s="247" t="s">
        <v>11</v>
      </c>
      <c r="E3661" s="249">
        <f t="shared" si="868"/>
        <v>150.01678722712504</v>
      </c>
      <c r="F3661" s="258">
        <v>0.47610000000000002</v>
      </c>
      <c r="G3661" s="258">
        <f t="shared" si="869"/>
        <v>0.47610000000000002</v>
      </c>
      <c r="H3661" s="249">
        <f t="shared" si="870"/>
        <v>108.92838341612502</v>
      </c>
      <c r="I3661" s="258">
        <v>0.34570000000000001</v>
      </c>
      <c r="J3661" s="258">
        <f t="shared" si="871"/>
        <v>0.34570000000000001</v>
      </c>
      <c r="K3661" s="249">
        <f t="shared" si="872"/>
        <v>30.627245785500001</v>
      </c>
      <c r="L3661" s="314">
        <v>9.7199999999999995E-2</v>
      </c>
      <c r="M3661" s="258">
        <f t="shared" si="873"/>
        <v>9.7199999999999995E-2</v>
      </c>
      <c r="N3661" s="251">
        <f t="shared" si="874"/>
        <v>25.522704821250002</v>
      </c>
      <c r="O3661" s="258">
        <v>8.1000000000000003E-2</v>
      </c>
      <c r="P3661" s="258">
        <f t="shared" si="875"/>
        <v>8.1000000000000003E-2</v>
      </c>
      <c r="Q3661" s="249">
        <v>308.75</v>
      </c>
      <c r="R3661" s="249">
        <f t="shared" si="865"/>
        <v>315.09512125000003</v>
      </c>
      <c r="S3661" s="250">
        <v>0.1</v>
      </c>
      <c r="T3661" s="300">
        <f>Q3661*S3661+Q3661</f>
        <v>339.625</v>
      </c>
      <c r="U3661" s="315">
        <f t="shared" si="866"/>
        <v>346.60463337500005</v>
      </c>
      <c r="V3661" s="315">
        <f t="shared" si="867"/>
        <v>350</v>
      </c>
      <c r="W3661" s="316">
        <f t="shared" si="876"/>
        <v>0</v>
      </c>
    </row>
    <row r="3662" spans="1:23" x14ac:dyDescent="0.25">
      <c r="A3662" s="208" t="s">
        <v>15871</v>
      </c>
      <c r="B3662" s="313" t="s">
        <v>15872</v>
      </c>
      <c r="C3662" s="248"/>
      <c r="D3662" s="247" t="s">
        <v>11</v>
      </c>
      <c r="E3662" s="249">
        <f t="shared" si="868"/>
        <v>149.94372882319379</v>
      </c>
      <c r="F3662" s="258">
        <v>0.37290000000000001</v>
      </c>
      <c r="G3662" s="258">
        <f t="shared" si="869"/>
        <v>0.37290000000000001</v>
      </c>
      <c r="H3662" s="249">
        <f t="shared" si="870"/>
        <v>196.06479531828717</v>
      </c>
      <c r="I3662" s="258">
        <v>0.48759999999999998</v>
      </c>
      <c r="J3662" s="258">
        <f t="shared" si="871"/>
        <v>0.48759999999999998</v>
      </c>
      <c r="K3662" s="249">
        <f t="shared" si="872"/>
        <v>30.5999403685842</v>
      </c>
      <c r="L3662" s="314">
        <v>7.6100000000000001E-2</v>
      </c>
      <c r="M3662" s="258">
        <f t="shared" si="873"/>
        <v>7.6100000000000001E-2</v>
      </c>
      <c r="N3662" s="251">
        <f t="shared" si="874"/>
        <v>25.493248611934799</v>
      </c>
      <c r="O3662" s="258">
        <v>6.3399999999999998E-2</v>
      </c>
      <c r="P3662" s="258">
        <f t="shared" si="875"/>
        <v>6.3399999999999998E-2</v>
      </c>
      <c r="Q3662" s="249">
        <v>394.26</v>
      </c>
      <c r="R3662" s="249">
        <f t="shared" si="865"/>
        <v>402.10171312199998</v>
      </c>
      <c r="S3662" s="250">
        <v>0.1</v>
      </c>
      <c r="T3662" s="300">
        <f>Q3662*S3662+Q3662-4</f>
        <v>429.68599999999998</v>
      </c>
      <c r="U3662" s="315">
        <f t="shared" si="866"/>
        <v>442.31188443420001</v>
      </c>
      <c r="V3662" s="315">
        <f t="shared" si="867"/>
        <v>445</v>
      </c>
      <c r="W3662" s="316">
        <f t="shared" si="876"/>
        <v>0</v>
      </c>
    </row>
    <row r="3663" spans="1:23" x14ac:dyDescent="0.25">
      <c r="A3663" s="208" t="s">
        <v>15873</v>
      </c>
      <c r="B3663" s="313" t="s">
        <v>15874</v>
      </c>
      <c r="C3663" s="248"/>
      <c r="D3663" s="247" t="s">
        <v>11</v>
      </c>
      <c r="E3663" s="249">
        <f t="shared" si="868"/>
        <v>149.95055354204453</v>
      </c>
      <c r="F3663" s="258">
        <v>0.39850000000000002</v>
      </c>
      <c r="G3663" s="258">
        <f t="shared" si="869"/>
        <v>0.39850000000000002</v>
      </c>
      <c r="H3663" s="249">
        <f t="shared" si="870"/>
        <v>170.23244773505883</v>
      </c>
      <c r="I3663" s="258">
        <v>0.45240000000000002</v>
      </c>
      <c r="J3663" s="258">
        <f t="shared" si="871"/>
        <v>0.45240000000000002</v>
      </c>
      <c r="K3663" s="249">
        <f t="shared" si="872"/>
        <v>30.592170647348102</v>
      </c>
      <c r="L3663" s="314">
        <v>8.1299999999999997E-2</v>
      </c>
      <c r="M3663" s="258">
        <f t="shared" si="873"/>
        <v>8.1299999999999997E-2</v>
      </c>
      <c r="N3663" s="251">
        <f t="shared" si="874"/>
        <v>25.512289912548603</v>
      </c>
      <c r="O3663" s="258">
        <v>6.7799999999999999E-2</v>
      </c>
      <c r="P3663" s="258">
        <f t="shared" si="875"/>
        <v>6.7799999999999999E-2</v>
      </c>
      <c r="Q3663" s="249">
        <v>368.89</v>
      </c>
      <c r="R3663" s="249">
        <f t="shared" si="865"/>
        <v>376.28746183700002</v>
      </c>
      <c r="S3663" s="250">
        <v>0.1</v>
      </c>
      <c r="T3663" s="300">
        <f>Q3663*S3663+Q3663+4</f>
        <v>409.779</v>
      </c>
      <c r="U3663" s="315">
        <f t="shared" si="866"/>
        <v>413.91620802070003</v>
      </c>
      <c r="V3663" s="315">
        <f t="shared" si="867"/>
        <v>415</v>
      </c>
      <c r="W3663" s="316">
        <f t="shared" si="876"/>
        <v>0</v>
      </c>
    </row>
    <row r="3664" spans="1:23" x14ac:dyDescent="0.25">
      <c r="A3664" s="208" t="s">
        <v>15875</v>
      </c>
      <c r="B3664" s="313" t="s">
        <v>22960</v>
      </c>
      <c r="C3664" s="248"/>
      <c r="D3664" s="247" t="s">
        <v>11</v>
      </c>
      <c r="E3664" s="249">
        <f t="shared" si="868"/>
        <v>295.78603939104477</v>
      </c>
      <c r="F3664" s="258">
        <v>0.38729999999999998</v>
      </c>
      <c r="G3664" s="258">
        <f t="shared" si="869"/>
        <v>0.38729999999999998</v>
      </c>
      <c r="H3664" s="249">
        <f t="shared" si="870"/>
        <v>381.24552249937915</v>
      </c>
      <c r="I3664" s="258">
        <v>0.49919999999999998</v>
      </c>
      <c r="J3664" s="258">
        <f t="shared" si="871"/>
        <v>0.49919999999999998</v>
      </c>
      <c r="K3664" s="249">
        <f t="shared" si="872"/>
        <v>51.016027449836798</v>
      </c>
      <c r="L3664" s="374">
        <v>6.6799999999999998E-2</v>
      </c>
      <c r="M3664" s="258">
        <f t="shared" si="873"/>
        <v>6.6799999999999998E-2</v>
      </c>
      <c r="N3664" s="251">
        <f t="shared" si="874"/>
        <v>35.665396435739197</v>
      </c>
      <c r="O3664" s="258">
        <v>4.6699999999999998E-2</v>
      </c>
      <c r="P3664" s="258">
        <f t="shared" si="875"/>
        <v>4.6699999999999998E-2</v>
      </c>
      <c r="Q3664" s="249">
        <v>748.73</v>
      </c>
      <c r="R3664" s="249">
        <f t="shared" si="865"/>
        <v>763.71298577599998</v>
      </c>
      <c r="S3664" s="250">
        <v>0.1</v>
      </c>
      <c r="T3664" s="290">
        <f>Q3664*S3664+Q3664+6</f>
        <v>829.60300000000007</v>
      </c>
      <c r="U3664" s="315">
        <f t="shared" si="866"/>
        <v>840.08428435359997</v>
      </c>
      <c r="V3664" s="315">
        <f t="shared" si="867"/>
        <v>845</v>
      </c>
      <c r="W3664" s="316">
        <f t="shared" si="876"/>
        <v>0</v>
      </c>
    </row>
    <row r="3665" spans="1:23" x14ac:dyDescent="0.25">
      <c r="A3665" s="208" t="s">
        <v>15876</v>
      </c>
      <c r="B3665" s="313" t="s">
        <v>22961</v>
      </c>
      <c r="C3665" s="248"/>
      <c r="D3665" s="247" t="s">
        <v>11</v>
      </c>
      <c r="E3665" s="249">
        <f t="shared" si="868"/>
        <v>295.62901733544084</v>
      </c>
      <c r="F3665" s="258">
        <v>0.31819999999999998</v>
      </c>
      <c r="G3665" s="258">
        <f t="shared" si="869"/>
        <v>0.31819999999999998</v>
      </c>
      <c r="H3665" s="249">
        <f t="shared" si="870"/>
        <v>546.75574073509415</v>
      </c>
      <c r="I3665" s="258">
        <v>0.58850000000000002</v>
      </c>
      <c r="J3665" s="258">
        <f t="shared" si="871"/>
        <v>0.58850000000000002</v>
      </c>
      <c r="K3665" s="249">
        <f t="shared" si="872"/>
        <v>51.005760690495606</v>
      </c>
      <c r="L3665" s="314">
        <v>5.4899999999999997E-2</v>
      </c>
      <c r="M3665" s="258">
        <f t="shared" si="873"/>
        <v>5.4899999999999997E-2</v>
      </c>
      <c r="N3665" s="251">
        <f t="shared" si="874"/>
        <v>35.676160482969607</v>
      </c>
      <c r="O3665" s="258">
        <v>3.8399999999999997E-2</v>
      </c>
      <c r="P3665" s="258">
        <f t="shared" si="875"/>
        <v>3.8399999999999997E-2</v>
      </c>
      <c r="Q3665" s="249">
        <v>911.24</v>
      </c>
      <c r="R3665" s="249">
        <f t="shared" si="865"/>
        <v>929.06667924400017</v>
      </c>
      <c r="S3665" s="250">
        <v>0.1</v>
      </c>
      <c r="T3665" s="290">
        <f>Q3665*S3665+Q3665-2</f>
        <v>1000.364</v>
      </c>
      <c r="U3665" s="315">
        <f t="shared" si="866"/>
        <v>1021.9733471684002</v>
      </c>
      <c r="V3665" s="315">
        <f t="shared" si="867"/>
        <v>1025</v>
      </c>
      <c r="W3665" s="316">
        <f t="shared" si="876"/>
        <v>0</v>
      </c>
    </row>
    <row r="3666" spans="1:23" x14ac:dyDescent="0.25">
      <c r="A3666" s="208" t="s">
        <v>15877</v>
      </c>
      <c r="B3666" s="313" t="s">
        <v>22962</v>
      </c>
      <c r="C3666" s="248"/>
      <c r="D3666" s="247" t="s">
        <v>11</v>
      </c>
      <c r="E3666" s="249">
        <f t="shared" si="868"/>
        <v>295.87522784764599</v>
      </c>
      <c r="F3666" s="258">
        <v>0.42170000000000002</v>
      </c>
      <c r="G3666" s="258">
        <f t="shared" si="869"/>
        <v>0.42170000000000002</v>
      </c>
      <c r="H3666" s="249">
        <f t="shared" si="870"/>
        <v>319.02885013593698</v>
      </c>
      <c r="I3666" s="258">
        <v>0.45469999999999999</v>
      </c>
      <c r="J3666" s="258">
        <f t="shared" si="871"/>
        <v>0.45469999999999999</v>
      </c>
      <c r="K3666" s="249">
        <f t="shared" si="872"/>
        <v>51.008131526022915</v>
      </c>
      <c r="L3666" s="314">
        <v>7.2700000000000001E-2</v>
      </c>
      <c r="M3666" s="258">
        <f t="shared" si="873"/>
        <v>7.2700000000000001E-2</v>
      </c>
      <c r="N3666" s="251">
        <f t="shared" si="874"/>
        <v>35.712708317394309</v>
      </c>
      <c r="O3666" s="258">
        <v>5.0900000000000001E-2</v>
      </c>
      <c r="P3666" s="258">
        <f t="shared" si="875"/>
        <v>5.0900000000000001E-2</v>
      </c>
      <c r="Q3666" s="249">
        <v>687.71</v>
      </c>
      <c r="R3666" s="249">
        <f t="shared" si="865"/>
        <v>701.62491782700022</v>
      </c>
      <c r="S3666" s="250">
        <v>0.1</v>
      </c>
      <c r="T3666" s="290">
        <f>Q3666*S3666+Q3666+4</f>
        <v>760.48099999999999</v>
      </c>
      <c r="U3666" s="315">
        <f t="shared" si="866"/>
        <v>771.78740960970026</v>
      </c>
      <c r="V3666" s="315">
        <f t="shared" si="867"/>
        <v>775</v>
      </c>
      <c r="W3666" s="316">
        <f t="shared" si="876"/>
        <v>0</v>
      </c>
    </row>
    <row r="3667" spans="1:23" ht="14.4" x14ac:dyDescent="0.3">
      <c r="A3667" s="208" t="s">
        <v>15878</v>
      </c>
      <c r="B3667" s="313" t="s">
        <v>22963</v>
      </c>
      <c r="C3667" s="394"/>
      <c r="D3667" s="395" t="s">
        <v>11</v>
      </c>
      <c r="E3667" s="249">
        <f t="shared" si="868"/>
        <v>295.66620297153912</v>
      </c>
      <c r="F3667" s="258">
        <v>0.31669999999999998</v>
      </c>
      <c r="G3667" s="258">
        <f t="shared" si="869"/>
        <v>0.31669999999999998</v>
      </c>
      <c r="H3667" s="249">
        <f t="shared" si="870"/>
        <v>551.28163200092797</v>
      </c>
      <c r="I3667" s="258">
        <v>0.59050000000000002</v>
      </c>
      <c r="J3667" s="258">
        <f t="shared" si="871"/>
        <v>0.59050000000000002</v>
      </c>
      <c r="K3667" s="249">
        <f t="shared" si="872"/>
        <v>50.973712290009594</v>
      </c>
      <c r="L3667" s="314">
        <v>5.4600000000000003E-2</v>
      </c>
      <c r="M3667" s="258">
        <f t="shared" si="873"/>
        <v>5.4600000000000003E-2</v>
      </c>
      <c r="N3667" s="251">
        <f t="shared" si="874"/>
        <v>35.662926913523194</v>
      </c>
      <c r="O3667" s="258">
        <v>3.8199999999999998E-2</v>
      </c>
      <c r="P3667" s="258">
        <f t="shared" si="875"/>
        <v>3.8199999999999998E-2</v>
      </c>
      <c r="Q3667" s="249">
        <v>915.68</v>
      </c>
      <c r="R3667" s="249">
        <f t="shared" si="865"/>
        <v>933.58447417599984</v>
      </c>
      <c r="S3667" s="250">
        <v>0.1</v>
      </c>
      <c r="T3667" s="290">
        <f>Q3667*S3667+Q3667+3</f>
        <v>1010.2479999999999</v>
      </c>
      <c r="U3667" s="315">
        <f t="shared" si="866"/>
        <v>1026.9429215935997</v>
      </c>
      <c r="V3667" s="315">
        <f t="shared" si="867"/>
        <v>1050</v>
      </c>
      <c r="W3667" s="316">
        <f t="shared" si="876"/>
        <v>0</v>
      </c>
    </row>
    <row r="3668" spans="1:23" ht="14.4" x14ac:dyDescent="0.3">
      <c r="A3668" s="208" t="s">
        <v>15879</v>
      </c>
      <c r="B3668" s="313" t="s">
        <v>22964</v>
      </c>
      <c r="C3668" s="394"/>
      <c r="D3668" s="247" t="s">
        <v>11</v>
      </c>
      <c r="E3668" s="249">
        <f t="shared" si="868"/>
        <v>295.78434316392958</v>
      </c>
      <c r="F3668" s="258">
        <v>0.34589999999999999</v>
      </c>
      <c r="G3668" s="258">
        <f t="shared" si="869"/>
        <v>0.34589999999999999</v>
      </c>
      <c r="H3668" s="249">
        <f t="shared" si="870"/>
        <v>472.7076753426432</v>
      </c>
      <c r="I3668" s="258">
        <v>0.55279999999999996</v>
      </c>
      <c r="J3668" s="258">
        <f t="shared" si="871"/>
        <v>0.55279999999999996</v>
      </c>
      <c r="K3668" s="249">
        <f t="shared" si="872"/>
        <v>50.964865141862404</v>
      </c>
      <c r="L3668" s="314">
        <v>5.96E-2</v>
      </c>
      <c r="M3668" s="258">
        <f t="shared" si="873"/>
        <v>5.96E-2</v>
      </c>
      <c r="N3668" s="251">
        <f t="shared" si="874"/>
        <v>35.658303295564799</v>
      </c>
      <c r="O3668" s="258">
        <v>4.1700000000000001E-2</v>
      </c>
      <c r="P3668" s="258">
        <f t="shared" si="875"/>
        <v>4.1700000000000001E-2</v>
      </c>
      <c r="Q3668" s="249">
        <v>838.56</v>
      </c>
      <c r="R3668" s="249">
        <f t="shared" si="865"/>
        <v>855.11518694400002</v>
      </c>
      <c r="S3668" s="250">
        <v>0.1</v>
      </c>
      <c r="T3668" s="290">
        <f>Q3668*S3668+Q3668+8</f>
        <v>930.41599999999994</v>
      </c>
      <c r="U3668" s="315">
        <f t="shared" si="866"/>
        <v>940.62670563840004</v>
      </c>
      <c r="V3668" s="315">
        <f t="shared" si="867"/>
        <v>945</v>
      </c>
      <c r="W3668" s="316">
        <f t="shared" si="876"/>
        <v>0</v>
      </c>
    </row>
    <row r="3669" spans="1:23" x14ac:dyDescent="0.25">
      <c r="A3669" s="208" t="s">
        <v>15880</v>
      </c>
      <c r="B3669" s="313" t="s">
        <v>15881</v>
      </c>
      <c r="C3669" s="248"/>
      <c r="D3669" s="247" t="s">
        <v>11</v>
      </c>
      <c r="E3669" s="249">
        <f t="shared" si="868"/>
        <v>295.82181442300583</v>
      </c>
      <c r="F3669" s="258">
        <v>0.35510000000000003</v>
      </c>
      <c r="G3669" s="258">
        <f t="shared" si="869"/>
        <v>0.35510000000000003</v>
      </c>
      <c r="H3669" s="249">
        <f t="shared" si="870"/>
        <v>450.6055179425623</v>
      </c>
      <c r="I3669" s="258">
        <v>0.54090000000000005</v>
      </c>
      <c r="J3669" s="258">
        <f t="shared" si="871"/>
        <v>0.54090000000000005</v>
      </c>
      <c r="K3669" s="249">
        <f t="shared" si="872"/>
        <v>50.983652612469605</v>
      </c>
      <c r="L3669" s="314">
        <v>6.1199999999999997E-2</v>
      </c>
      <c r="M3669" s="258">
        <f t="shared" si="873"/>
        <v>6.1199999999999997E-2</v>
      </c>
      <c r="N3669" s="251">
        <f t="shared" si="874"/>
        <v>35.655234179962399</v>
      </c>
      <c r="O3669" s="258">
        <v>4.2799999999999998E-2</v>
      </c>
      <c r="P3669" s="258">
        <f t="shared" si="875"/>
        <v>4.2799999999999998E-2</v>
      </c>
      <c r="Q3669" s="249">
        <v>816.89</v>
      </c>
      <c r="R3669" s="249">
        <f t="shared" ref="R3669:R3732" si="877">SUM(F3669*Q3669*1.0235,I3669*Q3669*1.0175,L3669*Q3669*1.0245,O3669*Q3669*1.0115)</f>
        <v>833.06621915800008</v>
      </c>
      <c r="S3669" s="250">
        <v>0.1</v>
      </c>
      <c r="T3669" s="290">
        <f>Q3669*S3669+Q3669+1</f>
        <v>899.57899999999995</v>
      </c>
      <c r="U3669" s="315">
        <f t="shared" si="866"/>
        <v>916.37284107380015</v>
      </c>
      <c r="V3669" s="315">
        <f t="shared" si="867"/>
        <v>920</v>
      </c>
      <c r="W3669" s="316">
        <f t="shared" si="876"/>
        <v>0</v>
      </c>
    </row>
    <row r="3670" spans="1:23" x14ac:dyDescent="0.25">
      <c r="A3670" s="208" t="s">
        <v>15882</v>
      </c>
      <c r="B3670" s="313" t="s">
        <v>22965</v>
      </c>
      <c r="C3670" s="248"/>
      <c r="D3670" s="247" t="s">
        <v>11</v>
      </c>
      <c r="E3670" s="249">
        <f t="shared" si="868"/>
        <v>295.51445298376211</v>
      </c>
      <c r="F3670" s="258">
        <v>0.251</v>
      </c>
      <c r="G3670" s="258">
        <f t="shared" si="869"/>
        <v>0.251</v>
      </c>
      <c r="H3670" s="249">
        <f t="shared" si="870"/>
        <v>779.87559225674909</v>
      </c>
      <c r="I3670" s="258">
        <v>0.66239999999999999</v>
      </c>
      <c r="J3670" s="258">
        <f t="shared" si="871"/>
        <v>0.66239999999999999</v>
      </c>
      <c r="K3670" s="249">
        <f t="shared" si="872"/>
        <v>50.979186510744618</v>
      </c>
      <c r="L3670" s="314">
        <v>4.3299999999999998E-2</v>
      </c>
      <c r="M3670" s="258">
        <f t="shared" si="873"/>
        <v>4.3299999999999998E-2</v>
      </c>
      <c r="N3670" s="251">
        <f t="shared" si="874"/>
        <v>50.979186510744618</v>
      </c>
      <c r="O3670" s="258">
        <v>4.3299999999999998E-2</v>
      </c>
      <c r="P3670" s="258">
        <f t="shared" si="875"/>
        <v>4.3299999999999998E-2</v>
      </c>
      <c r="Q3670" s="249">
        <v>1155.3400000000001</v>
      </c>
      <c r="R3670" s="249">
        <f t="shared" si="877"/>
        <v>1177.3484182620005</v>
      </c>
      <c r="S3670" s="250">
        <v>0.1</v>
      </c>
      <c r="T3670" s="290">
        <f>Q3670*S3670+Q3670+9</f>
        <v>1279.8740000000003</v>
      </c>
      <c r="U3670" s="315">
        <f t="shared" si="866"/>
        <v>1295.0832600882004</v>
      </c>
      <c r="V3670" s="315">
        <f t="shared" si="867"/>
        <v>1300</v>
      </c>
      <c r="W3670" s="316">
        <f t="shared" si="876"/>
        <v>0</v>
      </c>
    </row>
    <row r="3671" spans="1:23" x14ac:dyDescent="0.25">
      <c r="A3671" s="208" t="s">
        <v>15883</v>
      </c>
      <c r="B3671" s="313" t="s">
        <v>15884</v>
      </c>
      <c r="C3671" s="248"/>
      <c r="D3671" s="247" t="s">
        <v>11</v>
      </c>
      <c r="E3671" s="249">
        <f t="shared" si="868"/>
        <v>295.61734521590404</v>
      </c>
      <c r="F3671" s="258">
        <v>0.27400000000000002</v>
      </c>
      <c r="G3671" s="258">
        <f t="shared" si="869"/>
        <v>0.27400000000000002</v>
      </c>
      <c r="H3671" s="249">
        <f t="shared" si="870"/>
        <v>681.43034758527369</v>
      </c>
      <c r="I3671" s="258">
        <v>0.63160000000000005</v>
      </c>
      <c r="J3671" s="258">
        <f t="shared" si="871"/>
        <v>0.63160000000000005</v>
      </c>
      <c r="K3671" s="249">
        <f t="shared" si="872"/>
        <v>50.923863847411198</v>
      </c>
      <c r="L3671" s="314">
        <v>4.7199999999999999E-2</v>
      </c>
      <c r="M3671" s="258">
        <f t="shared" si="873"/>
        <v>4.7199999999999999E-2</v>
      </c>
      <c r="N3671" s="251">
        <f t="shared" si="874"/>
        <v>50.923863847411198</v>
      </c>
      <c r="O3671" s="258">
        <v>4.7199999999999999E-2</v>
      </c>
      <c r="P3671" s="258">
        <f t="shared" si="875"/>
        <v>4.7199999999999999E-2</v>
      </c>
      <c r="Q3671" s="249">
        <v>1058.58</v>
      </c>
      <c r="R3671" s="249">
        <f t="shared" si="877"/>
        <v>1078.895420496</v>
      </c>
      <c r="S3671" s="250">
        <v>0.1</v>
      </c>
      <c r="T3671" s="290">
        <f>Q3671*S3671+Q3671+6</f>
        <v>1170.4379999999999</v>
      </c>
      <c r="U3671" s="315">
        <f t="shared" si="866"/>
        <v>1186.7849625456001</v>
      </c>
      <c r="V3671" s="315">
        <f t="shared" si="867"/>
        <v>1200</v>
      </c>
      <c r="W3671" s="316">
        <f t="shared" si="876"/>
        <v>0</v>
      </c>
    </row>
    <row r="3672" spans="1:23" x14ac:dyDescent="0.25">
      <c r="A3672" s="208" t="s">
        <v>15885</v>
      </c>
      <c r="B3672" s="313" t="s">
        <v>15886</v>
      </c>
      <c r="C3672" s="248"/>
      <c r="D3672" s="247" t="s">
        <v>11</v>
      </c>
      <c r="E3672" s="249">
        <f t="shared" si="868"/>
        <v>296.25011683672687</v>
      </c>
      <c r="F3672" s="258">
        <v>0.23580000000000001</v>
      </c>
      <c r="G3672" s="258">
        <f t="shared" si="869"/>
        <v>0.23580000000000001</v>
      </c>
      <c r="H3672" s="249">
        <f t="shared" si="870"/>
        <v>858.09512213521828</v>
      </c>
      <c r="I3672" s="258">
        <v>0.68300000000000005</v>
      </c>
      <c r="J3672" s="258">
        <f t="shared" si="871"/>
        <v>0.68300000000000005</v>
      </c>
      <c r="K3672" s="249">
        <f t="shared" si="872"/>
        <v>51.008289837027611</v>
      </c>
      <c r="L3672" s="314">
        <v>4.0599999999999997E-2</v>
      </c>
      <c r="M3672" s="258">
        <f t="shared" si="873"/>
        <v>4.0599999999999997E-2</v>
      </c>
      <c r="N3672" s="251">
        <f t="shared" si="874"/>
        <v>51.008289837027611</v>
      </c>
      <c r="O3672" s="258">
        <v>4.0599999999999997E-2</v>
      </c>
      <c r="P3672" s="258">
        <f t="shared" si="875"/>
        <v>4.0599999999999997E-2</v>
      </c>
      <c r="Q3672" s="249">
        <v>1232.99</v>
      </c>
      <c r="R3672" s="249">
        <f t="shared" si="877"/>
        <v>1256.3618186460003</v>
      </c>
      <c r="S3672" s="250">
        <v>0.1</v>
      </c>
      <c r="T3672" s="290">
        <f>Q3672*S3672+Q3672-6</f>
        <v>1350.289</v>
      </c>
      <c r="U3672" s="315">
        <f t="shared" si="866"/>
        <v>1381.9980005106004</v>
      </c>
      <c r="V3672" s="315">
        <f t="shared" si="867"/>
        <v>1400</v>
      </c>
      <c r="W3672" s="316">
        <f t="shared" si="876"/>
        <v>0</v>
      </c>
    </row>
    <row r="3673" spans="1:23" x14ac:dyDescent="0.25">
      <c r="A3673" s="208" t="s">
        <v>15887</v>
      </c>
      <c r="B3673" s="313" t="s">
        <v>22966</v>
      </c>
      <c r="C3673" s="248"/>
      <c r="D3673" s="247" t="s">
        <v>11</v>
      </c>
      <c r="E3673" s="249">
        <f t="shared" si="868"/>
        <v>199.00318953808807</v>
      </c>
      <c r="F3673" s="258">
        <v>0.47470000000000001</v>
      </c>
      <c r="G3673" s="258">
        <f t="shared" si="869"/>
        <v>0.47470000000000001</v>
      </c>
      <c r="H3673" s="249">
        <f t="shared" si="870"/>
        <v>164.08225907985604</v>
      </c>
      <c r="I3673" s="258">
        <v>0.39140000000000003</v>
      </c>
      <c r="J3673" s="258">
        <f t="shared" si="871"/>
        <v>0.39140000000000003</v>
      </c>
      <c r="K3673" s="249">
        <f t="shared" si="872"/>
        <v>30.602976271920006</v>
      </c>
      <c r="L3673" s="314">
        <v>7.2999999999999995E-2</v>
      </c>
      <c r="M3673" s="258">
        <f t="shared" si="873"/>
        <v>7.2999999999999995E-2</v>
      </c>
      <c r="N3673" s="251">
        <f t="shared" si="874"/>
        <v>25.530428150136007</v>
      </c>
      <c r="O3673" s="258">
        <v>6.0900000000000003E-2</v>
      </c>
      <c r="P3673" s="258">
        <f t="shared" si="875"/>
        <v>6.0900000000000003E-2</v>
      </c>
      <c r="Q3673" s="249">
        <v>410.8</v>
      </c>
      <c r="R3673" s="249">
        <f t="shared" si="877"/>
        <v>419.21885304000011</v>
      </c>
      <c r="S3673" s="250">
        <v>0.1</v>
      </c>
      <c r="T3673" s="290">
        <f>Q3673*S3673+Q3673-2</f>
        <v>449.88</v>
      </c>
      <c r="U3673" s="315">
        <f t="shared" si="866"/>
        <v>461.14073834400011</v>
      </c>
      <c r="V3673" s="315">
        <f t="shared" si="867"/>
        <v>465</v>
      </c>
      <c r="W3673" s="316">
        <f t="shared" si="876"/>
        <v>0</v>
      </c>
    </row>
    <row r="3674" spans="1:23" x14ac:dyDescent="0.25">
      <c r="A3674" s="208" t="s">
        <v>15888</v>
      </c>
      <c r="B3674" s="313" t="s">
        <v>15889</v>
      </c>
      <c r="C3674" s="248"/>
      <c r="D3674" s="247" t="s">
        <v>11</v>
      </c>
      <c r="E3674" s="249">
        <f t="shared" si="868"/>
        <v>198.84140605165652</v>
      </c>
      <c r="F3674" s="258">
        <v>0.36709999999999998</v>
      </c>
      <c r="G3674" s="258">
        <f t="shared" si="869"/>
        <v>0.36709999999999998</v>
      </c>
      <c r="H3674" s="249">
        <f t="shared" si="870"/>
        <v>286.69778322838954</v>
      </c>
      <c r="I3674" s="258">
        <v>0.52929999999999999</v>
      </c>
      <c r="J3674" s="258">
        <f t="shared" si="871"/>
        <v>0.52929999999999999</v>
      </c>
      <c r="K3674" s="249">
        <f t="shared" si="872"/>
        <v>30.603485268097504</v>
      </c>
      <c r="L3674" s="314">
        <v>5.6500000000000002E-2</v>
      </c>
      <c r="M3674" s="258">
        <f t="shared" si="873"/>
        <v>5.6500000000000002E-2</v>
      </c>
      <c r="N3674" s="251">
        <f t="shared" si="874"/>
        <v>25.511931966856505</v>
      </c>
      <c r="O3674" s="258">
        <v>4.7100000000000003E-2</v>
      </c>
      <c r="P3674" s="258">
        <f t="shared" si="875"/>
        <v>4.7100000000000003E-2</v>
      </c>
      <c r="Q3674" s="249">
        <v>531.13</v>
      </c>
      <c r="R3674" s="249">
        <f t="shared" si="877"/>
        <v>541.65460651500007</v>
      </c>
      <c r="S3674" s="250">
        <v>0.1</v>
      </c>
      <c r="T3674" s="290">
        <f>Q3674*S3674+Q3674+6</f>
        <v>590.24299999999994</v>
      </c>
      <c r="U3674" s="315">
        <f t="shared" si="866"/>
        <v>595.82006716650005</v>
      </c>
      <c r="V3674" s="315">
        <f t="shared" si="867"/>
        <v>600</v>
      </c>
      <c r="W3674" s="316">
        <f t="shared" si="876"/>
        <v>0</v>
      </c>
    </row>
    <row r="3675" spans="1:23" x14ac:dyDescent="0.25">
      <c r="A3675" s="208" t="s">
        <v>15890</v>
      </c>
      <c r="B3675" s="313" t="s">
        <v>22967</v>
      </c>
      <c r="C3675" s="248"/>
      <c r="D3675" s="247" t="s">
        <v>11</v>
      </c>
      <c r="E3675" s="249">
        <f t="shared" si="868"/>
        <v>295.74207492233592</v>
      </c>
      <c r="F3675" s="258">
        <v>0.32019999999999998</v>
      </c>
      <c r="G3675" s="258">
        <f t="shared" si="869"/>
        <v>0.32019999999999998</v>
      </c>
      <c r="H3675" s="249">
        <f t="shared" si="870"/>
        <v>500.41554088982389</v>
      </c>
      <c r="I3675" s="258">
        <v>0.54179999999999995</v>
      </c>
      <c r="J3675" s="258">
        <f t="shared" si="871"/>
        <v>0.54179999999999995</v>
      </c>
      <c r="K3675" s="249">
        <f t="shared" si="872"/>
        <v>76.475464720703982</v>
      </c>
      <c r="L3675" s="374">
        <v>8.2799999999999999E-2</v>
      </c>
      <c r="M3675" s="258">
        <f t="shared" si="873"/>
        <v>8.2799999999999999E-2</v>
      </c>
      <c r="N3675" s="251">
        <f t="shared" si="874"/>
        <v>50.983643147135993</v>
      </c>
      <c r="O3675" s="258">
        <v>5.5199999999999999E-2</v>
      </c>
      <c r="P3675" s="258">
        <f t="shared" si="875"/>
        <v>5.5199999999999999E-2</v>
      </c>
      <c r="Q3675" s="249">
        <v>905.8</v>
      </c>
      <c r="R3675" s="249">
        <f t="shared" si="877"/>
        <v>923.61672367999984</v>
      </c>
      <c r="S3675" s="250">
        <v>0.1</v>
      </c>
      <c r="T3675" s="290">
        <f>Q3675*S3675+Q3675+4</f>
        <v>1000.38</v>
      </c>
      <c r="U3675" s="315">
        <f t="shared" si="866"/>
        <v>1015.9783960479998</v>
      </c>
      <c r="V3675" s="315">
        <f t="shared" si="867"/>
        <v>1025</v>
      </c>
      <c r="W3675" s="316">
        <f t="shared" si="876"/>
        <v>0</v>
      </c>
    </row>
    <row r="3676" spans="1:23" x14ac:dyDescent="0.25">
      <c r="A3676" s="208" t="s">
        <v>15891</v>
      </c>
      <c r="B3676" s="313" t="s">
        <v>22968</v>
      </c>
      <c r="C3676" s="248"/>
      <c r="D3676" s="247" t="s">
        <v>11</v>
      </c>
      <c r="E3676" s="249">
        <f t="shared" si="868"/>
        <v>295.54784667456852</v>
      </c>
      <c r="F3676" s="258">
        <v>0.2462</v>
      </c>
      <c r="G3676" s="258">
        <f t="shared" si="869"/>
        <v>0.2462</v>
      </c>
      <c r="H3676" s="249">
        <f t="shared" si="870"/>
        <v>777.52372173484184</v>
      </c>
      <c r="I3676" s="258">
        <v>0.64770000000000005</v>
      </c>
      <c r="J3676" s="258">
        <f t="shared" si="871"/>
        <v>0.64770000000000005</v>
      </c>
      <c r="K3676" s="249">
        <f t="shared" si="872"/>
        <v>76.467903465353444</v>
      </c>
      <c r="L3676" s="314">
        <v>6.3700000000000007E-2</v>
      </c>
      <c r="M3676" s="258">
        <f t="shared" si="873"/>
        <v>6.3700000000000007E-2</v>
      </c>
      <c r="N3676" s="251">
        <f t="shared" si="874"/>
        <v>50.898573107236821</v>
      </c>
      <c r="O3676" s="258">
        <v>4.24E-2</v>
      </c>
      <c r="P3676" s="258">
        <f t="shared" si="875"/>
        <v>4.24E-2</v>
      </c>
      <c r="Q3676" s="249">
        <v>1177.8600000000001</v>
      </c>
      <c r="R3676" s="249">
        <f t="shared" si="877"/>
        <v>1200.4380449820005</v>
      </c>
      <c r="S3676" s="250">
        <v>0.1</v>
      </c>
      <c r="T3676" s="290">
        <f>Q3676*S3676+Q3676+4</f>
        <v>1299.6460000000002</v>
      </c>
      <c r="U3676" s="315">
        <f t="shared" si="866"/>
        <v>1320.4818494802005</v>
      </c>
      <c r="V3676" s="315">
        <f t="shared" si="867"/>
        <v>1325</v>
      </c>
      <c r="W3676" s="316">
        <f t="shared" si="876"/>
        <v>0</v>
      </c>
    </row>
    <row r="3677" spans="1:23" x14ac:dyDescent="0.25">
      <c r="A3677" s="208" t="s">
        <v>15892</v>
      </c>
      <c r="B3677" s="313" t="s">
        <v>22969</v>
      </c>
      <c r="C3677" s="248"/>
      <c r="D3677" s="247" t="s">
        <v>11</v>
      </c>
      <c r="E3677" s="249">
        <f t="shared" si="868"/>
        <v>295.74633104610001</v>
      </c>
      <c r="F3677" s="258">
        <v>0.3498</v>
      </c>
      <c r="G3677" s="258">
        <f t="shared" si="869"/>
        <v>0.3498</v>
      </c>
      <c r="H3677" s="249">
        <f t="shared" si="870"/>
        <v>422.2290386633</v>
      </c>
      <c r="I3677" s="258">
        <v>0.49940000000000001</v>
      </c>
      <c r="J3677" s="258">
        <f t="shared" si="871"/>
        <v>0.49940000000000001</v>
      </c>
      <c r="K3677" s="249">
        <f t="shared" si="872"/>
        <v>76.515274327249998</v>
      </c>
      <c r="L3677" s="314">
        <v>9.0499999999999997E-2</v>
      </c>
      <c r="M3677" s="258">
        <f t="shared" si="873"/>
        <v>9.0499999999999997E-2</v>
      </c>
      <c r="N3677" s="251">
        <f t="shared" si="874"/>
        <v>50.982000463349998</v>
      </c>
      <c r="O3677" s="258">
        <v>6.0299999999999999E-2</v>
      </c>
      <c r="P3677" s="258">
        <f t="shared" si="875"/>
        <v>6.0299999999999999E-2</v>
      </c>
      <c r="Q3677" s="249">
        <v>829</v>
      </c>
      <c r="R3677" s="249">
        <f t="shared" si="877"/>
        <v>845.4726445</v>
      </c>
      <c r="S3677" s="250">
        <v>0.1</v>
      </c>
      <c r="T3677" s="290">
        <f>Q3677*S3677+Q3677-2</f>
        <v>909.9</v>
      </c>
      <c r="U3677" s="315">
        <f t="shared" si="866"/>
        <v>930.01990894999994</v>
      </c>
      <c r="V3677" s="315">
        <f t="shared" si="867"/>
        <v>935</v>
      </c>
      <c r="W3677" s="316">
        <f t="shared" si="876"/>
        <v>0</v>
      </c>
    </row>
    <row r="3678" spans="1:23" ht="14.4" x14ac:dyDescent="0.3">
      <c r="A3678" s="208" t="s">
        <v>15893</v>
      </c>
      <c r="B3678" s="313" t="s">
        <v>22970</v>
      </c>
      <c r="C3678" s="394"/>
      <c r="D3678" s="395" t="s">
        <v>11</v>
      </c>
      <c r="E3678" s="249">
        <f t="shared" si="868"/>
        <v>295.46570781324965</v>
      </c>
      <c r="F3678" s="258">
        <v>0.24160000000000001</v>
      </c>
      <c r="G3678" s="258">
        <f t="shared" si="869"/>
        <v>0.24160000000000001</v>
      </c>
      <c r="H3678" s="249">
        <f t="shared" si="870"/>
        <v>800.0565647824003</v>
      </c>
      <c r="I3678" s="258">
        <v>0.6542</v>
      </c>
      <c r="J3678" s="258">
        <f t="shared" si="871"/>
        <v>0.6542</v>
      </c>
      <c r="K3678" s="249">
        <f t="shared" si="872"/>
        <v>76.434630539437507</v>
      </c>
      <c r="L3678" s="314">
        <v>6.25E-2</v>
      </c>
      <c r="M3678" s="258">
        <f t="shared" si="873"/>
        <v>6.25E-2</v>
      </c>
      <c r="N3678" s="251">
        <f t="shared" si="874"/>
        <v>50.997185495912703</v>
      </c>
      <c r="O3678" s="258">
        <v>4.1700000000000001E-2</v>
      </c>
      <c r="P3678" s="258">
        <f t="shared" si="875"/>
        <v>4.1700000000000001E-2</v>
      </c>
      <c r="Q3678" s="249">
        <v>1199.99</v>
      </c>
      <c r="R3678" s="249">
        <f t="shared" si="877"/>
        <v>1222.9540886310001</v>
      </c>
      <c r="S3678" s="250">
        <v>0.1</v>
      </c>
      <c r="T3678" s="290">
        <f>Q3678*S3678+Q3678</f>
        <v>1319.989</v>
      </c>
      <c r="U3678" s="315">
        <f t="shared" si="866"/>
        <v>1345.2494974941001</v>
      </c>
      <c r="V3678" s="315">
        <f t="shared" si="867"/>
        <v>1350</v>
      </c>
      <c r="W3678" s="316">
        <f t="shared" si="876"/>
        <v>0</v>
      </c>
    </row>
    <row r="3679" spans="1:23" ht="14.4" x14ac:dyDescent="0.3">
      <c r="A3679" s="208" t="s">
        <v>15894</v>
      </c>
      <c r="B3679" s="313" t="s">
        <v>22971</v>
      </c>
      <c r="C3679" s="394"/>
      <c r="D3679" s="247" t="s">
        <v>11</v>
      </c>
      <c r="E3679" s="249">
        <f t="shared" si="868"/>
        <v>295.61956812796808</v>
      </c>
      <c r="F3679" s="258">
        <v>0.27210000000000001</v>
      </c>
      <c r="G3679" s="258">
        <f t="shared" si="869"/>
        <v>0.27210000000000001</v>
      </c>
      <c r="H3679" s="249">
        <f t="shared" si="870"/>
        <v>663.37856780204822</v>
      </c>
      <c r="I3679" s="258">
        <v>0.61060000000000003</v>
      </c>
      <c r="J3679" s="258">
        <f t="shared" si="871"/>
        <v>0.61060000000000003</v>
      </c>
      <c r="K3679" s="249">
        <f t="shared" si="872"/>
        <v>76.485180434432024</v>
      </c>
      <c r="L3679" s="314">
        <v>7.0400000000000004E-2</v>
      </c>
      <c r="M3679" s="258">
        <f t="shared" si="873"/>
        <v>7.0400000000000004E-2</v>
      </c>
      <c r="N3679" s="251">
        <f t="shared" si="874"/>
        <v>50.953905715552011</v>
      </c>
      <c r="O3679" s="258">
        <v>4.6899999999999997E-2</v>
      </c>
      <c r="P3679" s="258">
        <f t="shared" si="875"/>
        <v>4.6899999999999997E-2</v>
      </c>
      <c r="Q3679" s="249">
        <v>1065.8200000000002</v>
      </c>
      <c r="R3679" s="249">
        <f t="shared" si="877"/>
        <v>1086.4372220800003</v>
      </c>
      <c r="S3679" s="250">
        <v>0.1</v>
      </c>
      <c r="T3679" s="290">
        <f>Q3679*S3679+Q3679-2</f>
        <v>1170.4020000000003</v>
      </c>
      <c r="U3679" s="315">
        <f t="shared" si="866"/>
        <v>1195.0809442880004</v>
      </c>
      <c r="V3679" s="315">
        <f t="shared" si="867"/>
        <v>1200</v>
      </c>
      <c r="W3679" s="316">
        <f t="shared" si="876"/>
        <v>0</v>
      </c>
    </row>
    <row r="3680" spans="1:23" x14ac:dyDescent="0.25">
      <c r="A3680" s="208" t="s">
        <v>15895</v>
      </c>
      <c r="B3680" s="313" t="s">
        <v>15896</v>
      </c>
      <c r="C3680" s="248"/>
      <c r="D3680" s="247" t="s">
        <v>11</v>
      </c>
      <c r="E3680" s="249">
        <f t="shared" si="868"/>
        <v>295.59918102798599</v>
      </c>
      <c r="F3680" s="258">
        <v>0.26700000000000002</v>
      </c>
      <c r="G3680" s="258">
        <f t="shared" si="869"/>
        <v>0.26700000000000002</v>
      </c>
      <c r="H3680" s="249">
        <f t="shared" si="870"/>
        <v>684.08514590708808</v>
      </c>
      <c r="I3680" s="258">
        <v>0.6179</v>
      </c>
      <c r="J3680" s="258">
        <f t="shared" si="871"/>
        <v>0.6179</v>
      </c>
      <c r="K3680" s="249">
        <f t="shared" si="872"/>
        <v>76.50151089525778</v>
      </c>
      <c r="L3680" s="314">
        <v>6.9099999999999995E-2</v>
      </c>
      <c r="M3680" s="258">
        <f t="shared" si="873"/>
        <v>6.9099999999999995E-2</v>
      </c>
      <c r="N3680" s="251">
        <f t="shared" si="874"/>
        <v>50.92719972766799</v>
      </c>
      <c r="O3680" s="258">
        <v>4.5999999999999999E-2</v>
      </c>
      <c r="P3680" s="258">
        <f t="shared" si="875"/>
        <v>4.5999999999999999E-2</v>
      </c>
      <c r="Q3680" s="249">
        <v>1086.1399999999999</v>
      </c>
      <c r="R3680" s="249">
        <f t="shared" si="877"/>
        <v>1107.1130375579999</v>
      </c>
      <c r="S3680" s="250">
        <v>0.1</v>
      </c>
      <c r="T3680" s="290">
        <f>Q3680*S3680+Q3680+5</f>
        <v>1199.7539999999999</v>
      </c>
      <c r="U3680" s="315">
        <f t="shared" si="866"/>
        <v>1217.8243413137998</v>
      </c>
      <c r="V3680" s="315">
        <f t="shared" si="867"/>
        <v>1225</v>
      </c>
      <c r="W3680" s="316">
        <f t="shared" si="876"/>
        <v>0</v>
      </c>
    </row>
    <row r="3681" spans="1:23" x14ac:dyDescent="0.25">
      <c r="A3681" s="208" t="s">
        <v>15897</v>
      </c>
      <c r="B3681" s="313" t="s">
        <v>22972</v>
      </c>
      <c r="C3681" s="248"/>
      <c r="D3681" s="247" t="s">
        <v>11</v>
      </c>
      <c r="E3681" s="249">
        <f t="shared" si="868"/>
        <v>392.22827611903648</v>
      </c>
      <c r="F3681" s="258">
        <v>0.22869999999999999</v>
      </c>
      <c r="G3681" s="258">
        <f t="shared" si="869"/>
        <v>0.22869999999999999</v>
      </c>
      <c r="H3681" s="249">
        <f t="shared" si="870"/>
        <v>1118.888182510098</v>
      </c>
      <c r="I3681" s="258">
        <v>0.65239999999999998</v>
      </c>
      <c r="J3681" s="258">
        <f t="shared" si="871"/>
        <v>0.65239999999999998</v>
      </c>
      <c r="K3681" s="249">
        <f t="shared" si="872"/>
        <v>127.4270263036485</v>
      </c>
      <c r="L3681" s="314">
        <v>7.4300000000000005E-2</v>
      </c>
      <c r="M3681" s="258">
        <f t="shared" si="873"/>
        <v>7.4300000000000005E-2</v>
      </c>
      <c r="N3681" s="251">
        <f t="shared" si="874"/>
        <v>76.490516462217002</v>
      </c>
      <c r="O3681" s="258">
        <v>4.4600000000000001E-2</v>
      </c>
      <c r="P3681" s="258">
        <f t="shared" si="875"/>
        <v>4.4600000000000001E-2</v>
      </c>
      <c r="Q3681" s="249">
        <v>1682.85</v>
      </c>
      <c r="R3681" s="249">
        <f t="shared" si="877"/>
        <v>1715.0340013949999</v>
      </c>
      <c r="S3681" s="250">
        <v>0.1</v>
      </c>
      <c r="T3681" s="290">
        <f>Q3681*S3681+Q3681-1</f>
        <v>1850.135</v>
      </c>
      <c r="U3681" s="315">
        <f t="shared" si="866"/>
        <v>1886.5374015344998</v>
      </c>
      <c r="V3681" s="315">
        <f t="shared" si="867"/>
        <v>1900</v>
      </c>
      <c r="W3681" s="316">
        <f t="shared" si="876"/>
        <v>0</v>
      </c>
    </row>
    <row r="3682" spans="1:23" x14ac:dyDescent="0.25">
      <c r="A3682" s="208" t="s">
        <v>15898</v>
      </c>
      <c r="B3682" s="313" t="s">
        <v>15899</v>
      </c>
      <c r="C3682" s="248"/>
      <c r="D3682" s="247" t="s">
        <v>11</v>
      </c>
      <c r="E3682" s="249">
        <f t="shared" si="868"/>
        <v>392.45640780005107</v>
      </c>
      <c r="F3682" s="258">
        <v>0.2394</v>
      </c>
      <c r="G3682" s="258">
        <f t="shared" si="869"/>
        <v>0.2394</v>
      </c>
      <c r="H3682" s="249">
        <f t="shared" si="870"/>
        <v>1043.1078207317146</v>
      </c>
      <c r="I3682" s="258">
        <v>0.63629999999999998</v>
      </c>
      <c r="J3682" s="258">
        <f t="shared" si="871"/>
        <v>0.63629999999999998</v>
      </c>
      <c r="K3682" s="249">
        <f t="shared" si="872"/>
        <v>127.37620253159552</v>
      </c>
      <c r="L3682" s="314">
        <v>7.7700000000000005E-2</v>
      </c>
      <c r="M3682" s="258">
        <f t="shared" si="873"/>
        <v>7.7700000000000005E-2</v>
      </c>
      <c r="N3682" s="251">
        <f t="shared" si="874"/>
        <v>76.392934851639012</v>
      </c>
      <c r="O3682" s="258">
        <v>4.6600000000000003E-2</v>
      </c>
      <c r="P3682" s="258">
        <f t="shared" si="875"/>
        <v>4.6600000000000003E-2</v>
      </c>
      <c r="Q3682" s="249">
        <v>1608.45</v>
      </c>
      <c r="R3682" s="249">
        <f t="shared" si="877"/>
        <v>1639.3333659150003</v>
      </c>
      <c r="S3682" s="250">
        <v>0.1</v>
      </c>
      <c r="T3682" s="290">
        <f>Q3682*S3682+Q3682+1</f>
        <v>1770.2950000000001</v>
      </c>
      <c r="U3682" s="315">
        <f t="shared" si="866"/>
        <v>1803.2667025065002</v>
      </c>
      <c r="V3682" s="315">
        <f t="shared" si="867"/>
        <v>1825</v>
      </c>
      <c r="W3682" s="316">
        <f t="shared" si="876"/>
        <v>0</v>
      </c>
    </row>
    <row r="3683" spans="1:23" x14ac:dyDescent="0.25">
      <c r="A3683" s="208" t="s">
        <v>15900</v>
      </c>
      <c r="B3683" s="313" t="s">
        <v>15901</v>
      </c>
      <c r="C3683" s="248"/>
      <c r="D3683" s="247" t="s">
        <v>11</v>
      </c>
      <c r="E3683" s="249">
        <f t="shared" si="868"/>
        <v>392.38271222248119</v>
      </c>
      <c r="F3683" s="258">
        <v>0.24740000000000001</v>
      </c>
      <c r="G3683" s="258">
        <f t="shared" si="869"/>
        <v>0.24740000000000001</v>
      </c>
      <c r="H3683" s="249">
        <f t="shared" si="870"/>
        <v>989.83852343593571</v>
      </c>
      <c r="I3683" s="258">
        <v>0.62409999999999999</v>
      </c>
      <c r="J3683" s="258">
        <f t="shared" si="871"/>
        <v>0.62409999999999999</v>
      </c>
      <c r="K3683" s="249">
        <f t="shared" si="872"/>
        <v>127.35784879331139</v>
      </c>
      <c r="L3683" s="314">
        <v>8.0299999999999996E-2</v>
      </c>
      <c r="M3683" s="258">
        <f t="shared" si="873"/>
        <v>8.0299999999999996E-2</v>
      </c>
      <c r="N3683" s="251">
        <f t="shared" si="874"/>
        <v>76.446429786271594</v>
      </c>
      <c r="O3683" s="258">
        <v>4.82E-2</v>
      </c>
      <c r="P3683" s="258">
        <f t="shared" si="875"/>
        <v>4.82E-2</v>
      </c>
      <c r="Q3683" s="249">
        <v>1556.06</v>
      </c>
      <c r="R3683" s="249">
        <f t="shared" si="877"/>
        <v>1586.0255142379999</v>
      </c>
      <c r="S3683" s="250">
        <v>0.1</v>
      </c>
      <c r="T3683" s="290">
        <f>Q3683*S3683+Q3683-2</f>
        <v>1709.6659999999999</v>
      </c>
      <c r="U3683" s="315">
        <f t="shared" si="866"/>
        <v>1744.6280656617998</v>
      </c>
      <c r="V3683" s="315">
        <f t="shared" si="867"/>
        <v>1750</v>
      </c>
      <c r="W3683" s="316">
        <f t="shared" si="876"/>
        <v>0</v>
      </c>
    </row>
    <row r="3684" spans="1:23" x14ac:dyDescent="0.25">
      <c r="A3684" s="208" t="s">
        <v>15902</v>
      </c>
      <c r="B3684" s="313" t="s">
        <v>22966</v>
      </c>
      <c r="C3684" s="248"/>
      <c r="D3684" s="247" t="s">
        <v>11</v>
      </c>
      <c r="E3684" s="249">
        <f t="shared" si="868"/>
        <v>198.88391639529607</v>
      </c>
      <c r="F3684" s="258">
        <v>0.41839999999999999</v>
      </c>
      <c r="G3684" s="258">
        <f t="shared" si="869"/>
        <v>0.41839999999999999</v>
      </c>
      <c r="H3684" s="249">
        <f t="shared" si="870"/>
        <v>220.32192937194009</v>
      </c>
      <c r="I3684" s="258">
        <v>0.46350000000000002</v>
      </c>
      <c r="J3684" s="258">
        <f t="shared" si="871"/>
        <v>0.46350000000000002</v>
      </c>
      <c r="K3684" s="249">
        <f t="shared" si="872"/>
        <v>30.61215156753601</v>
      </c>
      <c r="L3684" s="314">
        <v>6.4399999999999999E-2</v>
      </c>
      <c r="M3684" s="258">
        <f t="shared" si="873"/>
        <v>6.4399999999999999E-2</v>
      </c>
      <c r="N3684" s="251">
        <f t="shared" si="874"/>
        <v>25.525971105228006</v>
      </c>
      <c r="O3684" s="258">
        <v>5.3699999999999998E-2</v>
      </c>
      <c r="P3684" s="258">
        <f t="shared" si="875"/>
        <v>5.3699999999999998E-2</v>
      </c>
      <c r="Q3684" s="249">
        <v>465.96000000000004</v>
      </c>
      <c r="R3684" s="249">
        <f t="shared" si="877"/>
        <v>475.34396844000014</v>
      </c>
      <c r="S3684" s="250">
        <v>0.1</v>
      </c>
      <c r="T3684" s="290">
        <f>Q3684*S3684+Q3684+7</f>
        <v>519.55600000000004</v>
      </c>
      <c r="U3684" s="315">
        <f t="shared" si="866"/>
        <v>522.87836528400021</v>
      </c>
      <c r="V3684" s="315">
        <f t="shared" si="867"/>
        <v>525</v>
      </c>
      <c r="W3684" s="316">
        <f t="shared" si="876"/>
        <v>0</v>
      </c>
    </row>
    <row r="3685" spans="1:23" ht="14.4" thickBot="1" x14ac:dyDescent="0.3">
      <c r="A3685" s="214" t="s">
        <v>15903</v>
      </c>
      <c r="B3685" s="321" t="s">
        <v>15904</v>
      </c>
      <c r="C3685" s="265"/>
      <c r="D3685" s="264" t="s">
        <v>11</v>
      </c>
      <c r="E3685" s="266">
        <f t="shared" si="868"/>
        <v>198.6990801193875</v>
      </c>
      <c r="F3685" s="322">
        <v>0.28510000000000002</v>
      </c>
      <c r="G3685" s="322">
        <f t="shared" si="869"/>
        <v>0.28510000000000002</v>
      </c>
      <c r="H3685" s="266">
        <f t="shared" si="870"/>
        <v>442.14204288929994</v>
      </c>
      <c r="I3685" s="322">
        <v>0.63439999999999996</v>
      </c>
      <c r="J3685" s="322">
        <f t="shared" si="871"/>
        <v>0.63439999999999996</v>
      </c>
      <c r="K3685" s="266">
        <f t="shared" si="872"/>
        <v>30.595894834237498</v>
      </c>
      <c r="L3685" s="323">
        <v>4.3900000000000002E-2</v>
      </c>
      <c r="M3685" s="322">
        <f t="shared" si="873"/>
        <v>4.3900000000000002E-2</v>
      </c>
      <c r="N3685" s="270">
        <f t="shared" si="874"/>
        <v>25.508194782074998</v>
      </c>
      <c r="O3685" s="322">
        <v>3.6600000000000001E-2</v>
      </c>
      <c r="P3685" s="322">
        <f t="shared" si="875"/>
        <v>3.6600000000000001E-2</v>
      </c>
      <c r="Q3685" s="266">
        <v>683.75</v>
      </c>
      <c r="R3685" s="266">
        <f t="shared" si="877"/>
        <v>696.94521262499995</v>
      </c>
      <c r="S3685" s="267">
        <v>0.1</v>
      </c>
      <c r="T3685" s="299">
        <f>Q3685*S3685+Q3685-2</f>
        <v>750.125</v>
      </c>
      <c r="U3685" s="324">
        <f t="shared" si="866"/>
        <v>766.63973388749991</v>
      </c>
      <c r="V3685" s="324">
        <f t="shared" si="867"/>
        <v>770</v>
      </c>
      <c r="W3685" s="325">
        <f t="shared" si="876"/>
        <v>0</v>
      </c>
    </row>
    <row r="3686" spans="1:23" x14ac:dyDescent="0.25">
      <c r="A3686" s="199" t="s">
        <v>14936</v>
      </c>
      <c r="B3686" s="307" t="s">
        <v>15905</v>
      </c>
      <c r="C3686" s="308"/>
      <c r="D3686" s="309"/>
      <c r="E3686" s="310"/>
      <c r="F3686" s="311"/>
      <c r="G3686" s="311"/>
      <c r="H3686" s="310"/>
      <c r="I3686" s="311"/>
      <c r="J3686" s="311"/>
      <c r="K3686" s="310"/>
      <c r="L3686" s="311"/>
      <c r="M3686" s="311"/>
      <c r="N3686" s="310"/>
      <c r="O3686" s="311"/>
      <c r="P3686" s="311"/>
      <c r="Q3686" s="310"/>
      <c r="R3686" s="310"/>
      <c r="S3686" s="309"/>
      <c r="T3686" s="309"/>
      <c r="U3686" s="309"/>
      <c r="V3686" s="309"/>
      <c r="W3686" s="312"/>
    </row>
    <row r="3687" spans="1:23" x14ac:dyDescent="0.25">
      <c r="A3687" s="208" t="s">
        <v>15906</v>
      </c>
      <c r="B3687" s="313" t="s">
        <v>22973</v>
      </c>
      <c r="C3687" s="248"/>
      <c r="D3687" s="247" t="s">
        <v>11</v>
      </c>
      <c r="E3687" s="249">
        <f t="shared" si="868"/>
        <v>99.964698328052421</v>
      </c>
      <c r="F3687" s="258">
        <v>0.3921</v>
      </c>
      <c r="G3687" s="258">
        <f t="shared" si="869"/>
        <v>0.3921</v>
      </c>
      <c r="H3687" s="249">
        <f t="shared" si="870"/>
        <v>129.48755491154762</v>
      </c>
      <c r="I3687" s="258">
        <v>0.50790000000000002</v>
      </c>
      <c r="J3687" s="258">
        <f t="shared" si="871"/>
        <v>0.50790000000000002</v>
      </c>
      <c r="K3687" s="249">
        <f t="shared" si="872"/>
        <v>15.296816882640002</v>
      </c>
      <c r="L3687" s="374">
        <v>0.06</v>
      </c>
      <c r="M3687" s="258">
        <f t="shared" si="873"/>
        <v>0.06</v>
      </c>
      <c r="N3687" s="251">
        <f t="shared" si="874"/>
        <v>10.197877921760002</v>
      </c>
      <c r="O3687" s="258">
        <v>0.04</v>
      </c>
      <c r="P3687" s="258">
        <f t="shared" si="875"/>
        <v>0.04</v>
      </c>
      <c r="Q3687" s="249">
        <v>249.94</v>
      </c>
      <c r="R3687" s="249">
        <f t="shared" si="877"/>
        <v>254.94694804400004</v>
      </c>
      <c r="S3687" s="250">
        <v>0.1</v>
      </c>
      <c r="T3687" s="290">
        <f>Q3687*S3687+Q3687+5</f>
        <v>279.93399999999997</v>
      </c>
      <c r="U3687" s="315">
        <f t="shared" ref="U3687:U3750" si="878">(R3687*S3687)+R3687</f>
        <v>280.44164284840002</v>
      </c>
      <c r="V3687" s="315">
        <f t="shared" ref="V3687:V3750" si="879">IF(U3687=0, 0, IF(U3687&lt;10, _xlfn.CEILING.MATH(U3687,1), IF(U3687&lt;100, _xlfn.CEILING.MATH(U3687,1),IF(U3687&lt;1000, _xlfn.CEILING.MATH(U3687,5), IF(U3687&lt;10000, _xlfn.CEILING.MATH(U3687, 25), IF(U3687&lt;100000, _xlfn.CEILING.MATH(U3687,250), IF(U3687&lt;1000000, _xlfn.CEILING.MATH(U3687,500), 0)))))))</f>
        <v>285</v>
      </c>
      <c r="W3687" s="316">
        <f t="shared" si="876"/>
        <v>0</v>
      </c>
    </row>
    <row r="3688" spans="1:23" x14ac:dyDescent="0.25">
      <c r="A3688" s="208" t="s">
        <v>15907</v>
      </c>
      <c r="B3688" s="313" t="s">
        <v>22974</v>
      </c>
      <c r="C3688" s="248"/>
      <c r="D3688" s="247" t="s">
        <v>11</v>
      </c>
      <c r="E3688" s="249">
        <f t="shared" si="868"/>
        <v>51.050729259536013</v>
      </c>
      <c r="F3688" s="258">
        <v>0.49180000000000001</v>
      </c>
      <c r="G3688" s="258">
        <f t="shared" si="869"/>
        <v>0.49180000000000001</v>
      </c>
      <c r="H3688" s="249">
        <f t="shared" si="870"/>
        <v>32.324516249328006</v>
      </c>
      <c r="I3688" s="258">
        <v>0.31140000000000001</v>
      </c>
      <c r="J3688" s="258">
        <f t="shared" si="871"/>
        <v>0.31140000000000001</v>
      </c>
      <c r="K3688" s="249">
        <f t="shared" si="872"/>
        <v>15.321447008352004</v>
      </c>
      <c r="L3688" s="374">
        <v>0.14760000000000001</v>
      </c>
      <c r="M3688" s="258">
        <f t="shared" si="873"/>
        <v>0.14760000000000001</v>
      </c>
      <c r="N3688" s="251">
        <f t="shared" si="874"/>
        <v>5.1071490027840012</v>
      </c>
      <c r="O3688" s="258">
        <v>4.9200000000000001E-2</v>
      </c>
      <c r="P3688" s="258">
        <f t="shared" si="875"/>
        <v>4.9200000000000001E-2</v>
      </c>
      <c r="Q3688" s="249">
        <v>101.65</v>
      </c>
      <c r="R3688" s="249">
        <f t="shared" si="877"/>
        <v>103.80384152000002</v>
      </c>
      <c r="S3688" s="250">
        <v>0.1</v>
      </c>
      <c r="T3688" s="290">
        <f>Q3688*S3688+Q3688-2</f>
        <v>109.81500000000001</v>
      </c>
      <c r="U3688" s="315">
        <f t="shared" si="878"/>
        <v>114.18422567200003</v>
      </c>
      <c r="V3688" s="315">
        <f t="shared" si="879"/>
        <v>115</v>
      </c>
      <c r="W3688" s="316">
        <f t="shared" si="876"/>
        <v>0</v>
      </c>
    </row>
    <row r="3689" spans="1:23" x14ac:dyDescent="0.25">
      <c r="A3689" s="208" t="s">
        <v>15908</v>
      </c>
      <c r="B3689" s="313" t="s">
        <v>22975</v>
      </c>
      <c r="C3689" s="248"/>
      <c r="D3689" s="247" t="s">
        <v>11</v>
      </c>
      <c r="E3689" s="249">
        <f t="shared" si="868"/>
        <v>51.016500225881607</v>
      </c>
      <c r="F3689" s="258">
        <v>0.39679999999999999</v>
      </c>
      <c r="G3689" s="258">
        <f t="shared" si="869"/>
        <v>0.39679999999999999</v>
      </c>
      <c r="H3689" s="249">
        <f t="shared" si="870"/>
        <v>57.136423136042815</v>
      </c>
      <c r="I3689" s="258">
        <v>0.44440000000000002</v>
      </c>
      <c r="J3689" s="258">
        <f t="shared" si="871"/>
        <v>0.44440000000000002</v>
      </c>
      <c r="K3689" s="249">
        <f t="shared" si="872"/>
        <v>15.312664256306704</v>
      </c>
      <c r="L3689" s="374">
        <v>0.1191</v>
      </c>
      <c r="M3689" s="258">
        <f t="shared" si="873"/>
        <v>0.1191</v>
      </c>
      <c r="N3689" s="251">
        <f t="shared" si="874"/>
        <v>5.1042214187689012</v>
      </c>
      <c r="O3689" s="258">
        <v>3.9699999999999999E-2</v>
      </c>
      <c r="P3689" s="258">
        <f t="shared" si="875"/>
        <v>3.9699999999999999E-2</v>
      </c>
      <c r="Q3689" s="249">
        <v>125.99000000000001</v>
      </c>
      <c r="R3689" s="249">
        <f t="shared" si="877"/>
        <v>128.56980903700003</v>
      </c>
      <c r="S3689" s="250">
        <v>0.1</v>
      </c>
      <c r="T3689" s="290">
        <f>Q3689*S3689+Q3689+1</f>
        <v>139.589</v>
      </c>
      <c r="U3689" s="315">
        <f t="shared" si="878"/>
        <v>141.42678994070002</v>
      </c>
      <c r="V3689" s="315">
        <f t="shared" si="879"/>
        <v>145</v>
      </c>
      <c r="W3689" s="316">
        <f t="shared" si="876"/>
        <v>0</v>
      </c>
    </row>
    <row r="3690" spans="1:23" x14ac:dyDescent="0.25">
      <c r="A3690" s="208" t="s">
        <v>15909</v>
      </c>
      <c r="B3690" s="313" t="s">
        <v>22976</v>
      </c>
      <c r="C3690" s="248"/>
      <c r="D3690" s="247" t="s">
        <v>11</v>
      </c>
      <c r="E3690" s="249">
        <f t="shared" si="868"/>
        <v>51.002711492275211</v>
      </c>
      <c r="F3690" s="258">
        <v>0.3488</v>
      </c>
      <c r="G3690" s="258">
        <f t="shared" si="869"/>
        <v>0.3488</v>
      </c>
      <c r="H3690" s="249">
        <f t="shared" si="870"/>
        <v>74.822498482216815</v>
      </c>
      <c r="I3690" s="258">
        <v>0.51170000000000004</v>
      </c>
      <c r="J3690" s="258">
        <f t="shared" si="871"/>
        <v>0.51170000000000004</v>
      </c>
      <c r="K3690" s="249">
        <f t="shared" si="872"/>
        <v>15.294964512878403</v>
      </c>
      <c r="L3690" s="374">
        <v>0.1046</v>
      </c>
      <c r="M3690" s="258">
        <f t="shared" si="873"/>
        <v>0.1046</v>
      </c>
      <c r="N3690" s="251">
        <f t="shared" si="874"/>
        <v>5.1031956166296011</v>
      </c>
      <c r="O3690" s="258">
        <v>3.49E-2</v>
      </c>
      <c r="P3690" s="258">
        <f t="shared" si="875"/>
        <v>3.49E-2</v>
      </c>
      <c r="Q3690" s="249">
        <v>143.34</v>
      </c>
      <c r="R3690" s="249">
        <f t="shared" si="877"/>
        <v>146.22337010400003</v>
      </c>
      <c r="S3690" s="250">
        <v>0.1</v>
      </c>
      <c r="T3690" s="290">
        <f>Q3690*S3690+Q3690+2</f>
        <v>159.67400000000001</v>
      </c>
      <c r="U3690" s="315">
        <f t="shared" si="878"/>
        <v>160.84570711440003</v>
      </c>
      <c r="V3690" s="315">
        <f t="shared" si="879"/>
        <v>165</v>
      </c>
      <c r="W3690" s="316">
        <f t="shared" si="876"/>
        <v>0</v>
      </c>
    </row>
    <row r="3691" spans="1:23" x14ac:dyDescent="0.25">
      <c r="A3691" s="208" t="s">
        <v>15910</v>
      </c>
      <c r="B3691" s="313" t="s">
        <v>22977</v>
      </c>
      <c r="C3691" s="248"/>
      <c r="D3691" s="247" t="s">
        <v>11</v>
      </c>
      <c r="E3691" s="249">
        <f t="shared" si="868"/>
        <v>99.977938734068985</v>
      </c>
      <c r="F3691" s="258">
        <v>0.3886</v>
      </c>
      <c r="G3691" s="258">
        <f t="shared" si="869"/>
        <v>0.3886</v>
      </c>
      <c r="H3691" s="249">
        <f t="shared" si="870"/>
        <v>131.80313436300449</v>
      </c>
      <c r="I3691" s="258">
        <v>0.51229999999999998</v>
      </c>
      <c r="J3691" s="258">
        <f t="shared" si="871"/>
        <v>0.51229999999999998</v>
      </c>
      <c r="K3691" s="249">
        <f t="shared" si="872"/>
        <v>15.307996280692498</v>
      </c>
      <c r="L3691" s="374">
        <v>5.9499999999999997E-2</v>
      </c>
      <c r="M3691" s="258">
        <f t="shared" si="873"/>
        <v>5.9499999999999997E-2</v>
      </c>
      <c r="N3691" s="251">
        <f t="shared" si="874"/>
        <v>10.188179037234001</v>
      </c>
      <c r="O3691" s="258">
        <v>3.9600000000000003E-2</v>
      </c>
      <c r="P3691" s="258">
        <f t="shared" si="875"/>
        <v>3.9600000000000003E-2</v>
      </c>
      <c r="Q3691" s="249">
        <v>252.23</v>
      </c>
      <c r="R3691" s="249">
        <f t="shared" si="877"/>
        <v>257.27724841499997</v>
      </c>
      <c r="S3691" s="250">
        <v>0.1</v>
      </c>
      <c r="T3691" s="290">
        <f>Q3691*S3691+Q3691+3</f>
        <v>280.45299999999997</v>
      </c>
      <c r="U3691" s="315">
        <f t="shared" si="878"/>
        <v>283.00497325649997</v>
      </c>
      <c r="V3691" s="315">
        <f t="shared" si="879"/>
        <v>285</v>
      </c>
      <c r="W3691" s="316">
        <f t="shared" si="876"/>
        <v>0</v>
      </c>
    </row>
    <row r="3692" spans="1:23" x14ac:dyDescent="0.25">
      <c r="A3692" s="208" t="s">
        <v>15911</v>
      </c>
      <c r="B3692" s="313" t="s">
        <v>22978</v>
      </c>
      <c r="C3692" s="248"/>
      <c r="D3692" s="247" t="s">
        <v>11</v>
      </c>
      <c r="E3692" s="249">
        <f t="shared" si="868"/>
        <v>99.935068114080892</v>
      </c>
      <c r="F3692" s="258">
        <v>0.36509999999999998</v>
      </c>
      <c r="G3692" s="258">
        <f t="shared" si="869"/>
        <v>0.36509999999999998</v>
      </c>
      <c r="H3692" s="249">
        <f t="shared" si="870"/>
        <v>148.27396986414027</v>
      </c>
      <c r="I3692" s="258">
        <v>0.54169999999999996</v>
      </c>
      <c r="J3692" s="258">
        <f t="shared" si="871"/>
        <v>0.54169999999999996</v>
      </c>
      <c r="K3692" s="249">
        <f t="shared" si="872"/>
        <v>15.3009320941581</v>
      </c>
      <c r="L3692" s="374">
        <v>5.5899999999999998E-2</v>
      </c>
      <c r="M3692" s="258">
        <f t="shared" si="873"/>
        <v>5.5899999999999998E-2</v>
      </c>
      <c r="N3692" s="251">
        <f t="shared" si="874"/>
        <v>10.2097453866207</v>
      </c>
      <c r="O3692" s="258">
        <v>3.73E-2</v>
      </c>
      <c r="P3692" s="258">
        <f t="shared" si="875"/>
        <v>3.73E-2</v>
      </c>
      <c r="Q3692" s="249">
        <v>268.39</v>
      </c>
      <c r="R3692" s="249">
        <f t="shared" si="877"/>
        <v>273.71971545899999</v>
      </c>
      <c r="S3692" s="250">
        <v>0.1</v>
      </c>
      <c r="T3692" s="290">
        <f>Q3692*S3692+Q3692+5</f>
        <v>300.22899999999998</v>
      </c>
      <c r="U3692" s="315">
        <f t="shared" si="878"/>
        <v>301.0916870049</v>
      </c>
      <c r="V3692" s="315">
        <f t="shared" si="879"/>
        <v>305</v>
      </c>
      <c r="W3692" s="316">
        <f t="shared" si="876"/>
        <v>0</v>
      </c>
    </row>
    <row r="3693" spans="1:23" x14ac:dyDescent="0.25">
      <c r="A3693" s="208" t="s">
        <v>15912</v>
      </c>
      <c r="B3693" s="313" t="s">
        <v>22979</v>
      </c>
      <c r="C3693" s="248"/>
      <c r="D3693" s="247" t="s">
        <v>11</v>
      </c>
      <c r="E3693" s="249">
        <f t="shared" si="868"/>
        <v>51.030923951143194</v>
      </c>
      <c r="F3693" s="258">
        <v>0.43859999999999999</v>
      </c>
      <c r="G3693" s="258">
        <f t="shared" si="869"/>
        <v>0.43859999999999999</v>
      </c>
      <c r="H3693" s="249">
        <f t="shared" si="870"/>
        <v>44.899301305850798</v>
      </c>
      <c r="I3693" s="258">
        <v>0.38590000000000002</v>
      </c>
      <c r="J3693" s="258">
        <f t="shared" si="871"/>
        <v>0.38590000000000002</v>
      </c>
      <c r="K3693" s="249">
        <f t="shared" si="872"/>
        <v>15.311604176859197</v>
      </c>
      <c r="L3693" s="374">
        <v>0.13159999999999999</v>
      </c>
      <c r="M3693" s="258">
        <f t="shared" si="873"/>
        <v>0.13159999999999999</v>
      </c>
      <c r="N3693" s="251">
        <f t="shared" si="874"/>
        <v>5.1077463781467998</v>
      </c>
      <c r="O3693" s="258">
        <v>4.3900000000000002E-2</v>
      </c>
      <c r="P3693" s="258">
        <f t="shared" si="875"/>
        <v>4.3900000000000002E-2</v>
      </c>
      <c r="Q3693" s="249">
        <v>113.97999999999999</v>
      </c>
      <c r="R3693" s="249">
        <f t="shared" si="877"/>
        <v>116.34957581199998</v>
      </c>
      <c r="S3693" s="250">
        <v>0.1</v>
      </c>
      <c r="T3693" s="290">
        <f>Q3693*S3693+Q3693+5</f>
        <v>130.37799999999999</v>
      </c>
      <c r="U3693" s="315">
        <f t="shared" si="878"/>
        <v>127.98453339319998</v>
      </c>
      <c r="V3693" s="315">
        <f t="shared" si="879"/>
        <v>130</v>
      </c>
      <c r="W3693" s="316">
        <f t="shared" si="876"/>
        <v>0</v>
      </c>
    </row>
    <row r="3694" spans="1:23" x14ac:dyDescent="0.25">
      <c r="A3694" s="208" t="s">
        <v>15913</v>
      </c>
      <c r="B3694" s="313" t="s">
        <v>22980</v>
      </c>
      <c r="C3694" s="248"/>
      <c r="D3694" s="247" t="s">
        <v>11</v>
      </c>
      <c r="E3694" s="249">
        <f t="shared" si="868"/>
        <v>51.006635799890397</v>
      </c>
      <c r="F3694" s="258">
        <v>0.34810000000000002</v>
      </c>
      <c r="G3694" s="258">
        <f t="shared" si="869"/>
        <v>0.34810000000000002</v>
      </c>
      <c r="H3694" s="249">
        <f t="shared" si="870"/>
        <v>75.125257611616803</v>
      </c>
      <c r="I3694" s="258">
        <v>0.51270000000000004</v>
      </c>
      <c r="J3694" s="258">
        <f t="shared" si="871"/>
        <v>0.51270000000000004</v>
      </c>
      <c r="K3694" s="249">
        <f t="shared" si="872"/>
        <v>15.297594879369599</v>
      </c>
      <c r="L3694" s="374">
        <v>0.10440000000000001</v>
      </c>
      <c r="M3694" s="258">
        <f t="shared" si="873"/>
        <v>0.10440000000000001</v>
      </c>
      <c r="N3694" s="251">
        <f t="shared" si="874"/>
        <v>5.0991982931231989</v>
      </c>
      <c r="O3694" s="258">
        <v>3.4799999999999998E-2</v>
      </c>
      <c r="P3694" s="258">
        <f t="shared" si="875"/>
        <v>3.4799999999999998E-2</v>
      </c>
      <c r="Q3694" s="249">
        <v>143.63999999999999</v>
      </c>
      <c r="R3694" s="249">
        <f t="shared" si="877"/>
        <v>146.52868658399998</v>
      </c>
      <c r="S3694" s="250">
        <v>0.1</v>
      </c>
      <c r="T3694" s="290">
        <f>Q3694*S3694+Q3694+2</f>
        <v>160.00399999999999</v>
      </c>
      <c r="U3694" s="315">
        <f t="shared" si="878"/>
        <v>161.18155524239998</v>
      </c>
      <c r="V3694" s="315">
        <f t="shared" si="879"/>
        <v>165</v>
      </c>
      <c r="W3694" s="316">
        <f t="shared" si="876"/>
        <v>0</v>
      </c>
    </row>
    <row r="3695" spans="1:23" x14ac:dyDescent="0.25">
      <c r="A3695" s="208" t="s">
        <v>15914</v>
      </c>
      <c r="B3695" s="313" t="s">
        <v>22981</v>
      </c>
      <c r="C3695" s="248"/>
      <c r="D3695" s="247" t="s">
        <v>11</v>
      </c>
      <c r="E3695" s="249">
        <f t="shared" si="868"/>
        <v>99.944364486006606</v>
      </c>
      <c r="F3695" s="258">
        <v>0.4042</v>
      </c>
      <c r="G3695" s="258">
        <f t="shared" si="869"/>
        <v>0.4042</v>
      </c>
      <c r="H3695" s="249">
        <f t="shared" si="870"/>
        <v>121.8025580054598</v>
      </c>
      <c r="I3695" s="258">
        <v>0.49259999999999998</v>
      </c>
      <c r="J3695" s="258">
        <f t="shared" si="871"/>
        <v>0.49259999999999998</v>
      </c>
      <c r="K3695" s="249">
        <f t="shared" si="872"/>
        <v>15.3056807562687</v>
      </c>
      <c r="L3695" s="374">
        <v>6.1899999999999997E-2</v>
      </c>
      <c r="M3695" s="258">
        <f t="shared" si="873"/>
        <v>6.1899999999999997E-2</v>
      </c>
      <c r="N3695" s="251">
        <f t="shared" si="874"/>
        <v>10.212029325264901</v>
      </c>
      <c r="O3695" s="258">
        <v>4.1300000000000003E-2</v>
      </c>
      <c r="P3695" s="258">
        <f t="shared" si="875"/>
        <v>4.1300000000000003E-2</v>
      </c>
      <c r="Q3695" s="249">
        <v>242.39</v>
      </c>
      <c r="R3695" s="249">
        <f t="shared" si="877"/>
        <v>247.264632573</v>
      </c>
      <c r="S3695" s="250">
        <v>0.1</v>
      </c>
      <c r="T3695" s="290">
        <f>Q3695*S3695+Q3695+3</f>
        <v>269.62899999999996</v>
      </c>
      <c r="U3695" s="315">
        <f t="shared" si="878"/>
        <v>271.99109583030003</v>
      </c>
      <c r="V3695" s="315">
        <f t="shared" si="879"/>
        <v>275</v>
      </c>
      <c r="W3695" s="316">
        <f t="shared" si="876"/>
        <v>0</v>
      </c>
    </row>
    <row r="3696" spans="1:23" x14ac:dyDescent="0.25">
      <c r="A3696" s="208" t="s">
        <v>15915</v>
      </c>
      <c r="B3696" s="313" t="s">
        <v>22982</v>
      </c>
      <c r="C3696" s="248"/>
      <c r="D3696" s="247" t="s">
        <v>11</v>
      </c>
      <c r="E3696" s="249">
        <f t="shared" si="868"/>
        <v>99.967883519770524</v>
      </c>
      <c r="F3696" s="258">
        <v>0.3679</v>
      </c>
      <c r="G3696" s="258">
        <f t="shared" si="869"/>
        <v>0.3679</v>
      </c>
      <c r="H3696" s="249">
        <f t="shared" si="870"/>
        <v>146.26994210027854</v>
      </c>
      <c r="I3696" s="258">
        <v>0.5383</v>
      </c>
      <c r="J3696" s="258">
        <f t="shared" si="871"/>
        <v>0.5383</v>
      </c>
      <c r="K3696" s="249">
        <f t="shared" si="872"/>
        <v>15.298156678888503</v>
      </c>
      <c r="L3696" s="374">
        <v>5.6300000000000003E-2</v>
      </c>
      <c r="M3696" s="258">
        <f t="shared" si="873"/>
        <v>5.6300000000000003E-2</v>
      </c>
      <c r="N3696" s="251">
        <f t="shared" si="874"/>
        <v>10.189713596062502</v>
      </c>
      <c r="O3696" s="258">
        <v>3.7499999999999999E-2</v>
      </c>
      <c r="P3696" s="258">
        <f t="shared" si="875"/>
        <v>3.7499999999999999E-2</v>
      </c>
      <c r="Q3696" s="249">
        <v>266.43</v>
      </c>
      <c r="R3696" s="249">
        <f t="shared" si="877"/>
        <v>271.72569589500006</v>
      </c>
      <c r="S3696" s="250">
        <v>0.1</v>
      </c>
      <c r="T3696" s="290">
        <f>Q3696*S3696+Q3696-3</f>
        <v>290.07299999999998</v>
      </c>
      <c r="U3696" s="315">
        <f t="shared" si="878"/>
        <v>298.89826548450009</v>
      </c>
      <c r="V3696" s="315">
        <f t="shared" si="879"/>
        <v>300</v>
      </c>
      <c r="W3696" s="316">
        <f t="shared" si="876"/>
        <v>0</v>
      </c>
    </row>
    <row r="3697" spans="1:23" x14ac:dyDescent="0.25">
      <c r="A3697" s="208" t="s">
        <v>15916</v>
      </c>
      <c r="B3697" s="313" t="s">
        <v>22983</v>
      </c>
      <c r="C3697" s="248"/>
      <c r="D3697" s="247" t="s">
        <v>11</v>
      </c>
      <c r="E3697" s="249">
        <f t="shared" si="868"/>
        <v>99.890002674881998</v>
      </c>
      <c r="F3697" s="258">
        <v>0.31059999999999999</v>
      </c>
      <c r="G3697" s="258">
        <f t="shared" si="869"/>
        <v>0.31059999999999999</v>
      </c>
      <c r="H3697" s="249">
        <f t="shared" si="870"/>
        <v>196.21020808739698</v>
      </c>
      <c r="I3697" s="258">
        <v>0.61009999999999998</v>
      </c>
      <c r="J3697" s="258">
        <f t="shared" si="871"/>
        <v>0.61009999999999998</v>
      </c>
      <c r="K3697" s="249">
        <f t="shared" si="872"/>
        <v>15.308319791772</v>
      </c>
      <c r="L3697" s="374">
        <v>4.7600000000000003E-2</v>
      </c>
      <c r="M3697" s="258">
        <f t="shared" si="873"/>
        <v>4.7600000000000003E-2</v>
      </c>
      <c r="N3697" s="251">
        <f t="shared" si="874"/>
        <v>10.194826415948999</v>
      </c>
      <c r="O3697" s="258">
        <v>3.1699999999999999E-2</v>
      </c>
      <c r="P3697" s="258">
        <f t="shared" si="875"/>
        <v>3.1699999999999999E-2</v>
      </c>
      <c r="Q3697" s="249">
        <v>315.45</v>
      </c>
      <c r="R3697" s="249">
        <f t="shared" si="877"/>
        <v>321.60335696999999</v>
      </c>
      <c r="S3697" s="250">
        <v>0.1</v>
      </c>
      <c r="T3697" s="290">
        <f>Q3697*S3697+Q3697+3</f>
        <v>349.995</v>
      </c>
      <c r="U3697" s="315">
        <f t="shared" si="878"/>
        <v>353.76369266699999</v>
      </c>
      <c r="V3697" s="315">
        <f t="shared" si="879"/>
        <v>355</v>
      </c>
      <c r="W3697" s="316">
        <f t="shared" si="876"/>
        <v>0</v>
      </c>
    </row>
    <row r="3698" spans="1:23" x14ac:dyDescent="0.25">
      <c r="A3698" s="208" t="s">
        <v>15917</v>
      </c>
      <c r="B3698" s="313" t="s">
        <v>22984</v>
      </c>
      <c r="C3698" s="248"/>
      <c r="D3698" s="247" t="s">
        <v>11</v>
      </c>
      <c r="E3698" s="249">
        <f t="shared" si="868"/>
        <v>51.04474397287651</v>
      </c>
      <c r="F3698" s="258">
        <v>0.42449999999999999</v>
      </c>
      <c r="G3698" s="258">
        <f t="shared" si="869"/>
        <v>0.42449999999999999</v>
      </c>
      <c r="H3698" s="249">
        <f t="shared" si="870"/>
        <v>48.796129809642608</v>
      </c>
      <c r="I3698" s="258">
        <v>0.40579999999999999</v>
      </c>
      <c r="J3698" s="258">
        <f t="shared" si="871"/>
        <v>0.40579999999999999</v>
      </c>
      <c r="K3698" s="249">
        <f t="shared" si="872"/>
        <v>15.307410854528102</v>
      </c>
      <c r="L3698" s="374">
        <v>0.1273</v>
      </c>
      <c r="M3698" s="258">
        <f t="shared" si="873"/>
        <v>0.1273</v>
      </c>
      <c r="N3698" s="251">
        <f t="shared" si="874"/>
        <v>5.0984620599528006</v>
      </c>
      <c r="O3698" s="258">
        <v>4.24E-2</v>
      </c>
      <c r="P3698" s="258">
        <f t="shared" si="875"/>
        <v>4.24E-2</v>
      </c>
      <c r="Q3698" s="249">
        <v>117.81</v>
      </c>
      <c r="R3698" s="249">
        <f t="shared" si="877"/>
        <v>120.24674669700002</v>
      </c>
      <c r="S3698" s="250">
        <v>0.1</v>
      </c>
      <c r="T3698" s="290">
        <f>Q3698*S3698+Q3698</f>
        <v>129.59100000000001</v>
      </c>
      <c r="U3698" s="315">
        <f t="shared" si="878"/>
        <v>132.27142136670003</v>
      </c>
      <c r="V3698" s="315">
        <f t="shared" si="879"/>
        <v>135</v>
      </c>
      <c r="W3698" s="316">
        <f t="shared" si="876"/>
        <v>0</v>
      </c>
    </row>
    <row r="3699" spans="1:23" x14ac:dyDescent="0.25">
      <c r="A3699" s="208" t="s">
        <v>15918</v>
      </c>
      <c r="B3699" s="313" t="s">
        <v>22985</v>
      </c>
      <c r="C3699" s="248"/>
      <c r="D3699" s="247" t="s">
        <v>11</v>
      </c>
      <c r="E3699" s="249">
        <f t="shared" si="868"/>
        <v>51.005015132616997</v>
      </c>
      <c r="F3699" s="258">
        <v>0.36549999999999999</v>
      </c>
      <c r="G3699" s="258">
        <f t="shared" si="869"/>
        <v>0.36549999999999999</v>
      </c>
      <c r="H3699" s="249">
        <f t="shared" si="870"/>
        <v>68.127628967834809</v>
      </c>
      <c r="I3699" s="258">
        <v>0.48820000000000002</v>
      </c>
      <c r="J3699" s="258">
        <f t="shared" si="871"/>
        <v>0.48820000000000002</v>
      </c>
      <c r="K3699" s="249">
        <f t="shared" si="872"/>
        <v>15.308481970035801</v>
      </c>
      <c r="L3699" s="374">
        <v>0.10970000000000001</v>
      </c>
      <c r="M3699" s="258">
        <f t="shared" si="873"/>
        <v>0.10970000000000001</v>
      </c>
      <c r="N3699" s="251">
        <f t="shared" si="874"/>
        <v>5.1074789435124002</v>
      </c>
      <c r="O3699" s="258">
        <v>3.6600000000000001E-2</v>
      </c>
      <c r="P3699" s="258">
        <f t="shared" si="875"/>
        <v>3.6600000000000001E-2</v>
      </c>
      <c r="Q3699" s="249">
        <v>136.78</v>
      </c>
      <c r="R3699" s="249">
        <f t="shared" si="877"/>
        <v>139.548605014</v>
      </c>
      <c r="S3699" s="250">
        <v>0.1</v>
      </c>
      <c r="T3699" s="290">
        <f>Q3699*S3699+Q3699</f>
        <v>150.458</v>
      </c>
      <c r="U3699" s="315">
        <f t="shared" si="878"/>
        <v>153.50346551539999</v>
      </c>
      <c r="V3699" s="315">
        <f t="shared" si="879"/>
        <v>155</v>
      </c>
      <c r="W3699" s="316">
        <f t="shared" si="876"/>
        <v>0</v>
      </c>
    </row>
    <row r="3700" spans="1:23" x14ac:dyDescent="0.25">
      <c r="A3700" s="208" t="s">
        <v>15919</v>
      </c>
      <c r="B3700" s="313" t="s">
        <v>22986</v>
      </c>
      <c r="C3700" s="248"/>
      <c r="D3700" s="247" t="s">
        <v>11</v>
      </c>
      <c r="E3700" s="249">
        <f t="shared" si="868"/>
        <v>99.976965650909989</v>
      </c>
      <c r="F3700" s="258">
        <v>0.438</v>
      </c>
      <c r="G3700" s="258">
        <f t="shared" si="869"/>
        <v>0.438</v>
      </c>
      <c r="H3700" s="249">
        <f t="shared" si="870"/>
        <v>102.76171218273899</v>
      </c>
      <c r="I3700" s="258">
        <v>0.45019999999999999</v>
      </c>
      <c r="J3700" s="258">
        <f t="shared" si="871"/>
        <v>0.45019999999999999</v>
      </c>
      <c r="K3700" s="249">
        <f t="shared" si="872"/>
        <v>15.316105925059501</v>
      </c>
      <c r="L3700" s="374">
        <v>6.7100000000000007E-2</v>
      </c>
      <c r="M3700" s="258">
        <f t="shared" si="873"/>
        <v>6.7100000000000007E-2</v>
      </c>
      <c r="N3700" s="251">
        <f t="shared" si="874"/>
        <v>10.203128686291498</v>
      </c>
      <c r="O3700" s="258">
        <v>4.4699999999999997E-2</v>
      </c>
      <c r="P3700" s="258">
        <f t="shared" si="875"/>
        <v>4.4699999999999997E-2</v>
      </c>
      <c r="Q3700" s="249">
        <v>223.70999999999998</v>
      </c>
      <c r="R3700" s="249">
        <f t="shared" si="877"/>
        <v>228.25791244499999</v>
      </c>
      <c r="S3700" s="250">
        <v>0.1</v>
      </c>
      <c r="T3700" s="290">
        <f>Q3700*S3700+Q3700+4</f>
        <v>250.08099999999999</v>
      </c>
      <c r="U3700" s="315">
        <f t="shared" si="878"/>
        <v>251.0837036895</v>
      </c>
      <c r="V3700" s="315">
        <f t="shared" si="879"/>
        <v>255</v>
      </c>
      <c r="W3700" s="316">
        <f t="shared" si="876"/>
        <v>0</v>
      </c>
    </row>
    <row r="3701" spans="1:23" x14ac:dyDescent="0.25">
      <c r="A3701" s="208" t="s">
        <v>15920</v>
      </c>
      <c r="B3701" s="313" t="s">
        <v>15921</v>
      </c>
      <c r="C3701" s="248"/>
      <c r="D3701" s="247" t="s">
        <v>11</v>
      </c>
      <c r="E3701" s="249">
        <f t="shared" si="868"/>
        <v>99.969310932300019</v>
      </c>
      <c r="F3701" s="258">
        <v>0.32250000000000001</v>
      </c>
      <c r="G3701" s="258">
        <f t="shared" si="869"/>
        <v>0.32250000000000001</v>
      </c>
      <c r="H3701" s="249">
        <f t="shared" si="870"/>
        <v>174.33407897155203</v>
      </c>
      <c r="I3701" s="258">
        <v>0.56240000000000001</v>
      </c>
      <c r="J3701" s="258">
        <f t="shared" si="871"/>
        <v>0.56240000000000001</v>
      </c>
      <c r="K3701" s="249">
        <f t="shared" si="872"/>
        <v>25.480549949256005</v>
      </c>
      <c r="L3701" s="374">
        <v>8.2199999999999995E-2</v>
      </c>
      <c r="M3701" s="258">
        <f t="shared" si="873"/>
        <v>8.2199999999999995E-2</v>
      </c>
      <c r="N3701" s="251">
        <f t="shared" si="874"/>
        <v>10.198419626892003</v>
      </c>
      <c r="O3701" s="258">
        <v>3.2899999999999999E-2</v>
      </c>
      <c r="P3701" s="258">
        <f t="shared" si="875"/>
        <v>3.2899999999999999E-2</v>
      </c>
      <c r="Q3701" s="249">
        <v>303.96000000000004</v>
      </c>
      <c r="R3701" s="249">
        <f t="shared" si="877"/>
        <v>309.98235948000007</v>
      </c>
      <c r="S3701" s="250">
        <v>0.1</v>
      </c>
      <c r="T3701" s="290">
        <f>Q3701*S3701+Q3701+6</f>
        <v>340.35600000000005</v>
      </c>
      <c r="U3701" s="315">
        <f t="shared" si="878"/>
        <v>340.98059542800007</v>
      </c>
      <c r="V3701" s="315">
        <f t="shared" si="879"/>
        <v>345</v>
      </c>
      <c r="W3701" s="316">
        <f t="shared" si="876"/>
        <v>0</v>
      </c>
    </row>
    <row r="3702" spans="1:23" x14ac:dyDescent="0.25">
      <c r="A3702" s="208" t="s">
        <v>15876</v>
      </c>
      <c r="B3702" s="313" t="s">
        <v>22987</v>
      </c>
      <c r="C3702" s="248"/>
      <c r="D3702" s="247" t="s">
        <v>11</v>
      </c>
      <c r="E3702" s="249">
        <f t="shared" si="868"/>
        <v>99.932045197571995</v>
      </c>
      <c r="F3702" s="258">
        <v>0.27929999999999999</v>
      </c>
      <c r="G3702" s="258">
        <f t="shared" si="869"/>
        <v>0.27929999999999999</v>
      </c>
      <c r="H3702" s="249">
        <f t="shared" si="870"/>
        <v>222.19047643283997</v>
      </c>
      <c r="I3702" s="258">
        <v>0.621</v>
      </c>
      <c r="J3702" s="258">
        <f t="shared" si="871"/>
        <v>0.621</v>
      </c>
      <c r="K3702" s="249">
        <f t="shared" si="872"/>
        <v>25.474978940447997</v>
      </c>
      <c r="L3702" s="314">
        <v>7.1199999999999999E-2</v>
      </c>
      <c r="M3702" s="258">
        <f t="shared" si="873"/>
        <v>7.1199999999999999E-2</v>
      </c>
      <c r="N3702" s="251">
        <f t="shared" si="874"/>
        <v>10.197147469139999</v>
      </c>
      <c r="O3702" s="258">
        <v>2.8500000000000001E-2</v>
      </c>
      <c r="P3702" s="258">
        <f t="shared" si="875"/>
        <v>2.8500000000000001E-2</v>
      </c>
      <c r="Q3702" s="249">
        <v>350.95</v>
      </c>
      <c r="R3702" s="249">
        <f t="shared" si="877"/>
        <v>357.79464803999997</v>
      </c>
      <c r="S3702" s="250">
        <v>0.1</v>
      </c>
      <c r="T3702" s="290">
        <f>Q3702*S3702+Q3702+4</f>
        <v>390.04499999999996</v>
      </c>
      <c r="U3702" s="315">
        <f t="shared" si="878"/>
        <v>393.57411284399996</v>
      </c>
      <c r="V3702" s="315">
        <f t="shared" si="879"/>
        <v>395</v>
      </c>
      <c r="W3702" s="316">
        <f t="shared" si="876"/>
        <v>0</v>
      </c>
    </row>
    <row r="3703" spans="1:23" x14ac:dyDescent="0.25">
      <c r="A3703" s="208" t="s">
        <v>15922</v>
      </c>
      <c r="B3703" s="313" t="s">
        <v>22988</v>
      </c>
      <c r="C3703" s="248"/>
      <c r="D3703" s="247" t="s">
        <v>11</v>
      </c>
      <c r="E3703" s="249">
        <f t="shared" si="868"/>
        <v>100.01260463148751</v>
      </c>
      <c r="F3703" s="258">
        <v>0.4335</v>
      </c>
      <c r="G3703" s="258">
        <f t="shared" si="869"/>
        <v>0.4335</v>
      </c>
      <c r="H3703" s="249">
        <f t="shared" si="870"/>
        <v>110.30225207454251</v>
      </c>
      <c r="I3703" s="258">
        <v>0.47810000000000002</v>
      </c>
      <c r="J3703" s="258">
        <f t="shared" si="871"/>
        <v>0.47810000000000002</v>
      </c>
      <c r="K3703" s="249">
        <f t="shared" si="872"/>
        <v>15.2960454142275</v>
      </c>
      <c r="L3703" s="374">
        <v>6.6299999999999998E-2</v>
      </c>
      <c r="M3703" s="258">
        <f t="shared" si="873"/>
        <v>6.6299999999999998E-2</v>
      </c>
      <c r="N3703" s="251">
        <f t="shared" si="874"/>
        <v>5.0986818047425002</v>
      </c>
      <c r="O3703" s="258">
        <v>2.2100000000000002E-2</v>
      </c>
      <c r="P3703" s="258">
        <f t="shared" si="875"/>
        <v>2.2100000000000002E-2</v>
      </c>
      <c r="Q3703" s="249">
        <v>226.09</v>
      </c>
      <c r="R3703" s="249">
        <f t="shared" si="877"/>
        <v>230.709583925</v>
      </c>
      <c r="S3703" s="250">
        <v>0.1</v>
      </c>
      <c r="T3703" s="290">
        <f>Q3703*S3703+Q3703+1</f>
        <v>249.69900000000001</v>
      </c>
      <c r="U3703" s="315">
        <f t="shared" si="878"/>
        <v>253.78054231750002</v>
      </c>
      <c r="V3703" s="315">
        <f t="shared" si="879"/>
        <v>255</v>
      </c>
      <c r="W3703" s="316">
        <f t="shared" si="876"/>
        <v>0</v>
      </c>
    </row>
    <row r="3704" spans="1:23" x14ac:dyDescent="0.25">
      <c r="A3704" s="208" t="s">
        <v>15923</v>
      </c>
      <c r="B3704" s="313" t="s">
        <v>22989</v>
      </c>
      <c r="C3704" s="248"/>
      <c r="D3704" s="247" t="s">
        <v>11</v>
      </c>
      <c r="E3704" s="249">
        <f t="shared" si="868"/>
        <v>99.923569534486802</v>
      </c>
      <c r="F3704" s="258">
        <v>0.34589999999999999</v>
      </c>
      <c r="G3704" s="258">
        <f t="shared" si="869"/>
        <v>0.34589999999999999</v>
      </c>
      <c r="H3704" s="249">
        <f t="shared" si="870"/>
        <v>168.53255410933681</v>
      </c>
      <c r="I3704" s="258">
        <v>0.58340000000000003</v>
      </c>
      <c r="J3704" s="258">
        <f t="shared" si="871"/>
        <v>0.58340000000000003</v>
      </c>
      <c r="K3704" s="249">
        <f t="shared" si="872"/>
        <v>15.310636557756</v>
      </c>
      <c r="L3704" s="374">
        <v>5.2999999999999999E-2</v>
      </c>
      <c r="M3704" s="258">
        <f t="shared" si="873"/>
        <v>5.2999999999999999E-2</v>
      </c>
      <c r="N3704" s="251">
        <f t="shared" si="874"/>
        <v>5.1131748504204007</v>
      </c>
      <c r="O3704" s="258">
        <v>1.77E-2</v>
      </c>
      <c r="P3704" s="258">
        <f t="shared" si="875"/>
        <v>1.77E-2</v>
      </c>
      <c r="Q3704" s="249">
        <v>283.26</v>
      </c>
      <c r="R3704" s="249">
        <f t="shared" si="877"/>
        <v>288.87993505200001</v>
      </c>
      <c r="S3704" s="250">
        <v>0.1</v>
      </c>
      <c r="T3704" s="290">
        <f>Q3704*S3704+Q3704-2</f>
        <v>309.58600000000001</v>
      </c>
      <c r="U3704" s="315">
        <f t="shared" si="878"/>
        <v>317.76792855719998</v>
      </c>
      <c r="V3704" s="315">
        <f t="shared" si="879"/>
        <v>320</v>
      </c>
      <c r="W3704" s="316">
        <f t="shared" si="876"/>
        <v>0</v>
      </c>
    </row>
    <row r="3705" spans="1:23" x14ac:dyDescent="0.25">
      <c r="A3705" s="208" t="s">
        <v>15924</v>
      </c>
      <c r="B3705" s="313" t="s">
        <v>22990</v>
      </c>
      <c r="C3705" s="248"/>
      <c r="D3705" s="247" t="s">
        <v>11</v>
      </c>
      <c r="E3705" s="249">
        <f t="shared" si="868"/>
        <v>99.929150193732625</v>
      </c>
      <c r="F3705" s="258">
        <v>0.32390000000000002</v>
      </c>
      <c r="G3705" s="258">
        <f t="shared" si="869"/>
        <v>0.32390000000000002</v>
      </c>
      <c r="H3705" s="249">
        <f t="shared" si="870"/>
        <v>183.10574448897904</v>
      </c>
      <c r="I3705" s="258">
        <v>0.59350000000000003</v>
      </c>
      <c r="J3705" s="258">
        <f t="shared" si="871"/>
        <v>0.59350000000000003</v>
      </c>
      <c r="K3705" s="249">
        <f t="shared" si="872"/>
        <v>15.302518831766402</v>
      </c>
      <c r="L3705" s="374">
        <v>4.9599999999999998E-2</v>
      </c>
      <c r="M3705" s="258">
        <f t="shared" si="873"/>
        <v>4.9599999999999998E-2</v>
      </c>
      <c r="N3705" s="251">
        <f t="shared" si="874"/>
        <v>10.181111319522003</v>
      </c>
      <c r="O3705" s="258">
        <v>3.3000000000000002E-2</v>
      </c>
      <c r="P3705" s="258">
        <f t="shared" si="875"/>
        <v>3.3000000000000002E-2</v>
      </c>
      <c r="Q3705" s="249">
        <v>302.59000000000003</v>
      </c>
      <c r="R3705" s="249">
        <f t="shared" si="877"/>
        <v>308.51852483400006</v>
      </c>
      <c r="S3705" s="250">
        <v>0.1</v>
      </c>
      <c r="T3705" s="290">
        <f>Q3705*S3705+Q3705-3</f>
        <v>329.84900000000005</v>
      </c>
      <c r="U3705" s="315">
        <f t="shared" si="878"/>
        <v>339.37037731740008</v>
      </c>
      <c r="V3705" s="315">
        <f t="shared" si="879"/>
        <v>340</v>
      </c>
      <c r="W3705" s="316">
        <f t="shared" si="876"/>
        <v>0</v>
      </c>
    </row>
    <row r="3706" spans="1:23" x14ac:dyDescent="0.25">
      <c r="A3706" s="208" t="s">
        <v>15925</v>
      </c>
      <c r="B3706" s="313" t="s">
        <v>22991</v>
      </c>
      <c r="C3706" s="248"/>
      <c r="D3706" s="247" t="s">
        <v>11</v>
      </c>
      <c r="E3706" s="249">
        <f t="shared" si="868"/>
        <v>76.515880754656195</v>
      </c>
      <c r="F3706" s="258">
        <v>0.41339999999999999</v>
      </c>
      <c r="G3706" s="258">
        <f t="shared" si="869"/>
        <v>0.41339999999999999</v>
      </c>
      <c r="H3706" s="249">
        <f t="shared" si="870"/>
        <v>88.157992267640893</v>
      </c>
      <c r="I3706" s="258">
        <v>0.4763</v>
      </c>
      <c r="J3706" s="258">
        <f t="shared" si="871"/>
        <v>0.4763</v>
      </c>
      <c r="K3706" s="249">
        <f t="shared" si="872"/>
        <v>15.306877935196098</v>
      </c>
      <c r="L3706" s="374">
        <v>8.2699999999999996E-2</v>
      </c>
      <c r="M3706" s="258">
        <f t="shared" si="873"/>
        <v>8.2699999999999996E-2</v>
      </c>
      <c r="N3706" s="251">
        <f t="shared" si="874"/>
        <v>5.1084622855067998</v>
      </c>
      <c r="O3706" s="258">
        <v>2.76E-2</v>
      </c>
      <c r="P3706" s="258">
        <f t="shared" si="875"/>
        <v>2.76E-2</v>
      </c>
      <c r="Q3706" s="249">
        <v>181.39</v>
      </c>
      <c r="R3706" s="249">
        <f t="shared" si="877"/>
        <v>185.08921324299999</v>
      </c>
      <c r="S3706" s="250">
        <v>0.1</v>
      </c>
      <c r="T3706" s="290">
        <f>Q3706*S3706+Q3706</f>
        <v>199.529</v>
      </c>
      <c r="U3706" s="315">
        <f t="shared" si="878"/>
        <v>203.59813456729998</v>
      </c>
      <c r="V3706" s="315">
        <f t="shared" si="879"/>
        <v>205</v>
      </c>
      <c r="W3706" s="316">
        <f t="shared" si="876"/>
        <v>0</v>
      </c>
    </row>
    <row r="3707" spans="1:23" x14ac:dyDescent="0.25">
      <c r="A3707" s="208" t="s">
        <v>15926</v>
      </c>
      <c r="B3707" s="313" t="s">
        <v>22992</v>
      </c>
      <c r="C3707" s="248"/>
      <c r="D3707" s="247" t="s">
        <v>11</v>
      </c>
      <c r="E3707" s="249">
        <f t="shared" si="868"/>
        <v>99.986014579473007</v>
      </c>
      <c r="F3707" s="258">
        <v>0.3715</v>
      </c>
      <c r="G3707" s="258">
        <f t="shared" si="869"/>
        <v>0.3715</v>
      </c>
      <c r="H3707" s="249">
        <f t="shared" si="870"/>
        <v>143.69457115472582</v>
      </c>
      <c r="I3707" s="258">
        <v>0.53390000000000004</v>
      </c>
      <c r="J3707" s="258">
        <f t="shared" si="871"/>
        <v>0.53390000000000004</v>
      </c>
      <c r="K3707" s="249">
        <f t="shared" si="872"/>
        <v>15.287229147009601</v>
      </c>
      <c r="L3707" s="374">
        <v>5.6800000000000003E-2</v>
      </c>
      <c r="M3707" s="258">
        <f t="shared" si="873"/>
        <v>5.6800000000000003E-2</v>
      </c>
      <c r="N3707" s="251">
        <f t="shared" si="874"/>
        <v>10.1735433407916</v>
      </c>
      <c r="O3707" s="258">
        <v>3.78E-2</v>
      </c>
      <c r="P3707" s="258">
        <f t="shared" si="875"/>
        <v>3.78E-2</v>
      </c>
      <c r="Q3707" s="249">
        <v>263.89</v>
      </c>
      <c r="R3707" s="249">
        <f t="shared" si="877"/>
        <v>269.14135822200001</v>
      </c>
      <c r="S3707" s="250">
        <v>0.1</v>
      </c>
      <c r="T3707" s="290">
        <f>Q3707*S3707+Q3707</f>
        <v>290.279</v>
      </c>
      <c r="U3707" s="315">
        <f t="shared" si="878"/>
        <v>296.05549404420003</v>
      </c>
      <c r="V3707" s="315">
        <f t="shared" si="879"/>
        <v>300</v>
      </c>
      <c r="W3707" s="316">
        <f t="shared" si="876"/>
        <v>0</v>
      </c>
    </row>
    <row r="3708" spans="1:23" x14ac:dyDescent="0.25">
      <c r="A3708" s="208" t="s">
        <v>15927</v>
      </c>
      <c r="B3708" s="313" t="s">
        <v>22993</v>
      </c>
      <c r="C3708" s="248"/>
      <c r="D3708" s="247" t="s">
        <v>11</v>
      </c>
      <c r="E3708" s="249">
        <f t="shared" si="868"/>
        <v>99.927744896133035</v>
      </c>
      <c r="F3708" s="258">
        <v>0.28050000000000003</v>
      </c>
      <c r="G3708" s="258">
        <f t="shared" si="869"/>
        <v>0.28050000000000003</v>
      </c>
      <c r="H3708" s="249">
        <f t="shared" si="870"/>
        <v>215.56605503262065</v>
      </c>
      <c r="I3708" s="258">
        <v>0.60509999999999997</v>
      </c>
      <c r="J3708" s="258">
        <f t="shared" si="871"/>
        <v>0.60509999999999997</v>
      </c>
      <c r="K3708" s="249">
        <f t="shared" si="872"/>
        <v>25.471778110779006</v>
      </c>
      <c r="L3708" s="374">
        <v>7.1499999999999994E-2</v>
      </c>
      <c r="M3708" s="258">
        <f t="shared" si="873"/>
        <v>7.1499999999999994E-2</v>
      </c>
      <c r="N3708" s="251">
        <f t="shared" si="874"/>
        <v>15.283066866467404</v>
      </c>
      <c r="O3708" s="258">
        <v>4.2900000000000001E-2</v>
      </c>
      <c r="P3708" s="258">
        <f t="shared" si="875"/>
        <v>4.2900000000000001E-2</v>
      </c>
      <c r="Q3708" s="249">
        <v>349.46000000000004</v>
      </c>
      <c r="R3708" s="249">
        <f t="shared" si="877"/>
        <v>356.2486449060001</v>
      </c>
      <c r="S3708" s="250">
        <v>0.1</v>
      </c>
      <c r="T3708" s="290">
        <f>Q3708*S3708+Q3708+6</f>
        <v>390.40600000000006</v>
      </c>
      <c r="U3708" s="315">
        <f t="shared" si="878"/>
        <v>391.87350939660013</v>
      </c>
      <c r="V3708" s="315">
        <f t="shared" si="879"/>
        <v>395</v>
      </c>
      <c r="W3708" s="316">
        <f t="shared" si="876"/>
        <v>0</v>
      </c>
    </row>
    <row r="3709" spans="1:23" x14ac:dyDescent="0.25">
      <c r="A3709" s="208" t="s">
        <v>15928</v>
      </c>
      <c r="B3709" s="313" t="s">
        <v>22994</v>
      </c>
      <c r="C3709" s="248"/>
      <c r="D3709" s="247" t="s">
        <v>11</v>
      </c>
      <c r="E3709" s="249">
        <f t="shared" si="868"/>
        <v>99.868907186323796</v>
      </c>
      <c r="F3709" s="258">
        <v>0.2359</v>
      </c>
      <c r="G3709" s="258">
        <f t="shared" si="869"/>
        <v>0.2359</v>
      </c>
      <c r="H3709" s="249">
        <f t="shared" si="870"/>
        <v>282.71494793991957</v>
      </c>
      <c r="I3709" s="258">
        <v>0.66779999999999995</v>
      </c>
      <c r="J3709" s="258">
        <f t="shared" si="871"/>
        <v>0.66779999999999995</v>
      </c>
      <c r="K3709" s="249">
        <f t="shared" si="872"/>
        <v>25.485833881376397</v>
      </c>
      <c r="L3709" s="374">
        <v>6.0199999999999997E-2</v>
      </c>
      <c r="M3709" s="258">
        <f t="shared" si="873"/>
        <v>6.0199999999999997E-2</v>
      </c>
      <c r="N3709" s="251">
        <f t="shared" si="874"/>
        <v>15.2830332743802</v>
      </c>
      <c r="O3709" s="258">
        <v>3.61E-2</v>
      </c>
      <c r="P3709" s="258">
        <f t="shared" si="875"/>
        <v>3.61E-2</v>
      </c>
      <c r="Q3709" s="249">
        <v>415.41</v>
      </c>
      <c r="R3709" s="249">
        <f t="shared" si="877"/>
        <v>423.352722282</v>
      </c>
      <c r="S3709" s="250">
        <v>0.1</v>
      </c>
      <c r="T3709" s="290">
        <f>Q3709*S3709+Q3709+3</f>
        <v>459.95100000000002</v>
      </c>
      <c r="U3709" s="315">
        <f t="shared" si="878"/>
        <v>465.68799451019999</v>
      </c>
      <c r="V3709" s="315">
        <f t="shared" si="879"/>
        <v>470</v>
      </c>
      <c r="W3709" s="316">
        <f t="shared" si="876"/>
        <v>0</v>
      </c>
    </row>
    <row r="3710" spans="1:23" x14ac:dyDescent="0.25">
      <c r="A3710" s="208" t="s">
        <v>15929</v>
      </c>
      <c r="B3710" s="313" t="s">
        <v>22995</v>
      </c>
      <c r="C3710" s="248"/>
      <c r="D3710" s="247" t="s">
        <v>11</v>
      </c>
      <c r="E3710" s="249">
        <f t="shared" si="868"/>
        <v>100.00445727590562</v>
      </c>
      <c r="F3710" s="258">
        <v>0.44440000000000002</v>
      </c>
      <c r="G3710" s="258">
        <f t="shared" si="869"/>
        <v>0.44440000000000002</v>
      </c>
      <c r="H3710" s="249">
        <f t="shared" si="870"/>
        <v>99.531888958445222</v>
      </c>
      <c r="I3710" s="258">
        <v>0.44230000000000003</v>
      </c>
      <c r="J3710" s="258">
        <f t="shared" si="871"/>
        <v>0.44230000000000003</v>
      </c>
      <c r="K3710" s="249">
        <f t="shared" si="872"/>
        <v>15.302212184432003</v>
      </c>
      <c r="L3710" s="374">
        <v>6.8000000000000005E-2</v>
      </c>
      <c r="M3710" s="258">
        <f t="shared" si="873"/>
        <v>6.8000000000000005E-2</v>
      </c>
      <c r="N3710" s="251">
        <f t="shared" si="874"/>
        <v>10.193973705217202</v>
      </c>
      <c r="O3710" s="258">
        <v>4.53E-2</v>
      </c>
      <c r="P3710" s="258">
        <f t="shared" si="875"/>
        <v>4.53E-2</v>
      </c>
      <c r="Q3710" s="249">
        <v>220.54000000000002</v>
      </c>
      <c r="R3710" s="249">
        <f t="shared" si="877"/>
        <v>225.03253212400003</v>
      </c>
      <c r="S3710" s="250">
        <v>0.1</v>
      </c>
      <c r="T3710" s="290">
        <f>Q3710*S3710+Q3710-3</f>
        <v>239.59400000000002</v>
      </c>
      <c r="U3710" s="315">
        <f t="shared" si="878"/>
        <v>247.53578533640004</v>
      </c>
      <c r="V3710" s="315">
        <f t="shared" si="879"/>
        <v>250</v>
      </c>
      <c r="W3710" s="316">
        <f t="shared" si="876"/>
        <v>0</v>
      </c>
    </row>
    <row r="3711" spans="1:23" x14ac:dyDescent="0.25">
      <c r="A3711" s="208" t="s">
        <v>15930</v>
      </c>
      <c r="B3711" s="313" t="s">
        <v>22996</v>
      </c>
      <c r="C3711" s="248"/>
      <c r="D3711" s="247" t="s">
        <v>11</v>
      </c>
      <c r="E3711" s="249">
        <f t="shared" si="868"/>
        <v>99.958982833155616</v>
      </c>
      <c r="F3711" s="258">
        <v>0.37140000000000001</v>
      </c>
      <c r="G3711" s="258">
        <f t="shared" si="869"/>
        <v>0.37140000000000001</v>
      </c>
      <c r="H3711" s="249">
        <f t="shared" si="870"/>
        <v>143.69440208568062</v>
      </c>
      <c r="I3711" s="258">
        <v>0.53390000000000004</v>
      </c>
      <c r="J3711" s="258">
        <f t="shared" si="871"/>
        <v>0.53390000000000004</v>
      </c>
      <c r="K3711" s="249">
        <f t="shared" si="872"/>
        <v>15.287211160267203</v>
      </c>
      <c r="L3711" s="374">
        <v>5.6800000000000003E-2</v>
      </c>
      <c r="M3711" s="258">
        <f t="shared" si="873"/>
        <v>5.6800000000000003E-2</v>
      </c>
      <c r="N3711" s="251">
        <f t="shared" si="874"/>
        <v>10.200445474896602</v>
      </c>
      <c r="O3711" s="258">
        <v>3.7900000000000003E-2</v>
      </c>
      <c r="P3711" s="258">
        <f t="shared" si="875"/>
        <v>3.7900000000000003E-2</v>
      </c>
      <c r="Q3711" s="249">
        <v>263.89</v>
      </c>
      <c r="R3711" s="249">
        <f t="shared" si="877"/>
        <v>269.14104155400003</v>
      </c>
      <c r="S3711" s="250">
        <v>0.1</v>
      </c>
      <c r="T3711" s="290">
        <f>Q3711*S3711+Q3711</f>
        <v>290.279</v>
      </c>
      <c r="U3711" s="315">
        <f t="shared" si="878"/>
        <v>296.05514570940005</v>
      </c>
      <c r="V3711" s="315">
        <f t="shared" si="879"/>
        <v>300</v>
      </c>
      <c r="W3711" s="316">
        <f t="shared" si="876"/>
        <v>0</v>
      </c>
    </row>
    <row r="3712" spans="1:23" x14ac:dyDescent="0.25">
      <c r="A3712" s="208" t="s">
        <v>15931</v>
      </c>
      <c r="B3712" s="313" t="s">
        <v>22997</v>
      </c>
      <c r="C3712" s="248"/>
      <c r="D3712" s="247" t="s">
        <v>11</v>
      </c>
      <c r="E3712" s="249">
        <f t="shared" si="868"/>
        <v>122.39565061091201</v>
      </c>
      <c r="F3712" s="258">
        <v>0.37580000000000002</v>
      </c>
      <c r="G3712" s="258">
        <f t="shared" si="869"/>
        <v>0.37580000000000002</v>
      </c>
      <c r="H3712" s="249">
        <f t="shared" si="870"/>
        <v>177.79613003857602</v>
      </c>
      <c r="I3712" s="258">
        <v>0.54590000000000005</v>
      </c>
      <c r="J3712" s="258">
        <f t="shared" si="871"/>
        <v>0.54590000000000005</v>
      </c>
      <c r="K3712" s="249">
        <f t="shared" si="872"/>
        <v>15.307598666080002</v>
      </c>
      <c r="L3712" s="374">
        <v>4.7E-2</v>
      </c>
      <c r="M3712" s="258">
        <f t="shared" si="873"/>
        <v>4.7E-2</v>
      </c>
      <c r="N3712" s="251">
        <f t="shared" si="874"/>
        <v>10.194209324432002</v>
      </c>
      <c r="O3712" s="258">
        <v>3.1300000000000001E-2</v>
      </c>
      <c r="P3712" s="258">
        <f t="shared" si="875"/>
        <v>3.1300000000000001E-2</v>
      </c>
      <c r="Q3712" s="249">
        <v>319.34000000000003</v>
      </c>
      <c r="R3712" s="249">
        <f t="shared" si="877"/>
        <v>325.69358864000003</v>
      </c>
      <c r="S3712" s="250">
        <v>0.1</v>
      </c>
      <c r="T3712" s="290">
        <f>Q3712*S3712+Q3712-1</f>
        <v>350.27400000000006</v>
      </c>
      <c r="U3712" s="315">
        <f t="shared" si="878"/>
        <v>358.26294750400001</v>
      </c>
      <c r="V3712" s="315">
        <f t="shared" si="879"/>
        <v>360</v>
      </c>
      <c r="W3712" s="316">
        <f t="shared" si="876"/>
        <v>0</v>
      </c>
    </row>
    <row r="3713" spans="1:23" x14ac:dyDescent="0.25">
      <c r="A3713" s="208" t="s">
        <v>15932</v>
      </c>
      <c r="B3713" s="313" t="s">
        <v>22998</v>
      </c>
      <c r="C3713" s="248"/>
      <c r="D3713" s="247" t="s">
        <v>11</v>
      </c>
      <c r="E3713" s="249">
        <f t="shared" si="868"/>
        <v>122.29994046005402</v>
      </c>
      <c r="F3713" s="258">
        <v>0.26440000000000002</v>
      </c>
      <c r="G3713" s="258">
        <f t="shared" si="869"/>
        <v>0.26440000000000002</v>
      </c>
      <c r="H3713" s="249">
        <f t="shared" si="870"/>
        <v>299.459082654459</v>
      </c>
      <c r="I3713" s="258">
        <v>0.64739999999999998</v>
      </c>
      <c r="J3713" s="258">
        <f t="shared" si="871"/>
        <v>0.64739999999999998</v>
      </c>
      <c r="K3713" s="249">
        <f t="shared" si="872"/>
        <v>25.486863537628505</v>
      </c>
      <c r="L3713" s="374">
        <v>5.5100000000000003E-2</v>
      </c>
      <c r="M3713" s="258">
        <f t="shared" si="873"/>
        <v>5.5100000000000003E-2</v>
      </c>
      <c r="N3713" s="251">
        <f t="shared" si="874"/>
        <v>15.310620382858501</v>
      </c>
      <c r="O3713" s="258">
        <v>3.3099999999999997E-2</v>
      </c>
      <c r="P3713" s="258">
        <f t="shared" si="875"/>
        <v>3.3099999999999997E-2</v>
      </c>
      <c r="Q3713" s="249">
        <v>453.81</v>
      </c>
      <c r="R3713" s="249">
        <f t="shared" si="877"/>
        <v>462.55650703500004</v>
      </c>
      <c r="S3713" s="250">
        <v>0.1</v>
      </c>
      <c r="T3713" s="290">
        <f>Q3713*S3713+Q3713+1</f>
        <v>500.19100000000003</v>
      </c>
      <c r="U3713" s="315">
        <f t="shared" si="878"/>
        <v>508.81215773850005</v>
      </c>
      <c r="V3713" s="315">
        <f t="shared" si="879"/>
        <v>510</v>
      </c>
      <c r="W3713" s="316">
        <f t="shared" si="876"/>
        <v>0</v>
      </c>
    </row>
    <row r="3714" spans="1:23" x14ac:dyDescent="0.25">
      <c r="A3714" s="208" t="s">
        <v>15933</v>
      </c>
      <c r="B3714" s="313" t="s">
        <v>22999</v>
      </c>
      <c r="C3714" s="248"/>
      <c r="D3714" s="247" t="s">
        <v>11</v>
      </c>
      <c r="E3714" s="249">
        <f t="shared" ref="E3714:E3765" si="880">R3714*G3714</f>
        <v>122.2600501819268</v>
      </c>
      <c r="F3714" s="258">
        <v>0.24310000000000001</v>
      </c>
      <c r="G3714" s="258">
        <f t="shared" ref="G3714:G3765" si="881">F3714</f>
        <v>0.24310000000000001</v>
      </c>
      <c r="H3714" s="249">
        <f t="shared" ref="H3714:H3765" si="882">R3714*J3714</f>
        <v>339.87388693108238</v>
      </c>
      <c r="I3714" s="258">
        <v>0.67579999999999996</v>
      </c>
      <c r="J3714" s="258">
        <f t="shared" ref="J3714:J3765" si="883">I3714</f>
        <v>0.67579999999999996</v>
      </c>
      <c r="K3714" s="249">
        <f t="shared" ref="K3714:K3765" si="884">R3714*M3714</f>
        <v>25.498085332059599</v>
      </c>
      <c r="L3714" s="374">
        <v>5.0700000000000002E-2</v>
      </c>
      <c r="M3714" s="258">
        <f t="shared" ref="M3714:M3765" si="885">L3714</f>
        <v>5.0700000000000002E-2</v>
      </c>
      <c r="N3714" s="251">
        <f t="shared" ref="N3714:N3765" si="886">P3714*R3714</f>
        <v>15.2887927829312</v>
      </c>
      <c r="O3714" s="258">
        <v>3.04E-2</v>
      </c>
      <c r="P3714" s="258">
        <f t="shared" ref="P3714:P3765" si="887">O3714</f>
        <v>3.04E-2</v>
      </c>
      <c r="Q3714" s="249">
        <v>493.48</v>
      </c>
      <c r="R3714" s="249">
        <f t="shared" si="877"/>
        <v>502.92081522799998</v>
      </c>
      <c r="S3714" s="250">
        <v>0.1</v>
      </c>
      <c r="T3714" s="290">
        <f>Q3714*S3714+Q3714-3</f>
        <v>539.82799999999997</v>
      </c>
      <c r="U3714" s="315">
        <f t="shared" si="878"/>
        <v>553.21289675079993</v>
      </c>
      <c r="V3714" s="315">
        <f t="shared" si="879"/>
        <v>555</v>
      </c>
      <c r="W3714" s="316">
        <f t="shared" si="876"/>
        <v>0</v>
      </c>
    </row>
    <row r="3715" spans="1:23" x14ac:dyDescent="0.25">
      <c r="A3715" s="208" t="s">
        <v>15934</v>
      </c>
      <c r="B3715" s="313" t="s">
        <v>23000</v>
      </c>
      <c r="C3715" s="248"/>
      <c r="D3715" s="247" t="s">
        <v>11</v>
      </c>
      <c r="E3715" s="249">
        <f t="shared" si="880"/>
        <v>122.4656925902685</v>
      </c>
      <c r="F3715" s="258">
        <v>0.46510000000000001</v>
      </c>
      <c r="G3715" s="258">
        <f t="shared" si="881"/>
        <v>0.46510000000000001</v>
      </c>
      <c r="H3715" s="249">
        <f t="shared" si="882"/>
        <v>115.32997926153</v>
      </c>
      <c r="I3715" s="258">
        <v>0.438</v>
      </c>
      <c r="J3715" s="258">
        <f t="shared" si="883"/>
        <v>0.438</v>
      </c>
      <c r="K3715" s="249">
        <f t="shared" si="884"/>
        <v>15.2983374317235</v>
      </c>
      <c r="L3715" s="374">
        <v>5.8099999999999999E-2</v>
      </c>
      <c r="M3715" s="258">
        <f t="shared" si="885"/>
        <v>5.8099999999999999E-2</v>
      </c>
      <c r="N3715" s="251">
        <f t="shared" si="886"/>
        <v>10.216445651478001</v>
      </c>
      <c r="O3715" s="258">
        <v>3.8800000000000001E-2</v>
      </c>
      <c r="P3715" s="258">
        <f t="shared" si="887"/>
        <v>3.8800000000000001E-2</v>
      </c>
      <c r="Q3715" s="249">
        <v>258.02999999999997</v>
      </c>
      <c r="R3715" s="249">
        <f t="shared" si="877"/>
        <v>263.310454935</v>
      </c>
      <c r="S3715" s="250">
        <v>0.1</v>
      </c>
      <c r="T3715" s="290">
        <f>Q3715*S3715+Q3715-4</f>
        <v>279.83299999999997</v>
      </c>
      <c r="U3715" s="315">
        <f t="shared" si="878"/>
        <v>289.64150042849997</v>
      </c>
      <c r="V3715" s="315">
        <f t="shared" si="879"/>
        <v>290</v>
      </c>
      <c r="W3715" s="316">
        <f t="shared" si="876"/>
        <v>0</v>
      </c>
    </row>
    <row r="3716" spans="1:23" x14ac:dyDescent="0.25">
      <c r="A3716" s="208" t="s">
        <v>15935</v>
      </c>
      <c r="B3716" s="313" t="s">
        <v>23001</v>
      </c>
      <c r="C3716" s="248"/>
      <c r="D3716" s="247" t="s">
        <v>11</v>
      </c>
      <c r="E3716" s="249">
        <f t="shared" si="880"/>
        <v>122.39565061091201</v>
      </c>
      <c r="F3716" s="258">
        <v>0.37580000000000002</v>
      </c>
      <c r="G3716" s="258">
        <f t="shared" si="881"/>
        <v>0.37580000000000002</v>
      </c>
      <c r="H3716" s="249">
        <f t="shared" si="882"/>
        <v>177.79613003857602</v>
      </c>
      <c r="I3716" s="258">
        <v>0.54590000000000005</v>
      </c>
      <c r="J3716" s="258">
        <f t="shared" si="883"/>
        <v>0.54590000000000005</v>
      </c>
      <c r="K3716" s="249">
        <f t="shared" si="884"/>
        <v>15.307598666080002</v>
      </c>
      <c r="L3716" s="374">
        <v>4.7E-2</v>
      </c>
      <c r="M3716" s="258">
        <f t="shared" si="885"/>
        <v>4.7E-2</v>
      </c>
      <c r="N3716" s="251">
        <f t="shared" si="886"/>
        <v>10.194209324432002</v>
      </c>
      <c r="O3716" s="258">
        <v>3.1300000000000001E-2</v>
      </c>
      <c r="P3716" s="258">
        <f t="shared" si="887"/>
        <v>3.1300000000000001E-2</v>
      </c>
      <c r="Q3716" s="249">
        <v>319.34000000000003</v>
      </c>
      <c r="R3716" s="249">
        <f t="shared" si="877"/>
        <v>325.69358864000003</v>
      </c>
      <c r="S3716" s="250">
        <v>0.1</v>
      </c>
      <c r="T3716" s="290">
        <f>Q3716*S3716+Q3716-1</f>
        <v>350.27400000000006</v>
      </c>
      <c r="U3716" s="315">
        <f t="shared" si="878"/>
        <v>358.26294750400001</v>
      </c>
      <c r="V3716" s="315">
        <f t="shared" si="879"/>
        <v>360</v>
      </c>
      <c r="W3716" s="316">
        <f t="shared" si="876"/>
        <v>0</v>
      </c>
    </row>
    <row r="3717" spans="1:23" x14ac:dyDescent="0.25">
      <c r="A3717" s="208" t="s">
        <v>15936</v>
      </c>
      <c r="B3717" s="313" t="s">
        <v>23002</v>
      </c>
      <c r="C3717" s="248"/>
      <c r="D3717" s="247" t="s">
        <v>11</v>
      </c>
      <c r="E3717" s="249">
        <f t="shared" si="880"/>
        <v>147.80665306442791</v>
      </c>
      <c r="F3717" s="258">
        <v>0.31369999999999998</v>
      </c>
      <c r="G3717" s="258">
        <f t="shared" si="881"/>
        <v>0.31369999999999998</v>
      </c>
      <c r="H3717" s="249">
        <f t="shared" si="882"/>
        <v>282.56184202338994</v>
      </c>
      <c r="I3717" s="258">
        <v>0.59970000000000001</v>
      </c>
      <c r="J3717" s="258">
        <f t="shared" si="883"/>
        <v>0.59970000000000001</v>
      </c>
      <c r="K3717" s="249">
        <f t="shared" si="884"/>
        <v>25.490404624754703</v>
      </c>
      <c r="L3717" s="374">
        <v>5.4100000000000002E-2</v>
      </c>
      <c r="M3717" s="258">
        <f t="shared" si="885"/>
        <v>5.4100000000000002E-2</v>
      </c>
      <c r="N3717" s="251">
        <f t="shared" si="886"/>
        <v>15.313089654427502</v>
      </c>
      <c r="O3717" s="258">
        <v>3.2500000000000001E-2</v>
      </c>
      <c r="P3717" s="258">
        <f t="shared" si="887"/>
        <v>3.2500000000000001E-2</v>
      </c>
      <c r="Q3717" s="249">
        <v>462.13</v>
      </c>
      <c r="R3717" s="249">
        <f t="shared" si="877"/>
        <v>471.17198936700004</v>
      </c>
      <c r="S3717" s="250">
        <v>0.1</v>
      </c>
      <c r="T3717" s="290">
        <f>Q3717*S3717+Q3717+2</f>
        <v>510.34300000000002</v>
      </c>
      <c r="U3717" s="315">
        <f t="shared" si="878"/>
        <v>518.28918830370003</v>
      </c>
      <c r="V3717" s="315">
        <f t="shared" si="879"/>
        <v>520</v>
      </c>
      <c r="W3717" s="316">
        <f t="shared" si="876"/>
        <v>0</v>
      </c>
    </row>
    <row r="3718" spans="1:23" x14ac:dyDescent="0.25">
      <c r="A3718" s="208" t="s">
        <v>15936</v>
      </c>
      <c r="B3718" s="313" t="s">
        <v>23003</v>
      </c>
      <c r="C3718" s="248"/>
      <c r="D3718" s="247" t="s">
        <v>11</v>
      </c>
      <c r="E3718" s="249">
        <f t="shared" si="880"/>
        <v>198.83293437282236</v>
      </c>
      <c r="F3718" s="258">
        <v>0.26319999999999999</v>
      </c>
      <c r="G3718" s="258">
        <f t="shared" si="881"/>
        <v>0.26319999999999999</v>
      </c>
      <c r="H3718" s="249">
        <f t="shared" si="882"/>
        <v>495.49590294503878</v>
      </c>
      <c r="I3718" s="258">
        <v>0.65590000000000004</v>
      </c>
      <c r="J3718" s="258">
        <f t="shared" si="883"/>
        <v>0.65590000000000004</v>
      </c>
      <c r="K3718" s="249">
        <f t="shared" si="884"/>
        <v>45.855467767592394</v>
      </c>
      <c r="L3718" s="374">
        <v>6.0699999999999997E-2</v>
      </c>
      <c r="M3718" s="258">
        <f t="shared" si="885"/>
        <v>6.0699999999999997E-2</v>
      </c>
      <c r="N3718" s="251">
        <f t="shared" si="886"/>
        <v>15.259974446546398</v>
      </c>
      <c r="O3718" s="258">
        <v>2.0199999999999999E-2</v>
      </c>
      <c r="P3718" s="258">
        <f t="shared" si="887"/>
        <v>2.0199999999999999E-2</v>
      </c>
      <c r="Q3718" s="249">
        <v>741.07999999999993</v>
      </c>
      <c r="R3718" s="249">
        <f t="shared" si="877"/>
        <v>755.44427953199988</v>
      </c>
      <c r="S3718" s="250">
        <v>0.1</v>
      </c>
      <c r="T3718" s="290">
        <f>Q3718*S3718+Q3718+5</f>
        <v>820.18799999999987</v>
      </c>
      <c r="U3718" s="315">
        <f t="shared" si="878"/>
        <v>830.98870748519982</v>
      </c>
      <c r="V3718" s="315">
        <f t="shared" si="879"/>
        <v>835</v>
      </c>
      <c r="W3718" s="316">
        <f t="shared" si="876"/>
        <v>0</v>
      </c>
    </row>
    <row r="3719" spans="1:23" x14ac:dyDescent="0.25">
      <c r="A3719" s="208" t="s">
        <v>15936</v>
      </c>
      <c r="B3719" s="313" t="s">
        <v>23004</v>
      </c>
      <c r="C3719" s="248"/>
      <c r="D3719" s="247" t="s">
        <v>11</v>
      </c>
      <c r="E3719" s="249">
        <f t="shared" si="880"/>
        <v>198.75688009617602</v>
      </c>
      <c r="F3719" s="258">
        <v>0.24479999999999999</v>
      </c>
      <c r="G3719" s="258">
        <f t="shared" si="881"/>
        <v>0.24479999999999999</v>
      </c>
      <c r="H3719" s="249">
        <f t="shared" si="882"/>
        <v>552.02125317561297</v>
      </c>
      <c r="I3719" s="258">
        <v>0.67989999999999995</v>
      </c>
      <c r="J3719" s="258">
        <f t="shared" si="883"/>
        <v>0.67989999999999995</v>
      </c>
      <c r="K3719" s="249">
        <f t="shared" si="884"/>
        <v>45.873217832655008</v>
      </c>
      <c r="L3719" s="374">
        <v>5.6500000000000002E-2</v>
      </c>
      <c r="M3719" s="258">
        <f t="shared" si="885"/>
        <v>5.6500000000000002E-2</v>
      </c>
      <c r="N3719" s="251">
        <f t="shared" si="886"/>
        <v>15.264008765556003</v>
      </c>
      <c r="O3719" s="258">
        <v>1.8800000000000001E-2</v>
      </c>
      <c r="P3719" s="258">
        <f t="shared" si="887"/>
        <v>1.8800000000000001E-2</v>
      </c>
      <c r="Q3719" s="249">
        <v>796.58</v>
      </c>
      <c r="R3719" s="249">
        <f t="shared" si="877"/>
        <v>811.91535987000009</v>
      </c>
      <c r="S3719" s="250">
        <v>0.1</v>
      </c>
      <c r="T3719" s="290">
        <f>Q3719*S3719+Q3719-6</f>
        <v>870.23800000000006</v>
      </c>
      <c r="U3719" s="315">
        <f t="shared" si="878"/>
        <v>893.10689585700015</v>
      </c>
      <c r="V3719" s="315">
        <f t="shared" si="879"/>
        <v>895</v>
      </c>
      <c r="W3719" s="316">
        <f t="shared" ref="W3719:W3765" si="888">C3719*V3719</f>
        <v>0</v>
      </c>
    </row>
    <row r="3720" spans="1:23" x14ac:dyDescent="0.25">
      <c r="A3720" s="208" t="s">
        <v>15937</v>
      </c>
      <c r="B3720" s="313" t="s">
        <v>23005</v>
      </c>
      <c r="C3720" s="248"/>
      <c r="D3720" s="247" t="s">
        <v>11</v>
      </c>
      <c r="E3720" s="249">
        <f t="shared" si="880"/>
        <v>122.45974394365261</v>
      </c>
      <c r="F3720" s="258">
        <v>0.48420000000000002</v>
      </c>
      <c r="G3720" s="258">
        <f t="shared" si="881"/>
        <v>0.48420000000000002</v>
      </c>
      <c r="H3720" s="249">
        <f t="shared" si="882"/>
        <v>104.9329776171447</v>
      </c>
      <c r="I3720" s="258">
        <v>0.41489999999999999</v>
      </c>
      <c r="J3720" s="258">
        <f t="shared" si="883"/>
        <v>0.41489999999999999</v>
      </c>
      <c r="K3720" s="249">
        <f t="shared" si="884"/>
        <v>15.3011452056815</v>
      </c>
      <c r="L3720" s="374">
        <v>6.0499999999999998E-2</v>
      </c>
      <c r="M3720" s="258">
        <f t="shared" si="885"/>
        <v>6.0499999999999998E-2</v>
      </c>
      <c r="N3720" s="251">
        <f t="shared" si="886"/>
        <v>10.2176242365212</v>
      </c>
      <c r="O3720" s="258">
        <v>4.0399999999999998E-2</v>
      </c>
      <c r="P3720" s="258">
        <f t="shared" si="887"/>
        <v>4.0399999999999998E-2</v>
      </c>
      <c r="Q3720" s="249">
        <v>247.81</v>
      </c>
      <c r="R3720" s="249">
        <f t="shared" si="877"/>
        <v>252.91149100300001</v>
      </c>
      <c r="S3720" s="250">
        <v>0.1</v>
      </c>
      <c r="T3720" s="290">
        <f>Q3720*S3720+Q3720-3</f>
        <v>269.59100000000001</v>
      </c>
      <c r="U3720" s="315">
        <f t="shared" si="878"/>
        <v>278.20264010330004</v>
      </c>
      <c r="V3720" s="315">
        <f t="shared" si="879"/>
        <v>280</v>
      </c>
      <c r="W3720" s="316">
        <f t="shared" si="888"/>
        <v>0</v>
      </c>
    </row>
    <row r="3721" spans="1:23" x14ac:dyDescent="0.25">
      <c r="A3721" s="208" t="s">
        <v>15938</v>
      </c>
      <c r="B3721" s="313" t="s">
        <v>23006</v>
      </c>
      <c r="C3721" s="248"/>
      <c r="D3721" s="247" t="s">
        <v>11</v>
      </c>
      <c r="E3721" s="249">
        <f t="shared" si="880"/>
        <v>122.39801991360019</v>
      </c>
      <c r="F3721" s="258">
        <v>0.40060000000000001</v>
      </c>
      <c r="G3721" s="258">
        <f t="shared" si="881"/>
        <v>0.40060000000000001</v>
      </c>
      <c r="H3721" s="249">
        <f t="shared" si="882"/>
        <v>157.62640657370531</v>
      </c>
      <c r="I3721" s="258">
        <v>0.51590000000000003</v>
      </c>
      <c r="J3721" s="258">
        <f t="shared" si="883"/>
        <v>0.51590000000000003</v>
      </c>
      <c r="K3721" s="249">
        <f t="shared" si="884"/>
        <v>15.3073909078167</v>
      </c>
      <c r="L3721" s="374">
        <v>5.0099999999999999E-2</v>
      </c>
      <c r="M3721" s="258">
        <f t="shared" si="885"/>
        <v>5.0099999999999999E-2</v>
      </c>
      <c r="N3721" s="251">
        <f t="shared" si="886"/>
        <v>10.2049272718778</v>
      </c>
      <c r="O3721" s="258">
        <v>3.3399999999999999E-2</v>
      </c>
      <c r="P3721" s="258">
        <f t="shared" si="887"/>
        <v>3.3399999999999999E-2</v>
      </c>
      <c r="Q3721" s="249">
        <v>299.52999999999997</v>
      </c>
      <c r="R3721" s="249">
        <f t="shared" si="877"/>
        <v>305.53674466699999</v>
      </c>
      <c r="S3721" s="250">
        <v>0.1</v>
      </c>
      <c r="T3721" s="290">
        <f>Q3721*S3721+Q3721+1</f>
        <v>330.48299999999995</v>
      </c>
      <c r="U3721" s="315">
        <f t="shared" si="878"/>
        <v>336.09041913369998</v>
      </c>
      <c r="V3721" s="315">
        <f t="shared" si="879"/>
        <v>340</v>
      </c>
      <c r="W3721" s="316">
        <f t="shared" si="888"/>
        <v>0</v>
      </c>
    </row>
    <row r="3722" spans="1:23" x14ac:dyDescent="0.25">
      <c r="A3722" s="208" t="s">
        <v>15939</v>
      </c>
      <c r="B3722" s="313" t="s">
        <v>23007</v>
      </c>
      <c r="C3722" s="248"/>
      <c r="D3722" s="247" t="s">
        <v>11</v>
      </c>
      <c r="E3722" s="249">
        <f t="shared" si="880"/>
        <v>147.893198543496</v>
      </c>
      <c r="F3722" s="258">
        <v>0.3528</v>
      </c>
      <c r="G3722" s="258">
        <f t="shared" si="881"/>
        <v>0.3528</v>
      </c>
      <c r="H3722" s="249">
        <f t="shared" si="882"/>
        <v>230.51720487264305</v>
      </c>
      <c r="I3722" s="258">
        <v>0.54990000000000006</v>
      </c>
      <c r="J3722" s="258">
        <f t="shared" si="883"/>
        <v>0.54990000000000006</v>
      </c>
      <c r="K3722" s="249">
        <f t="shared" si="884"/>
        <v>25.487263241056002</v>
      </c>
      <c r="L3722" s="374">
        <v>6.08E-2</v>
      </c>
      <c r="M3722" s="258">
        <f t="shared" si="885"/>
        <v>6.08E-2</v>
      </c>
      <c r="N3722" s="251">
        <f t="shared" si="886"/>
        <v>15.300741912805</v>
      </c>
      <c r="O3722" s="258">
        <v>3.6499999999999998E-2</v>
      </c>
      <c r="P3722" s="258">
        <f t="shared" si="887"/>
        <v>3.6499999999999998E-2</v>
      </c>
      <c r="Q3722" s="249">
        <v>411.05</v>
      </c>
      <c r="R3722" s="249">
        <f t="shared" si="877"/>
        <v>419.19840857000003</v>
      </c>
      <c r="S3722" s="250">
        <v>0.1</v>
      </c>
      <c r="T3722" s="290">
        <f>Q3722*S3722+Q3722-2</f>
        <v>450.15500000000003</v>
      </c>
      <c r="U3722" s="315">
        <f t="shared" si="878"/>
        <v>461.11824942700002</v>
      </c>
      <c r="V3722" s="315">
        <f t="shared" si="879"/>
        <v>465</v>
      </c>
      <c r="W3722" s="316">
        <f t="shared" si="888"/>
        <v>0</v>
      </c>
    </row>
    <row r="3723" spans="1:23" x14ac:dyDescent="0.25">
      <c r="A3723" s="208" t="s">
        <v>15940</v>
      </c>
      <c r="B3723" s="313" t="s">
        <v>23008</v>
      </c>
      <c r="C3723" s="248"/>
      <c r="D3723" s="247" t="s">
        <v>11</v>
      </c>
      <c r="E3723" s="249">
        <f t="shared" si="880"/>
        <v>198.89403962122583</v>
      </c>
      <c r="F3723" s="258">
        <v>0.31890000000000002</v>
      </c>
      <c r="G3723" s="258">
        <f t="shared" si="881"/>
        <v>0.31890000000000002</v>
      </c>
      <c r="H3723" s="249">
        <f t="shared" si="882"/>
        <v>363.67235654793592</v>
      </c>
      <c r="I3723" s="258">
        <v>0.58309999999999995</v>
      </c>
      <c r="J3723" s="258">
        <f t="shared" si="883"/>
        <v>0.58309999999999995</v>
      </c>
      <c r="K3723" s="249">
        <f t="shared" si="884"/>
        <v>45.84105334637848</v>
      </c>
      <c r="L3723" s="374">
        <v>7.3499999999999996E-2</v>
      </c>
      <c r="M3723" s="258">
        <f t="shared" si="885"/>
        <v>7.3499999999999996E-2</v>
      </c>
      <c r="N3723" s="251">
        <f t="shared" si="886"/>
        <v>15.280351115459494</v>
      </c>
      <c r="O3723" s="258">
        <v>2.4500000000000001E-2</v>
      </c>
      <c r="P3723" s="258">
        <f t="shared" si="887"/>
        <v>2.4500000000000001E-2</v>
      </c>
      <c r="Q3723" s="249">
        <v>611.58999999999992</v>
      </c>
      <c r="R3723" s="249">
        <f t="shared" si="877"/>
        <v>623.68780063099973</v>
      </c>
      <c r="S3723" s="250">
        <v>0.1</v>
      </c>
      <c r="T3723" s="290">
        <f>Q3723*S3723+Q3723-3</f>
        <v>669.74899999999991</v>
      </c>
      <c r="U3723" s="315">
        <f t="shared" si="878"/>
        <v>686.05658069409969</v>
      </c>
      <c r="V3723" s="315">
        <f t="shared" si="879"/>
        <v>690</v>
      </c>
      <c r="W3723" s="316">
        <f t="shared" si="888"/>
        <v>0</v>
      </c>
    </row>
    <row r="3724" spans="1:23" x14ac:dyDescent="0.25">
      <c r="A3724" s="208" t="s">
        <v>15941</v>
      </c>
      <c r="B3724" s="313" t="s">
        <v>23009</v>
      </c>
      <c r="C3724" s="248"/>
      <c r="D3724" s="247" t="s">
        <v>11</v>
      </c>
      <c r="E3724" s="249">
        <f t="shared" si="880"/>
        <v>198.82826019787504</v>
      </c>
      <c r="F3724" s="258">
        <v>0.27450000000000002</v>
      </c>
      <c r="G3724" s="258">
        <f t="shared" si="881"/>
        <v>0.27450000000000002</v>
      </c>
      <c r="H3724" s="249">
        <f t="shared" si="882"/>
        <v>464.36720441842505</v>
      </c>
      <c r="I3724" s="258">
        <v>0.6411</v>
      </c>
      <c r="J3724" s="258">
        <f t="shared" si="883"/>
        <v>0.6411</v>
      </c>
      <c r="K3724" s="249">
        <f t="shared" si="884"/>
        <v>45.850014100275004</v>
      </c>
      <c r="L3724" s="374">
        <v>6.3299999999999995E-2</v>
      </c>
      <c r="M3724" s="258">
        <f t="shared" si="885"/>
        <v>6.3299999999999995E-2</v>
      </c>
      <c r="N3724" s="251">
        <f t="shared" si="886"/>
        <v>15.283338033425002</v>
      </c>
      <c r="O3724" s="258">
        <v>2.1100000000000001E-2</v>
      </c>
      <c r="P3724" s="258">
        <f t="shared" si="887"/>
        <v>2.1100000000000001E-2</v>
      </c>
      <c r="Q3724" s="249">
        <v>710.5</v>
      </c>
      <c r="R3724" s="249">
        <f t="shared" si="877"/>
        <v>724.3288167500001</v>
      </c>
      <c r="S3724" s="250">
        <v>0.1</v>
      </c>
      <c r="T3724" s="290">
        <f>Q3724*S3724+Q3724-2</f>
        <v>779.55</v>
      </c>
      <c r="U3724" s="315">
        <f t="shared" si="878"/>
        <v>796.76169842500008</v>
      </c>
      <c r="V3724" s="315">
        <f t="shared" si="879"/>
        <v>800</v>
      </c>
      <c r="W3724" s="316">
        <f t="shared" si="888"/>
        <v>0</v>
      </c>
    </row>
    <row r="3725" spans="1:23" x14ac:dyDescent="0.25">
      <c r="A3725" s="208" t="s">
        <v>15942</v>
      </c>
      <c r="B3725" s="313" t="s">
        <v>23010</v>
      </c>
      <c r="C3725" s="248"/>
      <c r="D3725" s="247" t="s">
        <v>11</v>
      </c>
      <c r="E3725" s="249">
        <f t="shared" si="880"/>
        <v>122.41191536051031</v>
      </c>
      <c r="F3725" s="258">
        <v>0.44829999999999998</v>
      </c>
      <c r="G3725" s="258">
        <f t="shared" si="881"/>
        <v>0.44829999999999998</v>
      </c>
      <c r="H3725" s="249">
        <f t="shared" si="882"/>
        <v>125.11518986880621</v>
      </c>
      <c r="I3725" s="258">
        <v>0.4582</v>
      </c>
      <c r="J3725" s="258">
        <f t="shared" si="883"/>
        <v>0.4582</v>
      </c>
      <c r="K3725" s="249">
        <f t="shared" si="884"/>
        <v>15.318555547010099</v>
      </c>
      <c r="L3725" s="374">
        <v>5.6099999999999997E-2</v>
      </c>
      <c r="M3725" s="258">
        <f t="shared" si="885"/>
        <v>5.6099999999999997E-2</v>
      </c>
      <c r="N3725" s="251">
        <f t="shared" si="886"/>
        <v>10.212370364673401</v>
      </c>
      <c r="O3725" s="258">
        <v>3.7400000000000003E-2</v>
      </c>
      <c r="P3725" s="258">
        <f t="shared" si="887"/>
        <v>3.7400000000000003E-2</v>
      </c>
      <c r="Q3725" s="249">
        <v>267.61</v>
      </c>
      <c r="R3725" s="249">
        <f t="shared" si="877"/>
        <v>273.05803114100001</v>
      </c>
      <c r="S3725" s="250">
        <v>0.1</v>
      </c>
      <c r="T3725" s="290">
        <f>Q3725*S3725+Q3725+6</f>
        <v>300.37100000000004</v>
      </c>
      <c r="U3725" s="315">
        <f t="shared" si="878"/>
        <v>300.36383425510002</v>
      </c>
      <c r="V3725" s="315">
        <f t="shared" si="879"/>
        <v>305</v>
      </c>
      <c r="W3725" s="316">
        <f t="shared" si="888"/>
        <v>0</v>
      </c>
    </row>
    <row r="3726" spans="1:23" x14ac:dyDescent="0.25">
      <c r="A3726" s="208" t="s">
        <v>15943</v>
      </c>
      <c r="B3726" s="313" t="s">
        <v>23011</v>
      </c>
      <c r="C3726" s="248"/>
      <c r="D3726" s="247" t="s">
        <v>11</v>
      </c>
      <c r="E3726" s="249">
        <f t="shared" si="880"/>
        <v>122.38554220463551</v>
      </c>
      <c r="F3726" s="258">
        <v>0.39090000000000003</v>
      </c>
      <c r="G3726" s="258">
        <f t="shared" si="881"/>
        <v>0.39090000000000003</v>
      </c>
      <c r="H3726" s="249">
        <f t="shared" si="882"/>
        <v>165.18447702012199</v>
      </c>
      <c r="I3726" s="258">
        <v>0.52759999999999996</v>
      </c>
      <c r="J3726" s="258">
        <f t="shared" si="883"/>
        <v>0.52759999999999996</v>
      </c>
      <c r="K3726" s="249">
        <f t="shared" si="884"/>
        <v>15.309933522145499</v>
      </c>
      <c r="L3726" s="374">
        <v>4.8899999999999999E-2</v>
      </c>
      <c r="M3726" s="258">
        <f t="shared" si="885"/>
        <v>4.8899999999999999E-2</v>
      </c>
      <c r="N3726" s="251">
        <f t="shared" si="886"/>
        <v>10.206622348097</v>
      </c>
      <c r="O3726" s="258">
        <v>3.2599999999999997E-2</v>
      </c>
      <c r="P3726" s="258">
        <f t="shared" si="887"/>
        <v>3.2599999999999997E-2</v>
      </c>
      <c r="Q3726" s="249">
        <v>306.95</v>
      </c>
      <c r="R3726" s="249">
        <f t="shared" si="877"/>
        <v>313.086575095</v>
      </c>
      <c r="S3726" s="250">
        <v>0.1</v>
      </c>
      <c r="T3726" s="290">
        <f>Q3726*S3726+Q3726+2</f>
        <v>339.64499999999998</v>
      </c>
      <c r="U3726" s="315">
        <f t="shared" si="878"/>
        <v>344.39523260449999</v>
      </c>
      <c r="V3726" s="315">
        <f t="shared" si="879"/>
        <v>345</v>
      </c>
      <c r="W3726" s="316">
        <f t="shared" si="888"/>
        <v>0</v>
      </c>
    </row>
    <row r="3727" spans="1:23" x14ac:dyDescent="0.25">
      <c r="A3727" s="208" t="s">
        <v>15944</v>
      </c>
      <c r="B3727" s="313" t="s">
        <v>23012</v>
      </c>
      <c r="C3727" s="248"/>
      <c r="D3727" s="247" t="s">
        <v>11</v>
      </c>
      <c r="E3727" s="249">
        <f t="shared" si="880"/>
        <v>147.85378467113944</v>
      </c>
      <c r="F3727" s="258">
        <v>0.28370000000000001</v>
      </c>
      <c r="G3727" s="258">
        <f t="shared" si="881"/>
        <v>0.28370000000000001</v>
      </c>
      <c r="H3727" s="249">
        <f t="shared" si="882"/>
        <v>332.5537539607123</v>
      </c>
      <c r="I3727" s="258">
        <v>0.6381</v>
      </c>
      <c r="J3727" s="258">
        <f t="shared" si="883"/>
        <v>0.6381</v>
      </c>
      <c r="K3727" s="249">
        <f t="shared" si="884"/>
        <v>25.484843392381805</v>
      </c>
      <c r="L3727" s="374">
        <v>4.8899999999999999E-2</v>
      </c>
      <c r="M3727" s="258">
        <f t="shared" si="885"/>
        <v>4.8899999999999999E-2</v>
      </c>
      <c r="N3727" s="251">
        <f t="shared" si="886"/>
        <v>15.270059537766604</v>
      </c>
      <c r="O3727" s="258">
        <v>2.93E-2</v>
      </c>
      <c r="P3727" s="258">
        <f t="shared" si="887"/>
        <v>2.93E-2</v>
      </c>
      <c r="Q3727" s="249">
        <v>511.26</v>
      </c>
      <c r="R3727" s="249">
        <f t="shared" si="877"/>
        <v>521.16244156200014</v>
      </c>
      <c r="S3727" s="250">
        <v>0.1</v>
      </c>
      <c r="T3727" s="290">
        <f>Q3727*S3727+Q3727-2</f>
        <v>560.38599999999997</v>
      </c>
      <c r="U3727" s="315">
        <f t="shared" si="878"/>
        <v>573.27868571820011</v>
      </c>
      <c r="V3727" s="315">
        <f t="shared" si="879"/>
        <v>575</v>
      </c>
      <c r="W3727" s="316">
        <f t="shared" si="888"/>
        <v>0</v>
      </c>
    </row>
    <row r="3728" spans="1:23" x14ac:dyDescent="0.25">
      <c r="A3728" s="208" t="s">
        <v>15945</v>
      </c>
      <c r="B3728" s="313" t="s">
        <v>23013</v>
      </c>
      <c r="C3728" s="248"/>
      <c r="D3728" s="247" t="s">
        <v>11</v>
      </c>
      <c r="E3728" s="249">
        <f t="shared" si="880"/>
        <v>198.82183304841479</v>
      </c>
      <c r="F3728" s="258">
        <v>0.29909999999999998</v>
      </c>
      <c r="G3728" s="258">
        <f t="shared" si="881"/>
        <v>0.29909999999999998</v>
      </c>
      <c r="H3728" s="249">
        <f t="shared" si="882"/>
        <v>404.7563160922092</v>
      </c>
      <c r="I3728" s="258">
        <v>0.6089</v>
      </c>
      <c r="J3728" s="258">
        <f t="shared" si="883"/>
        <v>0.6089</v>
      </c>
      <c r="K3728" s="249">
        <f t="shared" si="884"/>
        <v>45.866621465532006</v>
      </c>
      <c r="L3728" s="374">
        <v>6.9000000000000006E-2</v>
      </c>
      <c r="M3728" s="258">
        <f t="shared" si="885"/>
        <v>6.9000000000000006E-2</v>
      </c>
      <c r="N3728" s="251">
        <f t="shared" si="886"/>
        <v>15.288873821844001</v>
      </c>
      <c r="O3728" s="258">
        <v>2.3E-2</v>
      </c>
      <c r="P3728" s="258">
        <f t="shared" si="887"/>
        <v>2.3E-2</v>
      </c>
      <c r="Q3728" s="249">
        <v>651.93000000000006</v>
      </c>
      <c r="R3728" s="249">
        <f t="shared" si="877"/>
        <v>664.73364442800005</v>
      </c>
      <c r="S3728" s="250">
        <v>0.1</v>
      </c>
      <c r="T3728" s="290">
        <f>Q3728*S3728+Q3728+3</f>
        <v>720.12300000000005</v>
      </c>
      <c r="U3728" s="315">
        <f t="shared" si="878"/>
        <v>731.20700887080011</v>
      </c>
      <c r="V3728" s="315">
        <f t="shared" si="879"/>
        <v>735</v>
      </c>
      <c r="W3728" s="316">
        <f t="shared" si="888"/>
        <v>0</v>
      </c>
    </row>
    <row r="3729" spans="1:23" x14ac:dyDescent="0.25">
      <c r="A3729" s="208" t="s">
        <v>15946</v>
      </c>
      <c r="B3729" s="313" t="s">
        <v>23014</v>
      </c>
      <c r="C3729" s="248"/>
      <c r="D3729" s="247" t="s">
        <v>11</v>
      </c>
      <c r="E3729" s="249">
        <f t="shared" si="880"/>
        <v>198.85554355892404</v>
      </c>
      <c r="F3729" s="258">
        <v>0.26190000000000002</v>
      </c>
      <c r="G3729" s="258">
        <f t="shared" si="881"/>
        <v>0.26190000000000002</v>
      </c>
      <c r="H3729" s="249">
        <f t="shared" si="882"/>
        <v>499.30280811129603</v>
      </c>
      <c r="I3729" s="258">
        <v>0.65759999999999996</v>
      </c>
      <c r="J3729" s="258">
        <f t="shared" si="883"/>
        <v>0.65759999999999996</v>
      </c>
      <c r="K3729" s="249">
        <f t="shared" si="884"/>
        <v>45.86053772798401</v>
      </c>
      <c r="L3729" s="374">
        <v>6.0400000000000002E-2</v>
      </c>
      <c r="M3729" s="258">
        <f t="shared" si="885"/>
        <v>6.0400000000000002E-2</v>
      </c>
      <c r="N3729" s="251">
        <f t="shared" si="886"/>
        <v>15.261536561796003</v>
      </c>
      <c r="O3729" s="258">
        <v>2.01E-2</v>
      </c>
      <c r="P3729" s="258">
        <f t="shared" si="887"/>
        <v>2.01E-2</v>
      </c>
      <c r="Q3729" s="249">
        <v>744.85</v>
      </c>
      <c r="R3729" s="249">
        <f t="shared" si="877"/>
        <v>759.28042596000012</v>
      </c>
      <c r="S3729" s="250">
        <v>0.1</v>
      </c>
      <c r="T3729" s="290">
        <f>Q3729*S3729+Q3729+1</f>
        <v>820.33500000000004</v>
      </c>
      <c r="U3729" s="315">
        <f t="shared" si="878"/>
        <v>835.20846855600007</v>
      </c>
      <c r="V3729" s="315">
        <f t="shared" si="879"/>
        <v>840</v>
      </c>
      <c r="W3729" s="316">
        <f t="shared" si="888"/>
        <v>0</v>
      </c>
    </row>
    <row r="3730" spans="1:23" x14ac:dyDescent="0.25">
      <c r="A3730" s="208" t="s">
        <v>15947</v>
      </c>
      <c r="B3730" s="313" t="s">
        <v>23015</v>
      </c>
      <c r="C3730" s="248"/>
      <c r="D3730" s="247" t="s">
        <v>11</v>
      </c>
      <c r="E3730" s="249">
        <f t="shared" si="880"/>
        <v>122.41191536051031</v>
      </c>
      <c r="F3730" s="258">
        <v>0.44829999999999998</v>
      </c>
      <c r="G3730" s="258">
        <f t="shared" si="881"/>
        <v>0.44829999999999998</v>
      </c>
      <c r="H3730" s="249">
        <f t="shared" si="882"/>
        <v>125.11518986880621</v>
      </c>
      <c r="I3730" s="258">
        <v>0.4582</v>
      </c>
      <c r="J3730" s="258">
        <f t="shared" si="883"/>
        <v>0.4582</v>
      </c>
      <c r="K3730" s="249">
        <f t="shared" si="884"/>
        <v>15.318555547010099</v>
      </c>
      <c r="L3730" s="374">
        <v>5.6099999999999997E-2</v>
      </c>
      <c r="M3730" s="258">
        <f t="shared" si="885"/>
        <v>5.6099999999999997E-2</v>
      </c>
      <c r="N3730" s="251">
        <f t="shared" si="886"/>
        <v>10.212370364673401</v>
      </c>
      <c r="O3730" s="258">
        <v>3.7400000000000003E-2</v>
      </c>
      <c r="P3730" s="258">
        <f t="shared" si="887"/>
        <v>3.7400000000000003E-2</v>
      </c>
      <c r="Q3730" s="249">
        <v>267.61</v>
      </c>
      <c r="R3730" s="249">
        <f t="shared" si="877"/>
        <v>273.05803114100001</v>
      </c>
      <c r="S3730" s="250">
        <v>0.1</v>
      </c>
      <c r="T3730" s="290">
        <f>Q3730*S3730+Q3730+6</f>
        <v>300.37100000000004</v>
      </c>
      <c r="U3730" s="315">
        <f t="shared" si="878"/>
        <v>300.36383425510002</v>
      </c>
      <c r="V3730" s="315">
        <f t="shared" si="879"/>
        <v>305</v>
      </c>
      <c r="W3730" s="316">
        <f t="shared" si="888"/>
        <v>0</v>
      </c>
    </row>
    <row r="3731" spans="1:23" x14ac:dyDescent="0.25">
      <c r="A3731" s="208" t="s">
        <v>15948</v>
      </c>
      <c r="B3731" s="313" t="s">
        <v>23016</v>
      </c>
      <c r="C3731" s="248"/>
      <c r="D3731" s="247" t="s">
        <v>11</v>
      </c>
      <c r="E3731" s="249">
        <f t="shared" si="880"/>
        <v>122.41775715878802</v>
      </c>
      <c r="F3731" s="258">
        <v>0.36530000000000001</v>
      </c>
      <c r="G3731" s="258">
        <f t="shared" si="881"/>
        <v>0.36530000000000001</v>
      </c>
      <c r="H3731" s="249">
        <f t="shared" si="882"/>
        <v>187.229129276252</v>
      </c>
      <c r="I3731" s="258">
        <v>0.55869999999999997</v>
      </c>
      <c r="J3731" s="258">
        <f t="shared" si="883"/>
        <v>0.55869999999999997</v>
      </c>
      <c r="K3731" s="249">
        <f t="shared" si="884"/>
        <v>15.281274914976002</v>
      </c>
      <c r="L3731" s="374">
        <v>4.5600000000000002E-2</v>
      </c>
      <c r="M3731" s="258">
        <f t="shared" si="885"/>
        <v>4.5600000000000002E-2</v>
      </c>
      <c r="N3731" s="251">
        <f t="shared" si="886"/>
        <v>10.187516609984002</v>
      </c>
      <c r="O3731" s="258">
        <v>3.04E-2</v>
      </c>
      <c r="P3731" s="258">
        <f t="shared" si="887"/>
        <v>3.04E-2</v>
      </c>
      <c r="Q3731" s="249">
        <v>328.6</v>
      </c>
      <c r="R3731" s="249">
        <f t="shared" si="877"/>
        <v>335.11567796000003</v>
      </c>
      <c r="S3731" s="250">
        <v>0.1</v>
      </c>
      <c r="T3731" s="290">
        <f>Q3731*S3731+Q3731-1</f>
        <v>360.46000000000004</v>
      </c>
      <c r="U3731" s="315">
        <f t="shared" si="878"/>
        <v>368.62724575600004</v>
      </c>
      <c r="V3731" s="315">
        <f t="shared" si="879"/>
        <v>370</v>
      </c>
      <c r="W3731" s="316">
        <f t="shared" si="888"/>
        <v>0</v>
      </c>
    </row>
    <row r="3732" spans="1:23" ht="14.4" thickBot="1" x14ac:dyDescent="0.3">
      <c r="A3732" s="214" t="s">
        <v>15949</v>
      </c>
      <c r="B3732" s="321" t="s">
        <v>23017</v>
      </c>
      <c r="C3732" s="265"/>
      <c r="D3732" s="264" t="s">
        <v>11</v>
      </c>
      <c r="E3732" s="266">
        <f t="shared" si="880"/>
        <v>147.88825300983603</v>
      </c>
      <c r="F3732" s="322">
        <v>0.34350000000000003</v>
      </c>
      <c r="G3732" s="322">
        <f t="shared" si="881"/>
        <v>0.34350000000000003</v>
      </c>
      <c r="H3732" s="266">
        <f t="shared" si="882"/>
        <v>241.87371336514082</v>
      </c>
      <c r="I3732" s="322">
        <v>0.56179999999999997</v>
      </c>
      <c r="J3732" s="322">
        <f t="shared" si="883"/>
        <v>0.56179999999999997</v>
      </c>
      <c r="K3732" s="266">
        <f t="shared" si="884"/>
        <v>25.487582469235203</v>
      </c>
      <c r="L3732" s="391">
        <v>5.9200000000000003E-2</v>
      </c>
      <c r="M3732" s="322">
        <f t="shared" si="885"/>
        <v>5.9200000000000003E-2</v>
      </c>
      <c r="N3732" s="270">
        <f t="shared" si="886"/>
        <v>15.283938811788</v>
      </c>
      <c r="O3732" s="322">
        <v>3.5499999999999997E-2</v>
      </c>
      <c r="P3732" s="322">
        <f t="shared" si="887"/>
        <v>3.5499999999999997E-2</v>
      </c>
      <c r="Q3732" s="266">
        <v>422.19</v>
      </c>
      <c r="R3732" s="266">
        <f t="shared" si="877"/>
        <v>430.53348765600003</v>
      </c>
      <c r="S3732" s="267">
        <v>0.1</v>
      </c>
      <c r="T3732" s="299">
        <f>Q3732*S3732+Q3732-4</f>
        <v>460.40899999999999</v>
      </c>
      <c r="U3732" s="324">
        <f t="shared" si="878"/>
        <v>473.58683642160003</v>
      </c>
      <c r="V3732" s="324">
        <f t="shared" si="879"/>
        <v>475</v>
      </c>
      <c r="W3732" s="325">
        <f t="shared" si="888"/>
        <v>0</v>
      </c>
    </row>
    <row r="3733" spans="1:23" x14ac:dyDescent="0.25">
      <c r="A3733" s="208" t="s">
        <v>15950</v>
      </c>
      <c r="B3733" s="313" t="s">
        <v>23018</v>
      </c>
      <c r="C3733" s="248"/>
      <c r="D3733" s="247" t="s">
        <v>11</v>
      </c>
      <c r="E3733" s="249">
        <f t="shared" si="880"/>
        <v>198.82183304841479</v>
      </c>
      <c r="F3733" s="258">
        <v>0.29909999999999998</v>
      </c>
      <c r="G3733" s="258">
        <f t="shared" si="881"/>
        <v>0.29909999999999998</v>
      </c>
      <c r="H3733" s="249">
        <f t="shared" si="882"/>
        <v>404.7563160922092</v>
      </c>
      <c r="I3733" s="258">
        <v>0.6089</v>
      </c>
      <c r="J3733" s="258">
        <f t="shared" si="883"/>
        <v>0.6089</v>
      </c>
      <c r="K3733" s="249">
        <f t="shared" si="884"/>
        <v>45.866621465532006</v>
      </c>
      <c r="L3733" s="374">
        <v>6.9000000000000006E-2</v>
      </c>
      <c r="M3733" s="258">
        <f t="shared" si="885"/>
        <v>6.9000000000000006E-2</v>
      </c>
      <c r="N3733" s="251">
        <f t="shared" si="886"/>
        <v>15.288873821844001</v>
      </c>
      <c r="O3733" s="258">
        <v>2.3E-2</v>
      </c>
      <c r="P3733" s="258">
        <f t="shared" si="887"/>
        <v>2.3E-2</v>
      </c>
      <c r="Q3733" s="249">
        <v>651.93000000000006</v>
      </c>
      <c r="R3733" s="249">
        <f t="shared" ref="R3733:R3765" si="889">SUM(F3733*Q3733*1.0235,I3733*Q3733*1.0175,L3733*Q3733*1.0245,O3733*Q3733*1.0115)</f>
        <v>664.73364442800005</v>
      </c>
      <c r="S3733" s="250">
        <v>0.1</v>
      </c>
      <c r="T3733" s="290">
        <f>Q3733*S3733+Q3733+3</f>
        <v>720.12300000000005</v>
      </c>
      <c r="U3733" s="315">
        <f t="shared" si="878"/>
        <v>731.20700887080011</v>
      </c>
      <c r="V3733" s="315">
        <f t="shared" si="879"/>
        <v>735</v>
      </c>
      <c r="W3733" s="316">
        <f t="shared" si="888"/>
        <v>0</v>
      </c>
    </row>
    <row r="3734" spans="1:23" x14ac:dyDescent="0.25">
      <c r="A3734" s="208" t="s">
        <v>15951</v>
      </c>
      <c r="B3734" s="313" t="s">
        <v>23019</v>
      </c>
      <c r="C3734" s="248"/>
      <c r="D3734" s="247" t="s">
        <v>11</v>
      </c>
      <c r="E3734" s="249">
        <f t="shared" si="880"/>
        <v>198.69650607068624</v>
      </c>
      <c r="F3734" s="258">
        <v>0.24110000000000001</v>
      </c>
      <c r="G3734" s="258">
        <f t="shared" si="881"/>
        <v>0.24110000000000001</v>
      </c>
      <c r="H3734" s="249">
        <f t="shared" si="882"/>
        <v>564.1958857569133</v>
      </c>
      <c r="I3734" s="258">
        <v>0.68459999999999999</v>
      </c>
      <c r="J3734" s="258">
        <f t="shared" si="883"/>
        <v>0.68459999999999999</v>
      </c>
      <c r="K3734" s="249">
        <f t="shared" si="884"/>
        <v>45.903755239059407</v>
      </c>
      <c r="L3734" s="374">
        <v>5.57E-2</v>
      </c>
      <c r="M3734" s="258">
        <f t="shared" si="885"/>
        <v>5.57E-2</v>
      </c>
      <c r="N3734" s="251">
        <f t="shared" si="886"/>
        <v>15.328722575341201</v>
      </c>
      <c r="O3734" s="258">
        <v>1.8599999999999998E-2</v>
      </c>
      <c r="P3734" s="258">
        <f t="shared" si="887"/>
        <v>1.8599999999999998E-2</v>
      </c>
      <c r="Q3734" s="249">
        <v>808.58</v>
      </c>
      <c r="R3734" s="249">
        <f t="shared" si="889"/>
        <v>824.12486964200014</v>
      </c>
      <c r="S3734" s="250">
        <v>0.1</v>
      </c>
      <c r="T3734" s="290">
        <f>Q3734*S3734+Q3734+1</f>
        <v>890.4380000000001</v>
      </c>
      <c r="U3734" s="315">
        <f t="shared" si="878"/>
        <v>906.53735660620009</v>
      </c>
      <c r="V3734" s="315">
        <f t="shared" si="879"/>
        <v>910</v>
      </c>
      <c r="W3734" s="316">
        <f t="shared" si="888"/>
        <v>0</v>
      </c>
    </row>
    <row r="3735" spans="1:23" x14ac:dyDescent="0.25">
      <c r="A3735" s="208" t="s">
        <v>15952</v>
      </c>
      <c r="B3735" s="313" t="s">
        <v>23020</v>
      </c>
      <c r="C3735" s="248"/>
      <c r="D3735" s="247" t="s">
        <v>11</v>
      </c>
      <c r="E3735" s="249">
        <f t="shared" si="880"/>
        <v>76.538901971321991</v>
      </c>
      <c r="F3735" s="258">
        <v>0.47289999999999999</v>
      </c>
      <c r="G3735" s="258">
        <f t="shared" si="881"/>
        <v>0.47289999999999999</v>
      </c>
      <c r="H3735" s="249">
        <f t="shared" si="882"/>
        <v>59.787418879691998</v>
      </c>
      <c r="I3735" s="258">
        <v>0.36940000000000001</v>
      </c>
      <c r="J3735" s="258">
        <f t="shared" si="883"/>
        <v>0.36940000000000001</v>
      </c>
      <c r="K3735" s="249">
        <f t="shared" si="884"/>
        <v>15.311017395828001</v>
      </c>
      <c r="L3735" s="374">
        <v>9.4600000000000004E-2</v>
      </c>
      <c r="M3735" s="258">
        <f t="shared" si="885"/>
        <v>9.4600000000000004E-2</v>
      </c>
      <c r="N3735" s="251">
        <f t="shared" si="886"/>
        <v>10.212739933158</v>
      </c>
      <c r="O3735" s="258">
        <v>6.3100000000000003E-2</v>
      </c>
      <c r="P3735" s="258">
        <f t="shared" si="887"/>
        <v>6.3100000000000003E-2</v>
      </c>
      <c r="Q3735" s="249">
        <v>158.57999999999998</v>
      </c>
      <c r="R3735" s="249">
        <f t="shared" si="889"/>
        <v>161.85007818</v>
      </c>
      <c r="S3735" s="250">
        <v>0.1</v>
      </c>
      <c r="T3735" s="290">
        <f>Q3735*S3735+Q3735-4</f>
        <v>170.43799999999999</v>
      </c>
      <c r="U3735" s="315">
        <f t="shared" si="878"/>
        <v>178.035085998</v>
      </c>
      <c r="V3735" s="315">
        <f t="shared" si="879"/>
        <v>180</v>
      </c>
      <c r="W3735" s="316">
        <f t="shared" si="888"/>
        <v>0</v>
      </c>
    </row>
    <row r="3736" spans="1:23" x14ac:dyDescent="0.25">
      <c r="A3736" s="208" t="s">
        <v>15953</v>
      </c>
      <c r="B3736" s="313" t="s">
        <v>23021</v>
      </c>
      <c r="C3736" s="248"/>
      <c r="D3736" s="247" t="s">
        <v>11</v>
      </c>
      <c r="E3736" s="249">
        <f t="shared" si="880"/>
        <v>76.514016775870815</v>
      </c>
      <c r="F3736" s="258">
        <v>0.37880000000000003</v>
      </c>
      <c r="G3736" s="258">
        <f t="shared" si="881"/>
        <v>0.37880000000000003</v>
      </c>
      <c r="H3736" s="249">
        <f t="shared" si="882"/>
        <v>99.985317592545002</v>
      </c>
      <c r="I3736" s="258">
        <v>0.495</v>
      </c>
      <c r="J3736" s="258">
        <f t="shared" si="883"/>
        <v>0.495</v>
      </c>
      <c r="K3736" s="249">
        <f t="shared" si="884"/>
        <v>15.290683922738701</v>
      </c>
      <c r="L3736" s="374">
        <v>7.5700000000000003E-2</v>
      </c>
      <c r="M3736" s="258">
        <f t="shared" si="885"/>
        <v>7.5700000000000003E-2</v>
      </c>
      <c r="N3736" s="251">
        <f t="shared" si="886"/>
        <v>10.200522299845501</v>
      </c>
      <c r="O3736" s="258">
        <v>5.0500000000000003E-2</v>
      </c>
      <c r="P3736" s="258">
        <f t="shared" si="887"/>
        <v>5.0500000000000003E-2</v>
      </c>
      <c r="Q3736" s="249">
        <v>198.03</v>
      </c>
      <c r="R3736" s="249">
        <f t="shared" si="889"/>
        <v>201.99054059100001</v>
      </c>
      <c r="S3736" s="250">
        <v>0.1</v>
      </c>
      <c r="T3736" s="290">
        <f>Q3736*S3736+Q3736+2</f>
        <v>219.833</v>
      </c>
      <c r="U3736" s="315">
        <f t="shared" si="878"/>
        <v>222.18959465010002</v>
      </c>
      <c r="V3736" s="315">
        <f t="shared" si="879"/>
        <v>225</v>
      </c>
      <c r="W3736" s="316">
        <f t="shared" si="888"/>
        <v>0</v>
      </c>
    </row>
    <row r="3737" spans="1:23" x14ac:dyDescent="0.25">
      <c r="A3737" s="208" t="s">
        <v>15954</v>
      </c>
      <c r="B3737" s="313" t="s">
        <v>23022</v>
      </c>
      <c r="C3737" s="248"/>
      <c r="D3737" s="247" t="s">
        <v>11</v>
      </c>
      <c r="E3737" s="249">
        <f t="shared" si="880"/>
        <v>99.933754052963991</v>
      </c>
      <c r="F3737" s="258">
        <v>0.35220000000000001</v>
      </c>
      <c r="G3737" s="258">
        <f t="shared" si="881"/>
        <v>0.35220000000000001</v>
      </c>
      <c r="H3737" s="249">
        <f t="shared" si="882"/>
        <v>143.00571278447998</v>
      </c>
      <c r="I3737" s="258">
        <v>0.504</v>
      </c>
      <c r="J3737" s="258">
        <f t="shared" si="883"/>
        <v>0.504</v>
      </c>
      <c r="K3737" s="249">
        <f t="shared" si="884"/>
        <v>25.508360276437994</v>
      </c>
      <c r="L3737" s="374">
        <v>8.9899999999999994E-2</v>
      </c>
      <c r="M3737" s="258">
        <f t="shared" si="885"/>
        <v>8.9899999999999994E-2</v>
      </c>
      <c r="N3737" s="251">
        <f t="shared" si="886"/>
        <v>15.293666506117999</v>
      </c>
      <c r="O3737" s="258">
        <v>5.3900000000000003E-2</v>
      </c>
      <c r="P3737" s="258">
        <f t="shared" si="887"/>
        <v>5.3900000000000003E-2</v>
      </c>
      <c r="Q3737" s="249">
        <v>278.2</v>
      </c>
      <c r="R3737" s="249">
        <f t="shared" si="889"/>
        <v>283.74149361999997</v>
      </c>
      <c r="S3737" s="250">
        <v>0.1</v>
      </c>
      <c r="T3737" s="290">
        <f>Q3737*S3737+Q3737+4</f>
        <v>310.02</v>
      </c>
      <c r="U3737" s="315">
        <f t="shared" si="878"/>
        <v>312.11564298199994</v>
      </c>
      <c r="V3737" s="315">
        <f t="shared" si="879"/>
        <v>315</v>
      </c>
      <c r="W3737" s="316">
        <f t="shared" si="888"/>
        <v>0</v>
      </c>
    </row>
    <row r="3738" spans="1:23" x14ac:dyDescent="0.25">
      <c r="A3738" s="208" t="s">
        <v>15955</v>
      </c>
      <c r="B3738" s="313" t="s">
        <v>23023</v>
      </c>
      <c r="C3738" s="248"/>
      <c r="D3738" s="247" t="s">
        <v>11</v>
      </c>
      <c r="E3738" s="249">
        <f t="shared" si="880"/>
        <v>198.86392749724621</v>
      </c>
      <c r="F3738" s="258">
        <v>0.35980000000000001</v>
      </c>
      <c r="G3738" s="258">
        <f t="shared" si="881"/>
        <v>0.35980000000000001</v>
      </c>
      <c r="H3738" s="249">
        <f t="shared" si="882"/>
        <v>292.60301060878857</v>
      </c>
      <c r="I3738" s="258">
        <v>0.52939999999999998</v>
      </c>
      <c r="J3738" s="258">
        <f t="shared" si="883"/>
        <v>0.52939999999999998</v>
      </c>
      <c r="K3738" s="249">
        <f t="shared" si="884"/>
        <v>45.929939897223896</v>
      </c>
      <c r="L3738" s="374">
        <v>8.3099999999999993E-2</v>
      </c>
      <c r="M3738" s="258">
        <f t="shared" si="885"/>
        <v>8.3099999999999993E-2</v>
      </c>
      <c r="N3738" s="251">
        <f t="shared" si="886"/>
        <v>15.309979965741299</v>
      </c>
      <c r="O3738" s="258">
        <v>2.7699999999999999E-2</v>
      </c>
      <c r="P3738" s="258">
        <f t="shared" si="887"/>
        <v>2.7699999999999999E-2</v>
      </c>
      <c r="Q3738" s="249">
        <v>541.82999999999993</v>
      </c>
      <c r="R3738" s="249">
        <f t="shared" si="889"/>
        <v>552.706857969</v>
      </c>
      <c r="S3738" s="250">
        <v>0.1</v>
      </c>
      <c r="T3738" s="290">
        <f>Q3738*S3738+Q3738+4</f>
        <v>600.01299999999992</v>
      </c>
      <c r="U3738" s="315">
        <f t="shared" si="878"/>
        <v>607.97754376590001</v>
      </c>
      <c r="V3738" s="315">
        <f t="shared" si="879"/>
        <v>610</v>
      </c>
      <c r="W3738" s="316">
        <f t="shared" si="888"/>
        <v>0</v>
      </c>
    </row>
    <row r="3739" spans="1:23" x14ac:dyDescent="0.25">
      <c r="A3739" s="208" t="s">
        <v>15956</v>
      </c>
      <c r="B3739" s="313" t="s">
        <v>23024</v>
      </c>
      <c r="C3739" s="248"/>
      <c r="D3739" s="247" t="s">
        <v>11</v>
      </c>
      <c r="E3739" s="249">
        <f t="shared" si="880"/>
        <v>76.558714918056012</v>
      </c>
      <c r="F3739" s="258">
        <v>0.52380000000000004</v>
      </c>
      <c r="G3739" s="258">
        <f t="shared" si="881"/>
        <v>0.52380000000000004</v>
      </c>
      <c r="H3739" s="249">
        <f t="shared" si="882"/>
        <v>44.067301542179997</v>
      </c>
      <c r="I3739" s="258">
        <v>0.30149999999999999</v>
      </c>
      <c r="J3739" s="258">
        <f t="shared" si="883"/>
        <v>0.30149999999999999</v>
      </c>
      <c r="K3739" s="249">
        <f t="shared" si="884"/>
        <v>15.317589391776002</v>
      </c>
      <c r="L3739" s="374">
        <v>0.1048</v>
      </c>
      <c r="M3739" s="258">
        <f t="shared" si="885"/>
        <v>0.1048</v>
      </c>
      <c r="N3739" s="251">
        <f t="shared" si="886"/>
        <v>10.216598267988001</v>
      </c>
      <c r="O3739" s="258">
        <v>6.9900000000000004E-2</v>
      </c>
      <c r="P3739" s="258">
        <f t="shared" si="887"/>
        <v>6.9900000000000004E-2</v>
      </c>
      <c r="Q3739" s="249">
        <v>143.16</v>
      </c>
      <c r="R3739" s="249">
        <f t="shared" si="889"/>
        <v>146.16020412</v>
      </c>
      <c r="S3739" s="250">
        <v>0.1</v>
      </c>
      <c r="T3739" s="290">
        <f>Q3739*S3739+Q3739+3</f>
        <v>160.476</v>
      </c>
      <c r="U3739" s="315">
        <f t="shared" si="878"/>
        <v>160.77622453200001</v>
      </c>
      <c r="V3739" s="315">
        <f t="shared" si="879"/>
        <v>165</v>
      </c>
      <c r="W3739" s="316">
        <f t="shared" si="888"/>
        <v>0</v>
      </c>
    </row>
    <row r="3740" spans="1:23" x14ac:dyDescent="0.25">
      <c r="A3740" s="208" t="s">
        <v>15957</v>
      </c>
      <c r="B3740" s="313" t="s">
        <v>23025</v>
      </c>
      <c r="C3740" s="248"/>
      <c r="D3740" s="247" t="s">
        <v>11</v>
      </c>
      <c r="E3740" s="249">
        <f t="shared" si="880"/>
        <v>76.53390806122448</v>
      </c>
      <c r="F3740" s="258">
        <v>0.43149999999999999</v>
      </c>
      <c r="G3740" s="258">
        <f t="shared" si="881"/>
        <v>0.43149999999999999</v>
      </c>
      <c r="H3740" s="249">
        <f t="shared" si="882"/>
        <v>75.327811711708094</v>
      </c>
      <c r="I3740" s="258">
        <v>0.42470000000000002</v>
      </c>
      <c r="J3740" s="258">
        <f t="shared" si="883"/>
        <v>0.42470000000000002</v>
      </c>
      <c r="K3740" s="249">
        <f t="shared" si="884"/>
        <v>15.306781612244897</v>
      </c>
      <c r="L3740" s="374">
        <v>8.6300000000000002E-2</v>
      </c>
      <c r="M3740" s="258">
        <f t="shared" si="885"/>
        <v>8.6300000000000002E-2</v>
      </c>
      <c r="N3740" s="251">
        <f t="shared" si="886"/>
        <v>10.198608837822499</v>
      </c>
      <c r="O3740" s="258">
        <v>5.7500000000000002E-2</v>
      </c>
      <c r="P3740" s="258">
        <f t="shared" si="887"/>
        <v>5.7500000000000002E-2</v>
      </c>
      <c r="Q3740" s="249">
        <v>173.82999999999998</v>
      </c>
      <c r="R3740" s="249">
        <f t="shared" si="889"/>
        <v>177.36711022299997</v>
      </c>
      <c r="S3740" s="250">
        <v>0.1</v>
      </c>
      <c r="T3740" s="290">
        <f>Q3740*S3740+Q3740-1</f>
        <v>190.21299999999999</v>
      </c>
      <c r="U3740" s="315">
        <f t="shared" si="878"/>
        <v>195.10382124529997</v>
      </c>
      <c r="V3740" s="315">
        <f t="shared" si="879"/>
        <v>200</v>
      </c>
      <c r="W3740" s="316">
        <f t="shared" si="888"/>
        <v>0</v>
      </c>
    </row>
    <row r="3741" spans="1:23" x14ac:dyDescent="0.25">
      <c r="A3741" s="208" t="s">
        <v>15958</v>
      </c>
      <c r="B3741" s="313" t="s">
        <v>23026</v>
      </c>
      <c r="C3741" s="248"/>
      <c r="D3741" s="247" t="s">
        <v>11</v>
      </c>
      <c r="E3741" s="249">
        <f t="shared" si="880"/>
        <v>99.975371446641589</v>
      </c>
      <c r="F3741" s="258">
        <v>0.3836</v>
      </c>
      <c r="G3741" s="258">
        <f t="shared" si="881"/>
        <v>0.3836</v>
      </c>
      <c r="H3741" s="249">
        <f t="shared" si="882"/>
        <v>119.8349212491288</v>
      </c>
      <c r="I3741" s="258">
        <v>0.45979999999999999</v>
      </c>
      <c r="J3741" s="258">
        <f t="shared" si="883"/>
        <v>0.45979999999999999</v>
      </c>
      <c r="K3741" s="249">
        <f t="shared" si="884"/>
        <v>25.515090887972399</v>
      </c>
      <c r="L3741" s="374">
        <v>9.7900000000000001E-2</v>
      </c>
      <c r="M3741" s="258">
        <f t="shared" si="885"/>
        <v>9.7900000000000001E-2</v>
      </c>
      <c r="N3741" s="251">
        <f t="shared" si="886"/>
        <v>15.2986295722572</v>
      </c>
      <c r="O3741" s="258">
        <v>5.8700000000000002E-2</v>
      </c>
      <c r="P3741" s="258">
        <f t="shared" si="887"/>
        <v>5.8700000000000002E-2</v>
      </c>
      <c r="Q3741" s="249">
        <v>255.48000000000002</v>
      </c>
      <c r="R3741" s="249">
        <f t="shared" si="889"/>
        <v>260.62401315599999</v>
      </c>
      <c r="S3741" s="250">
        <v>0.1</v>
      </c>
      <c r="T3741" s="290">
        <f>Q3741*S3741+Q3741-1</f>
        <v>280.02800000000002</v>
      </c>
      <c r="U3741" s="315">
        <f t="shared" si="878"/>
        <v>286.68641447159996</v>
      </c>
      <c r="V3741" s="315">
        <f t="shared" si="879"/>
        <v>290</v>
      </c>
      <c r="W3741" s="316">
        <f t="shared" si="888"/>
        <v>0</v>
      </c>
    </row>
    <row r="3742" spans="1:23" x14ac:dyDescent="0.25">
      <c r="A3742" s="208" t="s">
        <v>15959</v>
      </c>
      <c r="B3742" s="313" t="s">
        <v>23027</v>
      </c>
      <c r="C3742" s="248"/>
      <c r="D3742" s="247" t="s">
        <v>11</v>
      </c>
      <c r="E3742" s="249">
        <f t="shared" si="880"/>
        <v>147.91846913106571</v>
      </c>
      <c r="F3742" s="258">
        <v>0.40410000000000001</v>
      </c>
      <c r="G3742" s="258">
        <f t="shared" si="881"/>
        <v>0.40410000000000001</v>
      </c>
      <c r="H3742" s="249">
        <f t="shared" si="882"/>
        <v>177.31181996309883</v>
      </c>
      <c r="I3742" s="258">
        <v>0.4844</v>
      </c>
      <c r="J3742" s="258">
        <f t="shared" si="883"/>
        <v>0.4844</v>
      </c>
      <c r="K3742" s="249">
        <f t="shared" si="884"/>
        <v>25.5132821045169</v>
      </c>
      <c r="L3742" s="374">
        <v>6.9699999999999998E-2</v>
      </c>
      <c r="M3742" s="258">
        <f t="shared" si="885"/>
        <v>6.9699999999999998E-2</v>
      </c>
      <c r="N3742" s="251">
        <f t="shared" si="886"/>
        <v>15.3006483783186</v>
      </c>
      <c r="O3742" s="258">
        <v>4.1799999999999997E-2</v>
      </c>
      <c r="P3742" s="258">
        <f t="shared" si="887"/>
        <v>4.1799999999999997E-2</v>
      </c>
      <c r="Q3742" s="249">
        <v>358.81</v>
      </c>
      <c r="R3742" s="249">
        <f t="shared" si="889"/>
        <v>366.04421957700004</v>
      </c>
      <c r="S3742" s="250">
        <v>0.1</v>
      </c>
      <c r="T3742" s="290">
        <f>Q3742*S3742+Q3742+5</f>
        <v>399.69100000000003</v>
      </c>
      <c r="U3742" s="315">
        <f t="shared" si="878"/>
        <v>402.64864153470006</v>
      </c>
      <c r="V3742" s="315">
        <f t="shared" si="879"/>
        <v>405</v>
      </c>
      <c r="W3742" s="316">
        <f t="shared" si="888"/>
        <v>0</v>
      </c>
    </row>
    <row r="3743" spans="1:23" x14ac:dyDescent="0.25">
      <c r="A3743" s="208" t="s">
        <v>15960</v>
      </c>
      <c r="B3743" s="313" t="s">
        <v>23028</v>
      </c>
      <c r="C3743" s="248"/>
      <c r="D3743" s="247" t="s">
        <v>11</v>
      </c>
      <c r="E3743" s="249">
        <f t="shared" si="880"/>
        <v>198.94151887633322</v>
      </c>
      <c r="F3743" s="258">
        <v>0.38890000000000002</v>
      </c>
      <c r="G3743" s="258">
        <f t="shared" si="881"/>
        <v>0.38890000000000002</v>
      </c>
      <c r="H3743" s="249">
        <f t="shared" si="882"/>
        <v>251.37532110010324</v>
      </c>
      <c r="I3743" s="258">
        <v>0.4914</v>
      </c>
      <c r="J3743" s="258">
        <f t="shared" si="883"/>
        <v>0.4914</v>
      </c>
      <c r="K3743" s="249">
        <f t="shared" si="884"/>
        <v>45.93712624092241</v>
      </c>
      <c r="L3743" s="374">
        <v>8.9800000000000005E-2</v>
      </c>
      <c r="M3743" s="258">
        <f t="shared" si="885"/>
        <v>8.9800000000000005E-2</v>
      </c>
      <c r="N3743" s="251">
        <f t="shared" si="886"/>
        <v>15.295323770641202</v>
      </c>
      <c r="O3743" s="258">
        <v>2.9899999999999999E-2</v>
      </c>
      <c r="P3743" s="258">
        <f t="shared" si="887"/>
        <v>2.9899999999999999E-2</v>
      </c>
      <c r="Q3743" s="249">
        <v>501.38</v>
      </c>
      <c r="R3743" s="249">
        <f t="shared" si="889"/>
        <v>511.54928998800006</v>
      </c>
      <c r="S3743" s="250">
        <v>0.1</v>
      </c>
      <c r="T3743" s="290">
        <f>Q3743*S3743+Q3743-2</f>
        <v>549.51800000000003</v>
      </c>
      <c r="U3743" s="315">
        <f t="shared" si="878"/>
        <v>562.70421898680002</v>
      </c>
      <c r="V3743" s="315">
        <f t="shared" si="879"/>
        <v>565</v>
      </c>
      <c r="W3743" s="316">
        <f t="shared" si="888"/>
        <v>0</v>
      </c>
    </row>
    <row r="3744" spans="1:23" x14ac:dyDescent="0.25">
      <c r="A3744" s="208" t="s">
        <v>15961</v>
      </c>
      <c r="B3744" s="313" t="s">
        <v>23029</v>
      </c>
      <c r="C3744" s="248"/>
      <c r="D3744" s="247" t="s">
        <v>11</v>
      </c>
      <c r="E3744" s="249">
        <f t="shared" si="880"/>
        <v>76.573656797668818</v>
      </c>
      <c r="F3744" s="258">
        <v>0.52010000000000001</v>
      </c>
      <c r="G3744" s="258">
        <f t="shared" si="881"/>
        <v>0.52010000000000001</v>
      </c>
      <c r="H3744" s="249">
        <f t="shared" si="882"/>
        <v>45.140325272380807</v>
      </c>
      <c r="I3744" s="258">
        <v>0.30659999999999998</v>
      </c>
      <c r="J3744" s="258">
        <f t="shared" si="883"/>
        <v>0.30659999999999998</v>
      </c>
      <c r="K3744" s="249">
        <f t="shared" si="884"/>
        <v>15.311786785152002</v>
      </c>
      <c r="L3744" s="374">
        <v>0.104</v>
      </c>
      <c r="M3744" s="258">
        <f t="shared" si="885"/>
        <v>0.104</v>
      </c>
      <c r="N3744" s="251">
        <f t="shared" si="886"/>
        <v>10.202950232798402</v>
      </c>
      <c r="O3744" s="258">
        <v>6.93E-2</v>
      </c>
      <c r="P3744" s="258">
        <f t="shared" si="887"/>
        <v>6.93E-2</v>
      </c>
      <c r="Q3744" s="249">
        <v>144.21</v>
      </c>
      <c r="R3744" s="249">
        <f t="shared" si="889"/>
        <v>147.22871908800002</v>
      </c>
      <c r="S3744" s="250">
        <v>0.1</v>
      </c>
      <c r="T3744" s="290">
        <f>Q3744*S3744+Q3744+1</f>
        <v>159.631</v>
      </c>
      <c r="U3744" s="315">
        <f t="shared" si="878"/>
        <v>161.95159099680001</v>
      </c>
      <c r="V3744" s="315">
        <f t="shared" si="879"/>
        <v>165</v>
      </c>
      <c r="W3744" s="316">
        <f t="shared" si="888"/>
        <v>0</v>
      </c>
    </row>
    <row r="3745" spans="1:23" x14ac:dyDescent="0.25">
      <c r="A3745" s="208" t="s">
        <v>15962</v>
      </c>
      <c r="B3745" s="313" t="s">
        <v>23030</v>
      </c>
      <c r="C3745" s="248"/>
      <c r="D3745" s="247" t="s">
        <v>11</v>
      </c>
      <c r="E3745" s="249">
        <f t="shared" si="880"/>
        <v>76.526190357052826</v>
      </c>
      <c r="F3745" s="258">
        <v>0.42620000000000002</v>
      </c>
      <c r="G3745" s="258">
        <f t="shared" si="881"/>
        <v>0.42620000000000002</v>
      </c>
      <c r="H3745" s="249">
        <f t="shared" si="882"/>
        <v>77.53169637769922</v>
      </c>
      <c r="I3745" s="258">
        <v>0.43180000000000002</v>
      </c>
      <c r="J3745" s="258">
        <f t="shared" si="883"/>
        <v>0.43180000000000002</v>
      </c>
      <c r="K3745" s="249">
        <f t="shared" si="884"/>
        <v>15.298055885548802</v>
      </c>
      <c r="L3745" s="374">
        <v>8.5199999999999998E-2</v>
      </c>
      <c r="M3745" s="258">
        <f t="shared" si="885"/>
        <v>8.5199999999999998E-2</v>
      </c>
      <c r="N3745" s="251">
        <f t="shared" si="886"/>
        <v>10.198703923699203</v>
      </c>
      <c r="O3745" s="258">
        <v>5.6800000000000003E-2</v>
      </c>
      <c r="P3745" s="258">
        <f t="shared" si="887"/>
        <v>5.6800000000000003E-2</v>
      </c>
      <c r="Q3745" s="249">
        <v>175.98000000000002</v>
      </c>
      <c r="R3745" s="249">
        <f t="shared" si="889"/>
        <v>179.55464654400004</v>
      </c>
      <c r="S3745" s="250">
        <v>0.1</v>
      </c>
      <c r="T3745" s="290">
        <f>Q3745*S3745+Q3745-4</f>
        <v>189.57800000000003</v>
      </c>
      <c r="U3745" s="315">
        <f t="shared" si="878"/>
        <v>197.51011119840004</v>
      </c>
      <c r="V3745" s="315">
        <f t="shared" si="879"/>
        <v>200</v>
      </c>
      <c r="W3745" s="316">
        <f t="shared" si="888"/>
        <v>0</v>
      </c>
    </row>
    <row r="3746" spans="1:23" x14ac:dyDescent="0.25">
      <c r="A3746" s="208" t="s">
        <v>15963</v>
      </c>
      <c r="B3746" s="313" t="s">
        <v>23031</v>
      </c>
      <c r="C3746" s="248"/>
      <c r="D3746" s="247" t="s">
        <v>11</v>
      </c>
      <c r="E3746" s="249">
        <f t="shared" si="880"/>
        <v>99.975374453924502</v>
      </c>
      <c r="F3746" s="258">
        <v>0.38529999999999998</v>
      </c>
      <c r="G3746" s="258">
        <f t="shared" si="881"/>
        <v>0.38529999999999998</v>
      </c>
      <c r="H3746" s="249">
        <f t="shared" si="882"/>
        <v>118.68345776077101</v>
      </c>
      <c r="I3746" s="258">
        <v>0.45739999999999997</v>
      </c>
      <c r="J3746" s="258">
        <f t="shared" si="883"/>
        <v>0.45739999999999997</v>
      </c>
      <c r="K3746" s="249">
        <f t="shared" si="884"/>
        <v>25.506304980069501</v>
      </c>
      <c r="L3746" s="374">
        <v>9.8299999999999998E-2</v>
      </c>
      <c r="M3746" s="258">
        <f t="shared" si="885"/>
        <v>9.8299999999999998E-2</v>
      </c>
      <c r="N3746" s="251">
        <f t="shared" si="886"/>
        <v>15.308972470235</v>
      </c>
      <c r="O3746" s="258">
        <v>5.8999999999999997E-2</v>
      </c>
      <c r="P3746" s="258">
        <f t="shared" si="887"/>
        <v>5.8999999999999997E-2</v>
      </c>
      <c r="Q3746" s="249">
        <v>254.35</v>
      </c>
      <c r="R3746" s="249">
        <f t="shared" si="889"/>
        <v>259.47410966500001</v>
      </c>
      <c r="S3746" s="250">
        <v>0.1</v>
      </c>
      <c r="T3746" s="290">
        <f>Q3746*S3746+Q3746</f>
        <v>279.78499999999997</v>
      </c>
      <c r="U3746" s="315">
        <f t="shared" si="878"/>
        <v>285.42152063150002</v>
      </c>
      <c r="V3746" s="315">
        <f t="shared" si="879"/>
        <v>290</v>
      </c>
      <c r="W3746" s="316">
        <f t="shared" si="888"/>
        <v>0</v>
      </c>
    </row>
    <row r="3747" spans="1:23" x14ac:dyDescent="0.25">
      <c r="A3747" s="208" t="s">
        <v>15964</v>
      </c>
      <c r="B3747" s="313" t="s">
        <v>23032</v>
      </c>
      <c r="C3747" s="248"/>
      <c r="D3747" s="247" t="s">
        <v>11</v>
      </c>
      <c r="E3747" s="249">
        <f t="shared" si="880"/>
        <v>122.41500903927358</v>
      </c>
      <c r="F3747" s="258">
        <v>0.39839999999999998</v>
      </c>
      <c r="G3747" s="258">
        <f t="shared" si="881"/>
        <v>0.39839999999999998</v>
      </c>
      <c r="H3747" s="249">
        <f t="shared" si="882"/>
        <v>159.34845303154438</v>
      </c>
      <c r="I3747" s="258">
        <v>0.51859999999999995</v>
      </c>
      <c r="J3747" s="258">
        <f t="shared" si="883"/>
        <v>0.51859999999999995</v>
      </c>
      <c r="K3747" s="249">
        <f t="shared" si="884"/>
        <v>15.301876129909198</v>
      </c>
      <c r="L3747" s="374">
        <v>4.9799999999999997E-2</v>
      </c>
      <c r="M3747" s="258">
        <f t="shared" si="885"/>
        <v>4.9799999999999997E-2</v>
      </c>
      <c r="N3747" s="251">
        <f t="shared" si="886"/>
        <v>10.201250753272799</v>
      </c>
      <c r="O3747" s="258">
        <v>3.32E-2</v>
      </c>
      <c r="P3747" s="258">
        <f t="shared" si="887"/>
        <v>3.32E-2</v>
      </c>
      <c r="Q3747" s="249">
        <v>301.23</v>
      </c>
      <c r="R3747" s="249">
        <f t="shared" si="889"/>
        <v>307.26658895399999</v>
      </c>
      <c r="S3747" s="250">
        <v>0.1</v>
      </c>
      <c r="T3747" s="290">
        <f>Q3747*S3747+Q3747-1</f>
        <v>330.35300000000001</v>
      </c>
      <c r="U3747" s="315">
        <f t="shared" si="878"/>
        <v>337.99324784940001</v>
      </c>
      <c r="V3747" s="315">
        <f t="shared" si="879"/>
        <v>340</v>
      </c>
      <c r="W3747" s="316">
        <f t="shared" si="888"/>
        <v>0</v>
      </c>
    </row>
    <row r="3748" spans="1:23" x14ac:dyDescent="0.25">
      <c r="A3748" s="208" t="s">
        <v>15965</v>
      </c>
      <c r="B3748" s="313" t="s">
        <v>23033</v>
      </c>
      <c r="C3748" s="248"/>
      <c r="D3748" s="247" t="s">
        <v>11</v>
      </c>
      <c r="E3748" s="249">
        <f t="shared" si="880"/>
        <v>198.99412883201279</v>
      </c>
      <c r="F3748" s="258">
        <v>0.4224</v>
      </c>
      <c r="G3748" s="258">
        <f t="shared" si="881"/>
        <v>0.4224</v>
      </c>
      <c r="H3748" s="249">
        <f t="shared" si="882"/>
        <v>210.86593765437721</v>
      </c>
      <c r="I3748" s="258">
        <v>0.4476</v>
      </c>
      <c r="J3748" s="258">
        <f t="shared" si="883"/>
        <v>0.4476</v>
      </c>
      <c r="K3748" s="249">
        <f t="shared" si="884"/>
        <v>45.932593657957504</v>
      </c>
      <c r="L3748" s="374">
        <v>9.7500000000000003E-2</v>
      </c>
      <c r="M3748" s="258">
        <f t="shared" si="885"/>
        <v>9.7500000000000003E-2</v>
      </c>
      <c r="N3748" s="251">
        <f t="shared" si="886"/>
        <v>15.3108645526525</v>
      </c>
      <c r="O3748" s="258">
        <v>3.2500000000000001E-2</v>
      </c>
      <c r="P3748" s="258">
        <f t="shared" si="887"/>
        <v>3.2500000000000001E-2</v>
      </c>
      <c r="Q3748" s="249">
        <v>461.63</v>
      </c>
      <c r="R3748" s="249">
        <f t="shared" si="889"/>
        <v>471.10352469700001</v>
      </c>
      <c r="S3748" s="250">
        <v>0.1</v>
      </c>
      <c r="T3748" s="290">
        <f>Q3748*S3748+Q3748+2</f>
        <v>509.79300000000001</v>
      </c>
      <c r="U3748" s="315">
        <f t="shared" si="878"/>
        <v>518.21387716670006</v>
      </c>
      <c r="V3748" s="315">
        <f t="shared" si="879"/>
        <v>520</v>
      </c>
      <c r="W3748" s="316">
        <f t="shared" si="888"/>
        <v>0</v>
      </c>
    </row>
    <row r="3749" spans="1:23" x14ac:dyDescent="0.25">
      <c r="A3749" s="208" t="s">
        <v>15947</v>
      </c>
      <c r="B3749" s="313" t="s">
        <v>23034</v>
      </c>
      <c r="C3749" s="248"/>
      <c r="D3749" s="247" t="s">
        <v>11</v>
      </c>
      <c r="E3749" s="249">
        <f t="shared" si="880"/>
        <v>76.558714918056012</v>
      </c>
      <c r="F3749" s="258">
        <v>0.52380000000000004</v>
      </c>
      <c r="G3749" s="258">
        <f t="shared" si="881"/>
        <v>0.52380000000000004</v>
      </c>
      <c r="H3749" s="249">
        <f t="shared" si="882"/>
        <v>44.067301542179997</v>
      </c>
      <c r="I3749" s="258">
        <v>0.30149999999999999</v>
      </c>
      <c r="J3749" s="258">
        <f t="shared" si="883"/>
        <v>0.30149999999999999</v>
      </c>
      <c r="K3749" s="249">
        <f t="shared" si="884"/>
        <v>15.317589391776002</v>
      </c>
      <c r="L3749" s="374">
        <v>0.1048</v>
      </c>
      <c r="M3749" s="258">
        <f t="shared" si="885"/>
        <v>0.1048</v>
      </c>
      <c r="N3749" s="251">
        <f t="shared" si="886"/>
        <v>10.216598267988001</v>
      </c>
      <c r="O3749" s="258">
        <v>6.9900000000000004E-2</v>
      </c>
      <c r="P3749" s="258">
        <f t="shared" si="887"/>
        <v>6.9900000000000004E-2</v>
      </c>
      <c r="Q3749" s="249">
        <v>143.16</v>
      </c>
      <c r="R3749" s="249">
        <f t="shared" si="889"/>
        <v>146.16020412</v>
      </c>
      <c r="S3749" s="250">
        <v>0.1</v>
      </c>
      <c r="T3749" s="290">
        <f>Q3749*S3749+Q3749+3</f>
        <v>160.476</v>
      </c>
      <c r="U3749" s="315">
        <f t="shared" si="878"/>
        <v>160.77622453200001</v>
      </c>
      <c r="V3749" s="315">
        <f t="shared" si="879"/>
        <v>165</v>
      </c>
      <c r="W3749" s="316">
        <f t="shared" si="888"/>
        <v>0</v>
      </c>
    </row>
    <row r="3750" spans="1:23" x14ac:dyDescent="0.25">
      <c r="A3750" s="213" t="s">
        <v>15951</v>
      </c>
      <c r="B3750" s="313" t="s">
        <v>23035</v>
      </c>
      <c r="C3750" s="396"/>
      <c r="D3750" s="255" t="s">
        <v>11</v>
      </c>
      <c r="E3750" s="249">
        <f t="shared" si="880"/>
        <v>99.933754052963991</v>
      </c>
      <c r="F3750" s="397">
        <v>0.35220000000000001</v>
      </c>
      <c r="G3750" s="258">
        <f t="shared" si="881"/>
        <v>0.35220000000000001</v>
      </c>
      <c r="H3750" s="249">
        <f t="shared" si="882"/>
        <v>143.00571278447998</v>
      </c>
      <c r="I3750" s="397">
        <v>0.504</v>
      </c>
      <c r="J3750" s="258">
        <f t="shared" si="883"/>
        <v>0.504</v>
      </c>
      <c r="K3750" s="249">
        <f t="shared" si="884"/>
        <v>25.508360276437994</v>
      </c>
      <c r="L3750" s="398">
        <v>8.9899999999999994E-2</v>
      </c>
      <c r="M3750" s="258">
        <f t="shared" si="885"/>
        <v>8.9899999999999994E-2</v>
      </c>
      <c r="N3750" s="251">
        <f t="shared" si="886"/>
        <v>15.293666506117999</v>
      </c>
      <c r="O3750" s="397">
        <v>5.3900000000000003E-2</v>
      </c>
      <c r="P3750" s="258">
        <f t="shared" si="887"/>
        <v>5.3900000000000003E-2</v>
      </c>
      <c r="Q3750" s="399">
        <v>278.2</v>
      </c>
      <c r="R3750" s="249">
        <f t="shared" si="889"/>
        <v>283.74149361999997</v>
      </c>
      <c r="S3750" s="400">
        <v>0.1</v>
      </c>
      <c r="T3750" s="302">
        <f>Q3750*S3750+Q3750+4</f>
        <v>310.02</v>
      </c>
      <c r="U3750" s="315">
        <f t="shared" si="878"/>
        <v>312.11564298199994</v>
      </c>
      <c r="V3750" s="315">
        <f t="shared" si="879"/>
        <v>315</v>
      </c>
      <c r="W3750" s="316">
        <f t="shared" si="888"/>
        <v>0</v>
      </c>
    </row>
    <row r="3751" spans="1:23" x14ac:dyDescent="0.25">
      <c r="A3751" s="213" t="s">
        <v>15966</v>
      </c>
      <c r="B3751" s="313" t="s">
        <v>23036</v>
      </c>
      <c r="C3751" s="396"/>
      <c r="D3751" s="255" t="s">
        <v>11</v>
      </c>
      <c r="E3751" s="249">
        <f t="shared" si="880"/>
        <v>76.54729836382198</v>
      </c>
      <c r="F3751" s="397">
        <v>0.47699999999999998</v>
      </c>
      <c r="G3751" s="258">
        <f t="shared" si="881"/>
        <v>0.47699999999999998</v>
      </c>
      <c r="H3751" s="249">
        <f t="shared" si="882"/>
        <v>58.413452000903995</v>
      </c>
      <c r="I3751" s="397">
        <v>0.36399999999999999</v>
      </c>
      <c r="J3751" s="258">
        <f t="shared" si="883"/>
        <v>0.36399999999999999</v>
      </c>
      <c r="K3751" s="249">
        <f t="shared" si="884"/>
        <v>15.309459672764397</v>
      </c>
      <c r="L3751" s="398">
        <v>9.5399999999999999E-2</v>
      </c>
      <c r="M3751" s="258">
        <f t="shared" si="885"/>
        <v>9.5399999999999999E-2</v>
      </c>
      <c r="N3751" s="251">
        <f t="shared" si="886"/>
        <v>10.206306448509599</v>
      </c>
      <c r="O3751" s="397">
        <v>6.3600000000000004E-2</v>
      </c>
      <c r="P3751" s="258">
        <f t="shared" si="887"/>
        <v>6.3600000000000004E-2</v>
      </c>
      <c r="Q3751" s="399">
        <v>157.22999999999999</v>
      </c>
      <c r="R3751" s="249">
        <f t="shared" si="889"/>
        <v>160.47651648599998</v>
      </c>
      <c r="S3751" s="400">
        <v>0.1</v>
      </c>
      <c r="T3751" s="302">
        <f>Q3751*S3751+Q3751-3</f>
        <v>169.95299999999997</v>
      </c>
      <c r="U3751" s="315">
        <f t="shared" ref="U3751:U3765" si="890">(R3751*S3751)+R3751</f>
        <v>176.52416813459999</v>
      </c>
      <c r="V3751" s="315">
        <f t="shared" ref="V3751:V3765" si="891">IF(U3751=0, 0, IF(U3751&lt;10, _xlfn.CEILING.MATH(U3751,1), IF(U3751&lt;100, _xlfn.CEILING.MATH(U3751,1),IF(U3751&lt;1000, _xlfn.CEILING.MATH(U3751,5), IF(U3751&lt;10000, _xlfn.CEILING.MATH(U3751, 25), IF(U3751&lt;100000, _xlfn.CEILING.MATH(U3751,250), IF(U3751&lt;1000000, _xlfn.CEILING.MATH(U3751,500), 0)))))))</f>
        <v>180</v>
      </c>
      <c r="W3751" s="316">
        <f t="shared" si="888"/>
        <v>0</v>
      </c>
    </row>
    <row r="3752" spans="1:23" x14ac:dyDescent="0.25">
      <c r="A3752" s="213" t="s">
        <v>15967</v>
      </c>
      <c r="B3752" s="313" t="s">
        <v>23037</v>
      </c>
      <c r="C3752" s="396"/>
      <c r="D3752" s="255" t="s">
        <v>11</v>
      </c>
      <c r="E3752" s="249">
        <f t="shared" si="880"/>
        <v>76.492861904462416</v>
      </c>
      <c r="F3752" s="397">
        <v>0.37230000000000002</v>
      </c>
      <c r="G3752" s="258">
        <f t="shared" si="881"/>
        <v>0.37230000000000002</v>
      </c>
      <c r="H3752" s="249">
        <f t="shared" si="882"/>
        <v>103.46979654871681</v>
      </c>
      <c r="I3752" s="397">
        <v>0.50360000000000005</v>
      </c>
      <c r="J3752" s="258">
        <f t="shared" si="883"/>
        <v>0.50360000000000005</v>
      </c>
      <c r="K3752" s="249">
        <f t="shared" si="884"/>
        <v>15.306790792056001</v>
      </c>
      <c r="L3752" s="398">
        <v>7.4499999999999997E-2</v>
      </c>
      <c r="M3752" s="258">
        <f t="shared" si="885"/>
        <v>7.4499999999999997E-2</v>
      </c>
      <c r="N3752" s="251">
        <f t="shared" si="886"/>
        <v>10.190829842764801</v>
      </c>
      <c r="O3752" s="397">
        <v>4.9599999999999998E-2</v>
      </c>
      <c r="P3752" s="258">
        <f t="shared" si="887"/>
        <v>4.9599999999999998E-2</v>
      </c>
      <c r="Q3752" s="399">
        <v>201.44</v>
      </c>
      <c r="R3752" s="249">
        <f t="shared" si="889"/>
        <v>205.46027908800002</v>
      </c>
      <c r="S3752" s="400">
        <v>0.1</v>
      </c>
      <c r="T3752" s="302">
        <f>Q3752*S3752+Q3752-2</f>
        <v>219.584</v>
      </c>
      <c r="U3752" s="315">
        <f t="shared" si="890"/>
        <v>226.00630699680002</v>
      </c>
      <c r="V3752" s="315">
        <f t="shared" si="891"/>
        <v>230</v>
      </c>
      <c r="W3752" s="316">
        <f t="shared" si="888"/>
        <v>0</v>
      </c>
    </row>
    <row r="3753" spans="1:23" x14ac:dyDescent="0.25">
      <c r="A3753" s="208" t="s">
        <v>15968</v>
      </c>
      <c r="B3753" s="313" t="s">
        <v>23038</v>
      </c>
      <c r="C3753" s="248"/>
      <c r="D3753" s="247" t="s">
        <v>11</v>
      </c>
      <c r="E3753" s="249">
        <f t="shared" si="880"/>
        <v>99.929247083160305</v>
      </c>
      <c r="F3753" s="258">
        <v>0.31330000000000002</v>
      </c>
      <c r="G3753" s="258">
        <f t="shared" si="881"/>
        <v>0.31330000000000002</v>
      </c>
      <c r="H3753" s="249">
        <f t="shared" si="882"/>
        <v>178.23320545825081</v>
      </c>
      <c r="I3753" s="258">
        <v>0.55879999999999996</v>
      </c>
      <c r="J3753" s="258">
        <f t="shared" si="883"/>
        <v>0.55879999999999996</v>
      </c>
      <c r="K3753" s="249">
        <f t="shared" si="884"/>
        <v>25.484669141220902</v>
      </c>
      <c r="L3753" s="374">
        <v>7.9899999999999999E-2</v>
      </c>
      <c r="M3753" s="258">
        <f t="shared" si="885"/>
        <v>7.9899999999999999E-2</v>
      </c>
      <c r="N3753" s="251">
        <f t="shared" si="886"/>
        <v>15.309938908368</v>
      </c>
      <c r="O3753" s="258">
        <v>4.8000000000000001E-2</v>
      </c>
      <c r="P3753" s="258">
        <f t="shared" si="887"/>
        <v>4.8000000000000001E-2</v>
      </c>
      <c r="Q3753" s="249">
        <v>312.81</v>
      </c>
      <c r="R3753" s="249">
        <f t="shared" si="889"/>
        <v>318.95706059100002</v>
      </c>
      <c r="S3753" s="250">
        <v>0.1</v>
      </c>
      <c r="T3753" s="290">
        <f>Q3753*S3753+Q3753-4</f>
        <v>340.09100000000001</v>
      </c>
      <c r="U3753" s="315">
        <f t="shared" si="890"/>
        <v>350.85276665010002</v>
      </c>
      <c r="V3753" s="315">
        <f t="shared" si="891"/>
        <v>355</v>
      </c>
      <c r="W3753" s="316">
        <f t="shared" si="888"/>
        <v>0</v>
      </c>
    </row>
    <row r="3754" spans="1:23" x14ac:dyDescent="0.25">
      <c r="A3754" s="208" t="s">
        <v>15969</v>
      </c>
      <c r="B3754" s="313" t="s">
        <v>23039</v>
      </c>
      <c r="C3754" s="248"/>
      <c r="D3754" s="247" t="s">
        <v>11</v>
      </c>
      <c r="E3754" s="249">
        <f t="shared" si="880"/>
        <v>198.92651034588602</v>
      </c>
      <c r="F3754" s="258">
        <v>0.35339999999999999</v>
      </c>
      <c r="G3754" s="258">
        <f t="shared" si="881"/>
        <v>0.35339999999999999</v>
      </c>
      <c r="H3754" s="249">
        <f t="shared" si="882"/>
        <v>292.59196400054208</v>
      </c>
      <c r="I3754" s="258">
        <v>0.51980000000000004</v>
      </c>
      <c r="J3754" s="258">
        <f t="shared" si="883"/>
        <v>0.51980000000000004</v>
      </c>
      <c r="K3754" s="249">
        <f t="shared" si="884"/>
        <v>45.875808130135006</v>
      </c>
      <c r="L3754" s="374">
        <v>8.1500000000000003E-2</v>
      </c>
      <c r="M3754" s="258">
        <f t="shared" si="885"/>
        <v>8.1500000000000003E-2</v>
      </c>
      <c r="N3754" s="251">
        <f t="shared" si="886"/>
        <v>25.499068813437002</v>
      </c>
      <c r="O3754" s="258">
        <v>4.53E-2</v>
      </c>
      <c r="P3754" s="258">
        <f t="shared" si="887"/>
        <v>4.53E-2</v>
      </c>
      <c r="Q3754" s="249">
        <v>551.9</v>
      </c>
      <c r="R3754" s="249">
        <f t="shared" si="889"/>
        <v>562.89335129000006</v>
      </c>
      <c r="S3754" s="250">
        <v>0.1</v>
      </c>
      <c r="T3754" s="290">
        <f>Q3754*S3754+Q3754+3</f>
        <v>610.08999999999992</v>
      </c>
      <c r="U3754" s="315">
        <f t="shared" si="890"/>
        <v>619.18268641900011</v>
      </c>
      <c r="V3754" s="315">
        <f t="shared" si="891"/>
        <v>620</v>
      </c>
      <c r="W3754" s="316">
        <f t="shared" si="888"/>
        <v>0</v>
      </c>
    </row>
    <row r="3755" spans="1:23" x14ac:dyDescent="0.25">
      <c r="A3755" s="208" t="s">
        <v>15970</v>
      </c>
      <c r="B3755" s="313" t="s">
        <v>23040</v>
      </c>
      <c r="C3755" s="248"/>
      <c r="D3755" s="247" t="s">
        <v>11</v>
      </c>
      <c r="E3755" s="249">
        <f t="shared" si="880"/>
        <v>198.81822838421556</v>
      </c>
      <c r="F3755" s="258">
        <v>0.2883</v>
      </c>
      <c r="G3755" s="258">
        <f t="shared" si="881"/>
        <v>0.2883</v>
      </c>
      <c r="H3755" s="249">
        <f t="shared" si="882"/>
        <v>419.4285345240371</v>
      </c>
      <c r="I3755" s="258">
        <v>0.60819999999999996</v>
      </c>
      <c r="J3755" s="258">
        <f t="shared" si="883"/>
        <v>0.60819999999999996</v>
      </c>
      <c r="K3755" s="249">
        <f t="shared" si="884"/>
        <v>45.859910466702516</v>
      </c>
      <c r="L3755" s="374">
        <v>6.6500000000000004E-2</v>
      </c>
      <c r="M3755" s="258">
        <f t="shared" si="885"/>
        <v>6.6500000000000004E-2</v>
      </c>
      <c r="N3755" s="251">
        <f t="shared" si="886"/>
        <v>25.516040410045004</v>
      </c>
      <c r="O3755" s="258">
        <v>3.6999999999999998E-2</v>
      </c>
      <c r="P3755" s="258">
        <f t="shared" si="887"/>
        <v>3.6999999999999998E-2</v>
      </c>
      <c r="Q3755" s="249">
        <v>676.45</v>
      </c>
      <c r="R3755" s="249">
        <f t="shared" si="889"/>
        <v>689.6227137850002</v>
      </c>
      <c r="S3755" s="250">
        <v>0.1</v>
      </c>
      <c r="T3755" s="290">
        <f>Q3755*S3755+Q3755-4</f>
        <v>740.09500000000003</v>
      </c>
      <c r="U3755" s="315">
        <f t="shared" si="890"/>
        <v>758.58498516350028</v>
      </c>
      <c r="V3755" s="315">
        <f t="shared" si="891"/>
        <v>760</v>
      </c>
      <c r="W3755" s="316">
        <f t="shared" si="888"/>
        <v>0</v>
      </c>
    </row>
    <row r="3756" spans="1:23" x14ac:dyDescent="0.25">
      <c r="A3756" s="208" t="s">
        <v>15971</v>
      </c>
      <c r="B3756" s="313" t="s">
        <v>23041</v>
      </c>
      <c r="C3756" s="248"/>
      <c r="D3756" s="247" t="s">
        <v>11</v>
      </c>
      <c r="E3756" s="249">
        <f t="shared" si="880"/>
        <v>76.543658262711006</v>
      </c>
      <c r="F3756" s="258">
        <v>0.45929999999999999</v>
      </c>
      <c r="G3756" s="258">
        <f t="shared" si="881"/>
        <v>0.45929999999999999</v>
      </c>
      <c r="H3756" s="249">
        <f t="shared" si="882"/>
        <v>64.594648253052014</v>
      </c>
      <c r="I3756" s="258">
        <v>0.3876</v>
      </c>
      <c r="J3756" s="258">
        <f t="shared" si="883"/>
        <v>0.3876</v>
      </c>
      <c r="K3756" s="249">
        <f t="shared" si="884"/>
        <v>15.315397766913001</v>
      </c>
      <c r="L3756" s="374">
        <v>9.1899999999999996E-2</v>
      </c>
      <c r="M3756" s="258">
        <f t="shared" si="885"/>
        <v>9.1899999999999996E-2</v>
      </c>
      <c r="N3756" s="251">
        <f t="shared" si="886"/>
        <v>10.199154987324</v>
      </c>
      <c r="O3756" s="258">
        <v>6.1199999999999997E-2</v>
      </c>
      <c r="P3756" s="258">
        <f t="shared" si="887"/>
        <v>6.1199999999999997E-2</v>
      </c>
      <c r="Q3756" s="249">
        <v>163.30000000000001</v>
      </c>
      <c r="R3756" s="249">
        <f t="shared" si="889"/>
        <v>166.65285927000002</v>
      </c>
      <c r="S3756" s="250">
        <v>0.1</v>
      </c>
      <c r="T3756" s="290">
        <f>Q3756*S3756+Q3756</f>
        <v>179.63000000000002</v>
      </c>
      <c r="U3756" s="315">
        <f t="shared" si="890"/>
        <v>183.31814519700004</v>
      </c>
      <c r="V3756" s="315">
        <f t="shared" si="891"/>
        <v>185</v>
      </c>
      <c r="W3756" s="316">
        <f t="shared" si="888"/>
        <v>0</v>
      </c>
    </row>
    <row r="3757" spans="1:23" x14ac:dyDescent="0.25">
      <c r="A3757" s="208" t="s">
        <v>15972</v>
      </c>
      <c r="B3757" s="313" t="s">
        <v>23042</v>
      </c>
      <c r="C3757" s="248"/>
      <c r="D3757" s="247" t="s">
        <v>11</v>
      </c>
      <c r="E3757" s="249">
        <f t="shared" si="880"/>
        <v>76.515504085023608</v>
      </c>
      <c r="F3757" s="258">
        <v>0.38619999999999999</v>
      </c>
      <c r="G3757" s="258">
        <f t="shared" si="881"/>
        <v>0.38619999999999999</v>
      </c>
      <c r="H3757" s="249">
        <f t="shared" si="882"/>
        <v>96.109971599287803</v>
      </c>
      <c r="I3757" s="258">
        <v>0.48509999999999998</v>
      </c>
      <c r="J3757" s="258">
        <f t="shared" si="883"/>
        <v>0.48509999999999998</v>
      </c>
      <c r="K3757" s="249">
        <f t="shared" si="884"/>
        <v>15.295175855421602</v>
      </c>
      <c r="L3757" s="374">
        <v>7.7200000000000005E-2</v>
      </c>
      <c r="M3757" s="258">
        <f t="shared" si="885"/>
        <v>7.7200000000000005E-2</v>
      </c>
      <c r="N3757" s="251">
        <f t="shared" si="886"/>
        <v>10.203388038267001</v>
      </c>
      <c r="O3757" s="258">
        <v>5.1499999999999997E-2</v>
      </c>
      <c r="P3757" s="258">
        <f t="shared" si="887"/>
        <v>5.1499999999999997E-2</v>
      </c>
      <c r="Q3757" s="249">
        <v>194.23000000000002</v>
      </c>
      <c r="R3757" s="249">
        <f t="shared" si="889"/>
        <v>198.12403957800001</v>
      </c>
      <c r="S3757" s="250">
        <v>0.1</v>
      </c>
      <c r="T3757" s="290">
        <f>Q3757*S3757+Q3757-4</f>
        <v>209.65300000000002</v>
      </c>
      <c r="U3757" s="315">
        <f t="shared" si="890"/>
        <v>217.93644353580001</v>
      </c>
      <c r="V3757" s="315">
        <f t="shared" si="891"/>
        <v>220</v>
      </c>
      <c r="W3757" s="316">
        <f t="shared" si="888"/>
        <v>0</v>
      </c>
    </row>
    <row r="3758" spans="1:23" x14ac:dyDescent="0.25">
      <c r="A3758" s="208" t="s">
        <v>15973</v>
      </c>
      <c r="B3758" s="313" t="s">
        <v>23043</v>
      </c>
      <c r="C3758" s="248"/>
      <c r="D3758" s="247" t="s">
        <v>11</v>
      </c>
      <c r="E3758" s="249">
        <f t="shared" si="880"/>
        <v>99.935932024194003</v>
      </c>
      <c r="F3758" s="258">
        <v>0.31169999999999998</v>
      </c>
      <c r="G3758" s="258">
        <f t="shared" si="881"/>
        <v>0.31169999999999998</v>
      </c>
      <c r="H3758" s="249">
        <f t="shared" si="882"/>
        <v>179.89750227390203</v>
      </c>
      <c r="I3758" s="258">
        <v>0.56110000000000004</v>
      </c>
      <c r="J3758" s="258">
        <f t="shared" si="883"/>
        <v>0.56110000000000004</v>
      </c>
      <c r="K3758" s="249">
        <f t="shared" si="884"/>
        <v>25.488952826190005</v>
      </c>
      <c r="L3758" s="374">
        <v>7.9500000000000001E-2</v>
      </c>
      <c r="M3758" s="258">
        <f t="shared" si="885"/>
        <v>7.9500000000000001E-2</v>
      </c>
      <c r="N3758" s="251">
        <f t="shared" si="886"/>
        <v>15.293371695714002</v>
      </c>
      <c r="O3758" s="258">
        <v>4.7699999999999999E-2</v>
      </c>
      <c r="P3758" s="258">
        <f t="shared" si="887"/>
        <v>4.7699999999999999E-2</v>
      </c>
      <c r="Q3758" s="249">
        <v>314.44</v>
      </c>
      <c r="R3758" s="249">
        <f t="shared" si="889"/>
        <v>320.61575882000005</v>
      </c>
      <c r="S3758" s="250">
        <v>0.1</v>
      </c>
      <c r="T3758" s="290">
        <f>Q3758*S3758+Q3758+4</f>
        <v>349.88400000000001</v>
      </c>
      <c r="U3758" s="315">
        <f t="shared" si="890"/>
        <v>352.67733470200005</v>
      </c>
      <c r="V3758" s="315">
        <f t="shared" si="891"/>
        <v>355</v>
      </c>
      <c r="W3758" s="316">
        <f t="shared" si="888"/>
        <v>0</v>
      </c>
    </row>
    <row r="3759" spans="1:23" x14ac:dyDescent="0.25">
      <c r="A3759" s="208" t="s">
        <v>15974</v>
      </c>
      <c r="B3759" s="313" t="s">
        <v>23044</v>
      </c>
      <c r="C3759" s="248"/>
      <c r="D3759" s="247" t="s">
        <v>11</v>
      </c>
      <c r="E3759" s="249">
        <f t="shared" si="880"/>
        <v>198.92667440179198</v>
      </c>
      <c r="F3759" s="258">
        <v>0.372</v>
      </c>
      <c r="G3759" s="258">
        <f t="shared" si="881"/>
        <v>0.372</v>
      </c>
      <c r="H3759" s="249">
        <f t="shared" si="882"/>
        <v>264.43344218195199</v>
      </c>
      <c r="I3759" s="258">
        <v>0.4945</v>
      </c>
      <c r="J3759" s="258">
        <f t="shared" si="883"/>
        <v>0.4945</v>
      </c>
      <c r="K3759" s="249">
        <f t="shared" si="884"/>
        <v>45.881474902348799</v>
      </c>
      <c r="L3759" s="374">
        <v>8.5800000000000001E-2</v>
      </c>
      <c r="M3759" s="258">
        <f t="shared" si="885"/>
        <v>8.5800000000000001E-2</v>
      </c>
      <c r="N3759" s="251">
        <f t="shared" si="886"/>
        <v>25.507533249907201</v>
      </c>
      <c r="O3759" s="258">
        <v>4.7699999999999999E-2</v>
      </c>
      <c r="P3759" s="258">
        <f t="shared" si="887"/>
        <v>4.7699999999999999E-2</v>
      </c>
      <c r="Q3759" s="249">
        <v>524.24</v>
      </c>
      <c r="R3759" s="249">
        <f t="shared" si="889"/>
        <v>534.749124736</v>
      </c>
      <c r="S3759" s="250">
        <v>0.1</v>
      </c>
      <c r="T3759" s="290">
        <f>Q3759*S3759+Q3759+3</f>
        <v>579.66399999999999</v>
      </c>
      <c r="U3759" s="315">
        <f t="shared" si="890"/>
        <v>588.22403720960006</v>
      </c>
      <c r="V3759" s="315">
        <f t="shared" si="891"/>
        <v>590</v>
      </c>
      <c r="W3759" s="316">
        <f t="shared" si="888"/>
        <v>0</v>
      </c>
    </row>
    <row r="3760" spans="1:23" x14ac:dyDescent="0.25">
      <c r="A3760" s="208" t="s">
        <v>15975</v>
      </c>
      <c r="B3760" s="313" t="s">
        <v>23045</v>
      </c>
      <c r="C3760" s="248"/>
      <c r="D3760" s="247" t="s">
        <v>11</v>
      </c>
      <c r="E3760" s="249">
        <f t="shared" si="880"/>
        <v>198.84213767670002</v>
      </c>
      <c r="F3760" s="258">
        <v>0.30120000000000002</v>
      </c>
      <c r="G3760" s="258">
        <f t="shared" si="881"/>
        <v>0.30120000000000002</v>
      </c>
      <c r="H3760" s="249">
        <f t="shared" si="882"/>
        <v>389.96032777432504</v>
      </c>
      <c r="I3760" s="258">
        <v>0.5907</v>
      </c>
      <c r="J3760" s="258">
        <f t="shared" si="883"/>
        <v>0.5907</v>
      </c>
      <c r="K3760" s="249">
        <f t="shared" si="884"/>
        <v>45.88156895262501</v>
      </c>
      <c r="L3760" s="374">
        <v>6.9500000000000006E-2</v>
      </c>
      <c r="M3760" s="258">
        <f t="shared" si="885"/>
        <v>6.9500000000000006E-2</v>
      </c>
      <c r="N3760" s="251">
        <f t="shared" si="886"/>
        <v>25.482425346350002</v>
      </c>
      <c r="O3760" s="258">
        <v>3.8600000000000002E-2</v>
      </c>
      <c r="P3760" s="258">
        <f t="shared" si="887"/>
        <v>3.8600000000000002E-2</v>
      </c>
      <c r="Q3760" s="249">
        <v>647.5</v>
      </c>
      <c r="R3760" s="249">
        <f t="shared" si="889"/>
        <v>660.16645975000006</v>
      </c>
      <c r="S3760" s="250">
        <v>0.1</v>
      </c>
      <c r="T3760" s="290">
        <f>Q3760*S3760+Q3760-2</f>
        <v>710.25</v>
      </c>
      <c r="U3760" s="315">
        <f t="shared" si="890"/>
        <v>726.18310572500002</v>
      </c>
      <c r="V3760" s="315">
        <f t="shared" si="891"/>
        <v>730</v>
      </c>
      <c r="W3760" s="316">
        <f t="shared" si="888"/>
        <v>0</v>
      </c>
    </row>
    <row r="3761" spans="1:23" x14ac:dyDescent="0.25">
      <c r="A3761" s="208" t="s">
        <v>15976</v>
      </c>
      <c r="B3761" s="313" t="s">
        <v>23046</v>
      </c>
      <c r="C3761" s="248"/>
      <c r="D3761" s="247" t="s">
        <v>11</v>
      </c>
      <c r="E3761" s="249">
        <f t="shared" si="880"/>
        <v>76.522488948156393</v>
      </c>
      <c r="F3761" s="258">
        <v>0.41810000000000003</v>
      </c>
      <c r="G3761" s="258">
        <f t="shared" si="881"/>
        <v>0.41810000000000003</v>
      </c>
      <c r="H3761" s="249">
        <f t="shared" si="882"/>
        <v>81.006586004434396</v>
      </c>
      <c r="I3761" s="258">
        <v>0.44259999999999999</v>
      </c>
      <c r="J3761" s="258">
        <f t="shared" si="883"/>
        <v>0.44259999999999999</v>
      </c>
      <c r="K3761" s="249">
        <f t="shared" si="884"/>
        <v>15.300837302238397</v>
      </c>
      <c r="L3761" s="374">
        <v>8.3599999999999994E-2</v>
      </c>
      <c r="M3761" s="258">
        <f t="shared" si="885"/>
        <v>8.3599999999999994E-2</v>
      </c>
      <c r="N3761" s="251">
        <f t="shared" si="886"/>
        <v>10.194457389170799</v>
      </c>
      <c r="O3761" s="258">
        <v>5.57E-2</v>
      </c>
      <c r="P3761" s="258">
        <f t="shared" si="887"/>
        <v>5.57E-2</v>
      </c>
      <c r="Q3761" s="249">
        <v>179.39</v>
      </c>
      <c r="R3761" s="249">
        <f t="shared" si="889"/>
        <v>183.02436964399999</v>
      </c>
      <c r="S3761" s="250">
        <v>0.1</v>
      </c>
      <c r="T3761" s="290">
        <f>Q3761*S3761+Q3761+3</f>
        <v>200.32899999999998</v>
      </c>
      <c r="U3761" s="315">
        <f t="shared" si="890"/>
        <v>201.32680660839998</v>
      </c>
      <c r="V3761" s="315">
        <f t="shared" si="891"/>
        <v>205</v>
      </c>
      <c r="W3761" s="316">
        <f t="shared" si="888"/>
        <v>0</v>
      </c>
    </row>
    <row r="3762" spans="1:23" x14ac:dyDescent="0.25">
      <c r="A3762" s="208" t="s">
        <v>15977</v>
      </c>
      <c r="B3762" s="313" t="s">
        <v>23047</v>
      </c>
      <c r="C3762" s="248"/>
      <c r="D3762" s="247" t="s">
        <v>11</v>
      </c>
      <c r="E3762" s="249">
        <f t="shared" si="880"/>
        <v>99.994854792765011</v>
      </c>
      <c r="F3762" s="258">
        <v>0.43149999999999999</v>
      </c>
      <c r="G3762" s="258">
        <f t="shared" si="881"/>
        <v>0.43149999999999999</v>
      </c>
      <c r="H3762" s="249">
        <f t="shared" si="882"/>
        <v>106.25177502313501</v>
      </c>
      <c r="I3762" s="258">
        <v>0.45850000000000002</v>
      </c>
      <c r="J3762" s="258">
        <f t="shared" si="883"/>
        <v>0.45850000000000002</v>
      </c>
      <c r="K3762" s="249">
        <f t="shared" si="884"/>
        <v>15.294693896460002</v>
      </c>
      <c r="L3762" s="374">
        <v>6.6000000000000003E-2</v>
      </c>
      <c r="M3762" s="258">
        <f t="shared" si="885"/>
        <v>6.6000000000000003E-2</v>
      </c>
      <c r="N3762" s="251">
        <f t="shared" si="886"/>
        <v>10.19646259764</v>
      </c>
      <c r="O3762" s="258">
        <v>4.3999999999999997E-2</v>
      </c>
      <c r="P3762" s="258">
        <f t="shared" si="887"/>
        <v>4.3999999999999997E-2</v>
      </c>
      <c r="Q3762" s="249">
        <v>227.13</v>
      </c>
      <c r="R3762" s="249">
        <f t="shared" si="889"/>
        <v>231.73778631000002</v>
      </c>
      <c r="S3762" s="250">
        <v>0.1</v>
      </c>
      <c r="T3762" s="290">
        <f>Q3762*S3762+Q3762</f>
        <v>249.84299999999999</v>
      </c>
      <c r="U3762" s="315">
        <f t="shared" si="890"/>
        <v>254.91156494100002</v>
      </c>
      <c r="V3762" s="315">
        <f t="shared" si="891"/>
        <v>255</v>
      </c>
      <c r="W3762" s="316">
        <f t="shared" si="888"/>
        <v>0</v>
      </c>
    </row>
    <row r="3763" spans="1:23" x14ac:dyDescent="0.25">
      <c r="A3763" s="208" t="s">
        <v>15978</v>
      </c>
      <c r="B3763" s="313" t="s">
        <v>23048</v>
      </c>
      <c r="C3763" s="248"/>
      <c r="D3763" s="247" t="s">
        <v>11</v>
      </c>
      <c r="E3763" s="249">
        <f t="shared" si="880"/>
        <v>122.437456370943</v>
      </c>
      <c r="F3763" s="258">
        <v>0.37469999999999998</v>
      </c>
      <c r="G3763" s="258">
        <f t="shared" si="881"/>
        <v>0.37469999999999998</v>
      </c>
      <c r="H3763" s="249">
        <f t="shared" si="882"/>
        <v>163.54402699134499</v>
      </c>
      <c r="I3763" s="258">
        <v>0.50049999999999994</v>
      </c>
      <c r="J3763" s="258">
        <f t="shared" si="883"/>
        <v>0.50049999999999994</v>
      </c>
      <c r="K3763" s="249">
        <f t="shared" si="884"/>
        <v>25.487380829820001</v>
      </c>
      <c r="L3763" s="374">
        <v>7.8E-2</v>
      </c>
      <c r="M3763" s="258">
        <f t="shared" si="885"/>
        <v>7.8E-2</v>
      </c>
      <c r="N3763" s="251">
        <f t="shared" si="886"/>
        <v>15.292428497892001</v>
      </c>
      <c r="O3763" s="258">
        <v>4.6800000000000001E-2</v>
      </c>
      <c r="P3763" s="258">
        <f t="shared" si="887"/>
        <v>4.6800000000000001E-2</v>
      </c>
      <c r="Q3763" s="249">
        <v>320.35000000000002</v>
      </c>
      <c r="R3763" s="249">
        <f t="shared" si="889"/>
        <v>326.76129269</v>
      </c>
      <c r="S3763" s="250">
        <v>0.1</v>
      </c>
      <c r="T3763" s="290">
        <f>Q3763*S3763+Q3763-2</f>
        <v>350.38500000000005</v>
      </c>
      <c r="U3763" s="315">
        <f t="shared" si="890"/>
        <v>359.43742195900001</v>
      </c>
      <c r="V3763" s="315">
        <f t="shared" si="891"/>
        <v>360</v>
      </c>
      <c r="W3763" s="316">
        <f t="shared" si="888"/>
        <v>0</v>
      </c>
    </row>
    <row r="3764" spans="1:23" x14ac:dyDescent="0.25">
      <c r="A3764" s="208" t="s">
        <v>15979</v>
      </c>
      <c r="B3764" s="313" t="s">
        <v>23049</v>
      </c>
      <c r="C3764" s="248"/>
      <c r="D3764" s="247" t="s">
        <v>11</v>
      </c>
      <c r="E3764" s="249">
        <f t="shared" si="880"/>
        <v>198.94679698823043</v>
      </c>
      <c r="F3764" s="258">
        <v>0.39090000000000003</v>
      </c>
      <c r="G3764" s="258">
        <f t="shared" si="881"/>
        <v>0.39090000000000003</v>
      </c>
      <c r="H3764" s="249">
        <f t="shared" si="882"/>
        <v>238.59365164513281</v>
      </c>
      <c r="I3764" s="258">
        <v>0.46879999999999999</v>
      </c>
      <c r="J3764" s="258">
        <f t="shared" si="883"/>
        <v>0.46879999999999999</v>
      </c>
      <c r="K3764" s="249">
        <f t="shared" si="884"/>
        <v>45.906884339571207</v>
      </c>
      <c r="L3764" s="374">
        <v>9.0200000000000002E-2</v>
      </c>
      <c r="M3764" s="258">
        <f t="shared" si="885"/>
        <v>9.0200000000000002E-2</v>
      </c>
      <c r="N3764" s="251">
        <f t="shared" si="886"/>
        <v>25.498169683065601</v>
      </c>
      <c r="O3764" s="258">
        <v>5.0099999999999999E-2</v>
      </c>
      <c r="P3764" s="258">
        <f t="shared" si="887"/>
        <v>5.0099999999999999E-2</v>
      </c>
      <c r="Q3764" s="249">
        <v>498.88</v>
      </c>
      <c r="R3764" s="249">
        <f t="shared" si="889"/>
        <v>508.94550265600003</v>
      </c>
      <c r="S3764" s="250">
        <v>0.1</v>
      </c>
      <c r="T3764" s="290">
        <f>Q3764*S3764+Q3764+1</f>
        <v>549.76800000000003</v>
      </c>
      <c r="U3764" s="315">
        <f t="shared" si="890"/>
        <v>559.84005292160009</v>
      </c>
      <c r="V3764" s="315">
        <f t="shared" si="891"/>
        <v>560</v>
      </c>
      <c r="W3764" s="316">
        <f t="shared" si="888"/>
        <v>0</v>
      </c>
    </row>
    <row r="3765" spans="1:23" x14ac:dyDescent="0.25">
      <c r="A3765" s="208" t="s">
        <v>15980</v>
      </c>
      <c r="B3765" s="313" t="s">
        <v>23050</v>
      </c>
      <c r="C3765" s="248"/>
      <c r="D3765" s="247" t="s">
        <v>11</v>
      </c>
      <c r="E3765" s="249">
        <f t="shared" si="880"/>
        <v>198.84239218132404</v>
      </c>
      <c r="F3765" s="258">
        <v>0.32440000000000002</v>
      </c>
      <c r="G3765" s="258">
        <f t="shared" si="881"/>
        <v>0.32440000000000002</v>
      </c>
      <c r="H3765" s="249">
        <f t="shared" si="882"/>
        <v>342.7027788797111</v>
      </c>
      <c r="I3765" s="258">
        <v>0.55910000000000004</v>
      </c>
      <c r="J3765" s="258">
        <f t="shared" si="883"/>
        <v>0.55910000000000004</v>
      </c>
      <c r="K3765" s="249">
        <f t="shared" si="884"/>
        <v>45.91028105542901</v>
      </c>
      <c r="L3765" s="374">
        <v>7.4899999999999994E-2</v>
      </c>
      <c r="M3765" s="258">
        <f t="shared" si="885"/>
        <v>7.4899999999999994E-2</v>
      </c>
      <c r="N3765" s="251">
        <f t="shared" si="886"/>
        <v>25.498901093536006</v>
      </c>
      <c r="O3765" s="258">
        <v>4.1599999999999998E-2</v>
      </c>
      <c r="P3765" s="258">
        <f t="shared" si="887"/>
        <v>4.1599999999999998E-2</v>
      </c>
      <c r="Q3765" s="249">
        <v>601.1</v>
      </c>
      <c r="R3765" s="249">
        <f t="shared" si="889"/>
        <v>612.95435321000014</v>
      </c>
      <c r="S3765" s="250">
        <v>0.1</v>
      </c>
      <c r="T3765" s="290">
        <f>Q3765*S3765+Q3765-1</f>
        <v>660.21</v>
      </c>
      <c r="U3765" s="315">
        <f t="shared" si="890"/>
        <v>674.24978853100015</v>
      </c>
      <c r="V3765" s="315">
        <f t="shared" si="891"/>
        <v>675</v>
      </c>
      <c r="W3765" s="316">
        <f t="shared" si="888"/>
        <v>0</v>
      </c>
    </row>
    <row r="3766" spans="1:23" x14ac:dyDescent="0.25">
      <c r="A3766" s="208" t="s">
        <v>18865</v>
      </c>
      <c r="B3766" s="313" t="s">
        <v>18866</v>
      </c>
      <c r="C3766" s="248"/>
      <c r="D3766" s="247" t="s">
        <v>11</v>
      </c>
      <c r="E3766" s="249">
        <f t="shared" ref="E3766:E3776" si="892">R3766*G3766</f>
        <v>9345</v>
      </c>
      <c r="F3766" s="258">
        <f>9345/79437</f>
        <v>0.11764039427470827</v>
      </c>
      <c r="G3766" s="258">
        <f t="shared" ref="G3766:G3776" si="893">F3766</f>
        <v>0.11764039427470827</v>
      </c>
      <c r="H3766" s="249">
        <f t="shared" ref="H3766:H3776" si="894">R3766*J3766</f>
        <v>65800</v>
      </c>
      <c r="I3766" s="258">
        <f>65800/79437</f>
        <v>0.8283293679267848</v>
      </c>
      <c r="J3766" s="258">
        <f t="shared" ref="J3766:J3776" si="895">I3766</f>
        <v>0.8283293679267848</v>
      </c>
      <c r="K3766" s="249">
        <f t="shared" ref="K3766:K3776" si="896">R3766*M3766</f>
        <v>3842</v>
      </c>
      <c r="L3766" s="374">
        <f>3842/79437</f>
        <v>4.8365371300527461E-2</v>
      </c>
      <c r="M3766" s="258">
        <f t="shared" ref="M3766:M3776" si="897">L3766</f>
        <v>4.8365371300527461E-2</v>
      </c>
      <c r="N3766" s="251">
        <f t="shared" ref="N3766:N3776" si="898">P3766*R3766</f>
        <v>450</v>
      </c>
      <c r="O3766" s="258">
        <f>450/79437</f>
        <v>5.664866497979531E-3</v>
      </c>
      <c r="P3766" s="258">
        <f t="shared" ref="P3766:P3776" si="899">O3766</f>
        <v>5.664866497979531E-3</v>
      </c>
      <c r="Q3766" s="249"/>
      <c r="R3766" s="249">
        <v>79437</v>
      </c>
      <c r="S3766" s="250">
        <v>0.15</v>
      </c>
      <c r="T3766" s="290"/>
      <c r="U3766" s="315">
        <f>(R3766*S3766)+R3766-2.55</f>
        <v>91350</v>
      </c>
      <c r="V3766" s="315">
        <f>IF(U3766=0, 0, IF(U3766&lt;10, _xlfn.CEILING.MATH(U3766,1), IF(U3766&lt;100, _xlfn.CEILING.MATH(U3766,1),IF(U3766&lt;1000, _xlfn.CEILING.MATH(U3766,5), IF(U3766&lt;10000, _xlfn.CEILING.MATH(U3766, 25), IF(U3766&lt;100000, _xlfn.CEILING.MATH(U3766,50), IF(U3766&lt;1000000, _xlfn.CEILING.MATH(U3766,500), 0)))))))</f>
        <v>91350</v>
      </c>
      <c r="W3766" s="316">
        <f t="shared" ref="W3766:W3776" si="900">C3766*V3766</f>
        <v>0</v>
      </c>
    </row>
    <row r="3767" spans="1:23" x14ac:dyDescent="0.25">
      <c r="A3767" s="208" t="s">
        <v>18867</v>
      </c>
      <c r="B3767" s="313" t="s">
        <v>18868</v>
      </c>
      <c r="C3767" s="248"/>
      <c r="D3767" s="247" t="s">
        <v>11</v>
      </c>
      <c r="E3767" s="249">
        <f t="shared" si="892"/>
        <v>10012</v>
      </c>
      <c r="F3767" s="258">
        <f>10012/91774</f>
        <v>0.10909407893303114</v>
      </c>
      <c r="G3767" s="258">
        <f t="shared" si="893"/>
        <v>0.10909407893303114</v>
      </c>
      <c r="H3767" s="249">
        <f t="shared" si="894"/>
        <v>77370</v>
      </c>
      <c r="I3767" s="258">
        <f>77370/91774</f>
        <v>0.84304922962930673</v>
      </c>
      <c r="J3767" s="258">
        <f t="shared" si="895"/>
        <v>0.84304922962930673</v>
      </c>
      <c r="K3767" s="249">
        <f t="shared" si="896"/>
        <v>3842</v>
      </c>
      <c r="L3767" s="374">
        <f>3842/91774</f>
        <v>4.1863708675659771E-2</v>
      </c>
      <c r="M3767" s="258">
        <f t="shared" si="897"/>
        <v>4.1863708675659771E-2</v>
      </c>
      <c r="N3767" s="251">
        <f t="shared" si="898"/>
        <v>550</v>
      </c>
      <c r="O3767" s="258">
        <f>550/91774</f>
        <v>5.9929827620023102E-3</v>
      </c>
      <c r="P3767" s="258">
        <f t="shared" si="899"/>
        <v>5.9929827620023102E-3</v>
      </c>
      <c r="Q3767" s="249"/>
      <c r="R3767" s="249">
        <v>91774</v>
      </c>
      <c r="S3767" s="250">
        <v>0.15</v>
      </c>
      <c r="T3767" s="290"/>
      <c r="U3767" s="315">
        <f>(R3767*S3767)+R3767-2.55</f>
        <v>105537.55</v>
      </c>
      <c r="V3767" s="315">
        <f>IF(U3767=0, 0, IF(U3767&lt;10, _xlfn.CEILING.MATH(U3767,1), IF(U3767&lt;100, _xlfn.CEILING.MATH(U3767,1),IF(U3767&lt;1000, _xlfn.CEILING.MATH(U3767,5), IF(U3767&lt;10000, _xlfn.CEILING.MATH(U3767, 25), IF(U3767&lt;100000, _xlfn.CEILING.MATH(U3767,50), IF(U3767&lt;1000000, _xlfn.CEILING.MATH(U3767,10), 0)))))))</f>
        <v>105540</v>
      </c>
      <c r="W3767" s="316">
        <f t="shared" si="900"/>
        <v>0</v>
      </c>
    </row>
    <row r="3768" spans="1:23" x14ac:dyDescent="0.25">
      <c r="A3768" s="208" t="s">
        <v>18869</v>
      </c>
      <c r="B3768" s="313" t="s">
        <v>18870</v>
      </c>
      <c r="C3768" s="248"/>
      <c r="D3768" s="247" t="s">
        <v>11</v>
      </c>
      <c r="E3768" s="249">
        <f t="shared" si="892"/>
        <v>10013</v>
      </c>
      <c r="F3768" s="258">
        <v>9.4936948895420495E-2</v>
      </c>
      <c r="G3768" s="258">
        <f t="shared" si="893"/>
        <v>9.4936948895420495E-2</v>
      </c>
      <c r="H3768" s="249">
        <f t="shared" si="894"/>
        <v>90757</v>
      </c>
      <c r="I3768" s="258">
        <v>0.8605006162889921</v>
      </c>
      <c r="J3768" s="258">
        <f t="shared" si="895"/>
        <v>0.8605006162889921</v>
      </c>
      <c r="K3768" s="249">
        <f t="shared" si="896"/>
        <v>4150</v>
      </c>
      <c r="L3768" s="374">
        <v>3.9347681805252679E-2</v>
      </c>
      <c r="M3768" s="258">
        <f t="shared" si="897"/>
        <v>3.9347681805252679E-2</v>
      </c>
      <c r="N3768" s="251">
        <f t="shared" si="898"/>
        <v>550</v>
      </c>
      <c r="O3768" s="258">
        <v>5.2147530103346922E-3</v>
      </c>
      <c r="P3768" s="258">
        <f t="shared" si="899"/>
        <v>5.2147530103346922E-3</v>
      </c>
      <c r="Q3768" s="249"/>
      <c r="R3768" s="249">
        <v>105470</v>
      </c>
      <c r="S3768" s="250">
        <v>0.15</v>
      </c>
      <c r="T3768" s="290"/>
      <c r="U3768" s="315">
        <f>(R3768*S3768)+R3768-2.55</f>
        <v>121287.95</v>
      </c>
      <c r="V3768" s="315">
        <f>IF(U3768=0, 0, IF(U3768&lt;10, _xlfn.CEILING.MATH(U3768,1), IF(U3768&lt;100, _xlfn.CEILING.MATH(U3768,1),IF(U3768&lt;1000, _xlfn.CEILING.MATH(U3768,5), IF(U3768&lt;10000, _xlfn.CEILING.MATH(U3768, 25), IF(U3768&lt;100000, _xlfn.CEILING.MATH(U3768,50), IF(U3768&lt;1000000, _xlfn.CEILING.MATH(U3768,5), 0)))))))</f>
        <v>121290</v>
      </c>
      <c r="W3768" s="316">
        <f t="shared" si="900"/>
        <v>0</v>
      </c>
    </row>
    <row r="3769" spans="1:23" x14ac:dyDescent="0.25">
      <c r="A3769" s="208" t="s">
        <v>18871</v>
      </c>
      <c r="B3769" s="313" t="s">
        <v>18872</v>
      </c>
      <c r="C3769" s="248"/>
      <c r="D3769" s="247" t="s">
        <v>11</v>
      </c>
      <c r="E3769" s="249">
        <f t="shared" si="892"/>
        <v>10680</v>
      </c>
      <c r="F3769" s="258">
        <v>8.7219273172723558E-2</v>
      </c>
      <c r="G3769" s="258">
        <f t="shared" si="893"/>
        <v>8.7219273172723558E-2</v>
      </c>
      <c r="H3769" s="249">
        <f t="shared" si="894"/>
        <v>106500</v>
      </c>
      <c r="I3769" s="258">
        <v>0.86974275214373209</v>
      </c>
      <c r="J3769" s="258">
        <f t="shared" si="895"/>
        <v>0.86974275214373209</v>
      </c>
      <c r="K3769" s="249">
        <f t="shared" si="896"/>
        <v>4520</v>
      </c>
      <c r="L3769" s="374">
        <v>3.6913025724785629E-2</v>
      </c>
      <c r="M3769" s="258">
        <f t="shared" si="897"/>
        <v>3.6913025724785629E-2</v>
      </c>
      <c r="N3769" s="251">
        <f t="shared" si="898"/>
        <v>750</v>
      </c>
      <c r="O3769" s="258">
        <v>6.1249489587586773E-3</v>
      </c>
      <c r="P3769" s="258">
        <f t="shared" si="899"/>
        <v>6.1249489587586773E-3</v>
      </c>
      <c r="Q3769" s="249"/>
      <c r="R3769" s="249">
        <v>122450</v>
      </c>
      <c r="S3769" s="250">
        <v>0.15</v>
      </c>
      <c r="T3769" s="290"/>
      <c r="U3769" s="315">
        <f>(R3769*S3769)+R3769-2.5</f>
        <v>140815</v>
      </c>
      <c r="V3769" s="315">
        <f>IF(U3769=0, 0, IF(U3769&lt;10, _xlfn.CEILING.MATH(U3769,1), IF(U3769&lt;100, _xlfn.CEILING.MATH(U3769,1),IF(U3769&lt;1000, _xlfn.CEILING.MATH(U3769,5), IF(U3769&lt;10000, _xlfn.CEILING.MATH(U3769, 25), IF(U3769&lt;100000, _xlfn.CEILING.MATH(U3769,50), IF(U3769&lt;1000000, _xlfn.CEILING.MATH(U3769,5), 0)))))))</f>
        <v>140815</v>
      </c>
      <c r="W3769" s="316">
        <f t="shared" si="900"/>
        <v>0</v>
      </c>
    </row>
    <row r="3770" spans="1:23" x14ac:dyDescent="0.25">
      <c r="A3770" s="208" t="s">
        <v>18873</v>
      </c>
      <c r="B3770" s="313" t="s">
        <v>18874</v>
      </c>
      <c r="C3770" s="248"/>
      <c r="D3770" s="247" t="s">
        <v>11</v>
      </c>
      <c r="E3770" s="249">
        <f t="shared" si="892"/>
        <v>12486</v>
      </c>
      <c r="F3770" s="258">
        <v>9.8812133490554843E-2</v>
      </c>
      <c r="G3770" s="258">
        <f>F3770</f>
        <v>9.8812133490554843E-2</v>
      </c>
      <c r="H3770" s="249">
        <f t="shared" si="894"/>
        <v>107256</v>
      </c>
      <c r="I3770" s="258">
        <v>0.84880619811492475</v>
      </c>
      <c r="J3770" s="258">
        <f t="shared" si="895"/>
        <v>0.84880619811492475</v>
      </c>
      <c r="K3770" s="249">
        <f t="shared" si="896"/>
        <v>5669</v>
      </c>
      <c r="L3770" s="374">
        <v>4.486352592967767E-2</v>
      </c>
      <c r="M3770" s="258">
        <f t="shared" si="897"/>
        <v>4.486352592967767E-2</v>
      </c>
      <c r="N3770" s="251">
        <f t="shared" si="898"/>
        <v>950</v>
      </c>
      <c r="O3770" s="258">
        <v>7.5181424648427921E-3</v>
      </c>
      <c r="P3770" s="258">
        <f t="shared" si="899"/>
        <v>7.5181424648427921E-3</v>
      </c>
      <c r="Q3770" s="249"/>
      <c r="R3770" s="249">
        <v>126361</v>
      </c>
      <c r="S3770" s="250">
        <v>0.15</v>
      </c>
      <c r="T3770" s="290"/>
      <c r="U3770" s="315">
        <f>(R3770*S3770)+R3770-2.55</f>
        <v>145312.6</v>
      </c>
      <c r="V3770" s="315">
        <f>IF(U3770=0, 0, IF(U3770&lt;10, _xlfn.CEILING.MATH(U3770,1), IF(U3770&lt;100, _xlfn.CEILING.MATH(U3770,1),IF(U3770&lt;1000, _xlfn.CEILING.MATH(U3770,5), IF(U3770&lt;10000, _xlfn.CEILING.MATH(U3770, 25), IF(U3770&lt;100000, _xlfn.CEILING.MATH(U3770,50), IF(U3770&lt;1000000, _xlfn.CEILING.MATH(U3770,5), 0)))))))</f>
        <v>145315</v>
      </c>
      <c r="W3770" s="316">
        <f t="shared" si="900"/>
        <v>0</v>
      </c>
    </row>
    <row r="3771" spans="1:23" x14ac:dyDescent="0.25">
      <c r="A3771" s="208" t="s">
        <v>18875</v>
      </c>
      <c r="B3771" s="313" t="s">
        <v>18876</v>
      </c>
      <c r="C3771" s="248"/>
      <c r="D3771" s="247" t="s">
        <v>11</v>
      </c>
      <c r="E3771" s="249">
        <f t="shared" si="892"/>
        <v>12285</v>
      </c>
      <c r="F3771" s="258">
        <v>8.9683970769668789E-2</v>
      </c>
      <c r="G3771" s="258">
        <f>F3771</f>
        <v>8.9683970769668789E-2</v>
      </c>
      <c r="H3771" s="249">
        <f t="shared" si="894"/>
        <v>116245</v>
      </c>
      <c r="I3771" s="258">
        <v>0.84862134164592173</v>
      </c>
      <c r="J3771" s="258">
        <f t="shared" si="895"/>
        <v>0.84862134164592173</v>
      </c>
      <c r="K3771" s="249">
        <f t="shared" si="896"/>
        <v>7301</v>
      </c>
      <c r="L3771" s="374">
        <v>5.3299362685335923E-2</v>
      </c>
      <c r="M3771" s="258">
        <f t="shared" si="897"/>
        <v>5.3299362685335923E-2</v>
      </c>
      <c r="N3771" s="251">
        <f t="shared" si="898"/>
        <v>1150</v>
      </c>
      <c r="O3771" s="258">
        <f>1150/136981</f>
        <v>8.3953248990735942E-3</v>
      </c>
      <c r="P3771" s="258">
        <f t="shared" si="899"/>
        <v>8.3953248990735942E-3</v>
      </c>
      <c r="Q3771" s="249"/>
      <c r="R3771" s="249">
        <v>136981</v>
      </c>
      <c r="S3771" s="250">
        <v>0.15</v>
      </c>
      <c r="T3771" s="290"/>
      <c r="U3771" s="315">
        <f>(R3771*S3771)+R3771-2.55</f>
        <v>157525.6</v>
      </c>
      <c r="V3771" s="315">
        <f>IF(U3771=0, 0, IF(U3771&lt;10, _xlfn.CEILING.MATH(U3771,1), IF(U3771&lt;100, _xlfn.CEILING.MATH(U3771,1),IF(U3771&lt;1000, _xlfn.CEILING.MATH(U3771,5), IF(U3771&lt;10000, _xlfn.CEILING.MATH(U3771, 25), IF(U3771&lt;100000, _xlfn.CEILING.MATH(U3771,50), IF(U3771&lt;1000000, _xlfn.CEILING.MATH(U3771,5), 0)))))))</f>
        <v>157530</v>
      </c>
      <c r="W3771" s="316">
        <f t="shared" si="900"/>
        <v>0</v>
      </c>
    </row>
    <row r="3772" spans="1:23" x14ac:dyDescent="0.25">
      <c r="A3772" s="208" t="s">
        <v>18877</v>
      </c>
      <c r="B3772" s="313" t="s">
        <v>18878</v>
      </c>
      <c r="C3772" s="248"/>
      <c r="D3772" s="247" t="s">
        <v>11</v>
      </c>
      <c r="E3772" s="249">
        <f t="shared" si="892"/>
        <v>15309</v>
      </c>
      <c r="F3772" s="258">
        <f>15309/158094</f>
        <v>9.6834794489354434E-2</v>
      </c>
      <c r="G3772" s="258">
        <f t="shared" si="893"/>
        <v>9.6834794489354434E-2</v>
      </c>
      <c r="H3772" s="249">
        <f t="shared" si="894"/>
        <v>133470</v>
      </c>
      <c r="I3772" s="258">
        <f>133470/158094</f>
        <v>0.84424456336103837</v>
      </c>
      <c r="J3772" s="258">
        <f t="shared" si="895"/>
        <v>0.84424456336103837</v>
      </c>
      <c r="K3772" s="249">
        <f t="shared" si="896"/>
        <v>8045</v>
      </c>
      <c r="L3772" s="374">
        <f>8045/158094</f>
        <v>5.0887446708920009E-2</v>
      </c>
      <c r="M3772" s="258">
        <f t="shared" si="897"/>
        <v>5.0887446708920009E-2</v>
      </c>
      <c r="N3772" s="251">
        <f t="shared" si="898"/>
        <v>1270</v>
      </c>
      <c r="O3772" s="258">
        <f>1270/158094</f>
        <v>8.0331954406871863E-3</v>
      </c>
      <c r="P3772" s="258">
        <f t="shared" si="899"/>
        <v>8.0331954406871863E-3</v>
      </c>
      <c r="Q3772" s="249"/>
      <c r="R3772" s="249">
        <v>158094</v>
      </c>
      <c r="S3772" s="250">
        <v>0.15</v>
      </c>
      <c r="T3772" s="290"/>
      <c r="U3772" s="315">
        <f>(R3772*S3772)+R3772-2.55</f>
        <v>181805.55000000002</v>
      </c>
      <c r="V3772" s="315">
        <f>IF(U3772=0, 0, IF(U3772&lt;10, _xlfn.CEILING.MATH(U3772,1), IF(U3772&lt;100, _xlfn.CEILING.MATH(U3772,1),IF(U3772&lt;1000, _xlfn.CEILING.MATH(U3772,5), IF(U3772&lt;10000, _xlfn.CEILING.MATH(U3772, 25), IF(U3772&lt;100000, _xlfn.CEILING.MATH(U3772,50), IF(U3772&lt;1000000, _xlfn.CEILING.MATH(U3772,5), 0)))))))</f>
        <v>181810</v>
      </c>
      <c r="W3772" s="316">
        <f t="shared" si="900"/>
        <v>0</v>
      </c>
    </row>
    <row r="3773" spans="1:23" x14ac:dyDescent="0.25">
      <c r="A3773" s="208" t="s">
        <v>18879</v>
      </c>
      <c r="B3773" s="313" t="s">
        <v>18880</v>
      </c>
      <c r="C3773" s="248"/>
      <c r="D3773" s="247" t="s">
        <v>11</v>
      </c>
      <c r="E3773" s="249">
        <f t="shared" si="892"/>
        <v>4416</v>
      </c>
      <c r="F3773" s="258">
        <f>4416/20596</f>
        <v>0.21441056515828316</v>
      </c>
      <c r="G3773" s="258">
        <f t="shared" si="893"/>
        <v>0.21441056515828316</v>
      </c>
      <c r="H3773" s="249">
        <f t="shared" si="894"/>
        <v>13830</v>
      </c>
      <c r="I3773" s="258">
        <f>13830/20596</f>
        <v>0.67148960963293847</v>
      </c>
      <c r="J3773" s="258">
        <f t="shared" si="895"/>
        <v>0.67148960963293847</v>
      </c>
      <c r="K3773" s="249">
        <f t="shared" si="896"/>
        <v>2100</v>
      </c>
      <c r="L3773" s="374">
        <f>2100/20596</f>
        <v>0.10196154593124879</v>
      </c>
      <c r="M3773" s="258">
        <f t="shared" si="897"/>
        <v>0.10196154593124879</v>
      </c>
      <c r="N3773" s="251">
        <f t="shared" si="898"/>
        <v>250</v>
      </c>
      <c r="O3773" s="258">
        <f>250/20596</f>
        <v>1.2138279277529617E-2</v>
      </c>
      <c r="P3773" s="258">
        <f t="shared" si="899"/>
        <v>1.2138279277529617E-2</v>
      </c>
      <c r="Q3773" s="249"/>
      <c r="R3773" s="249">
        <v>20596</v>
      </c>
      <c r="S3773" s="250">
        <v>0.15</v>
      </c>
      <c r="T3773" s="290"/>
      <c r="U3773" s="315">
        <f>(R3773*S3773)+R3773-0.4</f>
        <v>23685</v>
      </c>
      <c r="V3773" s="315">
        <f>IF(U3773=0, 0, IF(U3773&lt;10, _xlfn.CEILING.MATH(U3773,1), IF(U3773&lt;100, _xlfn.CEILING.MATH(U3773,1),IF(U3773&lt;1000, _xlfn.CEILING.MATH(U3773,5), IF(U3773&lt;10000, _xlfn.CEILING.MATH(U3773, 25), IF(U3773&lt;100000, _xlfn.CEILING.MATH(U3773,5), IF(U3773&lt;1000000, _xlfn.CEILING.MATH(U3773,500), 0)))))))</f>
        <v>23685</v>
      </c>
      <c r="W3773" s="316">
        <f t="shared" si="900"/>
        <v>0</v>
      </c>
    </row>
    <row r="3774" spans="1:23" x14ac:dyDescent="0.25">
      <c r="A3774" s="208" t="s">
        <v>18881</v>
      </c>
      <c r="B3774" s="313" t="s">
        <v>18882</v>
      </c>
      <c r="C3774" s="248"/>
      <c r="D3774" s="247" t="s">
        <v>11</v>
      </c>
      <c r="E3774" s="249">
        <f t="shared" si="892"/>
        <v>5310</v>
      </c>
      <c r="F3774" s="258">
        <f>5310/30015</f>
        <v>0.17691154422788605</v>
      </c>
      <c r="G3774" s="258">
        <f t="shared" si="893"/>
        <v>0.17691154422788605</v>
      </c>
      <c r="H3774" s="249">
        <f t="shared" si="894"/>
        <v>21980</v>
      </c>
      <c r="I3774" s="258">
        <f>21980/30015</f>
        <v>0.73230051640846239</v>
      </c>
      <c r="J3774" s="258">
        <f t="shared" si="895"/>
        <v>0.73230051640846239</v>
      </c>
      <c r="K3774" s="249">
        <f t="shared" si="896"/>
        <v>2350</v>
      </c>
      <c r="L3774" s="374">
        <f>2350/30015</f>
        <v>7.8294186240213226E-2</v>
      </c>
      <c r="M3774" s="258">
        <f t="shared" si="897"/>
        <v>7.8294186240213226E-2</v>
      </c>
      <c r="N3774" s="251">
        <f t="shared" si="898"/>
        <v>375</v>
      </c>
      <c r="O3774" s="258">
        <f>375/30015</f>
        <v>1.249375312343828E-2</v>
      </c>
      <c r="P3774" s="258">
        <f t="shared" si="899"/>
        <v>1.249375312343828E-2</v>
      </c>
      <c r="Q3774" s="249"/>
      <c r="R3774" s="249">
        <v>30015</v>
      </c>
      <c r="S3774" s="250">
        <v>0.15</v>
      </c>
      <c r="T3774" s="290"/>
      <c r="U3774" s="315">
        <f>(R3774*S3774)+R3774</f>
        <v>34517.25</v>
      </c>
      <c r="V3774" s="315">
        <f>IF(U3774=0, 0, IF(U3774&lt;10, _xlfn.CEILING.MATH(U3774,1), IF(U3774&lt;100, _xlfn.CEILING.MATH(U3774,1),IF(U3774&lt;1000, _xlfn.CEILING.MATH(U3774,5), IF(U3774&lt;10000, _xlfn.CEILING.MATH(U3774, 25), IF(U3774&lt;100000, _xlfn.CEILING.MATH(U3774,1), IF(U3774&lt;1000000, _xlfn.CEILING.MATH(U3774,500), 0)))))))</f>
        <v>34518</v>
      </c>
      <c r="W3774" s="316">
        <f t="shared" si="900"/>
        <v>0</v>
      </c>
    </row>
    <row r="3775" spans="1:23" x14ac:dyDescent="0.25">
      <c r="A3775" s="208" t="s">
        <v>18883</v>
      </c>
      <c r="B3775" s="313" t="s">
        <v>18884</v>
      </c>
      <c r="C3775" s="248"/>
      <c r="D3775" s="247" t="s">
        <v>11</v>
      </c>
      <c r="E3775" s="249">
        <f t="shared" si="892"/>
        <v>6750</v>
      </c>
      <c r="F3775" s="258">
        <f>6750/49260</f>
        <v>0.13702801461632155</v>
      </c>
      <c r="G3775" s="258">
        <f t="shared" si="893"/>
        <v>0.13702801461632155</v>
      </c>
      <c r="H3775" s="249">
        <f t="shared" si="894"/>
        <v>38860</v>
      </c>
      <c r="I3775" s="258">
        <f>38860/49260</f>
        <v>0.78887535525781571</v>
      </c>
      <c r="J3775" s="258">
        <f t="shared" si="895"/>
        <v>0.78887535525781571</v>
      </c>
      <c r="K3775" s="249">
        <f t="shared" si="896"/>
        <v>3149.9999999999995</v>
      </c>
      <c r="L3775" s="374">
        <f>3150/49260</f>
        <v>6.3946406820950055E-2</v>
      </c>
      <c r="M3775" s="258">
        <f t="shared" si="897"/>
        <v>6.3946406820950055E-2</v>
      </c>
      <c r="N3775" s="251">
        <f t="shared" si="898"/>
        <v>500</v>
      </c>
      <c r="O3775" s="258">
        <f>500/49260</f>
        <v>1.0150223304912708E-2</v>
      </c>
      <c r="P3775" s="258">
        <f t="shared" si="899"/>
        <v>1.0150223304912708E-2</v>
      </c>
      <c r="Q3775" s="249"/>
      <c r="R3775" s="249">
        <v>49260</v>
      </c>
      <c r="S3775" s="250">
        <v>0.15</v>
      </c>
      <c r="T3775" s="290"/>
      <c r="U3775" s="315">
        <f>(R3775*S3775)+R3775</f>
        <v>56649</v>
      </c>
      <c r="V3775" s="315">
        <f>IF(U3775=0, 0, IF(U3775&lt;10, _xlfn.CEILING.MATH(U3775,1), IF(U3775&lt;100, _xlfn.CEILING.MATH(U3775,1),IF(U3775&lt;1000, _xlfn.CEILING.MATH(U3775,5), IF(U3775&lt;10000, _xlfn.CEILING.MATH(U3775, 25), IF(U3775&lt;100000, _xlfn.CEILING.MATH(U3775,50), IF(U3775&lt;1000000, _xlfn.CEILING.MATH(U3775,500), 0)))))))</f>
        <v>56650</v>
      </c>
      <c r="W3775" s="316">
        <f t="shared" si="900"/>
        <v>0</v>
      </c>
    </row>
    <row r="3776" spans="1:23" ht="14.4" thickBot="1" x14ac:dyDescent="0.3">
      <c r="A3776" s="214" t="s">
        <v>18885</v>
      </c>
      <c r="B3776" s="401" t="s">
        <v>18886</v>
      </c>
      <c r="C3776" s="215"/>
      <c r="D3776" s="216" t="s">
        <v>11</v>
      </c>
      <c r="E3776" s="217">
        <f t="shared" si="892"/>
        <v>7150</v>
      </c>
      <c r="F3776" s="218">
        <f>7150/57255</f>
        <v>0.12487992315081652</v>
      </c>
      <c r="G3776" s="218">
        <f t="shared" si="893"/>
        <v>0.12487992315081652</v>
      </c>
      <c r="H3776" s="217">
        <f t="shared" si="894"/>
        <v>45880</v>
      </c>
      <c r="I3776" s="218">
        <f>45880/57255</f>
        <v>0.8013273949873374</v>
      </c>
      <c r="J3776" s="218">
        <f t="shared" si="895"/>
        <v>0.8013273949873374</v>
      </c>
      <c r="K3776" s="217">
        <f t="shared" si="896"/>
        <v>3575</v>
      </c>
      <c r="L3776" s="219">
        <f>3575/57255</f>
        <v>6.2439961575408258E-2</v>
      </c>
      <c r="M3776" s="218">
        <f t="shared" si="897"/>
        <v>6.2439961575408258E-2</v>
      </c>
      <c r="N3776" s="220">
        <f t="shared" si="898"/>
        <v>650</v>
      </c>
      <c r="O3776" s="218">
        <f>650/57255</f>
        <v>1.1352720286437865E-2</v>
      </c>
      <c r="P3776" s="218">
        <f t="shared" si="899"/>
        <v>1.1352720286437865E-2</v>
      </c>
      <c r="Q3776" s="217"/>
      <c r="R3776" s="217">
        <v>57255</v>
      </c>
      <c r="S3776" s="221">
        <v>0.15</v>
      </c>
      <c r="T3776" s="181"/>
      <c r="U3776" s="222">
        <f>(R3776*S3776)+R3776-3.25</f>
        <v>65840</v>
      </c>
      <c r="V3776" s="222">
        <f>IF(U3776=0, 0, IF(U3776&lt;10, _xlfn.CEILING.MATH(U3776,1), IF(U3776&lt;100, _xlfn.CEILING.MATH(U3776,1),IF(U3776&lt;1000, _xlfn.CEILING.MATH(U3776,5), IF(U3776&lt;10000, _xlfn.CEILING.MATH(U3776, 25), IF(U3776&lt;100000, _xlfn.CEILING.MATH(U3776,10), IF(U3776&lt;1000000, _xlfn.CEILING.MATH(U3776,500), 0)))))))</f>
        <v>65840</v>
      </c>
      <c r="W3776" s="325">
        <f t="shared" si="900"/>
        <v>0</v>
      </c>
    </row>
    <row r="3777" spans="1:23" x14ac:dyDescent="0.25">
      <c r="A3777" s="211"/>
      <c r="B3777" s="402"/>
      <c r="C3777" s="223"/>
      <c r="D3777" s="211"/>
      <c r="E3777" s="224"/>
      <c r="F3777" s="225"/>
      <c r="G3777" s="225"/>
      <c r="H3777" s="224"/>
      <c r="I3777" s="225"/>
      <c r="J3777" s="225"/>
      <c r="K3777" s="224"/>
      <c r="L3777" s="226"/>
      <c r="M3777" s="226"/>
      <c r="N3777" s="224"/>
      <c r="O3777" s="225"/>
      <c r="P3777" s="225"/>
      <c r="Q3777" s="224"/>
      <c r="R3777" s="224"/>
      <c r="S3777" s="227"/>
      <c r="T3777" s="182"/>
      <c r="U3777" s="183"/>
      <c r="V3777" s="183"/>
      <c r="W3777" s="228"/>
    </row>
    <row r="3778" spans="1:23" x14ac:dyDescent="0.25">
      <c r="A3778" s="211"/>
      <c r="B3778" s="402"/>
      <c r="C3778" s="223"/>
      <c r="D3778" s="211"/>
      <c r="E3778" s="224"/>
      <c r="F3778" s="225"/>
      <c r="G3778" s="225"/>
      <c r="H3778" s="224"/>
      <c r="I3778" s="225"/>
      <c r="J3778" s="225"/>
      <c r="K3778" s="224"/>
      <c r="L3778" s="226"/>
      <c r="M3778" s="226"/>
      <c r="N3778" s="224"/>
      <c r="O3778" s="225"/>
      <c r="P3778" s="225"/>
      <c r="Q3778" s="224"/>
      <c r="R3778" s="224"/>
      <c r="S3778" s="227"/>
      <c r="T3778" s="182"/>
      <c r="U3778" s="183"/>
      <c r="V3778" s="183"/>
      <c r="W3778" s="228"/>
    </row>
  </sheetData>
  <mergeCells count="1">
    <mergeCell ref="A1:W1"/>
  </mergeCells>
  <conditionalFormatting sqref="B3687:B3776">
    <cfRule type="duplicateValues" dxfId="0" priority="3"/>
  </conditionalFormatting>
  <printOptions horizontalCentered="1"/>
  <pageMargins left="0.25" right="0.25" top="0.75" bottom="0.75" header="0.3" footer="0.3"/>
  <pageSetup orientation="portrait" r:id="rId1"/>
  <headerFooter>
    <oddHeader>&amp;L&amp;G&amp;C&amp;"-,Bold"&amp;18Cost Estimating Guide 2017&amp;R&amp;"-,Bold"&amp;14CSI 2017
&amp;10Page &amp;P of &amp;N</oddHeader>
  </headerFooter>
  <rowBreaks count="4" manualBreakCount="4">
    <brk id="1149" max="16383" man="1"/>
    <brk id="2416" max="16383" man="1"/>
    <brk id="2884" max="16383" man="1"/>
    <brk id="368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89"/>
  <sheetViews>
    <sheetView zoomScaleNormal="100" workbookViewId="0">
      <selection activeCell="B7198" sqref="B7198"/>
    </sheetView>
  </sheetViews>
  <sheetFormatPr defaultColWidth="9.109375" defaultRowHeight="14.4" outlineLevelRow="1" x14ac:dyDescent="0.3"/>
  <cols>
    <col min="1" max="1" width="9.109375" style="108"/>
    <col min="2" max="2" width="35.6640625" style="108" customWidth="1"/>
    <col min="3" max="5" width="12.6640625" style="108" customWidth="1"/>
    <col min="6" max="16384" width="9.109375" style="108"/>
  </cols>
  <sheetData>
    <row r="1" spans="1:5" s="103" customFormat="1" ht="13.2" x14ac:dyDescent="0.25">
      <c r="A1" s="101" t="s">
        <v>17</v>
      </c>
      <c r="B1" s="101" t="s">
        <v>18</v>
      </c>
      <c r="C1" s="101" t="s">
        <v>19</v>
      </c>
      <c r="D1" s="101" t="s">
        <v>20</v>
      </c>
      <c r="E1" s="102" t="s">
        <v>21</v>
      </c>
    </row>
    <row r="2" spans="1:5" s="103" customFormat="1" ht="13.2" x14ac:dyDescent="0.25">
      <c r="A2" s="104" t="s">
        <v>50</v>
      </c>
      <c r="B2" s="105" t="s">
        <v>51</v>
      </c>
      <c r="C2" s="105"/>
      <c r="D2" s="105"/>
      <c r="E2" s="51"/>
    </row>
    <row r="3" spans="1:5" s="103" customFormat="1" ht="13.2" hidden="1" outlineLevel="1" x14ac:dyDescent="0.25">
      <c r="A3" s="106" t="s">
        <v>52</v>
      </c>
      <c r="B3" s="106" t="s">
        <v>53</v>
      </c>
      <c r="C3" s="106"/>
      <c r="D3" s="106"/>
      <c r="E3" s="52"/>
    </row>
    <row r="4" spans="1:5" s="103" customFormat="1" ht="13.2" hidden="1" outlineLevel="1" x14ac:dyDescent="0.25">
      <c r="A4" s="106" t="s">
        <v>54</v>
      </c>
      <c r="B4" s="106" t="s">
        <v>55</v>
      </c>
      <c r="C4" s="106"/>
      <c r="D4" s="106"/>
      <c r="E4" s="52"/>
    </row>
    <row r="5" spans="1:5" s="103" customFormat="1" ht="13.2" hidden="1" outlineLevel="1" x14ac:dyDescent="0.25">
      <c r="A5" s="106" t="s">
        <v>56</v>
      </c>
      <c r="B5" s="106" t="s">
        <v>57</v>
      </c>
      <c r="C5" s="106"/>
      <c r="D5" s="106"/>
      <c r="E5" s="52"/>
    </row>
    <row r="6" spans="1:5" s="103" customFormat="1" ht="13.2" hidden="1" outlineLevel="1" x14ac:dyDescent="0.25">
      <c r="A6" s="106" t="s">
        <v>58</v>
      </c>
      <c r="B6" s="106" t="s">
        <v>59</v>
      </c>
      <c r="C6" s="106"/>
      <c r="D6" s="106"/>
      <c r="E6" s="52"/>
    </row>
    <row r="7" spans="1:5" s="103" customFormat="1" ht="13.2" hidden="1" outlineLevel="1" x14ac:dyDescent="0.25">
      <c r="A7" s="106" t="s">
        <v>60</v>
      </c>
      <c r="B7" s="106" t="s">
        <v>61</v>
      </c>
      <c r="C7" s="106"/>
      <c r="D7" s="106"/>
      <c r="E7" s="52"/>
    </row>
    <row r="8" spans="1:5" s="103" customFormat="1" ht="13.2" hidden="1" outlineLevel="1" x14ac:dyDescent="0.25">
      <c r="A8" s="106" t="s">
        <v>62</v>
      </c>
      <c r="B8" s="106" t="s">
        <v>63</v>
      </c>
      <c r="C8" s="106"/>
      <c r="D8" s="106"/>
      <c r="E8" s="52"/>
    </row>
    <row r="9" spans="1:5" s="103" customFormat="1" ht="13.2" hidden="1" outlineLevel="1" x14ac:dyDescent="0.25">
      <c r="A9" s="106" t="s">
        <v>64</v>
      </c>
      <c r="B9" s="106" t="s">
        <v>65</v>
      </c>
      <c r="C9" s="106"/>
      <c r="D9" s="106"/>
      <c r="E9" s="52"/>
    </row>
    <row r="10" spans="1:5" s="103" customFormat="1" ht="13.2" hidden="1" outlineLevel="1" x14ac:dyDescent="0.25">
      <c r="A10" s="106" t="s">
        <v>66</v>
      </c>
      <c r="B10" s="106" t="s">
        <v>67</v>
      </c>
      <c r="C10" s="106"/>
      <c r="D10" s="106"/>
      <c r="E10" s="52"/>
    </row>
    <row r="11" spans="1:5" s="103" customFormat="1" ht="13.2" hidden="1" outlineLevel="1" x14ac:dyDescent="0.25">
      <c r="A11" s="106" t="s">
        <v>68</v>
      </c>
      <c r="B11" s="106" t="s">
        <v>69</v>
      </c>
      <c r="C11" s="106"/>
      <c r="D11" s="106"/>
      <c r="E11" s="52"/>
    </row>
    <row r="12" spans="1:5" s="103" customFormat="1" ht="13.2" hidden="1" outlineLevel="1" x14ac:dyDescent="0.25">
      <c r="A12" s="106" t="s">
        <v>70</v>
      </c>
      <c r="B12" s="106" t="s">
        <v>71</v>
      </c>
      <c r="C12" s="106"/>
      <c r="D12" s="106"/>
      <c r="E12" s="52"/>
    </row>
    <row r="13" spans="1:5" s="103" customFormat="1" ht="13.2" hidden="1" outlineLevel="1" x14ac:dyDescent="0.25">
      <c r="A13" s="106" t="s">
        <v>72</v>
      </c>
      <c r="B13" s="106" t="s">
        <v>73</v>
      </c>
      <c r="C13" s="106"/>
      <c r="D13" s="106"/>
      <c r="E13" s="52"/>
    </row>
    <row r="14" spans="1:5" s="103" customFormat="1" ht="13.2" hidden="1" outlineLevel="1" x14ac:dyDescent="0.25">
      <c r="A14" s="106" t="s">
        <v>74</v>
      </c>
      <c r="B14" s="106" t="s">
        <v>75</v>
      </c>
      <c r="C14" s="106"/>
      <c r="D14" s="106"/>
      <c r="E14" s="52"/>
    </row>
    <row r="15" spans="1:5" s="103" customFormat="1" ht="13.2" hidden="1" outlineLevel="1" x14ac:dyDescent="0.25">
      <c r="A15" s="106" t="s">
        <v>76</v>
      </c>
      <c r="B15" s="106" t="s">
        <v>77</v>
      </c>
      <c r="C15" s="106"/>
      <c r="D15" s="106"/>
      <c r="E15" s="52"/>
    </row>
    <row r="16" spans="1:5" s="103" customFormat="1" ht="13.2" hidden="1" outlineLevel="1" x14ac:dyDescent="0.25">
      <c r="A16" s="106" t="s">
        <v>78</v>
      </c>
      <c r="B16" s="106" t="s">
        <v>79</v>
      </c>
      <c r="C16" s="106"/>
      <c r="D16" s="106"/>
      <c r="E16" s="52"/>
    </row>
    <row r="17" spans="1:5" s="103" customFormat="1" ht="13.2" hidden="1" outlineLevel="1" x14ac:dyDescent="0.25">
      <c r="A17" s="106" t="s">
        <v>80</v>
      </c>
      <c r="B17" s="106" t="s">
        <v>81</v>
      </c>
      <c r="C17" s="106"/>
      <c r="D17" s="106"/>
      <c r="E17" s="52"/>
    </row>
    <row r="18" spans="1:5" s="103" customFormat="1" ht="13.2" hidden="1" outlineLevel="1" x14ac:dyDescent="0.25">
      <c r="A18" s="106" t="s">
        <v>82</v>
      </c>
      <c r="B18" s="106" t="s">
        <v>83</v>
      </c>
      <c r="C18" s="106"/>
      <c r="D18" s="106"/>
      <c r="E18" s="52"/>
    </row>
    <row r="19" spans="1:5" s="103" customFormat="1" ht="13.2" hidden="1" outlineLevel="1" x14ac:dyDescent="0.25">
      <c r="A19" s="106" t="s">
        <v>84</v>
      </c>
      <c r="B19" s="106" t="s">
        <v>85</v>
      </c>
      <c r="C19" s="106"/>
      <c r="D19" s="106"/>
      <c r="E19" s="52"/>
    </row>
    <row r="20" spans="1:5" s="103" customFormat="1" ht="13.2" hidden="1" outlineLevel="1" x14ac:dyDescent="0.25">
      <c r="A20" s="106" t="s">
        <v>86</v>
      </c>
      <c r="B20" s="106" t="s">
        <v>87</v>
      </c>
      <c r="C20" s="106"/>
      <c r="D20" s="106"/>
      <c r="E20" s="52"/>
    </row>
    <row r="21" spans="1:5" s="103" customFormat="1" ht="13.2" hidden="1" outlineLevel="1" x14ac:dyDescent="0.25">
      <c r="A21" s="106" t="s">
        <v>88</v>
      </c>
      <c r="B21" s="106" t="s">
        <v>89</v>
      </c>
      <c r="C21" s="106"/>
      <c r="D21" s="106"/>
      <c r="E21" s="52"/>
    </row>
    <row r="22" spans="1:5" s="103" customFormat="1" ht="13.2" hidden="1" outlineLevel="1" x14ac:dyDescent="0.25">
      <c r="A22" s="106" t="s">
        <v>90</v>
      </c>
      <c r="B22" s="106" t="s">
        <v>91</v>
      </c>
      <c r="C22" s="106"/>
      <c r="D22" s="106"/>
      <c r="E22" s="52"/>
    </row>
    <row r="23" spans="1:5" s="103" customFormat="1" ht="13.2" hidden="1" outlineLevel="1" x14ac:dyDescent="0.25">
      <c r="A23" s="106" t="s">
        <v>92</v>
      </c>
      <c r="B23" s="106" t="s">
        <v>93</v>
      </c>
      <c r="C23" s="106"/>
      <c r="D23" s="106"/>
      <c r="E23" s="52"/>
    </row>
    <row r="24" spans="1:5" s="103" customFormat="1" ht="13.2" hidden="1" outlineLevel="1" x14ac:dyDescent="0.25">
      <c r="A24" s="106" t="s">
        <v>94</v>
      </c>
      <c r="B24" s="106" t="s">
        <v>95</v>
      </c>
      <c r="C24" s="106"/>
      <c r="D24" s="106"/>
      <c r="E24" s="52"/>
    </row>
    <row r="25" spans="1:5" s="103" customFormat="1" ht="13.2" hidden="1" outlineLevel="1" x14ac:dyDescent="0.25">
      <c r="A25" s="106" t="s">
        <v>96</v>
      </c>
      <c r="B25" s="106" t="s">
        <v>97</v>
      </c>
      <c r="C25" s="106"/>
      <c r="D25" s="106"/>
      <c r="E25" s="52"/>
    </row>
    <row r="26" spans="1:5" s="103" customFormat="1" ht="13.2" hidden="1" outlineLevel="1" x14ac:dyDescent="0.25">
      <c r="A26" s="106" t="s">
        <v>98</v>
      </c>
      <c r="B26" s="106" t="s">
        <v>99</v>
      </c>
      <c r="C26" s="106"/>
      <c r="D26" s="106"/>
      <c r="E26" s="52"/>
    </row>
    <row r="27" spans="1:5" s="103" customFormat="1" ht="13.2" hidden="1" outlineLevel="1" x14ac:dyDescent="0.25">
      <c r="A27" s="106" t="s">
        <v>100</v>
      </c>
      <c r="B27" s="106" t="s">
        <v>101</v>
      </c>
      <c r="C27" s="106"/>
      <c r="D27" s="106"/>
      <c r="E27" s="52"/>
    </row>
    <row r="28" spans="1:5" s="103" customFormat="1" ht="13.2" hidden="1" outlineLevel="1" x14ac:dyDescent="0.25">
      <c r="A28" s="106" t="s">
        <v>102</v>
      </c>
      <c r="B28" s="106" t="s">
        <v>103</v>
      </c>
      <c r="C28" s="106"/>
      <c r="D28" s="106"/>
      <c r="E28" s="52"/>
    </row>
    <row r="29" spans="1:5" s="103" customFormat="1" ht="13.2" hidden="1" outlineLevel="1" x14ac:dyDescent="0.25">
      <c r="A29" s="106" t="s">
        <v>104</v>
      </c>
      <c r="B29" s="106" t="s">
        <v>105</v>
      </c>
      <c r="C29" s="106"/>
      <c r="D29" s="106"/>
      <c r="E29" s="52"/>
    </row>
    <row r="30" spans="1:5" s="103" customFormat="1" ht="13.2" hidden="1" outlineLevel="1" x14ac:dyDescent="0.25">
      <c r="A30" s="106" t="s">
        <v>106</v>
      </c>
      <c r="B30" s="106" t="s">
        <v>107</v>
      </c>
      <c r="C30" s="106"/>
      <c r="D30" s="106"/>
      <c r="E30" s="52"/>
    </row>
    <row r="31" spans="1:5" s="103" customFormat="1" ht="13.2" hidden="1" outlineLevel="1" x14ac:dyDescent="0.25">
      <c r="A31" s="106" t="s">
        <v>108</v>
      </c>
      <c r="B31" s="106" t="s">
        <v>109</v>
      </c>
      <c r="C31" s="106"/>
      <c r="D31" s="106"/>
      <c r="E31" s="52"/>
    </row>
    <row r="32" spans="1:5" s="103" customFormat="1" ht="13.2" hidden="1" outlineLevel="1" x14ac:dyDescent="0.25">
      <c r="A32" s="106" t="s">
        <v>110</v>
      </c>
      <c r="B32" s="106" t="s">
        <v>111</v>
      </c>
      <c r="C32" s="106"/>
      <c r="D32" s="106"/>
      <c r="E32" s="52"/>
    </row>
    <row r="33" spans="1:5" s="103" customFormat="1" ht="13.2" hidden="1" outlineLevel="1" x14ac:dyDescent="0.25">
      <c r="A33" s="106" t="s">
        <v>112</v>
      </c>
      <c r="B33" s="106" t="s">
        <v>113</v>
      </c>
      <c r="C33" s="106"/>
      <c r="D33" s="106"/>
      <c r="E33" s="52"/>
    </row>
    <row r="34" spans="1:5" s="103" customFormat="1" ht="13.2" hidden="1" outlineLevel="1" x14ac:dyDescent="0.25">
      <c r="A34" s="106" t="s">
        <v>114</v>
      </c>
      <c r="B34" s="106" t="s">
        <v>115</v>
      </c>
      <c r="C34" s="106"/>
      <c r="D34" s="106"/>
      <c r="E34" s="52"/>
    </row>
    <row r="35" spans="1:5" s="103" customFormat="1" ht="13.2" hidden="1" outlineLevel="1" x14ac:dyDescent="0.25">
      <c r="A35" s="106" t="s">
        <v>116</v>
      </c>
      <c r="B35" s="106" t="s">
        <v>117</v>
      </c>
      <c r="C35" s="106"/>
      <c r="D35" s="106"/>
      <c r="E35" s="52"/>
    </row>
    <row r="36" spans="1:5" s="103" customFormat="1" ht="13.2" hidden="1" outlineLevel="1" x14ac:dyDescent="0.25">
      <c r="A36" s="106" t="s">
        <v>118</v>
      </c>
      <c r="B36" s="106" t="s">
        <v>119</v>
      </c>
      <c r="C36" s="106"/>
      <c r="D36" s="106"/>
      <c r="E36" s="52"/>
    </row>
    <row r="37" spans="1:5" s="103" customFormat="1" ht="13.2" hidden="1" outlineLevel="1" x14ac:dyDescent="0.25">
      <c r="A37" s="106" t="s">
        <v>120</v>
      </c>
      <c r="B37" s="106" t="s">
        <v>121</v>
      </c>
      <c r="C37" s="106"/>
      <c r="D37" s="106"/>
      <c r="E37" s="52"/>
    </row>
    <row r="38" spans="1:5" s="103" customFormat="1" ht="13.2" hidden="1" outlineLevel="1" x14ac:dyDescent="0.25">
      <c r="A38" s="106" t="s">
        <v>122</v>
      </c>
      <c r="B38" s="106" t="s">
        <v>123</v>
      </c>
      <c r="C38" s="106"/>
      <c r="D38" s="106"/>
      <c r="E38" s="52"/>
    </row>
    <row r="39" spans="1:5" s="103" customFormat="1" ht="13.2" hidden="1" outlineLevel="1" x14ac:dyDescent="0.25">
      <c r="A39" s="106" t="s">
        <v>124</v>
      </c>
      <c r="B39" s="106" t="s">
        <v>125</v>
      </c>
      <c r="C39" s="106"/>
      <c r="D39" s="106"/>
      <c r="E39" s="52"/>
    </row>
    <row r="40" spans="1:5" s="103" customFormat="1" ht="13.2" hidden="1" outlineLevel="1" x14ac:dyDescent="0.25">
      <c r="A40" s="106" t="s">
        <v>126</v>
      </c>
      <c r="B40" s="106" t="s">
        <v>127</v>
      </c>
      <c r="C40" s="106"/>
      <c r="D40" s="106"/>
      <c r="E40" s="52"/>
    </row>
    <row r="41" spans="1:5" s="103" customFormat="1" ht="13.2" hidden="1" outlineLevel="1" x14ac:dyDescent="0.25">
      <c r="A41" s="106" t="s">
        <v>128</v>
      </c>
      <c r="B41" s="106" t="s">
        <v>129</v>
      </c>
      <c r="C41" s="106"/>
      <c r="D41" s="106"/>
      <c r="E41" s="52"/>
    </row>
    <row r="42" spans="1:5" s="103" customFormat="1" ht="13.2" hidden="1" outlineLevel="1" x14ac:dyDescent="0.25">
      <c r="A42" s="106" t="s">
        <v>130</v>
      </c>
      <c r="B42" s="106" t="s">
        <v>131</v>
      </c>
      <c r="C42" s="106"/>
      <c r="D42" s="106"/>
      <c r="E42" s="52"/>
    </row>
    <row r="43" spans="1:5" s="103" customFormat="1" ht="13.2" hidden="1" outlineLevel="1" x14ac:dyDescent="0.25">
      <c r="A43" s="106" t="s">
        <v>132</v>
      </c>
      <c r="B43" s="106" t="s">
        <v>133</v>
      </c>
      <c r="C43" s="106"/>
      <c r="D43" s="106"/>
      <c r="E43" s="52"/>
    </row>
    <row r="44" spans="1:5" s="103" customFormat="1" ht="13.2" hidden="1" outlineLevel="1" x14ac:dyDescent="0.25">
      <c r="A44" s="106" t="s">
        <v>134</v>
      </c>
      <c r="B44" s="106" t="s">
        <v>135</v>
      </c>
      <c r="C44" s="106"/>
      <c r="D44" s="106"/>
      <c r="E44" s="52"/>
    </row>
    <row r="45" spans="1:5" s="103" customFormat="1" ht="13.2" hidden="1" outlineLevel="1" x14ac:dyDescent="0.25">
      <c r="A45" s="106" t="s">
        <v>136</v>
      </c>
      <c r="B45" s="106" t="s">
        <v>137</v>
      </c>
      <c r="C45" s="106"/>
      <c r="D45" s="106"/>
      <c r="E45" s="52"/>
    </row>
    <row r="46" spans="1:5" s="103" customFormat="1" ht="13.2" hidden="1" outlineLevel="1" x14ac:dyDescent="0.25">
      <c r="A46" s="106" t="s">
        <v>138</v>
      </c>
      <c r="B46" s="106" t="s">
        <v>139</v>
      </c>
      <c r="C46" s="106"/>
      <c r="D46" s="106"/>
      <c r="E46" s="52"/>
    </row>
    <row r="47" spans="1:5" s="103" customFormat="1" ht="13.2" hidden="1" outlineLevel="1" x14ac:dyDescent="0.25">
      <c r="A47" s="106" t="s">
        <v>140</v>
      </c>
      <c r="B47" s="106" t="s">
        <v>141</v>
      </c>
      <c r="C47" s="106"/>
      <c r="D47" s="106"/>
      <c r="E47" s="52"/>
    </row>
    <row r="48" spans="1:5" s="103" customFormat="1" ht="13.2" hidden="1" outlineLevel="1" x14ac:dyDescent="0.25">
      <c r="A48" s="106" t="s">
        <v>142</v>
      </c>
      <c r="B48" s="106" t="s">
        <v>143</v>
      </c>
      <c r="C48" s="106"/>
      <c r="D48" s="106"/>
      <c r="E48" s="52"/>
    </row>
    <row r="49" spans="1:5" s="103" customFormat="1" ht="13.2" hidden="1" outlineLevel="1" x14ac:dyDescent="0.25">
      <c r="A49" s="106" t="s">
        <v>144</v>
      </c>
      <c r="B49" s="106" t="s">
        <v>145</v>
      </c>
      <c r="C49" s="106"/>
      <c r="D49" s="106"/>
      <c r="E49" s="52"/>
    </row>
    <row r="50" spans="1:5" s="103" customFormat="1" ht="13.2" hidden="1" outlineLevel="1" x14ac:dyDescent="0.25">
      <c r="A50" s="106" t="s">
        <v>146</v>
      </c>
      <c r="B50" s="106" t="s">
        <v>147</v>
      </c>
      <c r="C50" s="106"/>
      <c r="D50" s="106"/>
      <c r="E50" s="52"/>
    </row>
    <row r="51" spans="1:5" s="103" customFormat="1" ht="13.2" hidden="1" outlineLevel="1" x14ac:dyDescent="0.25">
      <c r="A51" s="106" t="s">
        <v>148</v>
      </c>
      <c r="B51" s="106" t="s">
        <v>149</v>
      </c>
      <c r="C51" s="106"/>
      <c r="D51" s="106"/>
      <c r="E51" s="52"/>
    </row>
    <row r="52" spans="1:5" s="103" customFormat="1" ht="13.2" hidden="1" outlineLevel="1" x14ac:dyDescent="0.25">
      <c r="A52" s="106" t="s">
        <v>150</v>
      </c>
      <c r="B52" s="106" t="s">
        <v>151</v>
      </c>
      <c r="C52" s="106"/>
      <c r="D52" s="106"/>
      <c r="E52" s="52"/>
    </row>
    <row r="53" spans="1:5" s="103" customFormat="1" ht="13.2" hidden="1" outlineLevel="1" x14ac:dyDescent="0.25">
      <c r="A53" s="106" t="s">
        <v>152</v>
      </c>
      <c r="B53" s="106" t="s">
        <v>153</v>
      </c>
      <c r="C53" s="106"/>
      <c r="D53" s="106"/>
      <c r="E53" s="52"/>
    </row>
    <row r="54" spans="1:5" s="103" customFormat="1" ht="13.2" hidden="1" outlineLevel="1" x14ac:dyDescent="0.25">
      <c r="A54" s="106" t="s">
        <v>154</v>
      </c>
      <c r="B54" s="106" t="s">
        <v>155</v>
      </c>
      <c r="C54" s="106"/>
      <c r="D54" s="106"/>
      <c r="E54" s="52"/>
    </row>
    <row r="55" spans="1:5" s="103" customFormat="1" ht="13.2" hidden="1" outlineLevel="1" x14ac:dyDescent="0.25">
      <c r="A55" s="106" t="s">
        <v>156</v>
      </c>
      <c r="B55" s="106" t="s">
        <v>157</v>
      </c>
      <c r="C55" s="106"/>
      <c r="D55" s="106"/>
      <c r="E55" s="52"/>
    </row>
    <row r="56" spans="1:5" s="103" customFormat="1" ht="13.2" hidden="1" outlineLevel="1" x14ac:dyDescent="0.25">
      <c r="A56" s="106" t="s">
        <v>158</v>
      </c>
      <c r="B56" s="106" t="s">
        <v>159</v>
      </c>
      <c r="C56" s="106"/>
      <c r="D56" s="106"/>
      <c r="E56" s="52"/>
    </row>
    <row r="57" spans="1:5" s="103" customFormat="1" ht="13.2" hidden="1" outlineLevel="1" x14ac:dyDescent="0.25">
      <c r="A57" s="106" t="s">
        <v>160</v>
      </c>
      <c r="B57" s="106" t="s">
        <v>161</v>
      </c>
      <c r="C57" s="106"/>
      <c r="D57" s="106"/>
      <c r="E57" s="52"/>
    </row>
    <row r="58" spans="1:5" s="103" customFormat="1" ht="13.2" hidden="1" outlineLevel="1" x14ac:dyDescent="0.25">
      <c r="A58" s="106" t="s">
        <v>162</v>
      </c>
      <c r="B58" s="106" t="s">
        <v>163</v>
      </c>
      <c r="C58" s="106"/>
      <c r="D58" s="106"/>
      <c r="E58" s="52"/>
    </row>
    <row r="59" spans="1:5" s="103" customFormat="1" ht="13.2" hidden="1" outlineLevel="1" x14ac:dyDescent="0.25">
      <c r="A59" s="106" t="s">
        <v>14378</v>
      </c>
      <c r="B59" s="106" t="s">
        <v>14393</v>
      </c>
      <c r="C59" s="106"/>
      <c r="D59" s="106"/>
      <c r="E59" s="52"/>
    </row>
    <row r="60" spans="1:5" s="103" customFormat="1" ht="13.2" hidden="1" outlineLevel="1" x14ac:dyDescent="0.25">
      <c r="A60" s="106" t="s">
        <v>14379</v>
      </c>
      <c r="B60" s="106" t="s">
        <v>14394</v>
      </c>
      <c r="C60" s="106"/>
      <c r="D60" s="106"/>
      <c r="E60" s="52"/>
    </row>
    <row r="61" spans="1:5" s="103" customFormat="1" ht="13.2" hidden="1" outlineLevel="1" x14ac:dyDescent="0.25">
      <c r="A61" s="106" t="s">
        <v>14380</v>
      </c>
      <c r="B61" s="106" t="s">
        <v>14395</v>
      </c>
      <c r="C61" s="106"/>
      <c r="D61" s="106"/>
      <c r="E61" s="52"/>
    </row>
    <row r="62" spans="1:5" s="103" customFormat="1" ht="13.2" hidden="1" outlineLevel="1" x14ac:dyDescent="0.25">
      <c r="A62" s="106" t="s">
        <v>14381</v>
      </c>
      <c r="B62" s="106" t="s">
        <v>14396</v>
      </c>
      <c r="C62" s="106"/>
      <c r="D62" s="106"/>
      <c r="E62" s="52"/>
    </row>
    <row r="63" spans="1:5" s="103" customFormat="1" ht="13.2" hidden="1" outlineLevel="1" x14ac:dyDescent="0.25">
      <c r="A63" s="106" t="s">
        <v>164</v>
      </c>
      <c r="B63" s="106" t="s">
        <v>165</v>
      </c>
      <c r="C63" s="106"/>
      <c r="D63" s="106"/>
      <c r="E63" s="52"/>
    </row>
    <row r="64" spans="1:5" s="103" customFormat="1" ht="13.2" hidden="1" outlineLevel="1" x14ac:dyDescent="0.25">
      <c r="A64" s="106" t="s">
        <v>166</v>
      </c>
      <c r="B64" s="106" t="s">
        <v>167</v>
      </c>
      <c r="C64" s="106"/>
      <c r="D64" s="106"/>
      <c r="E64" s="52"/>
    </row>
    <row r="65" spans="1:5" s="103" customFormat="1" ht="13.2" hidden="1" outlineLevel="1" x14ac:dyDescent="0.25">
      <c r="A65" s="106" t="s">
        <v>168</v>
      </c>
      <c r="B65" s="106" t="s">
        <v>169</v>
      </c>
      <c r="C65" s="106"/>
      <c r="D65" s="106"/>
      <c r="E65" s="52"/>
    </row>
    <row r="66" spans="1:5" s="103" customFormat="1" ht="13.2" hidden="1" outlineLevel="1" x14ac:dyDescent="0.25">
      <c r="A66" s="106" t="s">
        <v>170</v>
      </c>
      <c r="B66" s="106" t="s">
        <v>171</v>
      </c>
      <c r="C66" s="106"/>
      <c r="D66" s="106"/>
      <c r="E66" s="52"/>
    </row>
    <row r="67" spans="1:5" s="103" customFormat="1" ht="13.2" hidden="1" outlineLevel="1" x14ac:dyDescent="0.25">
      <c r="A67" s="106" t="s">
        <v>172</v>
      </c>
      <c r="B67" s="106" t="s">
        <v>173</v>
      </c>
      <c r="C67" s="106"/>
      <c r="D67" s="106"/>
      <c r="E67" s="52"/>
    </row>
    <row r="68" spans="1:5" s="103" customFormat="1" ht="13.2" hidden="1" outlineLevel="1" x14ac:dyDescent="0.25">
      <c r="A68" s="106" t="s">
        <v>14382</v>
      </c>
      <c r="B68" s="106" t="s">
        <v>14397</v>
      </c>
      <c r="C68" s="106"/>
      <c r="D68" s="106"/>
      <c r="E68" s="52"/>
    </row>
    <row r="69" spans="1:5" s="103" customFormat="1" ht="13.2" hidden="1" outlineLevel="1" x14ac:dyDescent="0.25">
      <c r="A69" s="106" t="s">
        <v>174</v>
      </c>
      <c r="B69" s="106" t="s">
        <v>175</v>
      </c>
      <c r="C69" s="106"/>
      <c r="D69" s="106"/>
      <c r="E69" s="52"/>
    </row>
    <row r="70" spans="1:5" s="103" customFormat="1" ht="13.2" hidden="1" outlineLevel="1" x14ac:dyDescent="0.25">
      <c r="A70" s="106" t="s">
        <v>176</v>
      </c>
      <c r="B70" s="106" t="s">
        <v>177</v>
      </c>
      <c r="C70" s="106"/>
      <c r="D70" s="106"/>
      <c r="E70" s="52"/>
    </row>
    <row r="71" spans="1:5" s="103" customFormat="1" ht="13.2" hidden="1" outlineLevel="1" x14ac:dyDescent="0.25">
      <c r="A71" s="106" t="s">
        <v>178</v>
      </c>
      <c r="B71" s="106" t="s">
        <v>179</v>
      </c>
      <c r="C71" s="106"/>
      <c r="D71" s="106"/>
      <c r="E71" s="52"/>
    </row>
    <row r="72" spans="1:5" s="103" customFormat="1" ht="13.2" hidden="1" outlineLevel="1" x14ac:dyDescent="0.25">
      <c r="A72" s="106" t="s">
        <v>180</v>
      </c>
      <c r="B72" s="106" t="s">
        <v>181</v>
      </c>
      <c r="C72" s="106"/>
      <c r="D72" s="106"/>
      <c r="E72" s="52"/>
    </row>
    <row r="73" spans="1:5" s="103" customFormat="1" ht="13.2" hidden="1" outlineLevel="1" x14ac:dyDescent="0.25">
      <c r="A73" s="106" t="s">
        <v>182</v>
      </c>
      <c r="B73" s="106" t="s">
        <v>183</v>
      </c>
      <c r="C73" s="106"/>
      <c r="D73" s="106"/>
      <c r="E73" s="52"/>
    </row>
    <row r="74" spans="1:5" s="103" customFormat="1" ht="13.2" hidden="1" outlineLevel="1" x14ac:dyDescent="0.25">
      <c r="A74" s="106" t="s">
        <v>184</v>
      </c>
      <c r="B74" s="106" t="s">
        <v>185</v>
      </c>
      <c r="C74" s="106"/>
      <c r="D74" s="106"/>
      <c r="E74" s="52"/>
    </row>
    <row r="75" spans="1:5" s="103" customFormat="1" ht="13.2" hidden="1" outlineLevel="1" x14ac:dyDescent="0.25">
      <c r="A75" s="106" t="s">
        <v>186</v>
      </c>
      <c r="B75" s="106" t="s">
        <v>187</v>
      </c>
      <c r="C75" s="106"/>
      <c r="D75" s="106"/>
      <c r="E75" s="52"/>
    </row>
    <row r="76" spans="1:5" s="103" customFormat="1" ht="13.2" hidden="1" outlineLevel="1" x14ac:dyDescent="0.25">
      <c r="A76" s="106" t="s">
        <v>188</v>
      </c>
      <c r="B76" s="106" t="s">
        <v>189</v>
      </c>
      <c r="C76" s="106"/>
      <c r="D76" s="106"/>
      <c r="E76" s="52"/>
    </row>
    <row r="77" spans="1:5" s="103" customFormat="1" ht="13.2" hidden="1" outlineLevel="1" x14ac:dyDescent="0.25">
      <c r="A77" s="106" t="s">
        <v>190</v>
      </c>
      <c r="B77" s="106" t="s">
        <v>191</v>
      </c>
      <c r="C77" s="106"/>
      <c r="D77" s="106"/>
      <c r="E77" s="52"/>
    </row>
    <row r="78" spans="1:5" s="103" customFormat="1" ht="13.2" hidden="1" outlineLevel="1" x14ac:dyDescent="0.25">
      <c r="A78" s="106" t="s">
        <v>192</v>
      </c>
      <c r="B78" s="106" t="s">
        <v>193</v>
      </c>
      <c r="C78" s="106"/>
      <c r="D78" s="106"/>
      <c r="E78" s="52"/>
    </row>
    <row r="79" spans="1:5" s="103" customFormat="1" ht="13.2" hidden="1" outlineLevel="1" x14ac:dyDescent="0.25">
      <c r="A79" s="106" t="s">
        <v>194</v>
      </c>
      <c r="B79" s="106" t="s">
        <v>195</v>
      </c>
      <c r="C79" s="106"/>
      <c r="D79" s="106"/>
      <c r="E79" s="52"/>
    </row>
    <row r="80" spans="1:5" s="103" customFormat="1" ht="13.2" hidden="1" outlineLevel="1" x14ac:dyDescent="0.25">
      <c r="A80" s="106" t="s">
        <v>196</v>
      </c>
      <c r="B80" s="106" t="s">
        <v>197</v>
      </c>
      <c r="C80" s="106"/>
      <c r="D80" s="106"/>
      <c r="E80" s="52"/>
    </row>
    <row r="81" spans="1:5" s="103" customFormat="1" ht="13.2" hidden="1" outlineLevel="1" x14ac:dyDescent="0.25">
      <c r="A81" s="106" t="s">
        <v>198</v>
      </c>
      <c r="B81" s="106" t="s">
        <v>199</v>
      </c>
      <c r="C81" s="106"/>
      <c r="D81" s="106"/>
      <c r="E81" s="52"/>
    </row>
    <row r="82" spans="1:5" s="103" customFormat="1" ht="13.2" hidden="1" outlineLevel="1" x14ac:dyDescent="0.25">
      <c r="A82" s="106" t="s">
        <v>200</v>
      </c>
      <c r="B82" s="106" t="s">
        <v>201</v>
      </c>
      <c r="C82" s="106"/>
      <c r="D82" s="106"/>
      <c r="E82" s="52"/>
    </row>
    <row r="83" spans="1:5" s="103" customFormat="1" ht="13.2" hidden="1" outlineLevel="1" x14ac:dyDescent="0.25">
      <c r="A83" s="106" t="s">
        <v>202</v>
      </c>
      <c r="B83" s="106" t="s">
        <v>203</v>
      </c>
      <c r="C83" s="106"/>
      <c r="D83" s="106"/>
      <c r="E83" s="52"/>
    </row>
    <row r="84" spans="1:5" s="103" customFormat="1" ht="13.2" hidden="1" outlineLevel="1" x14ac:dyDescent="0.25">
      <c r="A84" s="106" t="s">
        <v>204</v>
      </c>
      <c r="B84" s="106" t="s">
        <v>205</v>
      </c>
      <c r="C84" s="106"/>
      <c r="D84" s="106"/>
      <c r="E84" s="52"/>
    </row>
    <row r="85" spans="1:5" s="103" customFormat="1" ht="13.2" hidden="1" outlineLevel="1" x14ac:dyDescent="0.25">
      <c r="A85" s="106" t="s">
        <v>206</v>
      </c>
      <c r="B85" s="106" t="s">
        <v>207</v>
      </c>
      <c r="C85" s="106"/>
      <c r="D85" s="106"/>
      <c r="E85" s="52"/>
    </row>
    <row r="86" spans="1:5" s="103" customFormat="1" ht="13.2" hidden="1" outlineLevel="1" x14ac:dyDescent="0.25">
      <c r="A86" s="106" t="s">
        <v>208</v>
      </c>
      <c r="B86" s="106" t="s">
        <v>209</v>
      </c>
      <c r="C86" s="106"/>
      <c r="D86" s="106"/>
      <c r="E86" s="52"/>
    </row>
    <row r="87" spans="1:5" s="103" customFormat="1" ht="13.2" hidden="1" outlineLevel="1" x14ac:dyDescent="0.25">
      <c r="A87" s="106" t="s">
        <v>210</v>
      </c>
      <c r="B87" s="106" t="s">
        <v>211</v>
      </c>
      <c r="C87" s="106"/>
      <c r="D87" s="106"/>
      <c r="E87" s="52"/>
    </row>
    <row r="88" spans="1:5" s="103" customFormat="1" ht="13.2" hidden="1" outlineLevel="1" x14ac:dyDescent="0.25">
      <c r="A88" s="106" t="s">
        <v>212</v>
      </c>
      <c r="B88" s="106" t="s">
        <v>213</v>
      </c>
      <c r="C88" s="106"/>
      <c r="D88" s="106"/>
      <c r="E88" s="52"/>
    </row>
    <row r="89" spans="1:5" s="103" customFormat="1" ht="13.2" hidden="1" outlineLevel="1" x14ac:dyDescent="0.25">
      <c r="A89" s="106" t="s">
        <v>214</v>
      </c>
      <c r="B89" s="106" t="s">
        <v>215</v>
      </c>
      <c r="C89" s="106"/>
      <c r="D89" s="106"/>
      <c r="E89" s="52"/>
    </row>
    <row r="90" spans="1:5" s="103" customFormat="1" ht="13.2" hidden="1" outlineLevel="1" x14ac:dyDescent="0.25">
      <c r="A90" s="106" t="s">
        <v>216</v>
      </c>
      <c r="B90" s="106" t="s">
        <v>217</v>
      </c>
      <c r="C90" s="106"/>
      <c r="D90" s="106"/>
      <c r="E90" s="52"/>
    </row>
    <row r="91" spans="1:5" s="103" customFormat="1" ht="13.2" hidden="1" outlineLevel="1" x14ac:dyDescent="0.25">
      <c r="A91" s="106" t="s">
        <v>218</v>
      </c>
      <c r="B91" s="106" t="s">
        <v>219</v>
      </c>
      <c r="C91" s="106"/>
      <c r="D91" s="106"/>
      <c r="E91" s="52"/>
    </row>
    <row r="92" spans="1:5" s="103" customFormat="1" ht="13.2" hidden="1" outlineLevel="1" x14ac:dyDescent="0.25">
      <c r="A92" s="106" t="s">
        <v>220</v>
      </c>
      <c r="B92" s="106" t="s">
        <v>221</v>
      </c>
      <c r="C92" s="106"/>
      <c r="D92" s="106"/>
      <c r="E92" s="52"/>
    </row>
    <row r="93" spans="1:5" s="103" customFormat="1" ht="13.2" hidden="1" outlineLevel="1" x14ac:dyDescent="0.25">
      <c r="A93" s="106" t="s">
        <v>222</v>
      </c>
      <c r="B93" s="106" t="s">
        <v>223</v>
      </c>
      <c r="C93" s="106"/>
      <c r="D93" s="106"/>
      <c r="E93" s="52"/>
    </row>
    <row r="94" spans="1:5" s="103" customFormat="1" ht="13.2" hidden="1" outlineLevel="1" x14ac:dyDescent="0.25">
      <c r="A94" s="106" t="s">
        <v>224</v>
      </c>
      <c r="B94" s="106" t="s">
        <v>225</v>
      </c>
      <c r="C94" s="106"/>
      <c r="D94" s="106"/>
      <c r="E94" s="52"/>
    </row>
    <row r="95" spans="1:5" s="103" customFormat="1" ht="13.2" hidden="1" outlineLevel="1" x14ac:dyDescent="0.25">
      <c r="A95" s="106" t="s">
        <v>226</v>
      </c>
      <c r="B95" s="106" t="s">
        <v>227</v>
      </c>
      <c r="C95" s="106"/>
      <c r="D95" s="106"/>
      <c r="E95" s="52"/>
    </row>
    <row r="96" spans="1:5" s="103" customFormat="1" ht="13.2" hidden="1" outlineLevel="1" x14ac:dyDescent="0.25">
      <c r="A96" s="106" t="s">
        <v>228</v>
      </c>
      <c r="B96" s="106" t="s">
        <v>229</v>
      </c>
      <c r="C96" s="106"/>
      <c r="D96" s="106"/>
      <c r="E96" s="52"/>
    </row>
    <row r="97" spans="1:5" s="103" customFormat="1" ht="13.2" hidden="1" outlineLevel="1" x14ac:dyDescent="0.25">
      <c r="A97" s="106" t="s">
        <v>230</v>
      </c>
      <c r="B97" s="106" t="s">
        <v>231</v>
      </c>
      <c r="C97" s="106"/>
      <c r="D97" s="106"/>
      <c r="E97" s="52"/>
    </row>
    <row r="98" spans="1:5" s="103" customFormat="1" ht="13.2" hidden="1" outlineLevel="1" x14ac:dyDescent="0.25">
      <c r="A98" s="106" t="s">
        <v>232</v>
      </c>
      <c r="B98" s="106" t="s">
        <v>233</v>
      </c>
      <c r="C98" s="106"/>
      <c r="D98" s="106"/>
      <c r="E98" s="52"/>
    </row>
    <row r="99" spans="1:5" s="103" customFormat="1" ht="13.2" hidden="1" outlineLevel="1" x14ac:dyDescent="0.25">
      <c r="A99" s="106" t="s">
        <v>234</v>
      </c>
      <c r="B99" s="106" t="s">
        <v>235</v>
      </c>
      <c r="C99" s="106"/>
      <c r="D99" s="106"/>
      <c r="E99" s="52"/>
    </row>
    <row r="100" spans="1:5" s="103" customFormat="1" ht="13.2" hidden="1" outlineLevel="1" x14ac:dyDescent="0.25">
      <c r="A100" s="106" t="s">
        <v>236</v>
      </c>
      <c r="B100" s="106" t="s">
        <v>237</v>
      </c>
      <c r="C100" s="106"/>
      <c r="D100" s="106"/>
      <c r="E100" s="52"/>
    </row>
    <row r="101" spans="1:5" s="103" customFormat="1" ht="13.2" hidden="1" outlineLevel="1" x14ac:dyDescent="0.25">
      <c r="A101" s="106" t="s">
        <v>238</v>
      </c>
      <c r="B101" s="106" t="s">
        <v>239</v>
      </c>
      <c r="C101" s="106"/>
      <c r="D101" s="106"/>
      <c r="E101" s="52"/>
    </row>
    <row r="102" spans="1:5" s="103" customFormat="1" ht="13.2" hidden="1" outlineLevel="1" x14ac:dyDescent="0.25">
      <c r="A102" s="106" t="s">
        <v>240</v>
      </c>
      <c r="B102" s="106" t="s">
        <v>241</v>
      </c>
      <c r="C102" s="106"/>
      <c r="D102" s="106"/>
      <c r="E102" s="52"/>
    </row>
    <row r="103" spans="1:5" s="103" customFormat="1" ht="13.2" hidden="1" outlineLevel="1" x14ac:dyDescent="0.25">
      <c r="A103" s="106" t="s">
        <v>242</v>
      </c>
      <c r="B103" s="106" t="s">
        <v>243</v>
      </c>
      <c r="C103" s="106"/>
      <c r="D103" s="106"/>
      <c r="E103" s="52"/>
    </row>
    <row r="104" spans="1:5" s="103" customFormat="1" ht="13.2" hidden="1" outlineLevel="1" x14ac:dyDescent="0.25">
      <c r="A104" s="106" t="s">
        <v>244</v>
      </c>
      <c r="B104" s="106" t="s">
        <v>245</v>
      </c>
      <c r="C104" s="106"/>
      <c r="D104" s="106"/>
      <c r="E104" s="52"/>
    </row>
    <row r="105" spans="1:5" s="103" customFormat="1" ht="13.2" hidden="1" outlineLevel="1" x14ac:dyDescent="0.25">
      <c r="A105" s="106" t="s">
        <v>246</v>
      </c>
      <c r="B105" s="106" t="s">
        <v>247</v>
      </c>
      <c r="C105" s="106"/>
      <c r="D105" s="106"/>
      <c r="E105" s="52"/>
    </row>
    <row r="106" spans="1:5" s="103" customFormat="1" ht="13.2" hidden="1" outlineLevel="1" x14ac:dyDescent="0.25">
      <c r="A106" s="106" t="s">
        <v>248</v>
      </c>
      <c r="B106" s="106" t="s">
        <v>249</v>
      </c>
      <c r="C106" s="106"/>
      <c r="D106" s="106"/>
      <c r="E106" s="52"/>
    </row>
    <row r="107" spans="1:5" s="103" customFormat="1" ht="13.2" hidden="1" outlineLevel="1" x14ac:dyDescent="0.25">
      <c r="A107" s="106" t="s">
        <v>250</v>
      </c>
      <c r="B107" s="106" t="s">
        <v>251</v>
      </c>
      <c r="C107" s="106"/>
      <c r="D107" s="106"/>
      <c r="E107" s="52"/>
    </row>
    <row r="108" spans="1:5" s="103" customFormat="1" ht="13.2" hidden="1" outlineLevel="1" x14ac:dyDescent="0.25">
      <c r="A108" s="106" t="s">
        <v>252</v>
      </c>
      <c r="B108" s="106" t="s">
        <v>253</v>
      </c>
      <c r="C108" s="106"/>
      <c r="D108" s="106"/>
      <c r="E108" s="52"/>
    </row>
    <row r="109" spans="1:5" s="103" customFormat="1" ht="13.2" hidden="1" outlineLevel="1" x14ac:dyDescent="0.25">
      <c r="A109" s="106" t="s">
        <v>254</v>
      </c>
      <c r="B109" s="106" t="s">
        <v>255</v>
      </c>
      <c r="C109" s="106"/>
      <c r="D109" s="106"/>
      <c r="E109" s="52"/>
    </row>
    <row r="110" spans="1:5" s="103" customFormat="1" ht="13.2" hidden="1" outlineLevel="1" x14ac:dyDescent="0.25">
      <c r="A110" s="106" t="s">
        <v>256</v>
      </c>
      <c r="B110" s="106" t="s">
        <v>257</v>
      </c>
      <c r="C110" s="106"/>
      <c r="D110" s="106"/>
      <c r="E110" s="52"/>
    </row>
    <row r="111" spans="1:5" s="103" customFormat="1" ht="13.2" hidden="1" outlineLevel="1" x14ac:dyDescent="0.25">
      <c r="A111" s="106" t="s">
        <v>258</v>
      </c>
      <c r="B111" s="106" t="s">
        <v>259</v>
      </c>
      <c r="C111" s="106"/>
      <c r="D111" s="106"/>
      <c r="E111" s="52"/>
    </row>
    <row r="112" spans="1:5" s="103" customFormat="1" ht="13.2" hidden="1" outlineLevel="1" x14ac:dyDescent="0.25">
      <c r="A112" s="106" t="s">
        <v>260</v>
      </c>
      <c r="B112" s="106" t="s">
        <v>261</v>
      </c>
      <c r="C112" s="106"/>
      <c r="D112" s="106"/>
      <c r="E112" s="52"/>
    </row>
    <row r="113" spans="1:5" s="103" customFormat="1" ht="13.2" hidden="1" outlineLevel="1" x14ac:dyDescent="0.25">
      <c r="A113" s="106" t="s">
        <v>262</v>
      </c>
      <c r="B113" s="106" t="s">
        <v>263</v>
      </c>
      <c r="C113" s="106"/>
      <c r="D113" s="106"/>
      <c r="E113" s="52"/>
    </row>
    <row r="114" spans="1:5" s="103" customFormat="1" ht="13.2" hidden="1" outlineLevel="1" x14ac:dyDescent="0.25">
      <c r="A114" s="106" t="s">
        <v>264</v>
      </c>
      <c r="B114" s="106" t="s">
        <v>265</v>
      </c>
      <c r="C114" s="106"/>
      <c r="D114" s="106"/>
      <c r="E114" s="52"/>
    </row>
    <row r="115" spans="1:5" s="103" customFormat="1" ht="13.2" hidden="1" outlineLevel="1" x14ac:dyDescent="0.25">
      <c r="A115" s="106" t="s">
        <v>266</v>
      </c>
      <c r="B115" s="106" t="s">
        <v>267</v>
      </c>
      <c r="C115" s="106"/>
      <c r="D115" s="106"/>
      <c r="E115" s="52"/>
    </row>
    <row r="116" spans="1:5" s="103" customFormat="1" ht="13.2" hidden="1" outlineLevel="1" x14ac:dyDescent="0.25">
      <c r="A116" s="106" t="s">
        <v>268</v>
      </c>
      <c r="B116" s="106" t="s">
        <v>269</v>
      </c>
      <c r="C116" s="106"/>
      <c r="D116" s="106"/>
      <c r="E116" s="52"/>
    </row>
    <row r="117" spans="1:5" s="103" customFormat="1" ht="13.2" hidden="1" outlineLevel="1" x14ac:dyDescent="0.25">
      <c r="A117" s="106" t="s">
        <v>270</v>
      </c>
      <c r="B117" s="106" t="s">
        <v>271</v>
      </c>
      <c r="C117" s="106"/>
      <c r="D117" s="106"/>
      <c r="E117" s="52"/>
    </row>
    <row r="118" spans="1:5" s="103" customFormat="1" ht="13.2" hidden="1" outlineLevel="1" x14ac:dyDescent="0.25">
      <c r="A118" s="106" t="s">
        <v>272</v>
      </c>
      <c r="B118" s="106" t="s">
        <v>273</v>
      </c>
      <c r="C118" s="106"/>
      <c r="D118" s="106"/>
      <c r="E118" s="52"/>
    </row>
    <row r="119" spans="1:5" s="103" customFormat="1" ht="13.2" hidden="1" outlineLevel="1" x14ac:dyDescent="0.25">
      <c r="A119" s="106" t="s">
        <v>274</v>
      </c>
      <c r="B119" s="106" t="s">
        <v>275</v>
      </c>
      <c r="C119" s="106"/>
      <c r="D119" s="106"/>
      <c r="E119" s="52"/>
    </row>
    <row r="120" spans="1:5" s="103" customFormat="1" ht="13.2" hidden="1" outlineLevel="1" x14ac:dyDescent="0.25">
      <c r="A120" s="106" t="s">
        <v>276</v>
      </c>
      <c r="B120" s="106" t="s">
        <v>277</v>
      </c>
      <c r="C120" s="106"/>
      <c r="D120" s="106"/>
      <c r="E120" s="52"/>
    </row>
    <row r="121" spans="1:5" s="103" customFormat="1" ht="13.2" hidden="1" outlineLevel="1" x14ac:dyDescent="0.25">
      <c r="A121" s="106" t="s">
        <v>278</v>
      </c>
      <c r="B121" s="106" t="s">
        <v>279</v>
      </c>
      <c r="C121" s="106"/>
      <c r="D121" s="106"/>
      <c r="E121" s="52"/>
    </row>
    <row r="122" spans="1:5" s="103" customFormat="1" ht="13.2" hidden="1" outlineLevel="1" x14ac:dyDescent="0.25">
      <c r="A122" s="106" t="s">
        <v>280</v>
      </c>
      <c r="B122" s="106" t="s">
        <v>281</v>
      </c>
      <c r="C122" s="106"/>
      <c r="D122" s="106"/>
      <c r="E122" s="52"/>
    </row>
    <row r="123" spans="1:5" s="103" customFormat="1" ht="13.2" hidden="1" outlineLevel="1" x14ac:dyDescent="0.25">
      <c r="A123" s="106" t="s">
        <v>282</v>
      </c>
      <c r="B123" s="106" t="s">
        <v>283</v>
      </c>
      <c r="C123" s="106"/>
      <c r="D123" s="106"/>
      <c r="E123" s="52"/>
    </row>
    <row r="124" spans="1:5" s="103" customFormat="1" ht="13.2" hidden="1" outlineLevel="1" x14ac:dyDescent="0.25">
      <c r="A124" s="106" t="s">
        <v>284</v>
      </c>
      <c r="B124" s="106" t="s">
        <v>285</v>
      </c>
      <c r="C124" s="106"/>
      <c r="D124" s="106"/>
      <c r="E124" s="52"/>
    </row>
    <row r="125" spans="1:5" s="103" customFormat="1" ht="13.2" hidden="1" outlineLevel="1" x14ac:dyDescent="0.25">
      <c r="A125" s="106" t="s">
        <v>286</v>
      </c>
      <c r="B125" s="106" t="s">
        <v>287</v>
      </c>
      <c r="C125" s="106"/>
      <c r="D125" s="106"/>
      <c r="E125" s="52"/>
    </row>
    <row r="126" spans="1:5" s="103" customFormat="1" ht="13.2" hidden="1" outlineLevel="1" x14ac:dyDescent="0.25">
      <c r="A126" s="106" t="s">
        <v>288</v>
      </c>
      <c r="B126" s="106" t="s">
        <v>289</v>
      </c>
      <c r="C126" s="106"/>
      <c r="D126" s="106"/>
      <c r="E126" s="52"/>
    </row>
    <row r="127" spans="1:5" s="103" customFormat="1" ht="13.2" hidden="1" outlineLevel="1" x14ac:dyDescent="0.25">
      <c r="A127" s="106" t="s">
        <v>290</v>
      </c>
      <c r="B127" s="106" t="s">
        <v>291</v>
      </c>
      <c r="C127" s="106"/>
      <c r="D127" s="106"/>
      <c r="E127" s="52"/>
    </row>
    <row r="128" spans="1:5" s="103" customFormat="1" ht="13.2" hidden="1" outlineLevel="1" x14ac:dyDescent="0.25">
      <c r="A128" s="106" t="s">
        <v>292</v>
      </c>
      <c r="B128" s="106" t="s">
        <v>293</v>
      </c>
      <c r="C128" s="106"/>
      <c r="D128" s="106"/>
      <c r="E128" s="52"/>
    </row>
    <row r="129" spans="1:5" s="103" customFormat="1" ht="13.2" hidden="1" outlineLevel="1" x14ac:dyDescent="0.25">
      <c r="A129" s="106" t="s">
        <v>294</v>
      </c>
      <c r="B129" s="106" t="s">
        <v>295</v>
      </c>
      <c r="C129" s="106"/>
      <c r="D129" s="106"/>
      <c r="E129" s="52"/>
    </row>
    <row r="130" spans="1:5" s="103" customFormat="1" ht="13.2" hidden="1" outlineLevel="1" x14ac:dyDescent="0.25">
      <c r="A130" s="106" t="s">
        <v>296</v>
      </c>
      <c r="B130" s="106" t="s">
        <v>297</v>
      </c>
      <c r="C130" s="106"/>
      <c r="D130" s="106"/>
      <c r="E130" s="52"/>
    </row>
    <row r="131" spans="1:5" s="103" customFormat="1" ht="13.2" hidden="1" outlineLevel="1" x14ac:dyDescent="0.25">
      <c r="A131" s="106" t="s">
        <v>298</v>
      </c>
      <c r="B131" s="106" t="s">
        <v>299</v>
      </c>
      <c r="C131" s="106"/>
      <c r="D131" s="106"/>
      <c r="E131" s="52"/>
    </row>
    <row r="132" spans="1:5" s="103" customFormat="1" ht="13.2" hidden="1" outlineLevel="1" x14ac:dyDescent="0.25">
      <c r="A132" s="106" t="s">
        <v>300</v>
      </c>
      <c r="B132" s="106" t="s">
        <v>301</v>
      </c>
      <c r="C132" s="106"/>
      <c r="D132" s="106"/>
      <c r="E132" s="52"/>
    </row>
    <row r="133" spans="1:5" s="103" customFormat="1" ht="13.2" hidden="1" outlineLevel="1" x14ac:dyDescent="0.25">
      <c r="A133" s="106" t="s">
        <v>302</v>
      </c>
      <c r="B133" s="106" t="s">
        <v>303</v>
      </c>
      <c r="C133" s="106"/>
      <c r="D133" s="106"/>
      <c r="E133" s="52"/>
    </row>
    <row r="134" spans="1:5" s="103" customFormat="1" ht="13.2" hidden="1" outlineLevel="1" x14ac:dyDescent="0.25">
      <c r="A134" s="106" t="s">
        <v>304</v>
      </c>
      <c r="B134" s="106" t="s">
        <v>305</v>
      </c>
      <c r="C134" s="106"/>
      <c r="D134" s="106"/>
      <c r="E134" s="52"/>
    </row>
    <row r="135" spans="1:5" s="103" customFormat="1" ht="13.2" hidden="1" outlineLevel="1" x14ac:dyDescent="0.25">
      <c r="A135" s="106" t="s">
        <v>14383</v>
      </c>
      <c r="B135" s="106" t="s">
        <v>14398</v>
      </c>
      <c r="C135" s="106"/>
      <c r="D135" s="106"/>
      <c r="E135" s="52"/>
    </row>
    <row r="136" spans="1:5" s="103" customFormat="1" ht="13.2" hidden="1" outlineLevel="1" x14ac:dyDescent="0.25">
      <c r="A136" s="106" t="s">
        <v>306</v>
      </c>
      <c r="B136" s="106" t="s">
        <v>307</v>
      </c>
      <c r="C136" s="106"/>
      <c r="D136" s="106"/>
      <c r="E136" s="52"/>
    </row>
    <row r="137" spans="1:5" s="103" customFormat="1" ht="13.2" hidden="1" outlineLevel="1" x14ac:dyDescent="0.25">
      <c r="A137" s="106" t="s">
        <v>308</v>
      </c>
      <c r="B137" s="106" t="s">
        <v>309</v>
      </c>
      <c r="C137" s="106"/>
      <c r="D137" s="106"/>
      <c r="E137" s="52"/>
    </row>
    <row r="138" spans="1:5" s="103" customFormat="1" ht="13.2" hidden="1" outlineLevel="1" x14ac:dyDescent="0.25">
      <c r="A138" s="106" t="s">
        <v>310</v>
      </c>
      <c r="B138" s="106" t="s">
        <v>311</v>
      </c>
      <c r="C138" s="106"/>
      <c r="D138" s="106"/>
      <c r="E138" s="52"/>
    </row>
    <row r="139" spans="1:5" s="103" customFormat="1" ht="13.2" hidden="1" outlineLevel="1" x14ac:dyDescent="0.25">
      <c r="A139" s="106" t="s">
        <v>312</v>
      </c>
      <c r="B139" s="106" t="s">
        <v>313</v>
      </c>
      <c r="C139" s="106"/>
      <c r="D139" s="106"/>
      <c r="E139" s="52"/>
    </row>
    <row r="140" spans="1:5" s="103" customFormat="1" ht="13.2" hidden="1" outlineLevel="1" x14ac:dyDescent="0.25">
      <c r="A140" s="106" t="s">
        <v>314</v>
      </c>
      <c r="B140" s="106" t="s">
        <v>315</v>
      </c>
      <c r="C140" s="106"/>
      <c r="D140" s="106"/>
      <c r="E140" s="52"/>
    </row>
    <row r="141" spans="1:5" s="103" customFormat="1" ht="13.2" hidden="1" outlineLevel="1" x14ac:dyDescent="0.25">
      <c r="A141" s="106" t="s">
        <v>316</v>
      </c>
      <c r="B141" s="106" t="s">
        <v>317</v>
      </c>
      <c r="C141" s="106"/>
      <c r="D141" s="106"/>
      <c r="E141" s="52"/>
    </row>
    <row r="142" spans="1:5" s="103" customFormat="1" ht="13.2" hidden="1" outlineLevel="1" x14ac:dyDescent="0.25">
      <c r="A142" s="106" t="s">
        <v>318</v>
      </c>
      <c r="B142" s="106" t="s">
        <v>319</v>
      </c>
      <c r="C142" s="106"/>
      <c r="D142" s="106"/>
      <c r="E142" s="52"/>
    </row>
    <row r="143" spans="1:5" s="103" customFormat="1" ht="13.2" hidden="1" outlineLevel="1" x14ac:dyDescent="0.25">
      <c r="A143" s="106" t="s">
        <v>320</v>
      </c>
      <c r="B143" s="106" t="s">
        <v>321</v>
      </c>
      <c r="C143" s="106"/>
      <c r="D143" s="106"/>
      <c r="E143" s="52"/>
    </row>
    <row r="144" spans="1:5" s="103" customFormat="1" ht="13.2" hidden="1" outlineLevel="1" x14ac:dyDescent="0.25">
      <c r="A144" s="106" t="s">
        <v>322</v>
      </c>
      <c r="B144" s="106" t="s">
        <v>323</v>
      </c>
      <c r="C144" s="106"/>
      <c r="D144" s="106"/>
      <c r="E144" s="52"/>
    </row>
    <row r="145" spans="1:5" s="103" customFormat="1" ht="13.2" hidden="1" outlineLevel="1" x14ac:dyDescent="0.25">
      <c r="A145" s="106" t="s">
        <v>324</v>
      </c>
      <c r="B145" s="106" t="s">
        <v>325</v>
      </c>
      <c r="C145" s="106"/>
      <c r="D145" s="106"/>
      <c r="E145" s="52"/>
    </row>
    <row r="146" spans="1:5" s="103" customFormat="1" ht="13.2" hidden="1" outlineLevel="1" x14ac:dyDescent="0.25">
      <c r="A146" s="106" t="s">
        <v>326</v>
      </c>
      <c r="B146" s="106" t="s">
        <v>327</v>
      </c>
      <c r="C146" s="106"/>
      <c r="D146" s="106"/>
      <c r="E146" s="52"/>
    </row>
    <row r="147" spans="1:5" s="103" customFormat="1" ht="13.2" hidden="1" outlineLevel="1" x14ac:dyDescent="0.25">
      <c r="A147" s="106" t="s">
        <v>328</v>
      </c>
      <c r="B147" s="106" t="s">
        <v>329</v>
      </c>
      <c r="C147" s="106"/>
      <c r="D147" s="106"/>
      <c r="E147" s="52"/>
    </row>
    <row r="148" spans="1:5" s="103" customFormat="1" ht="13.2" hidden="1" outlineLevel="1" x14ac:dyDescent="0.25">
      <c r="A148" s="106" t="s">
        <v>330</v>
      </c>
      <c r="B148" s="106" t="s">
        <v>331</v>
      </c>
      <c r="C148" s="106"/>
      <c r="D148" s="106"/>
      <c r="E148" s="52"/>
    </row>
    <row r="149" spans="1:5" s="103" customFormat="1" ht="13.2" hidden="1" outlineLevel="1" x14ac:dyDescent="0.25">
      <c r="A149" s="106" t="s">
        <v>332</v>
      </c>
      <c r="B149" s="106" t="s">
        <v>333</v>
      </c>
      <c r="C149" s="106"/>
      <c r="D149" s="106"/>
      <c r="E149" s="52"/>
    </row>
    <row r="150" spans="1:5" s="103" customFormat="1" ht="13.2" hidden="1" outlineLevel="1" x14ac:dyDescent="0.25">
      <c r="A150" s="106" t="s">
        <v>334</v>
      </c>
      <c r="B150" s="106" t="s">
        <v>335</v>
      </c>
      <c r="C150" s="106"/>
      <c r="D150" s="106"/>
      <c r="E150" s="52"/>
    </row>
    <row r="151" spans="1:5" s="103" customFormat="1" ht="13.2" hidden="1" outlineLevel="1" x14ac:dyDescent="0.25">
      <c r="A151" s="106" t="s">
        <v>336</v>
      </c>
      <c r="B151" s="106" t="s">
        <v>337</v>
      </c>
      <c r="C151" s="106"/>
      <c r="D151" s="106"/>
      <c r="E151" s="52"/>
    </row>
    <row r="152" spans="1:5" s="103" customFormat="1" ht="13.2" hidden="1" outlineLevel="1" x14ac:dyDescent="0.25">
      <c r="A152" s="106" t="s">
        <v>338</v>
      </c>
      <c r="B152" s="106" t="s">
        <v>339</v>
      </c>
      <c r="C152" s="106"/>
      <c r="D152" s="106"/>
      <c r="E152" s="52"/>
    </row>
    <row r="153" spans="1:5" s="103" customFormat="1" ht="13.2" hidden="1" outlineLevel="1" x14ac:dyDescent="0.25">
      <c r="A153" s="106" t="s">
        <v>340</v>
      </c>
      <c r="B153" s="106" t="s">
        <v>341</v>
      </c>
      <c r="C153" s="106"/>
      <c r="D153" s="106"/>
      <c r="E153" s="52"/>
    </row>
    <row r="154" spans="1:5" s="103" customFormat="1" ht="13.2" hidden="1" outlineLevel="1" x14ac:dyDescent="0.25">
      <c r="A154" s="106" t="s">
        <v>342</v>
      </c>
      <c r="B154" s="106" t="s">
        <v>343</v>
      </c>
      <c r="C154" s="106"/>
      <c r="D154" s="106"/>
      <c r="E154" s="52"/>
    </row>
    <row r="155" spans="1:5" s="103" customFormat="1" ht="13.2" hidden="1" outlineLevel="1" x14ac:dyDescent="0.25">
      <c r="A155" s="106" t="s">
        <v>344</v>
      </c>
      <c r="B155" s="106" t="s">
        <v>345</v>
      </c>
      <c r="C155" s="106"/>
      <c r="D155" s="106"/>
      <c r="E155" s="52"/>
    </row>
    <row r="156" spans="1:5" s="103" customFormat="1" ht="13.2" hidden="1" outlineLevel="1" x14ac:dyDescent="0.25">
      <c r="A156" s="106" t="s">
        <v>346</v>
      </c>
      <c r="B156" s="106" t="s">
        <v>347</v>
      </c>
      <c r="C156" s="106"/>
      <c r="D156" s="106"/>
      <c r="E156" s="52"/>
    </row>
    <row r="157" spans="1:5" s="103" customFormat="1" ht="13.2" hidden="1" outlineLevel="1" x14ac:dyDescent="0.25">
      <c r="A157" s="106" t="s">
        <v>348</v>
      </c>
      <c r="B157" s="106" t="s">
        <v>349</v>
      </c>
      <c r="C157" s="106"/>
      <c r="D157" s="106"/>
      <c r="E157" s="52"/>
    </row>
    <row r="158" spans="1:5" s="103" customFormat="1" ht="13.2" hidden="1" outlineLevel="1" x14ac:dyDescent="0.25">
      <c r="A158" s="106" t="s">
        <v>350</v>
      </c>
      <c r="B158" s="106" t="s">
        <v>351</v>
      </c>
      <c r="C158" s="106"/>
      <c r="D158" s="106"/>
      <c r="E158" s="52"/>
    </row>
    <row r="159" spans="1:5" s="103" customFormat="1" ht="13.2" hidden="1" outlineLevel="1" x14ac:dyDescent="0.25">
      <c r="A159" s="106" t="s">
        <v>352</v>
      </c>
      <c r="B159" s="106" t="s">
        <v>353</v>
      </c>
      <c r="C159" s="106"/>
      <c r="D159" s="106"/>
      <c r="E159" s="52"/>
    </row>
    <row r="160" spans="1:5" s="103" customFormat="1" ht="13.2" hidden="1" outlineLevel="1" x14ac:dyDescent="0.25">
      <c r="A160" s="106" t="s">
        <v>354</v>
      </c>
      <c r="B160" s="106" t="s">
        <v>355</v>
      </c>
      <c r="C160" s="106"/>
      <c r="D160" s="106"/>
      <c r="E160" s="52"/>
    </row>
    <row r="161" spans="1:5" s="103" customFormat="1" ht="13.2" hidden="1" outlineLevel="1" x14ac:dyDescent="0.25">
      <c r="A161" s="106" t="s">
        <v>356</v>
      </c>
      <c r="B161" s="106" t="s">
        <v>357</v>
      </c>
      <c r="C161" s="106"/>
      <c r="D161" s="106"/>
      <c r="E161" s="52"/>
    </row>
    <row r="162" spans="1:5" s="103" customFormat="1" ht="13.2" hidden="1" outlineLevel="1" x14ac:dyDescent="0.25">
      <c r="A162" s="106" t="s">
        <v>358</v>
      </c>
      <c r="B162" s="106" t="s">
        <v>359</v>
      </c>
      <c r="C162" s="106"/>
      <c r="D162" s="106"/>
      <c r="E162" s="52"/>
    </row>
    <row r="163" spans="1:5" s="103" customFormat="1" ht="13.2" hidden="1" outlineLevel="1" x14ac:dyDescent="0.25">
      <c r="A163" s="106" t="s">
        <v>360</v>
      </c>
      <c r="B163" s="106" t="s">
        <v>361</v>
      </c>
      <c r="C163" s="106"/>
      <c r="D163" s="106"/>
      <c r="E163" s="52"/>
    </row>
    <row r="164" spans="1:5" s="103" customFormat="1" ht="13.2" hidden="1" outlineLevel="1" x14ac:dyDescent="0.25">
      <c r="A164" s="106" t="s">
        <v>362</v>
      </c>
      <c r="B164" s="106" t="s">
        <v>363</v>
      </c>
      <c r="C164" s="106"/>
      <c r="D164" s="106"/>
      <c r="E164" s="52"/>
    </row>
    <row r="165" spans="1:5" s="103" customFormat="1" ht="13.2" hidden="1" outlineLevel="1" x14ac:dyDescent="0.25">
      <c r="A165" s="106" t="s">
        <v>364</v>
      </c>
      <c r="B165" s="106" t="s">
        <v>365</v>
      </c>
      <c r="C165" s="106"/>
      <c r="D165" s="106"/>
      <c r="E165" s="52"/>
    </row>
    <row r="166" spans="1:5" s="103" customFormat="1" ht="13.2" hidden="1" outlineLevel="1" x14ac:dyDescent="0.25">
      <c r="A166" s="106" t="s">
        <v>366</v>
      </c>
      <c r="B166" s="106" t="s">
        <v>367</v>
      </c>
      <c r="C166" s="106"/>
      <c r="D166" s="106"/>
      <c r="E166" s="52"/>
    </row>
    <row r="167" spans="1:5" s="103" customFormat="1" ht="13.2" hidden="1" outlineLevel="1" x14ac:dyDescent="0.25">
      <c r="A167" s="106" t="s">
        <v>368</v>
      </c>
      <c r="B167" s="106" t="s">
        <v>369</v>
      </c>
      <c r="C167" s="106"/>
      <c r="D167" s="106"/>
      <c r="E167" s="52"/>
    </row>
    <row r="168" spans="1:5" s="103" customFormat="1" ht="13.2" hidden="1" outlineLevel="1" x14ac:dyDescent="0.25">
      <c r="A168" s="106" t="s">
        <v>370</v>
      </c>
      <c r="B168" s="106" t="s">
        <v>371</v>
      </c>
      <c r="C168" s="106"/>
      <c r="D168" s="106"/>
      <c r="E168" s="52"/>
    </row>
    <row r="169" spans="1:5" s="103" customFormat="1" ht="13.2" hidden="1" outlineLevel="1" x14ac:dyDescent="0.25">
      <c r="A169" s="106" t="s">
        <v>372</v>
      </c>
      <c r="B169" s="106" t="s">
        <v>373</v>
      </c>
      <c r="C169" s="106"/>
      <c r="D169" s="106"/>
      <c r="E169" s="52"/>
    </row>
    <row r="170" spans="1:5" s="103" customFormat="1" ht="13.2" hidden="1" outlineLevel="1" x14ac:dyDescent="0.25">
      <c r="A170" s="106" t="s">
        <v>374</v>
      </c>
      <c r="B170" s="106" t="s">
        <v>375</v>
      </c>
      <c r="C170" s="106"/>
      <c r="D170" s="106"/>
      <c r="E170" s="52"/>
    </row>
    <row r="171" spans="1:5" s="103" customFormat="1" ht="13.2" hidden="1" outlineLevel="1" x14ac:dyDescent="0.25">
      <c r="A171" s="106" t="s">
        <v>376</v>
      </c>
      <c r="B171" s="106" t="s">
        <v>377</v>
      </c>
      <c r="C171" s="106"/>
      <c r="D171" s="106"/>
      <c r="E171" s="52"/>
    </row>
    <row r="172" spans="1:5" s="103" customFormat="1" ht="13.2" hidden="1" outlineLevel="1" x14ac:dyDescent="0.25">
      <c r="A172" s="106" t="s">
        <v>378</v>
      </c>
      <c r="B172" s="106" t="s">
        <v>379</v>
      </c>
      <c r="C172" s="106"/>
      <c r="D172" s="106"/>
      <c r="E172" s="52"/>
    </row>
    <row r="173" spans="1:5" s="103" customFormat="1" ht="13.2" hidden="1" outlineLevel="1" x14ac:dyDescent="0.25">
      <c r="A173" s="106" t="s">
        <v>380</v>
      </c>
      <c r="B173" s="106" t="s">
        <v>381</v>
      </c>
      <c r="C173" s="106"/>
      <c r="D173" s="106"/>
      <c r="E173" s="52"/>
    </row>
    <row r="174" spans="1:5" s="103" customFormat="1" ht="13.2" hidden="1" outlineLevel="1" x14ac:dyDescent="0.25">
      <c r="A174" s="106" t="s">
        <v>382</v>
      </c>
      <c r="B174" s="106" t="s">
        <v>383</v>
      </c>
      <c r="C174" s="106"/>
      <c r="D174" s="106"/>
      <c r="E174" s="52"/>
    </row>
    <row r="175" spans="1:5" s="103" customFormat="1" ht="13.2" hidden="1" outlineLevel="1" x14ac:dyDescent="0.25">
      <c r="A175" s="106" t="s">
        <v>384</v>
      </c>
      <c r="B175" s="106" t="s">
        <v>385</v>
      </c>
      <c r="C175" s="106"/>
      <c r="D175" s="106"/>
      <c r="E175" s="52"/>
    </row>
    <row r="176" spans="1:5" s="103" customFormat="1" ht="13.2" hidden="1" outlineLevel="1" x14ac:dyDescent="0.25">
      <c r="A176" s="106" t="s">
        <v>386</v>
      </c>
      <c r="B176" s="106" t="s">
        <v>387</v>
      </c>
      <c r="C176" s="106"/>
      <c r="D176" s="106"/>
      <c r="E176" s="52"/>
    </row>
    <row r="177" spans="1:5" s="103" customFormat="1" ht="13.2" hidden="1" outlineLevel="1" x14ac:dyDescent="0.25">
      <c r="A177" s="106" t="s">
        <v>388</v>
      </c>
      <c r="B177" s="106" t="s">
        <v>389</v>
      </c>
      <c r="C177" s="106"/>
      <c r="D177" s="106"/>
      <c r="E177" s="52"/>
    </row>
    <row r="178" spans="1:5" s="103" customFormat="1" ht="13.2" hidden="1" outlineLevel="1" x14ac:dyDescent="0.25">
      <c r="A178" s="106" t="s">
        <v>390</v>
      </c>
      <c r="B178" s="106" t="s">
        <v>391</v>
      </c>
      <c r="C178" s="106"/>
      <c r="D178" s="106"/>
      <c r="E178" s="52"/>
    </row>
    <row r="179" spans="1:5" s="103" customFormat="1" ht="13.2" hidden="1" outlineLevel="1" x14ac:dyDescent="0.25">
      <c r="A179" s="106" t="s">
        <v>392</v>
      </c>
      <c r="B179" s="106" t="s">
        <v>393</v>
      </c>
      <c r="C179" s="106"/>
      <c r="D179" s="106"/>
      <c r="E179" s="52"/>
    </row>
    <row r="180" spans="1:5" s="103" customFormat="1" ht="13.2" hidden="1" outlineLevel="1" x14ac:dyDescent="0.25">
      <c r="A180" s="106" t="s">
        <v>394</v>
      </c>
      <c r="B180" s="106" t="s">
        <v>395</v>
      </c>
      <c r="C180" s="106"/>
      <c r="D180" s="106"/>
      <c r="E180" s="52"/>
    </row>
    <row r="181" spans="1:5" s="103" customFormat="1" ht="13.2" hidden="1" outlineLevel="1" x14ac:dyDescent="0.25">
      <c r="A181" s="106" t="s">
        <v>396</v>
      </c>
      <c r="B181" s="106" t="s">
        <v>397</v>
      </c>
      <c r="C181" s="106"/>
      <c r="D181" s="106"/>
      <c r="E181" s="52"/>
    </row>
    <row r="182" spans="1:5" s="103" customFormat="1" ht="13.2" hidden="1" outlineLevel="1" x14ac:dyDescent="0.25">
      <c r="A182" s="106" t="s">
        <v>398</v>
      </c>
      <c r="B182" s="106" t="s">
        <v>399</v>
      </c>
      <c r="C182" s="106"/>
      <c r="D182" s="106"/>
      <c r="E182" s="52"/>
    </row>
    <row r="183" spans="1:5" s="103" customFormat="1" ht="13.2" hidden="1" outlineLevel="1" x14ac:dyDescent="0.25">
      <c r="A183" s="106" t="s">
        <v>400</v>
      </c>
      <c r="B183" s="106" t="s">
        <v>401</v>
      </c>
      <c r="C183" s="106"/>
      <c r="D183" s="106"/>
      <c r="E183" s="52"/>
    </row>
    <row r="184" spans="1:5" s="103" customFormat="1" ht="13.2" hidden="1" outlineLevel="1" x14ac:dyDescent="0.25">
      <c r="A184" s="106" t="s">
        <v>402</v>
      </c>
      <c r="B184" s="106" t="s">
        <v>403</v>
      </c>
      <c r="C184" s="106"/>
      <c r="D184" s="106"/>
      <c r="E184" s="52"/>
    </row>
    <row r="185" spans="1:5" s="103" customFormat="1" ht="13.2" hidden="1" outlineLevel="1" x14ac:dyDescent="0.25">
      <c r="A185" s="106" t="s">
        <v>404</v>
      </c>
      <c r="B185" s="106" t="s">
        <v>405</v>
      </c>
      <c r="C185" s="106"/>
      <c r="D185" s="106"/>
      <c r="E185" s="52"/>
    </row>
    <row r="186" spans="1:5" s="103" customFormat="1" ht="13.2" hidden="1" outlineLevel="1" x14ac:dyDescent="0.25">
      <c r="A186" s="106" t="s">
        <v>406</v>
      </c>
      <c r="B186" s="106" t="s">
        <v>407</v>
      </c>
      <c r="C186" s="106"/>
      <c r="D186" s="106"/>
      <c r="E186" s="52"/>
    </row>
    <row r="187" spans="1:5" s="103" customFormat="1" ht="13.2" hidden="1" outlineLevel="1" x14ac:dyDescent="0.25">
      <c r="A187" s="106" t="s">
        <v>408</v>
      </c>
      <c r="B187" s="106" t="s">
        <v>409</v>
      </c>
      <c r="C187" s="106"/>
      <c r="D187" s="106"/>
      <c r="E187" s="52"/>
    </row>
    <row r="188" spans="1:5" s="103" customFormat="1" ht="13.2" hidden="1" outlineLevel="1" x14ac:dyDescent="0.25">
      <c r="A188" s="106" t="s">
        <v>410</v>
      </c>
      <c r="B188" s="106" t="s">
        <v>411</v>
      </c>
      <c r="C188" s="106"/>
      <c r="D188" s="106"/>
      <c r="E188" s="52"/>
    </row>
    <row r="189" spans="1:5" s="103" customFormat="1" ht="13.2" hidden="1" outlineLevel="1" x14ac:dyDescent="0.25">
      <c r="A189" s="106" t="s">
        <v>412</v>
      </c>
      <c r="B189" s="106" t="s">
        <v>413</v>
      </c>
      <c r="C189" s="106"/>
      <c r="D189" s="106"/>
      <c r="E189" s="52"/>
    </row>
    <row r="190" spans="1:5" s="103" customFormat="1" ht="13.2" hidden="1" outlineLevel="1" x14ac:dyDescent="0.25">
      <c r="A190" s="106" t="s">
        <v>414</v>
      </c>
      <c r="B190" s="106" t="s">
        <v>415</v>
      </c>
      <c r="C190" s="106"/>
      <c r="D190" s="106"/>
      <c r="E190" s="52"/>
    </row>
    <row r="191" spans="1:5" s="103" customFormat="1" ht="13.2" hidden="1" outlineLevel="1" x14ac:dyDescent="0.25">
      <c r="A191" s="106" t="s">
        <v>416</v>
      </c>
      <c r="B191" s="106" t="s">
        <v>417</v>
      </c>
      <c r="C191" s="106"/>
      <c r="D191" s="106"/>
      <c r="E191" s="52"/>
    </row>
    <row r="192" spans="1:5" s="103" customFormat="1" ht="13.2" hidden="1" outlineLevel="1" x14ac:dyDescent="0.25">
      <c r="A192" s="106" t="s">
        <v>418</v>
      </c>
      <c r="B192" s="106" t="s">
        <v>419</v>
      </c>
      <c r="C192" s="106"/>
      <c r="D192" s="106"/>
      <c r="E192" s="52"/>
    </row>
    <row r="193" spans="1:5" s="103" customFormat="1" ht="13.2" hidden="1" outlineLevel="1" x14ac:dyDescent="0.25">
      <c r="A193" s="106" t="s">
        <v>420</v>
      </c>
      <c r="B193" s="106" t="s">
        <v>421</v>
      </c>
      <c r="C193" s="106"/>
      <c r="D193" s="106"/>
      <c r="E193" s="52"/>
    </row>
    <row r="194" spans="1:5" s="103" customFormat="1" ht="13.2" hidden="1" outlineLevel="1" x14ac:dyDescent="0.25">
      <c r="A194" s="106" t="s">
        <v>422</v>
      </c>
      <c r="B194" s="106" t="s">
        <v>423</v>
      </c>
      <c r="C194" s="106"/>
      <c r="D194" s="106"/>
      <c r="E194" s="52"/>
    </row>
    <row r="195" spans="1:5" s="103" customFormat="1" ht="13.2" hidden="1" outlineLevel="1" x14ac:dyDescent="0.25">
      <c r="A195" s="106" t="s">
        <v>424</v>
      </c>
      <c r="B195" s="106" t="s">
        <v>425</v>
      </c>
      <c r="C195" s="106"/>
      <c r="D195" s="106"/>
      <c r="E195" s="52"/>
    </row>
    <row r="196" spans="1:5" s="103" customFormat="1" ht="13.2" hidden="1" outlineLevel="1" x14ac:dyDescent="0.25">
      <c r="A196" s="106" t="s">
        <v>426</v>
      </c>
      <c r="B196" s="106" t="s">
        <v>427</v>
      </c>
      <c r="C196" s="106"/>
      <c r="D196" s="106"/>
      <c r="E196" s="52"/>
    </row>
    <row r="197" spans="1:5" s="103" customFormat="1" ht="13.2" hidden="1" outlineLevel="1" x14ac:dyDescent="0.25">
      <c r="A197" s="106" t="s">
        <v>428</v>
      </c>
      <c r="B197" s="106" t="s">
        <v>429</v>
      </c>
      <c r="C197" s="106"/>
      <c r="D197" s="106"/>
      <c r="E197" s="52"/>
    </row>
    <row r="198" spans="1:5" s="103" customFormat="1" ht="13.2" hidden="1" outlineLevel="1" x14ac:dyDescent="0.25">
      <c r="A198" s="106" t="s">
        <v>430</v>
      </c>
      <c r="B198" s="106" t="s">
        <v>431</v>
      </c>
      <c r="C198" s="106"/>
      <c r="D198" s="106"/>
      <c r="E198" s="52"/>
    </row>
    <row r="199" spans="1:5" s="103" customFormat="1" ht="13.2" hidden="1" outlineLevel="1" x14ac:dyDescent="0.25">
      <c r="A199" s="106" t="s">
        <v>432</v>
      </c>
      <c r="B199" s="106" t="s">
        <v>433</v>
      </c>
      <c r="C199" s="106"/>
      <c r="D199" s="106"/>
      <c r="E199" s="52"/>
    </row>
    <row r="200" spans="1:5" s="103" customFormat="1" ht="13.2" hidden="1" outlineLevel="1" x14ac:dyDescent="0.25">
      <c r="A200" s="106" t="s">
        <v>434</v>
      </c>
      <c r="B200" s="106" t="s">
        <v>435</v>
      </c>
      <c r="C200" s="106"/>
      <c r="D200" s="106"/>
      <c r="E200" s="52"/>
    </row>
    <row r="201" spans="1:5" s="103" customFormat="1" ht="13.2" hidden="1" outlineLevel="1" x14ac:dyDescent="0.25">
      <c r="A201" s="106" t="s">
        <v>436</v>
      </c>
      <c r="B201" s="106" t="s">
        <v>437</v>
      </c>
      <c r="C201" s="106"/>
      <c r="D201" s="106"/>
      <c r="E201" s="52"/>
    </row>
    <row r="202" spans="1:5" s="103" customFormat="1" ht="13.2" hidden="1" outlineLevel="1" x14ac:dyDescent="0.25">
      <c r="A202" s="106" t="s">
        <v>438</v>
      </c>
      <c r="B202" s="106" t="s">
        <v>439</v>
      </c>
      <c r="C202" s="106"/>
      <c r="D202" s="106"/>
      <c r="E202" s="52"/>
    </row>
    <row r="203" spans="1:5" s="103" customFormat="1" ht="13.2" hidden="1" outlineLevel="1" x14ac:dyDescent="0.25">
      <c r="A203" s="106" t="s">
        <v>440</v>
      </c>
      <c r="B203" s="106" t="s">
        <v>441</v>
      </c>
      <c r="C203" s="106"/>
      <c r="D203" s="106"/>
      <c r="E203" s="52"/>
    </row>
    <row r="204" spans="1:5" s="103" customFormat="1" ht="13.2" hidden="1" outlineLevel="1" x14ac:dyDescent="0.25">
      <c r="A204" s="106" t="s">
        <v>442</v>
      </c>
      <c r="B204" s="106" t="s">
        <v>443</v>
      </c>
      <c r="C204" s="106"/>
      <c r="D204" s="106"/>
      <c r="E204" s="52"/>
    </row>
    <row r="205" spans="1:5" s="103" customFormat="1" ht="13.2" hidden="1" outlineLevel="1" x14ac:dyDescent="0.25">
      <c r="A205" s="106" t="s">
        <v>444</v>
      </c>
      <c r="B205" s="106" t="s">
        <v>445</v>
      </c>
      <c r="C205" s="106"/>
      <c r="D205" s="106"/>
      <c r="E205" s="52"/>
    </row>
    <row r="206" spans="1:5" s="103" customFormat="1" ht="13.2" hidden="1" outlineLevel="1" x14ac:dyDescent="0.25">
      <c r="A206" s="106" t="s">
        <v>446</v>
      </c>
      <c r="B206" s="106" t="s">
        <v>447</v>
      </c>
      <c r="C206" s="106"/>
      <c r="D206" s="106"/>
      <c r="E206" s="52"/>
    </row>
    <row r="207" spans="1:5" s="103" customFormat="1" ht="13.2" hidden="1" outlineLevel="1" x14ac:dyDescent="0.25">
      <c r="A207" s="106" t="s">
        <v>448</v>
      </c>
      <c r="B207" s="106" t="s">
        <v>449</v>
      </c>
      <c r="C207" s="106"/>
      <c r="D207" s="106"/>
      <c r="E207" s="52"/>
    </row>
    <row r="208" spans="1:5" s="103" customFormat="1" ht="13.2" hidden="1" outlineLevel="1" x14ac:dyDescent="0.25">
      <c r="A208" s="106" t="s">
        <v>450</v>
      </c>
      <c r="B208" s="106" t="s">
        <v>451</v>
      </c>
      <c r="C208" s="106"/>
      <c r="D208" s="106"/>
      <c r="E208" s="52"/>
    </row>
    <row r="209" spans="1:5" s="103" customFormat="1" ht="13.2" hidden="1" outlineLevel="1" x14ac:dyDescent="0.25">
      <c r="A209" s="106" t="s">
        <v>452</v>
      </c>
      <c r="B209" s="106" t="s">
        <v>453</v>
      </c>
      <c r="C209" s="106"/>
      <c r="D209" s="106"/>
      <c r="E209" s="52"/>
    </row>
    <row r="210" spans="1:5" s="103" customFormat="1" ht="13.2" hidden="1" outlineLevel="1" x14ac:dyDescent="0.25">
      <c r="A210" s="106" t="s">
        <v>454</v>
      </c>
      <c r="B210" s="106" t="s">
        <v>455</v>
      </c>
      <c r="C210" s="106"/>
      <c r="D210" s="106"/>
      <c r="E210" s="52"/>
    </row>
    <row r="211" spans="1:5" s="103" customFormat="1" ht="13.2" hidden="1" outlineLevel="1" x14ac:dyDescent="0.25">
      <c r="A211" s="106" t="s">
        <v>456</v>
      </c>
      <c r="B211" s="106" t="s">
        <v>457</v>
      </c>
      <c r="C211" s="106"/>
      <c r="D211" s="106"/>
      <c r="E211" s="52"/>
    </row>
    <row r="212" spans="1:5" s="103" customFormat="1" ht="13.2" hidden="1" outlineLevel="1" x14ac:dyDescent="0.25">
      <c r="A212" s="106" t="s">
        <v>458</v>
      </c>
      <c r="B212" s="106" t="s">
        <v>459</v>
      </c>
      <c r="C212" s="106"/>
      <c r="D212" s="106"/>
      <c r="E212" s="52"/>
    </row>
    <row r="213" spans="1:5" s="103" customFormat="1" ht="13.2" hidden="1" outlineLevel="1" x14ac:dyDescent="0.25">
      <c r="A213" s="106" t="s">
        <v>460</v>
      </c>
      <c r="B213" s="106" t="s">
        <v>461</v>
      </c>
      <c r="C213" s="106"/>
      <c r="D213" s="106"/>
      <c r="E213" s="52"/>
    </row>
    <row r="214" spans="1:5" s="103" customFormat="1" ht="13.2" hidden="1" outlineLevel="1" x14ac:dyDescent="0.25">
      <c r="A214" s="106" t="s">
        <v>462</v>
      </c>
      <c r="B214" s="106" t="s">
        <v>463</v>
      </c>
      <c r="C214" s="106"/>
      <c r="D214" s="106"/>
      <c r="E214" s="52"/>
    </row>
    <row r="215" spans="1:5" s="103" customFormat="1" ht="13.2" hidden="1" outlineLevel="1" x14ac:dyDescent="0.25">
      <c r="A215" s="106" t="s">
        <v>464</v>
      </c>
      <c r="B215" s="106" t="s">
        <v>465</v>
      </c>
      <c r="C215" s="106"/>
      <c r="D215" s="106"/>
      <c r="E215" s="52"/>
    </row>
    <row r="216" spans="1:5" s="103" customFormat="1" ht="13.2" hidden="1" outlineLevel="1" x14ac:dyDescent="0.25">
      <c r="A216" s="106" t="s">
        <v>466</v>
      </c>
      <c r="B216" s="106" t="s">
        <v>467</v>
      </c>
      <c r="C216" s="106"/>
      <c r="D216" s="106"/>
      <c r="E216" s="52"/>
    </row>
    <row r="217" spans="1:5" s="103" customFormat="1" ht="13.2" hidden="1" outlineLevel="1" x14ac:dyDescent="0.25">
      <c r="A217" s="106" t="s">
        <v>468</v>
      </c>
      <c r="B217" s="106" t="s">
        <v>469</v>
      </c>
      <c r="C217" s="106"/>
      <c r="D217" s="106"/>
      <c r="E217" s="52"/>
    </row>
    <row r="218" spans="1:5" s="103" customFormat="1" ht="13.2" hidden="1" outlineLevel="1" x14ac:dyDescent="0.25">
      <c r="A218" s="106" t="s">
        <v>470</v>
      </c>
      <c r="B218" s="106" t="s">
        <v>471</v>
      </c>
      <c r="C218" s="106"/>
      <c r="D218" s="106"/>
      <c r="E218" s="52"/>
    </row>
    <row r="219" spans="1:5" s="103" customFormat="1" ht="13.2" hidden="1" outlineLevel="1" x14ac:dyDescent="0.25">
      <c r="A219" s="106" t="s">
        <v>472</v>
      </c>
      <c r="B219" s="106" t="s">
        <v>473</v>
      </c>
      <c r="C219" s="106"/>
      <c r="D219" s="106"/>
      <c r="E219" s="52"/>
    </row>
    <row r="220" spans="1:5" s="103" customFormat="1" ht="13.2" hidden="1" outlineLevel="1" x14ac:dyDescent="0.25">
      <c r="A220" s="106" t="s">
        <v>474</v>
      </c>
      <c r="B220" s="106" t="s">
        <v>475</v>
      </c>
      <c r="C220" s="106"/>
      <c r="D220" s="106"/>
      <c r="E220" s="52"/>
    </row>
    <row r="221" spans="1:5" s="103" customFormat="1" ht="13.2" hidden="1" outlineLevel="1" x14ac:dyDescent="0.25">
      <c r="A221" s="106" t="s">
        <v>476</v>
      </c>
      <c r="B221" s="106" t="s">
        <v>477</v>
      </c>
      <c r="C221" s="106"/>
      <c r="D221" s="106"/>
      <c r="E221" s="52"/>
    </row>
    <row r="222" spans="1:5" s="103" customFormat="1" ht="13.2" hidden="1" outlineLevel="1" x14ac:dyDescent="0.25">
      <c r="A222" s="106" t="s">
        <v>478</v>
      </c>
      <c r="B222" s="106" t="s">
        <v>479</v>
      </c>
      <c r="C222" s="106"/>
      <c r="D222" s="106"/>
      <c r="E222" s="52"/>
    </row>
    <row r="223" spans="1:5" s="103" customFormat="1" ht="13.2" hidden="1" outlineLevel="1" x14ac:dyDescent="0.25">
      <c r="A223" s="106" t="s">
        <v>480</v>
      </c>
      <c r="B223" s="106" t="s">
        <v>481</v>
      </c>
      <c r="C223" s="106"/>
      <c r="D223" s="106"/>
      <c r="E223" s="52"/>
    </row>
    <row r="224" spans="1:5" s="103" customFormat="1" ht="13.2" hidden="1" outlineLevel="1" x14ac:dyDescent="0.25">
      <c r="A224" s="106" t="s">
        <v>482</v>
      </c>
      <c r="B224" s="106" t="s">
        <v>483</v>
      </c>
      <c r="C224" s="106"/>
      <c r="D224" s="106"/>
      <c r="E224" s="52"/>
    </row>
    <row r="225" spans="1:5" s="103" customFormat="1" ht="13.2" hidden="1" outlineLevel="1" x14ac:dyDescent="0.25">
      <c r="A225" s="106" t="s">
        <v>484</v>
      </c>
      <c r="B225" s="106" t="s">
        <v>485</v>
      </c>
      <c r="C225" s="106"/>
      <c r="D225" s="106"/>
      <c r="E225" s="52"/>
    </row>
    <row r="226" spans="1:5" s="103" customFormat="1" ht="13.2" hidden="1" outlineLevel="1" x14ac:dyDescent="0.25">
      <c r="A226" s="106" t="s">
        <v>486</v>
      </c>
      <c r="B226" s="106" t="s">
        <v>487</v>
      </c>
      <c r="C226" s="106"/>
      <c r="D226" s="106"/>
      <c r="E226" s="52"/>
    </row>
    <row r="227" spans="1:5" s="103" customFormat="1" ht="13.2" hidden="1" outlineLevel="1" x14ac:dyDescent="0.25">
      <c r="A227" s="106" t="s">
        <v>488</v>
      </c>
      <c r="B227" s="106" t="s">
        <v>489</v>
      </c>
      <c r="C227" s="106"/>
      <c r="D227" s="106"/>
      <c r="E227" s="52"/>
    </row>
    <row r="228" spans="1:5" s="103" customFormat="1" ht="13.2" hidden="1" outlineLevel="1" x14ac:dyDescent="0.25">
      <c r="A228" s="106" t="s">
        <v>490</v>
      </c>
      <c r="B228" s="106" t="s">
        <v>491</v>
      </c>
      <c r="C228" s="106"/>
      <c r="D228" s="106"/>
      <c r="E228" s="52"/>
    </row>
    <row r="229" spans="1:5" s="103" customFormat="1" ht="13.2" hidden="1" outlineLevel="1" x14ac:dyDescent="0.25">
      <c r="A229" s="106" t="s">
        <v>492</v>
      </c>
      <c r="B229" s="106" t="s">
        <v>493</v>
      </c>
      <c r="C229" s="106"/>
      <c r="D229" s="106"/>
      <c r="E229" s="52"/>
    </row>
    <row r="230" spans="1:5" s="103" customFormat="1" ht="13.2" hidden="1" outlineLevel="1" x14ac:dyDescent="0.25">
      <c r="A230" s="106" t="s">
        <v>494</v>
      </c>
      <c r="B230" s="106" t="s">
        <v>495</v>
      </c>
      <c r="C230" s="106"/>
      <c r="D230" s="106"/>
      <c r="E230" s="52"/>
    </row>
    <row r="231" spans="1:5" s="103" customFormat="1" ht="13.2" hidden="1" outlineLevel="1" x14ac:dyDescent="0.25">
      <c r="A231" s="106" t="s">
        <v>496</v>
      </c>
      <c r="B231" s="106" t="s">
        <v>497</v>
      </c>
      <c r="C231" s="106"/>
      <c r="D231" s="106"/>
      <c r="E231" s="52"/>
    </row>
    <row r="232" spans="1:5" s="103" customFormat="1" ht="13.2" hidden="1" outlineLevel="1" x14ac:dyDescent="0.25">
      <c r="A232" s="106" t="s">
        <v>498</v>
      </c>
      <c r="B232" s="106" t="s">
        <v>499</v>
      </c>
      <c r="C232" s="106"/>
      <c r="D232" s="106"/>
      <c r="E232" s="52"/>
    </row>
    <row r="233" spans="1:5" s="103" customFormat="1" ht="13.2" hidden="1" outlineLevel="1" x14ac:dyDescent="0.25">
      <c r="A233" s="106" t="s">
        <v>500</v>
      </c>
      <c r="B233" s="106" t="s">
        <v>501</v>
      </c>
      <c r="C233" s="106"/>
      <c r="D233" s="106"/>
      <c r="E233" s="52"/>
    </row>
    <row r="234" spans="1:5" s="103" customFormat="1" ht="13.2" hidden="1" outlineLevel="1" x14ac:dyDescent="0.25">
      <c r="A234" s="106" t="s">
        <v>502</v>
      </c>
      <c r="B234" s="106" t="s">
        <v>503</v>
      </c>
      <c r="C234" s="106"/>
      <c r="D234" s="106"/>
      <c r="E234" s="52"/>
    </row>
    <row r="235" spans="1:5" s="103" customFormat="1" ht="13.2" hidden="1" outlineLevel="1" x14ac:dyDescent="0.25">
      <c r="A235" s="106" t="s">
        <v>504</v>
      </c>
      <c r="B235" s="106" t="s">
        <v>505</v>
      </c>
      <c r="C235" s="106"/>
      <c r="D235" s="106"/>
      <c r="E235" s="52"/>
    </row>
    <row r="236" spans="1:5" s="103" customFormat="1" ht="13.2" hidden="1" outlineLevel="1" x14ac:dyDescent="0.25">
      <c r="A236" s="106" t="s">
        <v>506</v>
      </c>
      <c r="B236" s="106" t="s">
        <v>507</v>
      </c>
      <c r="C236" s="106"/>
      <c r="D236" s="106"/>
      <c r="E236" s="52"/>
    </row>
    <row r="237" spans="1:5" s="103" customFormat="1" ht="13.2" hidden="1" outlineLevel="1" x14ac:dyDescent="0.25">
      <c r="A237" s="106" t="s">
        <v>508</v>
      </c>
      <c r="B237" s="106" t="s">
        <v>509</v>
      </c>
      <c r="C237" s="106"/>
      <c r="D237" s="106"/>
      <c r="E237" s="52"/>
    </row>
    <row r="238" spans="1:5" s="103" customFormat="1" ht="13.2" hidden="1" outlineLevel="1" x14ac:dyDescent="0.25">
      <c r="A238" s="106" t="s">
        <v>510</v>
      </c>
      <c r="B238" s="106" t="s">
        <v>511</v>
      </c>
      <c r="C238" s="106"/>
      <c r="D238" s="106"/>
      <c r="E238" s="52"/>
    </row>
    <row r="239" spans="1:5" s="103" customFormat="1" ht="13.2" hidden="1" outlineLevel="1" x14ac:dyDescent="0.25">
      <c r="A239" s="106" t="s">
        <v>512</v>
      </c>
      <c r="B239" s="106" t="s">
        <v>513</v>
      </c>
      <c r="C239" s="106"/>
      <c r="D239" s="106"/>
      <c r="E239" s="52"/>
    </row>
    <row r="240" spans="1:5" s="103" customFormat="1" ht="13.2" hidden="1" outlineLevel="1" x14ac:dyDescent="0.25">
      <c r="A240" s="106" t="s">
        <v>514</v>
      </c>
      <c r="B240" s="106" t="s">
        <v>515</v>
      </c>
      <c r="C240" s="106"/>
      <c r="D240" s="106"/>
      <c r="E240" s="52"/>
    </row>
    <row r="241" spans="1:5" s="103" customFormat="1" ht="13.2" hidden="1" outlineLevel="1" x14ac:dyDescent="0.25">
      <c r="A241" s="106" t="s">
        <v>516</v>
      </c>
      <c r="B241" s="106" t="s">
        <v>517</v>
      </c>
      <c r="C241" s="106"/>
      <c r="D241" s="106"/>
      <c r="E241" s="52"/>
    </row>
    <row r="242" spans="1:5" s="103" customFormat="1" ht="13.2" hidden="1" outlineLevel="1" x14ac:dyDescent="0.25">
      <c r="A242" s="106" t="s">
        <v>518</v>
      </c>
      <c r="B242" s="106" t="s">
        <v>519</v>
      </c>
      <c r="C242" s="106"/>
      <c r="D242" s="106"/>
      <c r="E242" s="52"/>
    </row>
    <row r="243" spans="1:5" s="103" customFormat="1" ht="13.2" hidden="1" outlineLevel="1" x14ac:dyDescent="0.25">
      <c r="A243" s="106" t="s">
        <v>520</v>
      </c>
      <c r="B243" s="106" t="s">
        <v>521</v>
      </c>
      <c r="C243" s="106"/>
      <c r="D243" s="106"/>
      <c r="E243" s="52"/>
    </row>
    <row r="244" spans="1:5" s="103" customFormat="1" ht="13.2" hidden="1" outlineLevel="1" x14ac:dyDescent="0.25">
      <c r="A244" s="106" t="s">
        <v>522</v>
      </c>
      <c r="B244" s="106" t="s">
        <v>523</v>
      </c>
      <c r="C244" s="106"/>
      <c r="D244" s="106"/>
      <c r="E244" s="52"/>
    </row>
    <row r="245" spans="1:5" s="103" customFormat="1" ht="13.2" hidden="1" outlineLevel="1" x14ac:dyDescent="0.25">
      <c r="A245" s="106" t="s">
        <v>524</v>
      </c>
      <c r="B245" s="106" t="s">
        <v>525</v>
      </c>
      <c r="C245" s="106"/>
      <c r="D245" s="106"/>
      <c r="E245" s="52"/>
    </row>
    <row r="246" spans="1:5" s="103" customFormat="1" ht="13.2" hidden="1" outlineLevel="1" x14ac:dyDescent="0.25">
      <c r="A246" s="106" t="s">
        <v>526</v>
      </c>
      <c r="B246" s="106" t="s">
        <v>527</v>
      </c>
      <c r="C246" s="106"/>
      <c r="D246" s="106"/>
      <c r="E246" s="52"/>
    </row>
    <row r="247" spans="1:5" s="103" customFormat="1" ht="13.2" hidden="1" outlineLevel="1" x14ac:dyDescent="0.25">
      <c r="A247" s="106" t="s">
        <v>528</v>
      </c>
      <c r="B247" s="106" t="s">
        <v>529</v>
      </c>
      <c r="C247" s="106"/>
      <c r="D247" s="106"/>
      <c r="E247" s="52"/>
    </row>
    <row r="248" spans="1:5" s="103" customFormat="1" ht="13.2" hidden="1" outlineLevel="1" x14ac:dyDescent="0.25">
      <c r="A248" s="106" t="s">
        <v>530</v>
      </c>
      <c r="B248" s="106" t="s">
        <v>531</v>
      </c>
      <c r="C248" s="106"/>
      <c r="D248" s="106"/>
      <c r="E248" s="52"/>
    </row>
    <row r="249" spans="1:5" s="103" customFormat="1" ht="13.2" hidden="1" outlineLevel="1" x14ac:dyDescent="0.25">
      <c r="A249" s="106" t="s">
        <v>532</v>
      </c>
      <c r="B249" s="106" t="s">
        <v>533</v>
      </c>
      <c r="C249" s="106"/>
      <c r="D249" s="106"/>
      <c r="E249" s="52"/>
    </row>
    <row r="250" spans="1:5" s="103" customFormat="1" ht="13.2" hidden="1" outlineLevel="1" x14ac:dyDescent="0.25">
      <c r="A250" s="106" t="s">
        <v>534</v>
      </c>
      <c r="B250" s="106" t="s">
        <v>535</v>
      </c>
      <c r="C250" s="106"/>
      <c r="D250" s="106"/>
      <c r="E250" s="52"/>
    </row>
    <row r="251" spans="1:5" s="103" customFormat="1" ht="13.2" hidden="1" outlineLevel="1" x14ac:dyDescent="0.25">
      <c r="A251" s="106" t="s">
        <v>536</v>
      </c>
      <c r="B251" s="106" t="s">
        <v>537</v>
      </c>
      <c r="C251" s="106"/>
      <c r="D251" s="106"/>
      <c r="E251" s="52"/>
    </row>
    <row r="252" spans="1:5" s="103" customFormat="1" ht="13.2" hidden="1" outlineLevel="1" x14ac:dyDescent="0.25">
      <c r="A252" s="106" t="s">
        <v>538</v>
      </c>
      <c r="B252" s="106" t="s">
        <v>539</v>
      </c>
      <c r="C252" s="106"/>
      <c r="D252" s="106"/>
      <c r="E252" s="52"/>
    </row>
    <row r="253" spans="1:5" s="103" customFormat="1" ht="13.2" hidden="1" outlineLevel="1" x14ac:dyDescent="0.25">
      <c r="A253" s="106" t="s">
        <v>540</v>
      </c>
      <c r="B253" s="106" t="s">
        <v>541</v>
      </c>
      <c r="C253" s="106"/>
      <c r="D253" s="106"/>
      <c r="E253" s="52"/>
    </row>
    <row r="254" spans="1:5" s="103" customFormat="1" ht="13.2" hidden="1" outlineLevel="1" x14ac:dyDescent="0.25">
      <c r="A254" s="106" t="s">
        <v>542</v>
      </c>
      <c r="B254" s="106" t="s">
        <v>543</v>
      </c>
      <c r="C254" s="106"/>
      <c r="D254" s="106"/>
      <c r="E254" s="52"/>
    </row>
    <row r="255" spans="1:5" s="103" customFormat="1" ht="13.2" hidden="1" outlineLevel="1" x14ac:dyDescent="0.25">
      <c r="A255" s="106" t="s">
        <v>544</v>
      </c>
      <c r="B255" s="106" t="s">
        <v>545</v>
      </c>
      <c r="C255" s="106"/>
      <c r="D255" s="106"/>
      <c r="E255" s="52"/>
    </row>
    <row r="256" spans="1:5" s="103" customFormat="1" ht="13.2" hidden="1" outlineLevel="1" x14ac:dyDescent="0.25">
      <c r="A256" s="106" t="s">
        <v>546</v>
      </c>
      <c r="B256" s="106" t="s">
        <v>547</v>
      </c>
      <c r="C256" s="106"/>
      <c r="D256" s="106"/>
      <c r="E256" s="52"/>
    </row>
    <row r="257" spans="1:5" s="103" customFormat="1" ht="13.2" hidden="1" outlineLevel="1" x14ac:dyDescent="0.25">
      <c r="A257" s="106" t="s">
        <v>548</v>
      </c>
      <c r="B257" s="106" t="s">
        <v>549</v>
      </c>
      <c r="C257" s="106"/>
      <c r="D257" s="106"/>
      <c r="E257" s="52"/>
    </row>
    <row r="258" spans="1:5" s="103" customFormat="1" ht="13.2" hidden="1" outlineLevel="1" x14ac:dyDescent="0.25">
      <c r="A258" s="106" t="s">
        <v>550</v>
      </c>
      <c r="B258" s="106" t="s">
        <v>551</v>
      </c>
      <c r="C258" s="106"/>
      <c r="D258" s="106"/>
      <c r="E258" s="52"/>
    </row>
    <row r="259" spans="1:5" s="103" customFormat="1" ht="13.2" hidden="1" outlineLevel="1" x14ac:dyDescent="0.25">
      <c r="A259" s="106" t="s">
        <v>552</v>
      </c>
      <c r="B259" s="106" t="s">
        <v>553</v>
      </c>
      <c r="C259" s="106"/>
      <c r="D259" s="106"/>
      <c r="E259" s="52"/>
    </row>
    <row r="260" spans="1:5" s="103" customFormat="1" ht="13.2" hidden="1" outlineLevel="1" x14ac:dyDescent="0.25">
      <c r="A260" s="106" t="s">
        <v>554</v>
      </c>
      <c r="B260" s="106" t="s">
        <v>555</v>
      </c>
      <c r="C260" s="106"/>
      <c r="D260" s="106"/>
      <c r="E260" s="52"/>
    </row>
    <row r="261" spans="1:5" s="103" customFormat="1" ht="13.2" hidden="1" outlineLevel="1" x14ac:dyDescent="0.25">
      <c r="A261" s="106" t="s">
        <v>556</v>
      </c>
      <c r="B261" s="106" t="s">
        <v>557</v>
      </c>
      <c r="C261" s="106"/>
      <c r="D261" s="106"/>
      <c r="E261" s="52"/>
    </row>
    <row r="262" spans="1:5" s="103" customFormat="1" ht="13.2" hidden="1" outlineLevel="1" x14ac:dyDescent="0.25">
      <c r="A262" s="106" t="s">
        <v>558</v>
      </c>
      <c r="B262" s="106" t="s">
        <v>559</v>
      </c>
      <c r="C262" s="106"/>
      <c r="D262" s="106"/>
      <c r="E262" s="52"/>
    </row>
    <row r="263" spans="1:5" s="103" customFormat="1" ht="13.2" hidden="1" outlineLevel="1" x14ac:dyDescent="0.25">
      <c r="A263" s="106" t="s">
        <v>560</v>
      </c>
      <c r="B263" s="106" t="s">
        <v>561</v>
      </c>
      <c r="C263" s="106"/>
      <c r="D263" s="106"/>
      <c r="E263" s="52"/>
    </row>
    <row r="264" spans="1:5" s="103" customFormat="1" ht="13.2" hidden="1" outlineLevel="1" x14ac:dyDescent="0.25">
      <c r="A264" s="106" t="s">
        <v>562</v>
      </c>
      <c r="B264" s="106" t="s">
        <v>563</v>
      </c>
      <c r="C264" s="106"/>
      <c r="D264" s="106"/>
      <c r="E264" s="52"/>
    </row>
    <row r="265" spans="1:5" s="103" customFormat="1" ht="13.2" hidden="1" outlineLevel="1" x14ac:dyDescent="0.25">
      <c r="A265" s="106" t="s">
        <v>564</v>
      </c>
      <c r="B265" s="106" t="s">
        <v>565</v>
      </c>
      <c r="C265" s="106"/>
      <c r="D265" s="106"/>
      <c r="E265" s="52"/>
    </row>
    <row r="266" spans="1:5" s="103" customFormat="1" ht="13.2" hidden="1" outlineLevel="1" x14ac:dyDescent="0.25">
      <c r="A266" s="106" t="s">
        <v>566</v>
      </c>
      <c r="B266" s="106" t="s">
        <v>567</v>
      </c>
      <c r="C266" s="106"/>
      <c r="D266" s="106"/>
      <c r="E266" s="52"/>
    </row>
    <row r="267" spans="1:5" s="103" customFormat="1" ht="13.2" hidden="1" outlineLevel="1" x14ac:dyDescent="0.25">
      <c r="A267" s="106" t="s">
        <v>568</v>
      </c>
      <c r="B267" s="106" t="s">
        <v>569</v>
      </c>
      <c r="C267" s="106"/>
      <c r="D267" s="106"/>
      <c r="E267" s="52"/>
    </row>
    <row r="268" spans="1:5" s="103" customFormat="1" ht="13.2" hidden="1" outlineLevel="1" x14ac:dyDescent="0.25">
      <c r="A268" s="106" t="s">
        <v>570</v>
      </c>
      <c r="B268" s="106" t="s">
        <v>571</v>
      </c>
      <c r="C268" s="106"/>
      <c r="D268" s="106"/>
      <c r="E268" s="52"/>
    </row>
    <row r="269" spans="1:5" s="103" customFormat="1" ht="13.2" hidden="1" outlineLevel="1" x14ac:dyDescent="0.25">
      <c r="A269" s="106" t="s">
        <v>572</v>
      </c>
      <c r="B269" s="106" t="s">
        <v>573</v>
      </c>
      <c r="C269" s="106"/>
      <c r="D269" s="106"/>
      <c r="E269" s="52"/>
    </row>
    <row r="270" spans="1:5" s="103" customFormat="1" ht="13.2" hidden="1" outlineLevel="1" x14ac:dyDescent="0.25">
      <c r="A270" s="106" t="s">
        <v>574</v>
      </c>
      <c r="B270" s="106" t="s">
        <v>575</v>
      </c>
      <c r="C270" s="106"/>
      <c r="D270" s="106"/>
      <c r="E270" s="52"/>
    </row>
    <row r="271" spans="1:5" s="103" customFormat="1" ht="13.2" hidden="1" outlineLevel="1" x14ac:dyDescent="0.25">
      <c r="A271" s="106" t="s">
        <v>576</v>
      </c>
      <c r="B271" s="106" t="s">
        <v>577</v>
      </c>
      <c r="C271" s="106"/>
      <c r="D271" s="106"/>
      <c r="E271" s="52"/>
    </row>
    <row r="272" spans="1:5" s="103" customFormat="1" ht="13.2" hidden="1" outlineLevel="1" x14ac:dyDescent="0.25">
      <c r="A272" s="106" t="s">
        <v>578</v>
      </c>
      <c r="B272" s="106" t="s">
        <v>579</v>
      </c>
      <c r="C272" s="106"/>
      <c r="D272" s="106"/>
      <c r="E272" s="52"/>
    </row>
    <row r="273" spans="1:5" s="103" customFormat="1" ht="13.2" hidden="1" outlineLevel="1" x14ac:dyDescent="0.25">
      <c r="A273" s="106" t="s">
        <v>580</v>
      </c>
      <c r="B273" s="106" t="s">
        <v>581</v>
      </c>
      <c r="C273" s="106"/>
      <c r="D273" s="106"/>
      <c r="E273" s="52"/>
    </row>
    <row r="274" spans="1:5" s="103" customFormat="1" ht="13.2" hidden="1" outlineLevel="1" x14ac:dyDescent="0.25">
      <c r="A274" s="106" t="s">
        <v>582</v>
      </c>
      <c r="B274" s="106" t="s">
        <v>583</v>
      </c>
      <c r="C274" s="106"/>
      <c r="D274" s="106"/>
      <c r="E274" s="52"/>
    </row>
    <row r="275" spans="1:5" s="103" customFormat="1" ht="13.2" hidden="1" outlineLevel="1" x14ac:dyDescent="0.25">
      <c r="A275" s="106" t="s">
        <v>584</v>
      </c>
      <c r="B275" s="106" t="s">
        <v>585</v>
      </c>
      <c r="C275" s="106"/>
      <c r="D275" s="106"/>
      <c r="E275" s="52"/>
    </row>
    <row r="276" spans="1:5" s="103" customFormat="1" ht="13.2" hidden="1" outlineLevel="1" x14ac:dyDescent="0.25">
      <c r="A276" s="106" t="s">
        <v>586</v>
      </c>
      <c r="B276" s="106" t="s">
        <v>587</v>
      </c>
      <c r="C276" s="106"/>
      <c r="D276" s="106"/>
      <c r="E276" s="52"/>
    </row>
    <row r="277" spans="1:5" s="103" customFormat="1" ht="13.2" hidden="1" outlineLevel="1" x14ac:dyDescent="0.25">
      <c r="A277" s="106" t="s">
        <v>588</v>
      </c>
      <c r="B277" s="106" t="s">
        <v>589</v>
      </c>
      <c r="C277" s="106"/>
      <c r="D277" s="106"/>
      <c r="E277" s="52"/>
    </row>
    <row r="278" spans="1:5" s="103" customFormat="1" ht="13.2" hidden="1" outlineLevel="1" x14ac:dyDescent="0.25">
      <c r="A278" s="106" t="s">
        <v>590</v>
      </c>
      <c r="B278" s="106" t="s">
        <v>591</v>
      </c>
      <c r="C278" s="106"/>
      <c r="D278" s="106"/>
      <c r="E278" s="52"/>
    </row>
    <row r="279" spans="1:5" s="103" customFormat="1" ht="13.2" hidden="1" outlineLevel="1" x14ac:dyDescent="0.25">
      <c r="A279" s="106" t="s">
        <v>592</v>
      </c>
      <c r="B279" s="106" t="s">
        <v>593</v>
      </c>
      <c r="C279" s="106"/>
      <c r="D279" s="106"/>
      <c r="E279" s="52"/>
    </row>
    <row r="280" spans="1:5" s="103" customFormat="1" ht="13.2" hidden="1" outlineLevel="1" x14ac:dyDescent="0.25">
      <c r="A280" s="106" t="s">
        <v>594</v>
      </c>
      <c r="B280" s="106" t="s">
        <v>595</v>
      </c>
      <c r="C280" s="106"/>
      <c r="D280" s="106"/>
      <c r="E280" s="52"/>
    </row>
    <row r="281" spans="1:5" s="103" customFormat="1" ht="13.2" hidden="1" outlineLevel="1" x14ac:dyDescent="0.25">
      <c r="A281" s="106" t="s">
        <v>596</v>
      </c>
      <c r="B281" s="106" t="s">
        <v>597</v>
      </c>
      <c r="C281" s="106"/>
      <c r="D281" s="106"/>
      <c r="E281" s="52"/>
    </row>
    <row r="282" spans="1:5" s="103" customFormat="1" ht="13.2" hidden="1" outlineLevel="1" x14ac:dyDescent="0.25">
      <c r="A282" s="106" t="s">
        <v>598</v>
      </c>
      <c r="B282" s="106" t="s">
        <v>599</v>
      </c>
      <c r="C282" s="106"/>
      <c r="D282" s="106"/>
      <c r="E282" s="52"/>
    </row>
    <row r="283" spans="1:5" s="103" customFormat="1" ht="13.2" hidden="1" outlineLevel="1" x14ac:dyDescent="0.25">
      <c r="A283" s="106" t="s">
        <v>600</v>
      </c>
      <c r="B283" s="106" t="s">
        <v>601</v>
      </c>
      <c r="C283" s="106"/>
      <c r="D283" s="106"/>
      <c r="E283" s="52"/>
    </row>
    <row r="284" spans="1:5" s="103" customFormat="1" ht="13.2" hidden="1" outlineLevel="1" x14ac:dyDescent="0.25">
      <c r="A284" s="106" t="s">
        <v>602</v>
      </c>
      <c r="B284" s="106" t="s">
        <v>603</v>
      </c>
      <c r="C284" s="106"/>
      <c r="D284" s="106"/>
      <c r="E284" s="52"/>
    </row>
    <row r="285" spans="1:5" s="103" customFormat="1" ht="13.2" hidden="1" outlineLevel="1" x14ac:dyDescent="0.25">
      <c r="A285" s="106" t="s">
        <v>604</v>
      </c>
      <c r="B285" s="106" t="s">
        <v>605</v>
      </c>
      <c r="C285" s="106"/>
      <c r="D285" s="106"/>
      <c r="E285" s="52"/>
    </row>
    <row r="286" spans="1:5" s="103" customFormat="1" ht="13.2" hidden="1" outlineLevel="1" x14ac:dyDescent="0.25">
      <c r="A286" s="106" t="s">
        <v>606</v>
      </c>
      <c r="B286" s="106" t="s">
        <v>607</v>
      </c>
      <c r="C286" s="106"/>
      <c r="D286" s="106"/>
      <c r="E286" s="52"/>
    </row>
    <row r="287" spans="1:5" s="103" customFormat="1" ht="13.2" hidden="1" outlineLevel="1" x14ac:dyDescent="0.25">
      <c r="A287" s="106" t="s">
        <v>608</v>
      </c>
      <c r="B287" s="106" t="s">
        <v>609</v>
      </c>
      <c r="C287" s="106"/>
      <c r="D287" s="106"/>
      <c r="E287" s="52"/>
    </row>
    <row r="288" spans="1:5" s="103" customFormat="1" ht="13.2" hidden="1" outlineLevel="1" x14ac:dyDescent="0.25">
      <c r="A288" s="106" t="s">
        <v>610</v>
      </c>
      <c r="B288" s="106" t="s">
        <v>611</v>
      </c>
      <c r="C288" s="106"/>
      <c r="D288" s="106"/>
      <c r="E288" s="52"/>
    </row>
    <row r="289" spans="1:5" s="103" customFormat="1" ht="13.2" hidden="1" outlineLevel="1" x14ac:dyDescent="0.25">
      <c r="A289" s="106" t="s">
        <v>612</v>
      </c>
      <c r="B289" s="106" t="s">
        <v>613</v>
      </c>
      <c r="C289" s="106"/>
      <c r="D289" s="106"/>
      <c r="E289" s="52"/>
    </row>
    <row r="290" spans="1:5" s="103" customFormat="1" ht="13.2" hidden="1" outlineLevel="1" x14ac:dyDescent="0.25">
      <c r="A290" s="106" t="s">
        <v>614</v>
      </c>
      <c r="B290" s="106" t="s">
        <v>615</v>
      </c>
      <c r="C290" s="106"/>
      <c r="D290" s="106"/>
      <c r="E290" s="52"/>
    </row>
    <row r="291" spans="1:5" s="103" customFormat="1" ht="13.2" hidden="1" outlineLevel="1" x14ac:dyDescent="0.25">
      <c r="A291" s="106" t="s">
        <v>616</v>
      </c>
      <c r="B291" s="106" t="s">
        <v>617</v>
      </c>
      <c r="C291" s="106"/>
      <c r="D291" s="106"/>
      <c r="E291" s="52"/>
    </row>
    <row r="292" spans="1:5" s="103" customFormat="1" ht="13.2" hidden="1" outlineLevel="1" x14ac:dyDescent="0.25">
      <c r="A292" s="106" t="s">
        <v>618</v>
      </c>
      <c r="B292" s="106" t="s">
        <v>619</v>
      </c>
      <c r="C292" s="106"/>
      <c r="D292" s="106"/>
      <c r="E292" s="52"/>
    </row>
    <row r="293" spans="1:5" s="103" customFormat="1" ht="13.2" hidden="1" outlineLevel="1" x14ac:dyDescent="0.25">
      <c r="A293" s="106" t="s">
        <v>620</v>
      </c>
      <c r="B293" s="106" t="s">
        <v>621</v>
      </c>
      <c r="C293" s="106"/>
      <c r="D293" s="106"/>
      <c r="E293" s="52"/>
    </row>
    <row r="294" spans="1:5" s="103" customFormat="1" ht="13.2" hidden="1" outlineLevel="1" x14ac:dyDescent="0.25">
      <c r="A294" s="106" t="s">
        <v>622</v>
      </c>
      <c r="B294" s="106" t="s">
        <v>623</v>
      </c>
      <c r="C294" s="106"/>
      <c r="D294" s="106"/>
      <c r="E294" s="52"/>
    </row>
    <row r="295" spans="1:5" s="103" customFormat="1" ht="13.2" hidden="1" outlineLevel="1" x14ac:dyDescent="0.25">
      <c r="A295" s="106" t="s">
        <v>624</v>
      </c>
      <c r="B295" s="106" t="s">
        <v>625</v>
      </c>
      <c r="C295" s="106"/>
      <c r="D295" s="106"/>
      <c r="E295" s="52"/>
    </row>
    <row r="296" spans="1:5" s="103" customFormat="1" ht="13.2" hidden="1" outlineLevel="1" x14ac:dyDescent="0.25">
      <c r="A296" s="106" t="s">
        <v>626</v>
      </c>
      <c r="B296" s="106" t="s">
        <v>627</v>
      </c>
      <c r="C296" s="106"/>
      <c r="D296" s="106"/>
      <c r="E296" s="52"/>
    </row>
    <row r="297" spans="1:5" s="103" customFormat="1" ht="13.2" hidden="1" outlineLevel="1" x14ac:dyDescent="0.25">
      <c r="A297" s="106" t="s">
        <v>628</v>
      </c>
      <c r="B297" s="106" t="s">
        <v>629</v>
      </c>
      <c r="C297" s="106"/>
      <c r="D297" s="106"/>
      <c r="E297" s="52"/>
    </row>
    <row r="298" spans="1:5" s="103" customFormat="1" ht="13.2" hidden="1" outlineLevel="1" x14ac:dyDescent="0.25">
      <c r="A298" s="106" t="s">
        <v>630</v>
      </c>
      <c r="B298" s="106" t="s">
        <v>631</v>
      </c>
      <c r="C298" s="106"/>
      <c r="D298" s="106"/>
      <c r="E298" s="52"/>
    </row>
    <row r="299" spans="1:5" s="103" customFormat="1" ht="13.2" hidden="1" outlineLevel="1" x14ac:dyDescent="0.25">
      <c r="A299" s="106" t="s">
        <v>632</v>
      </c>
      <c r="B299" s="106" t="s">
        <v>633</v>
      </c>
      <c r="C299" s="106"/>
      <c r="D299" s="106"/>
      <c r="E299" s="52"/>
    </row>
    <row r="300" spans="1:5" s="103" customFormat="1" ht="13.2" hidden="1" outlineLevel="1" x14ac:dyDescent="0.25">
      <c r="A300" s="106" t="s">
        <v>634</v>
      </c>
      <c r="B300" s="106" t="s">
        <v>635</v>
      </c>
      <c r="C300" s="106"/>
      <c r="D300" s="106"/>
      <c r="E300" s="52"/>
    </row>
    <row r="301" spans="1:5" s="103" customFormat="1" ht="13.2" hidden="1" outlineLevel="1" x14ac:dyDescent="0.25">
      <c r="A301" s="106" t="s">
        <v>636</v>
      </c>
      <c r="B301" s="106" t="s">
        <v>637</v>
      </c>
      <c r="C301" s="106"/>
      <c r="D301" s="106"/>
      <c r="E301" s="52"/>
    </row>
    <row r="302" spans="1:5" s="103" customFormat="1" ht="13.2" collapsed="1" x14ac:dyDescent="0.25">
      <c r="A302" s="104" t="s">
        <v>638</v>
      </c>
      <c r="B302" s="105" t="s">
        <v>639</v>
      </c>
      <c r="C302" s="105"/>
      <c r="D302" s="105"/>
      <c r="E302" s="51"/>
    </row>
    <row r="303" spans="1:5" s="103" customFormat="1" ht="13.2" hidden="1" outlineLevel="1" x14ac:dyDescent="0.25">
      <c r="A303" s="106" t="s">
        <v>640</v>
      </c>
      <c r="B303" s="106" t="s">
        <v>641</v>
      </c>
      <c r="C303" s="106"/>
      <c r="D303" s="106"/>
      <c r="E303" s="52"/>
    </row>
    <row r="304" spans="1:5" s="103" customFormat="1" ht="13.2" hidden="1" outlineLevel="1" x14ac:dyDescent="0.25">
      <c r="A304" s="106" t="s">
        <v>642</v>
      </c>
      <c r="B304" s="106" t="s">
        <v>643</v>
      </c>
      <c r="C304" s="106"/>
      <c r="D304" s="106"/>
      <c r="E304" s="52"/>
    </row>
    <row r="305" spans="1:5" s="103" customFormat="1" ht="13.2" hidden="1" outlineLevel="1" x14ac:dyDescent="0.25">
      <c r="A305" s="106" t="s">
        <v>644</v>
      </c>
      <c r="B305" s="106" t="s">
        <v>645</v>
      </c>
      <c r="C305" s="106"/>
      <c r="D305" s="106"/>
      <c r="E305" s="52"/>
    </row>
    <row r="306" spans="1:5" s="103" customFormat="1" ht="13.2" hidden="1" outlineLevel="1" x14ac:dyDescent="0.25">
      <c r="A306" s="106" t="s">
        <v>646</v>
      </c>
      <c r="B306" s="106" t="s">
        <v>647</v>
      </c>
      <c r="C306" s="106"/>
      <c r="D306" s="106"/>
      <c r="E306" s="52"/>
    </row>
    <row r="307" spans="1:5" s="103" customFormat="1" ht="13.2" hidden="1" outlineLevel="1" x14ac:dyDescent="0.25">
      <c r="A307" s="106" t="s">
        <v>648</v>
      </c>
      <c r="B307" s="106" t="s">
        <v>649</v>
      </c>
      <c r="C307" s="106"/>
      <c r="D307" s="106"/>
      <c r="E307" s="52"/>
    </row>
    <row r="308" spans="1:5" s="103" customFormat="1" ht="13.2" hidden="1" outlineLevel="1" x14ac:dyDescent="0.25">
      <c r="A308" s="106" t="s">
        <v>650</v>
      </c>
      <c r="B308" s="106" t="s">
        <v>651</v>
      </c>
      <c r="C308" s="106"/>
      <c r="D308" s="106"/>
      <c r="E308" s="52"/>
    </row>
    <row r="309" spans="1:5" s="103" customFormat="1" ht="13.2" hidden="1" outlineLevel="1" x14ac:dyDescent="0.25">
      <c r="A309" s="106" t="s">
        <v>652</v>
      </c>
      <c r="B309" s="106" t="s">
        <v>653</v>
      </c>
      <c r="C309" s="106"/>
      <c r="D309" s="106"/>
      <c r="E309" s="52"/>
    </row>
    <row r="310" spans="1:5" s="103" customFormat="1" ht="13.2" hidden="1" outlineLevel="1" x14ac:dyDescent="0.25">
      <c r="A310" s="106" t="s">
        <v>654</v>
      </c>
      <c r="B310" s="106" t="s">
        <v>655</v>
      </c>
      <c r="C310" s="106"/>
      <c r="D310" s="106"/>
      <c r="E310" s="52"/>
    </row>
    <row r="311" spans="1:5" s="103" customFormat="1" ht="13.2" hidden="1" outlineLevel="1" x14ac:dyDescent="0.25">
      <c r="A311" s="106" t="s">
        <v>656</v>
      </c>
      <c r="B311" s="106" t="s">
        <v>657</v>
      </c>
      <c r="C311" s="106"/>
      <c r="D311" s="106"/>
      <c r="E311" s="52"/>
    </row>
    <row r="312" spans="1:5" s="103" customFormat="1" ht="13.2" hidden="1" outlineLevel="1" x14ac:dyDescent="0.25">
      <c r="A312" s="106" t="s">
        <v>658</v>
      </c>
      <c r="B312" s="106" t="s">
        <v>659</v>
      </c>
      <c r="C312" s="106"/>
      <c r="D312" s="106"/>
      <c r="E312" s="52"/>
    </row>
    <row r="313" spans="1:5" s="103" customFormat="1" ht="13.2" hidden="1" outlineLevel="1" x14ac:dyDescent="0.25">
      <c r="A313" s="106" t="s">
        <v>660</v>
      </c>
      <c r="B313" s="106" t="s">
        <v>661</v>
      </c>
      <c r="C313" s="106"/>
      <c r="D313" s="106"/>
      <c r="E313" s="52"/>
    </row>
    <row r="314" spans="1:5" s="103" customFormat="1" ht="13.2" hidden="1" outlineLevel="1" x14ac:dyDescent="0.25">
      <c r="A314" s="106" t="s">
        <v>662</v>
      </c>
      <c r="B314" s="106" t="s">
        <v>663</v>
      </c>
      <c r="C314" s="106"/>
      <c r="D314" s="106"/>
      <c r="E314" s="52"/>
    </row>
    <row r="315" spans="1:5" s="103" customFormat="1" ht="13.2" hidden="1" outlineLevel="1" x14ac:dyDescent="0.25">
      <c r="A315" s="106" t="s">
        <v>664</v>
      </c>
      <c r="B315" s="106" t="s">
        <v>665</v>
      </c>
      <c r="C315" s="106"/>
      <c r="D315" s="106"/>
      <c r="E315" s="52"/>
    </row>
    <row r="316" spans="1:5" s="103" customFormat="1" ht="13.2" hidden="1" outlineLevel="1" x14ac:dyDescent="0.25">
      <c r="A316" s="106" t="s">
        <v>666</v>
      </c>
      <c r="B316" s="106" t="s">
        <v>667</v>
      </c>
      <c r="C316" s="106"/>
      <c r="D316" s="106"/>
      <c r="E316" s="52"/>
    </row>
    <row r="317" spans="1:5" s="103" customFormat="1" ht="13.2" hidden="1" outlineLevel="1" x14ac:dyDescent="0.25">
      <c r="A317" s="106" t="s">
        <v>668</v>
      </c>
      <c r="B317" s="106" t="s">
        <v>669</v>
      </c>
      <c r="C317" s="106"/>
      <c r="D317" s="106"/>
      <c r="E317" s="52"/>
    </row>
    <row r="318" spans="1:5" s="103" customFormat="1" ht="13.2" hidden="1" outlineLevel="1" x14ac:dyDescent="0.25">
      <c r="A318" s="106" t="s">
        <v>670</v>
      </c>
      <c r="B318" s="106" t="s">
        <v>671</v>
      </c>
      <c r="C318" s="106"/>
      <c r="D318" s="106"/>
      <c r="E318" s="52"/>
    </row>
    <row r="319" spans="1:5" s="103" customFormat="1" ht="13.2" hidden="1" outlineLevel="1" x14ac:dyDescent="0.25">
      <c r="A319" s="106" t="s">
        <v>672</v>
      </c>
      <c r="B319" s="106" t="s">
        <v>673</v>
      </c>
      <c r="C319" s="106"/>
      <c r="D319" s="106"/>
      <c r="E319" s="52"/>
    </row>
    <row r="320" spans="1:5" s="103" customFormat="1" ht="13.2" hidden="1" outlineLevel="1" x14ac:dyDescent="0.25">
      <c r="A320" s="106" t="s">
        <v>674</v>
      </c>
      <c r="B320" s="106" t="s">
        <v>675</v>
      </c>
      <c r="C320" s="106"/>
      <c r="D320" s="106"/>
      <c r="E320" s="52"/>
    </row>
    <row r="321" spans="1:5" s="103" customFormat="1" ht="13.2" hidden="1" outlineLevel="1" x14ac:dyDescent="0.25">
      <c r="A321" s="106" t="s">
        <v>676</v>
      </c>
      <c r="B321" s="106" t="s">
        <v>677</v>
      </c>
      <c r="C321" s="106"/>
      <c r="D321" s="106"/>
      <c r="E321" s="52"/>
    </row>
    <row r="322" spans="1:5" s="103" customFormat="1" ht="13.2" hidden="1" outlineLevel="1" x14ac:dyDescent="0.25">
      <c r="A322" s="106" t="s">
        <v>678</v>
      </c>
      <c r="B322" s="106" t="s">
        <v>679</v>
      </c>
      <c r="C322" s="106"/>
      <c r="D322" s="106"/>
      <c r="E322" s="52"/>
    </row>
    <row r="323" spans="1:5" s="103" customFormat="1" ht="13.2" hidden="1" outlineLevel="1" x14ac:dyDescent="0.25">
      <c r="A323" s="106" t="s">
        <v>680</v>
      </c>
      <c r="B323" s="106" t="s">
        <v>681</v>
      </c>
      <c r="C323" s="106"/>
      <c r="D323" s="106"/>
      <c r="E323" s="52"/>
    </row>
    <row r="324" spans="1:5" s="103" customFormat="1" ht="13.2" hidden="1" outlineLevel="1" x14ac:dyDescent="0.25">
      <c r="A324" s="106" t="s">
        <v>682</v>
      </c>
      <c r="B324" s="106" t="s">
        <v>683</v>
      </c>
      <c r="C324" s="106"/>
      <c r="D324" s="106"/>
      <c r="E324" s="52"/>
    </row>
    <row r="325" spans="1:5" s="103" customFormat="1" ht="13.2" hidden="1" outlineLevel="1" x14ac:dyDescent="0.25">
      <c r="A325" s="106" t="s">
        <v>684</v>
      </c>
      <c r="B325" s="106" t="s">
        <v>685</v>
      </c>
      <c r="C325" s="106"/>
      <c r="D325" s="106"/>
      <c r="E325" s="52"/>
    </row>
    <row r="326" spans="1:5" s="103" customFormat="1" ht="13.2" hidden="1" outlineLevel="1" x14ac:dyDescent="0.25">
      <c r="A326" s="106" t="s">
        <v>686</v>
      </c>
      <c r="B326" s="106" t="s">
        <v>687</v>
      </c>
      <c r="C326" s="106"/>
      <c r="D326" s="106"/>
      <c r="E326" s="52"/>
    </row>
    <row r="327" spans="1:5" s="103" customFormat="1" ht="13.2" hidden="1" outlineLevel="1" x14ac:dyDescent="0.25">
      <c r="A327" s="106" t="s">
        <v>688</v>
      </c>
      <c r="B327" s="106" t="s">
        <v>689</v>
      </c>
      <c r="C327" s="106"/>
      <c r="D327" s="106"/>
      <c r="E327" s="52"/>
    </row>
    <row r="328" spans="1:5" s="103" customFormat="1" ht="13.2" hidden="1" outlineLevel="1" x14ac:dyDescent="0.25">
      <c r="A328" s="106" t="s">
        <v>690</v>
      </c>
      <c r="B328" s="106" t="s">
        <v>691</v>
      </c>
      <c r="C328" s="106"/>
      <c r="D328" s="106"/>
      <c r="E328" s="52"/>
    </row>
    <row r="329" spans="1:5" s="103" customFormat="1" ht="13.2" hidden="1" outlineLevel="1" x14ac:dyDescent="0.25">
      <c r="A329" s="106" t="s">
        <v>692</v>
      </c>
      <c r="B329" s="106" t="s">
        <v>693</v>
      </c>
      <c r="C329" s="106"/>
      <c r="D329" s="106"/>
      <c r="E329" s="52"/>
    </row>
    <row r="330" spans="1:5" s="103" customFormat="1" ht="13.2" hidden="1" outlineLevel="1" x14ac:dyDescent="0.25">
      <c r="A330" s="106" t="s">
        <v>694</v>
      </c>
      <c r="B330" s="106" t="s">
        <v>695</v>
      </c>
      <c r="C330" s="106"/>
      <c r="D330" s="106"/>
      <c r="E330" s="52"/>
    </row>
    <row r="331" spans="1:5" s="103" customFormat="1" ht="13.2" hidden="1" outlineLevel="1" x14ac:dyDescent="0.25">
      <c r="A331" s="106" t="s">
        <v>696</v>
      </c>
      <c r="B331" s="106" t="s">
        <v>697</v>
      </c>
      <c r="C331" s="106"/>
      <c r="D331" s="106"/>
      <c r="E331" s="52"/>
    </row>
    <row r="332" spans="1:5" s="103" customFormat="1" ht="13.2" hidden="1" outlineLevel="1" x14ac:dyDescent="0.25">
      <c r="A332" s="106" t="s">
        <v>698</v>
      </c>
      <c r="B332" s="106" t="s">
        <v>699</v>
      </c>
      <c r="C332" s="106"/>
      <c r="D332" s="106"/>
      <c r="E332" s="52"/>
    </row>
    <row r="333" spans="1:5" s="103" customFormat="1" ht="13.2" hidden="1" outlineLevel="1" x14ac:dyDescent="0.25">
      <c r="A333" s="106" t="s">
        <v>700</v>
      </c>
      <c r="B333" s="106" t="s">
        <v>701</v>
      </c>
      <c r="C333" s="106"/>
      <c r="D333" s="106"/>
      <c r="E333" s="52"/>
    </row>
    <row r="334" spans="1:5" s="103" customFormat="1" ht="13.2" hidden="1" outlineLevel="1" x14ac:dyDescent="0.25">
      <c r="A334" s="106" t="s">
        <v>702</v>
      </c>
      <c r="B334" s="106" t="s">
        <v>703</v>
      </c>
      <c r="C334" s="106"/>
      <c r="D334" s="106"/>
      <c r="E334" s="52"/>
    </row>
    <row r="335" spans="1:5" s="103" customFormat="1" ht="13.2" hidden="1" outlineLevel="1" x14ac:dyDescent="0.25">
      <c r="A335" s="106" t="s">
        <v>704</v>
      </c>
      <c r="B335" s="106" t="s">
        <v>705</v>
      </c>
      <c r="C335" s="106"/>
      <c r="D335" s="106"/>
      <c r="E335" s="52"/>
    </row>
    <row r="336" spans="1:5" s="103" customFormat="1" ht="13.2" hidden="1" outlineLevel="1" x14ac:dyDescent="0.25">
      <c r="A336" s="106" t="s">
        <v>706</v>
      </c>
      <c r="B336" s="106" t="s">
        <v>707</v>
      </c>
      <c r="C336" s="106"/>
      <c r="D336" s="106"/>
      <c r="E336" s="52"/>
    </row>
    <row r="337" spans="1:5" s="103" customFormat="1" ht="13.2" hidden="1" outlineLevel="1" x14ac:dyDescent="0.25">
      <c r="A337" s="106" t="s">
        <v>708</v>
      </c>
      <c r="B337" s="106" t="s">
        <v>709</v>
      </c>
      <c r="C337" s="106"/>
      <c r="D337" s="106"/>
      <c r="E337" s="52"/>
    </row>
    <row r="338" spans="1:5" s="103" customFormat="1" ht="13.2" hidden="1" outlineLevel="1" x14ac:dyDescent="0.25">
      <c r="A338" s="106" t="s">
        <v>710</v>
      </c>
      <c r="B338" s="106" t="s">
        <v>711</v>
      </c>
      <c r="C338" s="106"/>
      <c r="D338" s="106"/>
      <c r="E338" s="52"/>
    </row>
    <row r="339" spans="1:5" s="103" customFormat="1" ht="13.2" hidden="1" outlineLevel="1" x14ac:dyDescent="0.25">
      <c r="A339" s="106" t="s">
        <v>712</v>
      </c>
      <c r="B339" s="106" t="s">
        <v>713</v>
      </c>
      <c r="C339" s="106"/>
      <c r="D339" s="106"/>
      <c r="E339" s="52"/>
    </row>
    <row r="340" spans="1:5" s="103" customFormat="1" ht="13.2" hidden="1" outlineLevel="1" x14ac:dyDescent="0.25">
      <c r="A340" s="106" t="s">
        <v>714</v>
      </c>
      <c r="B340" s="106" t="s">
        <v>715</v>
      </c>
      <c r="C340" s="106"/>
      <c r="D340" s="106"/>
      <c r="E340" s="52"/>
    </row>
    <row r="341" spans="1:5" s="103" customFormat="1" ht="13.2" hidden="1" outlineLevel="1" x14ac:dyDescent="0.25">
      <c r="A341" s="106" t="s">
        <v>716</v>
      </c>
      <c r="B341" s="106" t="s">
        <v>717</v>
      </c>
      <c r="C341" s="106"/>
      <c r="D341" s="106"/>
      <c r="E341" s="52"/>
    </row>
    <row r="342" spans="1:5" s="103" customFormat="1" ht="13.2" hidden="1" outlineLevel="1" x14ac:dyDescent="0.25">
      <c r="A342" s="106" t="s">
        <v>718</v>
      </c>
      <c r="B342" s="106" t="s">
        <v>719</v>
      </c>
      <c r="C342" s="106"/>
      <c r="D342" s="106"/>
      <c r="E342" s="52"/>
    </row>
    <row r="343" spans="1:5" s="103" customFormat="1" ht="13.2" hidden="1" outlineLevel="1" x14ac:dyDescent="0.25">
      <c r="A343" s="106" t="s">
        <v>720</v>
      </c>
      <c r="B343" s="106" t="s">
        <v>721</v>
      </c>
      <c r="C343" s="106"/>
      <c r="D343" s="106"/>
      <c r="E343" s="52"/>
    </row>
    <row r="344" spans="1:5" s="103" customFormat="1" ht="13.2" hidden="1" outlineLevel="1" x14ac:dyDescent="0.25">
      <c r="A344" s="106" t="s">
        <v>722</v>
      </c>
      <c r="B344" s="106" t="s">
        <v>723</v>
      </c>
      <c r="C344" s="106"/>
      <c r="D344" s="106"/>
      <c r="E344" s="52"/>
    </row>
    <row r="345" spans="1:5" s="103" customFormat="1" ht="13.2" hidden="1" outlineLevel="1" x14ac:dyDescent="0.25">
      <c r="A345" s="106" t="s">
        <v>724</v>
      </c>
      <c r="B345" s="106" t="s">
        <v>725</v>
      </c>
      <c r="C345" s="106"/>
      <c r="D345" s="106"/>
      <c r="E345" s="52"/>
    </row>
    <row r="346" spans="1:5" s="103" customFormat="1" ht="13.2" hidden="1" outlineLevel="1" x14ac:dyDescent="0.25">
      <c r="A346" s="106" t="s">
        <v>726</v>
      </c>
      <c r="B346" s="106" t="s">
        <v>727</v>
      </c>
      <c r="C346" s="106"/>
      <c r="D346" s="106"/>
      <c r="E346" s="52"/>
    </row>
    <row r="347" spans="1:5" s="103" customFormat="1" ht="13.2" hidden="1" outlineLevel="1" x14ac:dyDescent="0.25">
      <c r="A347" s="106" t="s">
        <v>728</v>
      </c>
      <c r="B347" s="106" t="s">
        <v>729</v>
      </c>
      <c r="C347" s="106"/>
      <c r="D347" s="106"/>
      <c r="E347" s="52"/>
    </row>
    <row r="348" spans="1:5" s="103" customFormat="1" ht="13.2" hidden="1" outlineLevel="1" x14ac:dyDescent="0.25">
      <c r="A348" s="106" t="s">
        <v>730</v>
      </c>
      <c r="B348" s="106" t="s">
        <v>731</v>
      </c>
      <c r="C348" s="106"/>
      <c r="D348" s="106"/>
      <c r="E348" s="52"/>
    </row>
    <row r="349" spans="1:5" s="103" customFormat="1" ht="13.2" hidden="1" outlineLevel="1" x14ac:dyDescent="0.25">
      <c r="A349" s="106" t="s">
        <v>732</v>
      </c>
      <c r="B349" s="106" t="s">
        <v>733</v>
      </c>
      <c r="C349" s="106"/>
      <c r="D349" s="106"/>
      <c r="E349" s="52"/>
    </row>
    <row r="350" spans="1:5" s="103" customFormat="1" ht="13.2" hidden="1" outlineLevel="1" x14ac:dyDescent="0.25">
      <c r="A350" s="106" t="s">
        <v>734</v>
      </c>
      <c r="B350" s="106" t="s">
        <v>735</v>
      </c>
      <c r="C350" s="106"/>
      <c r="D350" s="106"/>
      <c r="E350" s="52"/>
    </row>
    <row r="351" spans="1:5" s="103" customFormat="1" ht="13.2" hidden="1" outlineLevel="1" x14ac:dyDescent="0.25">
      <c r="A351" s="106" t="s">
        <v>736</v>
      </c>
      <c r="B351" s="106" t="s">
        <v>737</v>
      </c>
      <c r="C351" s="106"/>
      <c r="D351" s="106"/>
      <c r="E351" s="52"/>
    </row>
    <row r="352" spans="1:5" s="103" customFormat="1" ht="13.2" hidden="1" outlineLevel="1" x14ac:dyDescent="0.25">
      <c r="A352" s="106" t="s">
        <v>738</v>
      </c>
      <c r="B352" s="106" t="s">
        <v>739</v>
      </c>
      <c r="C352" s="106"/>
      <c r="D352" s="106"/>
      <c r="E352" s="52"/>
    </row>
    <row r="353" spans="1:5" s="103" customFormat="1" ht="13.2" hidden="1" outlineLevel="1" x14ac:dyDescent="0.25">
      <c r="A353" s="106" t="s">
        <v>740</v>
      </c>
      <c r="B353" s="106" t="s">
        <v>741</v>
      </c>
      <c r="C353" s="106"/>
      <c r="D353" s="106"/>
      <c r="E353" s="52"/>
    </row>
    <row r="354" spans="1:5" s="103" customFormat="1" ht="13.2" hidden="1" outlineLevel="1" x14ac:dyDescent="0.25">
      <c r="A354" s="106" t="s">
        <v>742</v>
      </c>
      <c r="B354" s="106" t="s">
        <v>743</v>
      </c>
      <c r="C354" s="106"/>
      <c r="D354" s="106"/>
      <c r="E354" s="52"/>
    </row>
    <row r="355" spans="1:5" s="103" customFormat="1" ht="13.2" hidden="1" outlineLevel="1" x14ac:dyDescent="0.25">
      <c r="A355" s="106" t="s">
        <v>14384</v>
      </c>
      <c r="B355" s="106" t="s">
        <v>14399</v>
      </c>
      <c r="C355" s="106"/>
      <c r="D355" s="106"/>
      <c r="E355" s="52"/>
    </row>
    <row r="356" spans="1:5" s="103" customFormat="1" ht="13.2" hidden="1" outlineLevel="1" x14ac:dyDescent="0.25">
      <c r="A356" s="106" t="s">
        <v>744</v>
      </c>
      <c r="B356" s="106" t="s">
        <v>745</v>
      </c>
      <c r="C356" s="106"/>
      <c r="D356" s="106"/>
      <c r="E356" s="52"/>
    </row>
    <row r="357" spans="1:5" s="103" customFormat="1" ht="13.2" hidden="1" outlineLevel="1" x14ac:dyDescent="0.25">
      <c r="A357" s="106" t="s">
        <v>746</v>
      </c>
      <c r="B357" s="106" t="s">
        <v>747</v>
      </c>
      <c r="C357" s="106"/>
      <c r="D357" s="106"/>
      <c r="E357" s="52"/>
    </row>
    <row r="358" spans="1:5" s="103" customFormat="1" ht="13.2" hidden="1" outlineLevel="1" x14ac:dyDescent="0.25">
      <c r="A358" s="106" t="s">
        <v>748</v>
      </c>
      <c r="B358" s="106" t="s">
        <v>749</v>
      </c>
      <c r="C358" s="106"/>
      <c r="D358" s="106"/>
      <c r="E358" s="52"/>
    </row>
    <row r="359" spans="1:5" s="103" customFormat="1" ht="13.2" hidden="1" outlineLevel="1" x14ac:dyDescent="0.25">
      <c r="A359" s="106" t="s">
        <v>750</v>
      </c>
      <c r="B359" s="106" t="s">
        <v>751</v>
      </c>
      <c r="C359" s="106"/>
      <c r="D359" s="106"/>
      <c r="E359" s="52"/>
    </row>
    <row r="360" spans="1:5" s="103" customFormat="1" ht="13.2" hidden="1" outlineLevel="1" x14ac:dyDescent="0.25">
      <c r="A360" s="106" t="s">
        <v>752</v>
      </c>
      <c r="B360" s="106" t="s">
        <v>753</v>
      </c>
      <c r="C360" s="106"/>
      <c r="D360" s="106"/>
      <c r="E360" s="52"/>
    </row>
    <row r="361" spans="1:5" s="103" customFormat="1" ht="13.2" hidden="1" outlineLevel="1" x14ac:dyDescent="0.25">
      <c r="A361" s="106" t="s">
        <v>754</v>
      </c>
      <c r="B361" s="106" t="s">
        <v>755</v>
      </c>
      <c r="C361" s="106"/>
      <c r="D361" s="106"/>
      <c r="E361" s="52"/>
    </row>
    <row r="362" spans="1:5" s="103" customFormat="1" ht="13.2" hidden="1" outlineLevel="1" x14ac:dyDescent="0.25">
      <c r="A362" s="106" t="s">
        <v>756</v>
      </c>
      <c r="B362" s="106" t="s">
        <v>757</v>
      </c>
      <c r="C362" s="106"/>
      <c r="D362" s="106"/>
      <c r="E362" s="52"/>
    </row>
    <row r="363" spans="1:5" s="103" customFormat="1" ht="13.2" hidden="1" outlineLevel="1" x14ac:dyDescent="0.25">
      <c r="A363" s="106" t="s">
        <v>758</v>
      </c>
      <c r="B363" s="106" t="s">
        <v>759</v>
      </c>
      <c r="C363" s="106"/>
      <c r="D363" s="106"/>
      <c r="E363" s="52"/>
    </row>
    <row r="364" spans="1:5" s="103" customFormat="1" ht="13.2" hidden="1" outlineLevel="1" x14ac:dyDescent="0.25">
      <c r="A364" s="106" t="s">
        <v>760</v>
      </c>
      <c r="B364" s="106" t="s">
        <v>761</v>
      </c>
      <c r="C364" s="106"/>
      <c r="D364" s="106"/>
      <c r="E364" s="52"/>
    </row>
    <row r="365" spans="1:5" s="103" customFormat="1" ht="13.2" hidden="1" outlineLevel="1" x14ac:dyDescent="0.25">
      <c r="A365" s="106" t="s">
        <v>762</v>
      </c>
      <c r="B365" s="106" t="s">
        <v>763</v>
      </c>
      <c r="C365" s="106"/>
      <c r="D365" s="106"/>
      <c r="E365" s="52"/>
    </row>
    <row r="366" spans="1:5" s="103" customFormat="1" ht="13.2" hidden="1" outlineLevel="1" x14ac:dyDescent="0.25">
      <c r="A366" s="106" t="s">
        <v>764</v>
      </c>
      <c r="B366" s="106" t="s">
        <v>765</v>
      </c>
      <c r="C366" s="106"/>
      <c r="D366" s="106"/>
      <c r="E366" s="52"/>
    </row>
    <row r="367" spans="1:5" s="103" customFormat="1" ht="13.2" hidden="1" outlineLevel="1" x14ac:dyDescent="0.25">
      <c r="A367" s="106" t="s">
        <v>766</v>
      </c>
      <c r="B367" s="106" t="s">
        <v>767</v>
      </c>
      <c r="C367" s="106"/>
      <c r="D367" s="106"/>
      <c r="E367" s="52"/>
    </row>
    <row r="368" spans="1:5" s="103" customFormat="1" ht="13.2" hidden="1" outlineLevel="1" x14ac:dyDescent="0.25">
      <c r="A368" s="106" t="s">
        <v>768</v>
      </c>
      <c r="B368" s="106" t="s">
        <v>769</v>
      </c>
      <c r="C368" s="106"/>
      <c r="D368" s="106"/>
      <c r="E368" s="52"/>
    </row>
    <row r="369" spans="1:5" s="103" customFormat="1" ht="13.2" hidden="1" outlineLevel="1" x14ac:dyDescent="0.25">
      <c r="A369" s="106" t="s">
        <v>770</v>
      </c>
      <c r="B369" s="106" t="s">
        <v>771</v>
      </c>
      <c r="C369" s="106"/>
      <c r="D369" s="106"/>
      <c r="E369" s="52"/>
    </row>
    <row r="370" spans="1:5" s="103" customFormat="1" ht="13.2" hidden="1" outlineLevel="1" x14ac:dyDescent="0.25">
      <c r="A370" s="106" t="s">
        <v>14385</v>
      </c>
      <c r="B370" s="106" t="s">
        <v>14400</v>
      </c>
      <c r="C370" s="106"/>
      <c r="D370" s="106"/>
      <c r="E370" s="52"/>
    </row>
    <row r="371" spans="1:5" s="103" customFormat="1" ht="13.2" hidden="1" outlineLevel="1" x14ac:dyDescent="0.25">
      <c r="A371" s="106" t="s">
        <v>772</v>
      </c>
      <c r="B371" s="106" t="s">
        <v>773</v>
      </c>
      <c r="C371" s="106"/>
      <c r="D371" s="106"/>
      <c r="E371" s="52"/>
    </row>
    <row r="372" spans="1:5" s="103" customFormat="1" ht="13.2" hidden="1" outlineLevel="1" x14ac:dyDescent="0.25">
      <c r="A372" s="106" t="s">
        <v>774</v>
      </c>
      <c r="B372" s="106" t="s">
        <v>775</v>
      </c>
      <c r="C372" s="106"/>
      <c r="D372" s="106"/>
      <c r="E372" s="52"/>
    </row>
    <row r="373" spans="1:5" s="103" customFormat="1" ht="13.2" hidden="1" outlineLevel="1" x14ac:dyDescent="0.25">
      <c r="A373" s="106" t="s">
        <v>776</v>
      </c>
      <c r="B373" s="106" t="s">
        <v>777</v>
      </c>
      <c r="C373" s="106"/>
      <c r="D373" s="106"/>
      <c r="E373" s="52"/>
    </row>
    <row r="374" spans="1:5" s="103" customFormat="1" ht="13.2" hidden="1" outlineLevel="1" x14ac:dyDescent="0.25">
      <c r="A374" s="106" t="s">
        <v>778</v>
      </c>
      <c r="B374" s="106" t="s">
        <v>779</v>
      </c>
      <c r="C374" s="106"/>
      <c r="D374" s="106"/>
      <c r="E374" s="52"/>
    </row>
    <row r="375" spans="1:5" s="103" customFormat="1" ht="13.2" hidden="1" outlineLevel="1" x14ac:dyDescent="0.25">
      <c r="A375" s="106" t="s">
        <v>780</v>
      </c>
      <c r="B375" s="106" t="s">
        <v>781</v>
      </c>
      <c r="C375" s="106"/>
      <c r="D375" s="106"/>
      <c r="E375" s="52"/>
    </row>
    <row r="376" spans="1:5" s="103" customFormat="1" ht="13.2" hidden="1" outlineLevel="1" x14ac:dyDescent="0.25">
      <c r="A376" s="106" t="s">
        <v>782</v>
      </c>
      <c r="B376" s="106" t="s">
        <v>783</v>
      </c>
      <c r="C376" s="106"/>
      <c r="D376" s="106"/>
      <c r="E376" s="52"/>
    </row>
    <row r="377" spans="1:5" s="103" customFormat="1" ht="13.2" hidden="1" outlineLevel="1" x14ac:dyDescent="0.25">
      <c r="A377" s="106" t="s">
        <v>784</v>
      </c>
      <c r="B377" s="106" t="s">
        <v>785</v>
      </c>
      <c r="C377" s="106"/>
      <c r="D377" s="106"/>
      <c r="E377" s="52"/>
    </row>
    <row r="378" spans="1:5" s="103" customFormat="1" ht="13.2" hidden="1" outlineLevel="1" x14ac:dyDescent="0.25">
      <c r="A378" s="106" t="s">
        <v>786</v>
      </c>
      <c r="B378" s="106" t="s">
        <v>787</v>
      </c>
      <c r="C378" s="106"/>
      <c r="D378" s="106"/>
      <c r="E378" s="52"/>
    </row>
    <row r="379" spans="1:5" s="103" customFormat="1" ht="13.2" hidden="1" outlineLevel="1" x14ac:dyDescent="0.25">
      <c r="A379" s="106" t="s">
        <v>788</v>
      </c>
      <c r="B379" s="106" t="s">
        <v>789</v>
      </c>
      <c r="C379" s="106"/>
      <c r="D379" s="106"/>
      <c r="E379" s="52"/>
    </row>
    <row r="380" spans="1:5" s="103" customFormat="1" ht="13.2" hidden="1" outlineLevel="1" x14ac:dyDescent="0.25">
      <c r="A380" s="106" t="s">
        <v>790</v>
      </c>
      <c r="B380" s="106" t="s">
        <v>791</v>
      </c>
      <c r="C380" s="106"/>
      <c r="D380" s="106"/>
      <c r="E380" s="52"/>
    </row>
    <row r="381" spans="1:5" s="103" customFormat="1" ht="13.2" hidden="1" outlineLevel="1" x14ac:dyDescent="0.25">
      <c r="A381" s="106" t="s">
        <v>792</v>
      </c>
      <c r="B381" s="106" t="s">
        <v>793</v>
      </c>
      <c r="C381" s="106"/>
      <c r="D381" s="106"/>
      <c r="E381" s="52"/>
    </row>
    <row r="382" spans="1:5" s="103" customFormat="1" ht="13.2" hidden="1" outlineLevel="1" x14ac:dyDescent="0.25">
      <c r="A382" s="106" t="s">
        <v>794</v>
      </c>
      <c r="B382" s="106" t="s">
        <v>795</v>
      </c>
      <c r="C382" s="106"/>
      <c r="D382" s="106"/>
      <c r="E382" s="52"/>
    </row>
    <row r="383" spans="1:5" s="103" customFormat="1" ht="13.2" hidden="1" outlineLevel="1" x14ac:dyDescent="0.25">
      <c r="A383" s="106" t="s">
        <v>796</v>
      </c>
      <c r="B383" s="106" t="s">
        <v>797</v>
      </c>
      <c r="C383" s="106"/>
      <c r="D383" s="106"/>
      <c r="E383" s="52"/>
    </row>
    <row r="384" spans="1:5" s="103" customFormat="1" ht="13.2" hidden="1" outlineLevel="1" x14ac:dyDescent="0.25">
      <c r="A384" s="106" t="s">
        <v>798</v>
      </c>
      <c r="B384" s="106" t="s">
        <v>799</v>
      </c>
      <c r="C384" s="106"/>
      <c r="D384" s="106"/>
      <c r="E384" s="52"/>
    </row>
    <row r="385" spans="1:5" s="103" customFormat="1" ht="13.2" hidden="1" outlineLevel="1" x14ac:dyDescent="0.25">
      <c r="A385" s="106" t="s">
        <v>800</v>
      </c>
      <c r="B385" s="106" t="s">
        <v>801</v>
      </c>
      <c r="C385" s="106"/>
      <c r="D385" s="106"/>
      <c r="E385" s="52"/>
    </row>
    <row r="386" spans="1:5" s="103" customFormat="1" ht="13.2" hidden="1" outlineLevel="1" x14ac:dyDescent="0.25">
      <c r="A386" s="106" t="s">
        <v>802</v>
      </c>
      <c r="B386" s="106" t="s">
        <v>803</v>
      </c>
      <c r="C386" s="106"/>
      <c r="D386" s="106"/>
      <c r="E386" s="52"/>
    </row>
    <row r="387" spans="1:5" s="103" customFormat="1" ht="13.2" hidden="1" outlineLevel="1" x14ac:dyDescent="0.25">
      <c r="A387" s="106" t="s">
        <v>804</v>
      </c>
      <c r="B387" s="106" t="s">
        <v>805</v>
      </c>
      <c r="C387" s="106"/>
      <c r="D387" s="106"/>
      <c r="E387" s="52"/>
    </row>
    <row r="388" spans="1:5" s="103" customFormat="1" ht="13.2" hidden="1" outlineLevel="1" x14ac:dyDescent="0.25">
      <c r="A388" s="106" t="s">
        <v>806</v>
      </c>
      <c r="B388" s="106" t="s">
        <v>807</v>
      </c>
      <c r="C388" s="106"/>
      <c r="D388" s="106"/>
      <c r="E388" s="52"/>
    </row>
    <row r="389" spans="1:5" s="103" customFormat="1" ht="13.2" hidden="1" outlineLevel="1" x14ac:dyDescent="0.25">
      <c r="A389" s="106" t="s">
        <v>808</v>
      </c>
      <c r="B389" s="106" t="s">
        <v>809</v>
      </c>
      <c r="C389" s="106"/>
      <c r="D389" s="106"/>
      <c r="E389" s="52"/>
    </row>
    <row r="390" spans="1:5" s="103" customFormat="1" ht="13.2" hidden="1" outlineLevel="1" x14ac:dyDescent="0.25">
      <c r="A390" s="106" t="s">
        <v>810</v>
      </c>
      <c r="B390" s="106" t="s">
        <v>811</v>
      </c>
      <c r="C390" s="106"/>
      <c r="D390" s="106"/>
      <c r="E390" s="52"/>
    </row>
    <row r="391" spans="1:5" s="103" customFormat="1" ht="13.2" hidden="1" outlineLevel="1" x14ac:dyDescent="0.25">
      <c r="A391" s="106" t="s">
        <v>812</v>
      </c>
      <c r="B391" s="106" t="s">
        <v>813</v>
      </c>
      <c r="C391" s="106"/>
      <c r="D391" s="106"/>
      <c r="E391" s="52"/>
    </row>
    <row r="392" spans="1:5" s="103" customFormat="1" ht="13.2" hidden="1" outlineLevel="1" x14ac:dyDescent="0.25">
      <c r="A392" s="106" t="s">
        <v>814</v>
      </c>
      <c r="B392" s="106" t="s">
        <v>815</v>
      </c>
      <c r="C392" s="106"/>
      <c r="D392" s="106"/>
      <c r="E392" s="52"/>
    </row>
    <row r="393" spans="1:5" s="103" customFormat="1" ht="13.2" hidden="1" outlineLevel="1" x14ac:dyDescent="0.25">
      <c r="A393" s="106" t="s">
        <v>816</v>
      </c>
      <c r="B393" s="106" t="s">
        <v>817</v>
      </c>
      <c r="C393" s="106"/>
      <c r="D393" s="106"/>
      <c r="E393" s="52"/>
    </row>
    <row r="394" spans="1:5" s="103" customFormat="1" ht="13.2" hidden="1" outlineLevel="1" x14ac:dyDescent="0.25">
      <c r="A394" s="106" t="s">
        <v>14386</v>
      </c>
      <c r="B394" s="106" t="s">
        <v>14401</v>
      </c>
      <c r="C394" s="106"/>
      <c r="D394" s="106"/>
      <c r="E394" s="52"/>
    </row>
    <row r="395" spans="1:5" s="103" customFormat="1" ht="13.2" hidden="1" outlineLevel="1" x14ac:dyDescent="0.25">
      <c r="A395" s="106" t="s">
        <v>818</v>
      </c>
      <c r="B395" s="106" t="s">
        <v>819</v>
      </c>
      <c r="C395" s="106"/>
      <c r="D395" s="106"/>
      <c r="E395" s="52"/>
    </row>
    <row r="396" spans="1:5" s="103" customFormat="1" ht="13.2" hidden="1" outlineLevel="1" x14ac:dyDescent="0.25">
      <c r="A396" s="106" t="s">
        <v>820</v>
      </c>
      <c r="B396" s="106" t="s">
        <v>821</v>
      </c>
      <c r="C396" s="106"/>
      <c r="D396" s="106"/>
      <c r="E396" s="52"/>
    </row>
    <row r="397" spans="1:5" s="103" customFormat="1" ht="13.2" hidden="1" outlineLevel="1" x14ac:dyDescent="0.25">
      <c r="A397" s="106" t="s">
        <v>822</v>
      </c>
      <c r="B397" s="106" t="s">
        <v>823</v>
      </c>
      <c r="C397" s="106"/>
      <c r="D397" s="106"/>
      <c r="E397" s="52"/>
    </row>
    <row r="398" spans="1:5" s="103" customFormat="1" ht="13.2" hidden="1" outlineLevel="1" x14ac:dyDescent="0.25">
      <c r="A398" s="106" t="s">
        <v>824</v>
      </c>
      <c r="B398" s="106" t="s">
        <v>825</v>
      </c>
      <c r="C398" s="106"/>
      <c r="D398" s="106"/>
      <c r="E398" s="52"/>
    </row>
    <row r="399" spans="1:5" s="103" customFormat="1" ht="13.2" hidden="1" outlineLevel="1" x14ac:dyDescent="0.25">
      <c r="A399" s="106" t="s">
        <v>826</v>
      </c>
      <c r="B399" s="106" t="s">
        <v>827</v>
      </c>
      <c r="C399" s="106"/>
      <c r="D399" s="106"/>
      <c r="E399" s="52"/>
    </row>
    <row r="400" spans="1:5" s="103" customFormat="1" ht="13.2" hidden="1" outlineLevel="1" x14ac:dyDescent="0.25">
      <c r="A400" s="106" t="s">
        <v>828</v>
      </c>
      <c r="B400" s="106" t="s">
        <v>829</v>
      </c>
      <c r="C400" s="106"/>
      <c r="D400" s="106"/>
      <c r="E400" s="52"/>
    </row>
    <row r="401" spans="1:5" s="103" customFormat="1" ht="13.2" hidden="1" outlineLevel="1" x14ac:dyDescent="0.25">
      <c r="A401" s="106" t="s">
        <v>830</v>
      </c>
      <c r="B401" s="106" t="s">
        <v>831</v>
      </c>
      <c r="C401" s="106"/>
      <c r="D401" s="106"/>
      <c r="E401" s="52"/>
    </row>
    <row r="402" spans="1:5" s="103" customFormat="1" ht="13.2" hidden="1" outlineLevel="1" x14ac:dyDescent="0.25">
      <c r="A402" s="106" t="s">
        <v>832</v>
      </c>
      <c r="B402" s="106" t="s">
        <v>833</v>
      </c>
      <c r="C402" s="106"/>
      <c r="D402" s="106"/>
      <c r="E402" s="52"/>
    </row>
    <row r="403" spans="1:5" s="103" customFormat="1" ht="13.2" hidden="1" outlineLevel="1" x14ac:dyDescent="0.25">
      <c r="A403" s="106" t="s">
        <v>834</v>
      </c>
      <c r="B403" s="106" t="s">
        <v>835</v>
      </c>
      <c r="C403" s="106"/>
      <c r="D403" s="106"/>
      <c r="E403" s="52"/>
    </row>
    <row r="404" spans="1:5" s="103" customFormat="1" ht="13.2" hidden="1" outlineLevel="1" x14ac:dyDescent="0.25">
      <c r="A404" s="106" t="s">
        <v>836</v>
      </c>
      <c r="B404" s="106" t="s">
        <v>837</v>
      </c>
      <c r="C404" s="106"/>
      <c r="D404" s="106"/>
      <c r="E404" s="52"/>
    </row>
    <row r="405" spans="1:5" s="103" customFormat="1" ht="13.2" hidden="1" outlineLevel="1" x14ac:dyDescent="0.25">
      <c r="A405" s="106" t="s">
        <v>838</v>
      </c>
      <c r="B405" s="106" t="s">
        <v>839</v>
      </c>
      <c r="C405" s="106"/>
      <c r="D405" s="106"/>
      <c r="E405" s="52"/>
    </row>
    <row r="406" spans="1:5" s="103" customFormat="1" ht="13.2" hidden="1" outlineLevel="1" x14ac:dyDescent="0.25">
      <c r="A406" s="106" t="s">
        <v>840</v>
      </c>
      <c r="B406" s="106" t="s">
        <v>841</v>
      </c>
      <c r="C406" s="106"/>
      <c r="D406" s="106"/>
      <c r="E406" s="52"/>
    </row>
    <row r="407" spans="1:5" s="103" customFormat="1" ht="13.2" hidden="1" outlineLevel="1" x14ac:dyDescent="0.25">
      <c r="A407" s="106" t="s">
        <v>842</v>
      </c>
      <c r="B407" s="106" t="s">
        <v>843</v>
      </c>
      <c r="C407" s="106"/>
      <c r="D407" s="106"/>
      <c r="E407" s="52"/>
    </row>
    <row r="408" spans="1:5" s="103" customFormat="1" ht="13.2" hidden="1" outlineLevel="1" x14ac:dyDescent="0.25">
      <c r="A408" s="106" t="s">
        <v>844</v>
      </c>
      <c r="B408" s="106" t="s">
        <v>845</v>
      </c>
      <c r="C408" s="106"/>
      <c r="D408" s="106"/>
      <c r="E408" s="52"/>
    </row>
    <row r="409" spans="1:5" s="103" customFormat="1" ht="13.2" hidden="1" outlineLevel="1" x14ac:dyDescent="0.25">
      <c r="A409" s="106" t="s">
        <v>846</v>
      </c>
      <c r="B409" s="106" t="s">
        <v>847</v>
      </c>
      <c r="C409" s="106"/>
      <c r="D409" s="106"/>
      <c r="E409" s="52"/>
    </row>
    <row r="410" spans="1:5" s="103" customFormat="1" ht="13.2" hidden="1" outlineLevel="1" x14ac:dyDescent="0.25">
      <c r="A410" s="106" t="s">
        <v>848</v>
      </c>
      <c r="B410" s="106" t="s">
        <v>849</v>
      </c>
      <c r="C410" s="106"/>
      <c r="D410" s="106"/>
      <c r="E410" s="52"/>
    </row>
    <row r="411" spans="1:5" s="103" customFormat="1" ht="13.2" hidden="1" outlineLevel="1" x14ac:dyDescent="0.25">
      <c r="A411" s="106" t="s">
        <v>850</v>
      </c>
      <c r="B411" s="106" t="s">
        <v>851</v>
      </c>
      <c r="C411" s="106"/>
      <c r="D411" s="106"/>
      <c r="E411" s="52"/>
    </row>
    <row r="412" spans="1:5" s="103" customFormat="1" ht="13.2" hidden="1" outlineLevel="1" x14ac:dyDescent="0.25">
      <c r="A412" s="106" t="s">
        <v>852</v>
      </c>
      <c r="B412" s="106" t="s">
        <v>853</v>
      </c>
      <c r="C412" s="106"/>
      <c r="D412" s="106"/>
      <c r="E412" s="52"/>
    </row>
    <row r="413" spans="1:5" s="103" customFormat="1" ht="13.2" hidden="1" outlineLevel="1" x14ac:dyDescent="0.25">
      <c r="A413" s="106" t="s">
        <v>854</v>
      </c>
      <c r="B413" s="106" t="s">
        <v>855</v>
      </c>
      <c r="C413" s="106"/>
      <c r="D413" s="106"/>
      <c r="E413" s="52"/>
    </row>
    <row r="414" spans="1:5" s="103" customFormat="1" ht="13.2" hidden="1" outlineLevel="1" x14ac:dyDescent="0.25">
      <c r="A414" s="106" t="s">
        <v>856</v>
      </c>
      <c r="B414" s="106" t="s">
        <v>857</v>
      </c>
      <c r="C414" s="106"/>
      <c r="D414" s="106"/>
      <c r="E414" s="52"/>
    </row>
    <row r="415" spans="1:5" s="103" customFormat="1" ht="13.2" hidden="1" outlineLevel="1" x14ac:dyDescent="0.25">
      <c r="A415" s="106" t="s">
        <v>858</v>
      </c>
      <c r="B415" s="106" t="s">
        <v>859</v>
      </c>
      <c r="C415" s="106"/>
      <c r="D415" s="106"/>
      <c r="E415" s="52"/>
    </row>
    <row r="416" spans="1:5" s="103" customFormat="1" ht="13.2" hidden="1" outlineLevel="1" x14ac:dyDescent="0.25">
      <c r="A416" s="106" t="s">
        <v>860</v>
      </c>
      <c r="B416" s="106" t="s">
        <v>861</v>
      </c>
      <c r="C416" s="106"/>
      <c r="D416" s="106"/>
      <c r="E416" s="52"/>
    </row>
    <row r="417" spans="1:5" s="103" customFormat="1" ht="13.2" hidden="1" outlineLevel="1" x14ac:dyDescent="0.25">
      <c r="A417" s="106" t="s">
        <v>862</v>
      </c>
      <c r="B417" s="106" t="s">
        <v>863</v>
      </c>
      <c r="C417" s="106"/>
      <c r="D417" s="106"/>
      <c r="E417" s="52"/>
    </row>
    <row r="418" spans="1:5" s="103" customFormat="1" ht="13.2" hidden="1" outlineLevel="1" x14ac:dyDescent="0.25">
      <c r="A418" s="106" t="s">
        <v>864</v>
      </c>
      <c r="B418" s="106" t="s">
        <v>865</v>
      </c>
      <c r="C418" s="106"/>
      <c r="D418" s="106"/>
      <c r="E418" s="52"/>
    </row>
    <row r="419" spans="1:5" s="103" customFormat="1" ht="13.2" hidden="1" outlineLevel="1" x14ac:dyDescent="0.25">
      <c r="A419" s="106" t="s">
        <v>866</v>
      </c>
      <c r="B419" s="106" t="s">
        <v>867</v>
      </c>
      <c r="C419" s="106"/>
      <c r="D419" s="106"/>
      <c r="E419" s="52"/>
    </row>
    <row r="420" spans="1:5" s="103" customFormat="1" ht="13.2" hidden="1" outlineLevel="1" x14ac:dyDescent="0.25">
      <c r="A420" s="106" t="s">
        <v>868</v>
      </c>
      <c r="B420" s="106" t="s">
        <v>869</v>
      </c>
      <c r="C420" s="106"/>
      <c r="D420" s="106"/>
      <c r="E420" s="52"/>
    </row>
    <row r="421" spans="1:5" s="103" customFormat="1" ht="13.2" hidden="1" outlineLevel="1" x14ac:dyDescent="0.25">
      <c r="A421" s="106" t="s">
        <v>870</v>
      </c>
      <c r="B421" s="106" t="s">
        <v>871</v>
      </c>
      <c r="C421" s="106"/>
      <c r="D421" s="106"/>
      <c r="E421" s="52"/>
    </row>
    <row r="422" spans="1:5" s="103" customFormat="1" ht="13.2" hidden="1" outlineLevel="1" x14ac:dyDescent="0.25">
      <c r="A422" s="106" t="s">
        <v>872</v>
      </c>
      <c r="B422" s="106" t="s">
        <v>873</v>
      </c>
      <c r="C422" s="106"/>
      <c r="D422" s="106"/>
      <c r="E422" s="52"/>
    </row>
    <row r="423" spans="1:5" s="103" customFormat="1" ht="13.2" hidden="1" outlineLevel="1" x14ac:dyDescent="0.25">
      <c r="A423" s="106" t="s">
        <v>874</v>
      </c>
      <c r="B423" s="106" t="s">
        <v>875</v>
      </c>
      <c r="C423" s="106"/>
      <c r="D423" s="106"/>
      <c r="E423" s="52"/>
    </row>
    <row r="424" spans="1:5" s="103" customFormat="1" ht="13.2" hidden="1" outlineLevel="1" x14ac:dyDescent="0.25">
      <c r="A424" s="106" t="s">
        <v>876</v>
      </c>
      <c r="B424" s="106" t="s">
        <v>877</v>
      </c>
      <c r="C424" s="106"/>
      <c r="D424" s="106"/>
      <c r="E424" s="52"/>
    </row>
    <row r="425" spans="1:5" s="103" customFormat="1" ht="13.2" hidden="1" outlineLevel="1" x14ac:dyDescent="0.25">
      <c r="A425" s="106" t="s">
        <v>878</v>
      </c>
      <c r="B425" s="106" t="s">
        <v>879</v>
      </c>
      <c r="C425" s="106"/>
      <c r="D425" s="106"/>
      <c r="E425" s="52"/>
    </row>
    <row r="426" spans="1:5" s="103" customFormat="1" ht="13.2" hidden="1" outlineLevel="1" x14ac:dyDescent="0.25">
      <c r="A426" s="106" t="s">
        <v>880</v>
      </c>
      <c r="B426" s="106" t="s">
        <v>881</v>
      </c>
      <c r="C426" s="106"/>
      <c r="D426" s="106"/>
      <c r="E426" s="52"/>
    </row>
    <row r="427" spans="1:5" s="103" customFormat="1" ht="13.2" hidden="1" outlineLevel="1" x14ac:dyDescent="0.25">
      <c r="A427" s="106" t="s">
        <v>882</v>
      </c>
      <c r="B427" s="106" t="s">
        <v>883</v>
      </c>
      <c r="C427" s="106"/>
      <c r="D427" s="106"/>
      <c r="E427" s="52"/>
    </row>
    <row r="428" spans="1:5" s="103" customFormat="1" ht="13.2" hidden="1" outlineLevel="1" x14ac:dyDescent="0.25">
      <c r="A428" s="106" t="s">
        <v>884</v>
      </c>
      <c r="B428" s="106" t="s">
        <v>885</v>
      </c>
      <c r="C428" s="106"/>
      <c r="D428" s="106"/>
      <c r="E428" s="52"/>
    </row>
    <row r="429" spans="1:5" s="103" customFormat="1" ht="13.2" hidden="1" outlineLevel="1" x14ac:dyDescent="0.25">
      <c r="A429" s="106" t="s">
        <v>886</v>
      </c>
      <c r="B429" s="106" t="s">
        <v>887</v>
      </c>
      <c r="C429" s="106"/>
      <c r="D429" s="106"/>
      <c r="E429" s="52"/>
    </row>
    <row r="430" spans="1:5" s="103" customFormat="1" ht="13.2" hidden="1" outlineLevel="1" x14ac:dyDescent="0.25">
      <c r="A430" s="106" t="s">
        <v>888</v>
      </c>
      <c r="B430" s="106" t="s">
        <v>889</v>
      </c>
      <c r="C430" s="106"/>
      <c r="D430" s="106"/>
      <c r="E430" s="52"/>
    </row>
    <row r="431" spans="1:5" s="103" customFormat="1" ht="13.2" hidden="1" outlineLevel="1" x14ac:dyDescent="0.25">
      <c r="A431" s="106" t="s">
        <v>890</v>
      </c>
      <c r="B431" s="106" t="s">
        <v>891</v>
      </c>
      <c r="C431" s="106"/>
      <c r="D431" s="106"/>
      <c r="E431" s="52"/>
    </row>
    <row r="432" spans="1:5" s="103" customFormat="1" ht="13.2" hidden="1" outlineLevel="1" x14ac:dyDescent="0.25">
      <c r="A432" s="106" t="s">
        <v>892</v>
      </c>
      <c r="B432" s="106" t="s">
        <v>893</v>
      </c>
      <c r="C432" s="106"/>
      <c r="D432" s="106"/>
      <c r="E432" s="52"/>
    </row>
    <row r="433" spans="1:5" s="103" customFormat="1" ht="13.2" hidden="1" outlineLevel="1" x14ac:dyDescent="0.25">
      <c r="A433" s="106" t="s">
        <v>894</v>
      </c>
      <c r="B433" s="106" t="s">
        <v>895</v>
      </c>
      <c r="C433" s="106"/>
      <c r="D433" s="106"/>
      <c r="E433" s="52"/>
    </row>
    <row r="434" spans="1:5" s="103" customFormat="1" ht="13.2" hidden="1" outlineLevel="1" x14ac:dyDescent="0.25">
      <c r="A434" s="106" t="s">
        <v>896</v>
      </c>
      <c r="B434" s="106" t="s">
        <v>897</v>
      </c>
      <c r="C434" s="106"/>
      <c r="D434" s="106"/>
      <c r="E434" s="52"/>
    </row>
    <row r="435" spans="1:5" s="103" customFormat="1" ht="13.2" hidden="1" outlineLevel="1" x14ac:dyDescent="0.25">
      <c r="A435" s="106" t="s">
        <v>898</v>
      </c>
      <c r="B435" s="106" t="s">
        <v>899</v>
      </c>
      <c r="C435" s="106"/>
      <c r="D435" s="106"/>
      <c r="E435" s="52"/>
    </row>
    <row r="436" spans="1:5" s="103" customFormat="1" ht="13.2" hidden="1" outlineLevel="1" x14ac:dyDescent="0.25">
      <c r="A436" s="106" t="s">
        <v>900</v>
      </c>
      <c r="B436" s="106" t="s">
        <v>901</v>
      </c>
      <c r="C436" s="106"/>
      <c r="D436" s="106"/>
      <c r="E436" s="52"/>
    </row>
    <row r="437" spans="1:5" s="103" customFormat="1" ht="13.2" hidden="1" outlineLevel="1" x14ac:dyDescent="0.25">
      <c r="A437" s="106" t="s">
        <v>902</v>
      </c>
      <c r="B437" s="106" t="s">
        <v>903</v>
      </c>
      <c r="C437" s="106"/>
      <c r="D437" s="106"/>
      <c r="E437" s="52"/>
    </row>
    <row r="438" spans="1:5" s="103" customFormat="1" ht="13.2" hidden="1" outlineLevel="1" x14ac:dyDescent="0.25">
      <c r="A438" s="106" t="s">
        <v>904</v>
      </c>
      <c r="B438" s="106" t="s">
        <v>905</v>
      </c>
      <c r="C438" s="106"/>
      <c r="D438" s="106"/>
      <c r="E438" s="52"/>
    </row>
    <row r="439" spans="1:5" s="103" customFormat="1" ht="13.2" hidden="1" outlineLevel="1" x14ac:dyDescent="0.25">
      <c r="A439" s="106" t="s">
        <v>906</v>
      </c>
      <c r="B439" s="106" t="s">
        <v>907</v>
      </c>
      <c r="C439" s="106"/>
      <c r="D439" s="106"/>
      <c r="E439" s="52"/>
    </row>
    <row r="440" spans="1:5" s="103" customFormat="1" ht="13.2" hidden="1" outlineLevel="1" x14ac:dyDescent="0.25">
      <c r="A440" s="106" t="s">
        <v>908</v>
      </c>
      <c r="B440" s="106" t="s">
        <v>909</v>
      </c>
      <c r="C440" s="106"/>
      <c r="D440" s="106"/>
      <c r="E440" s="52"/>
    </row>
    <row r="441" spans="1:5" s="103" customFormat="1" ht="13.2" hidden="1" outlineLevel="1" x14ac:dyDescent="0.25">
      <c r="A441" s="106" t="s">
        <v>910</v>
      </c>
      <c r="B441" s="106" t="s">
        <v>911</v>
      </c>
      <c r="C441" s="106"/>
      <c r="D441" s="106"/>
      <c r="E441" s="52"/>
    </row>
    <row r="442" spans="1:5" s="103" customFormat="1" ht="13.2" hidden="1" outlineLevel="1" x14ac:dyDescent="0.25">
      <c r="A442" s="106" t="s">
        <v>912</v>
      </c>
      <c r="B442" s="106" t="s">
        <v>913</v>
      </c>
      <c r="C442" s="106"/>
      <c r="D442" s="106"/>
      <c r="E442" s="52"/>
    </row>
    <row r="443" spans="1:5" s="103" customFormat="1" ht="13.2" hidden="1" outlineLevel="1" x14ac:dyDescent="0.25">
      <c r="A443" s="106" t="s">
        <v>914</v>
      </c>
      <c r="B443" s="106" t="s">
        <v>915</v>
      </c>
      <c r="C443" s="106"/>
      <c r="D443" s="106"/>
      <c r="E443" s="52"/>
    </row>
    <row r="444" spans="1:5" s="103" customFormat="1" ht="13.2" hidden="1" outlineLevel="1" x14ac:dyDescent="0.25">
      <c r="A444" s="106" t="s">
        <v>916</v>
      </c>
      <c r="B444" s="106" t="s">
        <v>917</v>
      </c>
      <c r="C444" s="106"/>
      <c r="D444" s="106"/>
      <c r="E444" s="52"/>
    </row>
    <row r="445" spans="1:5" s="103" customFormat="1" ht="13.2" hidden="1" outlineLevel="1" x14ac:dyDescent="0.25">
      <c r="A445" s="106" t="s">
        <v>918</v>
      </c>
      <c r="B445" s="106" t="s">
        <v>919</v>
      </c>
      <c r="C445" s="106"/>
      <c r="D445" s="106"/>
      <c r="E445" s="52"/>
    </row>
    <row r="446" spans="1:5" s="103" customFormat="1" ht="13.2" hidden="1" outlineLevel="1" x14ac:dyDescent="0.25">
      <c r="A446" s="106" t="s">
        <v>920</v>
      </c>
      <c r="B446" s="106" t="s">
        <v>921</v>
      </c>
      <c r="C446" s="106"/>
      <c r="D446" s="106"/>
      <c r="E446" s="52"/>
    </row>
    <row r="447" spans="1:5" s="103" customFormat="1" ht="13.2" hidden="1" outlineLevel="1" x14ac:dyDescent="0.25">
      <c r="A447" s="106" t="s">
        <v>922</v>
      </c>
      <c r="B447" s="106" t="s">
        <v>923</v>
      </c>
      <c r="C447" s="106"/>
      <c r="D447" s="106"/>
      <c r="E447" s="52"/>
    </row>
    <row r="448" spans="1:5" s="103" customFormat="1" ht="13.2" hidden="1" outlineLevel="1" x14ac:dyDescent="0.25">
      <c r="A448" s="106" t="s">
        <v>924</v>
      </c>
      <c r="B448" s="106" t="s">
        <v>925</v>
      </c>
      <c r="C448" s="106"/>
      <c r="D448" s="106"/>
      <c r="E448" s="52"/>
    </row>
    <row r="449" spans="1:5" s="103" customFormat="1" ht="13.2" hidden="1" outlineLevel="1" x14ac:dyDescent="0.25">
      <c r="A449" s="106" t="s">
        <v>926</v>
      </c>
      <c r="B449" s="106" t="s">
        <v>927</v>
      </c>
      <c r="C449" s="106"/>
      <c r="D449" s="106"/>
      <c r="E449" s="52"/>
    </row>
    <row r="450" spans="1:5" s="103" customFormat="1" ht="13.2" hidden="1" outlineLevel="1" x14ac:dyDescent="0.25">
      <c r="A450" s="106" t="s">
        <v>928</v>
      </c>
      <c r="B450" s="106" t="s">
        <v>929</v>
      </c>
      <c r="C450" s="106"/>
      <c r="D450" s="106"/>
      <c r="E450" s="52"/>
    </row>
    <row r="451" spans="1:5" s="103" customFormat="1" ht="13.2" hidden="1" outlineLevel="1" x14ac:dyDescent="0.25">
      <c r="A451" s="106" t="s">
        <v>930</v>
      </c>
      <c r="B451" s="106" t="s">
        <v>931</v>
      </c>
      <c r="C451" s="106"/>
      <c r="D451" s="106"/>
      <c r="E451" s="52"/>
    </row>
    <row r="452" spans="1:5" s="103" customFormat="1" ht="13.2" hidden="1" outlineLevel="1" x14ac:dyDescent="0.25">
      <c r="A452" s="106" t="s">
        <v>932</v>
      </c>
      <c r="B452" s="106" t="s">
        <v>933</v>
      </c>
      <c r="C452" s="106"/>
      <c r="D452" s="106"/>
      <c r="E452" s="52"/>
    </row>
    <row r="453" spans="1:5" s="103" customFormat="1" ht="13.2" hidden="1" outlineLevel="1" x14ac:dyDescent="0.25">
      <c r="A453" s="106" t="s">
        <v>934</v>
      </c>
      <c r="B453" s="106" t="s">
        <v>935</v>
      </c>
      <c r="C453" s="106"/>
      <c r="D453" s="106"/>
      <c r="E453" s="52"/>
    </row>
    <row r="454" spans="1:5" s="103" customFormat="1" ht="13.2" hidden="1" outlineLevel="1" x14ac:dyDescent="0.25">
      <c r="A454" s="106" t="s">
        <v>936</v>
      </c>
      <c r="B454" s="106" t="s">
        <v>937</v>
      </c>
      <c r="C454" s="106"/>
      <c r="D454" s="106"/>
      <c r="E454" s="52"/>
    </row>
    <row r="455" spans="1:5" s="103" customFormat="1" ht="13.2" hidden="1" outlineLevel="1" x14ac:dyDescent="0.25">
      <c r="A455" s="106" t="s">
        <v>938</v>
      </c>
      <c r="B455" s="106" t="s">
        <v>939</v>
      </c>
      <c r="C455" s="106"/>
      <c r="D455" s="106"/>
      <c r="E455" s="52"/>
    </row>
    <row r="456" spans="1:5" s="103" customFormat="1" ht="13.2" hidden="1" outlineLevel="1" x14ac:dyDescent="0.25">
      <c r="A456" s="106" t="s">
        <v>940</v>
      </c>
      <c r="B456" s="106" t="s">
        <v>941</v>
      </c>
      <c r="C456" s="106"/>
      <c r="D456" s="106"/>
      <c r="E456" s="52"/>
    </row>
    <row r="457" spans="1:5" s="103" customFormat="1" ht="13.2" hidden="1" outlineLevel="1" x14ac:dyDescent="0.25">
      <c r="A457" s="106" t="s">
        <v>942</v>
      </c>
      <c r="B457" s="106" t="s">
        <v>943</v>
      </c>
      <c r="C457" s="106"/>
      <c r="D457" s="106"/>
      <c r="E457" s="52"/>
    </row>
    <row r="458" spans="1:5" s="103" customFormat="1" ht="13.2" hidden="1" outlineLevel="1" x14ac:dyDescent="0.25">
      <c r="A458" s="106" t="s">
        <v>944</v>
      </c>
      <c r="B458" s="106" t="s">
        <v>945</v>
      </c>
      <c r="C458" s="106"/>
      <c r="D458" s="106"/>
      <c r="E458" s="52"/>
    </row>
    <row r="459" spans="1:5" s="103" customFormat="1" ht="13.2" hidden="1" outlineLevel="1" x14ac:dyDescent="0.25">
      <c r="A459" s="106" t="s">
        <v>946</v>
      </c>
      <c r="B459" s="106" t="s">
        <v>947</v>
      </c>
      <c r="C459" s="106"/>
      <c r="D459" s="106"/>
      <c r="E459" s="52"/>
    </row>
    <row r="460" spans="1:5" s="103" customFormat="1" ht="13.2" hidden="1" outlineLevel="1" x14ac:dyDescent="0.25">
      <c r="A460" s="106" t="s">
        <v>948</v>
      </c>
      <c r="B460" s="106" t="s">
        <v>949</v>
      </c>
      <c r="C460" s="106"/>
      <c r="D460" s="106"/>
      <c r="E460" s="52"/>
    </row>
    <row r="461" spans="1:5" s="103" customFormat="1" ht="13.2" hidden="1" outlineLevel="1" x14ac:dyDescent="0.25">
      <c r="A461" s="106" t="s">
        <v>950</v>
      </c>
      <c r="B461" s="106" t="s">
        <v>951</v>
      </c>
      <c r="C461" s="106"/>
      <c r="D461" s="106"/>
      <c r="E461" s="52"/>
    </row>
    <row r="462" spans="1:5" s="103" customFormat="1" ht="13.2" hidden="1" outlineLevel="1" x14ac:dyDescent="0.25">
      <c r="A462" s="106" t="s">
        <v>952</v>
      </c>
      <c r="B462" s="106" t="s">
        <v>953</v>
      </c>
      <c r="C462" s="106"/>
      <c r="D462" s="106"/>
      <c r="E462" s="52"/>
    </row>
    <row r="463" spans="1:5" s="103" customFormat="1" ht="13.2" hidden="1" outlineLevel="1" x14ac:dyDescent="0.25">
      <c r="A463" s="106" t="s">
        <v>954</v>
      </c>
      <c r="B463" s="106" t="s">
        <v>955</v>
      </c>
      <c r="C463" s="106"/>
      <c r="D463" s="106"/>
      <c r="E463" s="52"/>
    </row>
    <row r="464" spans="1:5" s="103" customFormat="1" ht="13.2" hidden="1" outlineLevel="1" x14ac:dyDescent="0.25">
      <c r="A464" s="106" t="s">
        <v>956</v>
      </c>
      <c r="B464" s="106" t="s">
        <v>957</v>
      </c>
      <c r="C464" s="106"/>
      <c r="D464" s="106"/>
      <c r="E464" s="52"/>
    </row>
    <row r="465" spans="1:5" s="103" customFormat="1" ht="13.2" hidden="1" outlineLevel="1" x14ac:dyDescent="0.25">
      <c r="A465" s="106" t="s">
        <v>958</v>
      </c>
      <c r="B465" s="106" t="s">
        <v>959</v>
      </c>
      <c r="C465" s="106"/>
      <c r="D465" s="106"/>
      <c r="E465" s="52"/>
    </row>
    <row r="466" spans="1:5" s="103" customFormat="1" ht="13.2" hidden="1" outlineLevel="1" x14ac:dyDescent="0.25">
      <c r="A466" s="106" t="s">
        <v>960</v>
      </c>
      <c r="B466" s="106" t="s">
        <v>961</v>
      </c>
      <c r="C466" s="106"/>
      <c r="D466" s="106"/>
      <c r="E466" s="52"/>
    </row>
    <row r="467" spans="1:5" s="103" customFormat="1" ht="13.2" hidden="1" outlineLevel="1" x14ac:dyDescent="0.25">
      <c r="A467" s="106" t="s">
        <v>962</v>
      </c>
      <c r="B467" s="106" t="s">
        <v>963</v>
      </c>
      <c r="C467" s="106"/>
      <c r="D467" s="106"/>
      <c r="E467" s="52"/>
    </row>
    <row r="468" spans="1:5" s="103" customFormat="1" ht="13.2" hidden="1" outlineLevel="1" x14ac:dyDescent="0.25">
      <c r="A468" s="106" t="s">
        <v>964</v>
      </c>
      <c r="B468" s="106" t="s">
        <v>965</v>
      </c>
      <c r="C468" s="106"/>
      <c r="D468" s="106"/>
      <c r="E468" s="52"/>
    </row>
    <row r="469" spans="1:5" s="103" customFormat="1" ht="13.2" hidden="1" outlineLevel="1" x14ac:dyDescent="0.25">
      <c r="A469" s="106" t="s">
        <v>966</v>
      </c>
      <c r="B469" s="106" t="s">
        <v>967</v>
      </c>
      <c r="C469" s="106"/>
      <c r="D469" s="106"/>
      <c r="E469" s="52"/>
    </row>
    <row r="470" spans="1:5" s="103" customFormat="1" ht="13.2" hidden="1" outlineLevel="1" x14ac:dyDescent="0.25">
      <c r="A470" s="106" t="s">
        <v>968</v>
      </c>
      <c r="B470" s="106" t="s">
        <v>969</v>
      </c>
      <c r="C470" s="106"/>
      <c r="D470" s="106"/>
      <c r="E470" s="52"/>
    </row>
    <row r="471" spans="1:5" s="103" customFormat="1" ht="13.2" hidden="1" outlineLevel="1" x14ac:dyDescent="0.25">
      <c r="A471" s="106" t="s">
        <v>970</v>
      </c>
      <c r="B471" s="106" t="s">
        <v>971</v>
      </c>
      <c r="C471" s="106"/>
      <c r="D471" s="106"/>
      <c r="E471" s="52"/>
    </row>
    <row r="472" spans="1:5" s="103" customFormat="1" ht="13.2" hidden="1" outlineLevel="1" x14ac:dyDescent="0.25">
      <c r="A472" s="106" t="s">
        <v>972</v>
      </c>
      <c r="B472" s="106" t="s">
        <v>973</v>
      </c>
      <c r="C472" s="106"/>
      <c r="D472" s="106"/>
      <c r="E472" s="52"/>
    </row>
    <row r="473" spans="1:5" s="103" customFormat="1" ht="13.2" hidden="1" outlineLevel="1" x14ac:dyDescent="0.25">
      <c r="A473" s="106" t="s">
        <v>974</v>
      </c>
      <c r="B473" s="106" t="s">
        <v>975</v>
      </c>
      <c r="C473" s="106"/>
      <c r="D473" s="106"/>
      <c r="E473" s="52"/>
    </row>
    <row r="474" spans="1:5" s="103" customFormat="1" ht="13.2" hidden="1" outlineLevel="1" x14ac:dyDescent="0.25">
      <c r="A474" s="106" t="s">
        <v>14387</v>
      </c>
      <c r="B474" s="106" t="s">
        <v>14402</v>
      </c>
      <c r="C474" s="106"/>
      <c r="D474" s="106"/>
      <c r="E474" s="52"/>
    </row>
    <row r="475" spans="1:5" s="103" customFormat="1" ht="13.2" hidden="1" outlineLevel="1" x14ac:dyDescent="0.25">
      <c r="A475" s="106" t="s">
        <v>976</v>
      </c>
      <c r="B475" s="106" t="s">
        <v>977</v>
      </c>
      <c r="C475" s="106"/>
      <c r="D475" s="106"/>
      <c r="E475" s="52"/>
    </row>
    <row r="476" spans="1:5" s="103" customFormat="1" ht="13.2" hidden="1" outlineLevel="1" x14ac:dyDescent="0.25">
      <c r="A476" s="106" t="s">
        <v>978</v>
      </c>
      <c r="B476" s="106" t="s">
        <v>979</v>
      </c>
      <c r="C476" s="106"/>
      <c r="D476" s="106"/>
      <c r="E476" s="52"/>
    </row>
    <row r="477" spans="1:5" s="103" customFormat="1" ht="13.2" hidden="1" outlineLevel="1" x14ac:dyDescent="0.25">
      <c r="A477" s="106" t="s">
        <v>980</v>
      </c>
      <c r="B477" s="106" t="s">
        <v>981</v>
      </c>
      <c r="C477" s="106"/>
      <c r="D477" s="106"/>
      <c r="E477" s="52"/>
    </row>
    <row r="478" spans="1:5" s="103" customFormat="1" ht="13.2" hidden="1" outlineLevel="1" x14ac:dyDescent="0.25">
      <c r="A478" s="106" t="s">
        <v>982</v>
      </c>
      <c r="B478" s="106" t="s">
        <v>983</v>
      </c>
      <c r="C478" s="106"/>
      <c r="D478" s="106"/>
      <c r="E478" s="52"/>
    </row>
    <row r="479" spans="1:5" s="103" customFormat="1" ht="13.2" hidden="1" outlineLevel="1" x14ac:dyDescent="0.25">
      <c r="A479" s="106" t="s">
        <v>984</v>
      </c>
      <c r="B479" s="106" t="s">
        <v>985</v>
      </c>
      <c r="C479" s="106"/>
      <c r="D479" s="106"/>
      <c r="E479" s="52"/>
    </row>
    <row r="480" spans="1:5" s="103" customFormat="1" ht="13.2" hidden="1" outlineLevel="1" x14ac:dyDescent="0.25">
      <c r="A480" s="106" t="s">
        <v>986</v>
      </c>
      <c r="B480" s="106" t="s">
        <v>987</v>
      </c>
      <c r="C480" s="106"/>
      <c r="D480" s="106"/>
      <c r="E480" s="52"/>
    </row>
    <row r="481" spans="1:5" s="103" customFormat="1" ht="13.2" hidden="1" outlineLevel="1" x14ac:dyDescent="0.25">
      <c r="A481" s="106" t="s">
        <v>988</v>
      </c>
      <c r="B481" s="106" t="s">
        <v>989</v>
      </c>
      <c r="C481" s="106"/>
      <c r="D481" s="106"/>
      <c r="E481" s="52"/>
    </row>
    <row r="482" spans="1:5" s="103" customFormat="1" ht="13.2" hidden="1" outlineLevel="1" x14ac:dyDescent="0.25">
      <c r="A482" s="106" t="s">
        <v>990</v>
      </c>
      <c r="B482" s="106" t="s">
        <v>991</v>
      </c>
      <c r="C482" s="106"/>
      <c r="D482" s="106"/>
      <c r="E482" s="52"/>
    </row>
    <row r="483" spans="1:5" s="103" customFormat="1" ht="13.2" hidden="1" outlineLevel="1" x14ac:dyDescent="0.25">
      <c r="A483" s="106" t="s">
        <v>992</v>
      </c>
      <c r="B483" s="106" t="s">
        <v>993</v>
      </c>
      <c r="C483" s="106"/>
      <c r="D483" s="106"/>
      <c r="E483" s="52"/>
    </row>
    <row r="484" spans="1:5" s="103" customFormat="1" ht="13.2" hidden="1" outlineLevel="1" x14ac:dyDescent="0.25">
      <c r="A484" s="106" t="s">
        <v>994</v>
      </c>
      <c r="B484" s="106" t="s">
        <v>995</v>
      </c>
      <c r="C484" s="106"/>
      <c r="D484" s="106"/>
      <c r="E484" s="52"/>
    </row>
    <row r="485" spans="1:5" s="103" customFormat="1" ht="13.2" hidden="1" outlineLevel="1" x14ac:dyDescent="0.25">
      <c r="A485" s="106" t="s">
        <v>996</v>
      </c>
      <c r="B485" s="106" t="s">
        <v>997</v>
      </c>
      <c r="C485" s="106"/>
      <c r="D485" s="106"/>
      <c r="E485" s="52"/>
    </row>
    <row r="486" spans="1:5" s="103" customFormat="1" ht="13.2" collapsed="1" x14ac:dyDescent="0.25">
      <c r="A486" s="104" t="s">
        <v>998</v>
      </c>
      <c r="B486" s="105" t="s">
        <v>999</v>
      </c>
      <c r="C486" s="105"/>
      <c r="D486" s="105"/>
      <c r="E486" s="51"/>
    </row>
    <row r="487" spans="1:5" s="103" customFormat="1" ht="13.2" hidden="1" outlineLevel="1" x14ac:dyDescent="0.25">
      <c r="A487" s="106" t="s">
        <v>1000</v>
      </c>
      <c r="B487" s="106" t="s">
        <v>1001</v>
      </c>
      <c r="C487" s="106"/>
      <c r="D487" s="106"/>
      <c r="E487" s="52"/>
    </row>
    <row r="488" spans="1:5" s="103" customFormat="1" ht="13.2" hidden="1" outlineLevel="1" x14ac:dyDescent="0.25">
      <c r="A488" s="106" t="s">
        <v>1002</v>
      </c>
      <c r="B488" s="106" t="s">
        <v>1003</v>
      </c>
      <c r="C488" s="106"/>
      <c r="D488" s="106"/>
      <c r="E488" s="52"/>
    </row>
    <row r="489" spans="1:5" s="103" customFormat="1" ht="13.2" hidden="1" outlineLevel="1" x14ac:dyDescent="0.25">
      <c r="A489" s="106" t="s">
        <v>1004</v>
      </c>
      <c r="B489" s="106" t="s">
        <v>1005</v>
      </c>
      <c r="C489" s="106"/>
      <c r="D489" s="106"/>
      <c r="E489" s="52"/>
    </row>
    <row r="490" spans="1:5" s="103" customFormat="1" ht="13.2" hidden="1" outlineLevel="1" x14ac:dyDescent="0.25">
      <c r="A490" s="106" t="s">
        <v>1006</v>
      </c>
      <c r="B490" s="106" t="s">
        <v>1007</v>
      </c>
      <c r="C490" s="106"/>
      <c r="D490" s="106"/>
      <c r="E490" s="52"/>
    </row>
    <row r="491" spans="1:5" s="103" customFormat="1" ht="13.2" hidden="1" outlineLevel="1" x14ac:dyDescent="0.25">
      <c r="A491" s="106" t="s">
        <v>1008</v>
      </c>
      <c r="B491" s="106" t="s">
        <v>1009</v>
      </c>
      <c r="C491" s="106"/>
      <c r="D491" s="106"/>
      <c r="E491" s="52"/>
    </row>
    <row r="492" spans="1:5" s="103" customFormat="1" ht="13.2" hidden="1" outlineLevel="1" x14ac:dyDescent="0.25">
      <c r="A492" s="106" t="s">
        <v>1010</v>
      </c>
      <c r="B492" s="106" t="s">
        <v>1011</v>
      </c>
      <c r="C492" s="106"/>
      <c r="D492" s="106"/>
      <c r="E492" s="52"/>
    </row>
    <row r="493" spans="1:5" s="103" customFormat="1" ht="13.2" hidden="1" outlineLevel="1" x14ac:dyDescent="0.25">
      <c r="A493" s="106" t="s">
        <v>1012</v>
      </c>
      <c r="B493" s="106" t="s">
        <v>1013</v>
      </c>
      <c r="C493" s="106"/>
      <c r="D493" s="106"/>
      <c r="E493" s="52"/>
    </row>
    <row r="494" spans="1:5" s="103" customFormat="1" ht="13.2" hidden="1" outlineLevel="1" x14ac:dyDescent="0.25">
      <c r="A494" s="106" t="s">
        <v>1014</v>
      </c>
      <c r="B494" s="106" t="s">
        <v>1015</v>
      </c>
      <c r="C494" s="106"/>
      <c r="D494" s="106"/>
      <c r="E494" s="52"/>
    </row>
    <row r="495" spans="1:5" s="103" customFormat="1" ht="13.2" hidden="1" outlineLevel="1" x14ac:dyDescent="0.25">
      <c r="A495" s="106" t="s">
        <v>1016</v>
      </c>
      <c r="B495" s="106" t="s">
        <v>1017</v>
      </c>
      <c r="C495" s="106"/>
      <c r="D495" s="106"/>
      <c r="E495" s="52"/>
    </row>
    <row r="496" spans="1:5" s="103" customFormat="1" ht="13.2" hidden="1" outlineLevel="1" x14ac:dyDescent="0.25">
      <c r="A496" s="106" t="s">
        <v>1018</v>
      </c>
      <c r="B496" s="106" t="s">
        <v>1019</v>
      </c>
      <c r="C496" s="106"/>
      <c r="D496" s="106"/>
      <c r="E496" s="52"/>
    </row>
    <row r="497" spans="1:5" s="103" customFormat="1" ht="13.2" hidden="1" outlineLevel="1" x14ac:dyDescent="0.25">
      <c r="A497" s="106" t="s">
        <v>1020</v>
      </c>
      <c r="B497" s="106" t="s">
        <v>1021</v>
      </c>
      <c r="C497" s="106"/>
      <c r="D497" s="106"/>
      <c r="E497" s="52"/>
    </row>
    <row r="498" spans="1:5" s="103" customFormat="1" ht="13.2" hidden="1" outlineLevel="1" x14ac:dyDescent="0.25">
      <c r="A498" s="106" t="s">
        <v>1022</v>
      </c>
      <c r="B498" s="106" t="s">
        <v>1023</v>
      </c>
      <c r="C498" s="106"/>
      <c r="D498" s="106"/>
      <c r="E498" s="52"/>
    </row>
    <row r="499" spans="1:5" s="103" customFormat="1" ht="13.2" hidden="1" outlineLevel="1" x14ac:dyDescent="0.25">
      <c r="A499" s="106" t="s">
        <v>1024</v>
      </c>
      <c r="B499" s="106" t="s">
        <v>1025</v>
      </c>
      <c r="C499" s="106"/>
      <c r="D499" s="106"/>
      <c r="E499" s="52"/>
    </row>
    <row r="500" spans="1:5" s="103" customFormat="1" ht="13.2" hidden="1" outlineLevel="1" x14ac:dyDescent="0.25">
      <c r="A500" s="106" t="s">
        <v>1026</v>
      </c>
      <c r="B500" s="106" t="s">
        <v>1027</v>
      </c>
      <c r="C500" s="106"/>
      <c r="D500" s="106"/>
      <c r="E500" s="52"/>
    </row>
    <row r="501" spans="1:5" s="103" customFormat="1" ht="13.2" hidden="1" outlineLevel="1" x14ac:dyDescent="0.25">
      <c r="A501" s="106" t="s">
        <v>1028</v>
      </c>
      <c r="B501" s="106" t="s">
        <v>1029</v>
      </c>
      <c r="C501" s="106"/>
      <c r="D501" s="106"/>
      <c r="E501" s="52"/>
    </row>
    <row r="502" spans="1:5" s="103" customFormat="1" ht="13.2" hidden="1" outlineLevel="1" x14ac:dyDescent="0.25">
      <c r="A502" s="106" t="s">
        <v>1030</v>
      </c>
      <c r="B502" s="106" t="s">
        <v>1031</v>
      </c>
      <c r="C502" s="106"/>
      <c r="D502" s="106"/>
      <c r="E502" s="52"/>
    </row>
    <row r="503" spans="1:5" s="103" customFormat="1" ht="13.2" hidden="1" outlineLevel="1" x14ac:dyDescent="0.25">
      <c r="A503" s="106" t="s">
        <v>1032</v>
      </c>
      <c r="B503" s="106" t="s">
        <v>1033</v>
      </c>
      <c r="C503" s="106"/>
      <c r="D503" s="106"/>
      <c r="E503" s="52"/>
    </row>
    <row r="504" spans="1:5" s="103" customFormat="1" ht="13.2" hidden="1" outlineLevel="1" x14ac:dyDescent="0.25">
      <c r="A504" s="106" t="s">
        <v>1034</v>
      </c>
      <c r="B504" s="106" t="s">
        <v>1035</v>
      </c>
      <c r="C504" s="106"/>
      <c r="D504" s="106"/>
      <c r="E504" s="52"/>
    </row>
    <row r="505" spans="1:5" s="103" customFormat="1" ht="13.2" hidden="1" outlineLevel="1" x14ac:dyDescent="0.25">
      <c r="A505" s="106" t="s">
        <v>1036</v>
      </c>
      <c r="B505" s="106" t="s">
        <v>1037</v>
      </c>
      <c r="C505" s="106"/>
      <c r="D505" s="106"/>
      <c r="E505" s="52"/>
    </row>
    <row r="506" spans="1:5" s="103" customFormat="1" ht="13.2" hidden="1" outlineLevel="1" x14ac:dyDescent="0.25">
      <c r="A506" s="106" t="s">
        <v>1038</v>
      </c>
      <c r="B506" s="106" t="s">
        <v>1039</v>
      </c>
      <c r="C506" s="106"/>
      <c r="D506" s="106"/>
      <c r="E506" s="52"/>
    </row>
    <row r="507" spans="1:5" s="103" customFormat="1" ht="13.2" hidden="1" outlineLevel="1" x14ac:dyDescent="0.25">
      <c r="A507" s="106" t="s">
        <v>1040</v>
      </c>
      <c r="B507" s="106" t="s">
        <v>1041</v>
      </c>
      <c r="C507" s="106"/>
      <c r="D507" s="106"/>
      <c r="E507" s="52"/>
    </row>
    <row r="508" spans="1:5" s="103" customFormat="1" ht="13.2" hidden="1" outlineLevel="1" x14ac:dyDescent="0.25">
      <c r="A508" s="106" t="s">
        <v>1042</v>
      </c>
      <c r="B508" s="106" t="s">
        <v>1043</v>
      </c>
      <c r="C508" s="106"/>
      <c r="D508" s="106"/>
      <c r="E508" s="52"/>
    </row>
    <row r="509" spans="1:5" s="103" customFormat="1" ht="13.2" hidden="1" outlineLevel="1" x14ac:dyDescent="0.25">
      <c r="A509" s="106" t="s">
        <v>1044</v>
      </c>
      <c r="B509" s="106" t="s">
        <v>1045</v>
      </c>
      <c r="C509" s="106"/>
      <c r="D509" s="106"/>
      <c r="E509" s="52"/>
    </row>
    <row r="510" spans="1:5" s="103" customFormat="1" ht="13.2" hidden="1" outlineLevel="1" x14ac:dyDescent="0.25">
      <c r="A510" s="106" t="s">
        <v>1046</v>
      </c>
      <c r="B510" s="106" t="s">
        <v>1047</v>
      </c>
      <c r="C510" s="106"/>
      <c r="D510" s="106"/>
      <c r="E510" s="52"/>
    </row>
    <row r="511" spans="1:5" s="103" customFormat="1" ht="13.2" hidden="1" outlineLevel="1" x14ac:dyDescent="0.25">
      <c r="A511" s="106" t="s">
        <v>1048</v>
      </c>
      <c r="B511" s="106" t="s">
        <v>1049</v>
      </c>
      <c r="C511" s="106"/>
      <c r="D511" s="106"/>
      <c r="E511" s="52"/>
    </row>
    <row r="512" spans="1:5" s="103" customFormat="1" ht="13.2" hidden="1" outlineLevel="1" x14ac:dyDescent="0.25">
      <c r="A512" s="106" t="s">
        <v>1050</v>
      </c>
      <c r="B512" s="106" t="s">
        <v>1051</v>
      </c>
      <c r="C512" s="106"/>
      <c r="D512" s="106"/>
      <c r="E512" s="52"/>
    </row>
    <row r="513" spans="1:5" s="103" customFormat="1" ht="13.2" hidden="1" outlineLevel="1" x14ac:dyDescent="0.25">
      <c r="A513" s="106" t="s">
        <v>1052</v>
      </c>
      <c r="B513" s="106" t="s">
        <v>1053</v>
      </c>
      <c r="C513" s="106"/>
      <c r="D513" s="106"/>
      <c r="E513" s="52"/>
    </row>
    <row r="514" spans="1:5" s="103" customFormat="1" ht="13.2" hidden="1" outlineLevel="1" x14ac:dyDescent="0.25">
      <c r="A514" s="106" t="s">
        <v>1054</v>
      </c>
      <c r="B514" s="106" t="s">
        <v>1055</v>
      </c>
      <c r="C514" s="106"/>
      <c r="D514" s="106"/>
      <c r="E514" s="52"/>
    </row>
    <row r="515" spans="1:5" s="103" customFormat="1" ht="13.2" hidden="1" outlineLevel="1" x14ac:dyDescent="0.25">
      <c r="A515" s="106" t="s">
        <v>1056</v>
      </c>
      <c r="B515" s="106" t="s">
        <v>1057</v>
      </c>
      <c r="C515" s="106"/>
      <c r="D515" s="106"/>
      <c r="E515" s="52"/>
    </row>
    <row r="516" spans="1:5" s="103" customFormat="1" ht="13.2" hidden="1" outlineLevel="1" x14ac:dyDescent="0.25">
      <c r="A516" s="106" t="s">
        <v>1058</v>
      </c>
      <c r="B516" s="106" t="s">
        <v>1059</v>
      </c>
      <c r="C516" s="106"/>
      <c r="D516" s="106"/>
      <c r="E516" s="52"/>
    </row>
    <row r="517" spans="1:5" s="103" customFormat="1" ht="13.2" hidden="1" outlineLevel="1" x14ac:dyDescent="0.25">
      <c r="A517" s="106" t="s">
        <v>1060</v>
      </c>
      <c r="B517" s="106" t="s">
        <v>1061</v>
      </c>
      <c r="C517" s="106"/>
      <c r="D517" s="106"/>
      <c r="E517" s="52"/>
    </row>
    <row r="518" spans="1:5" s="103" customFormat="1" ht="13.2" hidden="1" outlineLevel="1" x14ac:dyDescent="0.25">
      <c r="A518" s="106" t="s">
        <v>1062</v>
      </c>
      <c r="B518" s="106" t="s">
        <v>1063</v>
      </c>
      <c r="C518" s="106"/>
      <c r="D518" s="106"/>
      <c r="E518" s="52"/>
    </row>
    <row r="519" spans="1:5" s="103" customFormat="1" ht="13.2" hidden="1" outlineLevel="1" x14ac:dyDescent="0.25">
      <c r="A519" s="106" t="s">
        <v>1064</v>
      </c>
      <c r="B519" s="106" t="s">
        <v>1065</v>
      </c>
      <c r="C519" s="106"/>
      <c r="D519" s="106"/>
      <c r="E519" s="52"/>
    </row>
    <row r="520" spans="1:5" s="103" customFormat="1" ht="13.2" hidden="1" outlineLevel="1" x14ac:dyDescent="0.25">
      <c r="A520" s="106" t="s">
        <v>1066</v>
      </c>
      <c r="B520" s="106" t="s">
        <v>1067</v>
      </c>
      <c r="C520" s="106"/>
      <c r="D520" s="106"/>
      <c r="E520" s="52"/>
    </row>
    <row r="521" spans="1:5" s="103" customFormat="1" ht="13.2" hidden="1" outlineLevel="1" x14ac:dyDescent="0.25">
      <c r="A521" s="106" t="s">
        <v>1068</v>
      </c>
      <c r="B521" s="106" t="s">
        <v>1069</v>
      </c>
      <c r="C521" s="106"/>
      <c r="D521" s="106"/>
      <c r="E521" s="52"/>
    </row>
    <row r="522" spans="1:5" s="103" customFormat="1" ht="13.2" hidden="1" outlineLevel="1" x14ac:dyDescent="0.25">
      <c r="A522" s="106" t="s">
        <v>1070</v>
      </c>
      <c r="B522" s="106" t="s">
        <v>1071</v>
      </c>
      <c r="C522" s="106"/>
      <c r="D522" s="106"/>
      <c r="E522" s="52"/>
    </row>
    <row r="523" spans="1:5" s="103" customFormat="1" ht="13.2" hidden="1" outlineLevel="1" x14ac:dyDescent="0.25">
      <c r="A523" s="106" t="s">
        <v>1072</v>
      </c>
      <c r="B523" s="106" t="s">
        <v>1073</v>
      </c>
      <c r="C523" s="106"/>
      <c r="D523" s="106"/>
      <c r="E523" s="52"/>
    </row>
    <row r="524" spans="1:5" s="103" customFormat="1" ht="13.2" hidden="1" outlineLevel="1" x14ac:dyDescent="0.25">
      <c r="A524" s="106" t="s">
        <v>1074</v>
      </c>
      <c r="B524" s="106" t="s">
        <v>1075</v>
      </c>
      <c r="C524" s="106"/>
      <c r="D524" s="106"/>
      <c r="E524" s="52"/>
    </row>
    <row r="525" spans="1:5" s="103" customFormat="1" ht="13.2" hidden="1" outlineLevel="1" x14ac:dyDescent="0.25">
      <c r="A525" s="106" t="s">
        <v>1076</v>
      </c>
      <c r="B525" s="106" t="s">
        <v>1077</v>
      </c>
      <c r="C525" s="106"/>
      <c r="D525" s="106"/>
      <c r="E525" s="52"/>
    </row>
    <row r="526" spans="1:5" s="103" customFormat="1" ht="13.2" hidden="1" outlineLevel="1" x14ac:dyDescent="0.25">
      <c r="A526" s="106" t="s">
        <v>1078</v>
      </c>
      <c r="B526" s="106" t="s">
        <v>1079</v>
      </c>
      <c r="C526" s="106"/>
      <c r="D526" s="106"/>
      <c r="E526" s="52"/>
    </row>
    <row r="527" spans="1:5" s="103" customFormat="1" ht="13.2" hidden="1" outlineLevel="1" x14ac:dyDescent="0.25">
      <c r="A527" s="106" t="s">
        <v>1080</v>
      </c>
      <c r="B527" s="106" t="s">
        <v>1081</v>
      </c>
      <c r="C527" s="106"/>
      <c r="D527" s="106"/>
      <c r="E527" s="52"/>
    </row>
    <row r="528" spans="1:5" s="103" customFormat="1" ht="13.2" hidden="1" outlineLevel="1" x14ac:dyDescent="0.25">
      <c r="A528" s="106" t="s">
        <v>1082</v>
      </c>
      <c r="B528" s="106" t="s">
        <v>1083</v>
      </c>
      <c r="C528" s="106"/>
      <c r="D528" s="106"/>
      <c r="E528" s="52"/>
    </row>
    <row r="529" spans="1:5" s="103" customFormat="1" ht="13.2" hidden="1" outlineLevel="1" x14ac:dyDescent="0.25">
      <c r="A529" s="106" t="s">
        <v>1084</v>
      </c>
      <c r="B529" s="106" t="s">
        <v>1085</v>
      </c>
      <c r="C529" s="106"/>
      <c r="D529" s="106"/>
      <c r="E529" s="52"/>
    </row>
    <row r="530" spans="1:5" s="103" customFormat="1" ht="13.2" hidden="1" outlineLevel="1" x14ac:dyDescent="0.25">
      <c r="A530" s="106" t="s">
        <v>1086</v>
      </c>
      <c r="B530" s="106" t="s">
        <v>1087</v>
      </c>
      <c r="C530" s="106"/>
      <c r="D530" s="106"/>
      <c r="E530" s="52"/>
    </row>
    <row r="531" spans="1:5" s="103" customFormat="1" ht="13.2" hidden="1" outlineLevel="1" x14ac:dyDescent="0.25">
      <c r="A531" s="106" t="s">
        <v>1088</v>
      </c>
      <c r="B531" s="106" t="s">
        <v>1089</v>
      </c>
      <c r="C531" s="106"/>
      <c r="D531" s="106"/>
      <c r="E531" s="52"/>
    </row>
    <row r="532" spans="1:5" s="103" customFormat="1" ht="13.2" hidden="1" outlineLevel="1" x14ac:dyDescent="0.25">
      <c r="A532" s="106" t="s">
        <v>1090</v>
      </c>
      <c r="B532" s="106" t="s">
        <v>1091</v>
      </c>
      <c r="C532" s="106"/>
      <c r="D532" s="106"/>
      <c r="E532" s="52"/>
    </row>
    <row r="533" spans="1:5" s="103" customFormat="1" ht="13.2" hidden="1" outlineLevel="1" x14ac:dyDescent="0.25">
      <c r="A533" s="106" t="s">
        <v>1092</v>
      </c>
      <c r="B533" s="106" t="s">
        <v>1093</v>
      </c>
      <c r="C533" s="106"/>
      <c r="D533" s="106"/>
      <c r="E533" s="52"/>
    </row>
    <row r="534" spans="1:5" s="103" customFormat="1" ht="13.2" hidden="1" outlineLevel="1" x14ac:dyDescent="0.25">
      <c r="A534" s="106" t="s">
        <v>1094</v>
      </c>
      <c r="B534" s="106" t="s">
        <v>1095</v>
      </c>
      <c r="C534" s="106"/>
      <c r="D534" s="106"/>
      <c r="E534" s="52"/>
    </row>
    <row r="535" spans="1:5" s="103" customFormat="1" ht="13.2" hidden="1" outlineLevel="1" x14ac:dyDescent="0.25">
      <c r="A535" s="106" t="s">
        <v>1096</v>
      </c>
      <c r="B535" s="106" t="s">
        <v>1097</v>
      </c>
      <c r="C535" s="106"/>
      <c r="D535" s="106"/>
      <c r="E535" s="52"/>
    </row>
    <row r="536" spans="1:5" s="103" customFormat="1" ht="13.2" hidden="1" outlineLevel="1" x14ac:dyDescent="0.25">
      <c r="A536" s="106" t="s">
        <v>1098</v>
      </c>
      <c r="B536" s="106" t="s">
        <v>1099</v>
      </c>
      <c r="C536" s="106"/>
      <c r="D536" s="106"/>
      <c r="E536" s="52"/>
    </row>
    <row r="537" spans="1:5" s="103" customFormat="1" ht="13.2" hidden="1" outlineLevel="1" x14ac:dyDescent="0.25">
      <c r="A537" s="106" t="s">
        <v>1100</v>
      </c>
      <c r="B537" s="106" t="s">
        <v>1101</v>
      </c>
      <c r="C537" s="106"/>
      <c r="D537" s="106"/>
      <c r="E537" s="52"/>
    </row>
    <row r="538" spans="1:5" s="103" customFormat="1" ht="13.2" hidden="1" outlineLevel="1" x14ac:dyDescent="0.25">
      <c r="A538" s="106" t="s">
        <v>1102</v>
      </c>
      <c r="B538" s="106" t="s">
        <v>1103</v>
      </c>
      <c r="C538" s="106"/>
      <c r="D538" s="106"/>
      <c r="E538" s="52"/>
    </row>
    <row r="539" spans="1:5" s="103" customFormat="1" ht="13.2" hidden="1" outlineLevel="1" x14ac:dyDescent="0.25">
      <c r="A539" s="106" t="s">
        <v>1104</v>
      </c>
      <c r="B539" s="106" t="s">
        <v>1105</v>
      </c>
      <c r="C539" s="106"/>
      <c r="D539" s="106"/>
      <c r="E539" s="52"/>
    </row>
    <row r="540" spans="1:5" s="103" customFormat="1" ht="13.2" hidden="1" outlineLevel="1" x14ac:dyDescent="0.25">
      <c r="A540" s="106" t="s">
        <v>1106</v>
      </c>
      <c r="B540" s="106" t="s">
        <v>1107</v>
      </c>
      <c r="C540" s="106"/>
      <c r="D540" s="106"/>
      <c r="E540" s="52"/>
    </row>
    <row r="541" spans="1:5" s="103" customFormat="1" ht="13.2" hidden="1" outlineLevel="1" x14ac:dyDescent="0.25">
      <c r="A541" s="106" t="s">
        <v>1108</v>
      </c>
      <c r="B541" s="106" t="s">
        <v>1109</v>
      </c>
      <c r="C541" s="106"/>
      <c r="D541" s="106"/>
      <c r="E541" s="52"/>
    </row>
    <row r="542" spans="1:5" s="103" customFormat="1" ht="13.2" hidden="1" outlineLevel="1" x14ac:dyDescent="0.25">
      <c r="A542" s="106" t="s">
        <v>1110</v>
      </c>
      <c r="B542" s="106" t="s">
        <v>1111</v>
      </c>
      <c r="C542" s="106"/>
      <c r="D542" s="106"/>
      <c r="E542" s="52"/>
    </row>
    <row r="543" spans="1:5" s="103" customFormat="1" ht="13.2" hidden="1" outlineLevel="1" x14ac:dyDescent="0.25">
      <c r="A543" s="106" t="s">
        <v>1112</v>
      </c>
      <c r="B543" s="106" t="s">
        <v>1113</v>
      </c>
      <c r="C543" s="106"/>
      <c r="D543" s="106"/>
      <c r="E543" s="52"/>
    </row>
    <row r="544" spans="1:5" s="103" customFormat="1" ht="13.2" hidden="1" outlineLevel="1" x14ac:dyDescent="0.25">
      <c r="A544" s="106" t="s">
        <v>1114</v>
      </c>
      <c r="B544" s="106" t="s">
        <v>1115</v>
      </c>
      <c r="C544" s="106"/>
      <c r="D544" s="106"/>
      <c r="E544" s="52"/>
    </row>
    <row r="545" spans="1:5" s="103" customFormat="1" ht="13.2" hidden="1" outlineLevel="1" x14ac:dyDescent="0.25">
      <c r="A545" s="106" t="s">
        <v>1116</v>
      </c>
      <c r="B545" s="106" t="s">
        <v>1117</v>
      </c>
      <c r="C545" s="106"/>
      <c r="D545" s="106"/>
      <c r="E545" s="52"/>
    </row>
    <row r="546" spans="1:5" s="103" customFormat="1" ht="13.2" hidden="1" outlineLevel="1" x14ac:dyDescent="0.25">
      <c r="A546" s="106" t="s">
        <v>1118</v>
      </c>
      <c r="B546" s="106" t="s">
        <v>1119</v>
      </c>
      <c r="C546" s="106"/>
      <c r="D546" s="106"/>
      <c r="E546" s="52"/>
    </row>
    <row r="547" spans="1:5" s="103" customFormat="1" ht="13.2" hidden="1" outlineLevel="1" x14ac:dyDescent="0.25">
      <c r="A547" s="106" t="s">
        <v>1120</v>
      </c>
      <c r="B547" s="106" t="s">
        <v>1121</v>
      </c>
      <c r="C547" s="106"/>
      <c r="D547" s="106"/>
      <c r="E547" s="52"/>
    </row>
    <row r="548" spans="1:5" s="103" customFormat="1" ht="13.2" hidden="1" outlineLevel="1" x14ac:dyDescent="0.25">
      <c r="A548" s="106" t="s">
        <v>1122</v>
      </c>
      <c r="B548" s="106" t="s">
        <v>1123</v>
      </c>
      <c r="C548" s="106"/>
      <c r="D548" s="106"/>
      <c r="E548" s="52"/>
    </row>
    <row r="549" spans="1:5" s="103" customFormat="1" ht="13.2" hidden="1" outlineLevel="1" x14ac:dyDescent="0.25">
      <c r="A549" s="106" t="s">
        <v>1124</v>
      </c>
      <c r="B549" s="106" t="s">
        <v>1125</v>
      </c>
      <c r="C549" s="106"/>
      <c r="D549" s="106"/>
      <c r="E549" s="52"/>
    </row>
    <row r="550" spans="1:5" s="103" customFormat="1" ht="13.2" hidden="1" outlineLevel="1" x14ac:dyDescent="0.25">
      <c r="A550" s="106" t="s">
        <v>1126</v>
      </c>
      <c r="B550" s="106" t="s">
        <v>1127</v>
      </c>
      <c r="C550" s="106"/>
      <c r="D550" s="106"/>
      <c r="E550" s="52"/>
    </row>
    <row r="551" spans="1:5" s="103" customFormat="1" ht="13.2" hidden="1" outlineLevel="1" x14ac:dyDescent="0.25">
      <c r="A551" s="106" t="s">
        <v>1128</v>
      </c>
      <c r="B551" s="106" t="s">
        <v>1129</v>
      </c>
      <c r="C551" s="106"/>
      <c r="D551" s="106"/>
      <c r="E551" s="52"/>
    </row>
    <row r="552" spans="1:5" s="103" customFormat="1" ht="13.2" hidden="1" outlineLevel="1" x14ac:dyDescent="0.25">
      <c r="A552" s="106" t="s">
        <v>1130</v>
      </c>
      <c r="B552" s="106" t="s">
        <v>1131</v>
      </c>
      <c r="C552" s="106"/>
      <c r="D552" s="106"/>
      <c r="E552" s="52"/>
    </row>
    <row r="553" spans="1:5" s="103" customFormat="1" ht="13.2" hidden="1" outlineLevel="1" x14ac:dyDescent="0.25">
      <c r="A553" s="106" t="s">
        <v>1132</v>
      </c>
      <c r="B553" s="106" t="s">
        <v>1133</v>
      </c>
      <c r="C553" s="106"/>
      <c r="D553" s="106"/>
      <c r="E553" s="52"/>
    </row>
    <row r="554" spans="1:5" s="103" customFormat="1" ht="13.2" hidden="1" outlineLevel="1" x14ac:dyDescent="0.25">
      <c r="A554" s="106" t="s">
        <v>1134</v>
      </c>
      <c r="B554" s="106" t="s">
        <v>1135</v>
      </c>
      <c r="C554" s="106"/>
      <c r="D554" s="106"/>
      <c r="E554" s="52"/>
    </row>
    <row r="555" spans="1:5" s="103" customFormat="1" ht="13.2" hidden="1" outlineLevel="1" x14ac:dyDescent="0.25">
      <c r="A555" s="106" t="s">
        <v>1136</v>
      </c>
      <c r="B555" s="106" t="s">
        <v>1137</v>
      </c>
      <c r="C555" s="106"/>
      <c r="D555" s="106"/>
      <c r="E555" s="52"/>
    </row>
    <row r="556" spans="1:5" s="103" customFormat="1" ht="13.2" hidden="1" outlineLevel="1" x14ac:dyDescent="0.25">
      <c r="A556" s="106" t="s">
        <v>1138</v>
      </c>
      <c r="B556" s="106" t="s">
        <v>1139</v>
      </c>
      <c r="C556" s="106"/>
      <c r="D556" s="106"/>
      <c r="E556" s="52"/>
    </row>
    <row r="557" spans="1:5" s="103" customFormat="1" ht="13.2" hidden="1" outlineLevel="1" x14ac:dyDescent="0.25">
      <c r="A557" s="106" t="s">
        <v>1140</v>
      </c>
      <c r="B557" s="106" t="s">
        <v>1141</v>
      </c>
      <c r="C557" s="106"/>
      <c r="D557" s="106"/>
      <c r="E557" s="52"/>
    </row>
    <row r="558" spans="1:5" s="103" customFormat="1" ht="13.2" hidden="1" outlineLevel="1" x14ac:dyDescent="0.25">
      <c r="A558" s="106" t="s">
        <v>1142</v>
      </c>
      <c r="B558" s="106" t="s">
        <v>1143</v>
      </c>
      <c r="C558" s="106"/>
      <c r="D558" s="106"/>
      <c r="E558" s="52"/>
    </row>
    <row r="559" spans="1:5" s="103" customFormat="1" ht="13.2" hidden="1" outlineLevel="1" x14ac:dyDescent="0.25">
      <c r="A559" s="106" t="s">
        <v>1144</v>
      </c>
      <c r="B559" s="106" t="s">
        <v>1145</v>
      </c>
      <c r="C559" s="106"/>
      <c r="D559" s="106"/>
      <c r="E559" s="52"/>
    </row>
    <row r="560" spans="1:5" s="103" customFormat="1" ht="13.2" hidden="1" outlineLevel="1" x14ac:dyDescent="0.25">
      <c r="A560" s="106" t="s">
        <v>1146</v>
      </c>
      <c r="B560" s="106" t="s">
        <v>1147</v>
      </c>
      <c r="C560" s="106"/>
      <c r="D560" s="106"/>
      <c r="E560" s="52"/>
    </row>
    <row r="561" spans="1:5" s="103" customFormat="1" ht="13.2" hidden="1" outlineLevel="1" x14ac:dyDescent="0.25">
      <c r="A561" s="106" t="s">
        <v>1148</v>
      </c>
      <c r="B561" s="106" t="s">
        <v>1149</v>
      </c>
      <c r="C561" s="106"/>
      <c r="D561" s="106"/>
      <c r="E561" s="52"/>
    </row>
    <row r="562" spans="1:5" s="103" customFormat="1" ht="13.2" hidden="1" outlineLevel="1" x14ac:dyDescent="0.25">
      <c r="A562" s="106" t="s">
        <v>1150</v>
      </c>
      <c r="B562" s="106" t="s">
        <v>1151</v>
      </c>
      <c r="C562" s="106"/>
      <c r="D562" s="106"/>
      <c r="E562" s="52"/>
    </row>
    <row r="563" spans="1:5" s="103" customFormat="1" ht="13.2" hidden="1" outlineLevel="1" x14ac:dyDescent="0.25">
      <c r="A563" s="106" t="s">
        <v>1152</v>
      </c>
      <c r="B563" s="106" t="s">
        <v>1153</v>
      </c>
      <c r="C563" s="106"/>
      <c r="D563" s="106"/>
      <c r="E563" s="52"/>
    </row>
    <row r="564" spans="1:5" s="103" customFormat="1" ht="13.2" hidden="1" outlineLevel="1" x14ac:dyDescent="0.25">
      <c r="A564" s="106" t="s">
        <v>1154</v>
      </c>
      <c r="B564" s="106" t="s">
        <v>1155</v>
      </c>
      <c r="C564" s="106"/>
      <c r="D564" s="106"/>
      <c r="E564" s="52"/>
    </row>
    <row r="565" spans="1:5" s="103" customFormat="1" ht="13.2" hidden="1" outlineLevel="1" x14ac:dyDescent="0.25">
      <c r="A565" s="106" t="s">
        <v>1156</v>
      </c>
      <c r="B565" s="106" t="s">
        <v>1157</v>
      </c>
      <c r="C565" s="106"/>
      <c r="D565" s="106"/>
      <c r="E565" s="52"/>
    </row>
    <row r="566" spans="1:5" s="103" customFormat="1" ht="13.2" hidden="1" outlineLevel="1" x14ac:dyDescent="0.25">
      <c r="A566" s="106" t="s">
        <v>1158</v>
      </c>
      <c r="B566" s="106" t="s">
        <v>1159</v>
      </c>
      <c r="C566" s="106"/>
      <c r="D566" s="106"/>
      <c r="E566" s="52"/>
    </row>
    <row r="567" spans="1:5" s="103" customFormat="1" ht="13.2" hidden="1" outlineLevel="1" x14ac:dyDescent="0.25">
      <c r="A567" s="106" t="s">
        <v>1160</v>
      </c>
      <c r="B567" s="106" t="s">
        <v>1161</v>
      </c>
      <c r="C567" s="106"/>
      <c r="D567" s="106"/>
      <c r="E567" s="52"/>
    </row>
    <row r="568" spans="1:5" s="103" customFormat="1" ht="13.2" hidden="1" outlineLevel="1" x14ac:dyDescent="0.25">
      <c r="A568" s="106" t="s">
        <v>1162</v>
      </c>
      <c r="B568" s="106" t="s">
        <v>1163</v>
      </c>
      <c r="C568" s="106"/>
      <c r="D568" s="106"/>
      <c r="E568" s="52"/>
    </row>
    <row r="569" spans="1:5" s="103" customFormat="1" ht="13.2" hidden="1" outlineLevel="1" x14ac:dyDescent="0.25">
      <c r="A569" s="106" t="s">
        <v>1164</v>
      </c>
      <c r="B569" s="106" t="s">
        <v>1165</v>
      </c>
      <c r="C569" s="106"/>
      <c r="D569" s="106"/>
      <c r="E569" s="52"/>
    </row>
    <row r="570" spans="1:5" s="103" customFormat="1" ht="13.2" hidden="1" outlineLevel="1" x14ac:dyDescent="0.25">
      <c r="A570" s="106" t="s">
        <v>1166</v>
      </c>
      <c r="B570" s="106" t="s">
        <v>1167</v>
      </c>
      <c r="C570" s="106"/>
      <c r="D570" s="106"/>
      <c r="E570" s="52"/>
    </row>
    <row r="571" spans="1:5" s="103" customFormat="1" ht="13.2" hidden="1" outlineLevel="1" x14ac:dyDescent="0.25">
      <c r="A571" s="106" t="s">
        <v>1168</v>
      </c>
      <c r="B571" s="106" t="s">
        <v>1169</v>
      </c>
      <c r="C571" s="106"/>
      <c r="D571" s="106"/>
      <c r="E571" s="52"/>
    </row>
    <row r="572" spans="1:5" s="103" customFormat="1" ht="13.2" hidden="1" outlineLevel="1" x14ac:dyDescent="0.25">
      <c r="A572" s="106" t="s">
        <v>1170</v>
      </c>
      <c r="B572" s="106" t="s">
        <v>1171</v>
      </c>
      <c r="C572" s="106"/>
      <c r="D572" s="106"/>
      <c r="E572" s="52"/>
    </row>
    <row r="573" spans="1:5" s="103" customFormat="1" ht="13.2" hidden="1" outlineLevel="1" x14ac:dyDescent="0.25">
      <c r="A573" s="106" t="s">
        <v>1172</v>
      </c>
      <c r="B573" s="106" t="s">
        <v>1173</v>
      </c>
      <c r="C573" s="106"/>
      <c r="D573" s="106"/>
      <c r="E573" s="52"/>
    </row>
    <row r="574" spans="1:5" s="103" customFormat="1" ht="13.2" hidden="1" outlineLevel="1" x14ac:dyDescent="0.25">
      <c r="A574" s="106" t="s">
        <v>1174</v>
      </c>
      <c r="B574" s="106" t="s">
        <v>1175</v>
      </c>
      <c r="C574" s="106"/>
      <c r="D574" s="106"/>
      <c r="E574" s="52"/>
    </row>
    <row r="575" spans="1:5" s="103" customFormat="1" ht="13.2" hidden="1" outlineLevel="1" x14ac:dyDescent="0.25">
      <c r="A575" s="106" t="s">
        <v>1176</v>
      </c>
      <c r="B575" s="106" t="s">
        <v>1177</v>
      </c>
      <c r="C575" s="106"/>
      <c r="D575" s="106"/>
      <c r="E575" s="52"/>
    </row>
    <row r="576" spans="1:5" s="103" customFormat="1" ht="13.2" hidden="1" outlineLevel="1" x14ac:dyDescent="0.25">
      <c r="A576" s="106" t="s">
        <v>1178</v>
      </c>
      <c r="B576" s="106" t="s">
        <v>1179</v>
      </c>
      <c r="C576" s="106"/>
      <c r="D576" s="106"/>
      <c r="E576" s="52"/>
    </row>
    <row r="577" spans="1:5" s="103" customFormat="1" ht="13.2" hidden="1" outlineLevel="1" x14ac:dyDescent="0.25">
      <c r="A577" s="106" t="s">
        <v>1180</v>
      </c>
      <c r="B577" s="106" t="s">
        <v>1181</v>
      </c>
      <c r="C577" s="106"/>
      <c r="D577" s="106"/>
      <c r="E577" s="52"/>
    </row>
    <row r="578" spans="1:5" s="103" customFormat="1" ht="13.2" hidden="1" outlineLevel="1" x14ac:dyDescent="0.25">
      <c r="A578" s="106" t="s">
        <v>1182</v>
      </c>
      <c r="B578" s="106" t="s">
        <v>1183</v>
      </c>
      <c r="C578" s="106"/>
      <c r="D578" s="106"/>
      <c r="E578" s="52"/>
    </row>
    <row r="579" spans="1:5" s="103" customFormat="1" ht="13.2" hidden="1" outlineLevel="1" x14ac:dyDescent="0.25">
      <c r="A579" s="106" t="s">
        <v>1184</v>
      </c>
      <c r="B579" s="106" t="s">
        <v>1185</v>
      </c>
      <c r="C579" s="106"/>
      <c r="D579" s="106"/>
      <c r="E579" s="52"/>
    </row>
    <row r="580" spans="1:5" s="103" customFormat="1" ht="13.2" hidden="1" outlineLevel="1" x14ac:dyDescent="0.25">
      <c r="A580" s="106" t="s">
        <v>1186</v>
      </c>
      <c r="B580" s="106" t="s">
        <v>1187</v>
      </c>
      <c r="C580" s="106"/>
      <c r="D580" s="106"/>
      <c r="E580" s="52"/>
    </row>
    <row r="581" spans="1:5" s="103" customFormat="1" ht="13.2" hidden="1" outlineLevel="1" x14ac:dyDescent="0.25">
      <c r="A581" s="106" t="s">
        <v>1188</v>
      </c>
      <c r="B581" s="106" t="s">
        <v>1189</v>
      </c>
      <c r="C581" s="106"/>
      <c r="D581" s="106"/>
      <c r="E581" s="52"/>
    </row>
    <row r="582" spans="1:5" s="103" customFormat="1" ht="13.2" hidden="1" outlineLevel="1" x14ac:dyDescent="0.25">
      <c r="A582" s="106" t="s">
        <v>1190</v>
      </c>
      <c r="B582" s="106" t="s">
        <v>1191</v>
      </c>
      <c r="C582" s="106"/>
      <c r="D582" s="106"/>
      <c r="E582" s="52"/>
    </row>
    <row r="583" spans="1:5" s="103" customFormat="1" ht="13.2" hidden="1" outlineLevel="1" x14ac:dyDescent="0.25">
      <c r="A583" s="106" t="s">
        <v>1192</v>
      </c>
      <c r="B583" s="106" t="s">
        <v>1193</v>
      </c>
      <c r="C583" s="106"/>
      <c r="D583" s="106"/>
      <c r="E583" s="52"/>
    </row>
    <row r="584" spans="1:5" s="103" customFormat="1" ht="13.2" hidden="1" outlineLevel="1" x14ac:dyDescent="0.25">
      <c r="A584" s="106" t="s">
        <v>1194</v>
      </c>
      <c r="B584" s="106" t="s">
        <v>1195</v>
      </c>
      <c r="C584" s="106"/>
      <c r="D584" s="106"/>
      <c r="E584" s="52"/>
    </row>
    <row r="585" spans="1:5" s="103" customFormat="1" ht="13.2" hidden="1" outlineLevel="1" x14ac:dyDescent="0.25">
      <c r="A585" s="106" t="s">
        <v>1196</v>
      </c>
      <c r="B585" s="106" t="s">
        <v>1197</v>
      </c>
      <c r="C585" s="106"/>
      <c r="D585" s="106"/>
      <c r="E585" s="52"/>
    </row>
    <row r="586" spans="1:5" s="103" customFormat="1" ht="13.2" hidden="1" outlineLevel="1" x14ac:dyDescent="0.25">
      <c r="A586" s="106" t="s">
        <v>1198</v>
      </c>
      <c r="B586" s="106" t="s">
        <v>1199</v>
      </c>
      <c r="C586" s="106"/>
      <c r="D586" s="106"/>
      <c r="E586" s="52"/>
    </row>
    <row r="587" spans="1:5" s="103" customFormat="1" ht="13.2" hidden="1" outlineLevel="1" x14ac:dyDescent="0.25">
      <c r="A587" s="106" t="s">
        <v>1200</v>
      </c>
      <c r="B587" s="106" t="s">
        <v>1201</v>
      </c>
      <c r="C587" s="106"/>
      <c r="D587" s="106"/>
      <c r="E587" s="52"/>
    </row>
    <row r="588" spans="1:5" s="103" customFormat="1" ht="13.2" hidden="1" outlineLevel="1" x14ac:dyDescent="0.25">
      <c r="A588" s="106" t="s">
        <v>1202</v>
      </c>
      <c r="B588" s="106" t="s">
        <v>1203</v>
      </c>
      <c r="C588" s="106"/>
      <c r="D588" s="106"/>
      <c r="E588" s="52"/>
    </row>
    <row r="589" spans="1:5" s="103" customFormat="1" ht="13.2" hidden="1" outlineLevel="1" x14ac:dyDescent="0.25">
      <c r="A589" s="106" t="s">
        <v>1204</v>
      </c>
      <c r="B589" s="106" t="s">
        <v>1205</v>
      </c>
      <c r="C589" s="106"/>
      <c r="D589" s="106"/>
      <c r="E589" s="52"/>
    </row>
    <row r="590" spans="1:5" s="103" customFormat="1" ht="13.2" hidden="1" outlineLevel="1" x14ac:dyDescent="0.25">
      <c r="A590" s="106" t="s">
        <v>1206</v>
      </c>
      <c r="B590" s="106" t="s">
        <v>1207</v>
      </c>
      <c r="C590" s="106"/>
      <c r="D590" s="106"/>
      <c r="E590" s="52"/>
    </row>
    <row r="591" spans="1:5" s="103" customFormat="1" ht="13.2" hidden="1" outlineLevel="1" x14ac:dyDescent="0.25">
      <c r="A591" s="106" t="s">
        <v>1208</v>
      </c>
      <c r="B591" s="106" t="s">
        <v>1209</v>
      </c>
      <c r="C591" s="106"/>
      <c r="D591" s="106"/>
      <c r="E591" s="52"/>
    </row>
    <row r="592" spans="1:5" s="103" customFormat="1" ht="13.2" hidden="1" outlineLevel="1" x14ac:dyDescent="0.25">
      <c r="A592" s="106" t="s">
        <v>1210</v>
      </c>
      <c r="B592" s="106" t="s">
        <v>1211</v>
      </c>
      <c r="C592" s="106"/>
      <c r="D592" s="106"/>
      <c r="E592" s="52"/>
    </row>
    <row r="593" spans="1:5" s="103" customFormat="1" ht="13.2" hidden="1" outlineLevel="1" x14ac:dyDescent="0.25">
      <c r="A593" s="106" t="s">
        <v>1212</v>
      </c>
      <c r="B593" s="106" t="s">
        <v>1213</v>
      </c>
      <c r="C593" s="106"/>
      <c r="D593" s="106"/>
      <c r="E593" s="52"/>
    </row>
    <row r="594" spans="1:5" s="103" customFormat="1" ht="13.2" hidden="1" outlineLevel="1" x14ac:dyDescent="0.25">
      <c r="A594" s="106" t="s">
        <v>1214</v>
      </c>
      <c r="B594" s="106" t="s">
        <v>1215</v>
      </c>
      <c r="C594" s="106"/>
      <c r="D594" s="106"/>
      <c r="E594" s="52"/>
    </row>
    <row r="595" spans="1:5" s="103" customFormat="1" ht="13.2" hidden="1" outlineLevel="1" x14ac:dyDescent="0.25">
      <c r="A595" s="106" t="s">
        <v>1216</v>
      </c>
      <c r="B595" s="106" t="s">
        <v>1217</v>
      </c>
      <c r="C595" s="106"/>
      <c r="D595" s="106"/>
      <c r="E595" s="52"/>
    </row>
    <row r="596" spans="1:5" s="103" customFormat="1" ht="13.2" hidden="1" outlineLevel="1" x14ac:dyDescent="0.25">
      <c r="A596" s="106" t="s">
        <v>1218</v>
      </c>
      <c r="B596" s="106" t="s">
        <v>1219</v>
      </c>
      <c r="C596" s="106"/>
      <c r="D596" s="106"/>
      <c r="E596" s="52"/>
    </row>
    <row r="597" spans="1:5" s="103" customFormat="1" ht="13.2" hidden="1" outlineLevel="1" x14ac:dyDescent="0.25">
      <c r="A597" s="106" t="s">
        <v>1220</v>
      </c>
      <c r="B597" s="106" t="s">
        <v>1221</v>
      </c>
      <c r="C597" s="106"/>
      <c r="D597" s="106"/>
      <c r="E597" s="52"/>
    </row>
    <row r="598" spans="1:5" s="103" customFormat="1" ht="13.2" hidden="1" outlineLevel="1" x14ac:dyDescent="0.25">
      <c r="A598" s="106" t="s">
        <v>1222</v>
      </c>
      <c r="B598" s="106" t="s">
        <v>1223</v>
      </c>
      <c r="C598" s="106"/>
      <c r="D598" s="106"/>
      <c r="E598" s="52"/>
    </row>
    <row r="599" spans="1:5" s="103" customFormat="1" ht="13.2" hidden="1" outlineLevel="1" x14ac:dyDescent="0.25">
      <c r="A599" s="106" t="s">
        <v>1224</v>
      </c>
      <c r="B599" s="106" t="s">
        <v>1225</v>
      </c>
      <c r="C599" s="106"/>
      <c r="D599" s="106"/>
      <c r="E599" s="52"/>
    </row>
    <row r="600" spans="1:5" s="103" customFormat="1" ht="13.2" hidden="1" outlineLevel="1" x14ac:dyDescent="0.25">
      <c r="A600" s="106" t="s">
        <v>1226</v>
      </c>
      <c r="B600" s="106" t="s">
        <v>1227</v>
      </c>
      <c r="C600" s="106"/>
      <c r="D600" s="106"/>
      <c r="E600" s="52"/>
    </row>
    <row r="601" spans="1:5" s="103" customFormat="1" ht="13.2" hidden="1" outlineLevel="1" x14ac:dyDescent="0.25">
      <c r="A601" s="106" t="s">
        <v>1228</v>
      </c>
      <c r="B601" s="106" t="s">
        <v>1229</v>
      </c>
      <c r="C601" s="106"/>
      <c r="D601" s="106"/>
      <c r="E601" s="52"/>
    </row>
    <row r="602" spans="1:5" s="103" customFormat="1" ht="13.2" hidden="1" outlineLevel="1" x14ac:dyDescent="0.25">
      <c r="A602" s="106" t="s">
        <v>1230</v>
      </c>
      <c r="B602" s="106" t="s">
        <v>1231</v>
      </c>
      <c r="C602" s="106"/>
      <c r="D602" s="106"/>
      <c r="E602" s="52"/>
    </row>
    <row r="603" spans="1:5" s="103" customFormat="1" ht="13.2" hidden="1" outlineLevel="1" x14ac:dyDescent="0.25">
      <c r="A603" s="106" t="s">
        <v>1232</v>
      </c>
      <c r="B603" s="106" t="s">
        <v>1233</v>
      </c>
      <c r="C603" s="106"/>
      <c r="D603" s="106"/>
      <c r="E603" s="52"/>
    </row>
    <row r="604" spans="1:5" s="103" customFormat="1" ht="13.2" hidden="1" outlineLevel="1" x14ac:dyDescent="0.25">
      <c r="A604" s="106" t="s">
        <v>1234</v>
      </c>
      <c r="B604" s="106" t="s">
        <v>1235</v>
      </c>
      <c r="C604" s="106"/>
      <c r="D604" s="106"/>
      <c r="E604" s="52"/>
    </row>
    <row r="605" spans="1:5" s="103" customFormat="1" ht="13.2" hidden="1" outlineLevel="1" x14ac:dyDescent="0.25">
      <c r="A605" s="106" t="s">
        <v>1236</v>
      </c>
      <c r="B605" s="106" t="s">
        <v>1237</v>
      </c>
      <c r="C605" s="106"/>
      <c r="D605" s="106"/>
      <c r="E605" s="52"/>
    </row>
    <row r="606" spans="1:5" s="103" customFormat="1" ht="13.2" hidden="1" outlineLevel="1" x14ac:dyDescent="0.25">
      <c r="A606" s="106" t="s">
        <v>1238</v>
      </c>
      <c r="B606" s="106" t="s">
        <v>1239</v>
      </c>
      <c r="C606" s="106"/>
      <c r="D606" s="106"/>
      <c r="E606" s="52"/>
    </row>
    <row r="607" spans="1:5" s="103" customFormat="1" ht="13.2" hidden="1" outlineLevel="1" x14ac:dyDescent="0.25">
      <c r="A607" s="106" t="s">
        <v>1240</v>
      </c>
      <c r="B607" s="106" t="s">
        <v>1241</v>
      </c>
      <c r="C607" s="106"/>
      <c r="D607" s="106"/>
      <c r="E607" s="52"/>
    </row>
    <row r="608" spans="1:5" s="103" customFormat="1" ht="13.2" hidden="1" outlineLevel="1" x14ac:dyDescent="0.25">
      <c r="A608" s="106" t="s">
        <v>1242</v>
      </c>
      <c r="B608" s="106" t="s">
        <v>1243</v>
      </c>
      <c r="C608" s="106"/>
      <c r="D608" s="106"/>
      <c r="E608" s="52"/>
    </row>
    <row r="609" spans="1:5" s="103" customFormat="1" ht="13.2" hidden="1" outlineLevel="1" x14ac:dyDescent="0.25">
      <c r="A609" s="106" t="s">
        <v>1244</v>
      </c>
      <c r="B609" s="106" t="s">
        <v>1245</v>
      </c>
      <c r="C609" s="106"/>
      <c r="D609" s="106"/>
      <c r="E609" s="52"/>
    </row>
    <row r="610" spans="1:5" s="103" customFormat="1" ht="13.2" hidden="1" outlineLevel="1" x14ac:dyDescent="0.25">
      <c r="A610" s="106" t="s">
        <v>1246</v>
      </c>
      <c r="B610" s="106" t="s">
        <v>1247</v>
      </c>
      <c r="C610" s="106"/>
      <c r="D610" s="106"/>
      <c r="E610" s="52"/>
    </row>
    <row r="611" spans="1:5" s="103" customFormat="1" ht="13.2" hidden="1" outlineLevel="1" x14ac:dyDescent="0.25">
      <c r="A611" s="106" t="s">
        <v>1248</v>
      </c>
      <c r="B611" s="106" t="s">
        <v>1249</v>
      </c>
      <c r="C611" s="106"/>
      <c r="D611" s="106"/>
      <c r="E611" s="52"/>
    </row>
    <row r="612" spans="1:5" s="103" customFormat="1" ht="13.2" hidden="1" outlineLevel="1" x14ac:dyDescent="0.25">
      <c r="A612" s="106" t="s">
        <v>1250</v>
      </c>
      <c r="B612" s="106" t="s">
        <v>1251</v>
      </c>
      <c r="C612" s="106"/>
      <c r="D612" s="106"/>
      <c r="E612" s="52"/>
    </row>
    <row r="613" spans="1:5" s="103" customFormat="1" ht="13.2" hidden="1" outlineLevel="1" x14ac:dyDescent="0.25">
      <c r="A613" s="106" t="s">
        <v>1252</v>
      </c>
      <c r="B613" s="106" t="s">
        <v>1253</v>
      </c>
      <c r="C613" s="106"/>
      <c r="D613" s="106"/>
      <c r="E613" s="52"/>
    </row>
    <row r="614" spans="1:5" s="103" customFormat="1" ht="13.2" hidden="1" outlineLevel="1" x14ac:dyDescent="0.25">
      <c r="A614" s="106" t="s">
        <v>1254</v>
      </c>
      <c r="B614" s="106" t="s">
        <v>1255</v>
      </c>
      <c r="C614" s="106"/>
      <c r="D614" s="106"/>
      <c r="E614" s="52"/>
    </row>
    <row r="615" spans="1:5" s="103" customFormat="1" ht="13.2" hidden="1" outlineLevel="1" x14ac:dyDescent="0.25">
      <c r="A615" s="106" t="s">
        <v>1256</v>
      </c>
      <c r="B615" s="106" t="s">
        <v>1257</v>
      </c>
      <c r="C615" s="106"/>
      <c r="D615" s="106"/>
      <c r="E615" s="52"/>
    </row>
    <row r="616" spans="1:5" s="103" customFormat="1" ht="13.2" hidden="1" outlineLevel="1" x14ac:dyDescent="0.25">
      <c r="A616" s="106" t="s">
        <v>1258</v>
      </c>
      <c r="B616" s="106" t="s">
        <v>1259</v>
      </c>
      <c r="C616" s="106"/>
      <c r="D616" s="106"/>
      <c r="E616" s="52"/>
    </row>
    <row r="617" spans="1:5" s="103" customFormat="1" ht="13.2" hidden="1" outlineLevel="1" x14ac:dyDescent="0.25">
      <c r="A617" s="106" t="s">
        <v>1260</v>
      </c>
      <c r="B617" s="106" t="s">
        <v>1261</v>
      </c>
      <c r="C617" s="106"/>
      <c r="D617" s="106"/>
      <c r="E617" s="52"/>
    </row>
    <row r="618" spans="1:5" s="103" customFormat="1" ht="13.2" hidden="1" outlineLevel="1" x14ac:dyDescent="0.25">
      <c r="A618" s="106" t="s">
        <v>1262</v>
      </c>
      <c r="B618" s="106" t="s">
        <v>1263</v>
      </c>
      <c r="C618" s="106"/>
      <c r="D618" s="106"/>
      <c r="E618" s="52"/>
    </row>
    <row r="619" spans="1:5" s="103" customFormat="1" ht="13.2" hidden="1" outlineLevel="1" x14ac:dyDescent="0.25">
      <c r="A619" s="106" t="s">
        <v>1264</v>
      </c>
      <c r="B619" s="106" t="s">
        <v>1265</v>
      </c>
      <c r="C619" s="106"/>
      <c r="D619" s="106"/>
      <c r="E619" s="52"/>
    </row>
    <row r="620" spans="1:5" s="103" customFormat="1" ht="13.2" hidden="1" outlineLevel="1" x14ac:dyDescent="0.25">
      <c r="A620" s="106" t="s">
        <v>1266</v>
      </c>
      <c r="B620" s="106" t="s">
        <v>1267</v>
      </c>
      <c r="C620" s="106"/>
      <c r="D620" s="106"/>
      <c r="E620" s="52"/>
    </row>
    <row r="621" spans="1:5" s="103" customFormat="1" ht="13.2" hidden="1" outlineLevel="1" x14ac:dyDescent="0.25">
      <c r="A621" s="106" t="s">
        <v>1268</v>
      </c>
      <c r="B621" s="106" t="s">
        <v>1269</v>
      </c>
      <c r="C621" s="106"/>
      <c r="D621" s="106"/>
      <c r="E621" s="52"/>
    </row>
    <row r="622" spans="1:5" s="103" customFormat="1" ht="13.2" hidden="1" outlineLevel="1" x14ac:dyDescent="0.25">
      <c r="A622" s="106" t="s">
        <v>1270</v>
      </c>
      <c r="B622" s="106" t="s">
        <v>1271</v>
      </c>
      <c r="C622" s="106"/>
      <c r="D622" s="106"/>
      <c r="E622" s="52"/>
    </row>
    <row r="623" spans="1:5" s="103" customFormat="1" ht="13.2" hidden="1" outlineLevel="1" x14ac:dyDescent="0.25">
      <c r="A623" s="106" t="s">
        <v>1272</v>
      </c>
      <c r="B623" s="106" t="s">
        <v>1273</v>
      </c>
      <c r="C623" s="106"/>
      <c r="D623" s="106"/>
      <c r="E623" s="52"/>
    </row>
    <row r="624" spans="1:5" s="103" customFormat="1" ht="13.2" hidden="1" outlineLevel="1" x14ac:dyDescent="0.25">
      <c r="A624" s="106" t="s">
        <v>1274</v>
      </c>
      <c r="B624" s="106" t="s">
        <v>1275</v>
      </c>
      <c r="C624" s="106"/>
      <c r="D624" s="106"/>
      <c r="E624" s="52"/>
    </row>
    <row r="625" spans="1:5" s="103" customFormat="1" ht="13.2" hidden="1" outlineLevel="1" x14ac:dyDescent="0.25">
      <c r="A625" s="106" t="s">
        <v>1276</v>
      </c>
      <c r="B625" s="106" t="s">
        <v>1277</v>
      </c>
      <c r="C625" s="106"/>
      <c r="D625" s="106"/>
      <c r="E625" s="52"/>
    </row>
    <row r="626" spans="1:5" s="103" customFormat="1" ht="13.2" hidden="1" outlineLevel="1" x14ac:dyDescent="0.25">
      <c r="A626" s="106" t="s">
        <v>1278</v>
      </c>
      <c r="B626" s="106" t="s">
        <v>1279</v>
      </c>
      <c r="C626" s="106"/>
      <c r="D626" s="106"/>
      <c r="E626" s="52"/>
    </row>
    <row r="627" spans="1:5" s="103" customFormat="1" ht="13.2" hidden="1" outlineLevel="1" x14ac:dyDescent="0.25">
      <c r="A627" s="106" t="s">
        <v>1280</v>
      </c>
      <c r="B627" s="106" t="s">
        <v>1281</v>
      </c>
      <c r="C627" s="106"/>
      <c r="D627" s="106"/>
      <c r="E627" s="52"/>
    </row>
    <row r="628" spans="1:5" s="103" customFormat="1" ht="13.2" hidden="1" outlineLevel="1" x14ac:dyDescent="0.25">
      <c r="A628" s="106" t="s">
        <v>1282</v>
      </c>
      <c r="B628" s="106" t="s">
        <v>1283</v>
      </c>
      <c r="C628" s="106"/>
      <c r="D628" s="106"/>
      <c r="E628" s="52"/>
    </row>
    <row r="629" spans="1:5" s="103" customFormat="1" ht="13.2" hidden="1" outlineLevel="1" x14ac:dyDescent="0.25">
      <c r="A629" s="106" t="s">
        <v>1284</v>
      </c>
      <c r="B629" s="106" t="s">
        <v>1285</v>
      </c>
      <c r="C629" s="106"/>
      <c r="D629" s="106"/>
      <c r="E629" s="52"/>
    </row>
    <row r="630" spans="1:5" s="103" customFormat="1" ht="13.2" hidden="1" outlineLevel="1" x14ac:dyDescent="0.25">
      <c r="A630" s="106" t="s">
        <v>1286</v>
      </c>
      <c r="B630" s="106" t="s">
        <v>1287</v>
      </c>
      <c r="C630" s="106"/>
      <c r="D630" s="106"/>
      <c r="E630" s="52"/>
    </row>
    <row r="631" spans="1:5" s="103" customFormat="1" ht="13.2" hidden="1" outlineLevel="1" x14ac:dyDescent="0.25">
      <c r="A631" s="106" t="s">
        <v>1288</v>
      </c>
      <c r="B631" s="106" t="s">
        <v>1289</v>
      </c>
      <c r="C631" s="106"/>
      <c r="D631" s="106"/>
      <c r="E631" s="52"/>
    </row>
    <row r="632" spans="1:5" s="103" customFormat="1" ht="13.2" hidden="1" outlineLevel="1" x14ac:dyDescent="0.25">
      <c r="A632" s="106" t="s">
        <v>1290</v>
      </c>
      <c r="B632" s="106" t="s">
        <v>1291</v>
      </c>
      <c r="C632" s="106"/>
      <c r="D632" s="106"/>
      <c r="E632" s="52"/>
    </row>
    <row r="633" spans="1:5" s="103" customFormat="1" ht="13.2" hidden="1" outlineLevel="1" x14ac:dyDescent="0.25">
      <c r="A633" s="106" t="s">
        <v>1292</v>
      </c>
      <c r="B633" s="106" t="s">
        <v>1293</v>
      </c>
      <c r="C633" s="106"/>
      <c r="D633" s="106"/>
      <c r="E633" s="52"/>
    </row>
    <row r="634" spans="1:5" s="103" customFormat="1" ht="13.2" hidden="1" outlineLevel="1" x14ac:dyDescent="0.25">
      <c r="A634" s="106" t="s">
        <v>1294</v>
      </c>
      <c r="B634" s="106" t="s">
        <v>1295</v>
      </c>
      <c r="C634" s="106"/>
      <c r="D634" s="106"/>
      <c r="E634" s="52"/>
    </row>
    <row r="635" spans="1:5" s="103" customFormat="1" ht="13.2" hidden="1" outlineLevel="1" x14ac:dyDescent="0.25">
      <c r="A635" s="106" t="s">
        <v>1296</v>
      </c>
      <c r="B635" s="106" t="s">
        <v>1297</v>
      </c>
      <c r="C635" s="106"/>
      <c r="D635" s="106"/>
      <c r="E635" s="52"/>
    </row>
    <row r="636" spans="1:5" s="103" customFormat="1" ht="13.2" hidden="1" outlineLevel="1" x14ac:dyDescent="0.25">
      <c r="A636" s="106" t="s">
        <v>1298</v>
      </c>
      <c r="B636" s="106" t="s">
        <v>1299</v>
      </c>
      <c r="C636" s="106"/>
      <c r="D636" s="106"/>
      <c r="E636" s="52"/>
    </row>
    <row r="637" spans="1:5" s="103" customFormat="1" ht="13.2" hidden="1" outlineLevel="1" x14ac:dyDescent="0.25">
      <c r="A637" s="106" t="s">
        <v>1300</v>
      </c>
      <c r="B637" s="106" t="s">
        <v>1301</v>
      </c>
      <c r="C637" s="106"/>
      <c r="D637" s="106"/>
      <c r="E637" s="52"/>
    </row>
    <row r="638" spans="1:5" s="103" customFormat="1" ht="13.2" hidden="1" outlineLevel="1" x14ac:dyDescent="0.25">
      <c r="A638" s="106" t="s">
        <v>1302</v>
      </c>
      <c r="B638" s="106" t="s">
        <v>1303</v>
      </c>
      <c r="C638" s="106"/>
      <c r="D638" s="106"/>
      <c r="E638" s="52"/>
    </row>
    <row r="639" spans="1:5" s="103" customFormat="1" ht="13.2" hidden="1" outlineLevel="1" x14ac:dyDescent="0.25">
      <c r="A639" s="106" t="s">
        <v>1304</v>
      </c>
      <c r="B639" s="106" t="s">
        <v>1305</v>
      </c>
      <c r="C639" s="106"/>
      <c r="D639" s="106"/>
      <c r="E639" s="52"/>
    </row>
    <row r="640" spans="1:5" s="103" customFormat="1" ht="13.2" hidden="1" outlineLevel="1" x14ac:dyDescent="0.25">
      <c r="A640" s="106" t="s">
        <v>1306</v>
      </c>
      <c r="B640" s="106" t="s">
        <v>1307</v>
      </c>
      <c r="C640" s="106"/>
      <c r="D640" s="106"/>
      <c r="E640" s="52"/>
    </row>
    <row r="641" spans="1:5" s="103" customFormat="1" ht="13.2" hidden="1" outlineLevel="1" x14ac:dyDescent="0.25">
      <c r="A641" s="106" t="s">
        <v>1308</v>
      </c>
      <c r="B641" s="106" t="s">
        <v>1309</v>
      </c>
      <c r="C641" s="106"/>
      <c r="D641" s="106"/>
      <c r="E641" s="52"/>
    </row>
    <row r="642" spans="1:5" s="103" customFormat="1" ht="13.2" hidden="1" outlineLevel="1" x14ac:dyDescent="0.25">
      <c r="A642" s="106" t="s">
        <v>1310</v>
      </c>
      <c r="B642" s="106" t="s">
        <v>1311</v>
      </c>
      <c r="C642" s="106"/>
      <c r="D642" s="106"/>
      <c r="E642" s="52"/>
    </row>
    <row r="643" spans="1:5" s="103" customFormat="1" ht="13.2" hidden="1" outlineLevel="1" x14ac:dyDescent="0.25">
      <c r="A643" s="106" t="s">
        <v>1312</v>
      </c>
      <c r="B643" s="106" t="s">
        <v>1313</v>
      </c>
      <c r="C643" s="106"/>
      <c r="D643" s="106"/>
      <c r="E643" s="52"/>
    </row>
    <row r="644" spans="1:5" s="103" customFormat="1" ht="13.2" hidden="1" outlineLevel="1" x14ac:dyDescent="0.25">
      <c r="A644" s="106" t="s">
        <v>1314</v>
      </c>
      <c r="B644" s="106" t="s">
        <v>1315</v>
      </c>
      <c r="C644" s="106"/>
      <c r="D644" s="106"/>
      <c r="E644" s="52"/>
    </row>
    <row r="645" spans="1:5" s="103" customFormat="1" ht="13.2" hidden="1" outlineLevel="1" x14ac:dyDescent="0.25">
      <c r="A645" s="106" t="s">
        <v>1316</v>
      </c>
      <c r="B645" s="106" t="s">
        <v>1317</v>
      </c>
      <c r="C645" s="106"/>
      <c r="D645" s="106"/>
      <c r="E645" s="52"/>
    </row>
    <row r="646" spans="1:5" s="103" customFormat="1" ht="13.2" hidden="1" outlineLevel="1" x14ac:dyDescent="0.25">
      <c r="A646" s="106" t="s">
        <v>1318</v>
      </c>
      <c r="B646" s="106" t="s">
        <v>1319</v>
      </c>
      <c r="C646" s="106"/>
      <c r="D646" s="106"/>
      <c r="E646" s="52"/>
    </row>
    <row r="647" spans="1:5" s="103" customFormat="1" ht="13.2" hidden="1" outlineLevel="1" x14ac:dyDescent="0.25">
      <c r="A647" s="106" t="s">
        <v>1320</v>
      </c>
      <c r="B647" s="106" t="s">
        <v>1321</v>
      </c>
      <c r="C647" s="106"/>
      <c r="D647" s="106"/>
      <c r="E647" s="52"/>
    </row>
    <row r="648" spans="1:5" s="103" customFormat="1" ht="13.2" hidden="1" outlineLevel="1" x14ac:dyDescent="0.25">
      <c r="A648" s="106" t="s">
        <v>1322</v>
      </c>
      <c r="B648" s="106" t="s">
        <v>1323</v>
      </c>
      <c r="C648" s="106"/>
      <c r="D648" s="106"/>
      <c r="E648" s="52"/>
    </row>
    <row r="649" spans="1:5" s="103" customFormat="1" ht="13.2" hidden="1" outlineLevel="1" x14ac:dyDescent="0.25">
      <c r="A649" s="106" t="s">
        <v>1324</v>
      </c>
      <c r="B649" s="106" t="s">
        <v>1325</v>
      </c>
      <c r="C649" s="106"/>
      <c r="D649" s="106"/>
      <c r="E649" s="52"/>
    </row>
    <row r="650" spans="1:5" s="103" customFormat="1" ht="13.2" hidden="1" outlineLevel="1" x14ac:dyDescent="0.25">
      <c r="A650" s="106" t="s">
        <v>1326</v>
      </c>
      <c r="B650" s="106" t="s">
        <v>1327</v>
      </c>
      <c r="C650" s="106"/>
      <c r="D650" s="106"/>
      <c r="E650" s="52"/>
    </row>
    <row r="651" spans="1:5" s="103" customFormat="1" ht="13.2" hidden="1" outlineLevel="1" x14ac:dyDescent="0.25">
      <c r="A651" s="106" t="s">
        <v>1328</v>
      </c>
      <c r="B651" s="106" t="s">
        <v>1329</v>
      </c>
      <c r="C651" s="106"/>
      <c r="D651" s="106"/>
      <c r="E651" s="52"/>
    </row>
    <row r="652" spans="1:5" s="103" customFormat="1" ht="13.2" hidden="1" outlineLevel="1" x14ac:dyDescent="0.25">
      <c r="A652" s="106" t="s">
        <v>1330</v>
      </c>
      <c r="B652" s="106" t="s">
        <v>1331</v>
      </c>
      <c r="C652" s="106"/>
      <c r="D652" s="106"/>
      <c r="E652" s="52"/>
    </row>
    <row r="653" spans="1:5" s="103" customFormat="1" ht="13.2" hidden="1" outlineLevel="1" x14ac:dyDescent="0.25">
      <c r="A653" s="106" t="s">
        <v>1332</v>
      </c>
      <c r="B653" s="106" t="s">
        <v>1333</v>
      </c>
      <c r="C653" s="106"/>
      <c r="D653" s="106"/>
      <c r="E653" s="52"/>
    </row>
    <row r="654" spans="1:5" s="103" customFormat="1" ht="13.2" hidden="1" outlineLevel="1" x14ac:dyDescent="0.25">
      <c r="A654" s="106" t="s">
        <v>1334</v>
      </c>
      <c r="B654" s="106" t="s">
        <v>1335</v>
      </c>
      <c r="C654" s="106"/>
      <c r="D654" s="106"/>
      <c r="E654" s="52"/>
    </row>
    <row r="655" spans="1:5" s="103" customFormat="1" ht="13.2" hidden="1" outlineLevel="1" x14ac:dyDescent="0.25">
      <c r="A655" s="106" t="s">
        <v>1336</v>
      </c>
      <c r="B655" s="106" t="s">
        <v>1337</v>
      </c>
      <c r="C655" s="106"/>
      <c r="D655" s="106"/>
      <c r="E655" s="52"/>
    </row>
    <row r="656" spans="1:5" s="103" customFormat="1" ht="13.2" hidden="1" outlineLevel="1" x14ac:dyDescent="0.25">
      <c r="A656" s="106" t="s">
        <v>1338</v>
      </c>
      <c r="B656" s="106" t="s">
        <v>1339</v>
      </c>
      <c r="C656" s="106"/>
      <c r="D656" s="106"/>
      <c r="E656" s="52"/>
    </row>
    <row r="657" spans="1:5" s="103" customFormat="1" ht="13.2" hidden="1" outlineLevel="1" x14ac:dyDescent="0.25">
      <c r="A657" s="106" t="s">
        <v>1340</v>
      </c>
      <c r="B657" s="106" t="s">
        <v>1341</v>
      </c>
      <c r="C657" s="106"/>
      <c r="D657" s="106"/>
      <c r="E657" s="52"/>
    </row>
    <row r="658" spans="1:5" s="103" customFormat="1" ht="13.2" hidden="1" outlineLevel="1" x14ac:dyDescent="0.25">
      <c r="A658" s="106" t="s">
        <v>1342</v>
      </c>
      <c r="B658" s="106" t="s">
        <v>1343</v>
      </c>
      <c r="C658" s="106"/>
      <c r="D658" s="106"/>
      <c r="E658" s="52"/>
    </row>
    <row r="659" spans="1:5" s="103" customFormat="1" ht="13.2" hidden="1" outlineLevel="1" x14ac:dyDescent="0.25">
      <c r="A659" s="106" t="s">
        <v>1344</v>
      </c>
      <c r="B659" s="106" t="s">
        <v>1345</v>
      </c>
      <c r="C659" s="106"/>
      <c r="D659" s="106"/>
      <c r="E659" s="52"/>
    </row>
    <row r="660" spans="1:5" s="103" customFormat="1" ht="13.2" hidden="1" outlineLevel="1" x14ac:dyDescent="0.25">
      <c r="A660" s="106" t="s">
        <v>1346</v>
      </c>
      <c r="B660" s="106" t="s">
        <v>1347</v>
      </c>
      <c r="C660" s="106"/>
      <c r="D660" s="106"/>
      <c r="E660" s="52"/>
    </row>
    <row r="661" spans="1:5" s="103" customFormat="1" ht="13.2" hidden="1" outlineLevel="1" x14ac:dyDescent="0.25">
      <c r="A661" s="106" t="s">
        <v>1348</v>
      </c>
      <c r="B661" s="106" t="s">
        <v>1349</v>
      </c>
      <c r="C661" s="106"/>
      <c r="D661" s="106"/>
      <c r="E661" s="52"/>
    </row>
    <row r="662" spans="1:5" s="103" customFormat="1" ht="13.2" hidden="1" outlineLevel="1" x14ac:dyDescent="0.25">
      <c r="A662" s="106" t="s">
        <v>1350</v>
      </c>
      <c r="B662" s="106" t="s">
        <v>1351</v>
      </c>
      <c r="C662" s="106"/>
      <c r="D662" s="106"/>
      <c r="E662" s="52"/>
    </row>
    <row r="663" spans="1:5" s="103" customFormat="1" ht="13.2" collapsed="1" x14ac:dyDescent="0.25">
      <c r="A663" s="104" t="s">
        <v>1352</v>
      </c>
      <c r="B663" s="105" t="s">
        <v>1353</v>
      </c>
      <c r="C663" s="105"/>
      <c r="D663" s="105"/>
      <c r="E663" s="51"/>
    </row>
    <row r="664" spans="1:5" s="103" customFormat="1" ht="13.2" hidden="1" outlineLevel="1" x14ac:dyDescent="0.25">
      <c r="A664" s="106" t="s">
        <v>1354</v>
      </c>
      <c r="B664" s="106" t="s">
        <v>1355</v>
      </c>
      <c r="C664" s="106"/>
      <c r="D664" s="106"/>
      <c r="E664" s="52"/>
    </row>
    <row r="665" spans="1:5" s="103" customFormat="1" ht="13.2" hidden="1" outlineLevel="1" x14ac:dyDescent="0.25">
      <c r="A665" s="106" t="s">
        <v>1356</v>
      </c>
      <c r="B665" s="106" t="s">
        <v>1357</v>
      </c>
      <c r="C665" s="106"/>
      <c r="D665" s="106"/>
      <c r="E665" s="52"/>
    </row>
    <row r="666" spans="1:5" s="103" customFormat="1" ht="13.2" hidden="1" outlineLevel="1" x14ac:dyDescent="0.25">
      <c r="A666" s="106" t="s">
        <v>1358</v>
      </c>
      <c r="B666" s="106" t="s">
        <v>1359</v>
      </c>
      <c r="C666" s="106"/>
      <c r="D666" s="106"/>
      <c r="E666" s="52"/>
    </row>
    <row r="667" spans="1:5" s="103" customFormat="1" ht="13.2" hidden="1" outlineLevel="1" x14ac:dyDescent="0.25">
      <c r="A667" s="106" t="s">
        <v>1360</v>
      </c>
      <c r="B667" s="106" t="s">
        <v>1361</v>
      </c>
      <c r="C667" s="106"/>
      <c r="D667" s="106"/>
      <c r="E667" s="52"/>
    </row>
    <row r="668" spans="1:5" s="103" customFormat="1" ht="13.2" hidden="1" outlineLevel="1" x14ac:dyDescent="0.25">
      <c r="A668" s="106" t="s">
        <v>1362</v>
      </c>
      <c r="B668" s="106" t="s">
        <v>1363</v>
      </c>
      <c r="C668" s="106"/>
      <c r="D668" s="106"/>
      <c r="E668" s="52"/>
    </row>
    <row r="669" spans="1:5" s="103" customFormat="1" ht="13.2" hidden="1" outlineLevel="1" x14ac:dyDescent="0.25">
      <c r="A669" s="106" t="s">
        <v>1364</v>
      </c>
      <c r="B669" s="106" t="s">
        <v>1365</v>
      </c>
      <c r="C669" s="106"/>
      <c r="D669" s="106"/>
      <c r="E669" s="52"/>
    </row>
    <row r="670" spans="1:5" s="103" customFormat="1" ht="13.2" hidden="1" outlineLevel="1" x14ac:dyDescent="0.25">
      <c r="A670" s="106" t="s">
        <v>1366</v>
      </c>
      <c r="B670" s="106" t="s">
        <v>1367</v>
      </c>
      <c r="C670" s="106"/>
      <c r="D670" s="106"/>
      <c r="E670" s="52"/>
    </row>
    <row r="671" spans="1:5" s="103" customFormat="1" ht="13.2" hidden="1" outlineLevel="1" x14ac:dyDescent="0.25">
      <c r="A671" s="106" t="s">
        <v>1368</v>
      </c>
      <c r="B671" s="106" t="s">
        <v>1369</v>
      </c>
      <c r="C671" s="106"/>
      <c r="D671" s="106"/>
      <c r="E671" s="52"/>
    </row>
    <row r="672" spans="1:5" s="103" customFormat="1" ht="13.2" hidden="1" outlineLevel="1" x14ac:dyDescent="0.25">
      <c r="A672" s="106" t="s">
        <v>1370</v>
      </c>
      <c r="B672" s="106" t="s">
        <v>1371</v>
      </c>
      <c r="C672" s="106"/>
      <c r="D672" s="106"/>
      <c r="E672" s="52"/>
    </row>
    <row r="673" spans="1:5" s="103" customFormat="1" ht="13.2" hidden="1" outlineLevel="1" x14ac:dyDescent="0.25">
      <c r="A673" s="106" t="s">
        <v>1372</v>
      </c>
      <c r="B673" s="106" t="s">
        <v>1373</v>
      </c>
      <c r="C673" s="106"/>
      <c r="D673" s="106"/>
      <c r="E673" s="52"/>
    </row>
    <row r="674" spans="1:5" s="103" customFormat="1" ht="13.2" hidden="1" outlineLevel="1" x14ac:dyDescent="0.25">
      <c r="A674" s="106" t="s">
        <v>1374</v>
      </c>
      <c r="B674" s="106" t="s">
        <v>1375</v>
      </c>
      <c r="C674" s="106"/>
      <c r="D674" s="106"/>
      <c r="E674" s="52"/>
    </row>
    <row r="675" spans="1:5" s="103" customFormat="1" ht="13.2" hidden="1" outlineLevel="1" x14ac:dyDescent="0.25">
      <c r="A675" s="106" t="s">
        <v>1376</v>
      </c>
      <c r="B675" s="106" t="s">
        <v>1377</v>
      </c>
      <c r="C675" s="106"/>
      <c r="D675" s="106"/>
      <c r="E675" s="52"/>
    </row>
    <row r="676" spans="1:5" s="103" customFormat="1" ht="13.2" hidden="1" outlineLevel="1" x14ac:dyDescent="0.25">
      <c r="A676" s="106" t="s">
        <v>1378</v>
      </c>
      <c r="B676" s="106" t="s">
        <v>1379</v>
      </c>
      <c r="C676" s="106"/>
      <c r="D676" s="106"/>
      <c r="E676" s="52"/>
    </row>
    <row r="677" spans="1:5" s="103" customFormat="1" ht="13.2" hidden="1" outlineLevel="1" x14ac:dyDescent="0.25">
      <c r="A677" s="106" t="s">
        <v>1380</v>
      </c>
      <c r="B677" s="106" t="s">
        <v>1381</v>
      </c>
      <c r="C677" s="106"/>
      <c r="D677" s="106"/>
      <c r="E677" s="52"/>
    </row>
    <row r="678" spans="1:5" s="103" customFormat="1" ht="13.2" hidden="1" outlineLevel="1" x14ac:dyDescent="0.25">
      <c r="A678" s="106" t="s">
        <v>1382</v>
      </c>
      <c r="B678" s="106" t="s">
        <v>1383</v>
      </c>
      <c r="C678" s="106"/>
      <c r="D678" s="106"/>
      <c r="E678" s="52"/>
    </row>
    <row r="679" spans="1:5" s="103" customFormat="1" ht="13.2" hidden="1" outlineLevel="1" x14ac:dyDescent="0.25">
      <c r="A679" s="106" t="s">
        <v>1384</v>
      </c>
      <c r="B679" s="106" t="s">
        <v>1385</v>
      </c>
      <c r="C679" s="106"/>
      <c r="D679" s="106"/>
      <c r="E679" s="52"/>
    </row>
    <row r="680" spans="1:5" s="103" customFormat="1" ht="13.2" hidden="1" outlineLevel="1" x14ac:dyDescent="0.25">
      <c r="A680" s="106" t="s">
        <v>1386</v>
      </c>
      <c r="B680" s="106" t="s">
        <v>1387</v>
      </c>
      <c r="C680" s="106"/>
      <c r="D680" s="106"/>
      <c r="E680" s="52"/>
    </row>
    <row r="681" spans="1:5" s="103" customFormat="1" ht="13.2" hidden="1" outlineLevel="1" x14ac:dyDescent="0.25">
      <c r="A681" s="106" t="s">
        <v>1388</v>
      </c>
      <c r="B681" s="106" t="s">
        <v>1389</v>
      </c>
      <c r="C681" s="106"/>
      <c r="D681" s="106"/>
      <c r="E681" s="52"/>
    </row>
    <row r="682" spans="1:5" s="103" customFormat="1" ht="13.2" hidden="1" outlineLevel="1" x14ac:dyDescent="0.25">
      <c r="A682" s="106" t="s">
        <v>1390</v>
      </c>
      <c r="B682" s="106" t="s">
        <v>1391</v>
      </c>
      <c r="C682" s="106"/>
      <c r="D682" s="106"/>
      <c r="E682" s="52"/>
    </row>
    <row r="683" spans="1:5" s="103" customFormat="1" ht="13.2" hidden="1" outlineLevel="1" x14ac:dyDescent="0.25">
      <c r="A683" s="106" t="s">
        <v>1392</v>
      </c>
      <c r="B683" s="106" t="s">
        <v>1393</v>
      </c>
      <c r="C683" s="106"/>
      <c r="D683" s="106"/>
      <c r="E683" s="52"/>
    </row>
    <row r="684" spans="1:5" s="103" customFormat="1" ht="13.2" hidden="1" outlineLevel="1" x14ac:dyDescent="0.25">
      <c r="A684" s="106" t="s">
        <v>1394</v>
      </c>
      <c r="B684" s="106" t="s">
        <v>1395</v>
      </c>
      <c r="C684" s="106"/>
      <c r="D684" s="106"/>
      <c r="E684" s="52"/>
    </row>
    <row r="685" spans="1:5" s="103" customFormat="1" ht="13.2" hidden="1" outlineLevel="1" x14ac:dyDescent="0.25">
      <c r="A685" s="106" t="s">
        <v>1396</v>
      </c>
      <c r="B685" s="106" t="s">
        <v>1397</v>
      </c>
      <c r="C685" s="106"/>
      <c r="D685" s="106"/>
      <c r="E685" s="52"/>
    </row>
    <row r="686" spans="1:5" s="103" customFormat="1" ht="13.2" hidden="1" outlineLevel="1" x14ac:dyDescent="0.25">
      <c r="A686" s="106" t="s">
        <v>1398</v>
      </c>
      <c r="B686" s="106" t="s">
        <v>1399</v>
      </c>
      <c r="C686" s="106"/>
      <c r="D686" s="106"/>
      <c r="E686" s="52"/>
    </row>
    <row r="687" spans="1:5" s="103" customFormat="1" ht="13.2" hidden="1" outlineLevel="1" x14ac:dyDescent="0.25">
      <c r="A687" s="106" t="s">
        <v>1400</v>
      </c>
      <c r="B687" s="106" t="s">
        <v>1401</v>
      </c>
      <c r="C687" s="106"/>
      <c r="D687" s="106"/>
      <c r="E687" s="52"/>
    </row>
    <row r="688" spans="1:5" s="103" customFormat="1" ht="13.2" hidden="1" outlineLevel="1" x14ac:dyDescent="0.25">
      <c r="A688" s="106" t="s">
        <v>1402</v>
      </c>
      <c r="B688" s="106" t="s">
        <v>1403</v>
      </c>
      <c r="C688" s="106"/>
      <c r="D688" s="106"/>
      <c r="E688" s="52"/>
    </row>
    <row r="689" spans="1:5" s="103" customFormat="1" ht="13.2" hidden="1" outlineLevel="1" x14ac:dyDescent="0.25">
      <c r="A689" s="106" t="s">
        <v>1404</v>
      </c>
      <c r="B689" s="106" t="s">
        <v>1405</v>
      </c>
      <c r="C689" s="106"/>
      <c r="D689" s="106"/>
      <c r="E689" s="52"/>
    </row>
    <row r="690" spans="1:5" s="103" customFormat="1" ht="13.2" hidden="1" outlineLevel="1" x14ac:dyDescent="0.25">
      <c r="A690" s="106" t="s">
        <v>1406</v>
      </c>
      <c r="B690" s="106" t="s">
        <v>1407</v>
      </c>
      <c r="C690" s="106"/>
      <c r="D690" s="106"/>
      <c r="E690" s="52"/>
    </row>
    <row r="691" spans="1:5" s="103" customFormat="1" ht="13.2" hidden="1" outlineLevel="1" x14ac:dyDescent="0.25">
      <c r="A691" s="106" t="s">
        <v>1408</v>
      </c>
      <c r="B691" s="106" t="s">
        <v>1409</v>
      </c>
      <c r="C691" s="106"/>
      <c r="D691" s="106"/>
      <c r="E691" s="52"/>
    </row>
    <row r="692" spans="1:5" s="103" customFormat="1" ht="13.2" hidden="1" outlineLevel="1" x14ac:dyDescent="0.25">
      <c r="A692" s="106" t="s">
        <v>1410</v>
      </c>
      <c r="B692" s="106" t="s">
        <v>1411</v>
      </c>
      <c r="C692" s="106"/>
      <c r="D692" s="106"/>
      <c r="E692" s="52"/>
    </row>
    <row r="693" spans="1:5" s="103" customFormat="1" ht="13.2" hidden="1" outlineLevel="1" x14ac:dyDescent="0.25">
      <c r="A693" s="106" t="s">
        <v>1412</v>
      </c>
      <c r="B693" s="106" t="s">
        <v>1413</v>
      </c>
      <c r="C693" s="106"/>
      <c r="D693" s="106"/>
      <c r="E693" s="52"/>
    </row>
    <row r="694" spans="1:5" s="103" customFormat="1" ht="13.2" hidden="1" outlineLevel="1" x14ac:dyDescent="0.25">
      <c r="A694" s="106" t="s">
        <v>1414</v>
      </c>
      <c r="B694" s="106" t="s">
        <v>1415</v>
      </c>
      <c r="C694" s="106"/>
      <c r="D694" s="106"/>
      <c r="E694" s="52"/>
    </row>
    <row r="695" spans="1:5" s="103" customFormat="1" ht="13.2" hidden="1" outlineLevel="1" x14ac:dyDescent="0.25">
      <c r="A695" s="106" t="s">
        <v>1416</v>
      </c>
      <c r="B695" s="106" t="s">
        <v>1417</v>
      </c>
      <c r="C695" s="106"/>
      <c r="D695" s="106"/>
      <c r="E695" s="52"/>
    </row>
    <row r="696" spans="1:5" s="103" customFormat="1" ht="13.2" hidden="1" outlineLevel="1" x14ac:dyDescent="0.25">
      <c r="A696" s="106" t="s">
        <v>1418</v>
      </c>
      <c r="B696" s="106" t="s">
        <v>1419</v>
      </c>
      <c r="C696" s="106"/>
      <c r="D696" s="106"/>
      <c r="E696" s="52"/>
    </row>
    <row r="697" spans="1:5" s="103" customFormat="1" ht="13.2" hidden="1" outlineLevel="1" x14ac:dyDescent="0.25">
      <c r="A697" s="106" t="s">
        <v>1420</v>
      </c>
      <c r="B697" s="106" t="s">
        <v>1421</v>
      </c>
      <c r="C697" s="106"/>
      <c r="D697" s="106"/>
      <c r="E697" s="52"/>
    </row>
    <row r="698" spans="1:5" s="103" customFormat="1" ht="13.2" hidden="1" outlineLevel="1" x14ac:dyDescent="0.25">
      <c r="A698" s="106" t="s">
        <v>1422</v>
      </c>
      <c r="B698" s="106" t="s">
        <v>1423</v>
      </c>
      <c r="C698" s="106"/>
      <c r="D698" s="106"/>
      <c r="E698" s="52"/>
    </row>
    <row r="699" spans="1:5" s="103" customFormat="1" ht="13.2" hidden="1" outlineLevel="1" x14ac:dyDescent="0.25">
      <c r="A699" s="106" t="s">
        <v>1424</v>
      </c>
      <c r="B699" s="106" t="s">
        <v>1425</v>
      </c>
      <c r="C699" s="106"/>
      <c r="D699" s="106"/>
      <c r="E699" s="52"/>
    </row>
    <row r="700" spans="1:5" s="103" customFormat="1" ht="13.2" hidden="1" outlineLevel="1" x14ac:dyDescent="0.25">
      <c r="A700" s="106" t="s">
        <v>1426</v>
      </c>
      <c r="B700" s="106" t="s">
        <v>1427</v>
      </c>
      <c r="C700" s="106"/>
      <c r="D700" s="106"/>
      <c r="E700" s="52"/>
    </row>
    <row r="701" spans="1:5" s="103" customFormat="1" ht="13.2" hidden="1" outlineLevel="1" x14ac:dyDescent="0.25">
      <c r="A701" s="106" t="s">
        <v>14388</v>
      </c>
      <c r="B701" s="106" t="s">
        <v>14403</v>
      </c>
      <c r="C701" s="106"/>
      <c r="D701" s="106"/>
      <c r="E701" s="52"/>
    </row>
    <row r="702" spans="1:5" s="103" customFormat="1" ht="13.2" hidden="1" outlineLevel="1" x14ac:dyDescent="0.25">
      <c r="A702" s="106" t="s">
        <v>1428</v>
      </c>
      <c r="B702" s="106" t="s">
        <v>1429</v>
      </c>
      <c r="C702" s="106"/>
      <c r="D702" s="106"/>
      <c r="E702" s="52"/>
    </row>
    <row r="703" spans="1:5" s="103" customFormat="1" ht="13.2" hidden="1" outlineLevel="1" x14ac:dyDescent="0.25">
      <c r="A703" s="106" t="s">
        <v>1430</v>
      </c>
      <c r="B703" s="106" t="s">
        <v>1431</v>
      </c>
      <c r="C703" s="106"/>
      <c r="D703" s="106"/>
      <c r="E703" s="52"/>
    </row>
    <row r="704" spans="1:5" s="103" customFormat="1" ht="13.2" hidden="1" outlineLevel="1" x14ac:dyDescent="0.25">
      <c r="A704" s="106" t="s">
        <v>1432</v>
      </c>
      <c r="B704" s="106" t="s">
        <v>1433</v>
      </c>
      <c r="C704" s="106"/>
      <c r="D704" s="106"/>
      <c r="E704" s="52"/>
    </row>
    <row r="705" spans="1:5" s="103" customFormat="1" ht="13.2" hidden="1" outlineLevel="1" x14ac:dyDescent="0.25">
      <c r="A705" s="106" t="s">
        <v>1434</v>
      </c>
      <c r="B705" s="106" t="s">
        <v>1435</v>
      </c>
      <c r="C705" s="106"/>
      <c r="D705" s="106"/>
      <c r="E705" s="52"/>
    </row>
    <row r="706" spans="1:5" s="103" customFormat="1" ht="13.2" hidden="1" outlineLevel="1" x14ac:dyDescent="0.25">
      <c r="A706" s="106" t="s">
        <v>1436</v>
      </c>
      <c r="B706" s="106" t="s">
        <v>1437</v>
      </c>
      <c r="C706" s="106"/>
      <c r="D706" s="106"/>
      <c r="E706" s="52"/>
    </row>
    <row r="707" spans="1:5" s="103" customFormat="1" ht="13.2" hidden="1" outlineLevel="1" x14ac:dyDescent="0.25">
      <c r="A707" s="106" t="s">
        <v>1438</v>
      </c>
      <c r="B707" s="106" t="s">
        <v>1439</v>
      </c>
      <c r="C707" s="106"/>
      <c r="D707" s="106"/>
      <c r="E707" s="52"/>
    </row>
    <row r="708" spans="1:5" s="103" customFormat="1" ht="13.2" hidden="1" outlineLevel="1" x14ac:dyDescent="0.25">
      <c r="A708" s="106" t="s">
        <v>1440</v>
      </c>
      <c r="B708" s="106" t="s">
        <v>1441</v>
      </c>
      <c r="C708" s="106"/>
      <c r="D708" s="106"/>
      <c r="E708" s="52"/>
    </row>
    <row r="709" spans="1:5" s="103" customFormat="1" ht="13.2" hidden="1" outlineLevel="1" x14ac:dyDescent="0.25">
      <c r="A709" s="106" t="s">
        <v>1442</v>
      </c>
      <c r="B709" s="106" t="s">
        <v>1443</v>
      </c>
      <c r="C709" s="106"/>
      <c r="D709" s="106"/>
      <c r="E709" s="52"/>
    </row>
    <row r="710" spans="1:5" s="103" customFormat="1" ht="13.2" hidden="1" outlineLevel="1" x14ac:dyDescent="0.25">
      <c r="A710" s="106" t="s">
        <v>1444</v>
      </c>
      <c r="B710" s="106" t="s">
        <v>1445</v>
      </c>
      <c r="C710" s="106"/>
      <c r="D710" s="106"/>
      <c r="E710" s="52"/>
    </row>
    <row r="711" spans="1:5" s="103" customFormat="1" ht="13.2" hidden="1" outlineLevel="1" x14ac:dyDescent="0.25">
      <c r="A711" s="106" t="s">
        <v>1446</v>
      </c>
      <c r="B711" s="106" t="s">
        <v>1447</v>
      </c>
      <c r="C711" s="106"/>
      <c r="D711" s="106"/>
      <c r="E711" s="52"/>
    </row>
    <row r="712" spans="1:5" s="103" customFormat="1" ht="13.2" hidden="1" outlineLevel="1" x14ac:dyDescent="0.25">
      <c r="A712" s="106" t="s">
        <v>1448</v>
      </c>
      <c r="B712" s="106" t="s">
        <v>1449</v>
      </c>
      <c r="C712" s="106"/>
      <c r="D712" s="106"/>
      <c r="E712" s="52"/>
    </row>
    <row r="713" spans="1:5" s="103" customFormat="1" ht="13.2" hidden="1" outlineLevel="1" x14ac:dyDescent="0.25">
      <c r="A713" s="106" t="s">
        <v>1450</v>
      </c>
      <c r="B713" s="106" t="s">
        <v>1451</v>
      </c>
      <c r="C713" s="106"/>
      <c r="D713" s="106"/>
      <c r="E713" s="52"/>
    </row>
    <row r="714" spans="1:5" s="103" customFormat="1" ht="13.2" hidden="1" outlineLevel="1" x14ac:dyDescent="0.25">
      <c r="A714" s="106" t="s">
        <v>1452</v>
      </c>
      <c r="B714" s="106" t="s">
        <v>1453</v>
      </c>
      <c r="C714" s="106"/>
      <c r="D714" s="106"/>
      <c r="E714" s="52"/>
    </row>
    <row r="715" spans="1:5" s="103" customFormat="1" ht="13.2" hidden="1" outlineLevel="1" x14ac:dyDescent="0.25">
      <c r="A715" s="106" t="s">
        <v>1454</v>
      </c>
      <c r="B715" s="106" t="s">
        <v>1455</v>
      </c>
      <c r="C715" s="106"/>
      <c r="D715" s="106"/>
      <c r="E715" s="52"/>
    </row>
    <row r="716" spans="1:5" s="103" customFormat="1" ht="13.2" hidden="1" outlineLevel="1" x14ac:dyDescent="0.25">
      <c r="A716" s="106" t="s">
        <v>1456</v>
      </c>
      <c r="B716" s="106" t="s">
        <v>1457</v>
      </c>
      <c r="C716" s="106"/>
      <c r="D716" s="106"/>
      <c r="E716" s="52"/>
    </row>
    <row r="717" spans="1:5" s="103" customFormat="1" ht="13.2" hidden="1" outlineLevel="1" x14ac:dyDescent="0.25">
      <c r="A717" s="106" t="s">
        <v>1458</v>
      </c>
      <c r="B717" s="106" t="s">
        <v>1459</v>
      </c>
      <c r="C717" s="106"/>
      <c r="D717" s="106"/>
      <c r="E717" s="52"/>
    </row>
    <row r="718" spans="1:5" s="103" customFormat="1" ht="13.2" hidden="1" outlineLevel="1" x14ac:dyDescent="0.25">
      <c r="A718" s="106" t="s">
        <v>1460</v>
      </c>
      <c r="B718" s="106" t="s">
        <v>1461</v>
      </c>
      <c r="C718" s="106"/>
      <c r="D718" s="106"/>
      <c r="E718" s="52"/>
    </row>
    <row r="719" spans="1:5" s="103" customFormat="1" ht="13.2" hidden="1" outlineLevel="1" x14ac:dyDescent="0.25">
      <c r="A719" s="106" t="s">
        <v>1462</v>
      </c>
      <c r="B719" s="106" t="s">
        <v>1463</v>
      </c>
      <c r="C719" s="106"/>
      <c r="D719" s="106"/>
      <c r="E719" s="52"/>
    </row>
    <row r="720" spans="1:5" s="103" customFormat="1" ht="13.2" hidden="1" outlineLevel="1" x14ac:dyDescent="0.25">
      <c r="A720" s="106" t="s">
        <v>1464</v>
      </c>
      <c r="B720" s="106" t="s">
        <v>1465</v>
      </c>
      <c r="C720" s="106"/>
      <c r="D720" s="106"/>
      <c r="E720" s="52"/>
    </row>
    <row r="721" spans="1:5" s="103" customFormat="1" ht="13.2" hidden="1" outlineLevel="1" x14ac:dyDescent="0.25">
      <c r="A721" s="106" t="s">
        <v>1466</v>
      </c>
      <c r="B721" s="106" t="s">
        <v>1467</v>
      </c>
      <c r="C721" s="106"/>
      <c r="D721" s="106"/>
      <c r="E721" s="52"/>
    </row>
    <row r="722" spans="1:5" s="103" customFormat="1" ht="13.2" hidden="1" outlineLevel="1" x14ac:dyDescent="0.25">
      <c r="A722" s="106" t="s">
        <v>1468</v>
      </c>
      <c r="B722" s="106" t="s">
        <v>1469</v>
      </c>
      <c r="C722" s="106"/>
      <c r="D722" s="106"/>
      <c r="E722" s="52"/>
    </row>
    <row r="723" spans="1:5" s="103" customFormat="1" ht="13.2" hidden="1" outlineLevel="1" x14ac:dyDescent="0.25">
      <c r="A723" s="106" t="s">
        <v>1470</v>
      </c>
      <c r="B723" s="106" t="s">
        <v>1471</v>
      </c>
      <c r="C723" s="106"/>
      <c r="D723" s="106"/>
      <c r="E723" s="52"/>
    </row>
    <row r="724" spans="1:5" s="103" customFormat="1" ht="13.2" hidden="1" outlineLevel="1" x14ac:dyDescent="0.25">
      <c r="A724" s="106" t="s">
        <v>1472</v>
      </c>
      <c r="B724" s="106" t="s">
        <v>1473</v>
      </c>
      <c r="C724" s="106"/>
      <c r="D724" s="106"/>
      <c r="E724" s="52"/>
    </row>
    <row r="725" spans="1:5" s="103" customFormat="1" ht="13.2" hidden="1" outlineLevel="1" x14ac:dyDescent="0.25">
      <c r="A725" s="106" t="s">
        <v>1474</v>
      </c>
      <c r="B725" s="106" t="s">
        <v>1475</v>
      </c>
      <c r="C725" s="106"/>
      <c r="D725" s="106"/>
      <c r="E725" s="52"/>
    </row>
    <row r="726" spans="1:5" s="103" customFormat="1" ht="13.2" hidden="1" outlineLevel="1" x14ac:dyDescent="0.25">
      <c r="A726" s="106" t="s">
        <v>1476</v>
      </c>
      <c r="B726" s="106" t="s">
        <v>1477</v>
      </c>
      <c r="C726" s="106"/>
      <c r="D726" s="106"/>
      <c r="E726" s="52"/>
    </row>
    <row r="727" spans="1:5" s="103" customFormat="1" ht="13.2" hidden="1" outlineLevel="1" x14ac:dyDescent="0.25">
      <c r="A727" s="106" t="s">
        <v>1478</v>
      </c>
      <c r="B727" s="106" t="s">
        <v>1479</v>
      </c>
      <c r="C727" s="106"/>
      <c r="D727" s="106"/>
      <c r="E727" s="52"/>
    </row>
    <row r="728" spans="1:5" s="103" customFormat="1" ht="13.2" hidden="1" outlineLevel="1" x14ac:dyDescent="0.25">
      <c r="A728" s="106" t="s">
        <v>1480</v>
      </c>
      <c r="B728" s="106" t="s">
        <v>1481</v>
      </c>
      <c r="C728" s="106"/>
      <c r="D728" s="106"/>
      <c r="E728" s="52"/>
    </row>
    <row r="729" spans="1:5" s="103" customFormat="1" ht="13.2" hidden="1" outlineLevel="1" x14ac:dyDescent="0.25">
      <c r="A729" s="106" t="s">
        <v>1482</v>
      </c>
      <c r="B729" s="106" t="s">
        <v>1483</v>
      </c>
      <c r="C729" s="106"/>
      <c r="D729" s="106"/>
      <c r="E729" s="52"/>
    </row>
    <row r="730" spans="1:5" s="103" customFormat="1" ht="13.2" hidden="1" outlineLevel="1" x14ac:dyDescent="0.25">
      <c r="A730" s="106" t="s">
        <v>1484</v>
      </c>
      <c r="B730" s="106" t="s">
        <v>1485</v>
      </c>
      <c r="C730" s="106"/>
      <c r="D730" s="106"/>
      <c r="E730" s="52"/>
    </row>
    <row r="731" spans="1:5" s="103" customFormat="1" ht="13.2" hidden="1" outlineLevel="1" x14ac:dyDescent="0.25">
      <c r="A731" s="106" t="s">
        <v>1486</v>
      </c>
      <c r="B731" s="106" t="s">
        <v>1487</v>
      </c>
      <c r="C731" s="106"/>
      <c r="D731" s="106"/>
      <c r="E731" s="52"/>
    </row>
    <row r="732" spans="1:5" s="103" customFormat="1" ht="13.2" hidden="1" outlineLevel="1" x14ac:dyDescent="0.25">
      <c r="A732" s="106" t="s">
        <v>1488</v>
      </c>
      <c r="B732" s="106" t="s">
        <v>1489</v>
      </c>
      <c r="C732" s="106"/>
      <c r="D732" s="106"/>
      <c r="E732" s="52"/>
    </row>
    <row r="733" spans="1:5" s="103" customFormat="1" ht="13.2" hidden="1" outlineLevel="1" x14ac:dyDescent="0.25">
      <c r="A733" s="106" t="s">
        <v>1490</v>
      </c>
      <c r="B733" s="106" t="s">
        <v>1491</v>
      </c>
      <c r="C733" s="106"/>
      <c r="D733" s="106"/>
      <c r="E733" s="52"/>
    </row>
    <row r="734" spans="1:5" s="103" customFormat="1" ht="13.2" hidden="1" outlineLevel="1" x14ac:dyDescent="0.25">
      <c r="A734" s="106" t="s">
        <v>1492</v>
      </c>
      <c r="B734" s="106" t="s">
        <v>1493</v>
      </c>
      <c r="C734" s="106"/>
      <c r="D734" s="106"/>
      <c r="E734" s="52"/>
    </row>
    <row r="735" spans="1:5" s="103" customFormat="1" ht="13.2" hidden="1" outlineLevel="1" x14ac:dyDescent="0.25">
      <c r="A735" s="106" t="s">
        <v>1494</v>
      </c>
      <c r="B735" s="106" t="s">
        <v>1495</v>
      </c>
      <c r="C735" s="106"/>
      <c r="D735" s="106"/>
      <c r="E735" s="52"/>
    </row>
    <row r="736" spans="1:5" s="103" customFormat="1" ht="13.2" hidden="1" outlineLevel="1" x14ac:dyDescent="0.25">
      <c r="A736" s="106" t="s">
        <v>1496</v>
      </c>
      <c r="B736" s="106" t="s">
        <v>1497</v>
      </c>
      <c r="C736" s="106"/>
      <c r="D736" s="106"/>
      <c r="E736" s="52"/>
    </row>
    <row r="737" spans="1:5" s="103" customFormat="1" ht="13.2" hidden="1" outlineLevel="1" x14ac:dyDescent="0.25">
      <c r="A737" s="106" t="s">
        <v>1498</v>
      </c>
      <c r="B737" s="106" t="s">
        <v>1499</v>
      </c>
      <c r="C737" s="106"/>
      <c r="D737" s="106"/>
      <c r="E737" s="52"/>
    </row>
    <row r="738" spans="1:5" s="103" customFormat="1" ht="13.2" hidden="1" outlineLevel="1" x14ac:dyDescent="0.25">
      <c r="A738" s="106" t="s">
        <v>1500</v>
      </c>
      <c r="B738" s="106" t="s">
        <v>1501</v>
      </c>
      <c r="C738" s="106"/>
      <c r="D738" s="106"/>
      <c r="E738" s="52"/>
    </row>
    <row r="739" spans="1:5" s="103" customFormat="1" ht="13.2" hidden="1" outlineLevel="1" x14ac:dyDescent="0.25">
      <c r="A739" s="106" t="s">
        <v>1502</v>
      </c>
      <c r="B739" s="106" t="s">
        <v>1503</v>
      </c>
      <c r="C739" s="106"/>
      <c r="D739" s="106"/>
      <c r="E739" s="52"/>
    </row>
    <row r="740" spans="1:5" s="103" customFormat="1" ht="13.2" hidden="1" outlineLevel="1" x14ac:dyDescent="0.25">
      <c r="A740" s="106" t="s">
        <v>1504</v>
      </c>
      <c r="B740" s="106" t="s">
        <v>1505</v>
      </c>
      <c r="C740" s="106"/>
      <c r="D740" s="106"/>
      <c r="E740" s="52"/>
    </row>
    <row r="741" spans="1:5" s="103" customFormat="1" ht="13.2" hidden="1" outlineLevel="1" x14ac:dyDescent="0.25">
      <c r="A741" s="106" t="s">
        <v>1506</v>
      </c>
      <c r="B741" s="106" t="s">
        <v>1507</v>
      </c>
      <c r="C741" s="106"/>
      <c r="D741" s="106"/>
      <c r="E741" s="52"/>
    </row>
    <row r="742" spans="1:5" s="103" customFormat="1" ht="13.2" hidden="1" outlineLevel="1" x14ac:dyDescent="0.25">
      <c r="A742" s="106" t="s">
        <v>1508</v>
      </c>
      <c r="B742" s="106" t="s">
        <v>1509</v>
      </c>
      <c r="C742" s="106"/>
      <c r="D742" s="106"/>
      <c r="E742" s="52"/>
    </row>
    <row r="743" spans="1:5" s="103" customFormat="1" ht="13.2" hidden="1" outlineLevel="1" x14ac:dyDescent="0.25">
      <c r="A743" s="106" t="s">
        <v>1510</v>
      </c>
      <c r="B743" s="106" t="s">
        <v>1511</v>
      </c>
      <c r="C743" s="106"/>
      <c r="D743" s="106"/>
      <c r="E743" s="52"/>
    </row>
    <row r="744" spans="1:5" s="103" customFormat="1" ht="13.2" hidden="1" outlineLevel="1" x14ac:dyDescent="0.25">
      <c r="A744" s="106" t="s">
        <v>1512</v>
      </c>
      <c r="B744" s="106" t="s">
        <v>1513</v>
      </c>
      <c r="C744" s="106"/>
      <c r="D744" s="106"/>
      <c r="E744" s="52"/>
    </row>
    <row r="745" spans="1:5" s="103" customFormat="1" ht="13.2" hidden="1" outlineLevel="1" x14ac:dyDescent="0.25">
      <c r="A745" s="106" t="s">
        <v>1514</v>
      </c>
      <c r="B745" s="106" t="s">
        <v>1515</v>
      </c>
      <c r="C745" s="106"/>
      <c r="D745" s="106"/>
      <c r="E745" s="52"/>
    </row>
    <row r="746" spans="1:5" s="103" customFormat="1" ht="13.2" hidden="1" outlineLevel="1" x14ac:dyDescent="0.25">
      <c r="A746" s="106" t="s">
        <v>1516</v>
      </c>
      <c r="B746" s="106" t="s">
        <v>1517</v>
      </c>
      <c r="C746" s="106"/>
      <c r="D746" s="106"/>
      <c r="E746" s="52"/>
    </row>
    <row r="747" spans="1:5" s="103" customFormat="1" ht="13.2" hidden="1" outlineLevel="1" x14ac:dyDescent="0.25">
      <c r="A747" s="106" t="s">
        <v>1518</v>
      </c>
      <c r="B747" s="106" t="s">
        <v>1519</v>
      </c>
      <c r="C747" s="106"/>
      <c r="D747" s="106"/>
      <c r="E747" s="52"/>
    </row>
    <row r="748" spans="1:5" s="103" customFormat="1" ht="13.2" hidden="1" outlineLevel="1" x14ac:dyDescent="0.25">
      <c r="A748" s="106" t="s">
        <v>1520</v>
      </c>
      <c r="B748" s="106" t="s">
        <v>1521</v>
      </c>
      <c r="C748" s="106"/>
      <c r="D748" s="106"/>
      <c r="E748" s="52"/>
    </row>
    <row r="749" spans="1:5" s="103" customFormat="1" ht="13.2" hidden="1" outlineLevel="1" x14ac:dyDescent="0.25">
      <c r="A749" s="106" t="s">
        <v>1522</v>
      </c>
      <c r="B749" s="106" t="s">
        <v>1523</v>
      </c>
      <c r="C749" s="106"/>
      <c r="D749" s="106"/>
      <c r="E749" s="52"/>
    </row>
    <row r="750" spans="1:5" s="103" customFormat="1" ht="13.2" hidden="1" outlineLevel="1" x14ac:dyDescent="0.25">
      <c r="A750" s="106" t="s">
        <v>1524</v>
      </c>
      <c r="B750" s="106" t="s">
        <v>1525</v>
      </c>
      <c r="C750" s="106"/>
      <c r="D750" s="106"/>
      <c r="E750" s="52"/>
    </row>
    <row r="751" spans="1:5" s="103" customFormat="1" ht="13.2" hidden="1" outlineLevel="1" x14ac:dyDescent="0.25">
      <c r="A751" s="106" t="s">
        <v>1526</v>
      </c>
      <c r="B751" s="106" t="s">
        <v>1527</v>
      </c>
      <c r="C751" s="106"/>
      <c r="D751" s="106"/>
      <c r="E751" s="52"/>
    </row>
    <row r="752" spans="1:5" s="103" customFormat="1" ht="13.2" hidden="1" outlineLevel="1" x14ac:dyDescent="0.25">
      <c r="A752" s="106" t="s">
        <v>1528</v>
      </c>
      <c r="B752" s="106" t="s">
        <v>1529</v>
      </c>
      <c r="C752" s="106"/>
      <c r="D752" s="106"/>
      <c r="E752" s="52"/>
    </row>
    <row r="753" spans="1:5" s="103" customFormat="1" ht="13.2" hidden="1" outlineLevel="1" x14ac:dyDescent="0.25">
      <c r="A753" s="106" t="s">
        <v>1530</v>
      </c>
      <c r="B753" s="106" t="s">
        <v>1531</v>
      </c>
      <c r="C753" s="106"/>
      <c r="D753" s="106"/>
      <c r="E753" s="52"/>
    </row>
    <row r="754" spans="1:5" s="103" customFormat="1" ht="13.2" hidden="1" outlineLevel="1" x14ac:dyDescent="0.25">
      <c r="A754" s="106" t="s">
        <v>1532</v>
      </c>
      <c r="B754" s="106" t="s">
        <v>1533</v>
      </c>
      <c r="C754" s="106"/>
      <c r="D754" s="106"/>
      <c r="E754" s="52"/>
    </row>
    <row r="755" spans="1:5" s="103" customFormat="1" ht="13.2" hidden="1" outlineLevel="1" x14ac:dyDescent="0.25">
      <c r="A755" s="106" t="s">
        <v>1534</v>
      </c>
      <c r="B755" s="106" t="s">
        <v>1535</v>
      </c>
      <c r="C755" s="106"/>
      <c r="D755" s="106"/>
      <c r="E755" s="52"/>
    </row>
    <row r="756" spans="1:5" s="103" customFormat="1" ht="13.2" hidden="1" outlineLevel="1" x14ac:dyDescent="0.25">
      <c r="A756" s="106" t="s">
        <v>1536</v>
      </c>
      <c r="B756" s="106" t="s">
        <v>1537</v>
      </c>
      <c r="C756" s="106"/>
      <c r="D756" s="106"/>
      <c r="E756" s="52"/>
    </row>
    <row r="757" spans="1:5" s="103" customFormat="1" ht="13.2" hidden="1" outlineLevel="1" x14ac:dyDescent="0.25">
      <c r="A757" s="106" t="s">
        <v>1538</v>
      </c>
      <c r="B757" s="106" t="s">
        <v>1539</v>
      </c>
      <c r="C757" s="106"/>
      <c r="D757" s="106"/>
      <c r="E757" s="52"/>
    </row>
    <row r="758" spans="1:5" s="103" customFormat="1" ht="13.2" hidden="1" outlineLevel="1" x14ac:dyDescent="0.25">
      <c r="A758" s="106" t="s">
        <v>1540</v>
      </c>
      <c r="B758" s="106" t="s">
        <v>1541</v>
      </c>
      <c r="C758" s="106"/>
      <c r="D758" s="106"/>
      <c r="E758" s="52"/>
    </row>
    <row r="759" spans="1:5" s="103" customFormat="1" ht="13.2" hidden="1" outlineLevel="1" x14ac:dyDescent="0.25">
      <c r="A759" s="106" t="s">
        <v>1542</v>
      </c>
      <c r="B759" s="106" t="s">
        <v>1543</v>
      </c>
      <c r="C759" s="106"/>
      <c r="D759" s="106"/>
      <c r="E759" s="52"/>
    </row>
    <row r="760" spans="1:5" s="103" customFormat="1" ht="13.2" hidden="1" outlineLevel="1" x14ac:dyDescent="0.25">
      <c r="A760" s="106" t="s">
        <v>1544</v>
      </c>
      <c r="B760" s="106" t="s">
        <v>1545</v>
      </c>
      <c r="C760" s="106"/>
      <c r="D760" s="106"/>
      <c r="E760" s="52"/>
    </row>
    <row r="761" spans="1:5" s="103" customFormat="1" ht="13.2" hidden="1" outlineLevel="1" x14ac:dyDescent="0.25">
      <c r="A761" s="106" t="s">
        <v>1546</v>
      </c>
      <c r="B761" s="106" t="s">
        <v>1547</v>
      </c>
      <c r="C761" s="106"/>
      <c r="D761" s="106"/>
      <c r="E761" s="52"/>
    </row>
    <row r="762" spans="1:5" s="103" customFormat="1" ht="13.2" hidden="1" outlineLevel="1" x14ac:dyDescent="0.25">
      <c r="A762" s="106" t="s">
        <v>1548</v>
      </c>
      <c r="B762" s="106" t="s">
        <v>1549</v>
      </c>
      <c r="C762" s="106"/>
      <c r="D762" s="106"/>
      <c r="E762" s="52"/>
    </row>
    <row r="763" spans="1:5" s="103" customFormat="1" ht="13.2" hidden="1" outlineLevel="1" x14ac:dyDescent="0.25">
      <c r="A763" s="106" t="s">
        <v>1550</v>
      </c>
      <c r="B763" s="106" t="s">
        <v>1551</v>
      </c>
      <c r="C763" s="106"/>
      <c r="D763" s="106"/>
      <c r="E763" s="52"/>
    </row>
    <row r="764" spans="1:5" s="103" customFormat="1" ht="13.2" hidden="1" outlineLevel="1" x14ac:dyDescent="0.25">
      <c r="A764" s="106" t="s">
        <v>1552</v>
      </c>
      <c r="B764" s="106" t="s">
        <v>1553</v>
      </c>
      <c r="C764" s="106"/>
      <c r="D764" s="106"/>
      <c r="E764" s="52"/>
    </row>
    <row r="765" spans="1:5" s="103" customFormat="1" ht="13.2" hidden="1" outlineLevel="1" x14ac:dyDescent="0.25">
      <c r="A765" s="106" t="s">
        <v>1554</v>
      </c>
      <c r="B765" s="106" t="s">
        <v>1555</v>
      </c>
      <c r="C765" s="106"/>
      <c r="D765" s="106"/>
      <c r="E765" s="52"/>
    </row>
    <row r="766" spans="1:5" s="103" customFormat="1" ht="13.2" hidden="1" outlineLevel="1" x14ac:dyDescent="0.25">
      <c r="A766" s="106" t="s">
        <v>1556</v>
      </c>
      <c r="B766" s="106" t="s">
        <v>1557</v>
      </c>
      <c r="C766" s="106"/>
      <c r="D766" s="106"/>
      <c r="E766" s="52"/>
    </row>
    <row r="767" spans="1:5" s="103" customFormat="1" ht="13.2" hidden="1" outlineLevel="1" x14ac:dyDescent="0.25">
      <c r="A767" s="106" t="s">
        <v>1558</v>
      </c>
      <c r="B767" s="106" t="s">
        <v>1559</v>
      </c>
      <c r="C767" s="106"/>
      <c r="D767" s="106"/>
      <c r="E767" s="52"/>
    </row>
    <row r="768" spans="1:5" s="103" customFormat="1" ht="13.2" hidden="1" outlineLevel="1" x14ac:dyDescent="0.25">
      <c r="A768" s="106" t="s">
        <v>1560</v>
      </c>
      <c r="B768" s="106" t="s">
        <v>1561</v>
      </c>
      <c r="C768" s="106"/>
      <c r="D768" s="106"/>
      <c r="E768" s="52"/>
    </row>
    <row r="769" spans="1:5" s="103" customFormat="1" ht="13.2" hidden="1" outlineLevel="1" x14ac:dyDescent="0.25">
      <c r="A769" s="106" t="s">
        <v>1562</v>
      </c>
      <c r="B769" s="106" t="s">
        <v>1563</v>
      </c>
      <c r="C769" s="106"/>
      <c r="D769" s="106"/>
      <c r="E769" s="52"/>
    </row>
    <row r="770" spans="1:5" s="103" customFormat="1" ht="13.2" hidden="1" outlineLevel="1" x14ac:dyDescent="0.25">
      <c r="A770" s="106" t="s">
        <v>1564</v>
      </c>
      <c r="B770" s="106" t="s">
        <v>1565</v>
      </c>
      <c r="C770" s="106"/>
      <c r="D770" s="106"/>
      <c r="E770" s="52"/>
    </row>
    <row r="771" spans="1:5" s="103" customFormat="1" ht="13.2" hidden="1" outlineLevel="1" x14ac:dyDescent="0.25">
      <c r="A771" s="106" t="s">
        <v>1566</v>
      </c>
      <c r="B771" s="106" t="s">
        <v>1567</v>
      </c>
      <c r="C771" s="106"/>
      <c r="D771" s="106"/>
      <c r="E771" s="52"/>
    </row>
    <row r="772" spans="1:5" s="103" customFormat="1" ht="13.2" hidden="1" outlineLevel="1" x14ac:dyDescent="0.25">
      <c r="A772" s="106" t="s">
        <v>1568</v>
      </c>
      <c r="B772" s="106" t="s">
        <v>1569</v>
      </c>
      <c r="C772" s="106"/>
      <c r="D772" s="106"/>
      <c r="E772" s="52"/>
    </row>
    <row r="773" spans="1:5" s="103" customFormat="1" ht="13.2" hidden="1" outlineLevel="1" x14ac:dyDescent="0.25">
      <c r="A773" s="106" t="s">
        <v>1570</v>
      </c>
      <c r="B773" s="106" t="s">
        <v>1571</v>
      </c>
      <c r="C773" s="106"/>
      <c r="D773" s="106"/>
      <c r="E773" s="52"/>
    </row>
    <row r="774" spans="1:5" s="103" customFormat="1" ht="13.2" hidden="1" outlineLevel="1" x14ac:dyDescent="0.25">
      <c r="A774" s="106" t="s">
        <v>1572</v>
      </c>
      <c r="B774" s="106" t="s">
        <v>1573</v>
      </c>
      <c r="C774" s="106"/>
      <c r="D774" s="106"/>
      <c r="E774" s="52"/>
    </row>
    <row r="775" spans="1:5" s="103" customFormat="1" ht="13.2" hidden="1" outlineLevel="1" x14ac:dyDescent="0.25">
      <c r="A775" s="106" t="s">
        <v>1574</v>
      </c>
      <c r="B775" s="106" t="s">
        <v>1575</v>
      </c>
      <c r="C775" s="106"/>
      <c r="D775" s="106"/>
      <c r="E775" s="52"/>
    </row>
    <row r="776" spans="1:5" s="103" customFormat="1" ht="13.2" hidden="1" outlineLevel="1" x14ac:dyDescent="0.25">
      <c r="A776" s="106" t="s">
        <v>1576</v>
      </c>
      <c r="B776" s="106" t="s">
        <v>1577</v>
      </c>
      <c r="C776" s="106"/>
      <c r="D776" s="106"/>
      <c r="E776" s="52"/>
    </row>
    <row r="777" spans="1:5" s="103" customFormat="1" ht="13.2" collapsed="1" x14ac:dyDescent="0.25">
      <c r="A777" s="104" t="s">
        <v>1578</v>
      </c>
      <c r="B777" s="105" t="s">
        <v>1579</v>
      </c>
      <c r="C777" s="105"/>
      <c r="D777" s="105"/>
      <c r="E777" s="51"/>
    </row>
    <row r="778" spans="1:5" s="103" customFormat="1" ht="13.2" hidden="1" outlineLevel="1" x14ac:dyDescent="0.25">
      <c r="A778" s="106" t="s">
        <v>1580</v>
      </c>
      <c r="B778" s="106" t="s">
        <v>1581</v>
      </c>
      <c r="C778" s="106"/>
      <c r="D778" s="106"/>
      <c r="E778" s="52"/>
    </row>
    <row r="779" spans="1:5" s="103" customFormat="1" ht="13.2" hidden="1" outlineLevel="1" x14ac:dyDescent="0.25">
      <c r="A779" s="106" t="s">
        <v>1582</v>
      </c>
      <c r="B779" s="106" t="s">
        <v>1583</v>
      </c>
      <c r="C779" s="106"/>
      <c r="D779" s="106"/>
      <c r="E779" s="52"/>
    </row>
    <row r="780" spans="1:5" s="103" customFormat="1" ht="13.2" hidden="1" outlineLevel="1" x14ac:dyDescent="0.25">
      <c r="A780" s="106" t="s">
        <v>1584</v>
      </c>
      <c r="B780" s="106" t="s">
        <v>1585</v>
      </c>
      <c r="C780" s="106"/>
      <c r="D780" s="106"/>
      <c r="E780" s="52"/>
    </row>
    <row r="781" spans="1:5" s="103" customFormat="1" ht="13.2" hidden="1" outlineLevel="1" x14ac:dyDescent="0.25">
      <c r="A781" s="106" t="s">
        <v>1586</v>
      </c>
      <c r="B781" s="106" t="s">
        <v>1587</v>
      </c>
      <c r="C781" s="106"/>
      <c r="D781" s="106"/>
      <c r="E781" s="52"/>
    </row>
    <row r="782" spans="1:5" s="103" customFormat="1" ht="13.2" hidden="1" outlineLevel="1" x14ac:dyDescent="0.25">
      <c r="A782" s="106" t="s">
        <v>1588</v>
      </c>
      <c r="B782" s="106" t="s">
        <v>1589</v>
      </c>
      <c r="C782" s="106"/>
      <c r="D782" s="106"/>
      <c r="E782" s="52"/>
    </row>
    <row r="783" spans="1:5" s="103" customFormat="1" ht="13.2" hidden="1" outlineLevel="1" x14ac:dyDescent="0.25">
      <c r="A783" s="106" t="s">
        <v>1590</v>
      </c>
      <c r="B783" s="106" t="s">
        <v>1591</v>
      </c>
      <c r="C783" s="106"/>
      <c r="D783" s="106"/>
      <c r="E783" s="52"/>
    </row>
    <row r="784" spans="1:5" s="103" customFormat="1" ht="13.2" hidden="1" outlineLevel="1" x14ac:dyDescent="0.25">
      <c r="A784" s="106" t="s">
        <v>1592</v>
      </c>
      <c r="B784" s="106" t="s">
        <v>1593</v>
      </c>
      <c r="C784" s="106"/>
      <c r="D784" s="106"/>
      <c r="E784" s="52"/>
    </row>
    <row r="785" spans="1:5" s="103" customFormat="1" ht="13.2" hidden="1" outlineLevel="1" x14ac:dyDescent="0.25">
      <c r="A785" s="106" t="s">
        <v>1594</v>
      </c>
      <c r="B785" s="106" t="s">
        <v>1595</v>
      </c>
      <c r="C785" s="106"/>
      <c r="D785" s="106"/>
      <c r="E785" s="52"/>
    </row>
    <row r="786" spans="1:5" s="103" customFormat="1" ht="13.2" hidden="1" outlineLevel="1" x14ac:dyDescent="0.25">
      <c r="A786" s="106" t="s">
        <v>1596</v>
      </c>
      <c r="B786" s="106" t="s">
        <v>1597</v>
      </c>
      <c r="C786" s="106"/>
      <c r="D786" s="106"/>
      <c r="E786" s="52"/>
    </row>
    <row r="787" spans="1:5" s="103" customFormat="1" ht="13.2" hidden="1" outlineLevel="1" x14ac:dyDescent="0.25">
      <c r="A787" s="106" t="s">
        <v>1598</v>
      </c>
      <c r="B787" s="106" t="s">
        <v>1599</v>
      </c>
      <c r="C787" s="106"/>
      <c r="D787" s="106"/>
      <c r="E787" s="52"/>
    </row>
    <row r="788" spans="1:5" s="103" customFormat="1" ht="13.2" hidden="1" outlineLevel="1" x14ac:dyDescent="0.25">
      <c r="A788" s="106" t="s">
        <v>1600</v>
      </c>
      <c r="B788" s="106" t="s">
        <v>1601</v>
      </c>
      <c r="C788" s="106"/>
      <c r="D788" s="106"/>
      <c r="E788" s="52"/>
    </row>
    <row r="789" spans="1:5" s="103" customFormat="1" ht="13.2" hidden="1" outlineLevel="1" x14ac:dyDescent="0.25">
      <c r="A789" s="106" t="s">
        <v>1602</v>
      </c>
      <c r="B789" s="106" t="s">
        <v>1603</v>
      </c>
      <c r="C789" s="106"/>
      <c r="D789" s="106"/>
      <c r="E789" s="52"/>
    </row>
    <row r="790" spans="1:5" s="103" customFormat="1" ht="13.2" hidden="1" outlineLevel="1" x14ac:dyDescent="0.25">
      <c r="A790" s="106" t="s">
        <v>1604</v>
      </c>
      <c r="B790" s="106" t="s">
        <v>1605</v>
      </c>
      <c r="C790" s="106"/>
      <c r="D790" s="106"/>
      <c r="E790" s="52"/>
    </row>
    <row r="791" spans="1:5" s="103" customFormat="1" ht="13.2" hidden="1" outlineLevel="1" x14ac:dyDescent="0.25">
      <c r="A791" s="106" t="s">
        <v>1606</v>
      </c>
      <c r="B791" s="106" t="s">
        <v>1607</v>
      </c>
      <c r="C791" s="106"/>
      <c r="D791" s="106"/>
      <c r="E791" s="52"/>
    </row>
    <row r="792" spans="1:5" s="103" customFormat="1" ht="13.2" hidden="1" outlineLevel="1" x14ac:dyDescent="0.25">
      <c r="A792" s="106" t="s">
        <v>1608</v>
      </c>
      <c r="B792" s="106" t="s">
        <v>1609</v>
      </c>
      <c r="C792" s="106"/>
      <c r="D792" s="106"/>
      <c r="E792" s="52"/>
    </row>
    <row r="793" spans="1:5" s="103" customFormat="1" ht="13.2" hidden="1" outlineLevel="1" x14ac:dyDescent="0.25">
      <c r="A793" s="106" t="s">
        <v>1610</v>
      </c>
      <c r="B793" s="106" t="s">
        <v>1611</v>
      </c>
      <c r="C793" s="106"/>
      <c r="D793" s="106"/>
      <c r="E793" s="52"/>
    </row>
    <row r="794" spans="1:5" s="103" customFormat="1" ht="13.2" hidden="1" outlineLevel="1" x14ac:dyDescent="0.25">
      <c r="A794" s="106" t="s">
        <v>1612</v>
      </c>
      <c r="B794" s="106" t="s">
        <v>1613</v>
      </c>
      <c r="C794" s="106"/>
      <c r="D794" s="106"/>
      <c r="E794" s="52"/>
    </row>
    <row r="795" spans="1:5" s="103" customFormat="1" ht="13.2" hidden="1" outlineLevel="1" x14ac:dyDescent="0.25">
      <c r="A795" s="106" t="s">
        <v>1614</v>
      </c>
      <c r="B795" s="106" t="s">
        <v>1615</v>
      </c>
      <c r="C795" s="106"/>
      <c r="D795" s="106"/>
      <c r="E795" s="52"/>
    </row>
    <row r="796" spans="1:5" s="103" customFormat="1" ht="13.2" hidden="1" outlineLevel="1" x14ac:dyDescent="0.25">
      <c r="A796" s="106" t="s">
        <v>1616</v>
      </c>
      <c r="B796" s="106" t="s">
        <v>1617</v>
      </c>
      <c r="C796" s="106"/>
      <c r="D796" s="106"/>
      <c r="E796" s="52"/>
    </row>
    <row r="797" spans="1:5" s="103" customFormat="1" ht="13.2" hidden="1" outlineLevel="1" x14ac:dyDescent="0.25">
      <c r="A797" s="106" t="s">
        <v>1618</v>
      </c>
      <c r="B797" s="106" t="s">
        <v>1619</v>
      </c>
      <c r="C797" s="106"/>
      <c r="D797" s="106"/>
      <c r="E797" s="52"/>
    </row>
    <row r="798" spans="1:5" s="103" customFormat="1" ht="13.2" hidden="1" outlineLevel="1" x14ac:dyDescent="0.25">
      <c r="A798" s="106" t="s">
        <v>1620</v>
      </c>
      <c r="B798" s="106" t="s">
        <v>1621</v>
      </c>
      <c r="C798" s="106"/>
      <c r="D798" s="106"/>
      <c r="E798" s="52"/>
    </row>
    <row r="799" spans="1:5" s="103" customFormat="1" ht="13.2" hidden="1" outlineLevel="1" x14ac:dyDescent="0.25">
      <c r="A799" s="106" t="s">
        <v>1622</v>
      </c>
      <c r="B799" s="106" t="s">
        <v>1623</v>
      </c>
      <c r="C799" s="106"/>
      <c r="D799" s="106"/>
      <c r="E799" s="52"/>
    </row>
    <row r="800" spans="1:5" s="103" customFormat="1" ht="13.2" hidden="1" outlineLevel="1" x14ac:dyDescent="0.25">
      <c r="A800" s="106" t="s">
        <v>1624</v>
      </c>
      <c r="B800" s="106" t="s">
        <v>1625</v>
      </c>
      <c r="C800" s="106"/>
      <c r="D800" s="106"/>
      <c r="E800" s="52"/>
    </row>
    <row r="801" spans="1:5" s="103" customFormat="1" ht="13.2" hidden="1" outlineLevel="1" x14ac:dyDescent="0.25">
      <c r="A801" s="106" t="s">
        <v>1626</v>
      </c>
      <c r="B801" s="106" t="s">
        <v>1627</v>
      </c>
      <c r="C801" s="106"/>
      <c r="D801" s="106"/>
      <c r="E801" s="52"/>
    </row>
    <row r="802" spans="1:5" s="103" customFormat="1" ht="13.2" hidden="1" outlineLevel="1" x14ac:dyDescent="0.25">
      <c r="A802" s="106" t="s">
        <v>1628</v>
      </c>
      <c r="B802" s="106" t="s">
        <v>1629</v>
      </c>
      <c r="C802" s="106"/>
      <c r="D802" s="106"/>
      <c r="E802" s="52"/>
    </row>
    <row r="803" spans="1:5" s="103" customFormat="1" ht="13.2" hidden="1" outlineLevel="1" x14ac:dyDescent="0.25">
      <c r="A803" s="106" t="s">
        <v>1630</v>
      </c>
      <c r="B803" s="106" t="s">
        <v>1631</v>
      </c>
      <c r="C803" s="106"/>
      <c r="D803" s="106"/>
      <c r="E803" s="52"/>
    </row>
    <row r="804" spans="1:5" s="103" customFormat="1" ht="13.2" hidden="1" outlineLevel="1" x14ac:dyDescent="0.25">
      <c r="A804" s="106" t="s">
        <v>1632</v>
      </c>
      <c r="B804" s="106" t="s">
        <v>1633</v>
      </c>
      <c r="C804" s="106"/>
      <c r="D804" s="106"/>
      <c r="E804" s="52"/>
    </row>
    <row r="805" spans="1:5" s="103" customFormat="1" ht="13.2" hidden="1" outlineLevel="1" x14ac:dyDescent="0.25">
      <c r="A805" s="106" t="s">
        <v>1634</v>
      </c>
      <c r="B805" s="106" t="s">
        <v>1635</v>
      </c>
      <c r="C805" s="106"/>
      <c r="D805" s="106"/>
      <c r="E805" s="52"/>
    </row>
    <row r="806" spans="1:5" s="103" customFormat="1" ht="13.2" hidden="1" outlineLevel="1" x14ac:dyDescent="0.25">
      <c r="A806" s="106" t="s">
        <v>1636</v>
      </c>
      <c r="B806" s="106" t="s">
        <v>1637</v>
      </c>
      <c r="C806" s="106"/>
      <c r="D806" s="106"/>
      <c r="E806" s="52"/>
    </row>
    <row r="807" spans="1:5" s="103" customFormat="1" ht="13.2" hidden="1" outlineLevel="1" x14ac:dyDescent="0.25">
      <c r="A807" s="106" t="s">
        <v>1638</v>
      </c>
      <c r="B807" s="106" t="s">
        <v>1639</v>
      </c>
      <c r="C807" s="106"/>
      <c r="D807" s="106"/>
      <c r="E807" s="52"/>
    </row>
    <row r="808" spans="1:5" s="103" customFormat="1" ht="13.2" hidden="1" outlineLevel="1" x14ac:dyDescent="0.25">
      <c r="A808" s="106" t="s">
        <v>1640</v>
      </c>
      <c r="B808" s="106" t="s">
        <v>1641</v>
      </c>
      <c r="C808" s="106"/>
      <c r="D808" s="106"/>
      <c r="E808" s="52"/>
    </row>
    <row r="809" spans="1:5" s="103" customFormat="1" ht="13.2" hidden="1" outlineLevel="1" x14ac:dyDescent="0.25">
      <c r="A809" s="106" t="s">
        <v>1642</v>
      </c>
      <c r="B809" s="106" t="s">
        <v>1643</v>
      </c>
      <c r="C809" s="106"/>
      <c r="D809" s="106"/>
      <c r="E809" s="52"/>
    </row>
    <row r="810" spans="1:5" s="103" customFormat="1" ht="13.2" hidden="1" outlineLevel="1" x14ac:dyDescent="0.25">
      <c r="A810" s="106" t="s">
        <v>1644</v>
      </c>
      <c r="B810" s="106" t="s">
        <v>1645</v>
      </c>
      <c r="C810" s="106"/>
      <c r="D810" s="106"/>
      <c r="E810" s="52"/>
    </row>
    <row r="811" spans="1:5" s="103" customFormat="1" ht="13.2" hidden="1" outlineLevel="1" x14ac:dyDescent="0.25">
      <c r="A811" s="106" t="s">
        <v>1646</v>
      </c>
      <c r="B811" s="106" t="s">
        <v>1647</v>
      </c>
      <c r="C811" s="106"/>
      <c r="D811" s="106"/>
      <c r="E811" s="52"/>
    </row>
    <row r="812" spans="1:5" s="103" customFormat="1" ht="13.2" hidden="1" outlineLevel="1" x14ac:dyDescent="0.25">
      <c r="A812" s="106" t="s">
        <v>1648</v>
      </c>
      <c r="B812" s="106" t="s">
        <v>1649</v>
      </c>
      <c r="C812" s="106"/>
      <c r="D812" s="106"/>
      <c r="E812" s="52"/>
    </row>
    <row r="813" spans="1:5" s="103" customFormat="1" ht="13.2" hidden="1" outlineLevel="1" x14ac:dyDescent="0.25">
      <c r="A813" s="106" t="s">
        <v>1650</v>
      </c>
      <c r="B813" s="106" t="s">
        <v>1651</v>
      </c>
      <c r="C813" s="106"/>
      <c r="D813" s="106"/>
      <c r="E813" s="52"/>
    </row>
    <row r="814" spans="1:5" s="103" customFormat="1" ht="13.2" hidden="1" outlineLevel="1" x14ac:dyDescent="0.25">
      <c r="A814" s="106" t="s">
        <v>1652</v>
      </c>
      <c r="B814" s="106" t="s">
        <v>1653</v>
      </c>
      <c r="C814" s="106"/>
      <c r="D814" s="106"/>
      <c r="E814" s="52"/>
    </row>
    <row r="815" spans="1:5" s="103" customFormat="1" ht="13.2" hidden="1" outlineLevel="1" x14ac:dyDescent="0.25">
      <c r="A815" s="106" t="s">
        <v>1654</v>
      </c>
      <c r="B815" s="106" t="s">
        <v>1655</v>
      </c>
      <c r="C815" s="106"/>
      <c r="D815" s="106"/>
      <c r="E815" s="52"/>
    </row>
    <row r="816" spans="1:5" s="103" customFormat="1" ht="13.2" hidden="1" outlineLevel="1" x14ac:dyDescent="0.25">
      <c r="A816" s="106" t="s">
        <v>1656</v>
      </c>
      <c r="B816" s="106" t="s">
        <v>1657</v>
      </c>
      <c r="C816" s="106"/>
      <c r="D816" s="106"/>
      <c r="E816" s="52"/>
    </row>
    <row r="817" spans="1:5" s="103" customFormat="1" ht="13.2" hidden="1" outlineLevel="1" x14ac:dyDescent="0.25">
      <c r="A817" s="106" t="s">
        <v>1658</v>
      </c>
      <c r="B817" s="106" t="s">
        <v>1659</v>
      </c>
      <c r="C817" s="106"/>
      <c r="D817" s="106"/>
      <c r="E817" s="52"/>
    </row>
    <row r="818" spans="1:5" s="103" customFormat="1" ht="13.2" hidden="1" outlineLevel="1" x14ac:dyDescent="0.25">
      <c r="A818" s="106" t="s">
        <v>1660</v>
      </c>
      <c r="B818" s="106" t="s">
        <v>1661</v>
      </c>
      <c r="C818" s="106"/>
      <c r="D818" s="106"/>
      <c r="E818" s="52"/>
    </row>
    <row r="819" spans="1:5" s="103" customFormat="1" ht="13.2" hidden="1" outlineLevel="1" x14ac:dyDescent="0.25">
      <c r="A819" s="106" t="s">
        <v>1662</v>
      </c>
      <c r="B819" s="106" t="s">
        <v>1663</v>
      </c>
      <c r="C819" s="106"/>
      <c r="D819" s="106"/>
      <c r="E819" s="52"/>
    </row>
    <row r="820" spans="1:5" s="103" customFormat="1" ht="13.2" hidden="1" outlineLevel="1" x14ac:dyDescent="0.25">
      <c r="A820" s="106" t="s">
        <v>1664</v>
      </c>
      <c r="B820" s="106" t="s">
        <v>1665</v>
      </c>
      <c r="C820" s="106"/>
      <c r="D820" s="106"/>
      <c r="E820" s="52"/>
    </row>
    <row r="821" spans="1:5" s="103" customFormat="1" ht="13.2" hidden="1" outlineLevel="1" x14ac:dyDescent="0.25">
      <c r="A821" s="106" t="s">
        <v>1666</v>
      </c>
      <c r="B821" s="106" t="s">
        <v>1667</v>
      </c>
      <c r="C821" s="106"/>
      <c r="D821" s="106"/>
      <c r="E821" s="52"/>
    </row>
    <row r="822" spans="1:5" s="103" customFormat="1" ht="13.2" hidden="1" outlineLevel="1" x14ac:dyDescent="0.25">
      <c r="A822" s="106" t="s">
        <v>1668</v>
      </c>
      <c r="B822" s="106" t="s">
        <v>1669</v>
      </c>
      <c r="C822" s="106"/>
      <c r="D822" s="106"/>
      <c r="E822" s="52"/>
    </row>
    <row r="823" spans="1:5" s="103" customFormat="1" ht="13.2" hidden="1" outlineLevel="1" x14ac:dyDescent="0.25">
      <c r="A823" s="106" t="s">
        <v>1670</v>
      </c>
      <c r="B823" s="106" t="s">
        <v>1671</v>
      </c>
      <c r="C823" s="106"/>
      <c r="D823" s="106"/>
      <c r="E823" s="52"/>
    </row>
    <row r="824" spans="1:5" s="103" customFormat="1" ht="13.2" hidden="1" outlineLevel="1" x14ac:dyDescent="0.25">
      <c r="A824" s="106" t="s">
        <v>1672</v>
      </c>
      <c r="B824" s="106" t="s">
        <v>1673</v>
      </c>
      <c r="C824" s="106"/>
      <c r="D824" s="106"/>
      <c r="E824" s="52"/>
    </row>
    <row r="825" spans="1:5" s="103" customFormat="1" ht="13.2" hidden="1" outlineLevel="1" x14ac:dyDescent="0.25">
      <c r="A825" s="106" t="s">
        <v>1674</v>
      </c>
      <c r="B825" s="106" t="s">
        <v>1675</v>
      </c>
      <c r="C825" s="106"/>
      <c r="D825" s="106"/>
      <c r="E825" s="52"/>
    </row>
    <row r="826" spans="1:5" s="103" customFormat="1" ht="13.2" hidden="1" outlineLevel="1" x14ac:dyDescent="0.25">
      <c r="A826" s="106" t="s">
        <v>1676</v>
      </c>
      <c r="B826" s="106" t="s">
        <v>1677</v>
      </c>
      <c r="C826" s="106"/>
      <c r="D826" s="106"/>
      <c r="E826" s="52"/>
    </row>
    <row r="827" spans="1:5" s="103" customFormat="1" ht="13.2" hidden="1" outlineLevel="1" x14ac:dyDescent="0.25">
      <c r="A827" s="106" t="s">
        <v>1678</v>
      </c>
      <c r="B827" s="106" t="s">
        <v>1679</v>
      </c>
      <c r="C827" s="106"/>
      <c r="D827" s="106"/>
      <c r="E827" s="52"/>
    </row>
    <row r="828" spans="1:5" s="103" customFormat="1" ht="13.2" hidden="1" outlineLevel="1" x14ac:dyDescent="0.25">
      <c r="A828" s="106" t="s">
        <v>1680</v>
      </c>
      <c r="B828" s="106" t="s">
        <v>1681</v>
      </c>
      <c r="C828" s="106"/>
      <c r="D828" s="106"/>
      <c r="E828" s="52"/>
    </row>
    <row r="829" spans="1:5" s="103" customFormat="1" ht="13.2" hidden="1" outlineLevel="1" x14ac:dyDescent="0.25">
      <c r="A829" s="106" t="s">
        <v>1682</v>
      </c>
      <c r="B829" s="106" t="s">
        <v>1683</v>
      </c>
      <c r="C829" s="106"/>
      <c r="D829" s="106"/>
      <c r="E829" s="52"/>
    </row>
    <row r="830" spans="1:5" s="103" customFormat="1" ht="13.2" hidden="1" outlineLevel="1" x14ac:dyDescent="0.25">
      <c r="A830" s="106" t="s">
        <v>1684</v>
      </c>
      <c r="B830" s="106" t="s">
        <v>1685</v>
      </c>
      <c r="C830" s="106"/>
      <c r="D830" s="106"/>
      <c r="E830" s="52"/>
    </row>
    <row r="831" spans="1:5" s="103" customFormat="1" ht="13.2" hidden="1" outlineLevel="1" x14ac:dyDescent="0.25">
      <c r="A831" s="106" t="s">
        <v>1686</v>
      </c>
      <c r="B831" s="106" t="s">
        <v>1687</v>
      </c>
      <c r="C831" s="106"/>
      <c r="D831" s="106"/>
      <c r="E831" s="52"/>
    </row>
    <row r="832" spans="1:5" s="103" customFormat="1" ht="13.2" hidden="1" outlineLevel="1" x14ac:dyDescent="0.25">
      <c r="A832" s="106" t="s">
        <v>1688</v>
      </c>
      <c r="B832" s="106" t="s">
        <v>1689</v>
      </c>
      <c r="C832" s="106"/>
      <c r="D832" s="106"/>
      <c r="E832" s="52"/>
    </row>
    <row r="833" spans="1:5" s="103" customFormat="1" ht="13.2" hidden="1" outlineLevel="1" x14ac:dyDescent="0.25">
      <c r="A833" s="106" t="s">
        <v>1690</v>
      </c>
      <c r="B833" s="106" t="s">
        <v>1691</v>
      </c>
      <c r="C833" s="106"/>
      <c r="D833" s="106"/>
      <c r="E833" s="52"/>
    </row>
    <row r="834" spans="1:5" s="103" customFormat="1" ht="13.2" hidden="1" outlineLevel="1" x14ac:dyDescent="0.25">
      <c r="A834" s="106" t="s">
        <v>1692</v>
      </c>
      <c r="B834" s="106" t="s">
        <v>1693</v>
      </c>
      <c r="C834" s="106"/>
      <c r="D834" s="106"/>
      <c r="E834" s="52"/>
    </row>
    <row r="835" spans="1:5" s="103" customFormat="1" ht="13.2" hidden="1" outlineLevel="1" x14ac:dyDescent="0.25">
      <c r="A835" s="106" t="s">
        <v>1694</v>
      </c>
      <c r="B835" s="106" t="s">
        <v>1695</v>
      </c>
      <c r="C835" s="106"/>
      <c r="D835" s="106"/>
      <c r="E835" s="52"/>
    </row>
    <row r="836" spans="1:5" s="103" customFormat="1" ht="13.2" hidden="1" outlineLevel="1" x14ac:dyDescent="0.25">
      <c r="A836" s="106" t="s">
        <v>1696</v>
      </c>
      <c r="B836" s="106" t="s">
        <v>1697</v>
      </c>
      <c r="C836" s="106"/>
      <c r="D836" s="106"/>
      <c r="E836" s="52"/>
    </row>
    <row r="837" spans="1:5" s="103" customFormat="1" ht="13.2" hidden="1" outlineLevel="1" x14ac:dyDescent="0.25">
      <c r="A837" s="106" t="s">
        <v>1698</v>
      </c>
      <c r="B837" s="106" t="s">
        <v>1699</v>
      </c>
      <c r="C837" s="106"/>
      <c r="D837" s="106"/>
      <c r="E837" s="52"/>
    </row>
    <row r="838" spans="1:5" s="103" customFormat="1" ht="13.2" hidden="1" outlineLevel="1" x14ac:dyDescent="0.25">
      <c r="A838" s="106" t="s">
        <v>1700</v>
      </c>
      <c r="B838" s="106" t="s">
        <v>1701</v>
      </c>
      <c r="C838" s="106"/>
      <c r="D838" s="106"/>
      <c r="E838" s="52"/>
    </row>
    <row r="839" spans="1:5" s="103" customFormat="1" ht="13.2" hidden="1" outlineLevel="1" x14ac:dyDescent="0.25">
      <c r="A839" s="106" t="s">
        <v>1702</v>
      </c>
      <c r="B839" s="106" t="s">
        <v>1703</v>
      </c>
      <c r="C839" s="106"/>
      <c r="D839" s="106"/>
      <c r="E839" s="52"/>
    </row>
    <row r="840" spans="1:5" s="103" customFormat="1" ht="13.2" hidden="1" outlineLevel="1" x14ac:dyDescent="0.25">
      <c r="A840" s="106" t="s">
        <v>1704</v>
      </c>
      <c r="B840" s="106" t="s">
        <v>1705</v>
      </c>
      <c r="C840" s="106"/>
      <c r="D840" s="106"/>
      <c r="E840" s="52"/>
    </row>
    <row r="841" spans="1:5" s="103" customFormat="1" ht="13.2" hidden="1" outlineLevel="1" x14ac:dyDescent="0.25">
      <c r="A841" s="106" t="s">
        <v>1706</v>
      </c>
      <c r="B841" s="106" t="s">
        <v>1707</v>
      </c>
      <c r="C841" s="106"/>
      <c r="D841" s="106"/>
      <c r="E841" s="52"/>
    </row>
    <row r="842" spans="1:5" s="103" customFormat="1" ht="13.2" hidden="1" outlineLevel="1" x14ac:dyDescent="0.25">
      <c r="A842" s="106" t="s">
        <v>1708</v>
      </c>
      <c r="B842" s="106" t="s">
        <v>1709</v>
      </c>
      <c r="C842" s="106"/>
      <c r="D842" s="106"/>
      <c r="E842" s="52"/>
    </row>
    <row r="843" spans="1:5" s="103" customFormat="1" ht="13.2" hidden="1" outlineLevel="1" x14ac:dyDescent="0.25">
      <c r="A843" s="106" t="s">
        <v>1710</v>
      </c>
      <c r="B843" s="106" t="s">
        <v>1711</v>
      </c>
      <c r="C843" s="106"/>
      <c r="D843" s="106"/>
      <c r="E843" s="52"/>
    </row>
    <row r="844" spans="1:5" s="103" customFormat="1" ht="13.2" hidden="1" outlineLevel="1" x14ac:dyDescent="0.25">
      <c r="A844" s="106" t="s">
        <v>1712</v>
      </c>
      <c r="B844" s="106" t="s">
        <v>1713</v>
      </c>
      <c r="C844" s="106"/>
      <c r="D844" s="106"/>
      <c r="E844" s="52"/>
    </row>
    <row r="845" spans="1:5" s="103" customFormat="1" ht="13.2" hidden="1" outlineLevel="1" x14ac:dyDescent="0.25">
      <c r="A845" s="106" t="s">
        <v>1714</v>
      </c>
      <c r="B845" s="106" t="s">
        <v>1715</v>
      </c>
      <c r="C845" s="106"/>
      <c r="D845" s="106"/>
      <c r="E845" s="52"/>
    </row>
    <row r="846" spans="1:5" s="103" customFormat="1" ht="13.2" hidden="1" outlineLevel="1" x14ac:dyDescent="0.25">
      <c r="A846" s="106" t="s">
        <v>1716</v>
      </c>
      <c r="B846" s="106" t="s">
        <v>1717</v>
      </c>
      <c r="C846" s="106"/>
      <c r="D846" s="106"/>
      <c r="E846" s="52"/>
    </row>
    <row r="847" spans="1:5" s="103" customFormat="1" ht="13.2" hidden="1" outlineLevel="1" x14ac:dyDescent="0.25">
      <c r="A847" s="106" t="s">
        <v>1718</v>
      </c>
      <c r="B847" s="106" t="s">
        <v>1719</v>
      </c>
      <c r="C847" s="106"/>
      <c r="D847" s="106"/>
      <c r="E847" s="52"/>
    </row>
    <row r="848" spans="1:5" s="103" customFormat="1" ht="13.2" hidden="1" outlineLevel="1" x14ac:dyDescent="0.25">
      <c r="A848" s="106" t="s">
        <v>1720</v>
      </c>
      <c r="B848" s="106" t="s">
        <v>1721</v>
      </c>
      <c r="C848" s="106"/>
      <c r="D848" s="106"/>
      <c r="E848" s="52"/>
    </row>
    <row r="849" spans="1:5" s="103" customFormat="1" ht="13.2" hidden="1" outlineLevel="1" x14ac:dyDescent="0.25">
      <c r="A849" s="106" t="s">
        <v>1722</v>
      </c>
      <c r="B849" s="106" t="s">
        <v>1723</v>
      </c>
      <c r="C849" s="106"/>
      <c r="D849" s="106"/>
      <c r="E849" s="52"/>
    </row>
    <row r="850" spans="1:5" s="103" customFormat="1" ht="13.2" hidden="1" outlineLevel="1" x14ac:dyDescent="0.25">
      <c r="A850" s="106" t="s">
        <v>1724</v>
      </c>
      <c r="B850" s="106" t="s">
        <v>1725</v>
      </c>
      <c r="C850" s="106"/>
      <c r="D850" s="106"/>
      <c r="E850" s="52"/>
    </row>
    <row r="851" spans="1:5" s="103" customFormat="1" ht="13.2" hidden="1" outlineLevel="1" x14ac:dyDescent="0.25">
      <c r="A851" s="106" t="s">
        <v>1726</v>
      </c>
      <c r="B851" s="106" t="s">
        <v>1727</v>
      </c>
      <c r="C851" s="106"/>
      <c r="D851" s="106"/>
      <c r="E851" s="52"/>
    </row>
    <row r="852" spans="1:5" s="103" customFormat="1" ht="13.2" hidden="1" outlineLevel="1" x14ac:dyDescent="0.25">
      <c r="A852" s="106" t="s">
        <v>1728</v>
      </c>
      <c r="B852" s="106" t="s">
        <v>1729</v>
      </c>
      <c r="C852" s="106"/>
      <c r="D852" s="106"/>
      <c r="E852" s="52"/>
    </row>
    <row r="853" spans="1:5" s="103" customFormat="1" ht="13.2" hidden="1" outlineLevel="1" x14ac:dyDescent="0.25">
      <c r="A853" s="106" t="s">
        <v>1730</v>
      </c>
      <c r="B853" s="106" t="s">
        <v>1731</v>
      </c>
      <c r="C853" s="106"/>
      <c r="D853" s="106"/>
      <c r="E853" s="52"/>
    </row>
    <row r="854" spans="1:5" s="103" customFormat="1" ht="13.2" hidden="1" outlineLevel="1" x14ac:dyDescent="0.25">
      <c r="A854" s="106" t="s">
        <v>1732</v>
      </c>
      <c r="B854" s="106" t="s">
        <v>1733</v>
      </c>
      <c r="C854" s="106"/>
      <c r="D854" s="106"/>
      <c r="E854" s="52"/>
    </row>
    <row r="855" spans="1:5" s="103" customFormat="1" ht="13.2" hidden="1" outlineLevel="1" x14ac:dyDescent="0.25">
      <c r="A855" s="106" t="s">
        <v>1734</v>
      </c>
      <c r="B855" s="106" t="s">
        <v>1735</v>
      </c>
      <c r="C855" s="106"/>
      <c r="D855" s="106"/>
      <c r="E855" s="52"/>
    </row>
    <row r="856" spans="1:5" s="103" customFormat="1" ht="13.2" hidden="1" outlineLevel="1" x14ac:dyDescent="0.25">
      <c r="A856" s="106" t="s">
        <v>1736</v>
      </c>
      <c r="B856" s="106" t="s">
        <v>1737</v>
      </c>
      <c r="C856" s="106"/>
      <c r="D856" s="106"/>
      <c r="E856" s="52"/>
    </row>
    <row r="857" spans="1:5" s="103" customFormat="1" ht="13.2" hidden="1" outlineLevel="1" x14ac:dyDescent="0.25">
      <c r="A857" s="106" t="s">
        <v>1738</v>
      </c>
      <c r="B857" s="106" t="s">
        <v>1739</v>
      </c>
      <c r="C857" s="106"/>
      <c r="D857" s="106"/>
      <c r="E857" s="52"/>
    </row>
    <row r="858" spans="1:5" s="103" customFormat="1" ht="13.2" hidden="1" outlineLevel="1" x14ac:dyDescent="0.25">
      <c r="A858" s="106" t="s">
        <v>1740</v>
      </c>
      <c r="B858" s="106" t="s">
        <v>1741</v>
      </c>
      <c r="C858" s="106"/>
      <c r="D858" s="106"/>
      <c r="E858" s="52"/>
    </row>
    <row r="859" spans="1:5" s="103" customFormat="1" ht="13.2" hidden="1" outlineLevel="1" x14ac:dyDescent="0.25">
      <c r="A859" s="106" t="s">
        <v>1742</v>
      </c>
      <c r="B859" s="106" t="s">
        <v>1743</v>
      </c>
      <c r="C859" s="106"/>
      <c r="D859" s="106"/>
      <c r="E859" s="52"/>
    </row>
    <row r="860" spans="1:5" s="103" customFormat="1" ht="13.2" hidden="1" outlineLevel="1" x14ac:dyDescent="0.25">
      <c r="A860" s="106" t="s">
        <v>1744</v>
      </c>
      <c r="B860" s="106" t="s">
        <v>1745</v>
      </c>
      <c r="C860" s="106"/>
      <c r="D860" s="106"/>
      <c r="E860" s="52"/>
    </row>
    <row r="861" spans="1:5" s="103" customFormat="1" ht="13.2" hidden="1" outlineLevel="1" x14ac:dyDescent="0.25">
      <c r="A861" s="106" t="s">
        <v>1746</v>
      </c>
      <c r="B861" s="106" t="s">
        <v>1747</v>
      </c>
      <c r="C861" s="106"/>
      <c r="D861" s="106"/>
      <c r="E861" s="52"/>
    </row>
    <row r="862" spans="1:5" s="103" customFormat="1" ht="13.2" hidden="1" outlineLevel="1" x14ac:dyDescent="0.25">
      <c r="A862" s="106" t="s">
        <v>1748</v>
      </c>
      <c r="B862" s="106" t="s">
        <v>1749</v>
      </c>
      <c r="C862" s="106"/>
      <c r="D862" s="106"/>
      <c r="E862" s="52"/>
    </row>
    <row r="863" spans="1:5" s="103" customFormat="1" ht="13.2" hidden="1" outlineLevel="1" x14ac:dyDescent="0.25">
      <c r="A863" s="106" t="s">
        <v>1750</v>
      </c>
      <c r="B863" s="106" t="s">
        <v>1751</v>
      </c>
      <c r="C863" s="106"/>
      <c r="D863" s="106"/>
      <c r="E863" s="52"/>
    </row>
    <row r="864" spans="1:5" s="103" customFormat="1" ht="13.2" hidden="1" outlineLevel="1" x14ac:dyDescent="0.25">
      <c r="A864" s="106" t="s">
        <v>1752</v>
      </c>
      <c r="B864" s="106" t="s">
        <v>1753</v>
      </c>
      <c r="C864" s="106"/>
      <c r="D864" s="106"/>
      <c r="E864" s="52"/>
    </row>
    <row r="865" spans="1:5" s="103" customFormat="1" ht="13.2" hidden="1" outlineLevel="1" x14ac:dyDescent="0.25">
      <c r="A865" s="106" t="s">
        <v>1754</v>
      </c>
      <c r="B865" s="106" t="s">
        <v>1755</v>
      </c>
      <c r="C865" s="106"/>
      <c r="D865" s="106"/>
      <c r="E865" s="52"/>
    </row>
    <row r="866" spans="1:5" s="103" customFormat="1" ht="13.2" hidden="1" outlineLevel="1" x14ac:dyDescent="0.25">
      <c r="A866" s="106" t="s">
        <v>1756</v>
      </c>
      <c r="B866" s="106" t="s">
        <v>1757</v>
      </c>
      <c r="C866" s="106"/>
      <c r="D866" s="106"/>
      <c r="E866" s="52"/>
    </row>
    <row r="867" spans="1:5" s="103" customFormat="1" ht="13.2" hidden="1" outlineLevel="1" x14ac:dyDescent="0.25">
      <c r="A867" s="106" t="s">
        <v>1758</v>
      </c>
      <c r="B867" s="106" t="s">
        <v>1759</v>
      </c>
      <c r="C867" s="106"/>
      <c r="D867" s="106"/>
      <c r="E867" s="52"/>
    </row>
    <row r="868" spans="1:5" s="103" customFormat="1" ht="13.2" hidden="1" outlineLevel="1" x14ac:dyDescent="0.25">
      <c r="A868" s="106" t="s">
        <v>1760</v>
      </c>
      <c r="B868" s="106" t="s">
        <v>1761</v>
      </c>
      <c r="C868" s="106"/>
      <c r="D868" s="106"/>
      <c r="E868" s="52"/>
    </row>
    <row r="869" spans="1:5" s="103" customFormat="1" ht="13.2" hidden="1" outlineLevel="1" x14ac:dyDescent="0.25">
      <c r="A869" s="106" t="s">
        <v>1762</v>
      </c>
      <c r="B869" s="106" t="s">
        <v>1763</v>
      </c>
      <c r="C869" s="106"/>
      <c r="D869" s="106"/>
      <c r="E869" s="52"/>
    </row>
    <row r="870" spans="1:5" s="103" customFormat="1" ht="13.2" hidden="1" outlineLevel="1" x14ac:dyDescent="0.25">
      <c r="A870" s="106" t="s">
        <v>1764</v>
      </c>
      <c r="B870" s="106" t="s">
        <v>1765</v>
      </c>
      <c r="C870" s="106"/>
      <c r="D870" s="106"/>
      <c r="E870" s="52"/>
    </row>
    <row r="871" spans="1:5" s="103" customFormat="1" ht="13.2" hidden="1" outlineLevel="1" x14ac:dyDescent="0.25">
      <c r="A871" s="106" t="s">
        <v>1766</v>
      </c>
      <c r="B871" s="106" t="s">
        <v>1767</v>
      </c>
      <c r="C871" s="106"/>
      <c r="D871" s="106"/>
      <c r="E871" s="52"/>
    </row>
    <row r="872" spans="1:5" s="103" customFormat="1" ht="13.2" hidden="1" outlineLevel="1" x14ac:dyDescent="0.25">
      <c r="A872" s="106" t="s">
        <v>1768</v>
      </c>
      <c r="B872" s="106" t="s">
        <v>1769</v>
      </c>
      <c r="C872" s="106"/>
      <c r="D872" s="106"/>
      <c r="E872" s="52"/>
    </row>
    <row r="873" spans="1:5" s="103" customFormat="1" ht="13.2" hidden="1" outlineLevel="1" x14ac:dyDescent="0.25">
      <c r="A873" s="106" t="s">
        <v>1770</v>
      </c>
      <c r="B873" s="106" t="s">
        <v>1771</v>
      </c>
      <c r="C873" s="106"/>
      <c r="D873" s="106"/>
      <c r="E873" s="52"/>
    </row>
    <row r="874" spans="1:5" s="103" customFormat="1" ht="13.2" hidden="1" outlineLevel="1" x14ac:dyDescent="0.25">
      <c r="A874" s="106" t="s">
        <v>1772</v>
      </c>
      <c r="B874" s="106" t="s">
        <v>1773</v>
      </c>
      <c r="C874" s="106"/>
      <c r="D874" s="106"/>
      <c r="E874" s="52"/>
    </row>
    <row r="875" spans="1:5" s="103" customFormat="1" ht="13.2" hidden="1" outlineLevel="1" x14ac:dyDescent="0.25">
      <c r="A875" s="106" t="s">
        <v>1774</v>
      </c>
      <c r="B875" s="106" t="s">
        <v>1775</v>
      </c>
      <c r="C875" s="106"/>
      <c r="D875" s="106"/>
      <c r="E875" s="52"/>
    </row>
    <row r="876" spans="1:5" s="103" customFormat="1" ht="13.2" hidden="1" outlineLevel="1" x14ac:dyDescent="0.25">
      <c r="A876" s="106" t="s">
        <v>1776</v>
      </c>
      <c r="B876" s="106" t="s">
        <v>1777</v>
      </c>
      <c r="C876" s="106"/>
      <c r="D876" s="106"/>
      <c r="E876" s="52"/>
    </row>
    <row r="877" spans="1:5" s="103" customFormat="1" ht="13.2" hidden="1" outlineLevel="1" x14ac:dyDescent="0.25">
      <c r="A877" s="106" t="s">
        <v>1778</v>
      </c>
      <c r="B877" s="106" t="s">
        <v>1779</v>
      </c>
      <c r="C877" s="106"/>
      <c r="D877" s="106"/>
      <c r="E877" s="52"/>
    </row>
    <row r="878" spans="1:5" s="103" customFormat="1" ht="13.2" hidden="1" outlineLevel="1" x14ac:dyDescent="0.25">
      <c r="A878" s="106" t="s">
        <v>1780</v>
      </c>
      <c r="B878" s="106" t="s">
        <v>1781</v>
      </c>
      <c r="C878" s="106"/>
      <c r="D878" s="106"/>
      <c r="E878" s="52"/>
    </row>
    <row r="879" spans="1:5" s="103" customFormat="1" ht="13.2" hidden="1" outlineLevel="1" x14ac:dyDescent="0.25">
      <c r="A879" s="106" t="s">
        <v>1782</v>
      </c>
      <c r="B879" s="106" t="s">
        <v>1783</v>
      </c>
      <c r="C879" s="106"/>
      <c r="D879" s="106"/>
      <c r="E879" s="52"/>
    </row>
    <row r="880" spans="1:5" s="103" customFormat="1" ht="13.2" hidden="1" outlineLevel="1" x14ac:dyDescent="0.25">
      <c r="A880" s="106" t="s">
        <v>1784</v>
      </c>
      <c r="B880" s="106" t="s">
        <v>1785</v>
      </c>
      <c r="C880" s="106"/>
      <c r="D880" s="106"/>
      <c r="E880" s="52"/>
    </row>
    <row r="881" spans="1:5" s="103" customFormat="1" ht="13.2" hidden="1" outlineLevel="1" x14ac:dyDescent="0.25">
      <c r="A881" s="106" t="s">
        <v>1786</v>
      </c>
      <c r="B881" s="106" t="s">
        <v>1787</v>
      </c>
      <c r="C881" s="106"/>
      <c r="D881" s="106"/>
      <c r="E881" s="52"/>
    </row>
    <row r="882" spans="1:5" s="103" customFormat="1" ht="13.2" hidden="1" outlineLevel="1" x14ac:dyDescent="0.25">
      <c r="A882" s="106" t="s">
        <v>1788</v>
      </c>
      <c r="B882" s="106" t="s">
        <v>1789</v>
      </c>
      <c r="C882" s="106"/>
      <c r="D882" s="106"/>
      <c r="E882" s="52"/>
    </row>
    <row r="883" spans="1:5" s="103" customFormat="1" ht="13.2" hidden="1" outlineLevel="1" x14ac:dyDescent="0.25">
      <c r="A883" s="106" t="s">
        <v>1790</v>
      </c>
      <c r="B883" s="106" t="s">
        <v>1791</v>
      </c>
      <c r="C883" s="106"/>
      <c r="D883" s="106"/>
      <c r="E883" s="52"/>
    </row>
    <row r="884" spans="1:5" s="103" customFormat="1" ht="13.2" hidden="1" outlineLevel="1" x14ac:dyDescent="0.25">
      <c r="A884" s="106" t="s">
        <v>1792</v>
      </c>
      <c r="B884" s="106" t="s">
        <v>1793</v>
      </c>
      <c r="C884" s="106"/>
      <c r="D884" s="106"/>
      <c r="E884" s="52"/>
    </row>
    <row r="885" spans="1:5" s="103" customFormat="1" ht="13.2" hidden="1" outlineLevel="1" x14ac:dyDescent="0.25">
      <c r="A885" s="106" t="s">
        <v>1794</v>
      </c>
      <c r="B885" s="106" t="s">
        <v>1795</v>
      </c>
      <c r="C885" s="106"/>
      <c r="D885" s="106"/>
      <c r="E885" s="52"/>
    </row>
    <row r="886" spans="1:5" s="103" customFormat="1" ht="13.2" hidden="1" outlineLevel="1" x14ac:dyDescent="0.25">
      <c r="A886" s="106" t="s">
        <v>1796</v>
      </c>
      <c r="B886" s="106" t="s">
        <v>1797</v>
      </c>
      <c r="C886" s="106"/>
      <c r="D886" s="106"/>
      <c r="E886" s="52"/>
    </row>
    <row r="887" spans="1:5" s="103" customFormat="1" ht="13.2" hidden="1" outlineLevel="1" x14ac:dyDescent="0.25">
      <c r="A887" s="106" t="s">
        <v>1798</v>
      </c>
      <c r="B887" s="106" t="s">
        <v>1799</v>
      </c>
      <c r="C887" s="106"/>
      <c r="D887" s="106"/>
      <c r="E887" s="52"/>
    </row>
    <row r="888" spans="1:5" s="103" customFormat="1" ht="13.2" hidden="1" outlineLevel="1" x14ac:dyDescent="0.25">
      <c r="A888" s="106" t="s">
        <v>1800</v>
      </c>
      <c r="B888" s="106" t="s">
        <v>1801</v>
      </c>
      <c r="C888" s="106"/>
      <c r="D888" s="106"/>
      <c r="E888" s="52"/>
    </row>
    <row r="889" spans="1:5" s="103" customFormat="1" ht="13.2" hidden="1" outlineLevel="1" x14ac:dyDescent="0.25">
      <c r="A889" s="106" t="s">
        <v>1802</v>
      </c>
      <c r="B889" s="106" t="s">
        <v>1803</v>
      </c>
      <c r="C889" s="106"/>
      <c r="D889" s="106"/>
      <c r="E889" s="52"/>
    </row>
    <row r="890" spans="1:5" s="103" customFormat="1" ht="13.2" hidden="1" outlineLevel="1" x14ac:dyDescent="0.25">
      <c r="A890" s="106" t="s">
        <v>1804</v>
      </c>
      <c r="B890" s="106" t="s">
        <v>1805</v>
      </c>
      <c r="C890" s="106"/>
      <c r="D890" s="106"/>
      <c r="E890" s="52"/>
    </row>
    <row r="891" spans="1:5" s="103" customFormat="1" ht="13.2" hidden="1" outlineLevel="1" x14ac:dyDescent="0.25">
      <c r="A891" s="106" t="s">
        <v>1806</v>
      </c>
      <c r="B891" s="106" t="s">
        <v>1807</v>
      </c>
      <c r="C891" s="106"/>
      <c r="D891" s="106"/>
      <c r="E891" s="52"/>
    </row>
    <row r="892" spans="1:5" s="103" customFormat="1" ht="13.2" hidden="1" outlineLevel="1" x14ac:dyDescent="0.25">
      <c r="A892" s="106" t="s">
        <v>1808</v>
      </c>
      <c r="B892" s="106" t="s">
        <v>1809</v>
      </c>
      <c r="C892" s="106"/>
      <c r="D892" s="106"/>
      <c r="E892" s="52"/>
    </row>
    <row r="893" spans="1:5" s="103" customFormat="1" ht="13.2" hidden="1" outlineLevel="1" x14ac:dyDescent="0.25">
      <c r="A893" s="106" t="s">
        <v>1810</v>
      </c>
      <c r="B893" s="106" t="s">
        <v>1811</v>
      </c>
      <c r="C893" s="106"/>
      <c r="D893" s="106"/>
      <c r="E893" s="52"/>
    </row>
    <row r="894" spans="1:5" s="103" customFormat="1" ht="13.2" collapsed="1" x14ac:dyDescent="0.25">
      <c r="A894" s="104" t="s">
        <v>1812</v>
      </c>
      <c r="B894" s="105" t="s">
        <v>1813</v>
      </c>
      <c r="C894" s="105"/>
      <c r="D894" s="105"/>
      <c r="E894" s="51"/>
    </row>
    <row r="895" spans="1:5" s="103" customFormat="1" ht="13.2" hidden="1" outlineLevel="1" x14ac:dyDescent="0.25">
      <c r="A895" s="106" t="s">
        <v>1814</v>
      </c>
      <c r="B895" s="106" t="s">
        <v>1815</v>
      </c>
      <c r="C895" s="106"/>
      <c r="D895" s="106"/>
      <c r="E895" s="52"/>
    </row>
    <row r="896" spans="1:5" s="103" customFormat="1" ht="13.2" hidden="1" outlineLevel="1" x14ac:dyDescent="0.25">
      <c r="A896" s="106" t="s">
        <v>1816</v>
      </c>
      <c r="B896" s="106" t="s">
        <v>1817</v>
      </c>
      <c r="C896" s="106"/>
      <c r="D896" s="106"/>
      <c r="E896" s="52"/>
    </row>
    <row r="897" spans="1:5" s="103" customFormat="1" ht="13.2" hidden="1" outlineLevel="1" x14ac:dyDescent="0.25">
      <c r="A897" s="106" t="s">
        <v>1818</v>
      </c>
      <c r="B897" s="106" t="s">
        <v>1819</v>
      </c>
      <c r="C897" s="106"/>
      <c r="D897" s="106"/>
      <c r="E897" s="52"/>
    </row>
    <row r="898" spans="1:5" s="103" customFormat="1" ht="13.2" hidden="1" outlineLevel="1" x14ac:dyDescent="0.25">
      <c r="A898" s="106" t="s">
        <v>1820</v>
      </c>
      <c r="B898" s="106" t="s">
        <v>1821</v>
      </c>
      <c r="C898" s="106"/>
      <c r="D898" s="106"/>
      <c r="E898" s="52"/>
    </row>
    <row r="899" spans="1:5" s="103" customFormat="1" ht="13.2" hidden="1" outlineLevel="1" x14ac:dyDescent="0.25">
      <c r="A899" s="106" t="s">
        <v>1822</v>
      </c>
      <c r="B899" s="106" t="s">
        <v>1823</v>
      </c>
      <c r="C899" s="106"/>
      <c r="D899" s="106"/>
      <c r="E899" s="52"/>
    </row>
    <row r="900" spans="1:5" s="103" customFormat="1" ht="13.2" hidden="1" outlineLevel="1" x14ac:dyDescent="0.25">
      <c r="A900" s="106" t="s">
        <v>1824</v>
      </c>
      <c r="B900" s="106" t="s">
        <v>1825</v>
      </c>
      <c r="C900" s="106"/>
      <c r="D900" s="106"/>
      <c r="E900" s="52"/>
    </row>
    <row r="901" spans="1:5" s="103" customFormat="1" ht="13.2" hidden="1" outlineLevel="1" x14ac:dyDescent="0.25">
      <c r="A901" s="106" t="s">
        <v>1826</v>
      </c>
      <c r="B901" s="106" t="s">
        <v>1827</v>
      </c>
      <c r="C901" s="106"/>
      <c r="D901" s="106"/>
      <c r="E901" s="52"/>
    </row>
    <row r="902" spans="1:5" s="103" customFormat="1" ht="13.2" hidden="1" outlineLevel="1" x14ac:dyDescent="0.25">
      <c r="A902" s="106" t="s">
        <v>1828</v>
      </c>
      <c r="B902" s="106" t="s">
        <v>1829</v>
      </c>
      <c r="C902" s="106"/>
      <c r="D902" s="106"/>
      <c r="E902" s="52"/>
    </row>
    <row r="903" spans="1:5" s="103" customFormat="1" ht="13.2" hidden="1" outlineLevel="1" x14ac:dyDescent="0.25">
      <c r="A903" s="106" t="s">
        <v>1830</v>
      </c>
      <c r="B903" s="106" t="s">
        <v>1831</v>
      </c>
      <c r="C903" s="106"/>
      <c r="D903" s="106"/>
      <c r="E903" s="52"/>
    </row>
    <row r="904" spans="1:5" s="103" customFormat="1" ht="13.2" hidden="1" outlineLevel="1" x14ac:dyDescent="0.25">
      <c r="A904" s="106" t="s">
        <v>1832</v>
      </c>
      <c r="B904" s="106" t="s">
        <v>1833</v>
      </c>
      <c r="C904" s="106"/>
      <c r="D904" s="106"/>
      <c r="E904" s="52"/>
    </row>
    <row r="905" spans="1:5" s="103" customFormat="1" ht="13.2" hidden="1" outlineLevel="1" x14ac:dyDescent="0.25">
      <c r="A905" s="106" t="s">
        <v>1834</v>
      </c>
      <c r="B905" s="106" t="s">
        <v>1835</v>
      </c>
      <c r="C905" s="106"/>
      <c r="D905" s="106"/>
      <c r="E905" s="52"/>
    </row>
    <row r="906" spans="1:5" s="103" customFormat="1" ht="13.2" hidden="1" outlineLevel="1" x14ac:dyDescent="0.25">
      <c r="A906" s="106" t="s">
        <v>1836</v>
      </c>
      <c r="B906" s="106" t="s">
        <v>1837</v>
      </c>
      <c r="C906" s="106"/>
      <c r="D906" s="106"/>
      <c r="E906" s="52"/>
    </row>
    <row r="907" spans="1:5" s="103" customFormat="1" ht="13.2" hidden="1" outlineLevel="1" x14ac:dyDescent="0.25">
      <c r="A907" s="106" t="s">
        <v>1838</v>
      </c>
      <c r="B907" s="106" t="s">
        <v>1839</v>
      </c>
      <c r="C907" s="106"/>
      <c r="D907" s="106"/>
      <c r="E907" s="52"/>
    </row>
    <row r="908" spans="1:5" s="103" customFormat="1" ht="13.2" hidden="1" outlineLevel="1" x14ac:dyDescent="0.25">
      <c r="A908" s="106" t="s">
        <v>1840</v>
      </c>
      <c r="B908" s="106" t="s">
        <v>1841</v>
      </c>
      <c r="C908" s="106"/>
      <c r="D908" s="106"/>
      <c r="E908" s="52"/>
    </row>
    <row r="909" spans="1:5" s="103" customFormat="1" ht="13.2" hidden="1" outlineLevel="1" x14ac:dyDescent="0.25">
      <c r="A909" s="106" t="s">
        <v>1842</v>
      </c>
      <c r="B909" s="106" t="s">
        <v>1843</v>
      </c>
      <c r="C909" s="106"/>
      <c r="D909" s="106"/>
      <c r="E909" s="52"/>
    </row>
    <row r="910" spans="1:5" s="103" customFormat="1" ht="13.2" hidden="1" outlineLevel="1" x14ac:dyDescent="0.25">
      <c r="A910" s="106" t="s">
        <v>1844</v>
      </c>
      <c r="B910" s="106" t="s">
        <v>1845</v>
      </c>
      <c r="C910" s="106"/>
      <c r="D910" s="106"/>
      <c r="E910" s="52"/>
    </row>
    <row r="911" spans="1:5" s="103" customFormat="1" ht="13.2" hidden="1" outlineLevel="1" x14ac:dyDescent="0.25">
      <c r="A911" s="106" t="s">
        <v>1846</v>
      </c>
      <c r="B911" s="106" t="s">
        <v>1847</v>
      </c>
      <c r="C911" s="106"/>
      <c r="D911" s="106"/>
      <c r="E911" s="52"/>
    </row>
    <row r="912" spans="1:5" s="103" customFormat="1" ht="13.2" hidden="1" outlineLevel="1" x14ac:dyDescent="0.25">
      <c r="A912" s="106" t="s">
        <v>1848</v>
      </c>
      <c r="B912" s="106" t="s">
        <v>1849</v>
      </c>
      <c r="C912" s="106"/>
      <c r="D912" s="106"/>
      <c r="E912" s="52"/>
    </row>
    <row r="913" spans="1:5" s="103" customFormat="1" ht="13.2" hidden="1" outlineLevel="1" x14ac:dyDescent="0.25">
      <c r="A913" s="106" t="s">
        <v>1850</v>
      </c>
      <c r="B913" s="106" t="s">
        <v>1851</v>
      </c>
      <c r="C913" s="106"/>
      <c r="D913" s="106"/>
      <c r="E913" s="52"/>
    </row>
    <row r="914" spans="1:5" s="103" customFormat="1" ht="13.2" hidden="1" outlineLevel="1" x14ac:dyDescent="0.25">
      <c r="A914" s="106" t="s">
        <v>1852</v>
      </c>
      <c r="B914" s="106" t="s">
        <v>1853</v>
      </c>
      <c r="C914" s="106"/>
      <c r="D914" s="106"/>
      <c r="E914" s="52"/>
    </row>
    <row r="915" spans="1:5" s="103" customFormat="1" ht="13.2" hidden="1" outlineLevel="1" x14ac:dyDescent="0.25">
      <c r="A915" s="106" t="s">
        <v>1854</v>
      </c>
      <c r="B915" s="106" t="s">
        <v>1855</v>
      </c>
      <c r="C915" s="106"/>
      <c r="D915" s="106"/>
      <c r="E915" s="52"/>
    </row>
    <row r="916" spans="1:5" s="103" customFormat="1" ht="13.2" hidden="1" outlineLevel="1" x14ac:dyDescent="0.25">
      <c r="A916" s="106" t="s">
        <v>1856</v>
      </c>
      <c r="B916" s="106" t="s">
        <v>1857</v>
      </c>
      <c r="C916" s="106"/>
      <c r="D916" s="106"/>
      <c r="E916" s="52"/>
    </row>
    <row r="917" spans="1:5" s="103" customFormat="1" ht="13.2" hidden="1" outlineLevel="1" x14ac:dyDescent="0.25">
      <c r="A917" s="106" t="s">
        <v>1858</v>
      </c>
      <c r="B917" s="106" t="s">
        <v>1859</v>
      </c>
      <c r="C917" s="106"/>
      <c r="D917" s="106"/>
      <c r="E917" s="52"/>
    </row>
    <row r="918" spans="1:5" s="103" customFormat="1" ht="13.2" hidden="1" outlineLevel="1" x14ac:dyDescent="0.25">
      <c r="A918" s="106" t="s">
        <v>1860</v>
      </c>
      <c r="B918" s="106" t="s">
        <v>1861</v>
      </c>
      <c r="C918" s="106"/>
      <c r="D918" s="106"/>
      <c r="E918" s="52"/>
    </row>
    <row r="919" spans="1:5" s="103" customFormat="1" ht="13.2" hidden="1" outlineLevel="1" x14ac:dyDescent="0.25">
      <c r="A919" s="106" t="s">
        <v>1862</v>
      </c>
      <c r="B919" s="106" t="s">
        <v>1863</v>
      </c>
      <c r="C919" s="106"/>
      <c r="D919" s="106"/>
      <c r="E919" s="52"/>
    </row>
    <row r="920" spans="1:5" s="103" customFormat="1" ht="13.2" hidden="1" outlineLevel="1" x14ac:dyDescent="0.25">
      <c r="A920" s="106" t="s">
        <v>1864</v>
      </c>
      <c r="B920" s="106" t="s">
        <v>1865</v>
      </c>
      <c r="C920" s="106"/>
      <c r="D920" s="106"/>
      <c r="E920" s="52"/>
    </row>
    <row r="921" spans="1:5" s="103" customFormat="1" ht="13.2" hidden="1" outlineLevel="1" x14ac:dyDescent="0.25">
      <c r="A921" s="106" t="s">
        <v>1866</v>
      </c>
      <c r="B921" s="106" t="s">
        <v>1867</v>
      </c>
      <c r="C921" s="106"/>
      <c r="D921" s="106"/>
      <c r="E921" s="52"/>
    </row>
    <row r="922" spans="1:5" s="103" customFormat="1" ht="13.2" hidden="1" outlineLevel="1" x14ac:dyDescent="0.25">
      <c r="A922" s="106" t="s">
        <v>1868</v>
      </c>
      <c r="B922" s="106" t="s">
        <v>1869</v>
      </c>
      <c r="C922" s="106"/>
      <c r="D922" s="106"/>
      <c r="E922" s="52"/>
    </row>
    <row r="923" spans="1:5" s="103" customFormat="1" ht="13.2" hidden="1" outlineLevel="1" x14ac:dyDescent="0.25">
      <c r="A923" s="106" t="s">
        <v>1870</v>
      </c>
      <c r="B923" s="106" t="s">
        <v>1871</v>
      </c>
      <c r="C923" s="106"/>
      <c r="D923" s="106"/>
      <c r="E923" s="52"/>
    </row>
    <row r="924" spans="1:5" s="103" customFormat="1" ht="13.2" hidden="1" outlineLevel="1" x14ac:dyDescent="0.25">
      <c r="A924" s="106" t="s">
        <v>1872</v>
      </c>
      <c r="B924" s="106" t="s">
        <v>1873</v>
      </c>
      <c r="C924" s="106"/>
      <c r="D924" s="106"/>
      <c r="E924" s="52"/>
    </row>
    <row r="925" spans="1:5" s="103" customFormat="1" ht="13.2" hidden="1" outlineLevel="1" x14ac:dyDescent="0.25">
      <c r="A925" s="106" t="s">
        <v>1874</v>
      </c>
      <c r="B925" s="106" t="s">
        <v>1875</v>
      </c>
      <c r="C925" s="106"/>
      <c r="D925" s="106"/>
      <c r="E925" s="52"/>
    </row>
    <row r="926" spans="1:5" s="103" customFormat="1" ht="13.2" hidden="1" outlineLevel="1" x14ac:dyDescent="0.25">
      <c r="A926" s="106" t="s">
        <v>1876</v>
      </c>
      <c r="B926" s="106" t="s">
        <v>1877</v>
      </c>
      <c r="C926" s="106"/>
      <c r="D926" s="106"/>
      <c r="E926" s="52"/>
    </row>
    <row r="927" spans="1:5" s="103" customFormat="1" ht="13.2" hidden="1" outlineLevel="1" x14ac:dyDescent="0.25">
      <c r="A927" s="106" t="s">
        <v>1878</v>
      </c>
      <c r="B927" s="106" t="s">
        <v>1879</v>
      </c>
      <c r="C927" s="106"/>
      <c r="D927" s="106"/>
      <c r="E927" s="52"/>
    </row>
    <row r="928" spans="1:5" s="103" customFormat="1" ht="13.2" hidden="1" outlineLevel="1" x14ac:dyDescent="0.25">
      <c r="A928" s="106" t="s">
        <v>1880</v>
      </c>
      <c r="B928" s="106" t="s">
        <v>1881</v>
      </c>
      <c r="C928" s="106"/>
      <c r="D928" s="106"/>
      <c r="E928" s="52"/>
    </row>
    <row r="929" spans="1:5" s="103" customFormat="1" ht="13.2" hidden="1" outlineLevel="1" x14ac:dyDescent="0.25">
      <c r="A929" s="106" t="s">
        <v>1882</v>
      </c>
      <c r="B929" s="106" t="s">
        <v>1883</v>
      </c>
      <c r="C929" s="106"/>
      <c r="D929" s="106"/>
      <c r="E929" s="52"/>
    </row>
    <row r="930" spans="1:5" s="103" customFormat="1" ht="13.2" hidden="1" outlineLevel="1" x14ac:dyDescent="0.25">
      <c r="A930" s="106" t="s">
        <v>1884</v>
      </c>
      <c r="B930" s="106" t="s">
        <v>1885</v>
      </c>
      <c r="C930" s="106"/>
      <c r="D930" s="106"/>
      <c r="E930" s="52"/>
    </row>
    <row r="931" spans="1:5" s="103" customFormat="1" ht="13.2" hidden="1" outlineLevel="1" x14ac:dyDescent="0.25">
      <c r="A931" s="106" t="s">
        <v>1886</v>
      </c>
      <c r="B931" s="106" t="s">
        <v>1887</v>
      </c>
      <c r="C931" s="106"/>
      <c r="D931" s="106"/>
      <c r="E931" s="52"/>
    </row>
    <row r="932" spans="1:5" s="103" customFormat="1" ht="13.2" hidden="1" outlineLevel="1" x14ac:dyDescent="0.25">
      <c r="A932" s="106" t="s">
        <v>1888</v>
      </c>
      <c r="B932" s="106" t="s">
        <v>1889</v>
      </c>
      <c r="C932" s="106"/>
      <c r="D932" s="106"/>
      <c r="E932" s="52"/>
    </row>
    <row r="933" spans="1:5" s="103" customFormat="1" ht="13.2" hidden="1" outlineLevel="1" x14ac:dyDescent="0.25">
      <c r="A933" s="106" t="s">
        <v>1890</v>
      </c>
      <c r="B933" s="106" t="s">
        <v>1891</v>
      </c>
      <c r="C933" s="106"/>
      <c r="D933" s="106"/>
      <c r="E933" s="52"/>
    </row>
    <row r="934" spans="1:5" s="103" customFormat="1" ht="13.2" hidden="1" outlineLevel="1" x14ac:dyDescent="0.25">
      <c r="A934" s="106" t="s">
        <v>1892</v>
      </c>
      <c r="B934" s="106" t="s">
        <v>1893</v>
      </c>
      <c r="C934" s="106"/>
      <c r="D934" s="106"/>
      <c r="E934" s="52"/>
    </row>
    <row r="935" spans="1:5" s="103" customFormat="1" ht="13.2" hidden="1" outlineLevel="1" x14ac:dyDescent="0.25">
      <c r="A935" s="106" t="s">
        <v>1894</v>
      </c>
      <c r="B935" s="106" t="s">
        <v>1895</v>
      </c>
      <c r="C935" s="106"/>
      <c r="D935" s="106"/>
      <c r="E935" s="52"/>
    </row>
    <row r="936" spans="1:5" s="103" customFormat="1" ht="13.2" hidden="1" outlineLevel="1" x14ac:dyDescent="0.25">
      <c r="A936" s="106" t="s">
        <v>1896</v>
      </c>
      <c r="B936" s="106" t="s">
        <v>1897</v>
      </c>
      <c r="C936" s="106"/>
      <c r="D936" s="106"/>
      <c r="E936" s="52"/>
    </row>
    <row r="937" spans="1:5" s="103" customFormat="1" ht="13.2" hidden="1" outlineLevel="1" x14ac:dyDescent="0.25">
      <c r="A937" s="106" t="s">
        <v>1898</v>
      </c>
      <c r="B937" s="106" t="s">
        <v>1899</v>
      </c>
      <c r="C937" s="106"/>
      <c r="D937" s="106"/>
      <c r="E937" s="52"/>
    </row>
    <row r="938" spans="1:5" s="103" customFormat="1" ht="13.2" hidden="1" outlineLevel="1" x14ac:dyDescent="0.25">
      <c r="A938" s="106" t="s">
        <v>1900</v>
      </c>
      <c r="B938" s="106" t="s">
        <v>1901</v>
      </c>
      <c r="C938" s="106"/>
      <c r="D938" s="106"/>
      <c r="E938" s="52"/>
    </row>
    <row r="939" spans="1:5" s="103" customFormat="1" ht="13.2" hidden="1" outlineLevel="1" x14ac:dyDescent="0.25">
      <c r="A939" s="106" t="s">
        <v>1902</v>
      </c>
      <c r="B939" s="106" t="s">
        <v>1903</v>
      </c>
      <c r="C939" s="106"/>
      <c r="D939" s="106"/>
      <c r="E939" s="52"/>
    </row>
    <row r="940" spans="1:5" s="103" customFormat="1" ht="13.2" hidden="1" outlineLevel="1" x14ac:dyDescent="0.25">
      <c r="A940" s="106" t="s">
        <v>1904</v>
      </c>
      <c r="B940" s="106" t="s">
        <v>1905</v>
      </c>
      <c r="C940" s="106"/>
      <c r="D940" s="106"/>
      <c r="E940" s="52"/>
    </row>
    <row r="941" spans="1:5" s="103" customFormat="1" ht="13.2" hidden="1" outlineLevel="1" x14ac:dyDescent="0.25">
      <c r="A941" s="106" t="s">
        <v>1906</v>
      </c>
      <c r="B941" s="106" t="s">
        <v>1907</v>
      </c>
      <c r="C941" s="106"/>
      <c r="D941" s="106"/>
      <c r="E941" s="52"/>
    </row>
    <row r="942" spans="1:5" s="103" customFormat="1" ht="13.2" hidden="1" outlineLevel="1" x14ac:dyDescent="0.25">
      <c r="A942" s="106" t="s">
        <v>1908</v>
      </c>
      <c r="B942" s="106" t="s">
        <v>1909</v>
      </c>
      <c r="C942" s="106"/>
      <c r="D942" s="106"/>
      <c r="E942" s="52"/>
    </row>
    <row r="943" spans="1:5" s="103" customFormat="1" ht="13.2" hidden="1" outlineLevel="1" x14ac:dyDescent="0.25">
      <c r="A943" s="106" t="s">
        <v>1910</v>
      </c>
      <c r="B943" s="106" t="s">
        <v>1911</v>
      </c>
      <c r="C943" s="106"/>
      <c r="D943" s="106"/>
      <c r="E943" s="52"/>
    </row>
    <row r="944" spans="1:5" s="103" customFormat="1" ht="13.2" hidden="1" outlineLevel="1" x14ac:dyDescent="0.25">
      <c r="A944" s="106" t="s">
        <v>1912</v>
      </c>
      <c r="B944" s="106" t="s">
        <v>1913</v>
      </c>
      <c r="C944" s="106"/>
      <c r="D944" s="106"/>
      <c r="E944" s="52"/>
    </row>
    <row r="945" spans="1:5" s="103" customFormat="1" ht="13.2" hidden="1" outlineLevel="1" x14ac:dyDescent="0.25">
      <c r="A945" s="106" t="s">
        <v>1914</v>
      </c>
      <c r="B945" s="106" t="s">
        <v>1915</v>
      </c>
      <c r="C945" s="106"/>
      <c r="D945" s="106"/>
      <c r="E945" s="52"/>
    </row>
    <row r="946" spans="1:5" s="103" customFormat="1" ht="13.2" hidden="1" outlineLevel="1" x14ac:dyDescent="0.25">
      <c r="A946" s="106" t="s">
        <v>1916</v>
      </c>
      <c r="B946" s="106" t="s">
        <v>1917</v>
      </c>
      <c r="C946" s="106"/>
      <c r="D946" s="106"/>
      <c r="E946" s="52"/>
    </row>
    <row r="947" spans="1:5" s="103" customFormat="1" ht="13.2" hidden="1" outlineLevel="1" x14ac:dyDescent="0.25">
      <c r="A947" s="106" t="s">
        <v>1918</v>
      </c>
      <c r="B947" s="106" t="s">
        <v>1919</v>
      </c>
      <c r="C947" s="106"/>
      <c r="D947" s="106"/>
      <c r="E947" s="52"/>
    </row>
    <row r="948" spans="1:5" s="103" customFormat="1" ht="13.2" hidden="1" outlineLevel="1" x14ac:dyDescent="0.25">
      <c r="A948" s="106" t="s">
        <v>1920</v>
      </c>
      <c r="B948" s="106" t="s">
        <v>1921</v>
      </c>
      <c r="C948" s="106"/>
      <c r="D948" s="106"/>
      <c r="E948" s="52"/>
    </row>
    <row r="949" spans="1:5" s="103" customFormat="1" ht="13.2" hidden="1" outlineLevel="1" x14ac:dyDescent="0.25">
      <c r="A949" s="106" t="s">
        <v>1922</v>
      </c>
      <c r="B949" s="106" t="s">
        <v>1923</v>
      </c>
      <c r="C949" s="106"/>
      <c r="D949" s="106"/>
      <c r="E949" s="52"/>
    </row>
    <row r="950" spans="1:5" s="103" customFormat="1" ht="13.2" hidden="1" outlineLevel="1" x14ac:dyDescent="0.25">
      <c r="A950" s="106" t="s">
        <v>1924</v>
      </c>
      <c r="B950" s="106" t="s">
        <v>1925</v>
      </c>
      <c r="C950" s="106"/>
      <c r="D950" s="106"/>
      <c r="E950" s="52"/>
    </row>
    <row r="951" spans="1:5" s="103" customFormat="1" ht="13.2" hidden="1" outlineLevel="1" x14ac:dyDescent="0.25">
      <c r="A951" s="106" t="s">
        <v>1926</v>
      </c>
      <c r="B951" s="106" t="s">
        <v>1927</v>
      </c>
      <c r="C951" s="106"/>
      <c r="D951" s="106"/>
      <c r="E951" s="52"/>
    </row>
    <row r="952" spans="1:5" s="103" customFormat="1" ht="13.2" hidden="1" outlineLevel="1" x14ac:dyDescent="0.25">
      <c r="A952" s="106" t="s">
        <v>1928</v>
      </c>
      <c r="B952" s="106" t="s">
        <v>1929</v>
      </c>
      <c r="C952" s="106"/>
      <c r="D952" s="106"/>
      <c r="E952" s="52"/>
    </row>
    <row r="953" spans="1:5" s="103" customFormat="1" ht="13.2" hidden="1" outlineLevel="1" x14ac:dyDescent="0.25">
      <c r="A953" s="106" t="s">
        <v>1930</v>
      </c>
      <c r="B953" s="106" t="s">
        <v>1931</v>
      </c>
      <c r="C953" s="106"/>
      <c r="D953" s="106"/>
      <c r="E953" s="52"/>
    </row>
    <row r="954" spans="1:5" s="103" customFormat="1" ht="13.2" hidden="1" outlineLevel="1" x14ac:dyDescent="0.25">
      <c r="A954" s="106" t="s">
        <v>1932</v>
      </c>
      <c r="B954" s="106" t="s">
        <v>1933</v>
      </c>
      <c r="C954" s="106"/>
      <c r="D954" s="106"/>
      <c r="E954" s="52"/>
    </row>
    <row r="955" spans="1:5" s="103" customFormat="1" ht="13.2" hidden="1" outlineLevel="1" x14ac:dyDescent="0.25">
      <c r="A955" s="106" t="s">
        <v>1934</v>
      </c>
      <c r="B955" s="106" t="s">
        <v>1935</v>
      </c>
      <c r="C955" s="106"/>
      <c r="D955" s="106"/>
      <c r="E955" s="52"/>
    </row>
    <row r="956" spans="1:5" s="103" customFormat="1" ht="13.2" hidden="1" outlineLevel="1" x14ac:dyDescent="0.25">
      <c r="A956" s="106" t="s">
        <v>1936</v>
      </c>
      <c r="B956" s="106" t="s">
        <v>1937</v>
      </c>
      <c r="C956" s="106"/>
      <c r="D956" s="106"/>
      <c r="E956" s="52"/>
    </row>
    <row r="957" spans="1:5" s="103" customFormat="1" ht="13.2" hidden="1" outlineLevel="1" x14ac:dyDescent="0.25">
      <c r="A957" s="106" t="s">
        <v>1938</v>
      </c>
      <c r="B957" s="106" t="s">
        <v>1939</v>
      </c>
      <c r="C957" s="106"/>
      <c r="D957" s="106"/>
      <c r="E957" s="52"/>
    </row>
    <row r="958" spans="1:5" s="103" customFormat="1" ht="13.2" hidden="1" outlineLevel="1" x14ac:dyDescent="0.25">
      <c r="A958" s="106" t="s">
        <v>1940</v>
      </c>
      <c r="B958" s="106" t="s">
        <v>1941</v>
      </c>
      <c r="C958" s="106"/>
      <c r="D958" s="106"/>
      <c r="E958" s="52"/>
    </row>
    <row r="959" spans="1:5" s="103" customFormat="1" ht="13.2" hidden="1" outlineLevel="1" x14ac:dyDescent="0.25">
      <c r="A959" s="106" t="s">
        <v>1942</v>
      </c>
      <c r="B959" s="106" t="s">
        <v>1943</v>
      </c>
      <c r="C959" s="106"/>
      <c r="D959" s="106"/>
      <c r="E959" s="52"/>
    </row>
    <row r="960" spans="1:5" s="103" customFormat="1" ht="13.2" hidden="1" outlineLevel="1" x14ac:dyDescent="0.25">
      <c r="A960" s="106" t="s">
        <v>1944</v>
      </c>
      <c r="B960" s="106" t="s">
        <v>1945</v>
      </c>
      <c r="C960" s="106"/>
      <c r="D960" s="106"/>
      <c r="E960" s="52"/>
    </row>
    <row r="961" spans="1:5" s="103" customFormat="1" ht="13.2" hidden="1" outlineLevel="1" x14ac:dyDescent="0.25">
      <c r="A961" s="106" t="s">
        <v>1946</v>
      </c>
      <c r="B961" s="106" t="s">
        <v>1947</v>
      </c>
      <c r="C961" s="106"/>
      <c r="D961" s="106"/>
      <c r="E961" s="52"/>
    </row>
    <row r="962" spans="1:5" s="103" customFormat="1" ht="13.2" hidden="1" outlineLevel="1" x14ac:dyDescent="0.25">
      <c r="A962" s="106" t="s">
        <v>1948</v>
      </c>
      <c r="B962" s="106" t="s">
        <v>1949</v>
      </c>
      <c r="C962" s="106"/>
      <c r="D962" s="106"/>
      <c r="E962" s="52"/>
    </row>
    <row r="963" spans="1:5" s="103" customFormat="1" ht="13.2" hidden="1" outlineLevel="1" x14ac:dyDescent="0.25">
      <c r="A963" s="106" t="s">
        <v>1950</v>
      </c>
      <c r="B963" s="106" t="s">
        <v>1951</v>
      </c>
      <c r="C963" s="106"/>
      <c r="D963" s="106"/>
      <c r="E963" s="52"/>
    </row>
    <row r="964" spans="1:5" s="103" customFormat="1" ht="13.2" hidden="1" outlineLevel="1" x14ac:dyDescent="0.25">
      <c r="A964" s="106" t="s">
        <v>1952</v>
      </c>
      <c r="B964" s="106" t="s">
        <v>1953</v>
      </c>
      <c r="C964" s="106"/>
      <c r="D964" s="106"/>
      <c r="E964" s="52"/>
    </row>
    <row r="965" spans="1:5" s="103" customFormat="1" ht="13.2" hidden="1" outlineLevel="1" x14ac:dyDescent="0.25">
      <c r="A965" s="106" t="s">
        <v>1954</v>
      </c>
      <c r="B965" s="106" t="s">
        <v>1955</v>
      </c>
      <c r="C965" s="106"/>
      <c r="D965" s="106"/>
      <c r="E965" s="52"/>
    </row>
    <row r="966" spans="1:5" s="103" customFormat="1" ht="13.2" hidden="1" outlineLevel="1" x14ac:dyDescent="0.25">
      <c r="A966" s="106" t="s">
        <v>1956</v>
      </c>
      <c r="B966" s="106" t="s">
        <v>1957</v>
      </c>
      <c r="C966" s="106"/>
      <c r="D966" s="106"/>
      <c r="E966" s="52"/>
    </row>
    <row r="967" spans="1:5" s="103" customFormat="1" ht="13.2" hidden="1" outlineLevel="1" x14ac:dyDescent="0.25">
      <c r="A967" s="106" t="s">
        <v>1958</v>
      </c>
      <c r="B967" s="106" t="s">
        <v>1959</v>
      </c>
      <c r="C967" s="106"/>
      <c r="D967" s="106"/>
      <c r="E967" s="52"/>
    </row>
    <row r="968" spans="1:5" s="103" customFormat="1" ht="13.2" hidden="1" outlineLevel="1" x14ac:dyDescent="0.25">
      <c r="A968" s="106" t="s">
        <v>1960</v>
      </c>
      <c r="B968" s="106" t="s">
        <v>1961</v>
      </c>
      <c r="C968" s="106"/>
      <c r="D968" s="106"/>
      <c r="E968" s="52"/>
    </row>
    <row r="969" spans="1:5" s="103" customFormat="1" ht="13.2" hidden="1" outlineLevel="1" x14ac:dyDescent="0.25">
      <c r="A969" s="106" t="s">
        <v>1962</v>
      </c>
      <c r="B969" s="106" t="s">
        <v>1963</v>
      </c>
      <c r="C969" s="106"/>
      <c r="D969" s="106"/>
      <c r="E969" s="52"/>
    </row>
    <row r="970" spans="1:5" s="103" customFormat="1" ht="13.2" hidden="1" outlineLevel="1" x14ac:dyDescent="0.25">
      <c r="A970" s="106" t="s">
        <v>1964</v>
      </c>
      <c r="B970" s="106" t="s">
        <v>1965</v>
      </c>
      <c r="C970" s="106"/>
      <c r="D970" s="106"/>
      <c r="E970" s="52"/>
    </row>
    <row r="971" spans="1:5" s="103" customFormat="1" ht="13.2" hidden="1" outlineLevel="1" x14ac:dyDescent="0.25">
      <c r="A971" s="106" t="s">
        <v>1966</v>
      </c>
      <c r="B971" s="106" t="s">
        <v>1967</v>
      </c>
      <c r="C971" s="106"/>
      <c r="D971" s="106"/>
      <c r="E971" s="52"/>
    </row>
    <row r="972" spans="1:5" s="103" customFormat="1" ht="13.2" hidden="1" outlineLevel="1" x14ac:dyDescent="0.25">
      <c r="A972" s="106" t="s">
        <v>1968</v>
      </c>
      <c r="B972" s="106" t="s">
        <v>1969</v>
      </c>
      <c r="C972" s="106"/>
      <c r="D972" s="106"/>
      <c r="E972" s="52"/>
    </row>
    <row r="973" spans="1:5" s="103" customFormat="1" ht="13.2" hidden="1" outlineLevel="1" x14ac:dyDescent="0.25">
      <c r="A973" s="106" t="s">
        <v>1970</v>
      </c>
      <c r="B973" s="106" t="s">
        <v>1971</v>
      </c>
      <c r="C973" s="106"/>
      <c r="D973" s="106"/>
      <c r="E973" s="52"/>
    </row>
    <row r="974" spans="1:5" s="103" customFormat="1" ht="13.2" hidden="1" outlineLevel="1" x14ac:dyDescent="0.25">
      <c r="A974" s="106" t="s">
        <v>1972</v>
      </c>
      <c r="B974" s="106" t="s">
        <v>1973</v>
      </c>
      <c r="C974" s="106"/>
      <c r="D974" s="106"/>
      <c r="E974" s="52"/>
    </row>
    <row r="975" spans="1:5" s="103" customFormat="1" ht="13.2" hidden="1" outlineLevel="1" x14ac:dyDescent="0.25">
      <c r="A975" s="106" t="s">
        <v>1974</v>
      </c>
      <c r="B975" s="106" t="s">
        <v>1975</v>
      </c>
      <c r="C975" s="106"/>
      <c r="D975" s="106"/>
      <c r="E975" s="52"/>
    </row>
    <row r="976" spans="1:5" s="103" customFormat="1" ht="13.2" hidden="1" outlineLevel="1" x14ac:dyDescent="0.25">
      <c r="A976" s="106" t="s">
        <v>1976</v>
      </c>
      <c r="B976" s="106" t="s">
        <v>1977</v>
      </c>
      <c r="C976" s="106"/>
      <c r="D976" s="106"/>
      <c r="E976" s="52"/>
    </row>
    <row r="977" spans="1:5" s="103" customFormat="1" ht="13.2" hidden="1" outlineLevel="1" x14ac:dyDescent="0.25">
      <c r="A977" s="106" t="s">
        <v>1978</v>
      </c>
      <c r="B977" s="106" t="s">
        <v>1979</v>
      </c>
      <c r="C977" s="106"/>
      <c r="D977" s="106"/>
      <c r="E977" s="52"/>
    </row>
    <row r="978" spans="1:5" s="103" customFormat="1" ht="13.2" hidden="1" outlineLevel="1" x14ac:dyDescent="0.25">
      <c r="A978" s="106" t="s">
        <v>1980</v>
      </c>
      <c r="B978" s="106" t="s">
        <v>1981</v>
      </c>
      <c r="C978" s="106"/>
      <c r="D978" s="106"/>
      <c r="E978" s="52"/>
    </row>
    <row r="979" spans="1:5" s="103" customFormat="1" ht="13.2" hidden="1" outlineLevel="1" x14ac:dyDescent="0.25">
      <c r="A979" s="106" t="s">
        <v>1982</v>
      </c>
      <c r="B979" s="106" t="s">
        <v>1983</v>
      </c>
      <c r="C979" s="106"/>
      <c r="D979" s="106"/>
      <c r="E979" s="52"/>
    </row>
    <row r="980" spans="1:5" s="103" customFormat="1" ht="13.2" hidden="1" outlineLevel="1" x14ac:dyDescent="0.25">
      <c r="A980" s="106" t="s">
        <v>1984</v>
      </c>
      <c r="B980" s="106" t="s">
        <v>1985</v>
      </c>
      <c r="C980" s="106"/>
      <c r="D980" s="106"/>
      <c r="E980" s="52"/>
    </row>
    <row r="981" spans="1:5" s="103" customFormat="1" ht="13.2" hidden="1" outlineLevel="1" x14ac:dyDescent="0.25">
      <c r="A981" s="106" t="s">
        <v>1986</v>
      </c>
      <c r="B981" s="106" t="s">
        <v>1987</v>
      </c>
      <c r="C981" s="106"/>
      <c r="D981" s="106"/>
      <c r="E981" s="52"/>
    </row>
    <row r="982" spans="1:5" s="103" customFormat="1" ht="13.2" hidden="1" outlineLevel="1" x14ac:dyDescent="0.25">
      <c r="A982" s="106" t="s">
        <v>1988</v>
      </c>
      <c r="B982" s="106" t="s">
        <v>1989</v>
      </c>
      <c r="C982" s="106"/>
      <c r="D982" s="106"/>
      <c r="E982" s="52"/>
    </row>
    <row r="983" spans="1:5" s="103" customFormat="1" ht="13.2" hidden="1" outlineLevel="1" x14ac:dyDescent="0.25">
      <c r="A983" s="106" t="s">
        <v>1990</v>
      </c>
      <c r="B983" s="106" t="s">
        <v>1991</v>
      </c>
      <c r="C983" s="106"/>
      <c r="D983" s="106"/>
      <c r="E983" s="52"/>
    </row>
    <row r="984" spans="1:5" s="103" customFormat="1" ht="13.2" hidden="1" outlineLevel="1" x14ac:dyDescent="0.25">
      <c r="A984" s="106" t="s">
        <v>1992</v>
      </c>
      <c r="B984" s="106" t="s">
        <v>1993</v>
      </c>
      <c r="C984" s="106"/>
      <c r="D984" s="106"/>
      <c r="E984" s="52"/>
    </row>
    <row r="985" spans="1:5" s="103" customFormat="1" ht="13.2" hidden="1" outlineLevel="1" x14ac:dyDescent="0.25">
      <c r="A985" s="106" t="s">
        <v>1994</v>
      </c>
      <c r="B985" s="106" t="s">
        <v>1995</v>
      </c>
      <c r="C985" s="106"/>
      <c r="D985" s="106"/>
      <c r="E985" s="52"/>
    </row>
    <row r="986" spans="1:5" s="103" customFormat="1" ht="13.2" hidden="1" outlineLevel="1" x14ac:dyDescent="0.25">
      <c r="A986" s="106" t="s">
        <v>1996</v>
      </c>
      <c r="B986" s="106" t="s">
        <v>1997</v>
      </c>
      <c r="C986" s="106"/>
      <c r="D986" s="106"/>
      <c r="E986" s="52"/>
    </row>
    <row r="987" spans="1:5" s="103" customFormat="1" ht="13.2" hidden="1" outlineLevel="1" x14ac:dyDescent="0.25">
      <c r="A987" s="106" t="s">
        <v>1998</v>
      </c>
      <c r="B987" s="106" t="s">
        <v>1999</v>
      </c>
      <c r="C987" s="106"/>
      <c r="D987" s="106"/>
      <c r="E987" s="52"/>
    </row>
    <row r="988" spans="1:5" s="103" customFormat="1" ht="13.2" hidden="1" outlineLevel="1" x14ac:dyDescent="0.25">
      <c r="A988" s="106" t="s">
        <v>2000</v>
      </c>
      <c r="B988" s="106" t="s">
        <v>2001</v>
      </c>
      <c r="C988" s="106"/>
      <c r="D988" s="106"/>
      <c r="E988" s="52"/>
    </row>
    <row r="989" spans="1:5" s="103" customFormat="1" ht="13.2" hidden="1" outlineLevel="1" x14ac:dyDescent="0.25">
      <c r="A989" s="106" t="s">
        <v>2002</v>
      </c>
      <c r="B989" s="106" t="s">
        <v>2003</v>
      </c>
      <c r="C989" s="106"/>
      <c r="D989" s="106"/>
      <c r="E989" s="52"/>
    </row>
    <row r="990" spans="1:5" s="103" customFormat="1" ht="13.2" hidden="1" outlineLevel="1" x14ac:dyDescent="0.25">
      <c r="A990" s="106" t="s">
        <v>2004</v>
      </c>
      <c r="B990" s="106" t="s">
        <v>2005</v>
      </c>
      <c r="C990" s="106"/>
      <c r="D990" s="106"/>
      <c r="E990" s="52"/>
    </row>
    <row r="991" spans="1:5" s="103" customFormat="1" ht="13.2" hidden="1" outlineLevel="1" x14ac:dyDescent="0.25">
      <c r="A991" s="106" t="s">
        <v>2006</v>
      </c>
      <c r="B991" s="106" t="s">
        <v>2007</v>
      </c>
      <c r="C991" s="106"/>
      <c r="D991" s="106"/>
      <c r="E991" s="52"/>
    </row>
    <row r="992" spans="1:5" s="103" customFormat="1" ht="13.2" hidden="1" outlineLevel="1" x14ac:dyDescent="0.25">
      <c r="A992" s="106" t="s">
        <v>2008</v>
      </c>
      <c r="B992" s="106" t="s">
        <v>2009</v>
      </c>
      <c r="C992" s="106"/>
      <c r="D992" s="106"/>
      <c r="E992" s="52"/>
    </row>
    <row r="993" spans="1:5" s="103" customFormat="1" ht="13.2" hidden="1" outlineLevel="1" x14ac:dyDescent="0.25">
      <c r="A993" s="106" t="s">
        <v>2010</v>
      </c>
      <c r="B993" s="106" t="s">
        <v>2011</v>
      </c>
      <c r="C993" s="106"/>
      <c r="D993" s="106"/>
      <c r="E993" s="52"/>
    </row>
    <row r="994" spans="1:5" s="103" customFormat="1" ht="13.2" hidden="1" outlineLevel="1" x14ac:dyDescent="0.25">
      <c r="A994" s="106" t="s">
        <v>2012</v>
      </c>
      <c r="B994" s="106" t="s">
        <v>2013</v>
      </c>
      <c r="C994" s="106"/>
      <c r="D994" s="106"/>
      <c r="E994" s="52"/>
    </row>
    <row r="995" spans="1:5" s="103" customFormat="1" ht="13.2" hidden="1" outlineLevel="1" x14ac:dyDescent="0.25">
      <c r="A995" s="106" t="s">
        <v>2014</v>
      </c>
      <c r="B995" s="106" t="s">
        <v>2015</v>
      </c>
      <c r="C995" s="106"/>
      <c r="D995" s="106"/>
      <c r="E995" s="52"/>
    </row>
    <row r="996" spans="1:5" s="103" customFormat="1" ht="13.2" hidden="1" outlineLevel="1" x14ac:dyDescent="0.25">
      <c r="A996" s="106" t="s">
        <v>2016</v>
      </c>
      <c r="B996" s="106" t="s">
        <v>2017</v>
      </c>
      <c r="C996" s="106"/>
      <c r="D996" s="106"/>
      <c r="E996" s="52"/>
    </row>
    <row r="997" spans="1:5" s="103" customFormat="1" ht="13.2" hidden="1" outlineLevel="1" x14ac:dyDescent="0.25">
      <c r="A997" s="106" t="s">
        <v>2018</v>
      </c>
      <c r="B997" s="106" t="s">
        <v>2019</v>
      </c>
      <c r="C997" s="106"/>
      <c r="D997" s="106"/>
      <c r="E997" s="52"/>
    </row>
    <row r="998" spans="1:5" s="103" customFormat="1" ht="13.2" hidden="1" outlineLevel="1" x14ac:dyDescent="0.25">
      <c r="A998" s="106" t="s">
        <v>2020</v>
      </c>
      <c r="B998" s="106" t="s">
        <v>2021</v>
      </c>
      <c r="C998" s="106"/>
      <c r="D998" s="106"/>
      <c r="E998" s="52"/>
    </row>
    <row r="999" spans="1:5" s="103" customFormat="1" ht="13.2" hidden="1" outlineLevel="1" x14ac:dyDescent="0.25">
      <c r="A999" s="106" t="s">
        <v>2022</v>
      </c>
      <c r="B999" s="106" t="s">
        <v>2023</v>
      </c>
      <c r="C999" s="106"/>
      <c r="D999" s="106"/>
      <c r="E999" s="52"/>
    </row>
    <row r="1000" spans="1:5" s="103" customFormat="1" ht="13.2" hidden="1" outlineLevel="1" x14ac:dyDescent="0.25">
      <c r="A1000" s="106" t="s">
        <v>2024</v>
      </c>
      <c r="B1000" s="106" t="s">
        <v>2025</v>
      </c>
      <c r="C1000" s="106"/>
      <c r="D1000" s="106"/>
      <c r="E1000" s="52"/>
    </row>
    <row r="1001" spans="1:5" s="103" customFormat="1" ht="13.2" hidden="1" outlineLevel="1" x14ac:dyDescent="0.25">
      <c r="A1001" s="106" t="s">
        <v>2026</v>
      </c>
      <c r="B1001" s="106" t="s">
        <v>2027</v>
      </c>
      <c r="C1001" s="106"/>
      <c r="D1001" s="106"/>
      <c r="E1001" s="52"/>
    </row>
    <row r="1002" spans="1:5" s="103" customFormat="1" ht="13.2" hidden="1" outlineLevel="1" x14ac:dyDescent="0.25">
      <c r="A1002" s="106" t="s">
        <v>2028</v>
      </c>
      <c r="B1002" s="106" t="s">
        <v>2029</v>
      </c>
      <c r="C1002" s="106"/>
      <c r="D1002" s="106"/>
      <c r="E1002" s="52"/>
    </row>
    <row r="1003" spans="1:5" s="103" customFormat="1" ht="13.2" hidden="1" outlineLevel="1" x14ac:dyDescent="0.25">
      <c r="A1003" s="106" t="s">
        <v>2030</v>
      </c>
      <c r="B1003" s="106" t="s">
        <v>2031</v>
      </c>
      <c r="C1003" s="106"/>
      <c r="D1003" s="106"/>
      <c r="E1003" s="52"/>
    </row>
    <row r="1004" spans="1:5" s="103" customFormat="1" ht="13.2" hidden="1" outlineLevel="1" x14ac:dyDescent="0.25">
      <c r="A1004" s="106" t="s">
        <v>2032</v>
      </c>
      <c r="B1004" s="106" t="s">
        <v>2033</v>
      </c>
      <c r="C1004" s="106"/>
      <c r="D1004" s="106"/>
      <c r="E1004" s="52"/>
    </row>
    <row r="1005" spans="1:5" s="103" customFormat="1" ht="13.2" hidden="1" outlineLevel="1" x14ac:dyDescent="0.25">
      <c r="A1005" s="106" t="s">
        <v>2034</v>
      </c>
      <c r="B1005" s="106" t="s">
        <v>2035</v>
      </c>
      <c r="C1005" s="106"/>
      <c r="D1005" s="106"/>
      <c r="E1005" s="52"/>
    </row>
    <row r="1006" spans="1:5" s="103" customFormat="1" ht="13.2" hidden="1" outlineLevel="1" x14ac:dyDescent="0.25">
      <c r="A1006" s="106" t="s">
        <v>2036</v>
      </c>
      <c r="B1006" s="106" t="s">
        <v>2037</v>
      </c>
      <c r="C1006" s="106"/>
      <c r="D1006" s="106"/>
      <c r="E1006" s="52"/>
    </row>
    <row r="1007" spans="1:5" s="103" customFormat="1" ht="13.2" hidden="1" outlineLevel="1" x14ac:dyDescent="0.25">
      <c r="A1007" s="106" t="s">
        <v>2038</v>
      </c>
      <c r="B1007" s="106" t="s">
        <v>2039</v>
      </c>
      <c r="C1007" s="106"/>
      <c r="D1007" s="106"/>
      <c r="E1007" s="52"/>
    </row>
    <row r="1008" spans="1:5" s="103" customFormat="1" ht="13.2" hidden="1" outlineLevel="1" x14ac:dyDescent="0.25">
      <c r="A1008" s="106" t="s">
        <v>2040</v>
      </c>
      <c r="B1008" s="106" t="s">
        <v>2041</v>
      </c>
      <c r="C1008" s="106"/>
      <c r="D1008" s="106"/>
      <c r="E1008" s="52"/>
    </row>
    <row r="1009" spans="1:5" s="103" customFormat="1" ht="13.2" hidden="1" outlineLevel="1" x14ac:dyDescent="0.25">
      <c r="A1009" s="106" t="s">
        <v>2042</v>
      </c>
      <c r="B1009" s="106" t="s">
        <v>2043</v>
      </c>
      <c r="C1009" s="106"/>
      <c r="D1009" s="106"/>
      <c r="E1009" s="52"/>
    </row>
    <row r="1010" spans="1:5" s="103" customFormat="1" ht="13.2" hidden="1" outlineLevel="1" x14ac:dyDescent="0.25">
      <c r="A1010" s="106" t="s">
        <v>2044</v>
      </c>
      <c r="B1010" s="106" t="s">
        <v>2045</v>
      </c>
      <c r="C1010" s="106"/>
      <c r="D1010" s="106"/>
      <c r="E1010" s="52"/>
    </row>
    <row r="1011" spans="1:5" s="103" customFormat="1" ht="13.2" hidden="1" outlineLevel="1" x14ac:dyDescent="0.25">
      <c r="A1011" s="106" t="s">
        <v>2046</v>
      </c>
      <c r="B1011" s="106" t="s">
        <v>2047</v>
      </c>
      <c r="C1011" s="106"/>
      <c r="D1011" s="106"/>
      <c r="E1011" s="52"/>
    </row>
    <row r="1012" spans="1:5" s="103" customFormat="1" ht="13.2" hidden="1" outlineLevel="1" x14ac:dyDescent="0.25">
      <c r="A1012" s="106" t="s">
        <v>2048</v>
      </c>
      <c r="B1012" s="106" t="s">
        <v>2049</v>
      </c>
      <c r="C1012" s="106"/>
      <c r="D1012" s="106"/>
      <c r="E1012" s="52"/>
    </row>
    <row r="1013" spans="1:5" s="103" customFormat="1" ht="13.2" hidden="1" outlineLevel="1" x14ac:dyDescent="0.25">
      <c r="A1013" s="106" t="s">
        <v>2050</v>
      </c>
      <c r="B1013" s="106" t="s">
        <v>2051</v>
      </c>
      <c r="C1013" s="106"/>
      <c r="D1013" s="106"/>
      <c r="E1013" s="52"/>
    </row>
    <row r="1014" spans="1:5" s="103" customFormat="1" ht="13.2" hidden="1" outlineLevel="1" x14ac:dyDescent="0.25">
      <c r="A1014" s="106" t="s">
        <v>2052</v>
      </c>
      <c r="B1014" s="106" t="s">
        <v>2053</v>
      </c>
      <c r="C1014" s="106"/>
      <c r="D1014" s="106"/>
      <c r="E1014" s="52"/>
    </row>
    <row r="1015" spans="1:5" s="103" customFormat="1" ht="13.2" hidden="1" outlineLevel="1" x14ac:dyDescent="0.25">
      <c r="A1015" s="106" t="s">
        <v>2054</v>
      </c>
      <c r="B1015" s="106" t="s">
        <v>2055</v>
      </c>
      <c r="C1015" s="106"/>
      <c r="D1015" s="106"/>
      <c r="E1015" s="52"/>
    </row>
    <row r="1016" spans="1:5" s="103" customFormat="1" ht="13.2" hidden="1" outlineLevel="1" x14ac:dyDescent="0.25">
      <c r="A1016" s="106" t="s">
        <v>2056</v>
      </c>
      <c r="B1016" s="106" t="s">
        <v>2057</v>
      </c>
      <c r="C1016" s="106"/>
      <c r="D1016" s="106"/>
      <c r="E1016" s="52"/>
    </row>
    <row r="1017" spans="1:5" s="103" customFormat="1" ht="13.2" hidden="1" outlineLevel="1" x14ac:dyDescent="0.25">
      <c r="A1017" s="106" t="s">
        <v>2058</v>
      </c>
      <c r="B1017" s="106" t="s">
        <v>2059</v>
      </c>
      <c r="C1017" s="106"/>
      <c r="D1017" s="106"/>
      <c r="E1017" s="52"/>
    </row>
    <row r="1018" spans="1:5" s="103" customFormat="1" ht="13.2" hidden="1" outlineLevel="1" x14ac:dyDescent="0.25">
      <c r="A1018" s="106" t="s">
        <v>2060</v>
      </c>
      <c r="B1018" s="106" t="s">
        <v>2061</v>
      </c>
      <c r="C1018" s="106"/>
      <c r="D1018" s="106"/>
      <c r="E1018" s="52"/>
    </row>
    <row r="1019" spans="1:5" s="103" customFormat="1" ht="13.2" hidden="1" outlineLevel="1" x14ac:dyDescent="0.25">
      <c r="A1019" s="106" t="s">
        <v>2062</v>
      </c>
      <c r="B1019" s="106" t="s">
        <v>2063</v>
      </c>
      <c r="C1019" s="106"/>
      <c r="D1019" s="106"/>
      <c r="E1019" s="52"/>
    </row>
    <row r="1020" spans="1:5" s="103" customFormat="1" ht="13.2" hidden="1" outlineLevel="1" x14ac:dyDescent="0.25">
      <c r="A1020" s="106" t="s">
        <v>2064</v>
      </c>
      <c r="B1020" s="106" t="s">
        <v>2065</v>
      </c>
      <c r="C1020" s="106"/>
      <c r="D1020" s="106"/>
      <c r="E1020" s="52"/>
    </row>
    <row r="1021" spans="1:5" s="103" customFormat="1" ht="13.2" hidden="1" outlineLevel="1" x14ac:dyDescent="0.25">
      <c r="A1021" s="106" t="s">
        <v>2066</v>
      </c>
      <c r="B1021" s="106" t="s">
        <v>2067</v>
      </c>
      <c r="C1021" s="106"/>
      <c r="D1021" s="106"/>
      <c r="E1021" s="52"/>
    </row>
    <row r="1022" spans="1:5" s="103" customFormat="1" ht="13.2" hidden="1" outlineLevel="1" x14ac:dyDescent="0.25">
      <c r="A1022" s="106" t="s">
        <v>2068</v>
      </c>
      <c r="B1022" s="106" t="s">
        <v>2069</v>
      </c>
      <c r="C1022" s="106"/>
      <c r="D1022" s="106"/>
      <c r="E1022" s="52"/>
    </row>
    <row r="1023" spans="1:5" s="103" customFormat="1" ht="13.2" hidden="1" outlineLevel="1" x14ac:dyDescent="0.25">
      <c r="A1023" s="106" t="s">
        <v>2070</v>
      </c>
      <c r="B1023" s="106" t="s">
        <v>2071</v>
      </c>
      <c r="C1023" s="106"/>
      <c r="D1023" s="106"/>
      <c r="E1023" s="52"/>
    </row>
    <row r="1024" spans="1:5" s="103" customFormat="1" ht="13.2" hidden="1" outlineLevel="1" x14ac:dyDescent="0.25">
      <c r="A1024" s="106" t="s">
        <v>2072</v>
      </c>
      <c r="B1024" s="106" t="s">
        <v>2073</v>
      </c>
      <c r="C1024" s="106"/>
      <c r="D1024" s="106"/>
      <c r="E1024" s="52"/>
    </row>
    <row r="1025" spans="1:5" s="103" customFormat="1" ht="13.2" hidden="1" outlineLevel="1" x14ac:dyDescent="0.25">
      <c r="A1025" s="106" t="s">
        <v>2074</v>
      </c>
      <c r="B1025" s="106" t="s">
        <v>2075</v>
      </c>
      <c r="C1025" s="106"/>
      <c r="D1025" s="106"/>
      <c r="E1025" s="52"/>
    </row>
    <row r="1026" spans="1:5" s="103" customFormat="1" ht="13.2" hidden="1" outlineLevel="1" x14ac:dyDescent="0.25">
      <c r="A1026" s="106" t="s">
        <v>2076</v>
      </c>
      <c r="B1026" s="106" t="s">
        <v>2077</v>
      </c>
      <c r="C1026" s="106"/>
      <c r="D1026" s="106"/>
      <c r="E1026" s="52"/>
    </row>
    <row r="1027" spans="1:5" s="103" customFormat="1" ht="13.2" hidden="1" outlineLevel="1" x14ac:dyDescent="0.25">
      <c r="A1027" s="106" t="s">
        <v>2078</v>
      </c>
      <c r="B1027" s="106" t="s">
        <v>2079</v>
      </c>
      <c r="C1027" s="106"/>
      <c r="D1027" s="106"/>
      <c r="E1027" s="52"/>
    </row>
    <row r="1028" spans="1:5" s="103" customFormat="1" ht="13.2" hidden="1" outlineLevel="1" x14ac:dyDescent="0.25">
      <c r="A1028" s="106" t="s">
        <v>2080</v>
      </c>
      <c r="B1028" s="106" t="s">
        <v>2081</v>
      </c>
      <c r="C1028" s="106"/>
      <c r="D1028" s="106"/>
      <c r="E1028" s="52"/>
    </row>
    <row r="1029" spans="1:5" s="103" customFormat="1" ht="13.2" hidden="1" outlineLevel="1" x14ac:dyDescent="0.25">
      <c r="A1029" s="106" t="s">
        <v>2082</v>
      </c>
      <c r="B1029" s="106" t="s">
        <v>2083</v>
      </c>
      <c r="C1029" s="106"/>
      <c r="D1029" s="106"/>
      <c r="E1029" s="52"/>
    </row>
    <row r="1030" spans="1:5" s="103" customFormat="1" ht="13.2" hidden="1" outlineLevel="1" x14ac:dyDescent="0.25">
      <c r="A1030" s="106" t="s">
        <v>2084</v>
      </c>
      <c r="B1030" s="106" t="s">
        <v>2085</v>
      </c>
      <c r="C1030" s="106"/>
      <c r="D1030" s="106"/>
      <c r="E1030" s="52"/>
    </row>
    <row r="1031" spans="1:5" s="103" customFormat="1" ht="13.2" hidden="1" outlineLevel="1" x14ac:dyDescent="0.25">
      <c r="A1031" s="106" t="s">
        <v>2086</v>
      </c>
      <c r="B1031" s="106" t="s">
        <v>2087</v>
      </c>
      <c r="C1031" s="106"/>
      <c r="D1031" s="106"/>
      <c r="E1031" s="52"/>
    </row>
    <row r="1032" spans="1:5" s="103" customFormat="1" ht="13.2" hidden="1" outlineLevel="1" x14ac:dyDescent="0.25">
      <c r="A1032" s="106" t="s">
        <v>2088</v>
      </c>
      <c r="B1032" s="106" t="s">
        <v>2089</v>
      </c>
      <c r="C1032" s="106"/>
      <c r="D1032" s="106"/>
      <c r="E1032" s="52"/>
    </row>
    <row r="1033" spans="1:5" s="103" customFormat="1" ht="13.2" hidden="1" outlineLevel="1" x14ac:dyDescent="0.25">
      <c r="A1033" s="106" t="s">
        <v>2090</v>
      </c>
      <c r="B1033" s="106" t="s">
        <v>2091</v>
      </c>
      <c r="C1033" s="106"/>
      <c r="D1033" s="106"/>
      <c r="E1033" s="52"/>
    </row>
    <row r="1034" spans="1:5" s="103" customFormat="1" ht="13.2" hidden="1" outlineLevel="1" x14ac:dyDescent="0.25">
      <c r="A1034" s="106" t="s">
        <v>2092</v>
      </c>
      <c r="B1034" s="106" t="s">
        <v>2093</v>
      </c>
      <c r="C1034" s="106"/>
      <c r="D1034" s="106"/>
      <c r="E1034" s="52"/>
    </row>
    <row r="1035" spans="1:5" s="103" customFormat="1" ht="13.2" hidden="1" outlineLevel="1" x14ac:dyDescent="0.25">
      <c r="A1035" s="106" t="s">
        <v>2094</v>
      </c>
      <c r="B1035" s="106" t="s">
        <v>2095</v>
      </c>
      <c r="C1035" s="106"/>
      <c r="D1035" s="106"/>
      <c r="E1035" s="52"/>
    </row>
    <row r="1036" spans="1:5" s="103" customFormat="1" ht="13.2" hidden="1" outlineLevel="1" x14ac:dyDescent="0.25">
      <c r="A1036" s="106" t="s">
        <v>2096</v>
      </c>
      <c r="B1036" s="106" t="s">
        <v>2097</v>
      </c>
      <c r="C1036" s="106"/>
      <c r="D1036" s="106"/>
      <c r="E1036" s="52"/>
    </row>
    <row r="1037" spans="1:5" s="103" customFormat="1" ht="13.2" hidden="1" outlineLevel="1" x14ac:dyDescent="0.25">
      <c r="A1037" s="106" t="s">
        <v>2098</v>
      </c>
      <c r="B1037" s="106" t="s">
        <v>2099</v>
      </c>
      <c r="C1037" s="106"/>
      <c r="D1037" s="106"/>
      <c r="E1037" s="52"/>
    </row>
    <row r="1038" spans="1:5" s="103" customFormat="1" ht="13.2" hidden="1" outlineLevel="1" x14ac:dyDescent="0.25">
      <c r="A1038" s="106" t="s">
        <v>2100</v>
      </c>
      <c r="B1038" s="106" t="s">
        <v>2101</v>
      </c>
      <c r="C1038" s="106"/>
      <c r="D1038" s="106"/>
      <c r="E1038" s="52"/>
    </row>
    <row r="1039" spans="1:5" s="103" customFormat="1" ht="13.2" hidden="1" outlineLevel="1" x14ac:dyDescent="0.25">
      <c r="A1039" s="106" t="s">
        <v>2102</v>
      </c>
      <c r="B1039" s="106" t="s">
        <v>2103</v>
      </c>
      <c r="C1039" s="106"/>
      <c r="D1039" s="106"/>
      <c r="E1039" s="52"/>
    </row>
    <row r="1040" spans="1:5" s="103" customFormat="1" ht="13.2" hidden="1" outlineLevel="1" x14ac:dyDescent="0.25">
      <c r="A1040" s="106" t="s">
        <v>2104</v>
      </c>
      <c r="B1040" s="106" t="s">
        <v>2105</v>
      </c>
      <c r="C1040" s="106"/>
      <c r="D1040" s="106"/>
      <c r="E1040" s="52"/>
    </row>
    <row r="1041" spans="1:5" s="103" customFormat="1" ht="13.2" hidden="1" outlineLevel="1" x14ac:dyDescent="0.25">
      <c r="A1041" s="106" t="s">
        <v>2106</v>
      </c>
      <c r="B1041" s="106" t="s">
        <v>2107</v>
      </c>
      <c r="C1041" s="106"/>
      <c r="D1041" s="106"/>
      <c r="E1041" s="52"/>
    </row>
    <row r="1042" spans="1:5" s="103" customFormat="1" ht="13.2" hidden="1" outlineLevel="1" x14ac:dyDescent="0.25">
      <c r="A1042" s="106" t="s">
        <v>2108</v>
      </c>
      <c r="B1042" s="106" t="s">
        <v>2109</v>
      </c>
      <c r="C1042" s="106"/>
      <c r="D1042" s="106"/>
      <c r="E1042" s="52"/>
    </row>
    <row r="1043" spans="1:5" s="103" customFormat="1" ht="13.2" hidden="1" outlineLevel="1" x14ac:dyDescent="0.25">
      <c r="A1043" s="106" t="s">
        <v>2110</v>
      </c>
      <c r="B1043" s="106" t="s">
        <v>2111</v>
      </c>
      <c r="C1043" s="106"/>
      <c r="D1043" s="106"/>
      <c r="E1043" s="52"/>
    </row>
    <row r="1044" spans="1:5" s="103" customFormat="1" ht="13.2" hidden="1" outlineLevel="1" x14ac:dyDescent="0.25">
      <c r="A1044" s="106" t="s">
        <v>2112</v>
      </c>
      <c r="B1044" s="106" t="s">
        <v>2113</v>
      </c>
      <c r="C1044" s="106"/>
      <c r="D1044" s="106"/>
      <c r="E1044" s="52"/>
    </row>
    <row r="1045" spans="1:5" s="103" customFormat="1" ht="13.2" hidden="1" outlineLevel="1" x14ac:dyDescent="0.25">
      <c r="A1045" s="106" t="s">
        <v>2114</v>
      </c>
      <c r="B1045" s="106" t="s">
        <v>2115</v>
      </c>
      <c r="C1045" s="106"/>
      <c r="D1045" s="106"/>
      <c r="E1045" s="52"/>
    </row>
    <row r="1046" spans="1:5" s="103" customFormat="1" ht="13.2" hidden="1" outlineLevel="1" x14ac:dyDescent="0.25">
      <c r="A1046" s="106" t="s">
        <v>2116</v>
      </c>
      <c r="B1046" s="106" t="s">
        <v>2117</v>
      </c>
      <c r="C1046" s="106"/>
      <c r="D1046" s="106"/>
      <c r="E1046" s="52"/>
    </row>
    <row r="1047" spans="1:5" s="103" customFormat="1" ht="13.2" hidden="1" outlineLevel="1" x14ac:dyDescent="0.25">
      <c r="A1047" s="106" t="s">
        <v>2118</v>
      </c>
      <c r="B1047" s="106" t="s">
        <v>2119</v>
      </c>
      <c r="C1047" s="106"/>
      <c r="D1047" s="106"/>
      <c r="E1047" s="52"/>
    </row>
    <row r="1048" spans="1:5" s="103" customFormat="1" ht="13.2" hidden="1" outlineLevel="1" x14ac:dyDescent="0.25">
      <c r="A1048" s="106" t="s">
        <v>2120</v>
      </c>
      <c r="B1048" s="106" t="s">
        <v>2121</v>
      </c>
      <c r="C1048" s="106"/>
      <c r="D1048" s="106"/>
      <c r="E1048" s="52"/>
    </row>
    <row r="1049" spans="1:5" s="103" customFormat="1" ht="13.2" hidden="1" outlineLevel="1" x14ac:dyDescent="0.25">
      <c r="A1049" s="106" t="s">
        <v>2122</v>
      </c>
      <c r="B1049" s="106" t="s">
        <v>2123</v>
      </c>
      <c r="C1049" s="106"/>
      <c r="D1049" s="106"/>
      <c r="E1049" s="52"/>
    </row>
    <row r="1050" spans="1:5" s="103" customFormat="1" ht="13.2" hidden="1" outlineLevel="1" x14ac:dyDescent="0.25">
      <c r="A1050" s="106" t="s">
        <v>2124</v>
      </c>
      <c r="B1050" s="106" t="s">
        <v>2125</v>
      </c>
      <c r="C1050" s="106"/>
      <c r="D1050" s="106"/>
      <c r="E1050" s="52"/>
    </row>
    <row r="1051" spans="1:5" s="103" customFormat="1" ht="13.2" hidden="1" outlineLevel="1" x14ac:dyDescent="0.25">
      <c r="A1051" s="106" t="s">
        <v>2126</v>
      </c>
      <c r="B1051" s="106" t="s">
        <v>2127</v>
      </c>
      <c r="C1051" s="106"/>
      <c r="D1051" s="106"/>
      <c r="E1051" s="52"/>
    </row>
    <row r="1052" spans="1:5" s="103" customFormat="1" ht="13.2" hidden="1" outlineLevel="1" x14ac:dyDescent="0.25">
      <c r="A1052" s="106" t="s">
        <v>2128</v>
      </c>
      <c r="B1052" s="106" t="s">
        <v>2129</v>
      </c>
      <c r="C1052" s="106"/>
      <c r="D1052" s="106"/>
      <c r="E1052" s="52"/>
    </row>
    <row r="1053" spans="1:5" s="103" customFormat="1" ht="13.2" hidden="1" outlineLevel="1" x14ac:dyDescent="0.25">
      <c r="A1053" s="106" t="s">
        <v>2130</v>
      </c>
      <c r="B1053" s="106" t="s">
        <v>2131</v>
      </c>
      <c r="C1053" s="106"/>
      <c r="D1053" s="106"/>
      <c r="E1053" s="52"/>
    </row>
    <row r="1054" spans="1:5" s="103" customFormat="1" ht="13.2" hidden="1" outlineLevel="1" x14ac:dyDescent="0.25">
      <c r="A1054" s="106" t="s">
        <v>2132</v>
      </c>
      <c r="B1054" s="106" t="s">
        <v>2133</v>
      </c>
      <c r="C1054" s="106"/>
      <c r="D1054" s="106"/>
      <c r="E1054" s="52"/>
    </row>
    <row r="1055" spans="1:5" s="103" customFormat="1" ht="13.2" hidden="1" outlineLevel="1" x14ac:dyDescent="0.25">
      <c r="A1055" s="106" t="s">
        <v>2134</v>
      </c>
      <c r="B1055" s="106" t="s">
        <v>2135</v>
      </c>
      <c r="C1055" s="106"/>
      <c r="D1055" s="106"/>
      <c r="E1055" s="52"/>
    </row>
    <row r="1056" spans="1:5" s="103" customFormat="1" ht="13.2" hidden="1" outlineLevel="1" x14ac:dyDescent="0.25">
      <c r="A1056" s="106" t="s">
        <v>2136</v>
      </c>
      <c r="B1056" s="106" t="s">
        <v>2137</v>
      </c>
      <c r="C1056" s="106"/>
      <c r="D1056" s="106"/>
      <c r="E1056" s="52"/>
    </row>
    <row r="1057" spans="1:5" s="103" customFormat="1" ht="13.2" hidden="1" outlineLevel="1" x14ac:dyDescent="0.25">
      <c r="A1057" s="106" t="s">
        <v>2138</v>
      </c>
      <c r="B1057" s="106" t="s">
        <v>2139</v>
      </c>
      <c r="C1057" s="106"/>
      <c r="D1057" s="106"/>
      <c r="E1057" s="52"/>
    </row>
    <row r="1058" spans="1:5" s="103" customFormat="1" ht="13.2" hidden="1" outlineLevel="1" x14ac:dyDescent="0.25">
      <c r="A1058" s="106" t="s">
        <v>2140</v>
      </c>
      <c r="B1058" s="106" t="s">
        <v>2141</v>
      </c>
      <c r="C1058" s="106"/>
      <c r="D1058" s="106"/>
      <c r="E1058" s="52"/>
    </row>
    <row r="1059" spans="1:5" s="103" customFormat="1" ht="13.2" hidden="1" outlineLevel="1" x14ac:dyDescent="0.25">
      <c r="A1059" s="106" t="s">
        <v>2142</v>
      </c>
      <c r="B1059" s="106" t="s">
        <v>2143</v>
      </c>
      <c r="C1059" s="106"/>
      <c r="D1059" s="106"/>
      <c r="E1059" s="52"/>
    </row>
    <row r="1060" spans="1:5" s="103" customFormat="1" ht="13.2" hidden="1" outlineLevel="1" x14ac:dyDescent="0.25">
      <c r="A1060" s="106" t="s">
        <v>2144</v>
      </c>
      <c r="B1060" s="106" t="s">
        <v>2145</v>
      </c>
      <c r="C1060" s="106"/>
      <c r="D1060" s="106"/>
      <c r="E1060" s="52"/>
    </row>
    <row r="1061" spans="1:5" s="103" customFormat="1" ht="13.2" hidden="1" outlineLevel="1" x14ac:dyDescent="0.25">
      <c r="A1061" s="106" t="s">
        <v>2146</v>
      </c>
      <c r="B1061" s="106" t="s">
        <v>2147</v>
      </c>
      <c r="C1061" s="106"/>
      <c r="D1061" s="106"/>
      <c r="E1061" s="52"/>
    </row>
    <row r="1062" spans="1:5" s="103" customFormat="1" ht="13.2" hidden="1" outlineLevel="1" x14ac:dyDescent="0.25">
      <c r="A1062" s="106" t="s">
        <v>2148</v>
      </c>
      <c r="B1062" s="106" t="s">
        <v>2149</v>
      </c>
      <c r="C1062" s="106"/>
      <c r="D1062" s="106"/>
      <c r="E1062" s="52"/>
    </row>
    <row r="1063" spans="1:5" s="103" customFormat="1" ht="13.2" hidden="1" outlineLevel="1" x14ac:dyDescent="0.25">
      <c r="A1063" s="106" t="s">
        <v>2150</v>
      </c>
      <c r="B1063" s="106" t="s">
        <v>2151</v>
      </c>
      <c r="C1063" s="106"/>
      <c r="D1063" s="106"/>
      <c r="E1063" s="52"/>
    </row>
    <row r="1064" spans="1:5" s="103" customFormat="1" ht="13.2" hidden="1" outlineLevel="1" x14ac:dyDescent="0.25">
      <c r="A1064" s="106" t="s">
        <v>2152</v>
      </c>
      <c r="B1064" s="106" t="s">
        <v>2153</v>
      </c>
      <c r="C1064" s="106"/>
      <c r="D1064" s="106"/>
      <c r="E1064" s="52"/>
    </row>
    <row r="1065" spans="1:5" s="103" customFormat="1" ht="13.2" hidden="1" outlineLevel="1" x14ac:dyDescent="0.25">
      <c r="A1065" s="106" t="s">
        <v>2154</v>
      </c>
      <c r="B1065" s="106" t="s">
        <v>2155</v>
      </c>
      <c r="C1065" s="106"/>
      <c r="D1065" s="106"/>
      <c r="E1065" s="52"/>
    </row>
    <row r="1066" spans="1:5" s="103" customFormat="1" ht="13.2" hidden="1" outlineLevel="1" x14ac:dyDescent="0.25">
      <c r="A1066" s="106" t="s">
        <v>2156</v>
      </c>
      <c r="B1066" s="106" t="s">
        <v>2157</v>
      </c>
      <c r="C1066" s="106"/>
      <c r="D1066" s="106"/>
      <c r="E1066" s="52"/>
    </row>
    <row r="1067" spans="1:5" s="103" customFormat="1" ht="13.2" hidden="1" outlineLevel="1" x14ac:dyDescent="0.25">
      <c r="A1067" s="106" t="s">
        <v>2158</v>
      </c>
      <c r="B1067" s="106" t="s">
        <v>2159</v>
      </c>
      <c r="C1067" s="106"/>
      <c r="D1067" s="106"/>
      <c r="E1067" s="52"/>
    </row>
    <row r="1068" spans="1:5" s="103" customFormat="1" ht="13.2" hidden="1" outlineLevel="1" x14ac:dyDescent="0.25">
      <c r="A1068" s="106" t="s">
        <v>2160</v>
      </c>
      <c r="B1068" s="106" t="s">
        <v>2161</v>
      </c>
      <c r="C1068" s="106"/>
      <c r="D1068" s="106"/>
      <c r="E1068" s="52"/>
    </row>
    <row r="1069" spans="1:5" s="103" customFormat="1" ht="13.2" hidden="1" outlineLevel="1" x14ac:dyDescent="0.25">
      <c r="A1069" s="106" t="s">
        <v>2162</v>
      </c>
      <c r="B1069" s="106" t="s">
        <v>2163</v>
      </c>
      <c r="C1069" s="106"/>
      <c r="D1069" s="106"/>
      <c r="E1069" s="52"/>
    </row>
    <row r="1070" spans="1:5" s="103" customFormat="1" ht="13.2" hidden="1" outlineLevel="1" x14ac:dyDescent="0.25">
      <c r="A1070" s="106" t="s">
        <v>2164</v>
      </c>
      <c r="B1070" s="106" t="s">
        <v>2165</v>
      </c>
      <c r="C1070" s="106"/>
      <c r="D1070" s="106"/>
      <c r="E1070" s="52"/>
    </row>
    <row r="1071" spans="1:5" s="103" customFormat="1" ht="13.2" collapsed="1" x14ac:dyDescent="0.25">
      <c r="A1071" s="104" t="s">
        <v>2166</v>
      </c>
      <c r="B1071" s="105" t="s">
        <v>2167</v>
      </c>
      <c r="C1071" s="105"/>
      <c r="D1071" s="105"/>
      <c r="E1071" s="51"/>
    </row>
    <row r="1072" spans="1:5" s="103" customFormat="1" ht="13.2" hidden="1" outlineLevel="1" x14ac:dyDescent="0.25">
      <c r="A1072" s="106" t="s">
        <v>2168</v>
      </c>
      <c r="B1072" s="106" t="s">
        <v>2169</v>
      </c>
      <c r="C1072" s="106"/>
      <c r="D1072" s="106"/>
      <c r="E1072" s="52"/>
    </row>
    <row r="1073" spans="1:5" s="103" customFormat="1" ht="13.2" hidden="1" outlineLevel="1" x14ac:dyDescent="0.25">
      <c r="A1073" s="106" t="s">
        <v>2170</v>
      </c>
      <c r="B1073" s="106" t="s">
        <v>2171</v>
      </c>
      <c r="C1073" s="106"/>
      <c r="D1073" s="106"/>
      <c r="E1073" s="52"/>
    </row>
    <row r="1074" spans="1:5" s="103" customFormat="1" ht="13.2" hidden="1" outlineLevel="1" x14ac:dyDescent="0.25">
      <c r="A1074" s="106" t="s">
        <v>2172</v>
      </c>
      <c r="B1074" s="106" t="s">
        <v>2173</v>
      </c>
      <c r="C1074" s="106"/>
      <c r="D1074" s="106"/>
      <c r="E1074" s="52"/>
    </row>
    <row r="1075" spans="1:5" s="103" customFormat="1" ht="13.2" hidden="1" outlineLevel="1" x14ac:dyDescent="0.25">
      <c r="A1075" s="106" t="s">
        <v>2174</v>
      </c>
      <c r="B1075" s="106" t="s">
        <v>2175</v>
      </c>
      <c r="C1075" s="106"/>
      <c r="D1075" s="106"/>
      <c r="E1075" s="52"/>
    </row>
    <row r="1076" spans="1:5" s="103" customFormat="1" ht="13.2" hidden="1" outlineLevel="1" x14ac:dyDescent="0.25">
      <c r="A1076" s="106" t="s">
        <v>2176</v>
      </c>
      <c r="B1076" s="106" t="s">
        <v>2177</v>
      </c>
      <c r="C1076" s="106"/>
      <c r="D1076" s="106"/>
      <c r="E1076" s="52"/>
    </row>
    <row r="1077" spans="1:5" s="103" customFormat="1" ht="13.2" hidden="1" outlineLevel="1" x14ac:dyDescent="0.25">
      <c r="A1077" s="106" t="s">
        <v>2178</v>
      </c>
      <c r="B1077" s="106" t="s">
        <v>2179</v>
      </c>
      <c r="C1077" s="106"/>
      <c r="D1077" s="106"/>
      <c r="E1077" s="52"/>
    </row>
    <row r="1078" spans="1:5" s="103" customFormat="1" ht="13.2" hidden="1" outlineLevel="1" x14ac:dyDescent="0.25">
      <c r="A1078" s="106" t="s">
        <v>2180</v>
      </c>
      <c r="B1078" s="106" t="s">
        <v>2181</v>
      </c>
      <c r="C1078" s="106"/>
      <c r="D1078" s="106"/>
      <c r="E1078" s="52"/>
    </row>
    <row r="1079" spans="1:5" s="103" customFormat="1" ht="13.2" hidden="1" outlineLevel="1" x14ac:dyDescent="0.25">
      <c r="A1079" s="106" t="s">
        <v>2182</v>
      </c>
      <c r="B1079" s="106" t="s">
        <v>2183</v>
      </c>
      <c r="C1079" s="106"/>
      <c r="D1079" s="106"/>
      <c r="E1079" s="52"/>
    </row>
    <row r="1080" spans="1:5" s="103" customFormat="1" ht="13.2" hidden="1" outlineLevel="1" x14ac:dyDescent="0.25">
      <c r="A1080" s="106" t="s">
        <v>2184</v>
      </c>
      <c r="B1080" s="106" t="s">
        <v>2185</v>
      </c>
      <c r="C1080" s="106"/>
      <c r="D1080" s="106"/>
      <c r="E1080" s="52"/>
    </row>
    <row r="1081" spans="1:5" s="103" customFormat="1" ht="13.2" hidden="1" outlineLevel="1" x14ac:dyDescent="0.25">
      <c r="A1081" s="106" t="s">
        <v>2186</v>
      </c>
      <c r="B1081" s="106" t="s">
        <v>2187</v>
      </c>
      <c r="C1081" s="106"/>
      <c r="D1081" s="106"/>
      <c r="E1081" s="52"/>
    </row>
    <row r="1082" spans="1:5" s="103" customFormat="1" ht="13.2" hidden="1" outlineLevel="1" x14ac:dyDescent="0.25">
      <c r="A1082" s="106" t="s">
        <v>2188</v>
      </c>
      <c r="B1082" s="106" t="s">
        <v>2189</v>
      </c>
      <c r="C1082" s="106"/>
      <c r="D1082" s="106"/>
      <c r="E1082" s="52"/>
    </row>
    <row r="1083" spans="1:5" s="103" customFormat="1" ht="13.2" hidden="1" outlineLevel="1" x14ac:dyDescent="0.25">
      <c r="A1083" s="106" t="s">
        <v>2190</v>
      </c>
      <c r="B1083" s="106" t="s">
        <v>2191</v>
      </c>
      <c r="C1083" s="106"/>
      <c r="D1083" s="106"/>
      <c r="E1083" s="52"/>
    </row>
    <row r="1084" spans="1:5" s="103" customFormat="1" ht="13.2" hidden="1" outlineLevel="1" x14ac:dyDescent="0.25">
      <c r="A1084" s="106" t="s">
        <v>2192</v>
      </c>
      <c r="B1084" s="106" t="s">
        <v>2193</v>
      </c>
      <c r="C1084" s="106"/>
      <c r="D1084" s="106"/>
      <c r="E1084" s="52"/>
    </row>
    <row r="1085" spans="1:5" s="103" customFormat="1" ht="13.2" hidden="1" outlineLevel="1" x14ac:dyDescent="0.25">
      <c r="A1085" s="106" t="s">
        <v>2194</v>
      </c>
      <c r="B1085" s="106" t="s">
        <v>2195</v>
      </c>
      <c r="C1085" s="106"/>
      <c r="D1085" s="106"/>
      <c r="E1085" s="52"/>
    </row>
    <row r="1086" spans="1:5" s="103" customFormat="1" ht="13.2" hidden="1" outlineLevel="1" x14ac:dyDescent="0.25">
      <c r="A1086" s="106" t="s">
        <v>2196</v>
      </c>
      <c r="B1086" s="106" t="s">
        <v>2197</v>
      </c>
      <c r="C1086" s="106"/>
      <c r="D1086" s="106"/>
      <c r="E1086" s="52"/>
    </row>
    <row r="1087" spans="1:5" s="103" customFormat="1" ht="13.2" hidden="1" outlineLevel="1" x14ac:dyDescent="0.25">
      <c r="A1087" s="106" t="s">
        <v>2198</v>
      </c>
      <c r="B1087" s="106" t="s">
        <v>2199</v>
      </c>
      <c r="C1087" s="106"/>
      <c r="D1087" s="106"/>
      <c r="E1087" s="52"/>
    </row>
    <row r="1088" spans="1:5" s="103" customFormat="1" ht="13.2" hidden="1" outlineLevel="1" x14ac:dyDescent="0.25">
      <c r="A1088" s="106" t="s">
        <v>2200</v>
      </c>
      <c r="B1088" s="106" t="s">
        <v>2201</v>
      </c>
      <c r="C1088" s="106"/>
      <c r="D1088" s="106"/>
      <c r="E1088" s="52"/>
    </row>
    <row r="1089" spans="1:5" s="103" customFormat="1" ht="13.2" hidden="1" outlineLevel="1" x14ac:dyDescent="0.25">
      <c r="A1089" s="106" t="s">
        <v>2202</v>
      </c>
      <c r="B1089" s="106" t="s">
        <v>2203</v>
      </c>
      <c r="C1089" s="106"/>
      <c r="D1089" s="106"/>
      <c r="E1089" s="52"/>
    </row>
    <row r="1090" spans="1:5" s="103" customFormat="1" ht="13.2" hidden="1" outlineLevel="1" x14ac:dyDescent="0.25">
      <c r="A1090" s="106" t="s">
        <v>2204</v>
      </c>
      <c r="B1090" s="106" t="s">
        <v>2205</v>
      </c>
      <c r="C1090" s="106"/>
      <c r="D1090" s="106"/>
      <c r="E1090" s="52"/>
    </row>
    <row r="1091" spans="1:5" s="103" customFormat="1" ht="13.2" hidden="1" outlineLevel="1" x14ac:dyDescent="0.25">
      <c r="A1091" s="106" t="s">
        <v>2206</v>
      </c>
      <c r="B1091" s="106" t="s">
        <v>2207</v>
      </c>
      <c r="C1091" s="106"/>
      <c r="D1091" s="106"/>
      <c r="E1091" s="52"/>
    </row>
    <row r="1092" spans="1:5" s="103" customFormat="1" ht="13.2" hidden="1" outlineLevel="1" x14ac:dyDescent="0.25">
      <c r="A1092" s="106" t="s">
        <v>2208</v>
      </c>
      <c r="B1092" s="106" t="s">
        <v>2209</v>
      </c>
      <c r="C1092" s="106"/>
      <c r="D1092" s="106"/>
      <c r="E1092" s="52"/>
    </row>
    <row r="1093" spans="1:5" s="103" customFormat="1" ht="13.2" hidden="1" outlineLevel="1" x14ac:dyDescent="0.25">
      <c r="A1093" s="106" t="s">
        <v>2210</v>
      </c>
      <c r="B1093" s="106" t="s">
        <v>2211</v>
      </c>
      <c r="C1093" s="106"/>
      <c r="D1093" s="106"/>
      <c r="E1093" s="52"/>
    </row>
    <row r="1094" spans="1:5" s="103" customFormat="1" ht="13.2" hidden="1" outlineLevel="1" x14ac:dyDescent="0.25">
      <c r="A1094" s="106" t="s">
        <v>2212</v>
      </c>
      <c r="B1094" s="106" t="s">
        <v>2213</v>
      </c>
      <c r="C1094" s="106"/>
      <c r="D1094" s="106"/>
      <c r="E1094" s="52"/>
    </row>
    <row r="1095" spans="1:5" s="103" customFormat="1" ht="13.2" hidden="1" outlineLevel="1" x14ac:dyDescent="0.25">
      <c r="A1095" s="106" t="s">
        <v>2214</v>
      </c>
      <c r="B1095" s="106" t="s">
        <v>2215</v>
      </c>
      <c r="C1095" s="106"/>
      <c r="D1095" s="106"/>
      <c r="E1095" s="52"/>
    </row>
    <row r="1096" spans="1:5" s="103" customFormat="1" ht="13.2" hidden="1" outlineLevel="1" x14ac:dyDescent="0.25">
      <c r="A1096" s="106" t="s">
        <v>2216</v>
      </c>
      <c r="B1096" s="106" t="s">
        <v>2217</v>
      </c>
      <c r="C1096" s="106"/>
      <c r="D1096" s="106"/>
      <c r="E1096" s="52"/>
    </row>
    <row r="1097" spans="1:5" s="103" customFormat="1" ht="13.2" hidden="1" outlineLevel="1" x14ac:dyDescent="0.25">
      <c r="A1097" s="106" t="s">
        <v>2218</v>
      </c>
      <c r="B1097" s="106" t="s">
        <v>2219</v>
      </c>
      <c r="C1097" s="106"/>
      <c r="D1097" s="106"/>
      <c r="E1097" s="52"/>
    </row>
    <row r="1098" spans="1:5" s="103" customFormat="1" ht="13.2" hidden="1" outlineLevel="1" x14ac:dyDescent="0.25">
      <c r="A1098" s="106" t="s">
        <v>2220</v>
      </c>
      <c r="B1098" s="106" t="s">
        <v>2221</v>
      </c>
      <c r="C1098" s="106"/>
      <c r="D1098" s="106"/>
      <c r="E1098" s="52"/>
    </row>
    <row r="1099" spans="1:5" s="103" customFormat="1" ht="13.2" hidden="1" outlineLevel="1" x14ac:dyDescent="0.25">
      <c r="A1099" s="106" t="s">
        <v>2222</v>
      </c>
      <c r="B1099" s="106" t="s">
        <v>2223</v>
      </c>
      <c r="C1099" s="106"/>
      <c r="D1099" s="106"/>
      <c r="E1099" s="52"/>
    </row>
    <row r="1100" spans="1:5" s="103" customFormat="1" ht="13.2" hidden="1" outlineLevel="1" x14ac:dyDescent="0.25">
      <c r="A1100" s="106" t="s">
        <v>2224</v>
      </c>
      <c r="B1100" s="106" t="s">
        <v>2225</v>
      </c>
      <c r="C1100" s="106"/>
      <c r="D1100" s="106"/>
      <c r="E1100" s="52"/>
    </row>
    <row r="1101" spans="1:5" s="103" customFormat="1" ht="13.2" hidden="1" outlineLevel="1" x14ac:dyDescent="0.25">
      <c r="A1101" s="106" t="s">
        <v>2226</v>
      </c>
      <c r="B1101" s="106" t="s">
        <v>2227</v>
      </c>
      <c r="C1101" s="106"/>
      <c r="D1101" s="106"/>
      <c r="E1101" s="52"/>
    </row>
    <row r="1102" spans="1:5" s="103" customFormat="1" ht="13.2" hidden="1" outlineLevel="1" x14ac:dyDescent="0.25">
      <c r="A1102" s="106" t="s">
        <v>2228</v>
      </c>
      <c r="B1102" s="106" t="s">
        <v>2229</v>
      </c>
      <c r="C1102" s="106"/>
      <c r="D1102" s="106"/>
      <c r="E1102" s="52"/>
    </row>
    <row r="1103" spans="1:5" s="103" customFormat="1" ht="13.2" hidden="1" outlineLevel="1" x14ac:dyDescent="0.25">
      <c r="A1103" s="106" t="s">
        <v>2230</v>
      </c>
      <c r="B1103" s="106" t="s">
        <v>2231</v>
      </c>
      <c r="C1103" s="106"/>
      <c r="D1103" s="106"/>
      <c r="E1103" s="52"/>
    </row>
    <row r="1104" spans="1:5" s="103" customFormat="1" ht="13.2" hidden="1" outlineLevel="1" x14ac:dyDescent="0.25">
      <c r="A1104" s="106" t="s">
        <v>2232</v>
      </c>
      <c r="B1104" s="106" t="s">
        <v>2233</v>
      </c>
      <c r="C1104" s="106"/>
      <c r="D1104" s="106"/>
      <c r="E1104" s="52"/>
    </row>
    <row r="1105" spans="1:5" s="103" customFormat="1" ht="13.2" hidden="1" outlineLevel="1" x14ac:dyDescent="0.25">
      <c r="A1105" s="106" t="s">
        <v>2234</v>
      </c>
      <c r="B1105" s="106" t="s">
        <v>2235</v>
      </c>
      <c r="C1105" s="106"/>
      <c r="D1105" s="106"/>
      <c r="E1105" s="52"/>
    </row>
    <row r="1106" spans="1:5" s="103" customFormat="1" ht="13.2" hidden="1" outlineLevel="1" x14ac:dyDescent="0.25">
      <c r="A1106" s="106" t="s">
        <v>2236</v>
      </c>
      <c r="B1106" s="106" t="s">
        <v>2237</v>
      </c>
      <c r="C1106" s="106"/>
      <c r="D1106" s="106"/>
      <c r="E1106" s="52"/>
    </row>
    <row r="1107" spans="1:5" s="103" customFormat="1" ht="13.2" hidden="1" outlineLevel="1" x14ac:dyDescent="0.25">
      <c r="A1107" s="106" t="s">
        <v>2238</v>
      </c>
      <c r="B1107" s="106" t="s">
        <v>2239</v>
      </c>
      <c r="C1107" s="106"/>
      <c r="D1107" s="106"/>
      <c r="E1107" s="52"/>
    </row>
    <row r="1108" spans="1:5" s="103" customFormat="1" ht="13.2" hidden="1" outlineLevel="1" x14ac:dyDescent="0.25">
      <c r="A1108" s="106" t="s">
        <v>2240</v>
      </c>
      <c r="B1108" s="106" t="s">
        <v>2241</v>
      </c>
      <c r="C1108" s="106"/>
      <c r="D1108" s="106"/>
      <c r="E1108" s="52"/>
    </row>
    <row r="1109" spans="1:5" s="103" customFormat="1" ht="13.2" hidden="1" outlineLevel="1" x14ac:dyDescent="0.25">
      <c r="A1109" s="106" t="s">
        <v>2242</v>
      </c>
      <c r="B1109" s="106" t="s">
        <v>2243</v>
      </c>
      <c r="C1109" s="106"/>
      <c r="D1109" s="106"/>
      <c r="E1109" s="52"/>
    </row>
    <row r="1110" spans="1:5" s="103" customFormat="1" ht="13.2" hidden="1" outlineLevel="1" x14ac:dyDescent="0.25">
      <c r="A1110" s="106" t="s">
        <v>2244</v>
      </c>
      <c r="B1110" s="106" t="s">
        <v>2245</v>
      </c>
      <c r="C1110" s="106"/>
      <c r="D1110" s="106"/>
      <c r="E1110" s="52"/>
    </row>
    <row r="1111" spans="1:5" s="103" customFormat="1" ht="13.2" hidden="1" outlineLevel="1" x14ac:dyDescent="0.25">
      <c r="A1111" s="106" t="s">
        <v>2246</v>
      </c>
      <c r="B1111" s="106" t="s">
        <v>2247</v>
      </c>
      <c r="C1111" s="106"/>
      <c r="D1111" s="106"/>
      <c r="E1111" s="52"/>
    </row>
    <row r="1112" spans="1:5" s="103" customFormat="1" ht="13.2" hidden="1" outlineLevel="1" x14ac:dyDescent="0.25">
      <c r="A1112" s="106" t="s">
        <v>2248</v>
      </c>
      <c r="B1112" s="106" t="s">
        <v>2249</v>
      </c>
      <c r="C1112" s="106"/>
      <c r="D1112" s="106"/>
      <c r="E1112" s="52"/>
    </row>
    <row r="1113" spans="1:5" s="103" customFormat="1" ht="13.2" hidden="1" outlineLevel="1" x14ac:dyDescent="0.25">
      <c r="A1113" s="106" t="s">
        <v>2250</v>
      </c>
      <c r="B1113" s="106" t="s">
        <v>2251</v>
      </c>
      <c r="C1113" s="106"/>
      <c r="D1113" s="106"/>
      <c r="E1113" s="52"/>
    </row>
    <row r="1114" spans="1:5" s="103" customFormat="1" ht="13.2" hidden="1" outlineLevel="1" x14ac:dyDescent="0.25">
      <c r="A1114" s="106" t="s">
        <v>2252</v>
      </c>
      <c r="B1114" s="106" t="s">
        <v>2253</v>
      </c>
      <c r="C1114" s="106"/>
      <c r="D1114" s="106"/>
      <c r="E1114" s="52"/>
    </row>
    <row r="1115" spans="1:5" s="103" customFormat="1" ht="13.2" hidden="1" outlineLevel="1" x14ac:dyDescent="0.25">
      <c r="A1115" s="106" t="s">
        <v>2254</v>
      </c>
      <c r="B1115" s="106" t="s">
        <v>2255</v>
      </c>
      <c r="C1115" s="106"/>
      <c r="D1115" s="106"/>
      <c r="E1115" s="52"/>
    </row>
    <row r="1116" spans="1:5" s="103" customFormat="1" ht="13.2" hidden="1" outlineLevel="1" x14ac:dyDescent="0.25">
      <c r="A1116" s="106" t="s">
        <v>2256</v>
      </c>
      <c r="B1116" s="106" t="s">
        <v>2257</v>
      </c>
      <c r="C1116" s="106"/>
      <c r="D1116" s="106"/>
      <c r="E1116" s="52"/>
    </row>
    <row r="1117" spans="1:5" s="103" customFormat="1" ht="13.2" hidden="1" outlineLevel="1" x14ac:dyDescent="0.25">
      <c r="A1117" s="106" t="s">
        <v>2258</v>
      </c>
      <c r="B1117" s="106" t="s">
        <v>2259</v>
      </c>
      <c r="C1117" s="106"/>
      <c r="D1117" s="106"/>
      <c r="E1117" s="52"/>
    </row>
    <row r="1118" spans="1:5" s="103" customFormat="1" ht="13.2" hidden="1" outlineLevel="1" x14ac:dyDescent="0.25">
      <c r="A1118" s="106" t="s">
        <v>2260</v>
      </c>
      <c r="B1118" s="106" t="s">
        <v>2261</v>
      </c>
      <c r="C1118" s="106"/>
      <c r="D1118" s="106"/>
      <c r="E1118" s="52"/>
    </row>
    <row r="1119" spans="1:5" s="103" customFormat="1" ht="13.2" hidden="1" outlineLevel="1" x14ac:dyDescent="0.25">
      <c r="A1119" s="106" t="s">
        <v>2262</v>
      </c>
      <c r="B1119" s="106" t="s">
        <v>2263</v>
      </c>
      <c r="C1119" s="106"/>
      <c r="D1119" s="106"/>
      <c r="E1119" s="52"/>
    </row>
    <row r="1120" spans="1:5" s="103" customFormat="1" ht="13.2" hidden="1" outlineLevel="1" x14ac:dyDescent="0.25">
      <c r="A1120" s="106" t="s">
        <v>2264</v>
      </c>
      <c r="B1120" s="106" t="s">
        <v>2265</v>
      </c>
      <c r="C1120" s="106"/>
      <c r="D1120" s="106"/>
      <c r="E1120" s="52"/>
    </row>
    <row r="1121" spans="1:5" s="103" customFormat="1" ht="13.2" hidden="1" outlineLevel="1" x14ac:dyDescent="0.25">
      <c r="A1121" s="106" t="s">
        <v>2266</v>
      </c>
      <c r="B1121" s="106" t="s">
        <v>2267</v>
      </c>
      <c r="C1121" s="106"/>
      <c r="D1121" s="106"/>
      <c r="E1121" s="52"/>
    </row>
    <row r="1122" spans="1:5" s="103" customFormat="1" ht="13.2" hidden="1" outlineLevel="1" x14ac:dyDescent="0.25">
      <c r="A1122" s="106" t="s">
        <v>2268</v>
      </c>
      <c r="B1122" s="106" t="s">
        <v>2269</v>
      </c>
      <c r="C1122" s="106"/>
      <c r="D1122" s="106"/>
      <c r="E1122" s="52"/>
    </row>
    <row r="1123" spans="1:5" s="103" customFormat="1" ht="13.2" hidden="1" outlineLevel="1" x14ac:dyDescent="0.25">
      <c r="A1123" s="106" t="s">
        <v>2270</v>
      </c>
      <c r="B1123" s="106" t="s">
        <v>2271</v>
      </c>
      <c r="C1123" s="106"/>
      <c r="D1123" s="106"/>
      <c r="E1123" s="52"/>
    </row>
    <row r="1124" spans="1:5" s="103" customFormat="1" ht="13.2" hidden="1" outlineLevel="1" x14ac:dyDescent="0.25">
      <c r="A1124" s="106" t="s">
        <v>2272</v>
      </c>
      <c r="B1124" s="106" t="s">
        <v>2273</v>
      </c>
      <c r="C1124" s="106"/>
      <c r="D1124" s="106"/>
      <c r="E1124" s="52"/>
    </row>
    <row r="1125" spans="1:5" s="103" customFormat="1" ht="13.2" hidden="1" outlineLevel="1" x14ac:dyDescent="0.25">
      <c r="A1125" s="106" t="s">
        <v>2274</v>
      </c>
      <c r="B1125" s="106" t="s">
        <v>2275</v>
      </c>
      <c r="C1125" s="106"/>
      <c r="D1125" s="106"/>
      <c r="E1125" s="52"/>
    </row>
    <row r="1126" spans="1:5" s="103" customFormat="1" ht="13.2" hidden="1" outlineLevel="1" x14ac:dyDescent="0.25">
      <c r="A1126" s="106" t="s">
        <v>2276</v>
      </c>
      <c r="B1126" s="106" t="s">
        <v>2277</v>
      </c>
      <c r="C1126" s="106"/>
      <c r="D1126" s="106"/>
      <c r="E1126" s="52"/>
    </row>
    <row r="1127" spans="1:5" s="103" customFormat="1" ht="13.2" hidden="1" outlineLevel="1" x14ac:dyDescent="0.25">
      <c r="A1127" s="106" t="s">
        <v>2278</v>
      </c>
      <c r="B1127" s="106" t="s">
        <v>2279</v>
      </c>
      <c r="C1127" s="106"/>
      <c r="D1127" s="106"/>
      <c r="E1127" s="52"/>
    </row>
    <row r="1128" spans="1:5" s="103" customFormat="1" ht="13.2" hidden="1" outlineLevel="1" x14ac:dyDescent="0.25">
      <c r="A1128" s="106" t="s">
        <v>2280</v>
      </c>
      <c r="B1128" s="106" t="s">
        <v>2281</v>
      </c>
      <c r="C1128" s="106"/>
      <c r="D1128" s="106"/>
      <c r="E1128" s="52"/>
    </row>
    <row r="1129" spans="1:5" s="103" customFormat="1" ht="13.2" hidden="1" outlineLevel="1" x14ac:dyDescent="0.25">
      <c r="A1129" s="106" t="s">
        <v>2282</v>
      </c>
      <c r="B1129" s="106" t="s">
        <v>2283</v>
      </c>
      <c r="C1129" s="106"/>
      <c r="D1129" s="106"/>
      <c r="E1129" s="52"/>
    </row>
    <row r="1130" spans="1:5" s="103" customFormat="1" ht="13.2" hidden="1" outlineLevel="1" x14ac:dyDescent="0.25">
      <c r="A1130" s="106" t="s">
        <v>2284</v>
      </c>
      <c r="B1130" s="106" t="s">
        <v>2285</v>
      </c>
      <c r="C1130" s="106"/>
      <c r="D1130" s="106"/>
      <c r="E1130" s="52"/>
    </row>
    <row r="1131" spans="1:5" s="103" customFormat="1" ht="13.2" hidden="1" outlineLevel="1" x14ac:dyDescent="0.25">
      <c r="A1131" s="106" t="s">
        <v>2286</v>
      </c>
      <c r="B1131" s="106" t="s">
        <v>2287</v>
      </c>
      <c r="C1131" s="106"/>
      <c r="D1131" s="106"/>
      <c r="E1131" s="52"/>
    </row>
    <row r="1132" spans="1:5" s="103" customFormat="1" ht="13.2" hidden="1" outlineLevel="1" x14ac:dyDescent="0.25">
      <c r="A1132" s="106" t="s">
        <v>2288</v>
      </c>
      <c r="B1132" s="106" t="s">
        <v>2289</v>
      </c>
      <c r="C1132" s="106"/>
      <c r="D1132" s="106"/>
      <c r="E1132" s="52"/>
    </row>
    <row r="1133" spans="1:5" s="103" customFormat="1" ht="13.2" hidden="1" outlineLevel="1" x14ac:dyDescent="0.25">
      <c r="A1133" s="106" t="s">
        <v>2290</v>
      </c>
      <c r="B1133" s="106" t="s">
        <v>2291</v>
      </c>
      <c r="C1133" s="106"/>
      <c r="D1133" s="106"/>
      <c r="E1133" s="52"/>
    </row>
    <row r="1134" spans="1:5" s="103" customFormat="1" ht="13.2" hidden="1" outlineLevel="1" x14ac:dyDescent="0.25">
      <c r="A1134" s="106" t="s">
        <v>2292</v>
      </c>
      <c r="B1134" s="106" t="s">
        <v>2293</v>
      </c>
      <c r="C1134" s="106"/>
      <c r="D1134" s="106"/>
      <c r="E1134" s="52"/>
    </row>
    <row r="1135" spans="1:5" s="103" customFormat="1" ht="13.2" hidden="1" outlineLevel="1" x14ac:dyDescent="0.25">
      <c r="A1135" s="106" t="s">
        <v>2294</v>
      </c>
      <c r="B1135" s="106" t="s">
        <v>2295</v>
      </c>
      <c r="C1135" s="106"/>
      <c r="D1135" s="106"/>
      <c r="E1135" s="52"/>
    </row>
    <row r="1136" spans="1:5" s="103" customFormat="1" ht="13.2" hidden="1" outlineLevel="1" x14ac:dyDescent="0.25">
      <c r="A1136" s="106" t="s">
        <v>2296</v>
      </c>
      <c r="B1136" s="106" t="s">
        <v>2297</v>
      </c>
      <c r="C1136" s="106"/>
      <c r="D1136" s="106"/>
      <c r="E1136" s="52"/>
    </row>
    <row r="1137" spans="1:5" s="103" customFormat="1" ht="13.2" hidden="1" outlineLevel="1" x14ac:dyDescent="0.25">
      <c r="A1137" s="106" t="s">
        <v>2298</v>
      </c>
      <c r="B1137" s="106" t="s">
        <v>2299</v>
      </c>
      <c r="C1137" s="106"/>
      <c r="D1137" s="106"/>
      <c r="E1137" s="52"/>
    </row>
    <row r="1138" spans="1:5" s="103" customFormat="1" ht="13.2" hidden="1" outlineLevel="1" x14ac:dyDescent="0.25">
      <c r="A1138" s="106" t="s">
        <v>2300</v>
      </c>
      <c r="B1138" s="106" t="s">
        <v>2301</v>
      </c>
      <c r="C1138" s="106"/>
      <c r="D1138" s="106"/>
      <c r="E1138" s="52"/>
    </row>
    <row r="1139" spans="1:5" s="103" customFormat="1" ht="13.2" hidden="1" outlineLevel="1" x14ac:dyDescent="0.25">
      <c r="A1139" s="106" t="s">
        <v>2302</v>
      </c>
      <c r="B1139" s="106" t="s">
        <v>2303</v>
      </c>
      <c r="C1139" s="106"/>
      <c r="D1139" s="106"/>
      <c r="E1139" s="52"/>
    </row>
    <row r="1140" spans="1:5" s="103" customFormat="1" ht="13.2" hidden="1" outlineLevel="1" x14ac:dyDescent="0.25">
      <c r="A1140" s="106" t="s">
        <v>2304</v>
      </c>
      <c r="B1140" s="106" t="s">
        <v>2305</v>
      </c>
      <c r="C1140" s="106"/>
      <c r="D1140" s="106"/>
      <c r="E1140" s="52"/>
    </row>
    <row r="1141" spans="1:5" s="103" customFormat="1" ht="13.2" hidden="1" outlineLevel="1" x14ac:dyDescent="0.25">
      <c r="A1141" s="106" t="s">
        <v>2306</v>
      </c>
      <c r="B1141" s="106" t="s">
        <v>2307</v>
      </c>
      <c r="C1141" s="106"/>
      <c r="D1141" s="106"/>
      <c r="E1141" s="52"/>
    </row>
    <row r="1142" spans="1:5" s="103" customFormat="1" ht="13.2" hidden="1" outlineLevel="1" x14ac:dyDescent="0.25">
      <c r="A1142" s="106" t="s">
        <v>2308</v>
      </c>
      <c r="B1142" s="106" t="s">
        <v>2309</v>
      </c>
      <c r="C1142" s="106"/>
      <c r="D1142" s="106"/>
      <c r="E1142" s="52"/>
    </row>
    <row r="1143" spans="1:5" s="103" customFormat="1" ht="13.2" hidden="1" outlineLevel="1" x14ac:dyDescent="0.25">
      <c r="A1143" s="106" t="s">
        <v>2310</v>
      </c>
      <c r="B1143" s="106" t="s">
        <v>2311</v>
      </c>
      <c r="C1143" s="106"/>
      <c r="D1143" s="106"/>
      <c r="E1143" s="52"/>
    </row>
    <row r="1144" spans="1:5" s="103" customFormat="1" ht="13.2" hidden="1" outlineLevel="1" x14ac:dyDescent="0.25">
      <c r="A1144" s="106" t="s">
        <v>2312</v>
      </c>
      <c r="B1144" s="106" t="s">
        <v>2313</v>
      </c>
      <c r="C1144" s="106"/>
      <c r="D1144" s="106"/>
      <c r="E1144" s="52"/>
    </row>
    <row r="1145" spans="1:5" s="103" customFormat="1" ht="13.2" hidden="1" outlineLevel="1" x14ac:dyDescent="0.25">
      <c r="A1145" s="106" t="s">
        <v>2314</v>
      </c>
      <c r="B1145" s="106" t="s">
        <v>2315</v>
      </c>
      <c r="C1145" s="106"/>
      <c r="D1145" s="106"/>
      <c r="E1145" s="52"/>
    </row>
    <row r="1146" spans="1:5" s="103" customFormat="1" ht="13.2" hidden="1" outlineLevel="1" x14ac:dyDescent="0.25">
      <c r="A1146" s="106" t="s">
        <v>2316</v>
      </c>
      <c r="B1146" s="106" t="s">
        <v>2317</v>
      </c>
      <c r="C1146" s="106"/>
      <c r="D1146" s="106"/>
      <c r="E1146" s="52"/>
    </row>
    <row r="1147" spans="1:5" s="103" customFormat="1" ht="13.2" hidden="1" outlineLevel="1" x14ac:dyDescent="0.25">
      <c r="A1147" s="106" t="s">
        <v>2318</v>
      </c>
      <c r="B1147" s="106" t="s">
        <v>2319</v>
      </c>
      <c r="C1147" s="106"/>
      <c r="D1147" s="106"/>
      <c r="E1147" s="52"/>
    </row>
    <row r="1148" spans="1:5" s="103" customFormat="1" ht="13.2" hidden="1" outlineLevel="1" x14ac:dyDescent="0.25">
      <c r="A1148" s="106" t="s">
        <v>2320</v>
      </c>
      <c r="B1148" s="106" t="s">
        <v>2321</v>
      </c>
      <c r="C1148" s="106"/>
      <c r="D1148" s="106"/>
      <c r="E1148" s="52"/>
    </row>
    <row r="1149" spans="1:5" s="103" customFormat="1" ht="13.2" hidden="1" outlineLevel="1" x14ac:dyDescent="0.25">
      <c r="A1149" s="106" t="s">
        <v>2322</v>
      </c>
      <c r="B1149" s="106" t="s">
        <v>2323</v>
      </c>
      <c r="C1149" s="106"/>
      <c r="D1149" s="106"/>
      <c r="E1149" s="52"/>
    </row>
    <row r="1150" spans="1:5" s="103" customFormat="1" ht="13.2" hidden="1" outlineLevel="1" x14ac:dyDescent="0.25">
      <c r="A1150" s="106" t="s">
        <v>2324</v>
      </c>
      <c r="B1150" s="106" t="s">
        <v>2325</v>
      </c>
      <c r="C1150" s="106"/>
      <c r="D1150" s="106"/>
      <c r="E1150" s="52"/>
    </row>
    <row r="1151" spans="1:5" s="103" customFormat="1" ht="13.2" hidden="1" outlineLevel="1" x14ac:dyDescent="0.25">
      <c r="A1151" s="106" t="s">
        <v>2326</v>
      </c>
      <c r="B1151" s="106" t="s">
        <v>2327</v>
      </c>
      <c r="C1151" s="106"/>
      <c r="D1151" s="106"/>
      <c r="E1151" s="52"/>
    </row>
    <row r="1152" spans="1:5" s="103" customFormat="1" ht="13.2" hidden="1" outlineLevel="1" x14ac:dyDescent="0.25">
      <c r="A1152" s="106" t="s">
        <v>2328</v>
      </c>
      <c r="B1152" s="106" t="s">
        <v>2329</v>
      </c>
      <c r="C1152" s="106"/>
      <c r="D1152" s="106"/>
      <c r="E1152" s="52"/>
    </row>
    <row r="1153" spans="1:5" s="103" customFormat="1" ht="13.2" hidden="1" outlineLevel="1" x14ac:dyDescent="0.25">
      <c r="A1153" s="106" t="s">
        <v>2330</v>
      </c>
      <c r="B1153" s="106" t="s">
        <v>2331</v>
      </c>
      <c r="C1153" s="106"/>
      <c r="D1153" s="106"/>
      <c r="E1153" s="52"/>
    </row>
    <row r="1154" spans="1:5" s="103" customFormat="1" ht="13.2" hidden="1" outlineLevel="1" x14ac:dyDescent="0.25">
      <c r="A1154" s="106" t="s">
        <v>2332</v>
      </c>
      <c r="B1154" s="106" t="s">
        <v>2333</v>
      </c>
      <c r="C1154" s="106"/>
      <c r="D1154" s="106"/>
      <c r="E1154" s="52"/>
    </row>
    <row r="1155" spans="1:5" s="103" customFormat="1" ht="13.2" hidden="1" outlineLevel="1" x14ac:dyDescent="0.25">
      <c r="A1155" s="106" t="s">
        <v>2334</v>
      </c>
      <c r="B1155" s="106" t="s">
        <v>2335</v>
      </c>
      <c r="C1155" s="106"/>
      <c r="D1155" s="106"/>
      <c r="E1155" s="52"/>
    </row>
    <row r="1156" spans="1:5" s="103" customFormat="1" ht="13.2" hidden="1" outlineLevel="1" x14ac:dyDescent="0.25">
      <c r="A1156" s="106" t="s">
        <v>2336</v>
      </c>
      <c r="B1156" s="106" t="s">
        <v>2337</v>
      </c>
      <c r="C1156" s="106"/>
      <c r="D1156" s="106"/>
      <c r="E1156" s="52"/>
    </row>
    <row r="1157" spans="1:5" s="103" customFormat="1" ht="13.2" hidden="1" outlineLevel="1" x14ac:dyDescent="0.25">
      <c r="A1157" s="106" t="s">
        <v>2338</v>
      </c>
      <c r="B1157" s="106" t="s">
        <v>2339</v>
      </c>
      <c r="C1157" s="106"/>
      <c r="D1157" s="106"/>
      <c r="E1157" s="52"/>
    </row>
    <row r="1158" spans="1:5" s="103" customFormat="1" ht="13.2" hidden="1" outlineLevel="1" x14ac:dyDescent="0.25">
      <c r="A1158" s="106" t="s">
        <v>2340</v>
      </c>
      <c r="B1158" s="106" t="s">
        <v>2341</v>
      </c>
      <c r="C1158" s="106"/>
      <c r="D1158" s="106"/>
      <c r="E1158" s="52"/>
    </row>
    <row r="1159" spans="1:5" s="103" customFormat="1" ht="13.2" hidden="1" outlineLevel="1" x14ac:dyDescent="0.25">
      <c r="A1159" s="106" t="s">
        <v>2342</v>
      </c>
      <c r="B1159" s="106" t="s">
        <v>2343</v>
      </c>
      <c r="C1159" s="106"/>
      <c r="D1159" s="106"/>
      <c r="E1159" s="52"/>
    </row>
    <row r="1160" spans="1:5" s="103" customFormat="1" ht="13.2" hidden="1" outlineLevel="1" x14ac:dyDescent="0.25">
      <c r="A1160" s="106" t="s">
        <v>2344</v>
      </c>
      <c r="B1160" s="106" t="s">
        <v>2345</v>
      </c>
      <c r="C1160" s="106"/>
      <c r="D1160" s="106"/>
      <c r="E1160" s="52"/>
    </row>
    <row r="1161" spans="1:5" s="103" customFormat="1" ht="13.2" hidden="1" outlineLevel="1" x14ac:dyDescent="0.25">
      <c r="A1161" s="106" t="s">
        <v>2346</v>
      </c>
      <c r="B1161" s="106" t="s">
        <v>2347</v>
      </c>
      <c r="C1161" s="106"/>
      <c r="D1161" s="106"/>
      <c r="E1161" s="52"/>
    </row>
    <row r="1162" spans="1:5" s="103" customFormat="1" ht="13.2" hidden="1" outlineLevel="1" x14ac:dyDescent="0.25">
      <c r="A1162" s="106" t="s">
        <v>2348</v>
      </c>
      <c r="B1162" s="106" t="s">
        <v>2349</v>
      </c>
      <c r="C1162" s="106"/>
      <c r="D1162" s="106"/>
      <c r="E1162" s="52"/>
    </row>
    <row r="1163" spans="1:5" s="103" customFormat="1" ht="13.2" hidden="1" outlineLevel="1" x14ac:dyDescent="0.25">
      <c r="A1163" s="106" t="s">
        <v>2350</v>
      </c>
      <c r="B1163" s="106" t="s">
        <v>2351</v>
      </c>
      <c r="C1163" s="106"/>
      <c r="D1163" s="106"/>
      <c r="E1163" s="52"/>
    </row>
    <row r="1164" spans="1:5" s="103" customFormat="1" ht="13.2" hidden="1" outlineLevel="1" x14ac:dyDescent="0.25">
      <c r="A1164" s="106" t="s">
        <v>2352</v>
      </c>
      <c r="B1164" s="106" t="s">
        <v>2353</v>
      </c>
      <c r="C1164" s="106"/>
      <c r="D1164" s="106"/>
      <c r="E1164" s="52"/>
    </row>
    <row r="1165" spans="1:5" s="103" customFormat="1" ht="13.2" hidden="1" outlineLevel="1" x14ac:dyDescent="0.25">
      <c r="A1165" s="106" t="s">
        <v>2354</v>
      </c>
      <c r="B1165" s="106" t="s">
        <v>2355</v>
      </c>
      <c r="C1165" s="106"/>
      <c r="D1165" s="106"/>
      <c r="E1165" s="52"/>
    </row>
    <row r="1166" spans="1:5" s="103" customFormat="1" ht="13.2" hidden="1" outlineLevel="1" x14ac:dyDescent="0.25">
      <c r="A1166" s="106" t="s">
        <v>2356</v>
      </c>
      <c r="B1166" s="106" t="s">
        <v>2357</v>
      </c>
      <c r="C1166" s="106"/>
      <c r="D1166" s="106"/>
      <c r="E1166" s="52"/>
    </row>
    <row r="1167" spans="1:5" s="103" customFormat="1" ht="13.2" hidden="1" outlineLevel="1" x14ac:dyDescent="0.25">
      <c r="A1167" s="106" t="s">
        <v>2358</v>
      </c>
      <c r="B1167" s="106" t="s">
        <v>2359</v>
      </c>
      <c r="C1167" s="106"/>
      <c r="D1167" s="106"/>
      <c r="E1167" s="52"/>
    </row>
    <row r="1168" spans="1:5" s="103" customFormat="1" ht="13.2" hidden="1" outlineLevel="1" x14ac:dyDescent="0.25">
      <c r="A1168" s="106" t="s">
        <v>2360</v>
      </c>
      <c r="B1168" s="106" t="s">
        <v>2361</v>
      </c>
      <c r="C1168" s="106"/>
      <c r="D1168" s="106"/>
      <c r="E1168" s="52"/>
    </row>
    <row r="1169" spans="1:5" s="103" customFormat="1" ht="13.2" hidden="1" outlineLevel="1" x14ac:dyDescent="0.25">
      <c r="A1169" s="106" t="s">
        <v>2362</v>
      </c>
      <c r="B1169" s="106" t="s">
        <v>2363</v>
      </c>
      <c r="C1169" s="106"/>
      <c r="D1169" s="106"/>
      <c r="E1169" s="52"/>
    </row>
    <row r="1170" spans="1:5" s="103" customFormat="1" ht="13.2" hidden="1" outlineLevel="1" x14ac:dyDescent="0.25">
      <c r="A1170" s="106" t="s">
        <v>2364</v>
      </c>
      <c r="B1170" s="106" t="s">
        <v>2365</v>
      </c>
      <c r="C1170" s="106"/>
      <c r="D1170" s="106"/>
      <c r="E1170" s="52"/>
    </row>
    <row r="1171" spans="1:5" s="103" customFormat="1" ht="13.2" hidden="1" outlineLevel="1" x14ac:dyDescent="0.25">
      <c r="A1171" s="106" t="s">
        <v>2366</v>
      </c>
      <c r="B1171" s="106" t="s">
        <v>2367</v>
      </c>
      <c r="C1171" s="106"/>
      <c r="D1171" s="106"/>
      <c r="E1171" s="52"/>
    </row>
    <row r="1172" spans="1:5" s="103" customFormat="1" ht="13.2" hidden="1" outlineLevel="1" x14ac:dyDescent="0.25">
      <c r="A1172" s="106" t="s">
        <v>2368</v>
      </c>
      <c r="B1172" s="106" t="s">
        <v>2369</v>
      </c>
      <c r="C1172" s="106"/>
      <c r="D1172" s="106"/>
      <c r="E1172" s="52"/>
    </row>
    <row r="1173" spans="1:5" s="103" customFormat="1" ht="13.2" hidden="1" outlineLevel="1" x14ac:dyDescent="0.25">
      <c r="A1173" s="106" t="s">
        <v>2370</v>
      </c>
      <c r="B1173" s="106" t="s">
        <v>2371</v>
      </c>
      <c r="C1173" s="106"/>
      <c r="D1173" s="106"/>
      <c r="E1173" s="52"/>
    </row>
    <row r="1174" spans="1:5" s="103" customFormat="1" ht="13.2" hidden="1" outlineLevel="1" x14ac:dyDescent="0.25">
      <c r="A1174" s="106" t="s">
        <v>2372</v>
      </c>
      <c r="B1174" s="106" t="s">
        <v>2373</v>
      </c>
      <c r="C1174" s="106"/>
      <c r="D1174" s="106"/>
      <c r="E1174" s="52"/>
    </row>
    <row r="1175" spans="1:5" s="103" customFormat="1" ht="13.2" hidden="1" outlineLevel="1" x14ac:dyDescent="0.25">
      <c r="A1175" s="106" t="s">
        <v>2374</v>
      </c>
      <c r="B1175" s="106" t="s">
        <v>2375</v>
      </c>
      <c r="C1175" s="106"/>
      <c r="D1175" s="106"/>
      <c r="E1175" s="52"/>
    </row>
    <row r="1176" spans="1:5" s="103" customFormat="1" ht="13.2" hidden="1" outlineLevel="1" x14ac:dyDescent="0.25">
      <c r="A1176" s="106" t="s">
        <v>2376</v>
      </c>
      <c r="B1176" s="106" t="s">
        <v>2377</v>
      </c>
      <c r="C1176" s="106"/>
      <c r="D1176" s="106"/>
      <c r="E1176" s="52"/>
    </row>
    <row r="1177" spans="1:5" s="103" customFormat="1" ht="13.2" hidden="1" outlineLevel="1" x14ac:dyDescent="0.25">
      <c r="A1177" s="106" t="s">
        <v>2378</v>
      </c>
      <c r="B1177" s="106" t="s">
        <v>2379</v>
      </c>
      <c r="C1177" s="106"/>
      <c r="D1177" s="106"/>
      <c r="E1177" s="52"/>
    </row>
    <row r="1178" spans="1:5" s="103" customFormat="1" ht="13.2" hidden="1" outlineLevel="1" x14ac:dyDescent="0.25">
      <c r="A1178" s="106" t="s">
        <v>2380</v>
      </c>
      <c r="B1178" s="106" t="s">
        <v>2381</v>
      </c>
      <c r="C1178" s="106"/>
      <c r="D1178" s="106"/>
      <c r="E1178" s="52"/>
    </row>
    <row r="1179" spans="1:5" s="103" customFormat="1" ht="13.2" hidden="1" outlineLevel="1" x14ac:dyDescent="0.25">
      <c r="A1179" s="106" t="s">
        <v>2382</v>
      </c>
      <c r="B1179" s="106" t="s">
        <v>2383</v>
      </c>
      <c r="C1179" s="106"/>
      <c r="D1179" s="106"/>
      <c r="E1179" s="52"/>
    </row>
    <row r="1180" spans="1:5" s="103" customFormat="1" ht="13.2" hidden="1" outlineLevel="1" x14ac:dyDescent="0.25">
      <c r="A1180" s="106" t="s">
        <v>2384</v>
      </c>
      <c r="B1180" s="106" t="s">
        <v>2385</v>
      </c>
      <c r="C1180" s="106"/>
      <c r="D1180" s="106"/>
      <c r="E1180" s="52"/>
    </row>
    <row r="1181" spans="1:5" s="103" customFormat="1" ht="13.2" hidden="1" outlineLevel="1" x14ac:dyDescent="0.25">
      <c r="A1181" s="106" t="s">
        <v>2386</v>
      </c>
      <c r="B1181" s="106" t="s">
        <v>2387</v>
      </c>
      <c r="C1181" s="106"/>
      <c r="D1181" s="106"/>
      <c r="E1181" s="52"/>
    </row>
    <row r="1182" spans="1:5" s="103" customFormat="1" ht="13.2" hidden="1" outlineLevel="1" x14ac:dyDescent="0.25">
      <c r="A1182" s="106" t="s">
        <v>2388</v>
      </c>
      <c r="B1182" s="106" t="s">
        <v>2389</v>
      </c>
      <c r="C1182" s="106"/>
      <c r="D1182" s="106"/>
      <c r="E1182" s="52"/>
    </row>
    <row r="1183" spans="1:5" s="103" customFormat="1" ht="13.2" hidden="1" outlineLevel="1" x14ac:dyDescent="0.25">
      <c r="A1183" s="106" t="s">
        <v>2390</v>
      </c>
      <c r="B1183" s="106" t="s">
        <v>2391</v>
      </c>
      <c r="C1183" s="106"/>
      <c r="D1183" s="106"/>
      <c r="E1183" s="52"/>
    </row>
    <row r="1184" spans="1:5" s="103" customFormat="1" ht="13.2" hidden="1" outlineLevel="1" x14ac:dyDescent="0.25">
      <c r="A1184" s="106" t="s">
        <v>2392</v>
      </c>
      <c r="B1184" s="106" t="s">
        <v>2393</v>
      </c>
      <c r="C1184" s="106"/>
      <c r="D1184" s="106"/>
      <c r="E1184" s="52"/>
    </row>
    <row r="1185" spans="1:5" s="103" customFormat="1" ht="13.2" hidden="1" outlineLevel="1" x14ac:dyDescent="0.25">
      <c r="A1185" s="106" t="s">
        <v>2394</v>
      </c>
      <c r="B1185" s="106" t="s">
        <v>2395</v>
      </c>
      <c r="C1185" s="106"/>
      <c r="D1185" s="106"/>
      <c r="E1185" s="52"/>
    </row>
    <row r="1186" spans="1:5" s="103" customFormat="1" ht="13.2" hidden="1" outlineLevel="1" x14ac:dyDescent="0.25">
      <c r="A1186" s="106" t="s">
        <v>2396</v>
      </c>
      <c r="B1186" s="106" t="s">
        <v>2397</v>
      </c>
      <c r="C1186" s="106"/>
      <c r="D1186" s="106"/>
      <c r="E1186" s="52"/>
    </row>
    <row r="1187" spans="1:5" s="103" customFormat="1" ht="13.2" hidden="1" outlineLevel="1" x14ac:dyDescent="0.25">
      <c r="A1187" s="106" t="s">
        <v>2398</v>
      </c>
      <c r="B1187" s="106" t="s">
        <v>2399</v>
      </c>
      <c r="C1187" s="106"/>
      <c r="D1187" s="106"/>
      <c r="E1187" s="52"/>
    </row>
    <row r="1188" spans="1:5" s="103" customFormat="1" ht="13.2" hidden="1" outlineLevel="1" x14ac:dyDescent="0.25">
      <c r="A1188" s="106" t="s">
        <v>2400</v>
      </c>
      <c r="B1188" s="106" t="s">
        <v>2401</v>
      </c>
      <c r="C1188" s="106"/>
      <c r="D1188" s="106"/>
      <c r="E1188" s="52"/>
    </row>
    <row r="1189" spans="1:5" s="103" customFormat="1" ht="13.2" hidden="1" outlineLevel="1" x14ac:dyDescent="0.25">
      <c r="A1189" s="106" t="s">
        <v>2402</v>
      </c>
      <c r="B1189" s="106" t="s">
        <v>2403</v>
      </c>
      <c r="C1189" s="106"/>
      <c r="D1189" s="106"/>
      <c r="E1189" s="52"/>
    </row>
    <row r="1190" spans="1:5" s="103" customFormat="1" ht="13.2" hidden="1" outlineLevel="1" x14ac:dyDescent="0.25">
      <c r="A1190" s="106" t="s">
        <v>2404</v>
      </c>
      <c r="B1190" s="106" t="s">
        <v>2405</v>
      </c>
      <c r="C1190" s="106"/>
      <c r="D1190" s="106"/>
      <c r="E1190" s="52"/>
    </row>
    <row r="1191" spans="1:5" s="103" customFormat="1" ht="13.2" hidden="1" outlineLevel="1" x14ac:dyDescent="0.25">
      <c r="A1191" s="106" t="s">
        <v>2406</v>
      </c>
      <c r="B1191" s="106" t="s">
        <v>2407</v>
      </c>
      <c r="C1191" s="106"/>
      <c r="D1191" s="106"/>
      <c r="E1191" s="52"/>
    </row>
    <row r="1192" spans="1:5" s="103" customFormat="1" ht="13.2" hidden="1" outlineLevel="1" x14ac:dyDescent="0.25">
      <c r="A1192" s="106" t="s">
        <v>2408</v>
      </c>
      <c r="B1192" s="106" t="s">
        <v>2409</v>
      </c>
      <c r="C1192" s="106"/>
      <c r="D1192" s="106"/>
      <c r="E1192" s="52"/>
    </row>
    <row r="1193" spans="1:5" s="103" customFormat="1" ht="13.2" hidden="1" outlineLevel="1" x14ac:dyDescent="0.25">
      <c r="A1193" s="106" t="s">
        <v>2410</v>
      </c>
      <c r="B1193" s="106" t="s">
        <v>2411</v>
      </c>
      <c r="C1193" s="106"/>
      <c r="D1193" s="106"/>
      <c r="E1193" s="52"/>
    </row>
    <row r="1194" spans="1:5" s="103" customFormat="1" ht="13.2" hidden="1" outlineLevel="1" x14ac:dyDescent="0.25">
      <c r="A1194" s="106" t="s">
        <v>2412</v>
      </c>
      <c r="B1194" s="106" t="s">
        <v>2413</v>
      </c>
      <c r="C1194" s="106"/>
      <c r="D1194" s="106"/>
      <c r="E1194" s="52"/>
    </row>
    <row r="1195" spans="1:5" s="103" customFormat="1" ht="13.2" hidden="1" outlineLevel="1" x14ac:dyDescent="0.25">
      <c r="A1195" s="106" t="s">
        <v>2414</v>
      </c>
      <c r="B1195" s="106" t="s">
        <v>2415</v>
      </c>
      <c r="C1195" s="106"/>
      <c r="D1195" s="106"/>
      <c r="E1195" s="52"/>
    </row>
    <row r="1196" spans="1:5" s="103" customFormat="1" ht="13.2" hidden="1" outlineLevel="1" x14ac:dyDescent="0.25">
      <c r="A1196" s="106" t="s">
        <v>2416</v>
      </c>
      <c r="B1196" s="106" t="s">
        <v>2417</v>
      </c>
      <c r="C1196" s="106"/>
      <c r="D1196" s="106"/>
      <c r="E1196" s="52"/>
    </row>
    <row r="1197" spans="1:5" s="103" customFormat="1" ht="13.2" hidden="1" outlineLevel="1" x14ac:dyDescent="0.25">
      <c r="A1197" s="106" t="s">
        <v>2418</v>
      </c>
      <c r="B1197" s="106" t="s">
        <v>2419</v>
      </c>
      <c r="C1197" s="106"/>
      <c r="D1197" s="106"/>
      <c r="E1197" s="52"/>
    </row>
    <row r="1198" spans="1:5" s="103" customFormat="1" ht="13.2" hidden="1" outlineLevel="1" x14ac:dyDescent="0.25">
      <c r="A1198" s="106" t="s">
        <v>2420</v>
      </c>
      <c r="B1198" s="106" t="s">
        <v>2421</v>
      </c>
      <c r="C1198" s="106"/>
      <c r="D1198" s="106"/>
      <c r="E1198" s="52"/>
    </row>
    <row r="1199" spans="1:5" s="103" customFormat="1" ht="13.2" hidden="1" outlineLevel="1" x14ac:dyDescent="0.25">
      <c r="A1199" s="106" t="s">
        <v>2422</v>
      </c>
      <c r="B1199" s="106" t="s">
        <v>2423</v>
      </c>
      <c r="C1199" s="106"/>
      <c r="D1199" s="106"/>
      <c r="E1199" s="52"/>
    </row>
    <row r="1200" spans="1:5" s="103" customFormat="1" ht="13.2" hidden="1" outlineLevel="1" x14ac:dyDescent="0.25">
      <c r="A1200" s="106" t="s">
        <v>2424</v>
      </c>
      <c r="B1200" s="106" t="s">
        <v>2425</v>
      </c>
      <c r="C1200" s="106"/>
      <c r="D1200" s="106"/>
      <c r="E1200" s="52"/>
    </row>
    <row r="1201" spans="1:5" s="103" customFormat="1" ht="13.2" hidden="1" outlineLevel="1" x14ac:dyDescent="0.25">
      <c r="A1201" s="106" t="s">
        <v>2426</v>
      </c>
      <c r="B1201" s="106" t="s">
        <v>2427</v>
      </c>
      <c r="C1201" s="106"/>
      <c r="D1201" s="106"/>
      <c r="E1201" s="52"/>
    </row>
    <row r="1202" spans="1:5" s="103" customFormat="1" ht="13.2" hidden="1" outlineLevel="1" x14ac:dyDescent="0.25">
      <c r="A1202" s="106" t="s">
        <v>2428</v>
      </c>
      <c r="B1202" s="106" t="s">
        <v>2429</v>
      </c>
      <c r="C1202" s="106"/>
      <c r="D1202" s="106"/>
      <c r="E1202" s="52"/>
    </row>
    <row r="1203" spans="1:5" s="103" customFormat="1" ht="13.2" hidden="1" outlineLevel="1" x14ac:dyDescent="0.25">
      <c r="A1203" s="106" t="s">
        <v>2430</v>
      </c>
      <c r="B1203" s="106" t="s">
        <v>2431</v>
      </c>
      <c r="C1203" s="106"/>
      <c r="D1203" s="106"/>
      <c r="E1203" s="52"/>
    </row>
    <row r="1204" spans="1:5" s="103" customFormat="1" ht="13.2" hidden="1" outlineLevel="1" x14ac:dyDescent="0.25">
      <c r="A1204" s="106" t="s">
        <v>2432</v>
      </c>
      <c r="B1204" s="106" t="s">
        <v>2433</v>
      </c>
      <c r="C1204" s="106"/>
      <c r="D1204" s="106"/>
      <c r="E1204" s="52"/>
    </row>
    <row r="1205" spans="1:5" s="103" customFormat="1" ht="13.2" hidden="1" outlineLevel="1" x14ac:dyDescent="0.25">
      <c r="A1205" s="106" t="s">
        <v>2434</v>
      </c>
      <c r="B1205" s="106" t="s">
        <v>2435</v>
      </c>
      <c r="C1205" s="106"/>
      <c r="D1205" s="106"/>
      <c r="E1205" s="52"/>
    </row>
    <row r="1206" spans="1:5" s="103" customFormat="1" ht="13.2" hidden="1" outlineLevel="1" x14ac:dyDescent="0.25">
      <c r="A1206" s="106" t="s">
        <v>2436</v>
      </c>
      <c r="B1206" s="106" t="s">
        <v>2437</v>
      </c>
      <c r="C1206" s="106"/>
      <c r="D1206" s="106"/>
      <c r="E1206" s="52"/>
    </row>
    <row r="1207" spans="1:5" s="103" customFormat="1" ht="13.2" hidden="1" outlineLevel="1" x14ac:dyDescent="0.25">
      <c r="A1207" s="106" t="s">
        <v>2438</v>
      </c>
      <c r="B1207" s="106" t="s">
        <v>2439</v>
      </c>
      <c r="C1207" s="106"/>
      <c r="D1207" s="106"/>
      <c r="E1207" s="52"/>
    </row>
    <row r="1208" spans="1:5" s="103" customFormat="1" ht="13.2" hidden="1" outlineLevel="1" x14ac:dyDescent="0.25">
      <c r="A1208" s="106" t="s">
        <v>2440</v>
      </c>
      <c r="B1208" s="106" t="s">
        <v>2441</v>
      </c>
      <c r="C1208" s="106"/>
      <c r="D1208" s="106"/>
      <c r="E1208" s="52"/>
    </row>
    <row r="1209" spans="1:5" s="103" customFormat="1" ht="13.2" hidden="1" outlineLevel="1" x14ac:dyDescent="0.25">
      <c r="A1209" s="106" t="s">
        <v>2442</v>
      </c>
      <c r="B1209" s="106" t="s">
        <v>2443</v>
      </c>
      <c r="C1209" s="106"/>
      <c r="D1209" s="106"/>
      <c r="E1209" s="52"/>
    </row>
    <row r="1210" spans="1:5" s="103" customFormat="1" ht="13.2" hidden="1" outlineLevel="1" x14ac:dyDescent="0.25">
      <c r="A1210" s="106" t="s">
        <v>2444</v>
      </c>
      <c r="B1210" s="106" t="s">
        <v>2445</v>
      </c>
      <c r="C1210" s="106"/>
      <c r="D1210" s="106"/>
      <c r="E1210" s="52"/>
    </row>
    <row r="1211" spans="1:5" s="103" customFormat="1" ht="13.2" hidden="1" outlineLevel="1" x14ac:dyDescent="0.25">
      <c r="A1211" s="106" t="s">
        <v>2446</v>
      </c>
      <c r="B1211" s="106" t="s">
        <v>2447</v>
      </c>
      <c r="C1211" s="106"/>
      <c r="D1211" s="106"/>
      <c r="E1211" s="52"/>
    </row>
    <row r="1212" spans="1:5" s="103" customFormat="1" ht="13.2" hidden="1" outlineLevel="1" x14ac:dyDescent="0.25">
      <c r="A1212" s="106" t="s">
        <v>2448</v>
      </c>
      <c r="B1212" s="106" t="s">
        <v>2449</v>
      </c>
      <c r="C1212" s="106"/>
      <c r="D1212" s="106"/>
      <c r="E1212" s="52"/>
    </row>
    <row r="1213" spans="1:5" s="103" customFormat="1" ht="13.2" hidden="1" outlineLevel="1" x14ac:dyDescent="0.25">
      <c r="A1213" s="106" t="s">
        <v>2450</v>
      </c>
      <c r="B1213" s="106" t="s">
        <v>2451</v>
      </c>
      <c r="C1213" s="106"/>
      <c r="D1213" s="106"/>
      <c r="E1213" s="52"/>
    </row>
    <row r="1214" spans="1:5" s="103" customFormat="1" ht="13.2" hidden="1" outlineLevel="1" x14ac:dyDescent="0.25">
      <c r="A1214" s="106" t="s">
        <v>2452</v>
      </c>
      <c r="B1214" s="106" t="s">
        <v>2453</v>
      </c>
      <c r="C1214" s="106"/>
      <c r="D1214" s="106"/>
      <c r="E1214" s="52"/>
    </row>
    <row r="1215" spans="1:5" s="103" customFormat="1" ht="13.2" hidden="1" outlineLevel="1" x14ac:dyDescent="0.25">
      <c r="A1215" s="106" t="s">
        <v>2454</v>
      </c>
      <c r="B1215" s="106" t="s">
        <v>2455</v>
      </c>
      <c r="C1215" s="106"/>
      <c r="D1215" s="106"/>
      <c r="E1215" s="52"/>
    </row>
    <row r="1216" spans="1:5" s="103" customFormat="1" ht="13.2" hidden="1" outlineLevel="1" x14ac:dyDescent="0.25">
      <c r="A1216" s="106" t="s">
        <v>2456</v>
      </c>
      <c r="B1216" s="106" t="s">
        <v>2457</v>
      </c>
      <c r="C1216" s="106"/>
      <c r="D1216" s="106"/>
      <c r="E1216" s="52"/>
    </row>
    <row r="1217" spans="1:5" s="103" customFormat="1" ht="13.2" hidden="1" outlineLevel="1" x14ac:dyDescent="0.25">
      <c r="A1217" s="106" t="s">
        <v>2458</v>
      </c>
      <c r="B1217" s="106" t="s">
        <v>2459</v>
      </c>
      <c r="C1217" s="106"/>
      <c r="D1217" s="106"/>
      <c r="E1217" s="52"/>
    </row>
    <row r="1218" spans="1:5" s="103" customFormat="1" ht="13.2" hidden="1" outlineLevel="1" x14ac:dyDescent="0.25">
      <c r="A1218" s="106" t="s">
        <v>2460</v>
      </c>
      <c r="B1218" s="106" t="s">
        <v>2461</v>
      </c>
      <c r="C1218" s="106"/>
      <c r="D1218" s="106"/>
      <c r="E1218" s="52"/>
    </row>
    <row r="1219" spans="1:5" s="103" customFormat="1" ht="13.2" hidden="1" outlineLevel="1" x14ac:dyDescent="0.25">
      <c r="A1219" s="106" t="s">
        <v>2462</v>
      </c>
      <c r="B1219" s="106" t="s">
        <v>2463</v>
      </c>
      <c r="C1219" s="106"/>
      <c r="D1219" s="106"/>
      <c r="E1219" s="52"/>
    </row>
    <row r="1220" spans="1:5" s="103" customFormat="1" ht="13.2" hidden="1" outlineLevel="1" x14ac:dyDescent="0.25">
      <c r="A1220" s="106" t="s">
        <v>2464</v>
      </c>
      <c r="B1220" s="106" t="s">
        <v>2465</v>
      </c>
      <c r="C1220" s="106"/>
      <c r="D1220" s="106"/>
      <c r="E1220" s="52"/>
    </row>
    <row r="1221" spans="1:5" s="103" customFormat="1" ht="13.2" hidden="1" outlineLevel="1" x14ac:dyDescent="0.25">
      <c r="A1221" s="106" t="s">
        <v>2466</v>
      </c>
      <c r="B1221" s="106" t="s">
        <v>2467</v>
      </c>
      <c r="C1221" s="106"/>
      <c r="D1221" s="106"/>
      <c r="E1221" s="52"/>
    </row>
    <row r="1222" spans="1:5" s="103" customFormat="1" ht="13.2" hidden="1" outlineLevel="1" x14ac:dyDescent="0.25">
      <c r="A1222" s="106" t="s">
        <v>2468</v>
      </c>
      <c r="B1222" s="106" t="s">
        <v>2469</v>
      </c>
      <c r="C1222" s="106"/>
      <c r="D1222" s="106"/>
      <c r="E1222" s="52"/>
    </row>
    <row r="1223" spans="1:5" s="103" customFormat="1" ht="13.2" hidden="1" outlineLevel="1" x14ac:dyDescent="0.25">
      <c r="A1223" s="106" t="s">
        <v>2470</v>
      </c>
      <c r="B1223" s="106" t="s">
        <v>2471</v>
      </c>
      <c r="C1223" s="106"/>
      <c r="D1223" s="106"/>
      <c r="E1223" s="52"/>
    </row>
    <row r="1224" spans="1:5" s="103" customFormat="1" ht="13.2" hidden="1" outlineLevel="1" x14ac:dyDescent="0.25">
      <c r="A1224" s="106" t="s">
        <v>2472</v>
      </c>
      <c r="B1224" s="106" t="s">
        <v>2473</v>
      </c>
      <c r="C1224" s="106"/>
      <c r="D1224" s="106"/>
      <c r="E1224" s="52"/>
    </row>
    <row r="1225" spans="1:5" s="103" customFormat="1" ht="13.2" hidden="1" outlineLevel="1" x14ac:dyDescent="0.25">
      <c r="A1225" s="106" t="s">
        <v>2474</v>
      </c>
      <c r="B1225" s="106" t="s">
        <v>2475</v>
      </c>
      <c r="C1225" s="106"/>
      <c r="D1225" s="106"/>
      <c r="E1225" s="52"/>
    </row>
    <row r="1226" spans="1:5" s="103" customFormat="1" ht="13.2" hidden="1" outlineLevel="1" x14ac:dyDescent="0.25">
      <c r="A1226" s="106" t="s">
        <v>2476</v>
      </c>
      <c r="B1226" s="106" t="s">
        <v>2477</v>
      </c>
      <c r="C1226" s="106"/>
      <c r="D1226" s="106"/>
      <c r="E1226" s="52"/>
    </row>
    <row r="1227" spans="1:5" s="103" customFormat="1" ht="13.2" hidden="1" outlineLevel="1" x14ac:dyDescent="0.25">
      <c r="A1227" s="106" t="s">
        <v>2478</v>
      </c>
      <c r="B1227" s="106" t="s">
        <v>2479</v>
      </c>
      <c r="C1227" s="106"/>
      <c r="D1227" s="106"/>
      <c r="E1227" s="52"/>
    </row>
    <row r="1228" spans="1:5" s="103" customFormat="1" ht="13.2" hidden="1" outlineLevel="1" x14ac:dyDescent="0.25">
      <c r="A1228" s="106" t="s">
        <v>2480</v>
      </c>
      <c r="B1228" s="106" t="s">
        <v>2481</v>
      </c>
      <c r="C1228" s="106"/>
      <c r="D1228" s="106"/>
      <c r="E1228" s="52"/>
    </row>
    <row r="1229" spans="1:5" s="103" customFormat="1" ht="13.2" hidden="1" outlineLevel="1" x14ac:dyDescent="0.25">
      <c r="A1229" s="106" t="s">
        <v>2482</v>
      </c>
      <c r="B1229" s="106" t="s">
        <v>2483</v>
      </c>
      <c r="C1229" s="106"/>
      <c r="D1229" s="106"/>
      <c r="E1229" s="52"/>
    </row>
    <row r="1230" spans="1:5" s="103" customFormat="1" ht="13.2" hidden="1" outlineLevel="1" x14ac:dyDescent="0.25">
      <c r="A1230" s="106" t="s">
        <v>2484</v>
      </c>
      <c r="B1230" s="106" t="s">
        <v>2485</v>
      </c>
      <c r="C1230" s="106"/>
      <c r="D1230" s="106"/>
      <c r="E1230" s="52"/>
    </row>
    <row r="1231" spans="1:5" s="103" customFormat="1" ht="13.2" hidden="1" outlineLevel="1" x14ac:dyDescent="0.25">
      <c r="A1231" s="106" t="s">
        <v>2486</v>
      </c>
      <c r="B1231" s="106" t="s">
        <v>2487</v>
      </c>
      <c r="C1231" s="106"/>
      <c r="D1231" s="106"/>
      <c r="E1231" s="52"/>
    </row>
    <row r="1232" spans="1:5" s="103" customFormat="1" ht="13.2" hidden="1" outlineLevel="1" x14ac:dyDescent="0.25">
      <c r="A1232" s="106" t="s">
        <v>2488</v>
      </c>
      <c r="B1232" s="106" t="s">
        <v>2489</v>
      </c>
      <c r="C1232" s="106"/>
      <c r="D1232" s="106"/>
      <c r="E1232" s="52"/>
    </row>
    <row r="1233" spans="1:5" s="103" customFormat="1" ht="13.2" hidden="1" outlineLevel="1" x14ac:dyDescent="0.25">
      <c r="A1233" s="106" t="s">
        <v>2490</v>
      </c>
      <c r="B1233" s="106" t="s">
        <v>2491</v>
      </c>
      <c r="C1233" s="106"/>
      <c r="D1233" s="106"/>
      <c r="E1233" s="52"/>
    </row>
    <row r="1234" spans="1:5" s="103" customFormat="1" ht="13.2" hidden="1" outlineLevel="1" x14ac:dyDescent="0.25">
      <c r="A1234" s="106" t="s">
        <v>2492</v>
      </c>
      <c r="B1234" s="106" t="s">
        <v>2493</v>
      </c>
      <c r="C1234" s="106"/>
      <c r="D1234" s="106"/>
      <c r="E1234" s="52"/>
    </row>
    <row r="1235" spans="1:5" s="103" customFormat="1" ht="13.2" hidden="1" outlineLevel="1" x14ac:dyDescent="0.25">
      <c r="A1235" s="106" t="s">
        <v>2494</v>
      </c>
      <c r="B1235" s="106" t="s">
        <v>2495</v>
      </c>
      <c r="C1235" s="106"/>
      <c r="D1235" s="106"/>
      <c r="E1235" s="52"/>
    </row>
    <row r="1236" spans="1:5" s="103" customFormat="1" ht="13.2" hidden="1" outlineLevel="1" x14ac:dyDescent="0.25">
      <c r="A1236" s="106" t="s">
        <v>2496</v>
      </c>
      <c r="B1236" s="106" t="s">
        <v>2497</v>
      </c>
      <c r="C1236" s="106"/>
      <c r="D1236" s="106"/>
      <c r="E1236" s="52"/>
    </row>
    <row r="1237" spans="1:5" s="103" customFormat="1" ht="13.2" hidden="1" outlineLevel="1" x14ac:dyDescent="0.25">
      <c r="A1237" s="106" t="s">
        <v>2498</v>
      </c>
      <c r="B1237" s="106" t="s">
        <v>2499</v>
      </c>
      <c r="C1237" s="106"/>
      <c r="D1237" s="106"/>
      <c r="E1237" s="52"/>
    </row>
    <row r="1238" spans="1:5" s="103" customFormat="1" ht="13.2" hidden="1" outlineLevel="1" x14ac:dyDescent="0.25">
      <c r="A1238" s="106" t="s">
        <v>2500</v>
      </c>
      <c r="B1238" s="106" t="s">
        <v>2501</v>
      </c>
      <c r="C1238" s="106"/>
      <c r="D1238" s="106"/>
      <c r="E1238" s="52"/>
    </row>
    <row r="1239" spans="1:5" s="103" customFormat="1" ht="13.2" hidden="1" outlineLevel="1" x14ac:dyDescent="0.25">
      <c r="A1239" s="106" t="s">
        <v>2502</v>
      </c>
      <c r="B1239" s="106" t="s">
        <v>2503</v>
      </c>
      <c r="C1239" s="106"/>
      <c r="D1239" s="106"/>
      <c r="E1239" s="52"/>
    </row>
    <row r="1240" spans="1:5" s="103" customFormat="1" ht="13.2" hidden="1" outlineLevel="1" x14ac:dyDescent="0.25">
      <c r="A1240" s="106" t="s">
        <v>2504</v>
      </c>
      <c r="B1240" s="106" t="s">
        <v>2505</v>
      </c>
      <c r="C1240" s="106"/>
      <c r="D1240" s="106"/>
      <c r="E1240" s="52"/>
    </row>
    <row r="1241" spans="1:5" s="103" customFormat="1" ht="13.2" hidden="1" outlineLevel="1" x14ac:dyDescent="0.25">
      <c r="A1241" s="106" t="s">
        <v>2506</v>
      </c>
      <c r="B1241" s="106" t="s">
        <v>2507</v>
      </c>
      <c r="C1241" s="106"/>
      <c r="D1241" s="106"/>
      <c r="E1241" s="52"/>
    </row>
    <row r="1242" spans="1:5" s="103" customFormat="1" ht="13.2" hidden="1" outlineLevel="1" x14ac:dyDescent="0.25">
      <c r="A1242" s="106" t="s">
        <v>2508</v>
      </c>
      <c r="B1242" s="106" t="s">
        <v>2509</v>
      </c>
      <c r="C1242" s="106"/>
      <c r="D1242" s="106"/>
      <c r="E1242" s="52"/>
    </row>
    <row r="1243" spans="1:5" s="103" customFormat="1" ht="13.2" hidden="1" outlineLevel="1" x14ac:dyDescent="0.25">
      <c r="A1243" s="106" t="s">
        <v>2510</v>
      </c>
      <c r="B1243" s="106" t="s">
        <v>2511</v>
      </c>
      <c r="C1243" s="106"/>
      <c r="D1243" s="106"/>
      <c r="E1243" s="52"/>
    </row>
    <row r="1244" spans="1:5" s="103" customFormat="1" ht="13.2" hidden="1" outlineLevel="1" x14ac:dyDescent="0.25">
      <c r="A1244" s="106" t="s">
        <v>2512</v>
      </c>
      <c r="B1244" s="106" t="s">
        <v>2513</v>
      </c>
      <c r="C1244" s="106"/>
      <c r="D1244" s="106"/>
      <c r="E1244" s="52"/>
    </row>
    <row r="1245" spans="1:5" s="103" customFormat="1" ht="13.2" hidden="1" outlineLevel="1" x14ac:dyDescent="0.25">
      <c r="A1245" s="106" t="s">
        <v>2514</v>
      </c>
      <c r="B1245" s="106" t="s">
        <v>2515</v>
      </c>
      <c r="C1245" s="106"/>
      <c r="D1245" s="106"/>
      <c r="E1245" s="52"/>
    </row>
    <row r="1246" spans="1:5" s="103" customFormat="1" ht="13.2" hidden="1" outlineLevel="1" x14ac:dyDescent="0.25">
      <c r="A1246" s="106" t="s">
        <v>2516</v>
      </c>
      <c r="B1246" s="106" t="s">
        <v>2517</v>
      </c>
      <c r="C1246" s="106"/>
      <c r="D1246" s="106"/>
      <c r="E1246" s="52"/>
    </row>
    <row r="1247" spans="1:5" s="103" customFormat="1" ht="13.2" hidden="1" outlineLevel="1" x14ac:dyDescent="0.25">
      <c r="A1247" s="106" t="s">
        <v>2518</v>
      </c>
      <c r="B1247" s="106" t="s">
        <v>2519</v>
      </c>
      <c r="C1247" s="106"/>
      <c r="D1247" s="106"/>
      <c r="E1247" s="52"/>
    </row>
    <row r="1248" spans="1:5" s="103" customFormat="1" ht="13.2" hidden="1" outlineLevel="1" x14ac:dyDescent="0.25">
      <c r="A1248" s="106" t="s">
        <v>2520</v>
      </c>
      <c r="B1248" s="106" t="s">
        <v>2521</v>
      </c>
      <c r="C1248" s="106"/>
      <c r="D1248" s="106"/>
      <c r="E1248" s="52"/>
    </row>
    <row r="1249" spans="1:5" s="103" customFormat="1" ht="13.2" hidden="1" outlineLevel="1" x14ac:dyDescent="0.25">
      <c r="A1249" s="106" t="s">
        <v>2522</v>
      </c>
      <c r="B1249" s="106" t="s">
        <v>2523</v>
      </c>
      <c r="C1249" s="106"/>
      <c r="D1249" s="106"/>
      <c r="E1249" s="52"/>
    </row>
    <row r="1250" spans="1:5" s="103" customFormat="1" ht="13.2" hidden="1" outlineLevel="1" x14ac:dyDescent="0.25">
      <c r="A1250" s="106" t="s">
        <v>2524</v>
      </c>
      <c r="B1250" s="106" t="s">
        <v>2525</v>
      </c>
      <c r="C1250" s="106"/>
      <c r="D1250" s="106"/>
      <c r="E1250" s="52"/>
    </row>
    <row r="1251" spans="1:5" s="103" customFormat="1" ht="13.2" hidden="1" outlineLevel="1" x14ac:dyDescent="0.25">
      <c r="A1251" s="106" t="s">
        <v>2526</v>
      </c>
      <c r="B1251" s="106" t="s">
        <v>2527</v>
      </c>
      <c r="C1251" s="106"/>
      <c r="D1251" s="106"/>
      <c r="E1251" s="52"/>
    </row>
    <row r="1252" spans="1:5" s="103" customFormat="1" ht="13.2" hidden="1" outlineLevel="1" x14ac:dyDescent="0.25">
      <c r="A1252" s="106" t="s">
        <v>2528</v>
      </c>
      <c r="B1252" s="106" t="s">
        <v>2529</v>
      </c>
      <c r="C1252" s="106"/>
      <c r="D1252" s="106"/>
      <c r="E1252" s="52"/>
    </row>
    <row r="1253" spans="1:5" s="103" customFormat="1" ht="13.2" hidden="1" outlineLevel="1" x14ac:dyDescent="0.25">
      <c r="A1253" s="106" t="s">
        <v>2530</v>
      </c>
      <c r="B1253" s="106" t="s">
        <v>2531</v>
      </c>
      <c r="C1253" s="106"/>
      <c r="D1253" s="106"/>
      <c r="E1253" s="52"/>
    </row>
    <row r="1254" spans="1:5" s="103" customFormat="1" ht="13.2" hidden="1" outlineLevel="1" x14ac:dyDescent="0.25">
      <c r="A1254" s="106" t="s">
        <v>2532</v>
      </c>
      <c r="B1254" s="106" t="s">
        <v>2533</v>
      </c>
      <c r="C1254" s="106"/>
      <c r="D1254" s="106"/>
      <c r="E1254" s="52"/>
    </row>
    <row r="1255" spans="1:5" s="103" customFormat="1" ht="13.2" hidden="1" outlineLevel="1" x14ac:dyDescent="0.25">
      <c r="A1255" s="106" t="s">
        <v>2534</v>
      </c>
      <c r="B1255" s="106" t="s">
        <v>2535</v>
      </c>
      <c r="C1255" s="106"/>
      <c r="D1255" s="106"/>
      <c r="E1255" s="52"/>
    </row>
    <row r="1256" spans="1:5" s="103" customFormat="1" ht="13.2" hidden="1" outlineLevel="1" x14ac:dyDescent="0.25">
      <c r="A1256" s="106" t="s">
        <v>2536</v>
      </c>
      <c r="B1256" s="106" t="s">
        <v>2537</v>
      </c>
      <c r="C1256" s="106"/>
      <c r="D1256" s="106"/>
      <c r="E1256" s="52"/>
    </row>
    <row r="1257" spans="1:5" s="103" customFormat="1" ht="13.2" hidden="1" outlineLevel="1" x14ac:dyDescent="0.25">
      <c r="A1257" s="106" t="s">
        <v>2538</v>
      </c>
      <c r="B1257" s="106" t="s">
        <v>2539</v>
      </c>
      <c r="C1257" s="106"/>
      <c r="D1257" s="106"/>
      <c r="E1257" s="52"/>
    </row>
    <row r="1258" spans="1:5" s="103" customFormat="1" ht="13.2" hidden="1" outlineLevel="1" x14ac:dyDescent="0.25">
      <c r="A1258" s="106" t="s">
        <v>2540</v>
      </c>
      <c r="B1258" s="106" t="s">
        <v>2541</v>
      </c>
      <c r="C1258" s="106"/>
      <c r="D1258" s="106"/>
      <c r="E1258" s="52"/>
    </row>
    <row r="1259" spans="1:5" s="103" customFormat="1" ht="13.2" hidden="1" outlineLevel="1" x14ac:dyDescent="0.25">
      <c r="A1259" s="106" t="s">
        <v>2542</v>
      </c>
      <c r="B1259" s="106" t="s">
        <v>2543</v>
      </c>
      <c r="C1259" s="106"/>
      <c r="D1259" s="106"/>
      <c r="E1259" s="52"/>
    </row>
    <row r="1260" spans="1:5" s="103" customFormat="1" ht="13.2" hidden="1" outlineLevel="1" x14ac:dyDescent="0.25">
      <c r="A1260" s="106" t="s">
        <v>2544</v>
      </c>
      <c r="B1260" s="106" t="s">
        <v>2545</v>
      </c>
      <c r="C1260" s="106"/>
      <c r="D1260" s="106"/>
      <c r="E1260" s="52"/>
    </row>
    <row r="1261" spans="1:5" s="103" customFormat="1" ht="13.2" hidden="1" outlineLevel="1" x14ac:dyDescent="0.25">
      <c r="A1261" s="106" t="s">
        <v>2546</v>
      </c>
      <c r="B1261" s="106" t="s">
        <v>2547</v>
      </c>
      <c r="C1261" s="106"/>
      <c r="D1261" s="106"/>
      <c r="E1261" s="52"/>
    </row>
    <row r="1262" spans="1:5" s="103" customFormat="1" ht="13.2" hidden="1" outlineLevel="1" x14ac:dyDescent="0.25">
      <c r="A1262" s="106" t="s">
        <v>2548</v>
      </c>
      <c r="B1262" s="106" t="s">
        <v>2549</v>
      </c>
      <c r="C1262" s="106"/>
      <c r="D1262" s="106"/>
      <c r="E1262" s="52"/>
    </row>
    <row r="1263" spans="1:5" s="103" customFormat="1" ht="13.2" hidden="1" outlineLevel="1" x14ac:dyDescent="0.25">
      <c r="A1263" s="106" t="s">
        <v>2550</v>
      </c>
      <c r="B1263" s="106" t="s">
        <v>2551</v>
      </c>
      <c r="C1263" s="106"/>
      <c r="D1263" s="106"/>
      <c r="E1263" s="52"/>
    </row>
    <row r="1264" spans="1:5" s="103" customFormat="1" ht="13.2" hidden="1" outlineLevel="1" x14ac:dyDescent="0.25">
      <c r="A1264" s="106" t="s">
        <v>2552</v>
      </c>
      <c r="B1264" s="106" t="s">
        <v>2553</v>
      </c>
      <c r="C1264" s="106"/>
      <c r="D1264" s="106"/>
      <c r="E1264" s="52"/>
    </row>
    <row r="1265" spans="1:5" s="103" customFormat="1" ht="13.2" hidden="1" outlineLevel="1" x14ac:dyDescent="0.25">
      <c r="A1265" s="106" t="s">
        <v>2554</v>
      </c>
      <c r="B1265" s="106" t="s">
        <v>2555</v>
      </c>
      <c r="C1265" s="106"/>
      <c r="D1265" s="106"/>
      <c r="E1265" s="52"/>
    </row>
    <row r="1266" spans="1:5" s="103" customFormat="1" ht="13.2" hidden="1" outlineLevel="1" x14ac:dyDescent="0.25">
      <c r="A1266" s="106" t="s">
        <v>2556</v>
      </c>
      <c r="B1266" s="106" t="s">
        <v>2557</v>
      </c>
      <c r="C1266" s="106"/>
      <c r="D1266" s="106"/>
      <c r="E1266" s="52"/>
    </row>
    <row r="1267" spans="1:5" s="103" customFormat="1" ht="13.2" hidden="1" outlineLevel="1" x14ac:dyDescent="0.25">
      <c r="A1267" s="106" t="s">
        <v>2558</v>
      </c>
      <c r="B1267" s="106" t="s">
        <v>2559</v>
      </c>
      <c r="C1267" s="106"/>
      <c r="D1267" s="106"/>
      <c r="E1267" s="52"/>
    </row>
    <row r="1268" spans="1:5" s="103" customFormat="1" ht="13.2" hidden="1" outlineLevel="1" x14ac:dyDescent="0.25">
      <c r="A1268" s="106" t="s">
        <v>2560</v>
      </c>
      <c r="B1268" s="106" t="s">
        <v>2561</v>
      </c>
      <c r="C1268" s="106"/>
      <c r="D1268" s="106"/>
      <c r="E1268" s="52"/>
    </row>
    <row r="1269" spans="1:5" s="103" customFormat="1" ht="13.2" hidden="1" outlineLevel="1" x14ac:dyDescent="0.25">
      <c r="A1269" s="106" t="s">
        <v>2562</v>
      </c>
      <c r="B1269" s="106" t="s">
        <v>2563</v>
      </c>
      <c r="C1269" s="106"/>
      <c r="D1269" s="106"/>
      <c r="E1269" s="52"/>
    </row>
    <row r="1270" spans="1:5" s="103" customFormat="1" ht="13.2" hidden="1" outlineLevel="1" x14ac:dyDescent="0.25">
      <c r="A1270" s="106" t="s">
        <v>2564</v>
      </c>
      <c r="B1270" s="106" t="s">
        <v>2565</v>
      </c>
      <c r="C1270" s="106"/>
      <c r="D1270" s="106"/>
      <c r="E1270" s="52"/>
    </row>
    <row r="1271" spans="1:5" s="103" customFormat="1" ht="13.2" hidden="1" outlineLevel="1" x14ac:dyDescent="0.25">
      <c r="A1271" s="106" t="s">
        <v>2566</v>
      </c>
      <c r="B1271" s="106" t="s">
        <v>2567</v>
      </c>
      <c r="C1271" s="106"/>
      <c r="D1271" s="106"/>
      <c r="E1271" s="52"/>
    </row>
    <row r="1272" spans="1:5" s="103" customFormat="1" ht="13.2" hidden="1" outlineLevel="1" x14ac:dyDescent="0.25">
      <c r="A1272" s="106" t="s">
        <v>2568</v>
      </c>
      <c r="B1272" s="106" t="s">
        <v>2569</v>
      </c>
      <c r="C1272" s="106"/>
      <c r="D1272" s="106"/>
      <c r="E1272" s="52"/>
    </row>
    <row r="1273" spans="1:5" s="103" customFormat="1" ht="13.2" hidden="1" outlineLevel="1" x14ac:dyDescent="0.25">
      <c r="A1273" s="106" t="s">
        <v>2570</v>
      </c>
      <c r="B1273" s="106" t="s">
        <v>2571</v>
      </c>
      <c r="C1273" s="106"/>
      <c r="D1273" s="106"/>
      <c r="E1273" s="52"/>
    </row>
    <row r="1274" spans="1:5" s="103" customFormat="1" ht="13.2" hidden="1" outlineLevel="1" x14ac:dyDescent="0.25">
      <c r="A1274" s="106" t="s">
        <v>2572</v>
      </c>
      <c r="B1274" s="106" t="s">
        <v>2573</v>
      </c>
      <c r="C1274" s="106"/>
      <c r="D1274" s="106"/>
      <c r="E1274" s="52"/>
    </row>
    <row r="1275" spans="1:5" s="103" customFormat="1" ht="13.2" hidden="1" outlineLevel="1" x14ac:dyDescent="0.25">
      <c r="A1275" s="106" t="s">
        <v>2574</v>
      </c>
      <c r="B1275" s="106" t="s">
        <v>2575</v>
      </c>
      <c r="C1275" s="106"/>
      <c r="D1275" s="106"/>
      <c r="E1275" s="52"/>
    </row>
    <row r="1276" spans="1:5" s="103" customFormat="1" ht="13.2" hidden="1" outlineLevel="1" x14ac:dyDescent="0.25">
      <c r="A1276" s="106" t="s">
        <v>2576</v>
      </c>
      <c r="B1276" s="106" t="s">
        <v>2577</v>
      </c>
      <c r="C1276" s="106"/>
      <c r="D1276" s="106"/>
      <c r="E1276" s="52"/>
    </row>
    <row r="1277" spans="1:5" s="103" customFormat="1" ht="13.2" hidden="1" outlineLevel="1" x14ac:dyDescent="0.25">
      <c r="A1277" s="106" t="s">
        <v>2578</v>
      </c>
      <c r="B1277" s="106" t="s">
        <v>2579</v>
      </c>
      <c r="C1277" s="106"/>
      <c r="D1277" s="106"/>
      <c r="E1277" s="52"/>
    </row>
    <row r="1278" spans="1:5" s="103" customFormat="1" ht="13.2" hidden="1" outlineLevel="1" x14ac:dyDescent="0.25">
      <c r="A1278" s="106" t="s">
        <v>2580</v>
      </c>
      <c r="B1278" s="106" t="s">
        <v>2581</v>
      </c>
      <c r="C1278" s="106"/>
      <c r="D1278" s="106"/>
      <c r="E1278" s="52"/>
    </row>
    <row r="1279" spans="1:5" s="103" customFormat="1" ht="13.2" hidden="1" outlineLevel="1" x14ac:dyDescent="0.25">
      <c r="A1279" s="106" t="s">
        <v>2582</v>
      </c>
      <c r="B1279" s="106" t="s">
        <v>2583</v>
      </c>
      <c r="C1279" s="106"/>
      <c r="D1279" s="106"/>
      <c r="E1279" s="52"/>
    </row>
    <row r="1280" spans="1:5" s="103" customFormat="1" ht="13.2" hidden="1" outlineLevel="1" x14ac:dyDescent="0.25">
      <c r="A1280" s="106" t="s">
        <v>2584</v>
      </c>
      <c r="B1280" s="106" t="s">
        <v>2585</v>
      </c>
      <c r="C1280" s="106"/>
      <c r="D1280" s="106"/>
      <c r="E1280" s="52"/>
    </row>
    <row r="1281" spans="1:5" s="103" customFormat="1" ht="13.2" hidden="1" outlineLevel="1" x14ac:dyDescent="0.25">
      <c r="A1281" s="106" t="s">
        <v>2586</v>
      </c>
      <c r="B1281" s="106" t="s">
        <v>2587</v>
      </c>
      <c r="C1281" s="106"/>
      <c r="D1281" s="106"/>
      <c r="E1281" s="52"/>
    </row>
    <row r="1282" spans="1:5" s="103" customFormat="1" ht="13.2" hidden="1" outlineLevel="1" x14ac:dyDescent="0.25">
      <c r="A1282" s="106" t="s">
        <v>2588</v>
      </c>
      <c r="B1282" s="106" t="s">
        <v>2589</v>
      </c>
      <c r="C1282" s="106"/>
      <c r="D1282" s="106"/>
      <c r="E1282" s="52"/>
    </row>
    <row r="1283" spans="1:5" s="103" customFormat="1" ht="13.2" hidden="1" outlineLevel="1" x14ac:dyDescent="0.25">
      <c r="A1283" s="106" t="s">
        <v>2590</v>
      </c>
      <c r="B1283" s="106" t="s">
        <v>2591</v>
      </c>
      <c r="C1283" s="106"/>
      <c r="D1283" s="106"/>
      <c r="E1283" s="52"/>
    </row>
    <row r="1284" spans="1:5" s="103" customFormat="1" ht="13.2" hidden="1" outlineLevel="1" x14ac:dyDescent="0.25">
      <c r="A1284" s="106" t="s">
        <v>2592</v>
      </c>
      <c r="B1284" s="106" t="s">
        <v>2593</v>
      </c>
      <c r="C1284" s="106"/>
      <c r="D1284" s="106"/>
      <c r="E1284" s="52"/>
    </row>
    <row r="1285" spans="1:5" s="103" customFormat="1" ht="13.2" hidden="1" outlineLevel="1" x14ac:dyDescent="0.25">
      <c r="A1285" s="106" t="s">
        <v>2594</v>
      </c>
      <c r="B1285" s="106" t="s">
        <v>2595</v>
      </c>
      <c r="C1285" s="106"/>
      <c r="D1285" s="106"/>
      <c r="E1285" s="52"/>
    </row>
    <row r="1286" spans="1:5" s="103" customFormat="1" ht="13.2" hidden="1" outlineLevel="1" x14ac:dyDescent="0.25">
      <c r="A1286" s="106" t="s">
        <v>2596</v>
      </c>
      <c r="B1286" s="106" t="s">
        <v>2597</v>
      </c>
      <c r="C1286" s="106"/>
      <c r="D1286" s="106"/>
      <c r="E1286" s="52"/>
    </row>
    <row r="1287" spans="1:5" s="103" customFormat="1" ht="13.2" hidden="1" outlineLevel="1" x14ac:dyDescent="0.25">
      <c r="A1287" s="106" t="s">
        <v>2598</v>
      </c>
      <c r="B1287" s="106" t="s">
        <v>2599</v>
      </c>
      <c r="C1287" s="106"/>
      <c r="D1287" s="106"/>
      <c r="E1287" s="52"/>
    </row>
    <row r="1288" spans="1:5" s="103" customFormat="1" ht="13.2" hidden="1" outlineLevel="1" x14ac:dyDescent="0.25">
      <c r="A1288" s="106" t="s">
        <v>2600</v>
      </c>
      <c r="B1288" s="106" t="s">
        <v>2601</v>
      </c>
      <c r="C1288" s="106"/>
      <c r="D1288" s="106"/>
      <c r="E1288" s="52"/>
    </row>
    <row r="1289" spans="1:5" s="103" customFormat="1" ht="13.2" hidden="1" outlineLevel="1" x14ac:dyDescent="0.25">
      <c r="A1289" s="106" t="s">
        <v>2602</v>
      </c>
      <c r="B1289" s="106" t="s">
        <v>2603</v>
      </c>
      <c r="C1289" s="106"/>
      <c r="D1289" s="106"/>
      <c r="E1289" s="52"/>
    </row>
    <row r="1290" spans="1:5" s="103" customFormat="1" ht="13.2" hidden="1" outlineLevel="1" x14ac:dyDescent="0.25">
      <c r="A1290" s="106" t="s">
        <v>2604</v>
      </c>
      <c r="B1290" s="106" t="s">
        <v>2605</v>
      </c>
      <c r="C1290" s="106"/>
      <c r="D1290" s="106"/>
      <c r="E1290" s="52"/>
    </row>
    <row r="1291" spans="1:5" s="103" customFormat="1" ht="13.2" hidden="1" outlineLevel="1" x14ac:dyDescent="0.25">
      <c r="A1291" s="106" t="s">
        <v>2606</v>
      </c>
      <c r="B1291" s="106" t="s">
        <v>2607</v>
      </c>
      <c r="C1291" s="106"/>
      <c r="D1291" s="106"/>
      <c r="E1291" s="52"/>
    </row>
    <row r="1292" spans="1:5" s="103" customFormat="1" ht="13.2" hidden="1" outlineLevel="1" x14ac:dyDescent="0.25">
      <c r="A1292" s="106" t="s">
        <v>2608</v>
      </c>
      <c r="B1292" s="106" t="s">
        <v>2609</v>
      </c>
      <c r="C1292" s="106"/>
      <c r="D1292" s="106"/>
      <c r="E1292" s="52"/>
    </row>
    <row r="1293" spans="1:5" s="103" customFormat="1" ht="13.2" hidden="1" outlineLevel="1" x14ac:dyDescent="0.25">
      <c r="A1293" s="106" t="s">
        <v>2610</v>
      </c>
      <c r="B1293" s="106" t="s">
        <v>2611</v>
      </c>
      <c r="C1293" s="106"/>
      <c r="D1293" s="106"/>
      <c r="E1293" s="52"/>
    </row>
    <row r="1294" spans="1:5" s="103" customFormat="1" ht="13.2" hidden="1" outlineLevel="1" x14ac:dyDescent="0.25">
      <c r="A1294" s="106" t="s">
        <v>2612</v>
      </c>
      <c r="B1294" s="106" t="s">
        <v>2613</v>
      </c>
      <c r="C1294" s="106"/>
      <c r="D1294" s="106"/>
      <c r="E1294" s="52"/>
    </row>
    <row r="1295" spans="1:5" s="103" customFormat="1" ht="13.2" hidden="1" outlineLevel="1" x14ac:dyDescent="0.25">
      <c r="A1295" s="106" t="s">
        <v>2614</v>
      </c>
      <c r="B1295" s="106" t="s">
        <v>2615</v>
      </c>
      <c r="C1295" s="106"/>
      <c r="D1295" s="106"/>
      <c r="E1295" s="52"/>
    </row>
    <row r="1296" spans="1:5" s="103" customFormat="1" ht="13.2" hidden="1" outlineLevel="1" x14ac:dyDescent="0.25">
      <c r="A1296" s="106" t="s">
        <v>2616</v>
      </c>
      <c r="B1296" s="106" t="s">
        <v>2617</v>
      </c>
      <c r="C1296" s="106"/>
      <c r="D1296" s="106"/>
      <c r="E1296" s="52"/>
    </row>
    <row r="1297" spans="1:5" s="103" customFormat="1" ht="13.2" hidden="1" outlineLevel="1" x14ac:dyDescent="0.25">
      <c r="A1297" s="106" t="s">
        <v>2618</v>
      </c>
      <c r="B1297" s="106" t="s">
        <v>2619</v>
      </c>
      <c r="C1297" s="106"/>
      <c r="D1297" s="106"/>
      <c r="E1297" s="52"/>
    </row>
    <row r="1298" spans="1:5" s="103" customFormat="1" ht="13.2" hidden="1" outlineLevel="1" x14ac:dyDescent="0.25">
      <c r="A1298" s="106" t="s">
        <v>2620</v>
      </c>
      <c r="B1298" s="106" t="s">
        <v>2621</v>
      </c>
      <c r="C1298" s="106"/>
      <c r="D1298" s="106"/>
      <c r="E1298" s="52"/>
    </row>
    <row r="1299" spans="1:5" s="103" customFormat="1" ht="13.2" hidden="1" outlineLevel="1" x14ac:dyDescent="0.25">
      <c r="A1299" s="106" t="s">
        <v>2622</v>
      </c>
      <c r="B1299" s="106" t="s">
        <v>2623</v>
      </c>
      <c r="C1299" s="106"/>
      <c r="D1299" s="106"/>
      <c r="E1299" s="52"/>
    </row>
    <row r="1300" spans="1:5" s="103" customFormat="1" ht="13.2" hidden="1" outlineLevel="1" x14ac:dyDescent="0.25">
      <c r="A1300" s="106" t="s">
        <v>2624</v>
      </c>
      <c r="B1300" s="106" t="s">
        <v>2625</v>
      </c>
      <c r="C1300" s="106"/>
      <c r="D1300" s="106"/>
      <c r="E1300" s="52"/>
    </row>
    <row r="1301" spans="1:5" s="103" customFormat="1" ht="13.2" hidden="1" outlineLevel="1" x14ac:dyDescent="0.25">
      <c r="A1301" s="106" t="s">
        <v>2626</v>
      </c>
      <c r="B1301" s="106" t="s">
        <v>2627</v>
      </c>
      <c r="C1301" s="106"/>
      <c r="D1301" s="106"/>
      <c r="E1301" s="52"/>
    </row>
    <row r="1302" spans="1:5" s="103" customFormat="1" ht="13.2" hidden="1" outlineLevel="1" x14ac:dyDescent="0.25">
      <c r="A1302" s="106" t="s">
        <v>2628</v>
      </c>
      <c r="B1302" s="106" t="s">
        <v>2629</v>
      </c>
      <c r="C1302" s="106"/>
      <c r="D1302" s="106"/>
      <c r="E1302" s="52"/>
    </row>
    <row r="1303" spans="1:5" s="103" customFormat="1" ht="13.2" hidden="1" outlineLevel="1" x14ac:dyDescent="0.25">
      <c r="A1303" s="106" t="s">
        <v>2630</v>
      </c>
      <c r="B1303" s="106" t="s">
        <v>2631</v>
      </c>
      <c r="C1303" s="106"/>
      <c r="D1303" s="106"/>
      <c r="E1303" s="52"/>
    </row>
    <row r="1304" spans="1:5" s="103" customFormat="1" ht="13.2" hidden="1" outlineLevel="1" x14ac:dyDescent="0.25">
      <c r="A1304" s="106" t="s">
        <v>2632</v>
      </c>
      <c r="B1304" s="106" t="s">
        <v>2633</v>
      </c>
      <c r="C1304" s="106"/>
      <c r="D1304" s="106"/>
      <c r="E1304" s="52"/>
    </row>
    <row r="1305" spans="1:5" s="103" customFormat="1" ht="13.2" hidden="1" outlineLevel="1" x14ac:dyDescent="0.25">
      <c r="A1305" s="106" t="s">
        <v>2634</v>
      </c>
      <c r="B1305" s="106" t="s">
        <v>2635</v>
      </c>
      <c r="C1305" s="106"/>
      <c r="D1305" s="106"/>
      <c r="E1305" s="52"/>
    </row>
    <row r="1306" spans="1:5" s="103" customFormat="1" ht="13.2" hidden="1" outlineLevel="1" x14ac:dyDescent="0.25">
      <c r="A1306" s="106" t="s">
        <v>2636</v>
      </c>
      <c r="B1306" s="106" t="s">
        <v>2637</v>
      </c>
      <c r="C1306" s="106"/>
      <c r="D1306" s="106"/>
      <c r="E1306" s="52"/>
    </row>
    <row r="1307" spans="1:5" s="103" customFormat="1" ht="13.2" hidden="1" outlineLevel="1" x14ac:dyDescent="0.25">
      <c r="A1307" s="106" t="s">
        <v>2638</v>
      </c>
      <c r="B1307" s="106" t="s">
        <v>2639</v>
      </c>
      <c r="C1307" s="106"/>
      <c r="D1307" s="106"/>
      <c r="E1307" s="52"/>
    </row>
    <row r="1308" spans="1:5" s="103" customFormat="1" ht="13.2" hidden="1" outlineLevel="1" x14ac:dyDescent="0.25">
      <c r="A1308" s="106" t="s">
        <v>2640</v>
      </c>
      <c r="B1308" s="106" t="s">
        <v>2641</v>
      </c>
      <c r="C1308" s="106"/>
      <c r="D1308" s="106"/>
      <c r="E1308" s="52"/>
    </row>
    <row r="1309" spans="1:5" s="103" customFormat="1" ht="13.2" hidden="1" outlineLevel="1" x14ac:dyDescent="0.25">
      <c r="A1309" s="106" t="s">
        <v>2642</v>
      </c>
      <c r="B1309" s="106" t="s">
        <v>2643</v>
      </c>
      <c r="C1309" s="106"/>
      <c r="D1309" s="106"/>
      <c r="E1309" s="52"/>
    </row>
    <row r="1310" spans="1:5" s="103" customFormat="1" ht="13.2" hidden="1" outlineLevel="1" x14ac:dyDescent="0.25">
      <c r="A1310" s="106" t="s">
        <v>2644</v>
      </c>
      <c r="B1310" s="106" t="s">
        <v>2645</v>
      </c>
      <c r="C1310" s="106"/>
      <c r="D1310" s="106"/>
      <c r="E1310" s="52"/>
    </row>
    <row r="1311" spans="1:5" s="103" customFormat="1" ht="13.2" hidden="1" outlineLevel="1" x14ac:dyDescent="0.25">
      <c r="A1311" s="106" t="s">
        <v>2646</v>
      </c>
      <c r="B1311" s="106" t="s">
        <v>2647</v>
      </c>
      <c r="C1311" s="106"/>
      <c r="D1311" s="106"/>
      <c r="E1311" s="52"/>
    </row>
    <row r="1312" spans="1:5" s="103" customFormat="1" ht="13.2" hidden="1" outlineLevel="1" x14ac:dyDescent="0.25">
      <c r="A1312" s="106" t="s">
        <v>2648</v>
      </c>
      <c r="B1312" s="106" t="s">
        <v>2649</v>
      </c>
      <c r="C1312" s="106"/>
      <c r="D1312" s="106"/>
      <c r="E1312" s="52"/>
    </row>
    <row r="1313" spans="1:5" s="103" customFormat="1" ht="13.2" hidden="1" outlineLevel="1" x14ac:dyDescent="0.25">
      <c r="A1313" s="106" t="s">
        <v>2650</v>
      </c>
      <c r="B1313" s="106" t="s">
        <v>2651</v>
      </c>
      <c r="C1313" s="106"/>
      <c r="D1313" s="106"/>
      <c r="E1313" s="52"/>
    </row>
    <row r="1314" spans="1:5" s="103" customFormat="1" ht="13.2" hidden="1" outlineLevel="1" x14ac:dyDescent="0.25">
      <c r="A1314" s="106" t="s">
        <v>2652</v>
      </c>
      <c r="B1314" s="106" t="s">
        <v>2653</v>
      </c>
      <c r="C1314" s="106"/>
      <c r="D1314" s="106"/>
      <c r="E1314" s="52"/>
    </row>
    <row r="1315" spans="1:5" s="103" customFormat="1" ht="13.2" hidden="1" outlineLevel="1" x14ac:dyDescent="0.25">
      <c r="A1315" s="106" t="s">
        <v>2654</v>
      </c>
      <c r="B1315" s="106" t="s">
        <v>2655</v>
      </c>
      <c r="C1315" s="106"/>
      <c r="D1315" s="106"/>
      <c r="E1315" s="52"/>
    </row>
    <row r="1316" spans="1:5" s="103" customFormat="1" ht="13.2" hidden="1" outlineLevel="1" x14ac:dyDescent="0.25">
      <c r="A1316" s="106" t="s">
        <v>2656</v>
      </c>
      <c r="B1316" s="106" t="s">
        <v>2657</v>
      </c>
      <c r="C1316" s="106"/>
      <c r="D1316" s="106"/>
      <c r="E1316" s="52"/>
    </row>
    <row r="1317" spans="1:5" s="103" customFormat="1" ht="13.2" hidden="1" outlineLevel="1" x14ac:dyDescent="0.25">
      <c r="A1317" s="106" t="s">
        <v>2658</v>
      </c>
      <c r="B1317" s="106" t="s">
        <v>2659</v>
      </c>
      <c r="C1317" s="106"/>
      <c r="D1317" s="106"/>
      <c r="E1317" s="52"/>
    </row>
    <row r="1318" spans="1:5" s="103" customFormat="1" ht="13.2" hidden="1" outlineLevel="1" x14ac:dyDescent="0.25">
      <c r="A1318" s="106" t="s">
        <v>2660</v>
      </c>
      <c r="B1318" s="106" t="s">
        <v>2661</v>
      </c>
      <c r="C1318" s="106"/>
      <c r="D1318" s="106"/>
      <c r="E1318" s="52"/>
    </row>
    <row r="1319" spans="1:5" s="103" customFormat="1" ht="13.2" hidden="1" outlineLevel="1" x14ac:dyDescent="0.25">
      <c r="A1319" s="106" t="s">
        <v>2662</v>
      </c>
      <c r="B1319" s="106" t="s">
        <v>2663</v>
      </c>
      <c r="C1319" s="106"/>
      <c r="D1319" s="106"/>
      <c r="E1319" s="52"/>
    </row>
    <row r="1320" spans="1:5" s="103" customFormat="1" ht="13.2" hidden="1" outlineLevel="1" x14ac:dyDescent="0.25">
      <c r="A1320" s="106" t="s">
        <v>2664</v>
      </c>
      <c r="B1320" s="106" t="s">
        <v>2665</v>
      </c>
      <c r="C1320" s="106"/>
      <c r="D1320" s="106"/>
      <c r="E1320" s="52"/>
    </row>
    <row r="1321" spans="1:5" s="103" customFormat="1" ht="13.2" hidden="1" outlineLevel="1" x14ac:dyDescent="0.25">
      <c r="A1321" s="106" t="s">
        <v>2666</v>
      </c>
      <c r="B1321" s="106" t="s">
        <v>2667</v>
      </c>
      <c r="C1321" s="106"/>
      <c r="D1321" s="106"/>
      <c r="E1321" s="52"/>
    </row>
    <row r="1322" spans="1:5" s="103" customFormat="1" ht="13.2" hidden="1" outlineLevel="1" x14ac:dyDescent="0.25">
      <c r="A1322" s="106" t="s">
        <v>2668</v>
      </c>
      <c r="B1322" s="106" t="s">
        <v>2669</v>
      </c>
      <c r="C1322" s="106"/>
      <c r="D1322" s="106"/>
      <c r="E1322" s="52"/>
    </row>
    <row r="1323" spans="1:5" s="103" customFormat="1" ht="13.2" hidden="1" outlineLevel="1" x14ac:dyDescent="0.25">
      <c r="A1323" s="106" t="s">
        <v>2670</v>
      </c>
      <c r="B1323" s="106" t="s">
        <v>2671</v>
      </c>
      <c r="C1323" s="106"/>
      <c r="D1323" s="106"/>
      <c r="E1323" s="52"/>
    </row>
    <row r="1324" spans="1:5" s="103" customFormat="1" ht="13.2" hidden="1" outlineLevel="1" x14ac:dyDescent="0.25">
      <c r="A1324" s="106" t="s">
        <v>2672</v>
      </c>
      <c r="B1324" s="106" t="s">
        <v>2673</v>
      </c>
      <c r="C1324" s="106"/>
      <c r="D1324" s="106"/>
      <c r="E1324" s="52"/>
    </row>
    <row r="1325" spans="1:5" s="103" customFormat="1" ht="13.2" hidden="1" outlineLevel="1" x14ac:dyDescent="0.25">
      <c r="A1325" s="106" t="s">
        <v>2674</v>
      </c>
      <c r="B1325" s="106" t="s">
        <v>2675</v>
      </c>
      <c r="C1325" s="106"/>
      <c r="D1325" s="106"/>
      <c r="E1325" s="52"/>
    </row>
    <row r="1326" spans="1:5" s="103" customFormat="1" ht="13.2" hidden="1" outlineLevel="1" x14ac:dyDescent="0.25">
      <c r="A1326" s="106" t="s">
        <v>2676</v>
      </c>
      <c r="B1326" s="106" t="s">
        <v>2677</v>
      </c>
      <c r="C1326" s="106"/>
      <c r="D1326" s="106"/>
      <c r="E1326" s="52"/>
    </row>
    <row r="1327" spans="1:5" s="103" customFormat="1" ht="13.2" hidden="1" outlineLevel="1" x14ac:dyDescent="0.25">
      <c r="A1327" s="106" t="s">
        <v>2678</v>
      </c>
      <c r="B1327" s="106" t="s">
        <v>2679</v>
      </c>
      <c r="C1327" s="106"/>
      <c r="D1327" s="106"/>
      <c r="E1327" s="52"/>
    </row>
    <row r="1328" spans="1:5" s="103" customFormat="1" ht="13.2" hidden="1" outlineLevel="1" x14ac:dyDescent="0.25">
      <c r="A1328" s="106" t="s">
        <v>2680</v>
      </c>
      <c r="B1328" s="106" t="s">
        <v>2681</v>
      </c>
      <c r="C1328" s="106"/>
      <c r="D1328" s="106"/>
      <c r="E1328" s="52"/>
    </row>
    <row r="1329" spans="1:5" s="103" customFormat="1" ht="13.2" hidden="1" outlineLevel="1" x14ac:dyDescent="0.25">
      <c r="A1329" s="106" t="s">
        <v>2682</v>
      </c>
      <c r="B1329" s="106" t="s">
        <v>2683</v>
      </c>
      <c r="C1329" s="106"/>
      <c r="D1329" s="106"/>
      <c r="E1329" s="52"/>
    </row>
    <row r="1330" spans="1:5" s="103" customFormat="1" ht="13.2" hidden="1" outlineLevel="1" x14ac:dyDescent="0.25">
      <c r="A1330" s="106" t="s">
        <v>2684</v>
      </c>
      <c r="B1330" s="106" t="s">
        <v>2685</v>
      </c>
      <c r="C1330" s="106"/>
      <c r="D1330" s="106"/>
      <c r="E1330" s="52"/>
    </row>
    <row r="1331" spans="1:5" s="103" customFormat="1" ht="13.2" hidden="1" outlineLevel="1" x14ac:dyDescent="0.25">
      <c r="A1331" s="106" t="s">
        <v>2686</v>
      </c>
      <c r="B1331" s="106" t="s">
        <v>2687</v>
      </c>
      <c r="C1331" s="106"/>
      <c r="D1331" s="106"/>
      <c r="E1331" s="52"/>
    </row>
    <row r="1332" spans="1:5" s="103" customFormat="1" ht="13.2" hidden="1" outlineLevel="1" x14ac:dyDescent="0.25">
      <c r="A1332" s="106" t="s">
        <v>2688</v>
      </c>
      <c r="B1332" s="106" t="s">
        <v>2689</v>
      </c>
      <c r="C1332" s="106"/>
      <c r="D1332" s="106"/>
      <c r="E1332" s="52"/>
    </row>
    <row r="1333" spans="1:5" s="103" customFormat="1" ht="13.2" hidden="1" outlineLevel="1" x14ac:dyDescent="0.25">
      <c r="A1333" s="106" t="s">
        <v>2690</v>
      </c>
      <c r="B1333" s="106" t="s">
        <v>2691</v>
      </c>
      <c r="C1333" s="106"/>
      <c r="D1333" s="106"/>
      <c r="E1333" s="52"/>
    </row>
    <row r="1334" spans="1:5" s="103" customFormat="1" ht="13.2" hidden="1" outlineLevel="1" x14ac:dyDescent="0.25">
      <c r="A1334" s="106" t="s">
        <v>2692</v>
      </c>
      <c r="B1334" s="106" t="s">
        <v>2693</v>
      </c>
      <c r="C1334" s="106"/>
      <c r="D1334" s="106"/>
      <c r="E1334" s="52"/>
    </row>
    <row r="1335" spans="1:5" s="103" customFormat="1" ht="13.2" hidden="1" outlineLevel="1" x14ac:dyDescent="0.25">
      <c r="A1335" s="106" t="s">
        <v>2694</v>
      </c>
      <c r="B1335" s="106" t="s">
        <v>2695</v>
      </c>
      <c r="C1335" s="106"/>
      <c r="D1335" s="106"/>
      <c r="E1335" s="52"/>
    </row>
    <row r="1336" spans="1:5" s="103" customFormat="1" ht="13.2" hidden="1" outlineLevel="1" x14ac:dyDescent="0.25">
      <c r="A1336" s="106" t="s">
        <v>2696</v>
      </c>
      <c r="B1336" s="106" t="s">
        <v>2697</v>
      </c>
      <c r="C1336" s="106"/>
      <c r="D1336" s="106"/>
      <c r="E1336" s="52"/>
    </row>
    <row r="1337" spans="1:5" s="103" customFormat="1" ht="13.2" hidden="1" outlineLevel="1" x14ac:dyDescent="0.25">
      <c r="A1337" s="106" t="s">
        <v>2698</v>
      </c>
      <c r="B1337" s="106" t="s">
        <v>2699</v>
      </c>
      <c r="C1337" s="106"/>
      <c r="D1337" s="106"/>
      <c r="E1337" s="52"/>
    </row>
    <row r="1338" spans="1:5" s="103" customFormat="1" ht="13.2" hidden="1" outlineLevel="1" x14ac:dyDescent="0.25">
      <c r="A1338" s="106" t="s">
        <v>2700</v>
      </c>
      <c r="B1338" s="106" t="s">
        <v>2701</v>
      </c>
      <c r="C1338" s="106"/>
      <c r="D1338" s="106"/>
      <c r="E1338" s="52"/>
    </row>
    <row r="1339" spans="1:5" s="103" customFormat="1" ht="13.2" hidden="1" outlineLevel="1" x14ac:dyDescent="0.25">
      <c r="A1339" s="106" t="s">
        <v>2702</v>
      </c>
      <c r="B1339" s="106" t="s">
        <v>2703</v>
      </c>
      <c r="C1339" s="106"/>
      <c r="D1339" s="106"/>
      <c r="E1339" s="52"/>
    </row>
    <row r="1340" spans="1:5" s="103" customFormat="1" ht="13.2" hidden="1" outlineLevel="1" x14ac:dyDescent="0.25">
      <c r="A1340" s="106" t="s">
        <v>2704</v>
      </c>
      <c r="B1340" s="106" t="s">
        <v>2705</v>
      </c>
      <c r="C1340" s="106"/>
      <c r="D1340" s="106"/>
      <c r="E1340" s="52"/>
    </row>
    <row r="1341" spans="1:5" s="103" customFormat="1" ht="13.2" hidden="1" outlineLevel="1" x14ac:dyDescent="0.25">
      <c r="A1341" s="106" t="s">
        <v>2706</v>
      </c>
      <c r="B1341" s="106" t="s">
        <v>2707</v>
      </c>
      <c r="C1341" s="106"/>
      <c r="D1341" s="106"/>
      <c r="E1341" s="52"/>
    </row>
    <row r="1342" spans="1:5" s="103" customFormat="1" ht="13.2" hidden="1" outlineLevel="1" x14ac:dyDescent="0.25">
      <c r="A1342" s="106" t="s">
        <v>2708</v>
      </c>
      <c r="B1342" s="106" t="s">
        <v>2709</v>
      </c>
      <c r="C1342" s="106"/>
      <c r="D1342" s="106"/>
      <c r="E1342" s="52"/>
    </row>
    <row r="1343" spans="1:5" s="103" customFormat="1" ht="13.2" hidden="1" outlineLevel="1" x14ac:dyDescent="0.25">
      <c r="A1343" s="106" t="s">
        <v>2710</v>
      </c>
      <c r="B1343" s="106" t="s">
        <v>2711</v>
      </c>
      <c r="C1343" s="106"/>
      <c r="D1343" s="106"/>
      <c r="E1343" s="52"/>
    </row>
    <row r="1344" spans="1:5" s="103" customFormat="1" ht="13.2" hidden="1" outlineLevel="1" x14ac:dyDescent="0.25">
      <c r="A1344" s="106" t="s">
        <v>2712</v>
      </c>
      <c r="B1344" s="106" t="s">
        <v>2713</v>
      </c>
      <c r="C1344" s="106"/>
      <c r="D1344" s="106"/>
      <c r="E1344" s="52"/>
    </row>
    <row r="1345" spans="1:5" s="103" customFormat="1" ht="13.2" hidden="1" outlineLevel="1" x14ac:dyDescent="0.25">
      <c r="A1345" s="106" t="s">
        <v>2714</v>
      </c>
      <c r="B1345" s="106" t="s">
        <v>2715</v>
      </c>
      <c r="C1345" s="106"/>
      <c r="D1345" s="106"/>
      <c r="E1345" s="52"/>
    </row>
    <row r="1346" spans="1:5" s="103" customFormat="1" ht="13.2" hidden="1" outlineLevel="1" x14ac:dyDescent="0.25">
      <c r="A1346" s="106" t="s">
        <v>2716</v>
      </c>
      <c r="B1346" s="106" t="s">
        <v>2717</v>
      </c>
      <c r="C1346" s="106"/>
      <c r="D1346" s="106"/>
      <c r="E1346" s="52"/>
    </row>
    <row r="1347" spans="1:5" s="103" customFormat="1" ht="13.2" hidden="1" outlineLevel="1" x14ac:dyDescent="0.25">
      <c r="A1347" s="106" t="s">
        <v>2718</v>
      </c>
      <c r="B1347" s="106" t="s">
        <v>2719</v>
      </c>
      <c r="C1347" s="106"/>
      <c r="D1347" s="106"/>
      <c r="E1347" s="52"/>
    </row>
    <row r="1348" spans="1:5" s="103" customFormat="1" ht="13.2" hidden="1" outlineLevel="1" x14ac:dyDescent="0.25">
      <c r="A1348" s="106" t="s">
        <v>2720</v>
      </c>
      <c r="B1348" s="106" t="s">
        <v>2721</v>
      </c>
      <c r="C1348" s="106"/>
      <c r="D1348" s="106"/>
      <c r="E1348" s="52"/>
    </row>
    <row r="1349" spans="1:5" s="103" customFormat="1" ht="13.2" hidden="1" outlineLevel="1" x14ac:dyDescent="0.25">
      <c r="A1349" s="106" t="s">
        <v>2722</v>
      </c>
      <c r="B1349" s="106" t="s">
        <v>2723</v>
      </c>
      <c r="C1349" s="106"/>
      <c r="D1349" s="106"/>
      <c r="E1349" s="52"/>
    </row>
    <row r="1350" spans="1:5" s="103" customFormat="1" ht="13.2" hidden="1" outlineLevel="1" x14ac:dyDescent="0.25">
      <c r="A1350" s="106" t="s">
        <v>2724</v>
      </c>
      <c r="B1350" s="106" t="s">
        <v>2725</v>
      </c>
      <c r="C1350" s="106"/>
      <c r="D1350" s="106"/>
      <c r="E1350" s="52"/>
    </row>
    <row r="1351" spans="1:5" s="103" customFormat="1" ht="13.2" hidden="1" outlineLevel="1" x14ac:dyDescent="0.25">
      <c r="A1351" s="106" t="s">
        <v>2726</v>
      </c>
      <c r="B1351" s="106" t="s">
        <v>2727</v>
      </c>
      <c r="C1351" s="106"/>
      <c r="D1351" s="106"/>
      <c r="E1351" s="52"/>
    </row>
    <row r="1352" spans="1:5" s="103" customFormat="1" ht="13.2" hidden="1" outlineLevel="1" x14ac:dyDescent="0.25">
      <c r="A1352" s="106" t="s">
        <v>2728</v>
      </c>
      <c r="B1352" s="106" t="s">
        <v>2729</v>
      </c>
      <c r="C1352" s="106"/>
      <c r="D1352" s="106"/>
      <c r="E1352" s="52"/>
    </row>
    <row r="1353" spans="1:5" s="103" customFormat="1" ht="13.2" hidden="1" outlineLevel="1" x14ac:dyDescent="0.25">
      <c r="A1353" s="106" t="s">
        <v>2730</v>
      </c>
      <c r="B1353" s="106" t="s">
        <v>2731</v>
      </c>
      <c r="C1353" s="106"/>
      <c r="D1353" s="106"/>
      <c r="E1353" s="52"/>
    </row>
    <row r="1354" spans="1:5" s="103" customFormat="1" ht="13.2" collapsed="1" x14ac:dyDescent="0.25">
      <c r="A1354" s="104" t="s">
        <v>2732</v>
      </c>
      <c r="B1354" s="105" t="s">
        <v>2733</v>
      </c>
      <c r="C1354" s="105"/>
      <c r="D1354" s="105"/>
      <c r="E1354" s="51"/>
    </row>
    <row r="1355" spans="1:5" s="103" customFormat="1" ht="13.2" hidden="1" outlineLevel="1" x14ac:dyDescent="0.25">
      <c r="A1355" s="106" t="s">
        <v>2734</v>
      </c>
      <c r="B1355" s="106" t="s">
        <v>2735</v>
      </c>
      <c r="C1355" s="106"/>
      <c r="D1355" s="106"/>
      <c r="E1355" s="52"/>
    </row>
    <row r="1356" spans="1:5" s="103" customFormat="1" ht="13.2" hidden="1" outlineLevel="1" x14ac:dyDescent="0.25">
      <c r="A1356" s="106" t="s">
        <v>2736</v>
      </c>
      <c r="B1356" s="106" t="s">
        <v>2737</v>
      </c>
      <c r="C1356" s="106"/>
      <c r="D1356" s="106"/>
      <c r="E1356" s="52"/>
    </row>
    <row r="1357" spans="1:5" s="103" customFormat="1" ht="13.2" hidden="1" outlineLevel="1" x14ac:dyDescent="0.25">
      <c r="A1357" s="106" t="s">
        <v>2738</v>
      </c>
      <c r="B1357" s="106" t="s">
        <v>2739</v>
      </c>
      <c r="C1357" s="106"/>
      <c r="D1357" s="106"/>
      <c r="E1357" s="52"/>
    </row>
    <row r="1358" spans="1:5" s="103" customFormat="1" ht="13.2" hidden="1" outlineLevel="1" x14ac:dyDescent="0.25">
      <c r="A1358" s="106" t="s">
        <v>2740</v>
      </c>
      <c r="B1358" s="106" t="s">
        <v>2741</v>
      </c>
      <c r="C1358" s="106"/>
      <c r="D1358" s="106"/>
      <c r="E1358" s="52"/>
    </row>
    <row r="1359" spans="1:5" s="103" customFormat="1" ht="13.2" hidden="1" outlineLevel="1" x14ac:dyDescent="0.25">
      <c r="A1359" s="106" t="s">
        <v>2742</v>
      </c>
      <c r="B1359" s="106" t="s">
        <v>2743</v>
      </c>
      <c r="C1359" s="106"/>
      <c r="D1359" s="106"/>
      <c r="E1359" s="52"/>
    </row>
    <row r="1360" spans="1:5" s="103" customFormat="1" ht="13.2" hidden="1" outlineLevel="1" x14ac:dyDescent="0.25">
      <c r="A1360" s="106" t="s">
        <v>2744</v>
      </c>
      <c r="B1360" s="106" t="s">
        <v>2745</v>
      </c>
      <c r="C1360" s="106"/>
      <c r="D1360" s="106"/>
      <c r="E1360" s="52"/>
    </row>
    <row r="1361" spans="1:5" s="103" customFormat="1" ht="13.2" hidden="1" outlineLevel="1" x14ac:dyDescent="0.25">
      <c r="A1361" s="106" t="s">
        <v>2746</v>
      </c>
      <c r="B1361" s="106" t="s">
        <v>2747</v>
      </c>
      <c r="C1361" s="106"/>
      <c r="D1361" s="106"/>
      <c r="E1361" s="52"/>
    </row>
    <row r="1362" spans="1:5" s="103" customFormat="1" ht="13.2" hidden="1" outlineLevel="1" x14ac:dyDescent="0.25">
      <c r="A1362" s="106" t="s">
        <v>2748</v>
      </c>
      <c r="B1362" s="106" t="s">
        <v>2749</v>
      </c>
      <c r="C1362" s="106"/>
      <c r="D1362" s="106"/>
      <c r="E1362" s="52"/>
    </row>
    <row r="1363" spans="1:5" s="103" customFormat="1" ht="13.2" hidden="1" outlineLevel="1" x14ac:dyDescent="0.25">
      <c r="A1363" s="106" t="s">
        <v>2750</v>
      </c>
      <c r="B1363" s="106" t="s">
        <v>2751</v>
      </c>
      <c r="C1363" s="106"/>
      <c r="D1363" s="106"/>
      <c r="E1363" s="52"/>
    </row>
    <row r="1364" spans="1:5" s="103" customFormat="1" ht="13.2" hidden="1" outlineLevel="1" x14ac:dyDescent="0.25">
      <c r="A1364" s="106" t="s">
        <v>2752</v>
      </c>
      <c r="B1364" s="106" t="s">
        <v>2753</v>
      </c>
      <c r="C1364" s="106"/>
      <c r="D1364" s="106"/>
      <c r="E1364" s="52"/>
    </row>
    <row r="1365" spans="1:5" s="103" customFormat="1" ht="13.2" hidden="1" outlineLevel="1" x14ac:dyDescent="0.25">
      <c r="A1365" s="106" t="s">
        <v>2754</v>
      </c>
      <c r="B1365" s="106" t="s">
        <v>2755</v>
      </c>
      <c r="C1365" s="106"/>
      <c r="D1365" s="106"/>
      <c r="E1365" s="52"/>
    </row>
    <row r="1366" spans="1:5" s="103" customFormat="1" ht="13.2" hidden="1" outlineLevel="1" x14ac:dyDescent="0.25">
      <c r="A1366" s="106" t="s">
        <v>2756</v>
      </c>
      <c r="B1366" s="106" t="s">
        <v>2757</v>
      </c>
      <c r="C1366" s="106"/>
      <c r="D1366" s="106"/>
      <c r="E1366" s="52"/>
    </row>
    <row r="1367" spans="1:5" s="103" customFormat="1" ht="13.2" hidden="1" outlineLevel="1" x14ac:dyDescent="0.25">
      <c r="A1367" s="106" t="s">
        <v>2758</v>
      </c>
      <c r="B1367" s="106" t="s">
        <v>2759</v>
      </c>
      <c r="C1367" s="106"/>
      <c r="D1367" s="106"/>
      <c r="E1367" s="52"/>
    </row>
    <row r="1368" spans="1:5" s="103" customFormat="1" ht="13.2" hidden="1" outlineLevel="1" x14ac:dyDescent="0.25">
      <c r="A1368" s="106" t="s">
        <v>2760</v>
      </c>
      <c r="B1368" s="106" t="s">
        <v>2761</v>
      </c>
      <c r="C1368" s="106"/>
      <c r="D1368" s="106"/>
      <c r="E1368" s="52"/>
    </row>
    <row r="1369" spans="1:5" s="103" customFormat="1" ht="13.2" hidden="1" outlineLevel="1" x14ac:dyDescent="0.25">
      <c r="A1369" s="106" t="s">
        <v>2762</v>
      </c>
      <c r="B1369" s="106" t="s">
        <v>2763</v>
      </c>
      <c r="C1369" s="106"/>
      <c r="D1369" s="106"/>
      <c r="E1369" s="52"/>
    </row>
    <row r="1370" spans="1:5" s="103" customFormat="1" ht="13.2" hidden="1" outlineLevel="1" x14ac:dyDescent="0.25">
      <c r="A1370" s="106" t="s">
        <v>2764</v>
      </c>
      <c r="B1370" s="106" t="s">
        <v>2765</v>
      </c>
      <c r="C1370" s="106"/>
      <c r="D1370" s="106"/>
      <c r="E1370" s="52"/>
    </row>
    <row r="1371" spans="1:5" s="103" customFormat="1" ht="13.2" hidden="1" outlineLevel="1" x14ac:dyDescent="0.25">
      <c r="A1371" s="106" t="s">
        <v>2766</v>
      </c>
      <c r="B1371" s="106" t="s">
        <v>2767</v>
      </c>
      <c r="C1371" s="106"/>
      <c r="D1371" s="106"/>
      <c r="E1371" s="52"/>
    </row>
    <row r="1372" spans="1:5" s="103" customFormat="1" ht="13.2" hidden="1" outlineLevel="1" x14ac:dyDescent="0.25">
      <c r="A1372" s="106" t="s">
        <v>2768</v>
      </c>
      <c r="B1372" s="106" t="s">
        <v>2769</v>
      </c>
      <c r="C1372" s="106"/>
      <c r="D1372" s="106"/>
      <c r="E1372" s="52"/>
    </row>
    <row r="1373" spans="1:5" s="103" customFormat="1" ht="13.2" hidden="1" outlineLevel="1" x14ac:dyDescent="0.25">
      <c r="A1373" s="106" t="s">
        <v>2770</v>
      </c>
      <c r="B1373" s="106" t="s">
        <v>2771</v>
      </c>
      <c r="C1373" s="106"/>
      <c r="D1373" s="106"/>
      <c r="E1373" s="52"/>
    </row>
    <row r="1374" spans="1:5" s="103" customFormat="1" ht="13.2" hidden="1" outlineLevel="1" x14ac:dyDescent="0.25">
      <c r="A1374" s="106" t="s">
        <v>2772</v>
      </c>
      <c r="B1374" s="106" t="s">
        <v>2773</v>
      </c>
      <c r="C1374" s="106"/>
      <c r="D1374" s="106"/>
      <c r="E1374" s="52"/>
    </row>
    <row r="1375" spans="1:5" s="103" customFormat="1" ht="13.2" hidden="1" outlineLevel="1" x14ac:dyDescent="0.25">
      <c r="A1375" s="106" t="s">
        <v>2774</v>
      </c>
      <c r="B1375" s="106" t="s">
        <v>2775</v>
      </c>
      <c r="C1375" s="106"/>
      <c r="D1375" s="106"/>
      <c r="E1375" s="52"/>
    </row>
    <row r="1376" spans="1:5" s="103" customFormat="1" ht="13.2" hidden="1" outlineLevel="1" x14ac:dyDescent="0.25">
      <c r="A1376" s="106" t="s">
        <v>2776</v>
      </c>
      <c r="B1376" s="106" t="s">
        <v>2777</v>
      </c>
      <c r="C1376" s="106"/>
      <c r="D1376" s="106"/>
      <c r="E1376" s="52"/>
    </row>
    <row r="1377" spans="1:5" s="103" customFormat="1" ht="13.2" hidden="1" outlineLevel="1" x14ac:dyDescent="0.25">
      <c r="A1377" s="106" t="s">
        <v>2778</v>
      </c>
      <c r="B1377" s="106" t="s">
        <v>2779</v>
      </c>
      <c r="C1377" s="106"/>
      <c r="D1377" s="106"/>
      <c r="E1377" s="52"/>
    </row>
    <row r="1378" spans="1:5" s="103" customFormat="1" ht="13.2" hidden="1" outlineLevel="1" x14ac:dyDescent="0.25">
      <c r="A1378" s="106" t="s">
        <v>2780</v>
      </c>
      <c r="B1378" s="106" t="s">
        <v>2781</v>
      </c>
      <c r="C1378" s="106"/>
      <c r="D1378" s="106"/>
      <c r="E1378" s="52"/>
    </row>
    <row r="1379" spans="1:5" s="103" customFormat="1" ht="13.2" hidden="1" outlineLevel="1" x14ac:dyDescent="0.25">
      <c r="A1379" s="106" t="s">
        <v>2782</v>
      </c>
      <c r="B1379" s="106" t="s">
        <v>2783</v>
      </c>
      <c r="C1379" s="106"/>
      <c r="D1379" s="106"/>
      <c r="E1379" s="52"/>
    </row>
    <row r="1380" spans="1:5" s="103" customFormat="1" ht="13.2" hidden="1" outlineLevel="1" x14ac:dyDescent="0.25">
      <c r="A1380" s="106" t="s">
        <v>2784</v>
      </c>
      <c r="B1380" s="106" t="s">
        <v>2785</v>
      </c>
      <c r="C1380" s="106"/>
      <c r="D1380" s="106"/>
      <c r="E1380" s="52"/>
    </row>
    <row r="1381" spans="1:5" s="103" customFormat="1" ht="13.2" hidden="1" outlineLevel="1" x14ac:dyDescent="0.25">
      <c r="A1381" s="106" t="s">
        <v>2786</v>
      </c>
      <c r="B1381" s="106" t="s">
        <v>2787</v>
      </c>
      <c r="C1381" s="106"/>
      <c r="D1381" s="106"/>
      <c r="E1381" s="52"/>
    </row>
    <row r="1382" spans="1:5" s="103" customFormat="1" ht="13.2" hidden="1" outlineLevel="1" x14ac:dyDescent="0.25">
      <c r="A1382" s="106" t="s">
        <v>2788</v>
      </c>
      <c r="B1382" s="106" t="s">
        <v>2789</v>
      </c>
      <c r="C1382" s="106"/>
      <c r="D1382" s="106"/>
      <c r="E1382" s="52"/>
    </row>
    <row r="1383" spans="1:5" s="103" customFormat="1" ht="13.2" hidden="1" outlineLevel="1" x14ac:dyDescent="0.25">
      <c r="A1383" s="106" t="s">
        <v>2790</v>
      </c>
      <c r="B1383" s="106" t="s">
        <v>2791</v>
      </c>
      <c r="C1383" s="106"/>
      <c r="D1383" s="106"/>
      <c r="E1383" s="52"/>
    </row>
    <row r="1384" spans="1:5" s="103" customFormat="1" ht="13.2" hidden="1" outlineLevel="1" x14ac:dyDescent="0.25">
      <c r="A1384" s="106" t="s">
        <v>2792</v>
      </c>
      <c r="B1384" s="106" t="s">
        <v>2793</v>
      </c>
      <c r="C1384" s="106"/>
      <c r="D1384" s="106"/>
      <c r="E1384" s="52"/>
    </row>
    <row r="1385" spans="1:5" s="103" customFormat="1" ht="13.2" hidden="1" outlineLevel="1" x14ac:dyDescent="0.25">
      <c r="A1385" s="106" t="s">
        <v>2794</v>
      </c>
      <c r="B1385" s="106" t="s">
        <v>2795</v>
      </c>
      <c r="C1385" s="106"/>
      <c r="D1385" s="106"/>
      <c r="E1385" s="52"/>
    </row>
    <row r="1386" spans="1:5" s="103" customFormat="1" ht="13.2" hidden="1" outlineLevel="1" x14ac:dyDescent="0.25">
      <c r="A1386" s="106" t="s">
        <v>2796</v>
      </c>
      <c r="B1386" s="106" t="s">
        <v>2797</v>
      </c>
      <c r="C1386" s="106"/>
      <c r="D1386" s="106"/>
      <c r="E1386" s="52"/>
    </row>
    <row r="1387" spans="1:5" s="103" customFormat="1" ht="13.2" hidden="1" outlineLevel="1" x14ac:dyDescent="0.25">
      <c r="A1387" s="106" t="s">
        <v>2798</v>
      </c>
      <c r="B1387" s="106" t="s">
        <v>2799</v>
      </c>
      <c r="C1387" s="106"/>
      <c r="D1387" s="106"/>
      <c r="E1387" s="52"/>
    </row>
    <row r="1388" spans="1:5" s="103" customFormat="1" ht="13.2" hidden="1" outlineLevel="1" x14ac:dyDescent="0.25">
      <c r="A1388" s="106" t="s">
        <v>2800</v>
      </c>
      <c r="B1388" s="106" t="s">
        <v>2801</v>
      </c>
      <c r="C1388" s="106"/>
      <c r="D1388" s="106"/>
      <c r="E1388" s="52"/>
    </row>
    <row r="1389" spans="1:5" s="103" customFormat="1" ht="13.2" hidden="1" outlineLevel="1" x14ac:dyDescent="0.25">
      <c r="A1389" s="106" t="s">
        <v>2802</v>
      </c>
      <c r="B1389" s="106" t="s">
        <v>2803</v>
      </c>
      <c r="C1389" s="106"/>
      <c r="D1389" s="106"/>
      <c r="E1389" s="52"/>
    </row>
    <row r="1390" spans="1:5" s="103" customFormat="1" ht="13.2" hidden="1" outlineLevel="1" x14ac:dyDescent="0.25">
      <c r="A1390" s="106" t="s">
        <v>2804</v>
      </c>
      <c r="B1390" s="106" t="s">
        <v>2805</v>
      </c>
      <c r="C1390" s="106"/>
      <c r="D1390" s="106"/>
      <c r="E1390" s="52"/>
    </row>
    <row r="1391" spans="1:5" s="103" customFormat="1" ht="13.2" hidden="1" outlineLevel="1" x14ac:dyDescent="0.25">
      <c r="A1391" s="106" t="s">
        <v>2806</v>
      </c>
      <c r="B1391" s="106" t="s">
        <v>2807</v>
      </c>
      <c r="C1391" s="106"/>
      <c r="D1391" s="106"/>
      <c r="E1391" s="52"/>
    </row>
    <row r="1392" spans="1:5" s="103" customFormat="1" ht="13.2" hidden="1" outlineLevel="1" x14ac:dyDescent="0.25">
      <c r="A1392" s="106" t="s">
        <v>2808</v>
      </c>
      <c r="B1392" s="106" t="s">
        <v>2809</v>
      </c>
      <c r="C1392" s="106"/>
      <c r="D1392" s="106"/>
      <c r="E1392" s="52"/>
    </row>
    <row r="1393" spans="1:5" s="103" customFormat="1" ht="13.2" hidden="1" outlineLevel="1" x14ac:dyDescent="0.25">
      <c r="A1393" s="106" t="s">
        <v>2810</v>
      </c>
      <c r="B1393" s="106" t="s">
        <v>2811</v>
      </c>
      <c r="C1393" s="106"/>
      <c r="D1393" s="106"/>
      <c r="E1393" s="52"/>
    </row>
    <row r="1394" spans="1:5" s="103" customFormat="1" ht="13.2" hidden="1" outlineLevel="1" x14ac:dyDescent="0.25">
      <c r="A1394" s="106" t="s">
        <v>2812</v>
      </c>
      <c r="B1394" s="106" t="s">
        <v>2813</v>
      </c>
      <c r="C1394" s="106"/>
      <c r="D1394" s="106"/>
      <c r="E1394" s="52"/>
    </row>
    <row r="1395" spans="1:5" s="103" customFormat="1" ht="13.2" hidden="1" outlineLevel="1" x14ac:dyDescent="0.25">
      <c r="A1395" s="106" t="s">
        <v>2814</v>
      </c>
      <c r="B1395" s="106" t="s">
        <v>2815</v>
      </c>
      <c r="C1395" s="106"/>
      <c r="D1395" s="106"/>
      <c r="E1395" s="52"/>
    </row>
    <row r="1396" spans="1:5" s="103" customFormat="1" ht="13.2" hidden="1" outlineLevel="1" x14ac:dyDescent="0.25">
      <c r="A1396" s="106" t="s">
        <v>2816</v>
      </c>
      <c r="B1396" s="106" t="s">
        <v>2817</v>
      </c>
      <c r="C1396" s="106"/>
      <c r="D1396" s="106"/>
      <c r="E1396" s="52"/>
    </row>
    <row r="1397" spans="1:5" s="103" customFormat="1" ht="13.2" hidden="1" outlineLevel="1" x14ac:dyDescent="0.25">
      <c r="A1397" s="106" t="s">
        <v>2818</v>
      </c>
      <c r="B1397" s="106" t="s">
        <v>2819</v>
      </c>
      <c r="C1397" s="106"/>
      <c r="D1397" s="106"/>
      <c r="E1397" s="52"/>
    </row>
    <row r="1398" spans="1:5" s="103" customFormat="1" ht="13.2" hidden="1" outlineLevel="1" x14ac:dyDescent="0.25">
      <c r="A1398" s="106" t="s">
        <v>2820</v>
      </c>
      <c r="B1398" s="106" t="s">
        <v>2821</v>
      </c>
      <c r="C1398" s="106"/>
      <c r="D1398" s="106"/>
      <c r="E1398" s="52"/>
    </row>
    <row r="1399" spans="1:5" s="103" customFormat="1" ht="13.2" hidden="1" outlineLevel="1" x14ac:dyDescent="0.25">
      <c r="A1399" s="106" t="s">
        <v>2822</v>
      </c>
      <c r="B1399" s="106" t="s">
        <v>2823</v>
      </c>
      <c r="C1399" s="106"/>
      <c r="D1399" s="106"/>
      <c r="E1399" s="52"/>
    </row>
    <row r="1400" spans="1:5" s="103" customFormat="1" ht="13.2" hidden="1" outlineLevel="1" x14ac:dyDescent="0.25">
      <c r="A1400" s="106" t="s">
        <v>2824</v>
      </c>
      <c r="B1400" s="106" t="s">
        <v>2825</v>
      </c>
      <c r="C1400" s="106"/>
      <c r="D1400" s="106"/>
      <c r="E1400" s="52"/>
    </row>
    <row r="1401" spans="1:5" s="103" customFormat="1" ht="13.2" hidden="1" outlineLevel="1" x14ac:dyDescent="0.25">
      <c r="A1401" s="106" t="s">
        <v>2826</v>
      </c>
      <c r="B1401" s="106" t="s">
        <v>2827</v>
      </c>
      <c r="C1401" s="106"/>
      <c r="D1401" s="106"/>
      <c r="E1401" s="52"/>
    </row>
    <row r="1402" spans="1:5" s="103" customFormat="1" ht="13.2" hidden="1" outlineLevel="1" x14ac:dyDescent="0.25">
      <c r="A1402" s="106" t="s">
        <v>2828</v>
      </c>
      <c r="B1402" s="106" t="s">
        <v>2829</v>
      </c>
      <c r="C1402" s="106"/>
      <c r="D1402" s="106"/>
      <c r="E1402" s="52"/>
    </row>
    <row r="1403" spans="1:5" s="103" customFormat="1" ht="13.2" hidden="1" outlineLevel="1" x14ac:dyDescent="0.25">
      <c r="A1403" s="106" t="s">
        <v>2830</v>
      </c>
      <c r="B1403" s="106" t="s">
        <v>2831</v>
      </c>
      <c r="C1403" s="106"/>
      <c r="D1403" s="106"/>
      <c r="E1403" s="52"/>
    </row>
    <row r="1404" spans="1:5" s="103" customFormat="1" ht="13.2" hidden="1" outlineLevel="1" x14ac:dyDescent="0.25">
      <c r="A1404" s="106" t="s">
        <v>2832</v>
      </c>
      <c r="B1404" s="106" t="s">
        <v>2833</v>
      </c>
      <c r="C1404" s="106"/>
      <c r="D1404" s="106"/>
      <c r="E1404" s="52"/>
    </row>
    <row r="1405" spans="1:5" s="103" customFormat="1" ht="13.2" hidden="1" outlineLevel="1" x14ac:dyDescent="0.25">
      <c r="A1405" s="106" t="s">
        <v>2834</v>
      </c>
      <c r="B1405" s="106" t="s">
        <v>2835</v>
      </c>
      <c r="C1405" s="106"/>
      <c r="D1405" s="106"/>
      <c r="E1405" s="52"/>
    </row>
    <row r="1406" spans="1:5" s="103" customFormat="1" ht="13.2" hidden="1" outlineLevel="1" x14ac:dyDescent="0.25">
      <c r="A1406" s="106" t="s">
        <v>2836</v>
      </c>
      <c r="B1406" s="106" t="s">
        <v>2837</v>
      </c>
      <c r="C1406" s="106"/>
      <c r="D1406" s="106"/>
      <c r="E1406" s="52"/>
    </row>
    <row r="1407" spans="1:5" s="103" customFormat="1" ht="13.2" hidden="1" outlineLevel="1" x14ac:dyDescent="0.25">
      <c r="A1407" s="106" t="s">
        <v>2838</v>
      </c>
      <c r="B1407" s="106" t="s">
        <v>2839</v>
      </c>
      <c r="C1407" s="106"/>
      <c r="D1407" s="106"/>
      <c r="E1407" s="52"/>
    </row>
    <row r="1408" spans="1:5" s="103" customFormat="1" ht="13.2" hidden="1" outlineLevel="1" x14ac:dyDescent="0.25">
      <c r="A1408" s="106" t="s">
        <v>2840</v>
      </c>
      <c r="B1408" s="106" t="s">
        <v>2841</v>
      </c>
      <c r="C1408" s="106"/>
      <c r="D1408" s="106"/>
      <c r="E1408" s="52"/>
    </row>
    <row r="1409" spans="1:5" s="103" customFormat="1" ht="13.2" hidden="1" outlineLevel="1" x14ac:dyDescent="0.25">
      <c r="A1409" s="106" t="s">
        <v>2842</v>
      </c>
      <c r="B1409" s="106" t="s">
        <v>2843</v>
      </c>
      <c r="C1409" s="106"/>
      <c r="D1409" s="106"/>
      <c r="E1409" s="52"/>
    </row>
    <row r="1410" spans="1:5" s="103" customFormat="1" ht="13.2" hidden="1" outlineLevel="1" x14ac:dyDescent="0.25">
      <c r="A1410" s="106" t="s">
        <v>2844</v>
      </c>
      <c r="B1410" s="106" t="s">
        <v>2845</v>
      </c>
      <c r="C1410" s="106"/>
      <c r="D1410" s="106"/>
      <c r="E1410" s="52"/>
    </row>
    <row r="1411" spans="1:5" s="103" customFormat="1" ht="13.2" hidden="1" outlineLevel="1" x14ac:dyDescent="0.25">
      <c r="A1411" s="106" t="s">
        <v>2846</v>
      </c>
      <c r="B1411" s="106" t="s">
        <v>2847</v>
      </c>
      <c r="C1411" s="106"/>
      <c r="D1411" s="106"/>
      <c r="E1411" s="52"/>
    </row>
    <row r="1412" spans="1:5" s="103" customFormat="1" ht="13.2" hidden="1" outlineLevel="1" x14ac:dyDescent="0.25">
      <c r="A1412" s="106" t="s">
        <v>2848</v>
      </c>
      <c r="B1412" s="106" t="s">
        <v>2849</v>
      </c>
      <c r="C1412" s="106"/>
      <c r="D1412" s="106"/>
      <c r="E1412" s="52"/>
    </row>
    <row r="1413" spans="1:5" s="103" customFormat="1" ht="13.2" hidden="1" outlineLevel="1" x14ac:dyDescent="0.25">
      <c r="A1413" s="106" t="s">
        <v>2850</v>
      </c>
      <c r="B1413" s="106" t="s">
        <v>2851</v>
      </c>
      <c r="C1413" s="106"/>
      <c r="D1413" s="106"/>
      <c r="E1413" s="52"/>
    </row>
    <row r="1414" spans="1:5" s="103" customFormat="1" ht="13.2" hidden="1" outlineLevel="1" x14ac:dyDescent="0.25">
      <c r="A1414" s="106" t="s">
        <v>2852</v>
      </c>
      <c r="B1414" s="106" t="s">
        <v>2853</v>
      </c>
      <c r="C1414" s="106"/>
      <c r="D1414" s="106"/>
      <c r="E1414" s="52"/>
    </row>
    <row r="1415" spans="1:5" s="103" customFormat="1" ht="13.2" hidden="1" outlineLevel="1" x14ac:dyDescent="0.25">
      <c r="A1415" s="106" t="s">
        <v>2854</v>
      </c>
      <c r="B1415" s="106" t="s">
        <v>2855</v>
      </c>
      <c r="C1415" s="106"/>
      <c r="D1415" s="106"/>
      <c r="E1415" s="52"/>
    </row>
    <row r="1416" spans="1:5" s="103" customFormat="1" ht="13.2" hidden="1" outlineLevel="1" x14ac:dyDescent="0.25">
      <c r="A1416" s="106" t="s">
        <v>2856</v>
      </c>
      <c r="B1416" s="106" t="s">
        <v>2857</v>
      </c>
      <c r="C1416" s="106"/>
      <c r="D1416" s="106"/>
      <c r="E1416" s="52"/>
    </row>
    <row r="1417" spans="1:5" s="103" customFormat="1" ht="13.2" hidden="1" outlineLevel="1" x14ac:dyDescent="0.25">
      <c r="A1417" s="106" t="s">
        <v>2858</v>
      </c>
      <c r="B1417" s="106" t="s">
        <v>2859</v>
      </c>
      <c r="C1417" s="106"/>
      <c r="D1417" s="106"/>
      <c r="E1417" s="52"/>
    </row>
    <row r="1418" spans="1:5" s="103" customFormat="1" ht="13.2" hidden="1" outlineLevel="1" x14ac:dyDescent="0.25">
      <c r="A1418" s="106" t="s">
        <v>2860</v>
      </c>
      <c r="B1418" s="106" t="s">
        <v>2861</v>
      </c>
      <c r="C1418" s="106"/>
      <c r="D1418" s="106"/>
      <c r="E1418" s="52"/>
    </row>
    <row r="1419" spans="1:5" s="103" customFormat="1" ht="13.2" hidden="1" outlineLevel="1" x14ac:dyDescent="0.25">
      <c r="A1419" s="106" t="s">
        <v>2862</v>
      </c>
      <c r="B1419" s="106" t="s">
        <v>2863</v>
      </c>
      <c r="C1419" s="106"/>
      <c r="D1419" s="106"/>
      <c r="E1419" s="52"/>
    </row>
    <row r="1420" spans="1:5" s="103" customFormat="1" ht="13.2" hidden="1" outlineLevel="1" x14ac:dyDescent="0.25">
      <c r="A1420" s="106" t="s">
        <v>2864</v>
      </c>
      <c r="B1420" s="106" t="s">
        <v>2865</v>
      </c>
      <c r="C1420" s="106"/>
      <c r="D1420" s="106"/>
      <c r="E1420" s="52"/>
    </row>
    <row r="1421" spans="1:5" s="103" customFormat="1" ht="13.2" hidden="1" outlineLevel="1" x14ac:dyDescent="0.25">
      <c r="A1421" s="106" t="s">
        <v>2866</v>
      </c>
      <c r="B1421" s="106" t="s">
        <v>2867</v>
      </c>
      <c r="C1421" s="106"/>
      <c r="D1421" s="106"/>
      <c r="E1421" s="52"/>
    </row>
    <row r="1422" spans="1:5" s="103" customFormat="1" ht="13.2" hidden="1" outlineLevel="1" x14ac:dyDescent="0.25">
      <c r="A1422" s="106" t="s">
        <v>2868</v>
      </c>
      <c r="B1422" s="106" t="s">
        <v>2869</v>
      </c>
      <c r="C1422" s="106"/>
      <c r="D1422" s="106"/>
      <c r="E1422" s="52"/>
    </row>
    <row r="1423" spans="1:5" s="103" customFormat="1" ht="13.2" hidden="1" outlineLevel="1" x14ac:dyDescent="0.25">
      <c r="A1423" s="106" t="s">
        <v>2870</v>
      </c>
      <c r="B1423" s="106" t="s">
        <v>2871</v>
      </c>
      <c r="C1423" s="106"/>
      <c r="D1423" s="106"/>
      <c r="E1423" s="52"/>
    </row>
    <row r="1424" spans="1:5" s="103" customFormat="1" ht="13.2" hidden="1" outlineLevel="1" x14ac:dyDescent="0.25">
      <c r="A1424" s="106" t="s">
        <v>2872</v>
      </c>
      <c r="B1424" s="106" t="s">
        <v>2873</v>
      </c>
      <c r="C1424" s="106"/>
      <c r="D1424" s="106"/>
      <c r="E1424" s="52"/>
    </row>
    <row r="1425" spans="1:5" s="103" customFormat="1" ht="13.2" hidden="1" outlineLevel="1" x14ac:dyDescent="0.25">
      <c r="A1425" s="106" t="s">
        <v>2874</v>
      </c>
      <c r="B1425" s="106" t="s">
        <v>2875</v>
      </c>
      <c r="C1425" s="106"/>
      <c r="D1425" s="106"/>
      <c r="E1425" s="52"/>
    </row>
    <row r="1426" spans="1:5" s="103" customFormat="1" ht="13.2" hidden="1" outlineLevel="1" x14ac:dyDescent="0.25">
      <c r="A1426" s="106" t="s">
        <v>2876</v>
      </c>
      <c r="B1426" s="106" t="s">
        <v>2877</v>
      </c>
      <c r="C1426" s="106"/>
      <c r="D1426" s="106"/>
      <c r="E1426" s="52"/>
    </row>
    <row r="1427" spans="1:5" s="103" customFormat="1" ht="13.2" hidden="1" outlineLevel="1" x14ac:dyDescent="0.25">
      <c r="A1427" s="106" t="s">
        <v>2878</v>
      </c>
      <c r="B1427" s="106" t="s">
        <v>2879</v>
      </c>
      <c r="C1427" s="106"/>
      <c r="D1427" s="106"/>
      <c r="E1427" s="52"/>
    </row>
    <row r="1428" spans="1:5" s="103" customFormat="1" ht="13.2" hidden="1" outlineLevel="1" x14ac:dyDescent="0.25">
      <c r="A1428" s="106" t="s">
        <v>2880</v>
      </c>
      <c r="B1428" s="106" t="s">
        <v>2881</v>
      </c>
      <c r="C1428" s="106"/>
      <c r="D1428" s="106"/>
      <c r="E1428" s="52"/>
    </row>
    <row r="1429" spans="1:5" s="103" customFormat="1" ht="13.2" hidden="1" outlineLevel="1" x14ac:dyDescent="0.25">
      <c r="A1429" s="106" t="s">
        <v>2882</v>
      </c>
      <c r="B1429" s="106" t="s">
        <v>2883</v>
      </c>
      <c r="C1429" s="106"/>
      <c r="D1429" s="106"/>
      <c r="E1429" s="52"/>
    </row>
    <row r="1430" spans="1:5" s="103" customFormat="1" ht="13.2" hidden="1" outlineLevel="1" x14ac:dyDescent="0.25">
      <c r="A1430" s="106" t="s">
        <v>2884</v>
      </c>
      <c r="B1430" s="106" t="s">
        <v>2885</v>
      </c>
      <c r="C1430" s="106"/>
      <c r="D1430" s="106"/>
      <c r="E1430" s="52"/>
    </row>
    <row r="1431" spans="1:5" s="103" customFormat="1" ht="13.2" hidden="1" outlineLevel="1" x14ac:dyDescent="0.25">
      <c r="A1431" s="106" t="s">
        <v>2886</v>
      </c>
      <c r="B1431" s="106" t="s">
        <v>2887</v>
      </c>
      <c r="C1431" s="106"/>
      <c r="D1431" s="106"/>
      <c r="E1431" s="52"/>
    </row>
    <row r="1432" spans="1:5" s="103" customFormat="1" ht="13.2" hidden="1" outlineLevel="1" x14ac:dyDescent="0.25">
      <c r="A1432" s="106" t="s">
        <v>2888</v>
      </c>
      <c r="B1432" s="106" t="s">
        <v>2889</v>
      </c>
      <c r="C1432" s="106"/>
      <c r="D1432" s="106"/>
      <c r="E1432" s="52"/>
    </row>
    <row r="1433" spans="1:5" s="103" customFormat="1" ht="13.2" hidden="1" outlineLevel="1" x14ac:dyDescent="0.25">
      <c r="A1433" s="106" t="s">
        <v>2890</v>
      </c>
      <c r="B1433" s="106" t="s">
        <v>2891</v>
      </c>
      <c r="C1433" s="106"/>
      <c r="D1433" s="106"/>
      <c r="E1433" s="52"/>
    </row>
    <row r="1434" spans="1:5" s="103" customFormat="1" ht="13.2" hidden="1" outlineLevel="1" x14ac:dyDescent="0.25">
      <c r="A1434" s="106" t="s">
        <v>2892</v>
      </c>
      <c r="B1434" s="106" t="s">
        <v>2893</v>
      </c>
      <c r="C1434" s="106"/>
      <c r="D1434" s="106"/>
      <c r="E1434" s="52"/>
    </row>
    <row r="1435" spans="1:5" s="103" customFormat="1" ht="13.2" hidden="1" outlineLevel="1" x14ac:dyDescent="0.25">
      <c r="A1435" s="106" t="s">
        <v>2894</v>
      </c>
      <c r="B1435" s="106" t="s">
        <v>2895</v>
      </c>
      <c r="C1435" s="106"/>
      <c r="D1435" s="106"/>
      <c r="E1435" s="52"/>
    </row>
    <row r="1436" spans="1:5" s="103" customFormat="1" ht="13.2" hidden="1" outlineLevel="1" x14ac:dyDescent="0.25">
      <c r="A1436" s="106" t="s">
        <v>2896</v>
      </c>
      <c r="B1436" s="106" t="s">
        <v>2897</v>
      </c>
      <c r="C1436" s="106"/>
      <c r="D1436" s="106"/>
      <c r="E1436" s="52"/>
    </row>
    <row r="1437" spans="1:5" s="103" customFormat="1" ht="13.2" hidden="1" outlineLevel="1" x14ac:dyDescent="0.25">
      <c r="A1437" s="106" t="s">
        <v>2898</v>
      </c>
      <c r="B1437" s="106" t="s">
        <v>2899</v>
      </c>
      <c r="C1437" s="106"/>
      <c r="D1437" s="106"/>
      <c r="E1437" s="52"/>
    </row>
    <row r="1438" spans="1:5" s="103" customFormat="1" ht="13.2" hidden="1" outlineLevel="1" x14ac:dyDescent="0.25">
      <c r="A1438" s="106" t="s">
        <v>2900</v>
      </c>
      <c r="B1438" s="106" t="s">
        <v>2901</v>
      </c>
      <c r="C1438" s="106"/>
      <c r="D1438" s="106"/>
      <c r="E1438" s="52"/>
    </row>
    <row r="1439" spans="1:5" s="103" customFormat="1" ht="13.2" hidden="1" outlineLevel="1" x14ac:dyDescent="0.25">
      <c r="A1439" s="106" t="s">
        <v>2902</v>
      </c>
      <c r="B1439" s="106" t="s">
        <v>2903</v>
      </c>
      <c r="C1439" s="106"/>
      <c r="D1439" s="106"/>
      <c r="E1439" s="52"/>
    </row>
    <row r="1440" spans="1:5" s="103" customFormat="1" ht="13.2" hidden="1" outlineLevel="1" x14ac:dyDescent="0.25">
      <c r="A1440" s="106" t="s">
        <v>2904</v>
      </c>
      <c r="B1440" s="106" t="s">
        <v>2905</v>
      </c>
      <c r="C1440" s="106"/>
      <c r="D1440" s="106"/>
      <c r="E1440" s="52"/>
    </row>
    <row r="1441" spans="1:5" s="103" customFormat="1" ht="13.2" hidden="1" outlineLevel="1" x14ac:dyDescent="0.25">
      <c r="A1441" s="106" t="s">
        <v>2906</v>
      </c>
      <c r="B1441" s="106" t="s">
        <v>2907</v>
      </c>
      <c r="C1441" s="106"/>
      <c r="D1441" s="106"/>
      <c r="E1441" s="52"/>
    </row>
    <row r="1442" spans="1:5" s="103" customFormat="1" ht="13.2" hidden="1" outlineLevel="1" x14ac:dyDescent="0.25">
      <c r="A1442" s="106" t="s">
        <v>2908</v>
      </c>
      <c r="B1442" s="106" t="s">
        <v>2909</v>
      </c>
      <c r="C1442" s="106"/>
      <c r="D1442" s="106"/>
      <c r="E1442" s="52"/>
    </row>
    <row r="1443" spans="1:5" s="103" customFormat="1" ht="13.2" hidden="1" outlineLevel="1" x14ac:dyDescent="0.25">
      <c r="A1443" s="106" t="s">
        <v>2910</v>
      </c>
      <c r="B1443" s="106" t="s">
        <v>2911</v>
      </c>
      <c r="C1443" s="106"/>
      <c r="D1443" s="106"/>
      <c r="E1443" s="52"/>
    </row>
    <row r="1444" spans="1:5" s="103" customFormat="1" ht="13.2" hidden="1" outlineLevel="1" x14ac:dyDescent="0.25">
      <c r="A1444" s="106" t="s">
        <v>14389</v>
      </c>
      <c r="B1444" s="106" t="s">
        <v>14404</v>
      </c>
      <c r="C1444" s="106"/>
      <c r="D1444" s="106"/>
      <c r="E1444" s="52"/>
    </row>
    <row r="1445" spans="1:5" s="103" customFormat="1" ht="13.2" hidden="1" outlineLevel="1" x14ac:dyDescent="0.25">
      <c r="A1445" s="106" t="s">
        <v>14390</v>
      </c>
      <c r="B1445" s="106" t="s">
        <v>14405</v>
      </c>
      <c r="C1445" s="106"/>
      <c r="D1445" s="106"/>
      <c r="E1445" s="52"/>
    </row>
    <row r="1446" spans="1:5" s="103" customFormat="1" ht="13.2" hidden="1" outlineLevel="1" x14ac:dyDescent="0.25">
      <c r="A1446" s="106" t="s">
        <v>2912</v>
      </c>
      <c r="B1446" s="106" t="s">
        <v>2913</v>
      </c>
      <c r="C1446" s="106"/>
      <c r="D1446" s="106"/>
      <c r="E1446" s="52"/>
    </row>
    <row r="1447" spans="1:5" s="103" customFormat="1" ht="13.2" hidden="1" outlineLevel="1" x14ac:dyDescent="0.25">
      <c r="A1447" s="106" t="s">
        <v>2914</v>
      </c>
      <c r="B1447" s="106" t="s">
        <v>2915</v>
      </c>
      <c r="C1447" s="106"/>
      <c r="D1447" s="106"/>
      <c r="E1447" s="52"/>
    </row>
    <row r="1448" spans="1:5" s="103" customFormat="1" ht="13.2" hidden="1" outlineLevel="1" x14ac:dyDescent="0.25">
      <c r="A1448" s="106" t="s">
        <v>2916</v>
      </c>
      <c r="B1448" s="106" t="s">
        <v>2917</v>
      </c>
      <c r="C1448" s="106"/>
      <c r="D1448" s="106"/>
      <c r="E1448" s="52"/>
    </row>
    <row r="1449" spans="1:5" s="103" customFormat="1" ht="13.2" hidden="1" outlineLevel="1" x14ac:dyDescent="0.25">
      <c r="A1449" s="106" t="s">
        <v>2918</v>
      </c>
      <c r="B1449" s="106" t="s">
        <v>2919</v>
      </c>
      <c r="C1449" s="106"/>
      <c r="D1449" s="106"/>
      <c r="E1449" s="52"/>
    </row>
    <row r="1450" spans="1:5" s="103" customFormat="1" ht="13.2" hidden="1" outlineLevel="1" x14ac:dyDescent="0.25">
      <c r="A1450" s="106" t="s">
        <v>2920</v>
      </c>
      <c r="B1450" s="106" t="s">
        <v>2921</v>
      </c>
      <c r="C1450" s="106"/>
      <c r="D1450" s="106"/>
      <c r="E1450" s="52"/>
    </row>
    <row r="1451" spans="1:5" s="103" customFormat="1" ht="13.2" hidden="1" outlineLevel="1" x14ac:dyDescent="0.25">
      <c r="A1451" s="106" t="s">
        <v>2922</v>
      </c>
      <c r="B1451" s="106" t="s">
        <v>2923</v>
      </c>
      <c r="C1451" s="106"/>
      <c r="D1451" s="106"/>
      <c r="E1451" s="52"/>
    </row>
    <row r="1452" spans="1:5" s="103" customFormat="1" ht="13.2" hidden="1" outlineLevel="1" x14ac:dyDescent="0.25">
      <c r="A1452" s="106" t="s">
        <v>2924</v>
      </c>
      <c r="B1452" s="106" t="s">
        <v>2925</v>
      </c>
      <c r="C1452" s="106"/>
      <c r="D1452" s="106"/>
      <c r="E1452" s="52"/>
    </row>
    <row r="1453" spans="1:5" s="103" customFormat="1" ht="13.2" hidden="1" outlineLevel="1" x14ac:dyDescent="0.25">
      <c r="A1453" s="106" t="s">
        <v>2926</v>
      </c>
      <c r="B1453" s="106" t="s">
        <v>2927</v>
      </c>
      <c r="C1453" s="106"/>
      <c r="D1453" s="106"/>
      <c r="E1453" s="52"/>
    </row>
    <row r="1454" spans="1:5" s="103" customFormat="1" ht="13.2" hidden="1" outlineLevel="1" x14ac:dyDescent="0.25">
      <c r="A1454" s="106" t="s">
        <v>2928</v>
      </c>
      <c r="B1454" s="106" t="s">
        <v>2929</v>
      </c>
      <c r="C1454" s="106"/>
      <c r="D1454" s="106"/>
      <c r="E1454" s="52"/>
    </row>
    <row r="1455" spans="1:5" s="103" customFormat="1" ht="13.2" hidden="1" outlineLevel="1" x14ac:dyDescent="0.25">
      <c r="A1455" s="106" t="s">
        <v>2930</v>
      </c>
      <c r="B1455" s="106" t="s">
        <v>2931</v>
      </c>
      <c r="C1455" s="106"/>
      <c r="D1455" s="106"/>
      <c r="E1455" s="52"/>
    </row>
    <row r="1456" spans="1:5" s="103" customFormat="1" ht="13.2" hidden="1" outlineLevel="1" x14ac:dyDescent="0.25">
      <c r="A1456" s="106" t="s">
        <v>2932</v>
      </c>
      <c r="B1456" s="106" t="s">
        <v>2933</v>
      </c>
      <c r="C1456" s="106"/>
      <c r="D1456" s="106"/>
      <c r="E1456" s="52"/>
    </row>
    <row r="1457" spans="1:5" s="103" customFormat="1" ht="13.2" hidden="1" outlineLevel="1" x14ac:dyDescent="0.25">
      <c r="A1457" s="106" t="s">
        <v>2934</v>
      </c>
      <c r="B1457" s="106" t="s">
        <v>2935</v>
      </c>
      <c r="C1457" s="106"/>
      <c r="D1457" s="106"/>
      <c r="E1457" s="52"/>
    </row>
    <row r="1458" spans="1:5" s="103" customFormat="1" ht="13.2" hidden="1" outlineLevel="1" x14ac:dyDescent="0.25">
      <c r="A1458" s="106" t="s">
        <v>2936</v>
      </c>
      <c r="B1458" s="106" t="s">
        <v>2937</v>
      </c>
      <c r="C1458" s="106"/>
      <c r="D1458" s="106"/>
      <c r="E1458" s="52"/>
    </row>
    <row r="1459" spans="1:5" s="103" customFormat="1" ht="13.2" hidden="1" outlineLevel="1" x14ac:dyDescent="0.25">
      <c r="A1459" s="106" t="s">
        <v>2938</v>
      </c>
      <c r="B1459" s="106" t="s">
        <v>2939</v>
      </c>
      <c r="C1459" s="106"/>
      <c r="D1459" s="106"/>
      <c r="E1459" s="52"/>
    </row>
    <row r="1460" spans="1:5" s="103" customFormat="1" ht="13.2" hidden="1" outlineLevel="1" x14ac:dyDescent="0.25">
      <c r="A1460" s="106" t="s">
        <v>2940</v>
      </c>
      <c r="B1460" s="106" t="s">
        <v>2941</v>
      </c>
      <c r="C1460" s="106"/>
      <c r="D1460" s="106"/>
      <c r="E1460" s="52"/>
    </row>
    <row r="1461" spans="1:5" s="103" customFormat="1" ht="13.2" hidden="1" outlineLevel="1" x14ac:dyDescent="0.25">
      <c r="A1461" s="106" t="s">
        <v>2942</v>
      </c>
      <c r="B1461" s="106" t="s">
        <v>2943</v>
      </c>
      <c r="C1461" s="106"/>
      <c r="D1461" s="106"/>
      <c r="E1461" s="52"/>
    </row>
    <row r="1462" spans="1:5" s="103" customFormat="1" ht="13.2" hidden="1" outlineLevel="1" x14ac:dyDescent="0.25">
      <c r="A1462" s="106" t="s">
        <v>2944</v>
      </c>
      <c r="B1462" s="106" t="s">
        <v>2945</v>
      </c>
      <c r="C1462" s="106"/>
      <c r="D1462" s="106"/>
      <c r="E1462" s="52"/>
    </row>
    <row r="1463" spans="1:5" s="103" customFormat="1" ht="13.2" hidden="1" outlineLevel="1" x14ac:dyDescent="0.25">
      <c r="A1463" s="106" t="s">
        <v>2946</v>
      </c>
      <c r="B1463" s="106" t="s">
        <v>2947</v>
      </c>
      <c r="C1463" s="106"/>
      <c r="D1463" s="106"/>
      <c r="E1463" s="52"/>
    </row>
    <row r="1464" spans="1:5" s="103" customFormat="1" ht="13.2" hidden="1" outlineLevel="1" x14ac:dyDescent="0.25">
      <c r="A1464" s="106" t="s">
        <v>2948</v>
      </c>
      <c r="B1464" s="106" t="s">
        <v>2949</v>
      </c>
      <c r="C1464" s="106"/>
      <c r="D1464" s="106"/>
      <c r="E1464" s="52"/>
    </row>
    <row r="1465" spans="1:5" s="103" customFormat="1" ht="13.2" hidden="1" outlineLevel="1" x14ac:dyDescent="0.25">
      <c r="A1465" s="106" t="s">
        <v>2950</v>
      </c>
      <c r="B1465" s="106" t="s">
        <v>2951</v>
      </c>
      <c r="C1465" s="106"/>
      <c r="D1465" s="106"/>
      <c r="E1465" s="52"/>
    </row>
    <row r="1466" spans="1:5" s="103" customFormat="1" ht="13.2" hidden="1" outlineLevel="1" x14ac:dyDescent="0.25">
      <c r="A1466" s="106" t="s">
        <v>2952</v>
      </c>
      <c r="B1466" s="106" t="s">
        <v>2953</v>
      </c>
      <c r="C1466" s="106"/>
      <c r="D1466" s="106"/>
      <c r="E1466" s="52"/>
    </row>
    <row r="1467" spans="1:5" s="103" customFormat="1" ht="13.2" hidden="1" outlineLevel="1" x14ac:dyDescent="0.25">
      <c r="A1467" s="106" t="s">
        <v>2954</v>
      </c>
      <c r="B1467" s="106" t="s">
        <v>2955</v>
      </c>
      <c r="C1467" s="106"/>
      <c r="D1467" s="106"/>
      <c r="E1467" s="52"/>
    </row>
    <row r="1468" spans="1:5" s="103" customFormat="1" ht="13.2" hidden="1" outlineLevel="1" x14ac:dyDescent="0.25">
      <c r="A1468" s="106" t="s">
        <v>2956</v>
      </c>
      <c r="B1468" s="106" t="s">
        <v>2957</v>
      </c>
      <c r="C1468" s="106"/>
      <c r="D1468" s="106"/>
      <c r="E1468" s="52"/>
    </row>
    <row r="1469" spans="1:5" s="103" customFormat="1" ht="13.2" hidden="1" outlineLevel="1" x14ac:dyDescent="0.25">
      <c r="A1469" s="106" t="s">
        <v>2958</v>
      </c>
      <c r="B1469" s="106" t="s">
        <v>2959</v>
      </c>
      <c r="C1469" s="106"/>
      <c r="D1469" s="106"/>
      <c r="E1469" s="52"/>
    </row>
    <row r="1470" spans="1:5" s="103" customFormat="1" ht="13.2" hidden="1" outlineLevel="1" x14ac:dyDescent="0.25">
      <c r="A1470" s="106" t="s">
        <v>2960</v>
      </c>
      <c r="B1470" s="106" t="s">
        <v>2961</v>
      </c>
      <c r="C1470" s="106"/>
      <c r="D1470" s="106"/>
      <c r="E1470" s="52"/>
    </row>
    <row r="1471" spans="1:5" s="103" customFormat="1" ht="13.2" hidden="1" outlineLevel="1" x14ac:dyDescent="0.25">
      <c r="A1471" s="106" t="s">
        <v>2962</v>
      </c>
      <c r="B1471" s="106" t="s">
        <v>2963</v>
      </c>
      <c r="C1471" s="106"/>
      <c r="D1471" s="106"/>
      <c r="E1471" s="52"/>
    </row>
    <row r="1472" spans="1:5" s="103" customFormat="1" ht="13.2" hidden="1" outlineLevel="1" x14ac:dyDescent="0.25">
      <c r="A1472" s="106" t="s">
        <v>2964</v>
      </c>
      <c r="B1472" s="106" t="s">
        <v>2965</v>
      </c>
      <c r="C1472" s="106"/>
      <c r="D1472" s="106"/>
      <c r="E1472" s="52"/>
    </row>
    <row r="1473" spans="1:5" s="103" customFormat="1" ht="13.2" hidden="1" outlineLevel="1" x14ac:dyDescent="0.25">
      <c r="A1473" s="106" t="s">
        <v>2966</v>
      </c>
      <c r="B1473" s="106" t="s">
        <v>2967</v>
      </c>
      <c r="C1473" s="106"/>
      <c r="D1473" s="106"/>
      <c r="E1473" s="52"/>
    </row>
    <row r="1474" spans="1:5" s="103" customFormat="1" ht="13.2" hidden="1" outlineLevel="1" x14ac:dyDescent="0.25">
      <c r="A1474" s="106" t="s">
        <v>2968</v>
      </c>
      <c r="B1474" s="106" t="s">
        <v>2969</v>
      </c>
      <c r="C1474" s="106"/>
      <c r="D1474" s="106"/>
      <c r="E1474" s="52"/>
    </row>
    <row r="1475" spans="1:5" s="103" customFormat="1" ht="13.2" hidden="1" outlineLevel="1" x14ac:dyDescent="0.25">
      <c r="A1475" s="106" t="s">
        <v>2970</v>
      </c>
      <c r="B1475" s="106" t="s">
        <v>2971</v>
      </c>
      <c r="C1475" s="106"/>
      <c r="D1475" s="106"/>
      <c r="E1475" s="52"/>
    </row>
    <row r="1476" spans="1:5" s="103" customFormat="1" ht="13.2" hidden="1" outlineLevel="1" x14ac:dyDescent="0.25">
      <c r="A1476" s="106" t="s">
        <v>2972</v>
      </c>
      <c r="B1476" s="106" t="s">
        <v>2973</v>
      </c>
      <c r="C1476" s="106"/>
      <c r="D1476" s="106"/>
      <c r="E1476" s="52"/>
    </row>
    <row r="1477" spans="1:5" s="103" customFormat="1" ht="13.2" hidden="1" outlineLevel="1" x14ac:dyDescent="0.25">
      <c r="A1477" s="106" t="s">
        <v>2974</v>
      </c>
      <c r="B1477" s="106" t="s">
        <v>2975</v>
      </c>
      <c r="C1477" s="106"/>
      <c r="D1477" s="106"/>
      <c r="E1477" s="52"/>
    </row>
    <row r="1478" spans="1:5" s="103" customFormat="1" ht="13.2" hidden="1" outlineLevel="1" x14ac:dyDescent="0.25">
      <c r="A1478" s="106" t="s">
        <v>2976</v>
      </c>
      <c r="B1478" s="106" t="s">
        <v>2977</v>
      </c>
      <c r="C1478" s="106"/>
      <c r="D1478" s="106"/>
      <c r="E1478" s="52"/>
    </row>
    <row r="1479" spans="1:5" s="103" customFormat="1" ht="13.2" hidden="1" outlineLevel="1" x14ac:dyDescent="0.25">
      <c r="A1479" s="106" t="s">
        <v>2978</v>
      </c>
      <c r="B1479" s="106" t="s">
        <v>2979</v>
      </c>
      <c r="C1479" s="106"/>
      <c r="D1479" s="106"/>
      <c r="E1479" s="52"/>
    </row>
    <row r="1480" spans="1:5" s="103" customFormat="1" ht="13.2" hidden="1" outlineLevel="1" x14ac:dyDescent="0.25">
      <c r="A1480" s="106" t="s">
        <v>2980</v>
      </c>
      <c r="B1480" s="106" t="s">
        <v>2981</v>
      </c>
      <c r="C1480" s="106"/>
      <c r="D1480" s="106"/>
      <c r="E1480" s="52"/>
    </row>
    <row r="1481" spans="1:5" s="103" customFormat="1" ht="13.2" hidden="1" outlineLevel="1" x14ac:dyDescent="0.25">
      <c r="A1481" s="106" t="s">
        <v>2982</v>
      </c>
      <c r="B1481" s="106" t="s">
        <v>2983</v>
      </c>
      <c r="C1481" s="106"/>
      <c r="D1481" s="106"/>
      <c r="E1481" s="52"/>
    </row>
    <row r="1482" spans="1:5" s="103" customFormat="1" ht="13.2" hidden="1" outlineLevel="1" x14ac:dyDescent="0.25">
      <c r="A1482" s="106" t="s">
        <v>2984</v>
      </c>
      <c r="B1482" s="106" t="s">
        <v>2985</v>
      </c>
      <c r="C1482" s="106"/>
      <c r="D1482" s="106"/>
      <c r="E1482" s="52"/>
    </row>
    <row r="1483" spans="1:5" s="103" customFormat="1" ht="13.2" hidden="1" outlineLevel="1" x14ac:dyDescent="0.25">
      <c r="A1483" s="106" t="s">
        <v>2986</v>
      </c>
      <c r="B1483" s="106" t="s">
        <v>2987</v>
      </c>
      <c r="C1483" s="106"/>
      <c r="D1483" s="106"/>
      <c r="E1483" s="52"/>
    </row>
    <row r="1484" spans="1:5" s="103" customFormat="1" ht="13.2" hidden="1" outlineLevel="1" x14ac:dyDescent="0.25">
      <c r="A1484" s="106" t="s">
        <v>2988</v>
      </c>
      <c r="B1484" s="106" t="s">
        <v>2989</v>
      </c>
      <c r="C1484" s="106"/>
      <c r="D1484" s="106"/>
      <c r="E1484" s="52"/>
    </row>
    <row r="1485" spans="1:5" s="103" customFormat="1" ht="13.2" hidden="1" outlineLevel="1" x14ac:dyDescent="0.25">
      <c r="A1485" s="106" t="s">
        <v>2990</v>
      </c>
      <c r="B1485" s="106" t="s">
        <v>2991</v>
      </c>
      <c r="C1485" s="106"/>
      <c r="D1485" s="106"/>
      <c r="E1485" s="52"/>
    </row>
    <row r="1486" spans="1:5" s="103" customFormat="1" ht="13.2" hidden="1" outlineLevel="1" x14ac:dyDescent="0.25">
      <c r="A1486" s="106" t="s">
        <v>2992</v>
      </c>
      <c r="B1486" s="106" t="s">
        <v>2993</v>
      </c>
      <c r="C1486" s="106"/>
      <c r="D1486" s="106"/>
      <c r="E1486" s="52"/>
    </row>
    <row r="1487" spans="1:5" s="103" customFormat="1" ht="13.2" hidden="1" outlineLevel="1" x14ac:dyDescent="0.25">
      <c r="A1487" s="106" t="s">
        <v>2994</v>
      </c>
      <c r="B1487" s="106" t="s">
        <v>2995</v>
      </c>
      <c r="C1487" s="106"/>
      <c r="D1487" s="106"/>
      <c r="E1487" s="52"/>
    </row>
    <row r="1488" spans="1:5" s="103" customFormat="1" ht="13.2" hidden="1" outlineLevel="1" x14ac:dyDescent="0.25">
      <c r="A1488" s="106" t="s">
        <v>2996</v>
      </c>
      <c r="B1488" s="106" t="s">
        <v>2997</v>
      </c>
      <c r="C1488" s="106"/>
      <c r="D1488" s="106"/>
      <c r="E1488" s="52"/>
    </row>
    <row r="1489" spans="1:5" s="103" customFormat="1" ht="13.2" hidden="1" outlineLevel="1" x14ac:dyDescent="0.25">
      <c r="A1489" s="106" t="s">
        <v>2998</v>
      </c>
      <c r="B1489" s="106" t="s">
        <v>2999</v>
      </c>
      <c r="C1489" s="106"/>
      <c r="D1489" s="106"/>
      <c r="E1489" s="52"/>
    </row>
    <row r="1490" spans="1:5" s="103" customFormat="1" ht="13.2" hidden="1" outlineLevel="1" x14ac:dyDescent="0.25">
      <c r="A1490" s="106" t="s">
        <v>3000</v>
      </c>
      <c r="B1490" s="106" t="s">
        <v>3001</v>
      </c>
      <c r="C1490" s="106"/>
      <c r="D1490" s="106"/>
      <c r="E1490" s="52"/>
    </row>
    <row r="1491" spans="1:5" s="103" customFormat="1" ht="13.2" hidden="1" outlineLevel="1" x14ac:dyDescent="0.25">
      <c r="A1491" s="106" t="s">
        <v>3002</v>
      </c>
      <c r="B1491" s="106" t="s">
        <v>3003</v>
      </c>
      <c r="C1491" s="106"/>
      <c r="D1491" s="106"/>
      <c r="E1491" s="52"/>
    </row>
    <row r="1492" spans="1:5" s="103" customFormat="1" ht="13.2" hidden="1" outlineLevel="1" x14ac:dyDescent="0.25">
      <c r="A1492" s="106" t="s">
        <v>3004</v>
      </c>
      <c r="B1492" s="106" t="s">
        <v>3005</v>
      </c>
      <c r="C1492" s="106"/>
      <c r="D1492" s="106"/>
      <c r="E1492" s="52"/>
    </row>
    <row r="1493" spans="1:5" s="103" customFormat="1" ht="13.2" hidden="1" outlineLevel="1" x14ac:dyDescent="0.25">
      <c r="A1493" s="106" t="s">
        <v>3006</v>
      </c>
      <c r="B1493" s="106" t="s">
        <v>3007</v>
      </c>
      <c r="C1493" s="106"/>
      <c r="D1493" s="106"/>
      <c r="E1493" s="52"/>
    </row>
    <row r="1494" spans="1:5" s="103" customFormat="1" ht="13.2" hidden="1" outlineLevel="1" x14ac:dyDescent="0.25">
      <c r="A1494" s="106" t="s">
        <v>3008</v>
      </c>
      <c r="B1494" s="106" t="s">
        <v>3009</v>
      </c>
      <c r="C1494" s="106"/>
      <c r="D1494" s="106"/>
      <c r="E1494" s="52"/>
    </row>
    <row r="1495" spans="1:5" s="103" customFormat="1" ht="13.2" hidden="1" outlineLevel="1" x14ac:dyDescent="0.25">
      <c r="A1495" s="106" t="s">
        <v>3010</v>
      </c>
      <c r="B1495" s="106" t="s">
        <v>3011</v>
      </c>
      <c r="C1495" s="106"/>
      <c r="D1495" s="106"/>
      <c r="E1495" s="52"/>
    </row>
    <row r="1496" spans="1:5" s="103" customFormat="1" ht="13.2" hidden="1" outlineLevel="1" x14ac:dyDescent="0.25">
      <c r="A1496" s="106" t="s">
        <v>3012</v>
      </c>
      <c r="B1496" s="106" t="s">
        <v>3013</v>
      </c>
      <c r="C1496" s="106"/>
      <c r="D1496" s="106"/>
      <c r="E1496" s="52"/>
    </row>
    <row r="1497" spans="1:5" s="103" customFormat="1" ht="13.2" hidden="1" outlineLevel="1" x14ac:dyDescent="0.25">
      <c r="A1497" s="106" t="s">
        <v>3014</v>
      </c>
      <c r="B1497" s="106" t="s">
        <v>3015</v>
      </c>
      <c r="C1497" s="106"/>
      <c r="D1497" s="106"/>
      <c r="E1497" s="52"/>
    </row>
    <row r="1498" spans="1:5" s="103" customFormat="1" ht="13.2" hidden="1" outlineLevel="1" x14ac:dyDescent="0.25">
      <c r="A1498" s="106" t="s">
        <v>3016</v>
      </c>
      <c r="B1498" s="106" t="s">
        <v>3017</v>
      </c>
      <c r="C1498" s="106"/>
      <c r="D1498" s="106"/>
      <c r="E1498" s="52"/>
    </row>
    <row r="1499" spans="1:5" s="103" customFormat="1" ht="13.2" hidden="1" outlineLevel="1" x14ac:dyDescent="0.25">
      <c r="A1499" s="106" t="s">
        <v>3018</v>
      </c>
      <c r="B1499" s="106" t="s">
        <v>3019</v>
      </c>
      <c r="C1499" s="106"/>
      <c r="D1499" s="106"/>
      <c r="E1499" s="52"/>
    </row>
    <row r="1500" spans="1:5" s="103" customFormat="1" ht="13.2" hidden="1" outlineLevel="1" x14ac:dyDescent="0.25">
      <c r="A1500" s="106" t="s">
        <v>3020</v>
      </c>
      <c r="B1500" s="106" t="s">
        <v>3021</v>
      </c>
      <c r="C1500" s="106"/>
      <c r="D1500" s="106"/>
      <c r="E1500" s="52"/>
    </row>
    <row r="1501" spans="1:5" s="103" customFormat="1" ht="13.2" hidden="1" outlineLevel="1" x14ac:dyDescent="0.25">
      <c r="A1501" s="106" t="s">
        <v>3022</v>
      </c>
      <c r="B1501" s="106" t="s">
        <v>3023</v>
      </c>
      <c r="C1501" s="106"/>
      <c r="D1501" s="106"/>
      <c r="E1501" s="52"/>
    </row>
    <row r="1502" spans="1:5" s="103" customFormat="1" ht="13.2" hidden="1" outlineLevel="1" x14ac:dyDescent="0.25">
      <c r="A1502" s="106" t="s">
        <v>3024</v>
      </c>
      <c r="B1502" s="106" t="s">
        <v>3025</v>
      </c>
      <c r="C1502" s="106"/>
      <c r="D1502" s="106"/>
      <c r="E1502" s="52"/>
    </row>
    <row r="1503" spans="1:5" s="103" customFormat="1" ht="13.2" hidden="1" outlineLevel="1" x14ac:dyDescent="0.25">
      <c r="A1503" s="106" t="s">
        <v>3026</v>
      </c>
      <c r="B1503" s="106" t="s">
        <v>3027</v>
      </c>
      <c r="C1503" s="106"/>
      <c r="D1503" s="106"/>
      <c r="E1503" s="52"/>
    </row>
    <row r="1504" spans="1:5" s="103" customFormat="1" ht="13.2" hidden="1" outlineLevel="1" x14ac:dyDescent="0.25">
      <c r="A1504" s="106" t="s">
        <v>3028</v>
      </c>
      <c r="B1504" s="106" t="s">
        <v>3029</v>
      </c>
      <c r="C1504" s="106"/>
      <c r="D1504" s="106"/>
      <c r="E1504" s="52"/>
    </row>
    <row r="1505" spans="1:5" s="103" customFormat="1" ht="13.2" hidden="1" outlineLevel="1" x14ac:dyDescent="0.25">
      <c r="A1505" s="106" t="s">
        <v>3030</v>
      </c>
      <c r="B1505" s="106" t="s">
        <v>3031</v>
      </c>
      <c r="C1505" s="106"/>
      <c r="D1505" s="106"/>
      <c r="E1505" s="52"/>
    </row>
    <row r="1506" spans="1:5" s="103" customFormat="1" ht="13.2" hidden="1" outlineLevel="1" x14ac:dyDescent="0.25">
      <c r="A1506" s="106" t="s">
        <v>3032</v>
      </c>
      <c r="B1506" s="106" t="s">
        <v>3033</v>
      </c>
      <c r="C1506" s="106"/>
      <c r="D1506" s="106"/>
      <c r="E1506" s="52"/>
    </row>
    <row r="1507" spans="1:5" s="103" customFormat="1" ht="13.2" hidden="1" outlineLevel="1" x14ac:dyDescent="0.25">
      <c r="A1507" s="106" t="s">
        <v>3034</v>
      </c>
      <c r="B1507" s="106" t="s">
        <v>3035</v>
      </c>
      <c r="C1507" s="106"/>
      <c r="D1507" s="106"/>
      <c r="E1507" s="52"/>
    </row>
    <row r="1508" spans="1:5" s="103" customFormat="1" ht="13.2" hidden="1" outlineLevel="1" x14ac:dyDescent="0.25">
      <c r="A1508" s="106" t="s">
        <v>3036</v>
      </c>
      <c r="B1508" s="106" t="s">
        <v>3037</v>
      </c>
      <c r="C1508" s="106"/>
      <c r="D1508" s="106"/>
      <c r="E1508" s="52"/>
    </row>
    <row r="1509" spans="1:5" s="103" customFormat="1" ht="13.2" hidden="1" outlineLevel="1" x14ac:dyDescent="0.25">
      <c r="A1509" s="106" t="s">
        <v>3038</v>
      </c>
      <c r="B1509" s="106" t="s">
        <v>3039</v>
      </c>
      <c r="C1509" s="106"/>
      <c r="D1509" s="106"/>
      <c r="E1509" s="52"/>
    </row>
    <row r="1510" spans="1:5" s="103" customFormat="1" ht="13.2" hidden="1" outlineLevel="1" x14ac:dyDescent="0.25">
      <c r="A1510" s="106" t="s">
        <v>3040</v>
      </c>
      <c r="B1510" s="106" t="s">
        <v>3041</v>
      </c>
      <c r="C1510" s="106"/>
      <c r="D1510" s="106"/>
      <c r="E1510" s="52"/>
    </row>
    <row r="1511" spans="1:5" s="103" customFormat="1" ht="13.2" hidden="1" outlineLevel="1" x14ac:dyDescent="0.25">
      <c r="A1511" s="106" t="s">
        <v>3042</v>
      </c>
      <c r="B1511" s="106" t="s">
        <v>3043</v>
      </c>
      <c r="C1511" s="106"/>
      <c r="D1511" s="106"/>
      <c r="E1511" s="52"/>
    </row>
    <row r="1512" spans="1:5" s="103" customFormat="1" ht="13.2" hidden="1" outlineLevel="1" x14ac:dyDescent="0.25">
      <c r="A1512" s="106" t="s">
        <v>3044</v>
      </c>
      <c r="B1512" s="106" t="s">
        <v>3045</v>
      </c>
      <c r="C1512" s="106"/>
      <c r="D1512" s="106"/>
      <c r="E1512" s="52"/>
    </row>
    <row r="1513" spans="1:5" s="103" customFormat="1" ht="13.2" hidden="1" outlineLevel="1" x14ac:dyDescent="0.25">
      <c r="A1513" s="106" t="s">
        <v>3046</v>
      </c>
      <c r="B1513" s="106" t="s">
        <v>3047</v>
      </c>
      <c r="C1513" s="106"/>
      <c r="D1513" s="106"/>
      <c r="E1513" s="52"/>
    </row>
    <row r="1514" spans="1:5" s="103" customFormat="1" ht="13.2" hidden="1" outlineLevel="1" x14ac:dyDescent="0.25">
      <c r="A1514" s="106" t="s">
        <v>3048</v>
      </c>
      <c r="B1514" s="106" t="s">
        <v>3049</v>
      </c>
      <c r="C1514" s="106"/>
      <c r="D1514" s="106"/>
      <c r="E1514" s="52"/>
    </row>
    <row r="1515" spans="1:5" s="103" customFormat="1" ht="13.2" hidden="1" outlineLevel="1" x14ac:dyDescent="0.25">
      <c r="A1515" s="106" t="s">
        <v>3050</v>
      </c>
      <c r="B1515" s="106" t="s">
        <v>3051</v>
      </c>
      <c r="C1515" s="106"/>
      <c r="D1515" s="106"/>
      <c r="E1515" s="52"/>
    </row>
    <row r="1516" spans="1:5" s="103" customFormat="1" ht="13.2" hidden="1" outlineLevel="1" x14ac:dyDescent="0.25">
      <c r="A1516" s="106" t="s">
        <v>3052</v>
      </c>
      <c r="B1516" s="106" t="s">
        <v>3053</v>
      </c>
      <c r="C1516" s="106"/>
      <c r="D1516" s="106"/>
      <c r="E1516" s="52"/>
    </row>
    <row r="1517" spans="1:5" s="103" customFormat="1" ht="13.2" hidden="1" outlineLevel="1" x14ac:dyDescent="0.25">
      <c r="A1517" s="106" t="s">
        <v>3054</v>
      </c>
      <c r="B1517" s="106" t="s">
        <v>3055</v>
      </c>
      <c r="C1517" s="106"/>
      <c r="D1517" s="106"/>
      <c r="E1517" s="52"/>
    </row>
    <row r="1518" spans="1:5" s="103" customFormat="1" ht="13.2" hidden="1" outlineLevel="1" x14ac:dyDescent="0.25">
      <c r="A1518" s="106" t="s">
        <v>3056</v>
      </c>
      <c r="B1518" s="106" t="s">
        <v>3057</v>
      </c>
      <c r="C1518" s="106"/>
      <c r="D1518" s="106"/>
      <c r="E1518" s="52"/>
    </row>
    <row r="1519" spans="1:5" s="103" customFormat="1" ht="13.2" hidden="1" outlineLevel="1" x14ac:dyDescent="0.25">
      <c r="A1519" s="106" t="s">
        <v>3058</v>
      </c>
      <c r="B1519" s="106" t="s">
        <v>3059</v>
      </c>
      <c r="C1519" s="106"/>
      <c r="D1519" s="106"/>
      <c r="E1519" s="52"/>
    </row>
    <row r="1520" spans="1:5" s="103" customFormat="1" ht="13.2" hidden="1" outlineLevel="1" x14ac:dyDescent="0.25">
      <c r="A1520" s="106" t="s">
        <v>3060</v>
      </c>
      <c r="B1520" s="106" t="s">
        <v>3061</v>
      </c>
      <c r="C1520" s="106"/>
      <c r="D1520" s="106"/>
      <c r="E1520" s="52"/>
    </row>
    <row r="1521" spans="1:5" s="103" customFormat="1" ht="13.2" hidden="1" outlineLevel="1" x14ac:dyDescent="0.25">
      <c r="A1521" s="106" t="s">
        <v>3062</v>
      </c>
      <c r="B1521" s="106" t="s">
        <v>3063</v>
      </c>
      <c r="C1521" s="106"/>
      <c r="D1521" s="106"/>
      <c r="E1521" s="52"/>
    </row>
    <row r="1522" spans="1:5" s="103" customFormat="1" ht="13.2" hidden="1" outlineLevel="1" x14ac:dyDescent="0.25">
      <c r="A1522" s="106" t="s">
        <v>3064</v>
      </c>
      <c r="B1522" s="106" t="s">
        <v>3065</v>
      </c>
      <c r="C1522" s="106"/>
      <c r="D1522" s="106"/>
      <c r="E1522" s="52"/>
    </row>
    <row r="1523" spans="1:5" s="103" customFormat="1" ht="13.2" hidden="1" outlineLevel="1" x14ac:dyDescent="0.25">
      <c r="A1523" s="106" t="s">
        <v>3066</v>
      </c>
      <c r="B1523" s="106" t="s">
        <v>3067</v>
      </c>
      <c r="C1523" s="106"/>
      <c r="D1523" s="106"/>
      <c r="E1523" s="52"/>
    </row>
    <row r="1524" spans="1:5" s="103" customFormat="1" ht="13.2" hidden="1" outlineLevel="1" x14ac:dyDescent="0.25">
      <c r="A1524" s="106" t="s">
        <v>3068</v>
      </c>
      <c r="B1524" s="106" t="s">
        <v>3069</v>
      </c>
      <c r="C1524" s="106"/>
      <c r="D1524" s="106"/>
      <c r="E1524" s="52"/>
    </row>
    <row r="1525" spans="1:5" s="103" customFormat="1" ht="13.2" hidden="1" outlineLevel="1" x14ac:dyDescent="0.25">
      <c r="A1525" s="106" t="s">
        <v>3070</v>
      </c>
      <c r="B1525" s="106" t="s">
        <v>3071</v>
      </c>
      <c r="C1525" s="106"/>
      <c r="D1525" s="106"/>
      <c r="E1525" s="52"/>
    </row>
    <row r="1526" spans="1:5" s="103" customFormat="1" ht="13.2" hidden="1" outlineLevel="1" x14ac:dyDescent="0.25">
      <c r="A1526" s="106" t="s">
        <v>3072</v>
      </c>
      <c r="B1526" s="106" t="s">
        <v>3073</v>
      </c>
      <c r="C1526" s="106"/>
      <c r="D1526" s="106"/>
      <c r="E1526" s="52"/>
    </row>
    <row r="1527" spans="1:5" s="103" customFormat="1" ht="13.2" hidden="1" outlineLevel="1" x14ac:dyDescent="0.25">
      <c r="A1527" s="106" t="s">
        <v>3074</v>
      </c>
      <c r="B1527" s="106" t="s">
        <v>3075</v>
      </c>
      <c r="C1527" s="106"/>
      <c r="D1527" s="106"/>
      <c r="E1527" s="52"/>
    </row>
    <row r="1528" spans="1:5" s="103" customFormat="1" ht="13.2" hidden="1" outlineLevel="1" x14ac:dyDescent="0.25">
      <c r="A1528" s="106" t="s">
        <v>3076</v>
      </c>
      <c r="B1528" s="106" t="s">
        <v>3077</v>
      </c>
      <c r="C1528" s="106"/>
      <c r="D1528" s="106"/>
      <c r="E1528" s="52"/>
    </row>
    <row r="1529" spans="1:5" s="103" customFormat="1" ht="13.2" hidden="1" outlineLevel="1" x14ac:dyDescent="0.25">
      <c r="A1529" s="106" t="s">
        <v>3078</v>
      </c>
      <c r="B1529" s="106" t="s">
        <v>3079</v>
      </c>
      <c r="C1529" s="106"/>
      <c r="D1529" s="106"/>
      <c r="E1529" s="52"/>
    </row>
    <row r="1530" spans="1:5" s="103" customFormat="1" ht="13.2" hidden="1" outlineLevel="1" x14ac:dyDescent="0.25">
      <c r="A1530" s="106" t="s">
        <v>3080</v>
      </c>
      <c r="B1530" s="106" t="s">
        <v>3081</v>
      </c>
      <c r="C1530" s="106"/>
      <c r="D1530" s="106"/>
      <c r="E1530" s="52"/>
    </row>
    <row r="1531" spans="1:5" s="103" customFormat="1" ht="13.2" hidden="1" outlineLevel="1" x14ac:dyDescent="0.25">
      <c r="A1531" s="106" t="s">
        <v>3082</v>
      </c>
      <c r="B1531" s="106" t="s">
        <v>3083</v>
      </c>
      <c r="C1531" s="106"/>
      <c r="D1531" s="106"/>
      <c r="E1531" s="52"/>
    </row>
    <row r="1532" spans="1:5" s="103" customFormat="1" ht="13.2" hidden="1" outlineLevel="1" x14ac:dyDescent="0.25">
      <c r="A1532" s="106" t="s">
        <v>3084</v>
      </c>
      <c r="B1532" s="106" t="s">
        <v>3085</v>
      </c>
      <c r="C1532" s="106"/>
      <c r="D1532" s="106"/>
      <c r="E1532" s="52"/>
    </row>
    <row r="1533" spans="1:5" s="103" customFormat="1" ht="13.2" hidden="1" outlineLevel="1" x14ac:dyDescent="0.25">
      <c r="A1533" s="106" t="s">
        <v>3086</v>
      </c>
      <c r="B1533" s="106" t="s">
        <v>3087</v>
      </c>
      <c r="C1533" s="106"/>
      <c r="D1533" s="106"/>
      <c r="E1533" s="52"/>
    </row>
    <row r="1534" spans="1:5" s="103" customFormat="1" ht="13.2" hidden="1" outlineLevel="1" x14ac:dyDescent="0.25">
      <c r="A1534" s="106" t="s">
        <v>3088</v>
      </c>
      <c r="B1534" s="106" t="s">
        <v>3089</v>
      </c>
      <c r="C1534" s="106"/>
      <c r="D1534" s="106"/>
      <c r="E1534" s="52"/>
    </row>
    <row r="1535" spans="1:5" s="103" customFormat="1" ht="13.2" hidden="1" outlineLevel="1" x14ac:dyDescent="0.25">
      <c r="A1535" s="106" t="s">
        <v>3090</v>
      </c>
      <c r="B1535" s="106" t="s">
        <v>3091</v>
      </c>
      <c r="C1535" s="106"/>
      <c r="D1535" s="106"/>
      <c r="E1535" s="52"/>
    </row>
    <row r="1536" spans="1:5" s="103" customFormat="1" ht="13.2" hidden="1" outlineLevel="1" x14ac:dyDescent="0.25">
      <c r="A1536" s="106" t="s">
        <v>3092</v>
      </c>
      <c r="B1536" s="106" t="s">
        <v>3093</v>
      </c>
      <c r="C1536" s="106"/>
      <c r="D1536" s="106"/>
      <c r="E1536" s="52"/>
    </row>
    <row r="1537" spans="1:5" s="103" customFormat="1" ht="13.2" hidden="1" outlineLevel="1" x14ac:dyDescent="0.25">
      <c r="A1537" s="106" t="s">
        <v>3094</v>
      </c>
      <c r="B1537" s="106" t="s">
        <v>3095</v>
      </c>
      <c r="C1537" s="106"/>
      <c r="D1537" s="106"/>
      <c r="E1537" s="52"/>
    </row>
    <row r="1538" spans="1:5" s="103" customFormat="1" ht="13.2" hidden="1" outlineLevel="1" x14ac:dyDescent="0.25">
      <c r="A1538" s="106" t="s">
        <v>3096</v>
      </c>
      <c r="B1538" s="106" t="s">
        <v>3097</v>
      </c>
      <c r="C1538" s="106"/>
      <c r="D1538" s="106"/>
      <c r="E1538" s="52"/>
    </row>
    <row r="1539" spans="1:5" s="103" customFormat="1" ht="13.2" hidden="1" outlineLevel="1" x14ac:dyDescent="0.25">
      <c r="A1539" s="106" t="s">
        <v>3098</v>
      </c>
      <c r="B1539" s="106" t="s">
        <v>3099</v>
      </c>
      <c r="C1539" s="106"/>
      <c r="D1539" s="106"/>
      <c r="E1539" s="52"/>
    </row>
    <row r="1540" spans="1:5" s="103" customFormat="1" ht="13.2" hidden="1" outlineLevel="1" x14ac:dyDescent="0.25">
      <c r="A1540" s="106" t="s">
        <v>3100</v>
      </c>
      <c r="B1540" s="106" t="s">
        <v>3101</v>
      </c>
      <c r="C1540" s="106"/>
      <c r="D1540" s="106"/>
      <c r="E1540" s="52"/>
    </row>
    <row r="1541" spans="1:5" s="103" customFormat="1" ht="13.2" hidden="1" outlineLevel="1" x14ac:dyDescent="0.25">
      <c r="A1541" s="106" t="s">
        <v>3102</v>
      </c>
      <c r="B1541" s="106" t="s">
        <v>3103</v>
      </c>
      <c r="C1541" s="106"/>
      <c r="D1541" s="106"/>
      <c r="E1541" s="52"/>
    </row>
    <row r="1542" spans="1:5" s="103" customFormat="1" ht="13.2" hidden="1" outlineLevel="1" x14ac:dyDescent="0.25">
      <c r="A1542" s="106" t="s">
        <v>3104</v>
      </c>
      <c r="B1542" s="106" t="s">
        <v>3105</v>
      </c>
      <c r="C1542" s="106"/>
      <c r="D1542" s="106"/>
      <c r="E1542" s="52"/>
    </row>
    <row r="1543" spans="1:5" s="103" customFormat="1" ht="13.2" hidden="1" outlineLevel="1" x14ac:dyDescent="0.25">
      <c r="A1543" s="106" t="s">
        <v>3106</v>
      </c>
      <c r="B1543" s="106" t="s">
        <v>3107</v>
      </c>
      <c r="C1543" s="106"/>
      <c r="D1543" s="106"/>
      <c r="E1543" s="52"/>
    </row>
    <row r="1544" spans="1:5" s="103" customFormat="1" ht="13.2" hidden="1" outlineLevel="1" x14ac:dyDescent="0.25">
      <c r="A1544" s="106" t="s">
        <v>3108</v>
      </c>
      <c r="B1544" s="106" t="s">
        <v>3109</v>
      </c>
      <c r="C1544" s="106"/>
      <c r="D1544" s="106"/>
      <c r="E1544" s="52"/>
    </row>
    <row r="1545" spans="1:5" s="103" customFormat="1" ht="13.2" hidden="1" outlineLevel="1" x14ac:dyDescent="0.25">
      <c r="A1545" s="106" t="s">
        <v>3110</v>
      </c>
      <c r="B1545" s="106" t="s">
        <v>3111</v>
      </c>
      <c r="C1545" s="106"/>
      <c r="D1545" s="106"/>
      <c r="E1545" s="52"/>
    </row>
    <row r="1546" spans="1:5" s="103" customFormat="1" ht="13.2" hidden="1" outlineLevel="1" x14ac:dyDescent="0.25">
      <c r="A1546" s="106" t="s">
        <v>3112</v>
      </c>
      <c r="B1546" s="106" t="s">
        <v>3113</v>
      </c>
      <c r="C1546" s="106"/>
      <c r="D1546" s="106"/>
      <c r="E1546" s="52"/>
    </row>
    <row r="1547" spans="1:5" s="103" customFormat="1" ht="13.2" hidden="1" outlineLevel="1" x14ac:dyDescent="0.25">
      <c r="A1547" s="106" t="s">
        <v>3114</v>
      </c>
      <c r="B1547" s="106" t="s">
        <v>3115</v>
      </c>
      <c r="C1547" s="106"/>
      <c r="D1547" s="106"/>
      <c r="E1547" s="52"/>
    </row>
    <row r="1548" spans="1:5" s="103" customFormat="1" ht="13.2" hidden="1" outlineLevel="1" x14ac:dyDescent="0.25">
      <c r="A1548" s="106" t="s">
        <v>3116</v>
      </c>
      <c r="B1548" s="106" t="s">
        <v>3117</v>
      </c>
      <c r="C1548" s="106"/>
      <c r="D1548" s="106"/>
      <c r="E1548" s="52"/>
    </row>
    <row r="1549" spans="1:5" s="103" customFormat="1" ht="13.2" hidden="1" outlineLevel="1" x14ac:dyDescent="0.25">
      <c r="A1549" s="106" t="s">
        <v>3118</v>
      </c>
      <c r="B1549" s="106" t="s">
        <v>3119</v>
      </c>
      <c r="C1549" s="106"/>
      <c r="D1549" s="106"/>
      <c r="E1549" s="52"/>
    </row>
    <row r="1550" spans="1:5" s="103" customFormat="1" ht="13.2" hidden="1" outlineLevel="1" x14ac:dyDescent="0.25">
      <c r="A1550" s="106" t="s">
        <v>3120</v>
      </c>
      <c r="B1550" s="106" t="s">
        <v>3121</v>
      </c>
      <c r="C1550" s="106"/>
      <c r="D1550" s="106"/>
      <c r="E1550" s="52"/>
    </row>
    <row r="1551" spans="1:5" s="103" customFormat="1" ht="13.2" hidden="1" outlineLevel="1" x14ac:dyDescent="0.25">
      <c r="A1551" s="106" t="s">
        <v>3122</v>
      </c>
      <c r="B1551" s="106" t="s">
        <v>3123</v>
      </c>
      <c r="C1551" s="106"/>
      <c r="D1551" s="106"/>
      <c r="E1551" s="52"/>
    </row>
    <row r="1552" spans="1:5" s="103" customFormat="1" ht="13.2" hidden="1" outlineLevel="1" x14ac:dyDescent="0.25">
      <c r="A1552" s="106" t="s">
        <v>3124</v>
      </c>
      <c r="B1552" s="106" t="s">
        <v>3125</v>
      </c>
      <c r="C1552" s="106"/>
      <c r="D1552" s="106"/>
      <c r="E1552" s="52"/>
    </row>
    <row r="1553" spans="1:5" s="103" customFormat="1" ht="13.2" hidden="1" outlineLevel="1" x14ac:dyDescent="0.25">
      <c r="A1553" s="106" t="s">
        <v>3126</v>
      </c>
      <c r="B1553" s="106" t="s">
        <v>3127</v>
      </c>
      <c r="C1553" s="106"/>
      <c r="D1553" s="106"/>
      <c r="E1553" s="52"/>
    </row>
    <row r="1554" spans="1:5" s="103" customFormat="1" ht="13.2" hidden="1" outlineLevel="1" x14ac:dyDescent="0.25">
      <c r="A1554" s="106" t="s">
        <v>3128</v>
      </c>
      <c r="B1554" s="106" t="s">
        <v>3129</v>
      </c>
      <c r="C1554" s="106"/>
      <c r="D1554" s="106"/>
      <c r="E1554" s="52"/>
    </row>
    <row r="1555" spans="1:5" s="103" customFormat="1" ht="13.2" hidden="1" outlineLevel="1" x14ac:dyDescent="0.25">
      <c r="A1555" s="106" t="s">
        <v>3130</v>
      </c>
      <c r="B1555" s="106" t="s">
        <v>3131</v>
      </c>
      <c r="C1555" s="106"/>
      <c r="D1555" s="106"/>
      <c r="E1555" s="52"/>
    </row>
    <row r="1556" spans="1:5" s="103" customFormat="1" ht="13.2" hidden="1" outlineLevel="1" x14ac:dyDescent="0.25">
      <c r="A1556" s="106" t="s">
        <v>3132</v>
      </c>
      <c r="B1556" s="106" t="s">
        <v>3133</v>
      </c>
      <c r="C1556" s="106"/>
      <c r="D1556" s="106"/>
      <c r="E1556" s="52"/>
    </row>
    <row r="1557" spans="1:5" s="103" customFormat="1" ht="13.2" hidden="1" outlineLevel="1" x14ac:dyDescent="0.25">
      <c r="A1557" s="106" t="s">
        <v>3134</v>
      </c>
      <c r="B1557" s="106" t="s">
        <v>3135</v>
      </c>
      <c r="C1557" s="106"/>
      <c r="D1557" s="106"/>
      <c r="E1557" s="52"/>
    </row>
    <row r="1558" spans="1:5" s="103" customFormat="1" ht="13.2" hidden="1" outlineLevel="1" x14ac:dyDescent="0.25">
      <c r="A1558" s="106" t="s">
        <v>3136</v>
      </c>
      <c r="B1558" s="106" t="s">
        <v>3137</v>
      </c>
      <c r="C1558" s="106"/>
      <c r="D1558" s="106"/>
      <c r="E1558" s="52"/>
    </row>
    <row r="1559" spans="1:5" s="103" customFormat="1" ht="13.2" hidden="1" outlineLevel="1" x14ac:dyDescent="0.25">
      <c r="A1559" s="106" t="s">
        <v>3138</v>
      </c>
      <c r="B1559" s="106" t="s">
        <v>3139</v>
      </c>
      <c r="C1559" s="106"/>
      <c r="D1559" s="106"/>
      <c r="E1559" s="52"/>
    </row>
    <row r="1560" spans="1:5" s="103" customFormat="1" ht="13.2" hidden="1" outlineLevel="1" x14ac:dyDescent="0.25">
      <c r="A1560" s="106" t="s">
        <v>3140</v>
      </c>
      <c r="B1560" s="106" t="s">
        <v>3141</v>
      </c>
      <c r="C1560" s="106"/>
      <c r="D1560" s="106"/>
      <c r="E1560" s="52"/>
    </row>
    <row r="1561" spans="1:5" s="103" customFormat="1" ht="13.2" hidden="1" outlineLevel="1" x14ac:dyDescent="0.25">
      <c r="A1561" s="106" t="s">
        <v>3142</v>
      </c>
      <c r="B1561" s="106" t="s">
        <v>3143</v>
      </c>
      <c r="C1561" s="106"/>
      <c r="D1561" s="106"/>
      <c r="E1561" s="52"/>
    </row>
    <row r="1562" spans="1:5" s="103" customFormat="1" ht="13.2" hidden="1" outlineLevel="1" x14ac:dyDescent="0.25">
      <c r="A1562" s="106" t="s">
        <v>3144</v>
      </c>
      <c r="B1562" s="106" t="s">
        <v>3145</v>
      </c>
      <c r="C1562" s="106"/>
      <c r="D1562" s="106"/>
      <c r="E1562" s="52"/>
    </row>
    <row r="1563" spans="1:5" s="103" customFormat="1" ht="13.2" hidden="1" outlineLevel="1" x14ac:dyDescent="0.25">
      <c r="A1563" s="106" t="s">
        <v>3146</v>
      </c>
      <c r="B1563" s="106" t="s">
        <v>3147</v>
      </c>
      <c r="C1563" s="106"/>
      <c r="D1563" s="106"/>
      <c r="E1563" s="52"/>
    </row>
    <row r="1564" spans="1:5" s="103" customFormat="1" ht="13.2" hidden="1" outlineLevel="1" x14ac:dyDescent="0.25">
      <c r="A1564" s="106" t="s">
        <v>3148</v>
      </c>
      <c r="B1564" s="106" t="s">
        <v>3149</v>
      </c>
      <c r="C1564" s="106"/>
      <c r="D1564" s="106"/>
      <c r="E1564" s="52"/>
    </row>
    <row r="1565" spans="1:5" s="103" customFormat="1" ht="13.2" hidden="1" outlineLevel="1" x14ac:dyDescent="0.25">
      <c r="A1565" s="106" t="s">
        <v>3150</v>
      </c>
      <c r="B1565" s="106" t="s">
        <v>3151</v>
      </c>
      <c r="C1565" s="106"/>
      <c r="D1565" s="106"/>
      <c r="E1565" s="52"/>
    </row>
    <row r="1566" spans="1:5" s="103" customFormat="1" ht="13.2" hidden="1" outlineLevel="1" x14ac:dyDescent="0.25">
      <c r="A1566" s="106" t="s">
        <v>3152</v>
      </c>
      <c r="B1566" s="106" t="s">
        <v>3153</v>
      </c>
      <c r="C1566" s="106"/>
      <c r="D1566" s="106"/>
      <c r="E1566" s="52"/>
    </row>
    <row r="1567" spans="1:5" s="103" customFormat="1" ht="13.2" hidden="1" outlineLevel="1" x14ac:dyDescent="0.25">
      <c r="A1567" s="106" t="s">
        <v>3154</v>
      </c>
      <c r="B1567" s="106" t="s">
        <v>3155</v>
      </c>
      <c r="C1567" s="106"/>
      <c r="D1567" s="106"/>
      <c r="E1567" s="52"/>
    </row>
    <row r="1568" spans="1:5" s="103" customFormat="1" ht="13.2" hidden="1" outlineLevel="1" x14ac:dyDescent="0.25">
      <c r="A1568" s="106" t="s">
        <v>3156</v>
      </c>
      <c r="B1568" s="106" t="s">
        <v>3157</v>
      </c>
      <c r="C1568" s="106"/>
      <c r="D1568" s="106"/>
      <c r="E1568" s="52"/>
    </row>
    <row r="1569" spans="1:5" s="103" customFormat="1" ht="13.2" hidden="1" outlineLevel="1" x14ac:dyDescent="0.25">
      <c r="A1569" s="106" t="s">
        <v>3158</v>
      </c>
      <c r="B1569" s="106" t="s">
        <v>3159</v>
      </c>
      <c r="C1569" s="106"/>
      <c r="D1569" s="106"/>
      <c r="E1569" s="52"/>
    </row>
    <row r="1570" spans="1:5" s="103" customFormat="1" ht="13.2" hidden="1" outlineLevel="1" x14ac:dyDescent="0.25">
      <c r="A1570" s="106" t="s">
        <v>3160</v>
      </c>
      <c r="B1570" s="106" t="s">
        <v>3161</v>
      </c>
      <c r="C1570" s="106"/>
      <c r="D1570" s="106"/>
      <c r="E1570" s="52"/>
    </row>
    <row r="1571" spans="1:5" s="103" customFormat="1" ht="13.2" hidden="1" outlineLevel="1" x14ac:dyDescent="0.25">
      <c r="A1571" s="106" t="s">
        <v>3162</v>
      </c>
      <c r="B1571" s="106" t="s">
        <v>3163</v>
      </c>
      <c r="C1571" s="106"/>
      <c r="D1571" s="106"/>
      <c r="E1571" s="52"/>
    </row>
    <row r="1572" spans="1:5" s="103" customFormat="1" ht="13.2" hidden="1" outlineLevel="1" x14ac:dyDescent="0.25">
      <c r="A1572" s="106" t="s">
        <v>3164</v>
      </c>
      <c r="B1572" s="106" t="s">
        <v>3165</v>
      </c>
      <c r="C1572" s="106"/>
      <c r="D1572" s="106"/>
      <c r="E1572" s="52"/>
    </row>
    <row r="1573" spans="1:5" s="103" customFormat="1" ht="13.2" hidden="1" outlineLevel="1" x14ac:dyDescent="0.25">
      <c r="A1573" s="106" t="s">
        <v>3166</v>
      </c>
      <c r="B1573" s="106" t="s">
        <v>3167</v>
      </c>
      <c r="C1573" s="106"/>
      <c r="D1573" s="106"/>
      <c r="E1573" s="52"/>
    </row>
    <row r="1574" spans="1:5" s="103" customFormat="1" ht="13.2" hidden="1" outlineLevel="1" x14ac:dyDescent="0.25">
      <c r="A1574" s="106" t="s">
        <v>3168</v>
      </c>
      <c r="B1574" s="106" t="s">
        <v>3169</v>
      </c>
      <c r="C1574" s="106"/>
      <c r="D1574" s="106"/>
      <c r="E1574" s="52"/>
    </row>
    <row r="1575" spans="1:5" s="103" customFormat="1" ht="13.2" hidden="1" outlineLevel="1" x14ac:dyDescent="0.25">
      <c r="A1575" s="106" t="s">
        <v>3170</v>
      </c>
      <c r="B1575" s="106" t="s">
        <v>3171</v>
      </c>
      <c r="C1575" s="106"/>
      <c r="D1575" s="106"/>
      <c r="E1575" s="52"/>
    </row>
    <row r="1576" spans="1:5" s="103" customFormat="1" ht="13.2" hidden="1" outlineLevel="1" x14ac:dyDescent="0.25">
      <c r="A1576" s="106" t="s">
        <v>3172</v>
      </c>
      <c r="B1576" s="106" t="s">
        <v>3173</v>
      </c>
      <c r="C1576" s="106"/>
      <c r="D1576" s="106"/>
      <c r="E1576" s="52"/>
    </row>
    <row r="1577" spans="1:5" s="103" customFormat="1" ht="13.2" hidden="1" outlineLevel="1" x14ac:dyDescent="0.25">
      <c r="A1577" s="106" t="s">
        <v>3174</v>
      </c>
      <c r="B1577" s="106" t="s">
        <v>3175</v>
      </c>
      <c r="C1577" s="106"/>
      <c r="D1577" s="106"/>
      <c r="E1577" s="52"/>
    </row>
    <row r="1578" spans="1:5" s="103" customFormat="1" ht="13.2" hidden="1" outlineLevel="1" x14ac:dyDescent="0.25">
      <c r="A1578" s="106" t="s">
        <v>3176</v>
      </c>
      <c r="B1578" s="106" t="s">
        <v>3177</v>
      </c>
      <c r="C1578" s="106"/>
      <c r="D1578" s="106"/>
      <c r="E1578" s="52"/>
    </row>
    <row r="1579" spans="1:5" s="103" customFormat="1" ht="13.2" hidden="1" outlineLevel="1" x14ac:dyDescent="0.25">
      <c r="A1579" s="106" t="s">
        <v>3178</v>
      </c>
      <c r="B1579" s="106" t="s">
        <v>3179</v>
      </c>
      <c r="C1579" s="106"/>
      <c r="D1579" s="106"/>
      <c r="E1579" s="52"/>
    </row>
    <row r="1580" spans="1:5" s="103" customFormat="1" ht="13.2" hidden="1" outlineLevel="1" x14ac:dyDescent="0.25">
      <c r="A1580" s="106" t="s">
        <v>3180</v>
      </c>
      <c r="B1580" s="106" t="s">
        <v>3181</v>
      </c>
      <c r="C1580" s="106"/>
      <c r="D1580" s="106"/>
      <c r="E1580" s="52"/>
    </row>
    <row r="1581" spans="1:5" s="103" customFormat="1" ht="13.2" hidden="1" outlineLevel="1" x14ac:dyDescent="0.25">
      <c r="A1581" s="106" t="s">
        <v>3182</v>
      </c>
      <c r="B1581" s="106" t="s">
        <v>3183</v>
      </c>
      <c r="C1581" s="106"/>
      <c r="D1581" s="106"/>
      <c r="E1581" s="52"/>
    </row>
    <row r="1582" spans="1:5" s="103" customFormat="1" ht="13.2" hidden="1" outlineLevel="1" x14ac:dyDescent="0.25">
      <c r="A1582" s="106" t="s">
        <v>3184</v>
      </c>
      <c r="B1582" s="106" t="s">
        <v>3185</v>
      </c>
      <c r="C1582" s="106"/>
      <c r="D1582" s="106"/>
      <c r="E1582" s="52"/>
    </row>
    <row r="1583" spans="1:5" s="103" customFormat="1" ht="13.2" hidden="1" outlineLevel="1" x14ac:dyDescent="0.25">
      <c r="A1583" s="106" t="s">
        <v>3186</v>
      </c>
      <c r="B1583" s="106" t="s">
        <v>3187</v>
      </c>
      <c r="C1583" s="106"/>
      <c r="D1583" s="106"/>
      <c r="E1583" s="52"/>
    </row>
    <row r="1584" spans="1:5" s="103" customFormat="1" ht="13.2" hidden="1" outlineLevel="1" x14ac:dyDescent="0.25">
      <c r="A1584" s="106" t="s">
        <v>3188</v>
      </c>
      <c r="B1584" s="106" t="s">
        <v>3189</v>
      </c>
      <c r="C1584" s="106"/>
      <c r="D1584" s="106"/>
      <c r="E1584" s="52"/>
    </row>
    <row r="1585" spans="1:5" s="103" customFormat="1" ht="13.2" hidden="1" outlineLevel="1" x14ac:dyDescent="0.25">
      <c r="A1585" s="106" t="s">
        <v>3190</v>
      </c>
      <c r="B1585" s="106" t="s">
        <v>3191</v>
      </c>
      <c r="C1585" s="106"/>
      <c r="D1585" s="106"/>
      <c r="E1585" s="52"/>
    </row>
    <row r="1586" spans="1:5" s="103" customFormat="1" ht="13.2" hidden="1" outlineLevel="1" x14ac:dyDescent="0.25">
      <c r="A1586" s="106" t="s">
        <v>3192</v>
      </c>
      <c r="B1586" s="106" t="s">
        <v>3193</v>
      </c>
      <c r="C1586" s="106"/>
      <c r="D1586" s="106"/>
      <c r="E1586" s="52"/>
    </row>
    <row r="1587" spans="1:5" s="103" customFormat="1" ht="13.2" hidden="1" outlineLevel="1" x14ac:dyDescent="0.25">
      <c r="A1587" s="106" t="s">
        <v>3194</v>
      </c>
      <c r="B1587" s="106" t="s">
        <v>3195</v>
      </c>
      <c r="C1587" s="106"/>
      <c r="D1587" s="106"/>
      <c r="E1587" s="52"/>
    </row>
    <row r="1588" spans="1:5" s="103" customFormat="1" ht="13.2" hidden="1" outlineLevel="1" x14ac:dyDescent="0.25">
      <c r="A1588" s="106" t="s">
        <v>3196</v>
      </c>
      <c r="B1588" s="106" t="s">
        <v>3197</v>
      </c>
      <c r="C1588" s="106"/>
      <c r="D1588" s="106"/>
      <c r="E1588" s="52"/>
    </row>
    <row r="1589" spans="1:5" s="103" customFormat="1" ht="13.2" hidden="1" outlineLevel="1" x14ac:dyDescent="0.25">
      <c r="A1589" s="106" t="s">
        <v>3198</v>
      </c>
      <c r="B1589" s="106" t="s">
        <v>3199</v>
      </c>
      <c r="C1589" s="106"/>
      <c r="D1589" s="106"/>
      <c r="E1589" s="52"/>
    </row>
    <row r="1590" spans="1:5" s="103" customFormat="1" ht="13.2" hidden="1" outlineLevel="1" x14ac:dyDescent="0.25">
      <c r="A1590" s="106" t="s">
        <v>3200</v>
      </c>
      <c r="B1590" s="106" t="s">
        <v>3201</v>
      </c>
      <c r="C1590" s="106"/>
      <c r="D1590" s="106"/>
      <c r="E1590" s="52"/>
    </row>
    <row r="1591" spans="1:5" s="103" customFormat="1" ht="13.2" hidden="1" outlineLevel="1" x14ac:dyDescent="0.25">
      <c r="A1591" s="106" t="s">
        <v>3202</v>
      </c>
      <c r="B1591" s="106" t="s">
        <v>3203</v>
      </c>
      <c r="C1591" s="106"/>
      <c r="D1591" s="106"/>
      <c r="E1591" s="52"/>
    </row>
    <row r="1592" spans="1:5" s="103" customFormat="1" ht="13.2" hidden="1" outlineLevel="1" x14ac:dyDescent="0.25">
      <c r="A1592" s="106" t="s">
        <v>3204</v>
      </c>
      <c r="B1592" s="106" t="s">
        <v>3205</v>
      </c>
      <c r="C1592" s="106"/>
      <c r="D1592" s="106"/>
      <c r="E1592" s="52"/>
    </row>
    <row r="1593" spans="1:5" s="103" customFormat="1" ht="13.2" hidden="1" outlineLevel="1" x14ac:dyDescent="0.25">
      <c r="A1593" s="106" t="s">
        <v>3206</v>
      </c>
      <c r="B1593" s="106" t="s">
        <v>3207</v>
      </c>
      <c r="C1593" s="106"/>
      <c r="D1593" s="106"/>
      <c r="E1593" s="52"/>
    </row>
    <row r="1594" spans="1:5" s="103" customFormat="1" ht="13.2" hidden="1" outlineLevel="1" x14ac:dyDescent="0.25">
      <c r="A1594" s="106" t="s">
        <v>3208</v>
      </c>
      <c r="B1594" s="106" t="s">
        <v>3209</v>
      </c>
      <c r="C1594" s="106"/>
      <c r="D1594" s="106"/>
      <c r="E1594" s="52"/>
    </row>
    <row r="1595" spans="1:5" s="103" customFormat="1" ht="13.2" hidden="1" outlineLevel="1" x14ac:dyDescent="0.25">
      <c r="A1595" s="106" t="s">
        <v>3210</v>
      </c>
      <c r="B1595" s="106" t="s">
        <v>3211</v>
      </c>
      <c r="C1595" s="106"/>
      <c r="D1595" s="106"/>
      <c r="E1595" s="52"/>
    </row>
    <row r="1596" spans="1:5" s="103" customFormat="1" ht="13.2" hidden="1" outlineLevel="1" x14ac:dyDescent="0.25">
      <c r="A1596" s="106" t="s">
        <v>3212</v>
      </c>
      <c r="B1596" s="106" t="s">
        <v>3213</v>
      </c>
      <c r="C1596" s="106"/>
      <c r="D1596" s="106"/>
      <c r="E1596" s="52"/>
    </row>
    <row r="1597" spans="1:5" s="103" customFormat="1" ht="13.2" hidden="1" outlineLevel="1" x14ac:dyDescent="0.25">
      <c r="A1597" s="106" t="s">
        <v>3214</v>
      </c>
      <c r="B1597" s="106" t="s">
        <v>3215</v>
      </c>
      <c r="C1597" s="106"/>
      <c r="D1597" s="106"/>
      <c r="E1597" s="52"/>
    </row>
    <row r="1598" spans="1:5" s="103" customFormat="1" ht="13.2" hidden="1" outlineLevel="1" x14ac:dyDescent="0.25">
      <c r="A1598" s="106" t="s">
        <v>3216</v>
      </c>
      <c r="B1598" s="106" t="s">
        <v>3217</v>
      </c>
      <c r="C1598" s="106"/>
      <c r="D1598" s="106"/>
      <c r="E1598" s="52"/>
    </row>
    <row r="1599" spans="1:5" s="103" customFormat="1" ht="13.2" hidden="1" outlineLevel="1" x14ac:dyDescent="0.25">
      <c r="A1599" s="106" t="s">
        <v>3218</v>
      </c>
      <c r="B1599" s="106" t="s">
        <v>3219</v>
      </c>
      <c r="C1599" s="106"/>
      <c r="D1599" s="106"/>
      <c r="E1599" s="52"/>
    </row>
    <row r="1600" spans="1:5" s="103" customFormat="1" ht="13.2" hidden="1" outlineLevel="1" x14ac:dyDescent="0.25">
      <c r="A1600" s="106" t="s">
        <v>3220</v>
      </c>
      <c r="B1600" s="106" t="s">
        <v>3221</v>
      </c>
      <c r="C1600" s="106"/>
      <c r="D1600" s="106"/>
      <c r="E1600" s="52"/>
    </row>
    <row r="1601" spans="1:5" s="103" customFormat="1" ht="13.2" hidden="1" outlineLevel="1" x14ac:dyDescent="0.25">
      <c r="A1601" s="106" t="s">
        <v>3222</v>
      </c>
      <c r="B1601" s="106" t="s">
        <v>3223</v>
      </c>
      <c r="C1601" s="106"/>
      <c r="D1601" s="106"/>
      <c r="E1601" s="52"/>
    </row>
    <row r="1602" spans="1:5" s="103" customFormat="1" ht="13.2" hidden="1" outlineLevel="1" x14ac:dyDescent="0.25">
      <c r="A1602" s="106" t="s">
        <v>3224</v>
      </c>
      <c r="B1602" s="106" t="s">
        <v>3225</v>
      </c>
      <c r="C1602" s="106"/>
      <c r="D1602" s="106"/>
      <c r="E1602" s="52"/>
    </row>
    <row r="1603" spans="1:5" s="103" customFormat="1" ht="13.2" hidden="1" outlineLevel="1" x14ac:dyDescent="0.25">
      <c r="A1603" s="106" t="s">
        <v>3226</v>
      </c>
      <c r="B1603" s="106" t="s">
        <v>3227</v>
      </c>
      <c r="C1603" s="106"/>
      <c r="D1603" s="106"/>
      <c r="E1603" s="52"/>
    </row>
    <row r="1604" spans="1:5" s="103" customFormat="1" ht="13.2" hidden="1" outlineLevel="1" x14ac:dyDescent="0.25">
      <c r="A1604" s="106" t="s">
        <v>3228</v>
      </c>
      <c r="B1604" s="106" t="s">
        <v>3229</v>
      </c>
      <c r="C1604" s="106"/>
      <c r="D1604" s="106"/>
      <c r="E1604" s="52"/>
    </row>
    <row r="1605" spans="1:5" s="103" customFormat="1" ht="13.2" hidden="1" outlineLevel="1" x14ac:dyDescent="0.25">
      <c r="A1605" s="106" t="s">
        <v>3230</v>
      </c>
      <c r="B1605" s="106" t="s">
        <v>3231</v>
      </c>
      <c r="C1605" s="106"/>
      <c r="D1605" s="106"/>
      <c r="E1605" s="52"/>
    </row>
    <row r="1606" spans="1:5" s="103" customFormat="1" ht="13.2" hidden="1" outlineLevel="1" x14ac:dyDescent="0.25">
      <c r="A1606" s="106" t="s">
        <v>3232</v>
      </c>
      <c r="B1606" s="106" t="s">
        <v>3233</v>
      </c>
      <c r="C1606" s="106"/>
      <c r="D1606" s="106"/>
      <c r="E1606" s="52"/>
    </row>
    <row r="1607" spans="1:5" s="103" customFormat="1" ht="13.2" hidden="1" outlineLevel="1" x14ac:dyDescent="0.25">
      <c r="A1607" s="106" t="s">
        <v>3234</v>
      </c>
      <c r="B1607" s="106" t="s">
        <v>3235</v>
      </c>
      <c r="C1607" s="106"/>
      <c r="D1607" s="106"/>
      <c r="E1607" s="52"/>
    </row>
    <row r="1608" spans="1:5" s="103" customFormat="1" ht="13.2" hidden="1" outlineLevel="1" x14ac:dyDescent="0.25">
      <c r="A1608" s="106" t="s">
        <v>3236</v>
      </c>
      <c r="B1608" s="106" t="s">
        <v>3237</v>
      </c>
      <c r="C1608" s="106"/>
      <c r="D1608" s="106"/>
      <c r="E1608" s="52"/>
    </row>
    <row r="1609" spans="1:5" s="103" customFormat="1" ht="13.2" hidden="1" outlineLevel="1" x14ac:dyDescent="0.25">
      <c r="A1609" s="106" t="s">
        <v>3238</v>
      </c>
      <c r="B1609" s="106" t="s">
        <v>3239</v>
      </c>
      <c r="C1609" s="106"/>
      <c r="D1609" s="106"/>
      <c r="E1609" s="52"/>
    </row>
    <row r="1610" spans="1:5" s="103" customFormat="1" ht="13.2" hidden="1" outlineLevel="1" x14ac:dyDescent="0.25">
      <c r="A1610" s="106" t="s">
        <v>3240</v>
      </c>
      <c r="B1610" s="106" t="s">
        <v>3241</v>
      </c>
      <c r="C1610" s="106"/>
      <c r="D1610" s="106"/>
      <c r="E1610" s="52"/>
    </row>
    <row r="1611" spans="1:5" s="103" customFormat="1" ht="13.2" hidden="1" outlineLevel="1" x14ac:dyDescent="0.25">
      <c r="A1611" s="106" t="s">
        <v>3242</v>
      </c>
      <c r="B1611" s="106" t="s">
        <v>3243</v>
      </c>
      <c r="C1611" s="106"/>
      <c r="D1611" s="106"/>
      <c r="E1611" s="52"/>
    </row>
    <row r="1612" spans="1:5" s="103" customFormat="1" ht="13.2" hidden="1" outlineLevel="1" x14ac:dyDescent="0.25">
      <c r="A1612" s="106" t="s">
        <v>3244</v>
      </c>
      <c r="B1612" s="106" t="s">
        <v>3245</v>
      </c>
      <c r="C1612" s="106"/>
      <c r="D1612" s="106"/>
      <c r="E1612" s="52"/>
    </row>
    <row r="1613" spans="1:5" s="103" customFormat="1" ht="13.2" hidden="1" outlineLevel="1" x14ac:dyDescent="0.25">
      <c r="A1613" s="106" t="s">
        <v>3246</v>
      </c>
      <c r="B1613" s="106" t="s">
        <v>3247</v>
      </c>
      <c r="C1613" s="106"/>
      <c r="D1613" s="106"/>
      <c r="E1613" s="52"/>
    </row>
    <row r="1614" spans="1:5" s="103" customFormat="1" ht="13.2" hidden="1" outlineLevel="1" x14ac:dyDescent="0.25">
      <c r="A1614" s="106" t="s">
        <v>3248</v>
      </c>
      <c r="B1614" s="106" t="s">
        <v>3249</v>
      </c>
      <c r="C1614" s="106"/>
      <c r="D1614" s="106"/>
      <c r="E1614" s="52"/>
    </row>
    <row r="1615" spans="1:5" s="103" customFormat="1" ht="13.2" hidden="1" outlineLevel="1" x14ac:dyDescent="0.25">
      <c r="A1615" s="106" t="s">
        <v>3250</v>
      </c>
      <c r="B1615" s="106" t="s">
        <v>3251</v>
      </c>
      <c r="C1615" s="106"/>
      <c r="D1615" s="106"/>
      <c r="E1615" s="52"/>
    </row>
    <row r="1616" spans="1:5" s="103" customFormat="1" ht="13.2" hidden="1" outlineLevel="1" x14ac:dyDescent="0.25">
      <c r="A1616" s="106" t="s">
        <v>3252</v>
      </c>
      <c r="B1616" s="106" t="s">
        <v>3253</v>
      </c>
      <c r="C1616" s="106"/>
      <c r="D1616" s="106"/>
      <c r="E1616" s="52"/>
    </row>
    <row r="1617" spans="1:5" s="103" customFormat="1" ht="13.2" hidden="1" outlineLevel="1" x14ac:dyDescent="0.25">
      <c r="A1617" s="106" t="s">
        <v>3254</v>
      </c>
      <c r="B1617" s="106" t="s">
        <v>3255</v>
      </c>
      <c r="C1617" s="106"/>
      <c r="D1617" s="106"/>
      <c r="E1617" s="52"/>
    </row>
    <row r="1618" spans="1:5" s="103" customFormat="1" ht="13.2" hidden="1" outlineLevel="1" x14ac:dyDescent="0.25">
      <c r="A1618" s="106" t="s">
        <v>3256</v>
      </c>
      <c r="B1618" s="106" t="s">
        <v>3257</v>
      </c>
      <c r="C1618" s="106"/>
      <c r="D1618" s="106"/>
      <c r="E1618" s="52"/>
    </row>
    <row r="1619" spans="1:5" s="103" customFormat="1" ht="13.2" hidden="1" outlineLevel="1" x14ac:dyDescent="0.25">
      <c r="A1619" s="106" t="s">
        <v>3258</v>
      </c>
      <c r="B1619" s="106" t="s">
        <v>3259</v>
      </c>
      <c r="C1619" s="106"/>
      <c r="D1619" s="106"/>
      <c r="E1619" s="52"/>
    </row>
    <row r="1620" spans="1:5" s="103" customFormat="1" ht="13.2" hidden="1" outlineLevel="1" x14ac:dyDescent="0.25">
      <c r="A1620" s="106" t="s">
        <v>3260</v>
      </c>
      <c r="B1620" s="106" t="s">
        <v>3261</v>
      </c>
      <c r="C1620" s="106"/>
      <c r="D1620" s="106"/>
      <c r="E1620" s="52"/>
    </row>
    <row r="1621" spans="1:5" s="103" customFormat="1" ht="13.2" hidden="1" outlineLevel="1" x14ac:dyDescent="0.25">
      <c r="A1621" s="106" t="s">
        <v>3262</v>
      </c>
      <c r="B1621" s="106" t="s">
        <v>3263</v>
      </c>
      <c r="C1621" s="106"/>
      <c r="D1621" s="106"/>
      <c r="E1621" s="52"/>
    </row>
    <row r="1622" spans="1:5" s="103" customFormat="1" ht="13.2" hidden="1" outlineLevel="1" x14ac:dyDescent="0.25">
      <c r="A1622" s="106" t="s">
        <v>3264</v>
      </c>
      <c r="B1622" s="106" t="s">
        <v>3265</v>
      </c>
      <c r="C1622" s="106"/>
      <c r="D1622" s="106"/>
      <c r="E1622" s="52"/>
    </row>
    <row r="1623" spans="1:5" s="103" customFormat="1" ht="13.2" hidden="1" outlineLevel="1" x14ac:dyDescent="0.25">
      <c r="A1623" s="106" t="s">
        <v>3266</v>
      </c>
      <c r="B1623" s="106" t="s">
        <v>3267</v>
      </c>
      <c r="C1623" s="106"/>
      <c r="D1623" s="106"/>
      <c r="E1623" s="52"/>
    </row>
    <row r="1624" spans="1:5" s="103" customFormat="1" ht="13.2" hidden="1" outlineLevel="1" x14ac:dyDescent="0.25">
      <c r="A1624" s="106" t="s">
        <v>3268</v>
      </c>
      <c r="B1624" s="106" t="s">
        <v>3269</v>
      </c>
      <c r="C1624" s="106"/>
      <c r="D1624" s="106"/>
      <c r="E1624" s="52"/>
    </row>
    <row r="1625" spans="1:5" s="103" customFormat="1" ht="13.2" hidden="1" outlineLevel="1" x14ac:dyDescent="0.25">
      <c r="A1625" s="106" t="s">
        <v>3270</v>
      </c>
      <c r="B1625" s="106" t="s">
        <v>3271</v>
      </c>
      <c r="C1625" s="106"/>
      <c r="D1625" s="106"/>
      <c r="E1625" s="52"/>
    </row>
    <row r="1626" spans="1:5" s="103" customFormat="1" ht="13.2" hidden="1" outlineLevel="1" x14ac:dyDescent="0.25">
      <c r="A1626" s="106" t="s">
        <v>3272</v>
      </c>
      <c r="B1626" s="106" t="s">
        <v>3273</v>
      </c>
      <c r="C1626" s="106"/>
      <c r="D1626" s="106"/>
      <c r="E1626" s="52"/>
    </row>
    <row r="1627" spans="1:5" s="103" customFormat="1" ht="13.2" hidden="1" outlineLevel="1" x14ac:dyDescent="0.25">
      <c r="A1627" s="106" t="s">
        <v>3274</v>
      </c>
      <c r="B1627" s="106" t="s">
        <v>3275</v>
      </c>
      <c r="C1627" s="106"/>
      <c r="D1627" s="106"/>
      <c r="E1627" s="52"/>
    </row>
    <row r="1628" spans="1:5" s="103" customFormat="1" ht="13.2" hidden="1" outlineLevel="1" x14ac:dyDescent="0.25">
      <c r="A1628" s="106" t="s">
        <v>3276</v>
      </c>
      <c r="B1628" s="106" t="s">
        <v>3277</v>
      </c>
      <c r="C1628" s="106"/>
      <c r="D1628" s="106"/>
      <c r="E1628" s="52"/>
    </row>
    <row r="1629" spans="1:5" s="103" customFormat="1" ht="13.2" hidden="1" outlineLevel="1" x14ac:dyDescent="0.25">
      <c r="A1629" s="106" t="s">
        <v>3278</v>
      </c>
      <c r="B1629" s="106" t="s">
        <v>3279</v>
      </c>
      <c r="C1629" s="106"/>
      <c r="D1629" s="106"/>
      <c r="E1629" s="52"/>
    </row>
    <row r="1630" spans="1:5" s="103" customFormat="1" ht="13.2" hidden="1" outlineLevel="1" x14ac:dyDescent="0.25">
      <c r="A1630" s="106" t="s">
        <v>3280</v>
      </c>
      <c r="B1630" s="106" t="s">
        <v>3281</v>
      </c>
      <c r="C1630" s="106"/>
      <c r="D1630" s="106"/>
      <c r="E1630" s="52"/>
    </row>
    <row r="1631" spans="1:5" s="103" customFormat="1" ht="13.2" hidden="1" outlineLevel="1" x14ac:dyDescent="0.25">
      <c r="A1631" s="106" t="s">
        <v>3282</v>
      </c>
      <c r="B1631" s="106" t="s">
        <v>3283</v>
      </c>
      <c r="C1631" s="106"/>
      <c r="D1631" s="106"/>
      <c r="E1631" s="52"/>
    </row>
    <row r="1632" spans="1:5" s="103" customFormat="1" ht="13.2" hidden="1" outlineLevel="1" x14ac:dyDescent="0.25">
      <c r="A1632" s="106" t="s">
        <v>3284</v>
      </c>
      <c r="B1632" s="106" t="s">
        <v>3285</v>
      </c>
      <c r="C1632" s="106"/>
      <c r="D1632" s="106"/>
      <c r="E1632" s="52"/>
    </row>
    <row r="1633" spans="1:5" s="103" customFormat="1" ht="13.2" hidden="1" outlineLevel="1" x14ac:dyDescent="0.25">
      <c r="A1633" s="106" t="s">
        <v>3286</v>
      </c>
      <c r="B1633" s="106" t="s">
        <v>3287</v>
      </c>
      <c r="C1633" s="106"/>
      <c r="D1633" s="106"/>
      <c r="E1633" s="52"/>
    </row>
    <row r="1634" spans="1:5" s="103" customFormat="1" ht="13.2" hidden="1" outlineLevel="1" x14ac:dyDescent="0.25">
      <c r="A1634" s="106" t="s">
        <v>3288</v>
      </c>
      <c r="B1634" s="106" t="s">
        <v>3289</v>
      </c>
      <c r="C1634" s="106"/>
      <c r="D1634" s="106"/>
      <c r="E1634" s="52"/>
    </row>
    <row r="1635" spans="1:5" s="103" customFormat="1" ht="13.2" hidden="1" outlineLevel="1" x14ac:dyDescent="0.25">
      <c r="A1635" s="106" t="s">
        <v>3290</v>
      </c>
      <c r="B1635" s="106" t="s">
        <v>3291</v>
      </c>
      <c r="C1635" s="106"/>
      <c r="D1635" s="106"/>
      <c r="E1635" s="52"/>
    </row>
    <row r="1636" spans="1:5" s="103" customFormat="1" ht="13.2" hidden="1" outlineLevel="1" x14ac:dyDescent="0.25">
      <c r="A1636" s="106" t="s">
        <v>3292</v>
      </c>
      <c r="B1636" s="106" t="s">
        <v>3293</v>
      </c>
      <c r="C1636" s="106"/>
      <c r="D1636" s="106"/>
      <c r="E1636" s="52"/>
    </row>
    <row r="1637" spans="1:5" s="103" customFormat="1" ht="13.2" hidden="1" outlineLevel="1" x14ac:dyDescent="0.25">
      <c r="A1637" s="106" t="s">
        <v>3294</v>
      </c>
      <c r="B1637" s="106" t="s">
        <v>3295</v>
      </c>
      <c r="C1637" s="106"/>
      <c r="D1637" s="106"/>
      <c r="E1637" s="52"/>
    </row>
    <row r="1638" spans="1:5" s="103" customFormat="1" ht="13.2" hidden="1" outlineLevel="1" x14ac:dyDescent="0.25">
      <c r="A1638" s="106" t="s">
        <v>3296</v>
      </c>
      <c r="B1638" s="106" t="s">
        <v>3297</v>
      </c>
      <c r="C1638" s="106"/>
      <c r="D1638" s="106"/>
      <c r="E1638" s="52"/>
    </row>
    <row r="1639" spans="1:5" s="103" customFormat="1" ht="13.2" hidden="1" outlineLevel="1" x14ac:dyDescent="0.25">
      <c r="A1639" s="106" t="s">
        <v>3298</v>
      </c>
      <c r="B1639" s="106" t="s">
        <v>3299</v>
      </c>
      <c r="C1639" s="106"/>
      <c r="D1639" s="106"/>
      <c r="E1639" s="52"/>
    </row>
    <row r="1640" spans="1:5" s="103" customFormat="1" ht="13.2" hidden="1" outlineLevel="1" x14ac:dyDescent="0.25">
      <c r="A1640" s="106" t="s">
        <v>3300</v>
      </c>
      <c r="B1640" s="106" t="s">
        <v>3301</v>
      </c>
      <c r="C1640" s="106"/>
      <c r="D1640" s="106"/>
      <c r="E1640" s="52"/>
    </row>
    <row r="1641" spans="1:5" s="103" customFormat="1" ht="13.2" hidden="1" outlineLevel="1" x14ac:dyDescent="0.25">
      <c r="A1641" s="106" t="s">
        <v>3302</v>
      </c>
      <c r="B1641" s="106" t="s">
        <v>3303</v>
      </c>
      <c r="C1641" s="106"/>
      <c r="D1641" s="106"/>
      <c r="E1641" s="52"/>
    </row>
    <row r="1642" spans="1:5" s="103" customFormat="1" ht="13.2" hidden="1" outlineLevel="1" x14ac:dyDescent="0.25">
      <c r="A1642" s="106" t="s">
        <v>3304</v>
      </c>
      <c r="B1642" s="106" t="s">
        <v>3305</v>
      </c>
      <c r="C1642" s="106"/>
      <c r="D1642" s="106"/>
      <c r="E1642" s="52"/>
    </row>
    <row r="1643" spans="1:5" s="103" customFormat="1" ht="13.2" hidden="1" outlineLevel="1" x14ac:dyDescent="0.25">
      <c r="A1643" s="106" t="s">
        <v>3306</v>
      </c>
      <c r="B1643" s="106" t="s">
        <v>3307</v>
      </c>
      <c r="C1643" s="106"/>
      <c r="D1643" s="106"/>
      <c r="E1643" s="52"/>
    </row>
    <row r="1644" spans="1:5" s="103" customFormat="1" ht="13.2" hidden="1" outlineLevel="1" x14ac:dyDescent="0.25">
      <c r="A1644" s="106" t="s">
        <v>3308</v>
      </c>
      <c r="B1644" s="106" t="s">
        <v>3309</v>
      </c>
      <c r="C1644" s="106"/>
      <c r="D1644" s="106"/>
      <c r="E1644" s="52"/>
    </row>
    <row r="1645" spans="1:5" s="103" customFormat="1" ht="13.2" hidden="1" outlineLevel="1" x14ac:dyDescent="0.25">
      <c r="A1645" s="106" t="s">
        <v>3310</v>
      </c>
      <c r="B1645" s="106" t="s">
        <v>3311</v>
      </c>
      <c r="C1645" s="106"/>
      <c r="D1645" s="106"/>
      <c r="E1645" s="52"/>
    </row>
    <row r="1646" spans="1:5" s="103" customFormat="1" ht="13.2" hidden="1" outlineLevel="1" x14ac:dyDescent="0.25">
      <c r="A1646" s="106" t="s">
        <v>3312</v>
      </c>
      <c r="B1646" s="106" t="s">
        <v>3313</v>
      </c>
      <c r="C1646" s="106"/>
      <c r="D1646" s="106"/>
      <c r="E1646" s="52"/>
    </row>
    <row r="1647" spans="1:5" s="103" customFormat="1" ht="13.2" hidden="1" outlineLevel="1" x14ac:dyDescent="0.25">
      <c r="A1647" s="106" t="s">
        <v>3314</v>
      </c>
      <c r="B1647" s="106" t="s">
        <v>3315</v>
      </c>
      <c r="C1647" s="106"/>
      <c r="D1647" s="106"/>
      <c r="E1647" s="52"/>
    </row>
    <row r="1648" spans="1:5" s="103" customFormat="1" ht="13.2" hidden="1" outlineLevel="1" x14ac:dyDescent="0.25">
      <c r="A1648" s="106" t="s">
        <v>3316</v>
      </c>
      <c r="B1648" s="106" t="s">
        <v>3317</v>
      </c>
      <c r="C1648" s="106"/>
      <c r="D1648" s="106"/>
      <c r="E1648" s="52"/>
    </row>
    <row r="1649" spans="1:5" s="103" customFormat="1" ht="13.2" hidden="1" outlineLevel="1" x14ac:dyDescent="0.25">
      <c r="A1649" s="106" t="s">
        <v>3318</v>
      </c>
      <c r="B1649" s="106" t="s">
        <v>3319</v>
      </c>
      <c r="C1649" s="106"/>
      <c r="D1649" s="106"/>
      <c r="E1649" s="52"/>
    </row>
    <row r="1650" spans="1:5" s="103" customFormat="1" ht="13.2" hidden="1" outlineLevel="1" x14ac:dyDescent="0.25">
      <c r="A1650" s="106" t="s">
        <v>3320</v>
      </c>
      <c r="B1650" s="106" t="s">
        <v>3321</v>
      </c>
      <c r="C1650" s="106"/>
      <c r="D1650" s="106"/>
      <c r="E1650" s="52"/>
    </row>
    <row r="1651" spans="1:5" s="103" customFormat="1" ht="13.2" hidden="1" outlineLevel="1" x14ac:dyDescent="0.25">
      <c r="A1651" s="106" t="s">
        <v>3322</v>
      </c>
      <c r="B1651" s="106" t="s">
        <v>3323</v>
      </c>
      <c r="C1651" s="106"/>
      <c r="D1651" s="106"/>
      <c r="E1651" s="52"/>
    </row>
    <row r="1652" spans="1:5" s="103" customFormat="1" ht="13.2" hidden="1" outlineLevel="1" x14ac:dyDescent="0.25">
      <c r="A1652" s="106" t="s">
        <v>3324</v>
      </c>
      <c r="B1652" s="106" t="s">
        <v>3325</v>
      </c>
      <c r="C1652" s="106"/>
      <c r="D1652" s="106"/>
      <c r="E1652" s="52"/>
    </row>
    <row r="1653" spans="1:5" s="103" customFormat="1" ht="13.2" hidden="1" outlineLevel="1" x14ac:dyDescent="0.25">
      <c r="A1653" s="106" t="s">
        <v>3326</v>
      </c>
      <c r="B1653" s="106" t="s">
        <v>3327</v>
      </c>
      <c r="C1653" s="106"/>
      <c r="D1653" s="106"/>
      <c r="E1653" s="52"/>
    </row>
    <row r="1654" spans="1:5" s="103" customFormat="1" ht="13.2" hidden="1" outlineLevel="1" x14ac:dyDescent="0.25">
      <c r="A1654" s="106" t="s">
        <v>3328</v>
      </c>
      <c r="B1654" s="106" t="s">
        <v>3329</v>
      </c>
      <c r="C1654" s="106"/>
      <c r="D1654" s="106"/>
      <c r="E1654" s="52"/>
    </row>
    <row r="1655" spans="1:5" s="103" customFormat="1" ht="13.2" hidden="1" outlineLevel="1" x14ac:dyDescent="0.25">
      <c r="A1655" s="106" t="s">
        <v>3330</v>
      </c>
      <c r="B1655" s="106" t="s">
        <v>3331</v>
      </c>
      <c r="C1655" s="106"/>
      <c r="D1655" s="106"/>
      <c r="E1655" s="52"/>
    </row>
    <row r="1656" spans="1:5" s="103" customFormat="1" ht="13.2" hidden="1" outlineLevel="1" x14ac:dyDescent="0.25">
      <c r="A1656" s="106" t="s">
        <v>3332</v>
      </c>
      <c r="B1656" s="106" t="s">
        <v>3333</v>
      </c>
      <c r="C1656" s="106"/>
      <c r="D1656" s="106"/>
      <c r="E1656" s="52"/>
    </row>
    <row r="1657" spans="1:5" s="103" customFormat="1" ht="13.2" hidden="1" outlineLevel="1" x14ac:dyDescent="0.25">
      <c r="A1657" s="106" t="s">
        <v>3334</v>
      </c>
      <c r="B1657" s="106" t="s">
        <v>3335</v>
      </c>
      <c r="C1657" s="106"/>
      <c r="D1657" s="106"/>
      <c r="E1657" s="52"/>
    </row>
    <row r="1658" spans="1:5" s="103" customFormat="1" ht="13.2" hidden="1" outlineLevel="1" x14ac:dyDescent="0.25">
      <c r="A1658" s="106" t="s">
        <v>3336</v>
      </c>
      <c r="B1658" s="106" t="s">
        <v>3337</v>
      </c>
      <c r="C1658" s="106"/>
      <c r="D1658" s="106"/>
      <c r="E1658" s="52"/>
    </row>
    <row r="1659" spans="1:5" s="103" customFormat="1" ht="13.2" hidden="1" outlineLevel="1" x14ac:dyDescent="0.25">
      <c r="A1659" s="106" t="s">
        <v>3338</v>
      </c>
      <c r="B1659" s="106" t="s">
        <v>3339</v>
      </c>
      <c r="C1659" s="106"/>
      <c r="D1659" s="106"/>
      <c r="E1659" s="52"/>
    </row>
    <row r="1660" spans="1:5" s="103" customFormat="1" ht="13.2" hidden="1" outlineLevel="1" x14ac:dyDescent="0.25">
      <c r="A1660" s="106" t="s">
        <v>3340</v>
      </c>
      <c r="B1660" s="106" t="s">
        <v>3341</v>
      </c>
      <c r="C1660" s="106"/>
      <c r="D1660" s="106"/>
      <c r="E1660" s="52"/>
    </row>
    <row r="1661" spans="1:5" s="103" customFormat="1" ht="13.2" hidden="1" outlineLevel="1" x14ac:dyDescent="0.25">
      <c r="A1661" s="106" t="s">
        <v>3342</v>
      </c>
      <c r="B1661" s="106" t="s">
        <v>3343</v>
      </c>
      <c r="C1661" s="106"/>
      <c r="D1661" s="106"/>
      <c r="E1661" s="52"/>
    </row>
    <row r="1662" spans="1:5" s="103" customFormat="1" ht="13.2" hidden="1" outlineLevel="1" x14ac:dyDescent="0.25">
      <c r="A1662" s="106" t="s">
        <v>3344</v>
      </c>
      <c r="B1662" s="106" t="s">
        <v>3345</v>
      </c>
      <c r="C1662" s="106"/>
      <c r="D1662" s="106"/>
      <c r="E1662" s="52"/>
    </row>
    <row r="1663" spans="1:5" s="103" customFormat="1" ht="13.2" hidden="1" outlineLevel="1" x14ac:dyDescent="0.25">
      <c r="A1663" s="106" t="s">
        <v>3346</v>
      </c>
      <c r="B1663" s="106" t="s">
        <v>3347</v>
      </c>
      <c r="C1663" s="106"/>
      <c r="D1663" s="106"/>
      <c r="E1663" s="52"/>
    </row>
    <row r="1664" spans="1:5" s="103" customFormat="1" ht="13.2" hidden="1" outlineLevel="1" x14ac:dyDescent="0.25">
      <c r="A1664" s="106" t="s">
        <v>3348</v>
      </c>
      <c r="B1664" s="106" t="s">
        <v>3349</v>
      </c>
      <c r="C1664" s="106"/>
      <c r="D1664" s="106"/>
      <c r="E1664" s="52"/>
    </row>
    <row r="1665" spans="1:5" s="103" customFormat="1" ht="13.2" hidden="1" outlineLevel="1" x14ac:dyDescent="0.25">
      <c r="A1665" s="106" t="s">
        <v>3350</v>
      </c>
      <c r="B1665" s="106" t="s">
        <v>3351</v>
      </c>
      <c r="C1665" s="106"/>
      <c r="D1665" s="106"/>
      <c r="E1665" s="52"/>
    </row>
    <row r="1666" spans="1:5" s="103" customFormat="1" ht="13.2" hidden="1" outlineLevel="1" x14ac:dyDescent="0.25">
      <c r="A1666" s="106" t="s">
        <v>3352</v>
      </c>
      <c r="B1666" s="106" t="s">
        <v>3353</v>
      </c>
      <c r="C1666" s="106"/>
      <c r="D1666" s="106"/>
      <c r="E1666" s="52"/>
    </row>
    <row r="1667" spans="1:5" s="103" customFormat="1" ht="13.2" hidden="1" outlineLevel="1" x14ac:dyDescent="0.25">
      <c r="A1667" s="106" t="s">
        <v>3354</v>
      </c>
      <c r="B1667" s="106" t="s">
        <v>3355</v>
      </c>
      <c r="C1667" s="106"/>
      <c r="D1667" s="106"/>
      <c r="E1667" s="52"/>
    </row>
    <row r="1668" spans="1:5" s="103" customFormat="1" ht="13.2" hidden="1" outlineLevel="1" x14ac:dyDescent="0.25">
      <c r="A1668" s="106" t="s">
        <v>3356</v>
      </c>
      <c r="B1668" s="106" t="s">
        <v>3357</v>
      </c>
      <c r="C1668" s="106"/>
      <c r="D1668" s="106"/>
      <c r="E1668" s="52"/>
    </row>
    <row r="1669" spans="1:5" s="103" customFormat="1" ht="13.2" hidden="1" outlineLevel="1" x14ac:dyDescent="0.25">
      <c r="A1669" s="106" t="s">
        <v>3358</v>
      </c>
      <c r="B1669" s="106" t="s">
        <v>3359</v>
      </c>
      <c r="C1669" s="106"/>
      <c r="D1669" s="106"/>
      <c r="E1669" s="52"/>
    </row>
    <row r="1670" spans="1:5" s="103" customFormat="1" ht="13.2" hidden="1" outlineLevel="1" x14ac:dyDescent="0.25">
      <c r="A1670" s="106" t="s">
        <v>3360</v>
      </c>
      <c r="B1670" s="106" t="s">
        <v>3361</v>
      </c>
      <c r="C1670" s="106"/>
      <c r="D1670" s="106"/>
      <c r="E1670" s="52"/>
    </row>
    <row r="1671" spans="1:5" s="103" customFormat="1" ht="13.2" hidden="1" outlineLevel="1" x14ac:dyDescent="0.25">
      <c r="A1671" s="106" t="s">
        <v>3362</v>
      </c>
      <c r="B1671" s="106" t="s">
        <v>3363</v>
      </c>
      <c r="C1671" s="106"/>
      <c r="D1671" s="106"/>
      <c r="E1671" s="52"/>
    </row>
    <row r="1672" spans="1:5" s="103" customFormat="1" ht="13.2" hidden="1" outlineLevel="1" x14ac:dyDescent="0.25">
      <c r="A1672" s="106" t="s">
        <v>3364</v>
      </c>
      <c r="B1672" s="106" t="s">
        <v>3365</v>
      </c>
      <c r="C1672" s="106"/>
      <c r="D1672" s="106"/>
      <c r="E1672" s="52"/>
    </row>
    <row r="1673" spans="1:5" s="103" customFormat="1" ht="13.2" hidden="1" outlineLevel="1" x14ac:dyDescent="0.25">
      <c r="A1673" s="106" t="s">
        <v>3366</v>
      </c>
      <c r="B1673" s="106" t="s">
        <v>3367</v>
      </c>
      <c r="C1673" s="106"/>
      <c r="D1673" s="106"/>
      <c r="E1673" s="52"/>
    </row>
    <row r="1674" spans="1:5" s="103" customFormat="1" ht="13.2" hidden="1" outlineLevel="1" x14ac:dyDescent="0.25">
      <c r="A1674" s="106" t="s">
        <v>3368</v>
      </c>
      <c r="B1674" s="106" t="s">
        <v>3369</v>
      </c>
      <c r="C1674" s="106"/>
      <c r="D1674" s="106"/>
      <c r="E1674" s="52"/>
    </row>
    <row r="1675" spans="1:5" s="103" customFormat="1" ht="13.2" hidden="1" outlineLevel="1" x14ac:dyDescent="0.25">
      <c r="A1675" s="106" t="s">
        <v>3370</v>
      </c>
      <c r="B1675" s="106" t="s">
        <v>3371</v>
      </c>
      <c r="C1675" s="106"/>
      <c r="D1675" s="106"/>
      <c r="E1675" s="52"/>
    </row>
    <row r="1676" spans="1:5" s="103" customFormat="1" ht="13.2" hidden="1" outlineLevel="1" x14ac:dyDescent="0.25">
      <c r="A1676" s="106" t="s">
        <v>3372</v>
      </c>
      <c r="B1676" s="106" t="s">
        <v>3373</v>
      </c>
      <c r="C1676" s="106"/>
      <c r="D1676" s="106"/>
      <c r="E1676" s="52"/>
    </row>
    <row r="1677" spans="1:5" s="103" customFormat="1" ht="13.2" hidden="1" outlineLevel="1" x14ac:dyDescent="0.25">
      <c r="A1677" s="106" t="s">
        <v>3374</v>
      </c>
      <c r="B1677" s="106" t="s">
        <v>3375</v>
      </c>
      <c r="C1677" s="106"/>
      <c r="D1677" s="106"/>
      <c r="E1677" s="52"/>
    </row>
    <row r="1678" spans="1:5" s="103" customFormat="1" ht="13.2" hidden="1" outlineLevel="1" x14ac:dyDescent="0.25">
      <c r="A1678" s="106" t="s">
        <v>3376</v>
      </c>
      <c r="B1678" s="106" t="s">
        <v>3377</v>
      </c>
      <c r="C1678" s="106"/>
      <c r="D1678" s="106"/>
      <c r="E1678" s="52"/>
    </row>
    <row r="1679" spans="1:5" s="103" customFormat="1" ht="13.2" collapsed="1" x14ac:dyDescent="0.25">
      <c r="A1679" s="104" t="s">
        <v>3378</v>
      </c>
      <c r="B1679" s="105" t="s">
        <v>3379</v>
      </c>
      <c r="C1679" s="105"/>
      <c r="D1679" s="105"/>
      <c r="E1679" s="51"/>
    </row>
    <row r="1680" spans="1:5" s="103" customFormat="1" ht="13.2" hidden="1" outlineLevel="1" x14ac:dyDescent="0.25">
      <c r="A1680" s="106" t="s">
        <v>3380</v>
      </c>
      <c r="B1680" s="106" t="s">
        <v>3381</v>
      </c>
      <c r="C1680" s="106"/>
      <c r="D1680" s="106"/>
      <c r="E1680" s="52"/>
    </row>
    <row r="1681" spans="1:5" s="103" customFormat="1" ht="13.2" hidden="1" outlineLevel="1" x14ac:dyDescent="0.25">
      <c r="A1681" s="106" t="s">
        <v>3382</v>
      </c>
      <c r="B1681" s="106" t="s">
        <v>3383</v>
      </c>
      <c r="C1681" s="106"/>
      <c r="D1681" s="106"/>
      <c r="E1681" s="52"/>
    </row>
    <row r="1682" spans="1:5" s="103" customFormat="1" ht="13.2" hidden="1" outlineLevel="1" x14ac:dyDescent="0.25">
      <c r="A1682" s="106" t="s">
        <v>3384</v>
      </c>
      <c r="B1682" s="106" t="s">
        <v>3385</v>
      </c>
      <c r="C1682" s="106"/>
      <c r="D1682" s="106"/>
      <c r="E1682" s="52"/>
    </row>
    <row r="1683" spans="1:5" s="103" customFormat="1" ht="13.2" hidden="1" outlineLevel="1" x14ac:dyDescent="0.25">
      <c r="A1683" s="106" t="s">
        <v>3386</v>
      </c>
      <c r="B1683" s="106" t="s">
        <v>3387</v>
      </c>
      <c r="C1683" s="106"/>
      <c r="D1683" s="106"/>
      <c r="E1683" s="52"/>
    </row>
    <row r="1684" spans="1:5" s="103" customFormat="1" ht="13.2" hidden="1" outlineLevel="1" x14ac:dyDescent="0.25">
      <c r="A1684" s="106" t="s">
        <v>3388</v>
      </c>
      <c r="B1684" s="106" t="s">
        <v>3389</v>
      </c>
      <c r="C1684" s="106"/>
      <c r="D1684" s="106"/>
      <c r="E1684" s="52"/>
    </row>
    <row r="1685" spans="1:5" s="103" customFormat="1" ht="13.2" hidden="1" outlineLevel="1" x14ac:dyDescent="0.25">
      <c r="A1685" s="106" t="s">
        <v>3390</v>
      </c>
      <c r="B1685" s="106" t="s">
        <v>3391</v>
      </c>
      <c r="C1685" s="106"/>
      <c r="D1685" s="106"/>
      <c r="E1685" s="52"/>
    </row>
    <row r="1686" spans="1:5" s="103" customFormat="1" ht="13.2" hidden="1" outlineLevel="1" x14ac:dyDescent="0.25">
      <c r="A1686" s="106" t="s">
        <v>3392</v>
      </c>
      <c r="B1686" s="106" t="s">
        <v>3393</v>
      </c>
      <c r="C1686" s="106"/>
      <c r="D1686" s="106"/>
      <c r="E1686" s="52"/>
    </row>
    <row r="1687" spans="1:5" s="103" customFormat="1" ht="13.2" hidden="1" outlineLevel="1" x14ac:dyDescent="0.25">
      <c r="A1687" s="106" t="s">
        <v>3394</v>
      </c>
      <c r="B1687" s="106" t="s">
        <v>3395</v>
      </c>
      <c r="C1687" s="106"/>
      <c r="D1687" s="106"/>
      <c r="E1687" s="52"/>
    </row>
    <row r="1688" spans="1:5" s="103" customFormat="1" ht="13.2" hidden="1" outlineLevel="1" x14ac:dyDescent="0.25">
      <c r="A1688" s="106" t="s">
        <v>3396</v>
      </c>
      <c r="B1688" s="106" t="s">
        <v>3397</v>
      </c>
      <c r="C1688" s="106"/>
      <c r="D1688" s="106"/>
      <c r="E1688" s="52"/>
    </row>
    <row r="1689" spans="1:5" s="103" customFormat="1" ht="13.2" hidden="1" outlineLevel="1" x14ac:dyDescent="0.25">
      <c r="A1689" s="106" t="s">
        <v>3398</v>
      </c>
      <c r="B1689" s="106" t="s">
        <v>3399</v>
      </c>
      <c r="C1689" s="106"/>
      <c r="D1689" s="106"/>
      <c r="E1689" s="52"/>
    </row>
    <row r="1690" spans="1:5" s="103" customFormat="1" ht="13.2" hidden="1" outlineLevel="1" x14ac:dyDescent="0.25">
      <c r="A1690" s="106" t="s">
        <v>3400</v>
      </c>
      <c r="B1690" s="106" t="s">
        <v>3401</v>
      </c>
      <c r="C1690" s="106"/>
      <c r="D1690" s="106"/>
      <c r="E1690" s="52"/>
    </row>
    <row r="1691" spans="1:5" s="103" customFormat="1" ht="13.2" hidden="1" outlineLevel="1" x14ac:dyDescent="0.25">
      <c r="A1691" s="106" t="s">
        <v>3402</v>
      </c>
      <c r="B1691" s="106" t="s">
        <v>3403</v>
      </c>
      <c r="C1691" s="106"/>
      <c r="D1691" s="106"/>
      <c r="E1691" s="52"/>
    </row>
    <row r="1692" spans="1:5" s="103" customFormat="1" ht="13.2" hidden="1" outlineLevel="1" x14ac:dyDescent="0.25">
      <c r="A1692" s="106" t="s">
        <v>3404</v>
      </c>
      <c r="B1692" s="106" t="s">
        <v>3405</v>
      </c>
      <c r="C1692" s="106"/>
      <c r="D1692" s="106"/>
      <c r="E1692" s="52"/>
    </row>
    <row r="1693" spans="1:5" s="103" customFormat="1" ht="13.2" hidden="1" outlineLevel="1" x14ac:dyDescent="0.25">
      <c r="A1693" s="106" t="s">
        <v>3406</v>
      </c>
      <c r="B1693" s="106" t="s">
        <v>3407</v>
      </c>
      <c r="C1693" s="106"/>
      <c r="D1693" s="106"/>
      <c r="E1693" s="52"/>
    </row>
    <row r="1694" spans="1:5" s="103" customFormat="1" ht="13.2" hidden="1" outlineLevel="1" x14ac:dyDescent="0.25">
      <c r="A1694" s="106" t="s">
        <v>3408</v>
      </c>
      <c r="B1694" s="106" t="s">
        <v>3409</v>
      </c>
      <c r="C1694" s="106"/>
      <c r="D1694" s="106"/>
      <c r="E1694" s="52"/>
    </row>
    <row r="1695" spans="1:5" s="103" customFormat="1" ht="13.2" hidden="1" outlineLevel="1" x14ac:dyDescent="0.25">
      <c r="A1695" s="106" t="s">
        <v>3410</v>
      </c>
      <c r="B1695" s="106" t="s">
        <v>3411</v>
      </c>
      <c r="C1695" s="106"/>
      <c r="D1695" s="106"/>
      <c r="E1695" s="52"/>
    </row>
    <row r="1696" spans="1:5" s="103" customFormat="1" ht="13.2" hidden="1" outlineLevel="1" x14ac:dyDescent="0.25">
      <c r="A1696" s="106" t="s">
        <v>3412</v>
      </c>
      <c r="B1696" s="106" t="s">
        <v>3413</v>
      </c>
      <c r="C1696" s="106"/>
      <c r="D1696" s="106"/>
      <c r="E1696" s="52"/>
    </row>
    <row r="1697" spans="1:5" s="103" customFormat="1" ht="13.2" hidden="1" outlineLevel="1" x14ac:dyDescent="0.25">
      <c r="A1697" s="106" t="s">
        <v>3414</v>
      </c>
      <c r="B1697" s="106" t="s">
        <v>3415</v>
      </c>
      <c r="C1697" s="106"/>
      <c r="D1697" s="106"/>
      <c r="E1697" s="52"/>
    </row>
    <row r="1698" spans="1:5" s="103" customFormat="1" ht="13.2" hidden="1" outlineLevel="1" x14ac:dyDescent="0.25">
      <c r="A1698" s="106" t="s">
        <v>3416</v>
      </c>
      <c r="B1698" s="106" t="s">
        <v>3417</v>
      </c>
      <c r="C1698" s="106"/>
      <c r="D1698" s="106"/>
      <c r="E1698" s="52"/>
    </row>
    <row r="1699" spans="1:5" s="103" customFormat="1" ht="13.2" hidden="1" outlineLevel="1" x14ac:dyDescent="0.25">
      <c r="A1699" s="106" t="s">
        <v>3418</v>
      </c>
      <c r="B1699" s="106" t="s">
        <v>3419</v>
      </c>
      <c r="C1699" s="106"/>
      <c r="D1699" s="106"/>
      <c r="E1699" s="52"/>
    </row>
    <row r="1700" spans="1:5" s="103" customFormat="1" ht="13.2" hidden="1" outlineLevel="1" x14ac:dyDescent="0.25">
      <c r="A1700" s="106" t="s">
        <v>3420</v>
      </c>
      <c r="B1700" s="106" t="s">
        <v>3421</v>
      </c>
      <c r="C1700" s="106"/>
      <c r="D1700" s="106"/>
      <c r="E1700" s="52"/>
    </row>
    <row r="1701" spans="1:5" s="103" customFormat="1" ht="13.2" hidden="1" outlineLevel="1" x14ac:dyDescent="0.25">
      <c r="A1701" s="106" t="s">
        <v>3422</v>
      </c>
      <c r="B1701" s="106" t="s">
        <v>3423</v>
      </c>
      <c r="C1701" s="106"/>
      <c r="D1701" s="106"/>
      <c r="E1701" s="52"/>
    </row>
    <row r="1702" spans="1:5" s="103" customFormat="1" ht="13.2" hidden="1" outlineLevel="1" x14ac:dyDescent="0.25">
      <c r="A1702" s="106" t="s">
        <v>3424</v>
      </c>
      <c r="B1702" s="106" t="s">
        <v>3425</v>
      </c>
      <c r="C1702" s="106"/>
      <c r="D1702" s="106"/>
      <c r="E1702" s="52"/>
    </row>
    <row r="1703" spans="1:5" s="103" customFormat="1" ht="13.2" hidden="1" outlineLevel="1" x14ac:dyDescent="0.25">
      <c r="A1703" s="106" t="s">
        <v>3426</v>
      </c>
      <c r="B1703" s="106" t="s">
        <v>3427</v>
      </c>
      <c r="C1703" s="106"/>
      <c r="D1703" s="106"/>
      <c r="E1703" s="52"/>
    </row>
    <row r="1704" spans="1:5" s="103" customFormat="1" ht="13.2" hidden="1" outlineLevel="1" x14ac:dyDescent="0.25">
      <c r="A1704" s="106" t="s">
        <v>3428</v>
      </c>
      <c r="B1704" s="106" t="s">
        <v>3429</v>
      </c>
      <c r="C1704" s="106"/>
      <c r="D1704" s="106"/>
      <c r="E1704" s="52"/>
    </row>
    <row r="1705" spans="1:5" s="103" customFormat="1" ht="13.2" hidden="1" outlineLevel="1" x14ac:dyDescent="0.25">
      <c r="A1705" s="106" t="s">
        <v>3430</v>
      </c>
      <c r="B1705" s="106" t="s">
        <v>3431</v>
      </c>
      <c r="C1705" s="106"/>
      <c r="D1705" s="106"/>
      <c r="E1705" s="52"/>
    </row>
    <row r="1706" spans="1:5" s="103" customFormat="1" ht="13.2" hidden="1" outlineLevel="1" x14ac:dyDescent="0.25">
      <c r="A1706" s="106" t="s">
        <v>3432</v>
      </c>
      <c r="B1706" s="106" t="s">
        <v>3433</v>
      </c>
      <c r="C1706" s="106"/>
      <c r="D1706" s="106"/>
      <c r="E1706" s="52"/>
    </row>
    <row r="1707" spans="1:5" s="103" customFormat="1" ht="13.2" hidden="1" outlineLevel="1" x14ac:dyDescent="0.25">
      <c r="A1707" s="106" t="s">
        <v>3434</v>
      </c>
      <c r="B1707" s="106" t="s">
        <v>3435</v>
      </c>
      <c r="C1707" s="106"/>
      <c r="D1707" s="106"/>
      <c r="E1707" s="52"/>
    </row>
    <row r="1708" spans="1:5" s="103" customFormat="1" ht="13.2" hidden="1" outlineLevel="1" x14ac:dyDescent="0.25">
      <c r="A1708" s="106" t="s">
        <v>3436</v>
      </c>
      <c r="B1708" s="106" t="s">
        <v>3437</v>
      </c>
      <c r="C1708" s="106"/>
      <c r="D1708" s="106"/>
      <c r="E1708" s="52"/>
    </row>
    <row r="1709" spans="1:5" s="103" customFormat="1" ht="13.2" hidden="1" outlineLevel="1" x14ac:dyDescent="0.25">
      <c r="A1709" s="106" t="s">
        <v>3438</v>
      </c>
      <c r="B1709" s="106" t="s">
        <v>3439</v>
      </c>
      <c r="C1709" s="106"/>
      <c r="D1709" s="106"/>
      <c r="E1709" s="52"/>
    </row>
    <row r="1710" spans="1:5" s="103" customFormat="1" ht="13.2" hidden="1" outlineLevel="1" x14ac:dyDescent="0.25">
      <c r="A1710" s="106" t="s">
        <v>3440</v>
      </c>
      <c r="B1710" s="106" t="s">
        <v>3441</v>
      </c>
      <c r="C1710" s="106"/>
      <c r="D1710" s="106"/>
      <c r="E1710" s="52"/>
    </row>
    <row r="1711" spans="1:5" s="103" customFormat="1" ht="13.2" hidden="1" outlineLevel="1" x14ac:dyDescent="0.25">
      <c r="A1711" s="106" t="s">
        <v>3442</v>
      </c>
      <c r="B1711" s="106" t="s">
        <v>3443</v>
      </c>
      <c r="C1711" s="106"/>
      <c r="D1711" s="106"/>
      <c r="E1711" s="52"/>
    </row>
    <row r="1712" spans="1:5" s="103" customFormat="1" ht="13.2" hidden="1" outlineLevel="1" x14ac:dyDescent="0.25">
      <c r="A1712" s="106" t="s">
        <v>3444</v>
      </c>
      <c r="B1712" s="106" t="s">
        <v>3445</v>
      </c>
      <c r="C1712" s="106"/>
      <c r="D1712" s="106"/>
      <c r="E1712" s="52"/>
    </row>
    <row r="1713" spans="1:5" s="103" customFormat="1" ht="13.2" hidden="1" outlineLevel="1" x14ac:dyDescent="0.25">
      <c r="A1713" s="106" t="s">
        <v>3446</v>
      </c>
      <c r="B1713" s="106" t="s">
        <v>3447</v>
      </c>
      <c r="C1713" s="106"/>
      <c r="D1713" s="106"/>
      <c r="E1713" s="52"/>
    </row>
    <row r="1714" spans="1:5" s="103" customFormat="1" ht="13.2" hidden="1" outlineLevel="1" x14ac:dyDescent="0.25">
      <c r="A1714" s="106" t="s">
        <v>3448</v>
      </c>
      <c r="B1714" s="106" t="s">
        <v>3449</v>
      </c>
      <c r="C1714" s="106"/>
      <c r="D1714" s="106"/>
      <c r="E1714" s="52"/>
    </row>
    <row r="1715" spans="1:5" s="103" customFormat="1" ht="13.2" hidden="1" outlineLevel="1" x14ac:dyDescent="0.25">
      <c r="A1715" s="106" t="s">
        <v>3450</v>
      </c>
      <c r="B1715" s="106" t="s">
        <v>3451</v>
      </c>
      <c r="C1715" s="106"/>
      <c r="D1715" s="106"/>
      <c r="E1715" s="52"/>
    </row>
    <row r="1716" spans="1:5" s="103" customFormat="1" ht="13.2" hidden="1" outlineLevel="1" x14ac:dyDescent="0.25">
      <c r="A1716" s="106" t="s">
        <v>3452</v>
      </c>
      <c r="B1716" s="106" t="s">
        <v>3453</v>
      </c>
      <c r="C1716" s="106"/>
      <c r="D1716" s="106"/>
      <c r="E1716" s="52"/>
    </row>
    <row r="1717" spans="1:5" s="103" customFormat="1" ht="13.2" hidden="1" outlineLevel="1" x14ac:dyDescent="0.25">
      <c r="A1717" s="106" t="s">
        <v>3454</v>
      </c>
      <c r="B1717" s="106" t="s">
        <v>3455</v>
      </c>
      <c r="C1717" s="106"/>
      <c r="D1717" s="106"/>
      <c r="E1717" s="52"/>
    </row>
    <row r="1718" spans="1:5" s="103" customFormat="1" ht="13.2" hidden="1" outlineLevel="1" x14ac:dyDescent="0.25">
      <c r="A1718" s="106" t="s">
        <v>3456</v>
      </c>
      <c r="B1718" s="106" t="s">
        <v>3457</v>
      </c>
      <c r="C1718" s="106"/>
      <c r="D1718" s="106"/>
      <c r="E1718" s="52"/>
    </row>
    <row r="1719" spans="1:5" s="103" customFormat="1" ht="13.2" hidden="1" outlineLevel="1" x14ac:dyDescent="0.25">
      <c r="A1719" s="106" t="s">
        <v>3458</v>
      </c>
      <c r="B1719" s="106" t="s">
        <v>3459</v>
      </c>
      <c r="C1719" s="106"/>
      <c r="D1719" s="106"/>
      <c r="E1719" s="52"/>
    </row>
    <row r="1720" spans="1:5" s="103" customFormat="1" ht="13.2" hidden="1" outlineLevel="1" x14ac:dyDescent="0.25">
      <c r="A1720" s="106" t="s">
        <v>3460</v>
      </c>
      <c r="B1720" s="106" t="s">
        <v>3461</v>
      </c>
      <c r="C1720" s="106"/>
      <c r="D1720" s="106"/>
      <c r="E1720" s="52"/>
    </row>
    <row r="1721" spans="1:5" s="103" customFormat="1" ht="13.2" hidden="1" outlineLevel="1" x14ac:dyDescent="0.25">
      <c r="A1721" s="106" t="s">
        <v>3462</v>
      </c>
      <c r="B1721" s="106" t="s">
        <v>3463</v>
      </c>
      <c r="C1721" s="106"/>
      <c r="D1721" s="106"/>
      <c r="E1721" s="52"/>
    </row>
    <row r="1722" spans="1:5" s="103" customFormat="1" ht="13.2" hidden="1" outlineLevel="1" x14ac:dyDescent="0.25">
      <c r="A1722" s="106" t="s">
        <v>3464</v>
      </c>
      <c r="B1722" s="106" t="s">
        <v>3465</v>
      </c>
      <c r="C1722" s="106"/>
      <c r="D1722" s="106"/>
      <c r="E1722" s="52"/>
    </row>
    <row r="1723" spans="1:5" s="103" customFormat="1" ht="13.2" hidden="1" outlineLevel="1" x14ac:dyDescent="0.25">
      <c r="A1723" s="106" t="s">
        <v>3466</v>
      </c>
      <c r="B1723" s="106" t="s">
        <v>3467</v>
      </c>
      <c r="C1723" s="106"/>
      <c r="D1723" s="106"/>
      <c r="E1723" s="52"/>
    </row>
    <row r="1724" spans="1:5" s="103" customFormat="1" ht="13.2" hidden="1" outlineLevel="1" x14ac:dyDescent="0.25">
      <c r="A1724" s="106" t="s">
        <v>3468</v>
      </c>
      <c r="B1724" s="106" t="s">
        <v>3469</v>
      </c>
      <c r="C1724" s="106"/>
      <c r="D1724" s="106"/>
      <c r="E1724" s="52"/>
    </row>
    <row r="1725" spans="1:5" s="103" customFormat="1" ht="13.2" hidden="1" outlineLevel="1" x14ac:dyDescent="0.25">
      <c r="A1725" s="106" t="s">
        <v>3470</v>
      </c>
      <c r="B1725" s="106" t="s">
        <v>3471</v>
      </c>
      <c r="C1725" s="106"/>
      <c r="D1725" s="106"/>
      <c r="E1725" s="52"/>
    </row>
    <row r="1726" spans="1:5" s="103" customFormat="1" ht="13.2" hidden="1" outlineLevel="1" x14ac:dyDescent="0.25">
      <c r="A1726" s="106" t="s">
        <v>3472</v>
      </c>
      <c r="B1726" s="106" t="s">
        <v>3473</v>
      </c>
      <c r="C1726" s="106"/>
      <c r="D1726" s="106"/>
      <c r="E1726" s="52"/>
    </row>
    <row r="1727" spans="1:5" s="103" customFormat="1" ht="13.2" hidden="1" outlineLevel="1" x14ac:dyDescent="0.25">
      <c r="A1727" s="106" t="s">
        <v>3474</v>
      </c>
      <c r="B1727" s="106" t="s">
        <v>3475</v>
      </c>
      <c r="C1727" s="106"/>
      <c r="D1727" s="106"/>
      <c r="E1727" s="52"/>
    </row>
    <row r="1728" spans="1:5" s="103" customFormat="1" ht="13.2" hidden="1" outlineLevel="1" x14ac:dyDescent="0.25">
      <c r="A1728" s="106" t="s">
        <v>3476</v>
      </c>
      <c r="B1728" s="106" t="s">
        <v>3477</v>
      </c>
      <c r="C1728" s="106"/>
      <c r="D1728" s="106"/>
      <c r="E1728" s="52"/>
    </row>
    <row r="1729" spans="1:5" s="103" customFormat="1" ht="13.2" hidden="1" outlineLevel="1" x14ac:dyDescent="0.25">
      <c r="A1729" s="106" t="s">
        <v>3478</v>
      </c>
      <c r="B1729" s="106" t="s">
        <v>3479</v>
      </c>
      <c r="C1729" s="106"/>
      <c r="D1729" s="106"/>
      <c r="E1729" s="52"/>
    </row>
    <row r="1730" spans="1:5" s="103" customFormat="1" ht="13.2" hidden="1" outlineLevel="1" x14ac:dyDescent="0.25">
      <c r="A1730" s="106" t="s">
        <v>3480</v>
      </c>
      <c r="B1730" s="106" t="s">
        <v>3481</v>
      </c>
      <c r="C1730" s="106"/>
      <c r="D1730" s="106"/>
      <c r="E1730" s="52"/>
    </row>
    <row r="1731" spans="1:5" s="103" customFormat="1" ht="13.2" hidden="1" outlineLevel="1" x14ac:dyDescent="0.25">
      <c r="A1731" s="106" t="s">
        <v>3482</v>
      </c>
      <c r="B1731" s="106" t="s">
        <v>3483</v>
      </c>
      <c r="C1731" s="106"/>
      <c r="D1731" s="106"/>
      <c r="E1731" s="52"/>
    </row>
    <row r="1732" spans="1:5" s="103" customFormat="1" ht="13.2" hidden="1" outlineLevel="1" x14ac:dyDescent="0.25">
      <c r="A1732" s="106" t="s">
        <v>3484</v>
      </c>
      <c r="B1732" s="106" t="s">
        <v>3485</v>
      </c>
      <c r="C1732" s="106"/>
      <c r="D1732" s="106"/>
      <c r="E1732" s="52"/>
    </row>
    <row r="1733" spans="1:5" s="103" customFormat="1" ht="13.2" hidden="1" outlineLevel="1" x14ac:dyDescent="0.25">
      <c r="A1733" s="106" t="s">
        <v>3486</v>
      </c>
      <c r="B1733" s="106" t="s">
        <v>3487</v>
      </c>
      <c r="C1733" s="106"/>
      <c r="D1733" s="106"/>
      <c r="E1733" s="52"/>
    </row>
    <row r="1734" spans="1:5" s="103" customFormat="1" ht="13.2" hidden="1" outlineLevel="1" x14ac:dyDescent="0.25">
      <c r="A1734" s="106" t="s">
        <v>3488</v>
      </c>
      <c r="B1734" s="106" t="s">
        <v>3489</v>
      </c>
      <c r="C1734" s="106"/>
      <c r="D1734" s="106"/>
      <c r="E1734" s="52"/>
    </row>
    <row r="1735" spans="1:5" s="103" customFormat="1" ht="13.2" hidden="1" outlineLevel="1" x14ac:dyDescent="0.25">
      <c r="A1735" s="106" t="s">
        <v>3490</v>
      </c>
      <c r="B1735" s="106" t="s">
        <v>3491</v>
      </c>
      <c r="C1735" s="106"/>
      <c r="D1735" s="106"/>
      <c r="E1735" s="52"/>
    </row>
    <row r="1736" spans="1:5" s="103" customFormat="1" ht="13.2" hidden="1" outlineLevel="1" x14ac:dyDescent="0.25">
      <c r="A1736" s="106" t="s">
        <v>3492</v>
      </c>
      <c r="B1736" s="106" t="s">
        <v>3493</v>
      </c>
      <c r="C1736" s="106"/>
      <c r="D1736" s="106"/>
      <c r="E1736" s="52"/>
    </row>
    <row r="1737" spans="1:5" s="103" customFormat="1" ht="13.2" hidden="1" outlineLevel="1" x14ac:dyDescent="0.25">
      <c r="A1737" s="106" t="s">
        <v>3494</v>
      </c>
      <c r="B1737" s="106" t="s">
        <v>3495</v>
      </c>
      <c r="C1737" s="106"/>
      <c r="D1737" s="106"/>
      <c r="E1737" s="52"/>
    </row>
    <row r="1738" spans="1:5" s="103" customFormat="1" ht="13.2" hidden="1" outlineLevel="1" x14ac:dyDescent="0.25">
      <c r="A1738" s="106" t="s">
        <v>3496</v>
      </c>
      <c r="B1738" s="106" t="s">
        <v>3497</v>
      </c>
      <c r="C1738" s="106"/>
      <c r="D1738" s="106"/>
      <c r="E1738" s="52"/>
    </row>
    <row r="1739" spans="1:5" s="103" customFormat="1" ht="13.2" hidden="1" outlineLevel="1" x14ac:dyDescent="0.25">
      <c r="A1739" s="106" t="s">
        <v>3498</v>
      </c>
      <c r="B1739" s="106" t="s">
        <v>3499</v>
      </c>
      <c r="C1739" s="106"/>
      <c r="D1739" s="106"/>
      <c r="E1739" s="52"/>
    </row>
    <row r="1740" spans="1:5" s="103" customFormat="1" ht="13.2" hidden="1" outlineLevel="1" x14ac:dyDescent="0.25">
      <c r="A1740" s="106" t="s">
        <v>3500</v>
      </c>
      <c r="B1740" s="106" t="s">
        <v>3501</v>
      </c>
      <c r="C1740" s="106"/>
      <c r="D1740" s="106"/>
      <c r="E1740" s="52"/>
    </row>
    <row r="1741" spans="1:5" s="103" customFormat="1" ht="13.2" hidden="1" outlineLevel="1" x14ac:dyDescent="0.25">
      <c r="A1741" s="106" t="s">
        <v>3502</v>
      </c>
      <c r="B1741" s="106" t="s">
        <v>3503</v>
      </c>
      <c r="C1741" s="106"/>
      <c r="D1741" s="106"/>
      <c r="E1741" s="52"/>
    </row>
    <row r="1742" spans="1:5" s="103" customFormat="1" ht="13.2" hidden="1" outlineLevel="1" x14ac:dyDescent="0.25">
      <c r="A1742" s="106" t="s">
        <v>3504</v>
      </c>
      <c r="B1742" s="106" t="s">
        <v>3505</v>
      </c>
      <c r="C1742" s="106"/>
      <c r="D1742" s="106"/>
      <c r="E1742" s="52"/>
    </row>
    <row r="1743" spans="1:5" s="103" customFormat="1" ht="13.2" hidden="1" outlineLevel="1" x14ac:dyDescent="0.25">
      <c r="A1743" s="106" t="s">
        <v>3506</v>
      </c>
      <c r="B1743" s="106" t="s">
        <v>3507</v>
      </c>
      <c r="C1743" s="106"/>
      <c r="D1743" s="106"/>
      <c r="E1743" s="52"/>
    </row>
    <row r="1744" spans="1:5" s="103" customFormat="1" ht="13.2" hidden="1" outlineLevel="1" x14ac:dyDescent="0.25">
      <c r="A1744" s="106" t="s">
        <v>3508</v>
      </c>
      <c r="B1744" s="106" t="s">
        <v>3509</v>
      </c>
      <c r="C1744" s="106"/>
      <c r="D1744" s="106"/>
      <c r="E1744" s="52"/>
    </row>
    <row r="1745" spans="1:5" s="103" customFormat="1" ht="13.2" hidden="1" outlineLevel="1" x14ac:dyDescent="0.25">
      <c r="A1745" s="106" t="s">
        <v>3510</v>
      </c>
      <c r="B1745" s="106" t="s">
        <v>3511</v>
      </c>
      <c r="C1745" s="106"/>
      <c r="D1745" s="106"/>
      <c r="E1745" s="52"/>
    </row>
    <row r="1746" spans="1:5" s="103" customFormat="1" ht="13.2" hidden="1" outlineLevel="1" x14ac:dyDescent="0.25">
      <c r="A1746" s="106" t="s">
        <v>3512</v>
      </c>
      <c r="B1746" s="106" t="s">
        <v>3513</v>
      </c>
      <c r="C1746" s="106"/>
      <c r="D1746" s="106"/>
      <c r="E1746" s="52"/>
    </row>
    <row r="1747" spans="1:5" s="103" customFormat="1" ht="13.2" hidden="1" outlineLevel="1" x14ac:dyDescent="0.25">
      <c r="A1747" s="106" t="s">
        <v>3514</v>
      </c>
      <c r="B1747" s="106" t="s">
        <v>3515</v>
      </c>
      <c r="C1747" s="106"/>
      <c r="D1747" s="106"/>
      <c r="E1747" s="52"/>
    </row>
    <row r="1748" spans="1:5" s="103" customFormat="1" ht="13.2" hidden="1" outlineLevel="1" x14ac:dyDescent="0.25">
      <c r="A1748" s="106" t="s">
        <v>3516</v>
      </c>
      <c r="B1748" s="106" t="s">
        <v>3517</v>
      </c>
      <c r="C1748" s="106"/>
      <c r="D1748" s="106"/>
      <c r="E1748" s="52"/>
    </row>
    <row r="1749" spans="1:5" s="103" customFormat="1" ht="13.2" hidden="1" outlineLevel="1" x14ac:dyDescent="0.25">
      <c r="A1749" s="106" t="s">
        <v>3518</v>
      </c>
      <c r="B1749" s="106" t="s">
        <v>3519</v>
      </c>
      <c r="C1749" s="106"/>
      <c r="D1749" s="106"/>
      <c r="E1749" s="52"/>
    </row>
    <row r="1750" spans="1:5" s="103" customFormat="1" ht="13.2" hidden="1" outlineLevel="1" x14ac:dyDescent="0.25">
      <c r="A1750" s="106" t="s">
        <v>3520</v>
      </c>
      <c r="B1750" s="106" t="s">
        <v>3521</v>
      </c>
      <c r="C1750" s="106"/>
      <c r="D1750" s="106"/>
      <c r="E1750" s="52"/>
    </row>
    <row r="1751" spans="1:5" s="103" customFormat="1" ht="13.2" hidden="1" outlineLevel="1" x14ac:dyDescent="0.25">
      <c r="A1751" s="106" t="s">
        <v>3522</v>
      </c>
      <c r="B1751" s="106" t="s">
        <v>3523</v>
      </c>
      <c r="C1751" s="106"/>
      <c r="D1751" s="106"/>
      <c r="E1751" s="52"/>
    </row>
    <row r="1752" spans="1:5" s="103" customFormat="1" ht="13.2" hidden="1" outlineLevel="1" x14ac:dyDescent="0.25">
      <c r="A1752" s="106" t="s">
        <v>3524</v>
      </c>
      <c r="B1752" s="106" t="s">
        <v>3525</v>
      </c>
      <c r="C1752" s="106"/>
      <c r="D1752" s="106"/>
      <c r="E1752" s="52"/>
    </row>
    <row r="1753" spans="1:5" s="103" customFormat="1" ht="13.2" hidden="1" outlineLevel="1" x14ac:dyDescent="0.25">
      <c r="A1753" s="106" t="s">
        <v>3526</v>
      </c>
      <c r="B1753" s="106" t="s">
        <v>3527</v>
      </c>
      <c r="C1753" s="106"/>
      <c r="D1753" s="106"/>
      <c r="E1753" s="52"/>
    </row>
    <row r="1754" spans="1:5" s="103" customFormat="1" ht="13.2" hidden="1" outlineLevel="1" x14ac:dyDescent="0.25">
      <c r="A1754" s="106" t="s">
        <v>3528</v>
      </c>
      <c r="B1754" s="106" t="s">
        <v>3529</v>
      </c>
      <c r="C1754" s="106"/>
      <c r="D1754" s="106"/>
      <c r="E1754" s="52"/>
    </row>
    <row r="1755" spans="1:5" s="103" customFormat="1" ht="13.2" hidden="1" outlineLevel="1" x14ac:dyDescent="0.25">
      <c r="A1755" s="106" t="s">
        <v>3530</v>
      </c>
      <c r="B1755" s="106" t="s">
        <v>3531</v>
      </c>
      <c r="C1755" s="106"/>
      <c r="D1755" s="106"/>
      <c r="E1755" s="52"/>
    </row>
    <row r="1756" spans="1:5" s="103" customFormat="1" ht="13.2" hidden="1" outlineLevel="1" x14ac:dyDescent="0.25">
      <c r="A1756" s="106" t="s">
        <v>3532</v>
      </c>
      <c r="B1756" s="106" t="s">
        <v>3533</v>
      </c>
      <c r="C1756" s="106"/>
      <c r="D1756" s="106"/>
      <c r="E1756" s="52"/>
    </row>
    <row r="1757" spans="1:5" s="103" customFormat="1" ht="13.2" hidden="1" outlineLevel="1" x14ac:dyDescent="0.25">
      <c r="A1757" s="106" t="s">
        <v>3534</v>
      </c>
      <c r="B1757" s="106" t="s">
        <v>3535</v>
      </c>
      <c r="C1757" s="106"/>
      <c r="D1757" s="106"/>
      <c r="E1757" s="52"/>
    </row>
    <row r="1758" spans="1:5" s="103" customFormat="1" ht="13.2" hidden="1" outlineLevel="1" x14ac:dyDescent="0.25">
      <c r="A1758" s="106" t="s">
        <v>3536</v>
      </c>
      <c r="B1758" s="106" t="s">
        <v>3537</v>
      </c>
      <c r="C1758" s="106"/>
      <c r="D1758" s="106"/>
      <c r="E1758" s="52"/>
    </row>
    <row r="1759" spans="1:5" s="103" customFormat="1" ht="13.2" hidden="1" outlineLevel="1" x14ac:dyDescent="0.25">
      <c r="A1759" s="106" t="s">
        <v>3538</v>
      </c>
      <c r="B1759" s="106" t="s">
        <v>3539</v>
      </c>
      <c r="C1759" s="106"/>
      <c r="D1759" s="106"/>
      <c r="E1759" s="52"/>
    </row>
    <row r="1760" spans="1:5" s="103" customFormat="1" ht="13.2" hidden="1" outlineLevel="1" x14ac:dyDescent="0.25">
      <c r="A1760" s="106" t="s">
        <v>3540</v>
      </c>
      <c r="B1760" s="106" t="s">
        <v>3541</v>
      </c>
      <c r="C1760" s="106"/>
      <c r="D1760" s="106"/>
      <c r="E1760" s="52"/>
    </row>
    <row r="1761" spans="1:5" s="103" customFormat="1" ht="13.2" hidden="1" outlineLevel="1" x14ac:dyDescent="0.25">
      <c r="A1761" s="106" t="s">
        <v>3542</v>
      </c>
      <c r="B1761" s="106" t="s">
        <v>3543</v>
      </c>
      <c r="C1761" s="106"/>
      <c r="D1761" s="106"/>
      <c r="E1761" s="52"/>
    </row>
    <row r="1762" spans="1:5" s="103" customFormat="1" ht="13.2" hidden="1" outlineLevel="1" x14ac:dyDescent="0.25">
      <c r="A1762" s="106" t="s">
        <v>3544</v>
      </c>
      <c r="B1762" s="106" t="s">
        <v>3545</v>
      </c>
      <c r="C1762" s="106"/>
      <c r="D1762" s="106"/>
      <c r="E1762" s="52"/>
    </row>
    <row r="1763" spans="1:5" s="103" customFormat="1" ht="13.2" hidden="1" outlineLevel="1" x14ac:dyDescent="0.25">
      <c r="A1763" s="106" t="s">
        <v>3546</v>
      </c>
      <c r="B1763" s="106" t="s">
        <v>3547</v>
      </c>
      <c r="C1763" s="106"/>
      <c r="D1763" s="106"/>
      <c r="E1763" s="52"/>
    </row>
    <row r="1764" spans="1:5" s="103" customFormat="1" ht="13.2" hidden="1" outlineLevel="1" x14ac:dyDescent="0.25">
      <c r="A1764" s="106" t="s">
        <v>3548</v>
      </c>
      <c r="B1764" s="106" t="s">
        <v>3549</v>
      </c>
      <c r="C1764" s="106"/>
      <c r="D1764" s="106"/>
      <c r="E1764" s="52"/>
    </row>
    <row r="1765" spans="1:5" s="103" customFormat="1" ht="13.2" hidden="1" outlineLevel="1" x14ac:dyDescent="0.25">
      <c r="A1765" s="106" t="s">
        <v>3550</v>
      </c>
      <c r="B1765" s="106" t="s">
        <v>3551</v>
      </c>
      <c r="C1765" s="106"/>
      <c r="D1765" s="106"/>
      <c r="E1765" s="52"/>
    </row>
    <row r="1766" spans="1:5" s="103" customFormat="1" ht="13.2" hidden="1" outlineLevel="1" x14ac:dyDescent="0.25">
      <c r="A1766" s="106" t="s">
        <v>3552</v>
      </c>
      <c r="B1766" s="106" t="s">
        <v>3553</v>
      </c>
      <c r="C1766" s="106"/>
      <c r="D1766" s="106"/>
      <c r="E1766" s="52"/>
    </row>
    <row r="1767" spans="1:5" s="103" customFormat="1" ht="13.2" hidden="1" outlineLevel="1" x14ac:dyDescent="0.25">
      <c r="A1767" s="106" t="s">
        <v>3554</v>
      </c>
      <c r="B1767" s="106" t="s">
        <v>3555</v>
      </c>
      <c r="C1767" s="106"/>
      <c r="D1767" s="106"/>
      <c r="E1767" s="52"/>
    </row>
    <row r="1768" spans="1:5" s="103" customFormat="1" ht="13.2" hidden="1" outlineLevel="1" x14ac:dyDescent="0.25">
      <c r="A1768" s="106" t="s">
        <v>3556</v>
      </c>
      <c r="B1768" s="106" t="s">
        <v>3557</v>
      </c>
      <c r="C1768" s="106"/>
      <c r="D1768" s="106"/>
      <c r="E1768" s="52"/>
    </row>
    <row r="1769" spans="1:5" s="103" customFormat="1" ht="13.2" hidden="1" outlineLevel="1" x14ac:dyDescent="0.25">
      <c r="A1769" s="106" t="s">
        <v>3558</v>
      </c>
      <c r="B1769" s="106" t="s">
        <v>3559</v>
      </c>
      <c r="C1769" s="106"/>
      <c r="D1769" s="106"/>
      <c r="E1769" s="52"/>
    </row>
    <row r="1770" spans="1:5" s="103" customFormat="1" ht="13.2" hidden="1" outlineLevel="1" x14ac:dyDescent="0.25">
      <c r="A1770" s="106" t="s">
        <v>3560</v>
      </c>
      <c r="B1770" s="106" t="s">
        <v>3561</v>
      </c>
      <c r="C1770" s="106"/>
      <c r="D1770" s="106"/>
      <c r="E1770" s="52"/>
    </row>
    <row r="1771" spans="1:5" s="103" customFormat="1" ht="13.2" hidden="1" outlineLevel="1" x14ac:dyDescent="0.25">
      <c r="A1771" s="106" t="s">
        <v>3562</v>
      </c>
      <c r="B1771" s="106" t="s">
        <v>3563</v>
      </c>
      <c r="C1771" s="106"/>
      <c r="D1771" s="106"/>
      <c r="E1771" s="52"/>
    </row>
    <row r="1772" spans="1:5" s="103" customFormat="1" ht="13.2" hidden="1" outlineLevel="1" x14ac:dyDescent="0.25">
      <c r="A1772" s="106" t="s">
        <v>3564</v>
      </c>
      <c r="B1772" s="106" t="s">
        <v>3565</v>
      </c>
      <c r="C1772" s="106"/>
      <c r="D1772" s="106"/>
      <c r="E1772" s="52"/>
    </row>
    <row r="1773" spans="1:5" s="103" customFormat="1" ht="13.2" hidden="1" outlineLevel="1" x14ac:dyDescent="0.25">
      <c r="A1773" s="106" t="s">
        <v>3566</v>
      </c>
      <c r="B1773" s="106" t="s">
        <v>3567</v>
      </c>
      <c r="C1773" s="106"/>
      <c r="D1773" s="106"/>
      <c r="E1773" s="52"/>
    </row>
    <row r="1774" spans="1:5" s="103" customFormat="1" ht="13.2" hidden="1" outlineLevel="1" x14ac:dyDescent="0.25">
      <c r="A1774" s="106" t="s">
        <v>3568</v>
      </c>
      <c r="B1774" s="106" t="s">
        <v>3569</v>
      </c>
      <c r="C1774" s="106"/>
      <c r="D1774" s="106"/>
      <c r="E1774" s="52"/>
    </row>
    <row r="1775" spans="1:5" s="103" customFormat="1" ht="13.2" hidden="1" outlineLevel="1" x14ac:dyDescent="0.25">
      <c r="A1775" s="106" t="s">
        <v>3570</v>
      </c>
      <c r="B1775" s="106" t="s">
        <v>3571</v>
      </c>
      <c r="C1775" s="106"/>
      <c r="D1775" s="106"/>
      <c r="E1775" s="52"/>
    </row>
    <row r="1776" spans="1:5" s="103" customFormat="1" ht="13.2" hidden="1" outlineLevel="1" x14ac:dyDescent="0.25">
      <c r="A1776" s="106" t="s">
        <v>3572</v>
      </c>
      <c r="B1776" s="106" t="s">
        <v>3573</v>
      </c>
      <c r="C1776" s="106"/>
      <c r="D1776" s="106"/>
      <c r="E1776" s="52"/>
    </row>
    <row r="1777" spans="1:5" s="103" customFormat="1" ht="13.2" hidden="1" outlineLevel="1" x14ac:dyDescent="0.25">
      <c r="A1777" s="106" t="s">
        <v>3574</v>
      </c>
      <c r="B1777" s="106" t="s">
        <v>3575</v>
      </c>
      <c r="C1777" s="106"/>
      <c r="D1777" s="106"/>
      <c r="E1777" s="52"/>
    </row>
    <row r="1778" spans="1:5" s="103" customFormat="1" ht="13.2" hidden="1" outlineLevel="1" x14ac:dyDescent="0.25">
      <c r="A1778" s="106" t="s">
        <v>3576</v>
      </c>
      <c r="B1778" s="106" t="s">
        <v>3577</v>
      </c>
      <c r="C1778" s="106"/>
      <c r="D1778" s="106"/>
      <c r="E1778" s="52"/>
    </row>
    <row r="1779" spans="1:5" s="103" customFormat="1" ht="13.2" hidden="1" outlineLevel="1" x14ac:dyDescent="0.25">
      <c r="A1779" s="106" t="s">
        <v>3578</v>
      </c>
      <c r="B1779" s="106" t="s">
        <v>3579</v>
      </c>
      <c r="C1779" s="106"/>
      <c r="D1779" s="106"/>
      <c r="E1779" s="52"/>
    </row>
    <row r="1780" spans="1:5" s="103" customFormat="1" ht="13.2" hidden="1" outlineLevel="1" x14ac:dyDescent="0.25">
      <c r="A1780" s="106" t="s">
        <v>3580</v>
      </c>
      <c r="B1780" s="106" t="s">
        <v>3581</v>
      </c>
      <c r="C1780" s="106"/>
      <c r="D1780" s="106"/>
      <c r="E1780" s="52"/>
    </row>
    <row r="1781" spans="1:5" s="103" customFormat="1" ht="13.2" hidden="1" outlineLevel="1" x14ac:dyDescent="0.25">
      <c r="A1781" s="106" t="s">
        <v>3582</v>
      </c>
      <c r="B1781" s="106" t="s">
        <v>3583</v>
      </c>
      <c r="C1781" s="106"/>
      <c r="D1781" s="106"/>
      <c r="E1781" s="52"/>
    </row>
    <row r="1782" spans="1:5" s="103" customFormat="1" ht="13.2" hidden="1" outlineLevel="1" x14ac:dyDescent="0.25">
      <c r="A1782" s="106" t="s">
        <v>3584</v>
      </c>
      <c r="B1782" s="106" t="s">
        <v>3585</v>
      </c>
      <c r="C1782" s="106"/>
      <c r="D1782" s="106"/>
      <c r="E1782" s="52"/>
    </row>
    <row r="1783" spans="1:5" s="103" customFormat="1" ht="13.2" hidden="1" outlineLevel="1" x14ac:dyDescent="0.25">
      <c r="A1783" s="106" t="s">
        <v>3586</v>
      </c>
      <c r="B1783" s="106" t="s">
        <v>3587</v>
      </c>
      <c r="C1783" s="106"/>
      <c r="D1783" s="106"/>
      <c r="E1783" s="52"/>
    </row>
    <row r="1784" spans="1:5" s="103" customFormat="1" ht="13.2" hidden="1" outlineLevel="1" x14ac:dyDescent="0.25">
      <c r="A1784" s="106" t="s">
        <v>3588</v>
      </c>
      <c r="B1784" s="106" t="s">
        <v>3589</v>
      </c>
      <c r="C1784" s="106"/>
      <c r="D1784" s="106"/>
      <c r="E1784" s="52"/>
    </row>
    <row r="1785" spans="1:5" s="103" customFormat="1" ht="13.2" hidden="1" outlineLevel="1" x14ac:dyDescent="0.25">
      <c r="A1785" s="106" t="s">
        <v>3590</v>
      </c>
      <c r="B1785" s="106" t="s">
        <v>3591</v>
      </c>
      <c r="C1785" s="106"/>
      <c r="D1785" s="106"/>
      <c r="E1785" s="52"/>
    </row>
    <row r="1786" spans="1:5" s="103" customFormat="1" ht="13.2" hidden="1" outlineLevel="1" x14ac:dyDescent="0.25">
      <c r="A1786" s="106" t="s">
        <v>3592</v>
      </c>
      <c r="B1786" s="106" t="s">
        <v>3593</v>
      </c>
      <c r="C1786" s="106"/>
      <c r="D1786" s="106"/>
      <c r="E1786" s="52"/>
    </row>
    <row r="1787" spans="1:5" s="103" customFormat="1" ht="13.2" hidden="1" outlineLevel="1" x14ac:dyDescent="0.25">
      <c r="A1787" s="106" t="s">
        <v>3594</v>
      </c>
      <c r="B1787" s="106" t="s">
        <v>3595</v>
      </c>
      <c r="C1787" s="106"/>
      <c r="D1787" s="106"/>
      <c r="E1787" s="52"/>
    </row>
    <row r="1788" spans="1:5" s="103" customFormat="1" ht="13.2" hidden="1" outlineLevel="1" x14ac:dyDescent="0.25">
      <c r="A1788" s="106" t="s">
        <v>3596</v>
      </c>
      <c r="B1788" s="106" t="s">
        <v>3597</v>
      </c>
      <c r="C1788" s="106"/>
      <c r="D1788" s="106"/>
      <c r="E1788" s="52"/>
    </row>
    <row r="1789" spans="1:5" s="103" customFormat="1" ht="13.2" hidden="1" outlineLevel="1" x14ac:dyDescent="0.25">
      <c r="A1789" s="106" t="s">
        <v>3598</v>
      </c>
      <c r="B1789" s="106" t="s">
        <v>3599</v>
      </c>
      <c r="C1789" s="106"/>
      <c r="D1789" s="106"/>
      <c r="E1789" s="52"/>
    </row>
    <row r="1790" spans="1:5" s="103" customFormat="1" ht="13.2" hidden="1" outlineLevel="1" x14ac:dyDescent="0.25">
      <c r="A1790" s="106" t="s">
        <v>3600</v>
      </c>
      <c r="B1790" s="106" t="s">
        <v>3601</v>
      </c>
      <c r="C1790" s="106"/>
      <c r="D1790" s="106"/>
      <c r="E1790" s="52"/>
    </row>
    <row r="1791" spans="1:5" s="103" customFormat="1" ht="13.2" hidden="1" outlineLevel="1" x14ac:dyDescent="0.25">
      <c r="A1791" s="106" t="s">
        <v>3602</v>
      </c>
      <c r="B1791" s="106" t="s">
        <v>3603</v>
      </c>
      <c r="C1791" s="106"/>
      <c r="D1791" s="106"/>
      <c r="E1791" s="52"/>
    </row>
    <row r="1792" spans="1:5" s="103" customFormat="1" ht="13.2" hidden="1" outlineLevel="1" x14ac:dyDescent="0.25">
      <c r="A1792" s="106" t="s">
        <v>3604</v>
      </c>
      <c r="B1792" s="106" t="s">
        <v>3605</v>
      </c>
      <c r="C1792" s="106"/>
      <c r="D1792" s="106"/>
      <c r="E1792" s="52"/>
    </row>
    <row r="1793" spans="1:5" s="103" customFormat="1" ht="13.2" hidden="1" outlineLevel="1" x14ac:dyDescent="0.25">
      <c r="A1793" s="106" t="s">
        <v>3606</v>
      </c>
      <c r="B1793" s="106" t="s">
        <v>3607</v>
      </c>
      <c r="C1793" s="106"/>
      <c r="D1793" s="106"/>
      <c r="E1793" s="52"/>
    </row>
    <row r="1794" spans="1:5" s="103" customFormat="1" ht="13.2" hidden="1" outlineLevel="1" x14ac:dyDescent="0.25">
      <c r="A1794" s="106" t="s">
        <v>3608</v>
      </c>
      <c r="B1794" s="106" t="s">
        <v>3609</v>
      </c>
      <c r="C1794" s="106"/>
      <c r="D1794" s="106"/>
      <c r="E1794" s="52"/>
    </row>
    <row r="1795" spans="1:5" s="103" customFormat="1" ht="13.2" hidden="1" outlineLevel="1" x14ac:dyDescent="0.25">
      <c r="A1795" s="106" t="s">
        <v>3610</v>
      </c>
      <c r="B1795" s="106" t="s">
        <v>3611</v>
      </c>
      <c r="C1795" s="106"/>
      <c r="D1795" s="106"/>
      <c r="E1795" s="52"/>
    </row>
    <row r="1796" spans="1:5" s="103" customFormat="1" ht="13.2" hidden="1" outlineLevel="1" x14ac:dyDescent="0.25">
      <c r="A1796" s="106" t="s">
        <v>3612</v>
      </c>
      <c r="B1796" s="106" t="s">
        <v>3613</v>
      </c>
      <c r="C1796" s="106"/>
      <c r="D1796" s="106"/>
      <c r="E1796" s="52"/>
    </row>
    <row r="1797" spans="1:5" s="103" customFormat="1" ht="13.2" hidden="1" outlineLevel="1" x14ac:dyDescent="0.25">
      <c r="A1797" s="106" t="s">
        <v>3614</v>
      </c>
      <c r="B1797" s="106" t="s">
        <v>3615</v>
      </c>
      <c r="C1797" s="106"/>
      <c r="D1797" s="106"/>
      <c r="E1797" s="52"/>
    </row>
    <row r="1798" spans="1:5" s="103" customFormat="1" ht="13.2" hidden="1" outlineLevel="1" x14ac:dyDescent="0.25">
      <c r="A1798" s="106" t="s">
        <v>3616</v>
      </c>
      <c r="B1798" s="106" t="s">
        <v>3617</v>
      </c>
      <c r="C1798" s="106"/>
      <c r="D1798" s="106"/>
      <c r="E1798" s="52"/>
    </row>
    <row r="1799" spans="1:5" s="103" customFormat="1" ht="13.2" hidden="1" outlineLevel="1" x14ac:dyDescent="0.25">
      <c r="A1799" s="106" t="s">
        <v>3618</v>
      </c>
      <c r="B1799" s="106" t="s">
        <v>3619</v>
      </c>
      <c r="C1799" s="106"/>
      <c r="D1799" s="106"/>
      <c r="E1799" s="52"/>
    </row>
    <row r="1800" spans="1:5" s="103" customFormat="1" ht="13.2" hidden="1" outlineLevel="1" x14ac:dyDescent="0.25">
      <c r="A1800" s="106" t="s">
        <v>3620</v>
      </c>
      <c r="B1800" s="106" t="s">
        <v>3621</v>
      </c>
      <c r="C1800" s="106"/>
      <c r="D1800" s="106"/>
      <c r="E1800" s="52"/>
    </row>
    <row r="1801" spans="1:5" s="103" customFormat="1" ht="13.2" hidden="1" outlineLevel="1" x14ac:dyDescent="0.25">
      <c r="A1801" s="106" t="s">
        <v>3622</v>
      </c>
      <c r="B1801" s="106" t="s">
        <v>3623</v>
      </c>
      <c r="C1801" s="106"/>
      <c r="D1801" s="106"/>
      <c r="E1801" s="52"/>
    </row>
    <row r="1802" spans="1:5" s="103" customFormat="1" ht="13.2" hidden="1" outlineLevel="1" x14ac:dyDescent="0.25">
      <c r="A1802" s="106" t="s">
        <v>3624</v>
      </c>
      <c r="B1802" s="106" t="s">
        <v>3625</v>
      </c>
      <c r="C1802" s="106"/>
      <c r="D1802" s="106"/>
      <c r="E1802" s="52"/>
    </row>
    <row r="1803" spans="1:5" s="103" customFormat="1" ht="13.2" hidden="1" outlineLevel="1" x14ac:dyDescent="0.25">
      <c r="A1803" s="106" t="s">
        <v>3626</v>
      </c>
      <c r="B1803" s="106" t="s">
        <v>3627</v>
      </c>
      <c r="C1803" s="106"/>
      <c r="D1803" s="106"/>
      <c r="E1803" s="52"/>
    </row>
    <row r="1804" spans="1:5" s="103" customFormat="1" ht="13.2" hidden="1" outlineLevel="1" x14ac:dyDescent="0.25">
      <c r="A1804" s="106" t="s">
        <v>3628</v>
      </c>
      <c r="B1804" s="106" t="s">
        <v>3629</v>
      </c>
      <c r="C1804" s="106"/>
      <c r="D1804" s="106"/>
      <c r="E1804" s="52"/>
    </row>
    <row r="1805" spans="1:5" s="103" customFormat="1" ht="13.2" hidden="1" outlineLevel="1" x14ac:dyDescent="0.25">
      <c r="A1805" s="106" t="s">
        <v>3630</v>
      </c>
      <c r="B1805" s="106" t="s">
        <v>3631</v>
      </c>
      <c r="C1805" s="106"/>
      <c r="D1805" s="106"/>
      <c r="E1805" s="52"/>
    </row>
    <row r="1806" spans="1:5" s="103" customFormat="1" ht="13.2" hidden="1" outlineLevel="1" x14ac:dyDescent="0.25">
      <c r="A1806" s="106" t="s">
        <v>3632</v>
      </c>
      <c r="B1806" s="106" t="s">
        <v>3633</v>
      </c>
      <c r="C1806" s="106"/>
      <c r="D1806" s="106"/>
      <c r="E1806" s="52"/>
    </row>
    <row r="1807" spans="1:5" s="103" customFormat="1" ht="13.2" hidden="1" outlineLevel="1" x14ac:dyDescent="0.25">
      <c r="A1807" s="106" t="s">
        <v>3634</v>
      </c>
      <c r="B1807" s="106" t="s">
        <v>3635</v>
      </c>
      <c r="C1807" s="106"/>
      <c r="D1807" s="106"/>
      <c r="E1807" s="52"/>
    </row>
    <row r="1808" spans="1:5" s="103" customFormat="1" ht="13.2" hidden="1" outlineLevel="1" x14ac:dyDescent="0.25">
      <c r="A1808" s="106" t="s">
        <v>3636</v>
      </c>
      <c r="B1808" s="106" t="s">
        <v>3637</v>
      </c>
      <c r="C1808" s="106"/>
      <c r="D1808" s="106"/>
      <c r="E1808" s="52"/>
    </row>
    <row r="1809" spans="1:5" s="103" customFormat="1" ht="13.2" hidden="1" outlineLevel="1" x14ac:dyDescent="0.25">
      <c r="A1809" s="106" t="s">
        <v>3638</v>
      </c>
      <c r="B1809" s="106" t="s">
        <v>3639</v>
      </c>
      <c r="C1809" s="106"/>
      <c r="D1809" s="106"/>
      <c r="E1809" s="52"/>
    </row>
    <row r="1810" spans="1:5" s="103" customFormat="1" ht="13.2" hidden="1" outlineLevel="1" x14ac:dyDescent="0.25">
      <c r="A1810" s="106" t="s">
        <v>3640</v>
      </c>
      <c r="B1810" s="106" t="s">
        <v>3641</v>
      </c>
      <c r="C1810" s="106"/>
      <c r="D1810" s="106"/>
      <c r="E1810" s="52"/>
    </row>
    <row r="1811" spans="1:5" s="103" customFormat="1" ht="13.2" hidden="1" outlineLevel="1" x14ac:dyDescent="0.25">
      <c r="A1811" s="106" t="s">
        <v>3642</v>
      </c>
      <c r="B1811" s="106" t="s">
        <v>3643</v>
      </c>
      <c r="C1811" s="106"/>
      <c r="D1811" s="106"/>
      <c r="E1811" s="52"/>
    </row>
    <row r="1812" spans="1:5" s="103" customFormat="1" ht="13.2" hidden="1" outlineLevel="1" x14ac:dyDescent="0.25">
      <c r="A1812" s="106" t="s">
        <v>3644</v>
      </c>
      <c r="B1812" s="106" t="s">
        <v>3645</v>
      </c>
      <c r="C1812" s="106"/>
      <c r="D1812" s="106"/>
      <c r="E1812" s="52"/>
    </row>
    <row r="1813" spans="1:5" s="103" customFormat="1" ht="13.2" hidden="1" outlineLevel="1" x14ac:dyDescent="0.25">
      <c r="A1813" s="106" t="s">
        <v>3646</v>
      </c>
      <c r="B1813" s="106" t="s">
        <v>3647</v>
      </c>
      <c r="C1813" s="106"/>
      <c r="D1813" s="106"/>
      <c r="E1813" s="52"/>
    </row>
    <row r="1814" spans="1:5" s="103" customFormat="1" ht="13.2" hidden="1" outlineLevel="1" x14ac:dyDescent="0.25">
      <c r="A1814" s="106" t="s">
        <v>3648</v>
      </c>
      <c r="B1814" s="106" t="s">
        <v>3649</v>
      </c>
      <c r="C1814" s="106"/>
      <c r="D1814" s="106"/>
      <c r="E1814" s="52"/>
    </row>
    <row r="1815" spans="1:5" s="103" customFormat="1" ht="13.2" hidden="1" outlineLevel="1" x14ac:dyDescent="0.25">
      <c r="A1815" s="106" t="s">
        <v>3650</v>
      </c>
      <c r="B1815" s="106" t="s">
        <v>3651</v>
      </c>
      <c r="C1815" s="106"/>
      <c r="D1815" s="106"/>
      <c r="E1815" s="52"/>
    </row>
    <row r="1816" spans="1:5" s="103" customFormat="1" ht="13.2" hidden="1" outlineLevel="1" x14ac:dyDescent="0.25">
      <c r="A1816" s="106" t="s">
        <v>3652</v>
      </c>
      <c r="B1816" s="106" t="s">
        <v>3653</v>
      </c>
      <c r="C1816" s="106"/>
      <c r="D1816" s="106"/>
      <c r="E1816" s="52"/>
    </row>
    <row r="1817" spans="1:5" s="103" customFormat="1" ht="13.2" hidden="1" outlineLevel="1" x14ac:dyDescent="0.25">
      <c r="A1817" s="106" t="s">
        <v>3654</v>
      </c>
      <c r="B1817" s="106" t="s">
        <v>3655</v>
      </c>
      <c r="C1817" s="106"/>
      <c r="D1817" s="106"/>
      <c r="E1817" s="52"/>
    </row>
    <row r="1818" spans="1:5" s="103" customFormat="1" ht="13.2" hidden="1" outlineLevel="1" x14ac:dyDescent="0.25">
      <c r="A1818" s="106" t="s">
        <v>3656</v>
      </c>
      <c r="B1818" s="106" t="s">
        <v>3657</v>
      </c>
      <c r="C1818" s="106"/>
      <c r="D1818" s="106"/>
      <c r="E1818" s="52"/>
    </row>
    <row r="1819" spans="1:5" s="103" customFormat="1" ht="13.2" hidden="1" outlineLevel="1" x14ac:dyDescent="0.25">
      <c r="A1819" s="106" t="s">
        <v>3658</v>
      </c>
      <c r="B1819" s="106" t="s">
        <v>3659</v>
      </c>
      <c r="C1819" s="106"/>
      <c r="D1819" s="106"/>
      <c r="E1819" s="52"/>
    </row>
    <row r="1820" spans="1:5" s="103" customFormat="1" ht="13.2" hidden="1" outlineLevel="1" x14ac:dyDescent="0.25">
      <c r="A1820" s="106" t="s">
        <v>3660</v>
      </c>
      <c r="B1820" s="106" t="s">
        <v>3661</v>
      </c>
      <c r="C1820" s="106"/>
      <c r="D1820" s="106"/>
      <c r="E1820" s="52"/>
    </row>
    <row r="1821" spans="1:5" s="103" customFormat="1" ht="13.2" hidden="1" outlineLevel="1" x14ac:dyDescent="0.25">
      <c r="A1821" s="106" t="s">
        <v>3662</v>
      </c>
      <c r="B1821" s="106" t="s">
        <v>3663</v>
      </c>
      <c r="C1821" s="106"/>
      <c r="D1821" s="106"/>
      <c r="E1821" s="52"/>
    </row>
    <row r="1822" spans="1:5" s="103" customFormat="1" ht="13.2" hidden="1" outlineLevel="1" x14ac:dyDescent="0.25">
      <c r="A1822" s="106" t="s">
        <v>3664</v>
      </c>
      <c r="B1822" s="106" t="s">
        <v>3665</v>
      </c>
      <c r="C1822" s="106"/>
      <c r="D1822" s="106"/>
      <c r="E1822" s="52"/>
    </row>
    <row r="1823" spans="1:5" s="103" customFormat="1" ht="13.2" hidden="1" outlineLevel="1" x14ac:dyDescent="0.25">
      <c r="A1823" s="106" t="s">
        <v>3666</v>
      </c>
      <c r="B1823" s="106" t="s">
        <v>3667</v>
      </c>
      <c r="C1823" s="106"/>
      <c r="D1823" s="106"/>
      <c r="E1823" s="52"/>
    </row>
    <row r="1824" spans="1:5" s="103" customFormat="1" ht="13.2" hidden="1" outlineLevel="1" x14ac:dyDescent="0.25">
      <c r="A1824" s="106" t="s">
        <v>3668</v>
      </c>
      <c r="B1824" s="106" t="s">
        <v>3669</v>
      </c>
      <c r="C1824" s="106"/>
      <c r="D1824" s="106"/>
      <c r="E1824" s="52"/>
    </row>
    <row r="1825" spans="1:5" s="103" customFormat="1" ht="13.2" hidden="1" outlineLevel="1" x14ac:dyDescent="0.25">
      <c r="A1825" s="106" t="s">
        <v>3670</v>
      </c>
      <c r="B1825" s="106" t="s">
        <v>3671</v>
      </c>
      <c r="C1825" s="106"/>
      <c r="D1825" s="106"/>
      <c r="E1825" s="52"/>
    </row>
    <row r="1826" spans="1:5" s="103" customFormat="1" ht="13.2" hidden="1" outlineLevel="1" x14ac:dyDescent="0.25">
      <c r="A1826" s="106" t="s">
        <v>3672</v>
      </c>
      <c r="B1826" s="106" t="s">
        <v>3673</v>
      </c>
      <c r="C1826" s="106"/>
      <c r="D1826" s="106"/>
      <c r="E1826" s="52"/>
    </row>
    <row r="1827" spans="1:5" s="103" customFormat="1" ht="13.2" hidden="1" outlineLevel="1" x14ac:dyDescent="0.25">
      <c r="A1827" s="106" t="s">
        <v>3674</v>
      </c>
      <c r="B1827" s="106" t="s">
        <v>3675</v>
      </c>
      <c r="C1827" s="106"/>
      <c r="D1827" s="106"/>
      <c r="E1827" s="52"/>
    </row>
    <row r="1828" spans="1:5" s="103" customFormat="1" ht="13.2" hidden="1" outlineLevel="1" x14ac:dyDescent="0.25">
      <c r="A1828" s="106" t="s">
        <v>3676</v>
      </c>
      <c r="B1828" s="106" t="s">
        <v>3677</v>
      </c>
      <c r="C1828" s="106"/>
      <c r="D1828" s="106"/>
      <c r="E1828" s="52"/>
    </row>
    <row r="1829" spans="1:5" s="103" customFormat="1" ht="13.2" hidden="1" outlineLevel="1" x14ac:dyDescent="0.25">
      <c r="A1829" s="106" t="s">
        <v>3678</v>
      </c>
      <c r="B1829" s="106" t="s">
        <v>3679</v>
      </c>
      <c r="C1829" s="106"/>
      <c r="D1829" s="106"/>
      <c r="E1829" s="52"/>
    </row>
    <row r="1830" spans="1:5" s="103" customFormat="1" ht="13.2" hidden="1" outlineLevel="1" x14ac:dyDescent="0.25">
      <c r="A1830" s="106" t="s">
        <v>3680</v>
      </c>
      <c r="B1830" s="106" t="s">
        <v>3681</v>
      </c>
      <c r="C1830" s="106"/>
      <c r="D1830" s="106"/>
      <c r="E1830" s="52"/>
    </row>
    <row r="1831" spans="1:5" s="103" customFormat="1" ht="13.2" hidden="1" outlineLevel="1" x14ac:dyDescent="0.25">
      <c r="A1831" s="106" t="s">
        <v>3682</v>
      </c>
      <c r="B1831" s="106" t="s">
        <v>3683</v>
      </c>
      <c r="C1831" s="106"/>
      <c r="D1831" s="106"/>
      <c r="E1831" s="52"/>
    </row>
    <row r="1832" spans="1:5" s="103" customFormat="1" ht="13.2" hidden="1" outlineLevel="1" x14ac:dyDescent="0.25">
      <c r="A1832" s="106" t="s">
        <v>3684</v>
      </c>
      <c r="B1832" s="106" t="s">
        <v>3685</v>
      </c>
      <c r="C1832" s="106"/>
      <c r="D1832" s="106"/>
      <c r="E1832" s="52"/>
    </row>
    <row r="1833" spans="1:5" s="103" customFormat="1" ht="13.2" hidden="1" outlineLevel="1" x14ac:dyDescent="0.25">
      <c r="A1833" s="106" t="s">
        <v>3686</v>
      </c>
      <c r="B1833" s="106" t="s">
        <v>3687</v>
      </c>
      <c r="C1833" s="106"/>
      <c r="D1833" s="106"/>
      <c r="E1833" s="52"/>
    </row>
    <row r="1834" spans="1:5" s="103" customFormat="1" ht="13.2" hidden="1" outlineLevel="1" x14ac:dyDescent="0.25">
      <c r="A1834" s="106" t="s">
        <v>3688</v>
      </c>
      <c r="B1834" s="106" t="s">
        <v>3689</v>
      </c>
      <c r="C1834" s="106"/>
      <c r="D1834" s="106"/>
      <c r="E1834" s="52"/>
    </row>
    <row r="1835" spans="1:5" s="103" customFormat="1" ht="13.2" hidden="1" outlineLevel="1" x14ac:dyDescent="0.25">
      <c r="A1835" s="106" t="s">
        <v>3690</v>
      </c>
      <c r="B1835" s="106" t="s">
        <v>3691</v>
      </c>
      <c r="C1835" s="106"/>
      <c r="D1835" s="106"/>
      <c r="E1835" s="52"/>
    </row>
    <row r="1836" spans="1:5" s="103" customFormat="1" ht="13.2" hidden="1" outlineLevel="1" x14ac:dyDescent="0.25">
      <c r="A1836" s="106" t="s">
        <v>3692</v>
      </c>
      <c r="B1836" s="106" t="s">
        <v>3693</v>
      </c>
      <c r="C1836" s="106"/>
      <c r="D1836" s="106"/>
      <c r="E1836" s="52"/>
    </row>
    <row r="1837" spans="1:5" s="103" customFormat="1" ht="13.2" hidden="1" outlineLevel="1" x14ac:dyDescent="0.25">
      <c r="A1837" s="106" t="s">
        <v>3694</v>
      </c>
      <c r="B1837" s="106" t="s">
        <v>3695</v>
      </c>
      <c r="C1837" s="106"/>
      <c r="D1837" s="106"/>
      <c r="E1837" s="52"/>
    </row>
    <row r="1838" spans="1:5" s="103" customFormat="1" ht="13.2" hidden="1" outlineLevel="1" x14ac:dyDescent="0.25">
      <c r="A1838" s="106" t="s">
        <v>3696</v>
      </c>
      <c r="B1838" s="106" t="s">
        <v>3697</v>
      </c>
      <c r="C1838" s="106"/>
      <c r="D1838" s="106"/>
      <c r="E1838" s="52"/>
    </row>
    <row r="1839" spans="1:5" s="103" customFormat="1" ht="13.2" hidden="1" outlineLevel="1" x14ac:dyDescent="0.25">
      <c r="A1839" s="106" t="s">
        <v>3698</v>
      </c>
      <c r="B1839" s="106" t="s">
        <v>3699</v>
      </c>
      <c r="C1839" s="106"/>
      <c r="D1839" s="106"/>
      <c r="E1839" s="52"/>
    </row>
    <row r="1840" spans="1:5" s="103" customFormat="1" ht="13.2" hidden="1" outlineLevel="1" x14ac:dyDescent="0.25">
      <c r="A1840" s="106" t="s">
        <v>3700</v>
      </c>
      <c r="B1840" s="106" t="s">
        <v>3701</v>
      </c>
      <c r="C1840" s="106"/>
      <c r="D1840" s="106"/>
      <c r="E1840" s="52"/>
    </row>
    <row r="1841" spans="1:5" s="103" customFormat="1" ht="13.2" hidden="1" outlineLevel="1" x14ac:dyDescent="0.25">
      <c r="A1841" s="106" t="s">
        <v>3702</v>
      </c>
      <c r="B1841" s="106" t="s">
        <v>3703</v>
      </c>
      <c r="C1841" s="106"/>
      <c r="D1841" s="106"/>
      <c r="E1841" s="52"/>
    </row>
    <row r="1842" spans="1:5" s="103" customFormat="1" ht="13.2" hidden="1" outlineLevel="1" x14ac:dyDescent="0.25">
      <c r="A1842" s="106" t="s">
        <v>3704</v>
      </c>
      <c r="B1842" s="106" t="s">
        <v>3705</v>
      </c>
      <c r="C1842" s="106"/>
      <c r="D1842" s="106"/>
      <c r="E1842" s="52"/>
    </row>
    <row r="1843" spans="1:5" s="103" customFormat="1" ht="13.2" hidden="1" outlineLevel="1" x14ac:dyDescent="0.25">
      <c r="A1843" s="106" t="s">
        <v>3706</v>
      </c>
      <c r="B1843" s="106" t="s">
        <v>3707</v>
      </c>
      <c r="C1843" s="106"/>
      <c r="D1843" s="106"/>
      <c r="E1843" s="52"/>
    </row>
    <row r="1844" spans="1:5" s="103" customFormat="1" ht="13.2" hidden="1" outlineLevel="1" x14ac:dyDescent="0.25">
      <c r="A1844" s="106" t="s">
        <v>3708</v>
      </c>
      <c r="B1844" s="106" t="s">
        <v>3709</v>
      </c>
      <c r="C1844" s="106"/>
      <c r="D1844" s="106"/>
      <c r="E1844" s="52"/>
    </row>
    <row r="1845" spans="1:5" s="103" customFormat="1" ht="13.2" hidden="1" outlineLevel="1" x14ac:dyDescent="0.25">
      <c r="A1845" s="106" t="s">
        <v>3710</v>
      </c>
      <c r="B1845" s="106" t="s">
        <v>3711</v>
      </c>
      <c r="C1845" s="106"/>
      <c r="D1845" s="106"/>
      <c r="E1845" s="52"/>
    </row>
    <row r="1846" spans="1:5" s="103" customFormat="1" ht="13.2" hidden="1" outlineLevel="1" x14ac:dyDescent="0.25">
      <c r="A1846" s="106" t="s">
        <v>3712</v>
      </c>
      <c r="B1846" s="106" t="s">
        <v>3713</v>
      </c>
      <c r="C1846" s="106"/>
      <c r="D1846" s="106"/>
      <c r="E1846" s="52"/>
    </row>
    <row r="1847" spans="1:5" s="103" customFormat="1" ht="13.2" hidden="1" outlineLevel="1" x14ac:dyDescent="0.25">
      <c r="A1847" s="106" t="s">
        <v>3714</v>
      </c>
      <c r="B1847" s="106" t="s">
        <v>3715</v>
      </c>
      <c r="C1847" s="106"/>
      <c r="D1847" s="106"/>
      <c r="E1847" s="52"/>
    </row>
    <row r="1848" spans="1:5" s="103" customFormat="1" ht="13.2" hidden="1" outlineLevel="1" x14ac:dyDescent="0.25">
      <c r="A1848" s="106" t="s">
        <v>3716</v>
      </c>
      <c r="B1848" s="106" t="s">
        <v>3717</v>
      </c>
      <c r="C1848" s="106"/>
      <c r="D1848" s="106"/>
      <c r="E1848" s="52"/>
    </row>
    <row r="1849" spans="1:5" s="103" customFormat="1" ht="13.2" hidden="1" outlineLevel="1" x14ac:dyDescent="0.25">
      <c r="A1849" s="106" t="s">
        <v>3718</v>
      </c>
      <c r="B1849" s="106" t="s">
        <v>3719</v>
      </c>
      <c r="C1849" s="106"/>
      <c r="D1849" s="106"/>
      <c r="E1849" s="52"/>
    </row>
    <row r="1850" spans="1:5" s="103" customFormat="1" ht="13.2" hidden="1" outlineLevel="1" x14ac:dyDescent="0.25">
      <c r="A1850" s="106" t="s">
        <v>3720</v>
      </c>
      <c r="B1850" s="106" t="s">
        <v>3721</v>
      </c>
      <c r="C1850" s="106"/>
      <c r="D1850" s="106"/>
      <c r="E1850" s="52"/>
    </row>
    <row r="1851" spans="1:5" s="103" customFormat="1" ht="13.2" hidden="1" outlineLevel="1" x14ac:dyDescent="0.25">
      <c r="A1851" s="106" t="s">
        <v>3722</v>
      </c>
      <c r="B1851" s="106" t="s">
        <v>3723</v>
      </c>
      <c r="C1851" s="106"/>
      <c r="D1851" s="106"/>
      <c r="E1851" s="52"/>
    </row>
    <row r="1852" spans="1:5" s="103" customFormat="1" ht="13.2" hidden="1" outlineLevel="1" x14ac:dyDescent="0.25">
      <c r="A1852" s="106" t="s">
        <v>3724</v>
      </c>
      <c r="B1852" s="106" t="s">
        <v>3725</v>
      </c>
      <c r="C1852" s="106"/>
      <c r="D1852" s="106"/>
      <c r="E1852" s="52"/>
    </row>
    <row r="1853" spans="1:5" s="103" customFormat="1" ht="13.2" hidden="1" outlineLevel="1" x14ac:dyDescent="0.25">
      <c r="A1853" s="106" t="s">
        <v>3726</v>
      </c>
      <c r="B1853" s="106" t="s">
        <v>3727</v>
      </c>
      <c r="C1853" s="106"/>
      <c r="D1853" s="106"/>
      <c r="E1853" s="52"/>
    </row>
    <row r="1854" spans="1:5" s="103" customFormat="1" ht="13.2" hidden="1" outlineLevel="1" x14ac:dyDescent="0.25">
      <c r="A1854" s="106" t="s">
        <v>3728</v>
      </c>
      <c r="B1854" s="106" t="s">
        <v>3729</v>
      </c>
      <c r="C1854" s="106"/>
      <c r="D1854" s="106"/>
      <c r="E1854" s="52"/>
    </row>
    <row r="1855" spans="1:5" s="103" customFormat="1" ht="13.2" hidden="1" outlineLevel="1" x14ac:dyDescent="0.25">
      <c r="A1855" s="106" t="s">
        <v>3730</v>
      </c>
      <c r="B1855" s="106" t="s">
        <v>3731</v>
      </c>
      <c r="C1855" s="106"/>
      <c r="D1855" s="106"/>
      <c r="E1855" s="52"/>
    </row>
    <row r="1856" spans="1:5" s="103" customFormat="1" ht="13.2" hidden="1" outlineLevel="1" x14ac:dyDescent="0.25">
      <c r="A1856" s="106" t="s">
        <v>3732</v>
      </c>
      <c r="B1856" s="106" t="s">
        <v>3733</v>
      </c>
      <c r="C1856" s="106"/>
      <c r="D1856" s="106"/>
      <c r="E1856" s="52"/>
    </row>
    <row r="1857" spans="1:5" s="103" customFormat="1" ht="13.2" hidden="1" outlineLevel="1" x14ac:dyDescent="0.25">
      <c r="A1857" s="106" t="s">
        <v>3734</v>
      </c>
      <c r="B1857" s="106" t="s">
        <v>3735</v>
      </c>
      <c r="C1857" s="106"/>
      <c r="D1857" s="106"/>
      <c r="E1857" s="52"/>
    </row>
    <row r="1858" spans="1:5" s="103" customFormat="1" ht="13.2" hidden="1" outlineLevel="1" x14ac:dyDescent="0.25">
      <c r="A1858" s="106" t="s">
        <v>3736</v>
      </c>
      <c r="B1858" s="106" t="s">
        <v>3737</v>
      </c>
      <c r="C1858" s="106"/>
      <c r="D1858" s="106"/>
      <c r="E1858" s="52"/>
    </row>
    <row r="1859" spans="1:5" s="103" customFormat="1" ht="13.2" hidden="1" outlineLevel="1" x14ac:dyDescent="0.25">
      <c r="A1859" s="106" t="s">
        <v>3738</v>
      </c>
      <c r="B1859" s="106" t="s">
        <v>3739</v>
      </c>
      <c r="C1859" s="106"/>
      <c r="D1859" s="106"/>
      <c r="E1859" s="52"/>
    </row>
    <row r="1860" spans="1:5" s="103" customFormat="1" ht="13.2" hidden="1" outlineLevel="1" x14ac:dyDescent="0.25">
      <c r="A1860" s="106" t="s">
        <v>3740</v>
      </c>
      <c r="B1860" s="106" t="s">
        <v>3741</v>
      </c>
      <c r="C1860" s="106"/>
      <c r="D1860" s="106"/>
      <c r="E1860" s="52"/>
    </row>
    <row r="1861" spans="1:5" s="103" customFormat="1" ht="13.2" hidden="1" outlineLevel="1" x14ac:dyDescent="0.25">
      <c r="A1861" s="106" t="s">
        <v>3742</v>
      </c>
      <c r="B1861" s="106" t="s">
        <v>3743</v>
      </c>
      <c r="C1861" s="106"/>
      <c r="D1861" s="106"/>
      <c r="E1861" s="52"/>
    </row>
    <row r="1862" spans="1:5" s="103" customFormat="1" ht="13.2" hidden="1" outlineLevel="1" x14ac:dyDescent="0.25">
      <c r="A1862" s="106" t="s">
        <v>3744</v>
      </c>
      <c r="B1862" s="106" t="s">
        <v>3745</v>
      </c>
      <c r="C1862" s="106"/>
      <c r="D1862" s="106"/>
      <c r="E1862" s="52"/>
    </row>
    <row r="1863" spans="1:5" s="103" customFormat="1" ht="13.2" hidden="1" outlineLevel="1" x14ac:dyDescent="0.25">
      <c r="A1863" s="106" t="s">
        <v>3746</v>
      </c>
      <c r="B1863" s="106" t="s">
        <v>3747</v>
      </c>
      <c r="C1863" s="106"/>
      <c r="D1863" s="106"/>
      <c r="E1863" s="52"/>
    </row>
    <row r="1864" spans="1:5" s="103" customFormat="1" ht="13.2" hidden="1" outlineLevel="1" x14ac:dyDescent="0.25">
      <c r="A1864" s="106" t="s">
        <v>3748</v>
      </c>
      <c r="B1864" s="106" t="s">
        <v>3749</v>
      </c>
      <c r="C1864" s="106"/>
      <c r="D1864" s="106"/>
      <c r="E1864" s="52"/>
    </row>
    <row r="1865" spans="1:5" s="103" customFormat="1" ht="13.2" hidden="1" outlineLevel="1" x14ac:dyDescent="0.25">
      <c r="A1865" s="106" t="s">
        <v>3750</v>
      </c>
      <c r="B1865" s="106" t="s">
        <v>3751</v>
      </c>
      <c r="C1865" s="106"/>
      <c r="D1865" s="106"/>
      <c r="E1865" s="52"/>
    </row>
    <row r="1866" spans="1:5" s="103" customFormat="1" ht="13.2" hidden="1" outlineLevel="1" x14ac:dyDescent="0.25">
      <c r="A1866" s="106" t="s">
        <v>3752</v>
      </c>
      <c r="B1866" s="106" t="s">
        <v>3753</v>
      </c>
      <c r="C1866" s="106"/>
      <c r="D1866" s="106"/>
      <c r="E1866" s="52"/>
    </row>
    <row r="1867" spans="1:5" s="103" customFormat="1" ht="13.2" hidden="1" outlineLevel="1" x14ac:dyDescent="0.25">
      <c r="A1867" s="106" t="s">
        <v>3754</v>
      </c>
      <c r="B1867" s="106" t="s">
        <v>3755</v>
      </c>
      <c r="C1867" s="106"/>
      <c r="D1867" s="106"/>
      <c r="E1867" s="52"/>
    </row>
    <row r="1868" spans="1:5" s="103" customFormat="1" ht="13.2" hidden="1" outlineLevel="1" x14ac:dyDescent="0.25">
      <c r="A1868" s="106" t="s">
        <v>3756</v>
      </c>
      <c r="B1868" s="106" t="s">
        <v>3757</v>
      </c>
      <c r="C1868" s="106"/>
      <c r="D1868" s="106"/>
      <c r="E1868" s="52"/>
    </row>
    <row r="1869" spans="1:5" s="103" customFormat="1" ht="13.2" hidden="1" outlineLevel="1" x14ac:dyDescent="0.25">
      <c r="A1869" s="106" t="s">
        <v>3758</v>
      </c>
      <c r="B1869" s="106" t="s">
        <v>3759</v>
      </c>
      <c r="C1869" s="106"/>
      <c r="D1869" s="106"/>
      <c r="E1869" s="52"/>
    </row>
    <row r="1870" spans="1:5" s="103" customFormat="1" ht="13.2" hidden="1" outlineLevel="1" x14ac:dyDescent="0.25">
      <c r="A1870" s="106" t="s">
        <v>3760</v>
      </c>
      <c r="B1870" s="106" t="s">
        <v>3761</v>
      </c>
      <c r="C1870" s="106"/>
      <c r="D1870" s="106"/>
      <c r="E1870" s="52"/>
    </row>
    <row r="1871" spans="1:5" s="103" customFormat="1" ht="13.2" hidden="1" outlineLevel="1" x14ac:dyDescent="0.25">
      <c r="A1871" s="106" t="s">
        <v>3762</v>
      </c>
      <c r="B1871" s="106" t="s">
        <v>3763</v>
      </c>
      <c r="C1871" s="106"/>
      <c r="D1871" s="106"/>
      <c r="E1871" s="52"/>
    </row>
    <row r="1872" spans="1:5" s="103" customFormat="1" ht="13.2" hidden="1" outlineLevel="1" x14ac:dyDescent="0.25">
      <c r="A1872" s="106" t="s">
        <v>3764</v>
      </c>
      <c r="B1872" s="106" t="s">
        <v>3765</v>
      </c>
      <c r="C1872" s="106"/>
      <c r="D1872" s="106"/>
      <c r="E1872" s="52"/>
    </row>
    <row r="1873" spans="1:5" s="103" customFormat="1" ht="13.2" hidden="1" outlineLevel="1" x14ac:dyDescent="0.25">
      <c r="A1873" s="106" t="s">
        <v>3766</v>
      </c>
      <c r="B1873" s="106" t="s">
        <v>3767</v>
      </c>
      <c r="C1873" s="106"/>
      <c r="D1873" s="106"/>
      <c r="E1873" s="52"/>
    </row>
    <row r="1874" spans="1:5" s="103" customFormat="1" ht="13.2" hidden="1" outlineLevel="1" x14ac:dyDescent="0.25">
      <c r="A1874" s="106" t="s">
        <v>3768</v>
      </c>
      <c r="B1874" s="106" t="s">
        <v>3769</v>
      </c>
      <c r="C1874" s="106"/>
      <c r="D1874" s="106"/>
      <c r="E1874" s="52"/>
    </row>
    <row r="1875" spans="1:5" s="103" customFormat="1" ht="13.2" hidden="1" outlineLevel="1" x14ac:dyDescent="0.25">
      <c r="A1875" s="106" t="s">
        <v>3770</v>
      </c>
      <c r="B1875" s="106" t="s">
        <v>3771</v>
      </c>
      <c r="C1875" s="106"/>
      <c r="D1875" s="106"/>
      <c r="E1875" s="52"/>
    </row>
    <row r="1876" spans="1:5" s="103" customFormat="1" ht="13.2" hidden="1" outlineLevel="1" x14ac:dyDescent="0.25">
      <c r="A1876" s="106" t="s">
        <v>3772</v>
      </c>
      <c r="B1876" s="106" t="s">
        <v>3773</v>
      </c>
      <c r="C1876" s="106"/>
      <c r="D1876" s="106"/>
      <c r="E1876" s="52"/>
    </row>
    <row r="1877" spans="1:5" s="103" customFormat="1" ht="13.2" hidden="1" outlineLevel="1" x14ac:dyDescent="0.25">
      <c r="A1877" s="106" t="s">
        <v>3774</v>
      </c>
      <c r="B1877" s="106" t="s">
        <v>3775</v>
      </c>
      <c r="C1877" s="106"/>
      <c r="D1877" s="106"/>
      <c r="E1877" s="52"/>
    </row>
    <row r="1878" spans="1:5" s="103" customFormat="1" ht="13.2" hidden="1" outlineLevel="1" x14ac:dyDescent="0.25">
      <c r="A1878" s="106" t="s">
        <v>3776</v>
      </c>
      <c r="B1878" s="106" t="s">
        <v>3777</v>
      </c>
      <c r="C1878" s="106"/>
      <c r="D1878" s="106"/>
      <c r="E1878" s="52"/>
    </row>
    <row r="1879" spans="1:5" s="103" customFormat="1" ht="13.2" hidden="1" outlineLevel="1" x14ac:dyDescent="0.25">
      <c r="A1879" s="106" t="s">
        <v>3778</v>
      </c>
      <c r="B1879" s="106" t="s">
        <v>3779</v>
      </c>
      <c r="C1879" s="106"/>
      <c r="D1879" s="106"/>
      <c r="E1879" s="52"/>
    </row>
    <row r="1880" spans="1:5" s="103" customFormat="1" ht="13.2" hidden="1" outlineLevel="1" x14ac:dyDescent="0.25">
      <c r="A1880" s="106" t="s">
        <v>3780</v>
      </c>
      <c r="B1880" s="106" t="s">
        <v>3781</v>
      </c>
      <c r="C1880" s="106"/>
      <c r="D1880" s="106"/>
      <c r="E1880" s="52"/>
    </row>
    <row r="1881" spans="1:5" s="103" customFormat="1" ht="13.2" hidden="1" outlineLevel="1" x14ac:dyDescent="0.25">
      <c r="A1881" s="106" t="s">
        <v>3782</v>
      </c>
      <c r="B1881" s="106" t="s">
        <v>3783</v>
      </c>
      <c r="C1881" s="106"/>
      <c r="D1881" s="106"/>
      <c r="E1881" s="52"/>
    </row>
    <row r="1882" spans="1:5" s="103" customFormat="1" ht="13.2" hidden="1" outlineLevel="1" x14ac:dyDescent="0.25">
      <c r="A1882" s="106" t="s">
        <v>3784</v>
      </c>
      <c r="B1882" s="106" t="s">
        <v>3785</v>
      </c>
      <c r="C1882" s="106"/>
      <c r="D1882" s="106"/>
      <c r="E1882" s="52"/>
    </row>
    <row r="1883" spans="1:5" s="103" customFormat="1" ht="13.2" hidden="1" outlineLevel="1" x14ac:dyDescent="0.25">
      <c r="A1883" s="106" t="s">
        <v>3786</v>
      </c>
      <c r="B1883" s="106" t="s">
        <v>3787</v>
      </c>
      <c r="C1883" s="106"/>
      <c r="D1883" s="106"/>
      <c r="E1883" s="52"/>
    </row>
    <row r="1884" spans="1:5" s="103" customFormat="1" ht="13.2" hidden="1" outlineLevel="1" x14ac:dyDescent="0.25">
      <c r="A1884" s="106" t="s">
        <v>3788</v>
      </c>
      <c r="B1884" s="106" t="s">
        <v>3789</v>
      </c>
      <c r="C1884" s="106"/>
      <c r="D1884" s="106"/>
      <c r="E1884" s="52"/>
    </row>
    <row r="1885" spans="1:5" s="103" customFormat="1" ht="13.2" hidden="1" outlineLevel="1" x14ac:dyDescent="0.25">
      <c r="A1885" s="106" t="s">
        <v>3790</v>
      </c>
      <c r="B1885" s="106" t="s">
        <v>3791</v>
      </c>
      <c r="C1885" s="106"/>
      <c r="D1885" s="106"/>
      <c r="E1885" s="52"/>
    </row>
    <row r="1886" spans="1:5" s="103" customFormat="1" ht="13.2" hidden="1" outlineLevel="1" x14ac:dyDescent="0.25">
      <c r="A1886" s="106" t="s">
        <v>3792</v>
      </c>
      <c r="B1886" s="106" t="s">
        <v>3793</v>
      </c>
      <c r="C1886" s="106"/>
      <c r="D1886" s="106"/>
      <c r="E1886" s="52"/>
    </row>
    <row r="1887" spans="1:5" s="103" customFormat="1" ht="13.2" hidden="1" outlineLevel="1" x14ac:dyDescent="0.25">
      <c r="A1887" s="106" t="s">
        <v>3794</v>
      </c>
      <c r="B1887" s="106" t="s">
        <v>3795</v>
      </c>
      <c r="C1887" s="106"/>
      <c r="D1887" s="106"/>
      <c r="E1887" s="52"/>
    </row>
    <row r="1888" spans="1:5" s="103" customFormat="1" ht="13.2" hidden="1" outlineLevel="1" x14ac:dyDescent="0.25">
      <c r="A1888" s="106" t="s">
        <v>3796</v>
      </c>
      <c r="B1888" s="106" t="s">
        <v>3797</v>
      </c>
      <c r="C1888" s="106"/>
      <c r="D1888" s="106"/>
      <c r="E1888" s="52"/>
    </row>
    <row r="1889" spans="1:5" s="103" customFormat="1" ht="13.2" hidden="1" outlineLevel="1" x14ac:dyDescent="0.25">
      <c r="A1889" s="106" t="s">
        <v>3798</v>
      </c>
      <c r="B1889" s="106" t="s">
        <v>3799</v>
      </c>
      <c r="C1889" s="106"/>
      <c r="D1889" s="106"/>
      <c r="E1889" s="52"/>
    </row>
    <row r="1890" spans="1:5" s="103" customFormat="1" ht="13.2" hidden="1" outlineLevel="1" x14ac:dyDescent="0.25">
      <c r="A1890" s="106" t="s">
        <v>3800</v>
      </c>
      <c r="B1890" s="106" t="s">
        <v>3801</v>
      </c>
      <c r="C1890" s="106"/>
      <c r="D1890" s="106"/>
      <c r="E1890" s="52"/>
    </row>
    <row r="1891" spans="1:5" s="103" customFormat="1" ht="13.2" hidden="1" outlineLevel="1" x14ac:dyDescent="0.25">
      <c r="A1891" s="106" t="s">
        <v>3802</v>
      </c>
      <c r="B1891" s="106" t="s">
        <v>3803</v>
      </c>
      <c r="C1891" s="106"/>
      <c r="D1891" s="106"/>
      <c r="E1891" s="52"/>
    </row>
    <row r="1892" spans="1:5" s="103" customFormat="1" ht="13.2" hidden="1" outlineLevel="1" x14ac:dyDescent="0.25">
      <c r="A1892" s="106" t="s">
        <v>3804</v>
      </c>
      <c r="B1892" s="106" t="s">
        <v>3805</v>
      </c>
      <c r="C1892" s="106"/>
      <c r="D1892" s="106"/>
      <c r="E1892" s="52"/>
    </row>
    <row r="1893" spans="1:5" s="103" customFormat="1" ht="13.2" hidden="1" outlineLevel="1" x14ac:dyDescent="0.25">
      <c r="A1893" s="106" t="s">
        <v>3806</v>
      </c>
      <c r="B1893" s="106" t="s">
        <v>3807</v>
      </c>
      <c r="C1893" s="106"/>
      <c r="D1893" s="106"/>
      <c r="E1893" s="52"/>
    </row>
    <row r="1894" spans="1:5" s="103" customFormat="1" ht="13.2" hidden="1" outlineLevel="1" x14ac:dyDescent="0.25">
      <c r="A1894" s="106" t="s">
        <v>3808</v>
      </c>
      <c r="B1894" s="106" t="s">
        <v>3809</v>
      </c>
      <c r="C1894" s="106"/>
      <c r="D1894" s="106"/>
      <c r="E1894" s="52"/>
    </row>
    <row r="1895" spans="1:5" s="103" customFormat="1" ht="13.2" hidden="1" outlineLevel="1" x14ac:dyDescent="0.25">
      <c r="A1895" s="106" t="s">
        <v>3810</v>
      </c>
      <c r="B1895" s="106" t="s">
        <v>3811</v>
      </c>
      <c r="C1895" s="106"/>
      <c r="D1895" s="106"/>
      <c r="E1895" s="52"/>
    </row>
    <row r="1896" spans="1:5" s="103" customFormat="1" ht="13.2" hidden="1" outlineLevel="1" x14ac:dyDescent="0.25">
      <c r="A1896" s="106" t="s">
        <v>3812</v>
      </c>
      <c r="B1896" s="106" t="s">
        <v>3813</v>
      </c>
      <c r="C1896" s="106"/>
      <c r="D1896" s="106"/>
      <c r="E1896" s="52"/>
    </row>
    <row r="1897" spans="1:5" s="103" customFormat="1" ht="13.2" hidden="1" outlineLevel="1" x14ac:dyDescent="0.25">
      <c r="A1897" s="106" t="s">
        <v>3814</v>
      </c>
      <c r="B1897" s="106" t="s">
        <v>3815</v>
      </c>
      <c r="C1897" s="106"/>
      <c r="D1897" s="106"/>
      <c r="E1897" s="52"/>
    </row>
    <row r="1898" spans="1:5" s="103" customFormat="1" ht="13.2" hidden="1" outlineLevel="1" x14ac:dyDescent="0.25">
      <c r="A1898" s="106" t="s">
        <v>3816</v>
      </c>
      <c r="B1898" s="106" t="s">
        <v>3817</v>
      </c>
      <c r="C1898" s="106"/>
      <c r="D1898" s="106"/>
      <c r="E1898" s="52"/>
    </row>
    <row r="1899" spans="1:5" s="103" customFormat="1" ht="13.2" hidden="1" outlineLevel="1" x14ac:dyDescent="0.25">
      <c r="A1899" s="106" t="s">
        <v>3818</v>
      </c>
      <c r="B1899" s="106" t="s">
        <v>3819</v>
      </c>
      <c r="C1899" s="106"/>
      <c r="D1899" s="106"/>
      <c r="E1899" s="52"/>
    </row>
    <row r="1900" spans="1:5" s="103" customFormat="1" ht="13.2" hidden="1" outlineLevel="1" x14ac:dyDescent="0.25">
      <c r="A1900" s="106" t="s">
        <v>3820</v>
      </c>
      <c r="B1900" s="106" t="s">
        <v>3821</v>
      </c>
      <c r="C1900" s="106"/>
      <c r="D1900" s="106"/>
      <c r="E1900" s="52"/>
    </row>
    <row r="1901" spans="1:5" s="103" customFormat="1" ht="13.2" hidden="1" outlineLevel="1" x14ac:dyDescent="0.25">
      <c r="A1901" s="106" t="s">
        <v>3822</v>
      </c>
      <c r="B1901" s="106" t="s">
        <v>3823</v>
      </c>
      <c r="C1901" s="106"/>
      <c r="D1901" s="106"/>
      <c r="E1901" s="52"/>
    </row>
    <row r="1902" spans="1:5" s="103" customFormat="1" ht="13.2" hidden="1" outlineLevel="1" x14ac:dyDescent="0.25">
      <c r="A1902" s="106" t="s">
        <v>3824</v>
      </c>
      <c r="B1902" s="106" t="s">
        <v>3825</v>
      </c>
      <c r="C1902" s="106"/>
      <c r="D1902" s="106"/>
      <c r="E1902" s="52"/>
    </row>
    <row r="1903" spans="1:5" s="103" customFormat="1" ht="13.2" hidden="1" outlineLevel="1" x14ac:dyDescent="0.25">
      <c r="A1903" s="106" t="s">
        <v>3826</v>
      </c>
      <c r="B1903" s="106" t="s">
        <v>3827</v>
      </c>
      <c r="C1903" s="106"/>
      <c r="D1903" s="106"/>
      <c r="E1903" s="52"/>
    </row>
    <row r="1904" spans="1:5" s="103" customFormat="1" ht="13.2" hidden="1" outlineLevel="1" x14ac:dyDescent="0.25">
      <c r="A1904" s="106" t="s">
        <v>3828</v>
      </c>
      <c r="B1904" s="106" t="s">
        <v>3829</v>
      </c>
      <c r="C1904" s="106"/>
      <c r="D1904" s="106"/>
      <c r="E1904" s="52"/>
    </row>
    <row r="1905" spans="1:5" s="103" customFormat="1" ht="13.2" hidden="1" outlineLevel="1" x14ac:dyDescent="0.25">
      <c r="A1905" s="106" t="s">
        <v>3830</v>
      </c>
      <c r="B1905" s="106" t="s">
        <v>3831</v>
      </c>
      <c r="C1905" s="106"/>
      <c r="D1905" s="106"/>
      <c r="E1905" s="52"/>
    </row>
    <row r="1906" spans="1:5" s="103" customFormat="1" ht="13.2" hidden="1" outlineLevel="1" x14ac:dyDescent="0.25">
      <c r="A1906" s="106" t="s">
        <v>3832</v>
      </c>
      <c r="B1906" s="106" t="s">
        <v>3833</v>
      </c>
      <c r="C1906" s="106"/>
      <c r="D1906" s="106"/>
      <c r="E1906" s="52"/>
    </row>
    <row r="1907" spans="1:5" s="103" customFormat="1" ht="13.2" hidden="1" outlineLevel="1" x14ac:dyDescent="0.25">
      <c r="A1907" s="106" t="s">
        <v>3834</v>
      </c>
      <c r="B1907" s="106" t="s">
        <v>3835</v>
      </c>
      <c r="C1907" s="106"/>
      <c r="D1907" s="106"/>
      <c r="E1907" s="52"/>
    </row>
    <row r="1908" spans="1:5" s="103" customFormat="1" ht="13.2" hidden="1" outlineLevel="1" x14ac:dyDescent="0.25">
      <c r="A1908" s="106" t="s">
        <v>3836</v>
      </c>
      <c r="B1908" s="106" t="s">
        <v>3837</v>
      </c>
      <c r="C1908" s="106"/>
      <c r="D1908" s="106"/>
      <c r="E1908" s="52"/>
    </row>
    <row r="1909" spans="1:5" s="103" customFormat="1" ht="13.2" hidden="1" outlineLevel="1" x14ac:dyDescent="0.25">
      <c r="A1909" s="106" t="s">
        <v>3838</v>
      </c>
      <c r="B1909" s="106" t="s">
        <v>3839</v>
      </c>
      <c r="C1909" s="106"/>
      <c r="D1909" s="106"/>
      <c r="E1909" s="52"/>
    </row>
    <row r="1910" spans="1:5" s="103" customFormat="1" ht="13.2" hidden="1" outlineLevel="1" x14ac:dyDescent="0.25">
      <c r="A1910" s="106" t="s">
        <v>3840</v>
      </c>
      <c r="B1910" s="106" t="s">
        <v>3841</v>
      </c>
      <c r="C1910" s="106"/>
      <c r="D1910" s="106"/>
      <c r="E1910" s="52"/>
    </row>
    <row r="1911" spans="1:5" s="103" customFormat="1" ht="13.2" hidden="1" outlineLevel="1" x14ac:dyDescent="0.25">
      <c r="A1911" s="106" t="s">
        <v>3842</v>
      </c>
      <c r="B1911" s="106" t="s">
        <v>3843</v>
      </c>
      <c r="C1911" s="106"/>
      <c r="D1911" s="106"/>
      <c r="E1911" s="52"/>
    </row>
    <row r="1912" spans="1:5" s="103" customFormat="1" ht="13.2" hidden="1" outlineLevel="1" x14ac:dyDescent="0.25">
      <c r="A1912" s="106" t="s">
        <v>3844</v>
      </c>
      <c r="B1912" s="106" t="s">
        <v>3845</v>
      </c>
      <c r="C1912" s="106"/>
      <c r="D1912" s="106"/>
      <c r="E1912" s="52"/>
    </row>
    <row r="1913" spans="1:5" s="103" customFormat="1" ht="13.2" hidden="1" outlineLevel="1" x14ac:dyDescent="0.25">
      <c r="A1913" s="106" t="s">
        <v>3846</v>
      </c>
      <c r="B1913" s="106" t="s">
        <v>3847</v>
      </c>
      <c r="C1913" s="106"/>
      <c r="D1913" s="106"/>
      <c r="E1913" s="52"/>
    </row>
    <row r="1914" spans="1:5" s="103" customFormat="1" ht="13.2" hidden="1" outlineLevel="1" x14ac:dyDescent="0.25">
      <c r="A1914" s="106" t="s">
        <v>3848</v>
      </c>
      <c r="B1914" s="106" t="s">
        <v>3849</v>
      </c>
      <c r="C1914" s="106"/>
      <c r="D1914" s="106"/>
      <c r="E1914" s="52"/>
    </row>
    <row r="1915" spans="1:5" s="103" customFormat="1" ht="13.2" hidden="1" outlineLevel="1" x14ac:dyDescent="0.25">
      <c r="A1915" s="106" t="s">
        <v>3850</v>
      </c>
      <c r="B1915" s="106" t="s">
        <v>3851</v>
      </c>
      <c r="C1915" s="106"/>
      <c r="D1915" s="106"/>
      <c r="E1915" s="52"/>
    </row>
    <row r="1916" spans="1:5" s="103" customFormat="1" ht="13.2" hidden="1" outlineLevel="1" x14ac:dyDescent="0.25">
      <c r="A1916" s="106" t="s">
        <v>3852</v>
      </c>
      <c r="B1916" s="106" t="s">
        <v>3853</v>
      </c>
      <c r="C1916" s="106"/>
      <c r="D1916" s="106"/>
      <c r="E1916" s="52"/>
    </row>
    <row r="1917" spans="1:5" s="103" customFormat="1" ht="13.2" hidden="1" outlineLevel="1" x14ac:dyDescent="0.25">
      <c r="A1917" s="106" t="s">
        <v>3854</v>
      </c>
      <c r="B1917" s="106" t="s">
        <v>3855</v>
      </c>
      <c r="C1917" s="106"/>
      <c r="D1917" s="106"/>
      <c r="E1917" s="52"/>
    </row>
    <row r="1918" spans="1:5" s="103" customFormat="1" ht="13.2" hidden="1" outlineLevel="1" x14ac:dyDescent="0.25">
      <c r="A1918" s="106" t="s">
        <v>3856</v>
      </c>
      <c r="B1918" s="106" t="s">
        <v>3857</v>
      </c>
      <c r="C1918" s="106"/>
      <c r="D1918" s="106"/>
      <c r="E1918" s="52"/>
    </row>
    <row r="1919" spans="1:5" s="103" customFormat="1" ht="13.2" hidden="1" outlineLevel="1" x14ac:dyDescent="0.25">
      <c r="A1919" s="106" t="s">
        <v>3858</v>
      </c>
      <c r="B1919" s="106" t="s">
        <v>3859</v>
      </c>
      <c r="C1919" s="106"/>
      <c r="D1919" s="106"/>
      <c r="E1919" s="52"/>
    </row>
    <row r="1920" spans="1:5" s="103" customFormat="1" ht="13.2" hidden="1" outlineLevel="1" x14ac:dyDescent="0.25">
      <c r="A1920" s="106" t="s">
        <v>3860</v>
      </c>
      <c r="B1920" s="106" t="s">
        <v>3861</v>
      </c>
      <c r="C1920" s="106"/>
      <c r="D1920" s="106"/>
      <c r="E1920" s="52"/>
    </row>
    <row r="1921" spans="1:5" s="103" customFormat="1" ht="13.2" hidden="1" outlineLevel="1" x14ac:dyDescent="0.25">
      <c r="A1921" s="106" t="s">
        <v>3862</v>
      </c>
      <c r="B1921" s="106" t="s">
        <v>3863</v>
      </c>
      <c r="C1921" s="106"/>
      <c r="D1921" s="106"/>
      <c r="E1921" s="52"/>
    </row>
    <row r="1922" spans="1:5" s="103" customFormat="1" ht="13.2" hidden="1" outlineLevel="1" x14ac:dyDescent="0.25">
      <c r="A1922" s="106" t="s">
        <v>3864</v>
      </c>
      <c r="B1922" s="106" t="s">
        <v>3865</v>
      </c>
      <c r="C1922" s="106"/>
      <c r="D1922" s="106"/>
      <c r="E1922" s="52"/>
    </row>
    <row r="1923" spans="1:5" s="103" customFormat="1" ht="13.2" hidden="1" outlineLevel="1" x14ac:dyDescent="0.25">
      <c r="A1923" s="106" t="s">
        <v>3866</v>
      </c>
      <c r="B1923" s="106" t="s">
        <v>3867</v>
      </c>
      <c r="C1923" s="106"/>
      <c r="D1923" s="106"/>
      <c r="E1923" s="52"/>
    </row>
    <row r="1924" spans="1:5" s="103" customFormat="1" ht="13.2" hidden="1" outlineLevel="1" x14ac:dyDescent="0.25">
      <c r="A1924" s="106" t="s">
        <v>3868</v>
      </c>
      <c r="B1924" s="106" t="s">
        <v>3869</v>
      </c>
      <c r="C1924" s="106"/>
      <c r="D1924" s="106"/>
      <c r="E1924" s="52"/>
    </row>
    <row r="1925" spans="1:5" s="103" customFormat="1" ht="13.2" hidden="1" outlineLevel="1" x14ac:dyDescent="0.25">
      <c r="A1925" s="106" t="s">
        <v>3870</v>
      </c>
      <c r="B1925" s="106" t="s">
        <v>3871</v>
      </c>
      <c r="C1925" s="106"/>
      <c r="D1925" s="106"/>
      <c r="E1925" s="52"/>
    </row>
    <row r="1926" spans="1:5" s="103" customFormat="1" ht="13.2" hidden="1" outlineLevel="1" x14ac:dyDescent="0.25">
      <c r="A1926" s="106" t="s">
        <v>3872</v>
      </c>
      <c r="B1926" s="106" t="s">
        <v>3873</v>
      </c>
      <c r="C1926" s="106"/>
      <c r="D1926" s="106"/>
      <c r="E1926" s="52"/>
    </row>
    <row r="1927" spans="1:5" s="103" customFormat="1" ht="13.2" hidden="1" outlineLevel="1" x14ac:dyDescent="0.25">
      <c r="A1927" s="106" t="s">
        <v>3874</v>
      </c>
      <c r="B1927" s="106" t="s">
        <v>3875</v>
      </c>
      <c r="C1927" s="106"/>
      <c r="D1927" s="106"/>
      <c r="E1927" s="52"/>
    </row>
    <row r="1928" spans="1:5" s="103" customFormat="1" ht="13.2" hidden="1" outlineLevel="1" x14ac:dyDescent="0.25">
      <c r="A1928" s="106" t="s">
        <v>3876</v>
      </c>
      <c r="B1928" s="106" t="s">
        <v>3877</v>
      </c>
      <c r="C1928" s="106"/>
      <c r="D1928" s="106"/>
      <c r="E1928" s="52"/>
    </row>
    <row r="1929" spans="1:5" s="103" customFormat="1" ht="13.2" hidden="1" outlineLevel="1" x14ac:dyDescent="0.25">
      <c r="A1929" s="106" t="s">
        <v>3878</v>
      </c>
      <c r="B1929" s="106" t="s">
        <v>3879</v>
      </c>
      <c r="C1929" s="106"/>
      <c r="D1929" s="106"/>
      <c r="E1929" s="52"/>
    </row>
    <row r="1930" spans="1:5" s="103" customFormat="1" ht="13.2" hidden="1" outlineLevel="1" x14ac:dyDescent="0.25">
      <c r="A1930" s="106" t="s">
        <v>3880</v>
      </c>
      <c r="B1930" s="106" t="s">
        <v>3881</v>
      </c>
      <c r="C1930" s="106"/>
      <c r="D1930" s="106"/>
      <c r="E1930" s="52"/>
    </row>
    <row r="1931" spans="1:5" s="103" customFormat="1" ht="13.2" hidden="1" outlineLevel="1" x14ac:dyDescent="0.25">
      <c r="A1931" s="106" t="s">
        <v>3882</v>
      </c>
      <c r="B1931" s="106" t="s">
        <v>3883</v>
      </c>
      <c r="C1931" s="106"/>
      <c r="D1931" s="106"/>
      <c r="E1931" s="52"/>
    </row>
    <row r="1932" spans="1:5" s="103" customFormat="1" ht="13.2" hidden="1" outlineLevel="1" x14ac:dyDescent="0.25">
      <c r="A1932" s="106" t="s">
        <v>3884</v>
      </c>
      <c r="B1932" s="106" t="s">
        <v>3885</v>
      </c>
      <c r="C1932" s="106"/>
      <c r="D1932" s="106"/>
      <c r="E1932" s="52"/>
    </row>
    <row r="1933" spans="1:5" s="103" customFormat="1" ht="13.2" hidden="1" outlineLevel="1" x14ac:dyDescent="0.25">
      <c r="A1933" s="106" t="s">
        <v>3886</v>
      </c>
      <c r="B1933" s="106" t="s">
        <v>3887</v>
      </c>
      <c r="C1933" s="106"/>
      <c r="D1933" s="106"/>
      <c r="E1933" s="52"/>
    </row>
    <row r="1934" spans="1:5" s="103" customFormat="1" ht="13.2" hidden="1" outlineLevel="1" x14ac:dyDescent="0.25">
      <c r="A1934" s="106" t="s">
        <v>3888</v>
      </c>
      <c r="B1934" s="106" t="s">
        <v>3889</v>
      </c>
      <c r="C1934" s="106"/>
      <c r="D1934" s="106"/>
      <c r="E1934" s="52"/>
    </row>
    <row r="1935" spans="1:5" s="103" customFormat="1" ht="13.2" hidden="1" outlineLevel="1" x14ac:dyDescent="0.25">
      <c r="A1935" s="106" t="s">
        <v>3890</v>
      </c>
      <c r="B1935" s="106" t="s">
        <v>3891</v>
      </c>
      <c r="C1935" s="106"/>
      <c r="D1935" s="106"/>
      <c r="E1935" s="52"/>
    </row>
    <row r="1936" spans="1:5" s="103" customFormat="1" ht="13.2" hidden="1" outlineLevel="1" x14ac:dyDescent="0.25">
      <c r="A1936" s="106" t="s">
        <v>3892</v>
      </c>
      <c r="B1936" s="106" t="s">
        <v>3893</v>
      </c>
      <c r="C1936" s="106"/>
      <c r="D1936" s="106"/>
      <c r="E1936" s="52"/>
    </row>
    <row r="1937" spans="1:5" s="103" customFormat="1" ht="13.2" hidden="1" outlineLevel="1" x14ac:dyDescent="0.25">
      <c r="A1937" s="106" t="s">
        <v>3894</v>
      </c>
      <c r="B1937" s="106" t="s">
        <v>3895</v>
      </c>
      <c r="C1937" s="106"/>
      <c r="D1937" s="106"/>
      <c r="E1937" s="52"/>
    </row>
    <row r="1938" spans="1:5" s="103" customFormat="1" ht="13.2" hidden="1" outlineLevel="1" x14ac:dyDescent="0.25">
      <c r="A1938" s="106" t="s">
        <v>3896</v>
      </c>
      <c r="B1938" s="106" t="s">
        <v>3897</v>
      </c>
      <c r="C1938" s="106"/>
      <c r="D1938" s="106"/>
      <c r="E1938" s="52"/>
    </row>
    <row r="1939" spans="1:5" s="103" customFormat="1" ht="13.2" hidden="1" outlineLevel="1" x14ac:dyDescent="0.25">
      <c r="A1939" s="106" t="s">
        <v>3898</v>
      </c>
      <c r="B1939" s="106" t="s">
        <v>3899</v>
      </c>
      <c r="C1939" s="106"/>
      <c r="D1939" s="106"/>
      <c r="E1939" s="52"/>
    </row>
    <row r="1940" spans="1:5" s="103" customFormat="1" ht="13.2" hidden="1" outlineLevel="1" x14ac:dyDescent="0.25">
      <c r="A1940" s="106" t="s">
        <v>3900</v>
      </c>
      <c r="B1940" s="106" t="s">
        <v>3901</v>
      </c>
      <c r="C1940" s="106"/>
      <c r="D1940" s="106"/>
      <c r="E1940" s="52"/>
    </row>
    <row r="1941" spans="1:5" s="103" customFormat="1" ht="13.2" hidden="1" outlineLevel="1" x14ac:dyDescent="0.25">
      <c r="A1941" s="106" t="s">
        <v>3902</v>
      </c>
      <c r="B1941" s="106" t="s">
        <v>3903</v>
      </c>
      <c r="C1941" s="106"/>
      <c r="D1941" s="106"/>
      <c r="E1941" s="52"/>
    </row>
    <row r="1942" spans="1:5" s="103" customFormat="1" ht="13.2" hidden="1" outlineLevel="1" x14ac:dyDescent="0.25">
      <c r="A1942" s="106" t="s">
        <v>3904</v>
      </c>
      <c r="B1942" s="106" t="s">
        <v>3905</v>
      </c>
      <c r="C1942" s="106"/>
      <c r="D1942" s="106"/>
      <c r="E1942" s="52"/>
    </row>
    <row r="1943" spans="1:5" s="103" customFormat="1" ht="13.2" hidden="1" outlineLevel="1" x14ac:dyDescent="0.25">
      <c r="A1943" s="106" t="s">
        <v>3906</v>
      </c>
      <c r="B1943" s="106" t="s">
        <v>3907</v>
      </c>
      <c r="C1943" s="106"/>
      <c r="D1943" s="106"/>
      <c r="E1943" s="52"/>
    </row>
    <row r="1944" spans="1:5" s="103" customFormat="1" ht="13.2" hidden="1" outlineLevel="1" x14ac:dyDescent="0.25">
      <c r="A1944" s="106" t="s">
        <v>3908</v>
      </c>
      <c r="B1944" s="106" t="s">
        <v>3909</v>
      </c>
      <c r="C1944" s="106"/>
      <c r="D1944" s="106"/>
      <c r="E1944" s="52"/>
    </row>
    <row r="1945" spans="1:5" s="103" customFormat="1" ht="13.2" hidden="1" outlineLevel="1" x14ac:dyDescent="0.25">
      <c r="A1945" s="106" t="s">
        <v>3910</v>
      </c>
      <c r="B1945" s="106" t="s">
        <v>3911</v>
      </c>
      <c r="C1945" s="106"/>
      <c r="D1945" s="106"/>
      <c r="E1945" s="52"/>
    </row>
    <row r="1946" spans="1:5" s="103" customFormat="1" ht="13.2" hidden="1" outlineLevel="1" x14ac:dyDescent="0.25">
      <c r="A1946" s="106" t="s">
        <v>3912</v>
      </c>
      <c r="B1946" s="106" t="s">
        <v>3913</v>
      </c>
      <c r="C1946" s="106"/>
      <c r="D1946" s="106"/>
      <c r="E1946" s="52"/>
    </row>
    <row r="1947" spans="1:5" s="103" customFormat="1" ht="13.2" hidden="1" outlineLevel="1" x14ac:dyDescent="0.25">
      <c r="A1947" s="106" t="s">
        <v>3914</v>
      </c>
      <c r="B1947" s="106" t="s">
        <v>3915</v>
      </c>
      <c r="C1947" s="106"/>
      <c r="D1947" s="106"/>
      <c r="E1947" s="52"/>
    </row>
    <row r="1948" spans="1:5" s="103" customFormat="1" ht="13.2" hidden="1" outlineLevel="1" x14ac:dyDescent="0.25">
      <c r="A1948" s="106" t="s">
        <v>3916</v>
      </c>
      <c r="B1948" s="106" t="s">
        <v>3917</v>
      </c>
      <c r="C1948" s="106"/>
      <c r="D1948" s="106"/>
      <c r="E1948" s="52"/>
    </row>
    <row r="1949" spans="1:5" s="103" customFormat="1" ht="13.2" hidden="1" outlineLevel="1" x14ac:dyDescent="0.25">
      <c r="A1949" s="106" t="s">
        <v>3918</v>
      </c>
      <c r="B1949" s="106" t="s">
        <v>3919</v>
      </c>
      <c r="C1949" s="106"/>
      <c r="D1949" s="106"/>
      <c r="E1949" s="52"/>
    </row>
    <row r="1950" spans="1:5" s="103" customFormat="1" ht="13.2" hidden="1" outlineLevel="1" x14ac:dyDescent="0.25">
      <c r="A1950" s="106" t="s">
        <v>3920</v>
      </c>
      <c r="B1950" s="106" t="s">
        <v>3921</v>
      </c>
      <c r="C1950" s="106"/>
      <c r="D1950" s="106"/>
      <c r="E1950" s="52"/>
    </row>
    <row r="1951" spans="1:5" s="103" customFormat="1" ht="13.2" hidden="1" outlineLevel="1" x14ac:dyDescent="0.25">
      <c r="A1951" s="106" t="s">
        <v>3922</v>
      </c>
      <c r="B1951" s="106" t="s">
        <v>3923</v>
      </c>
      <c r="C1951" s="106"/>
      <c r="D1951" s="106"/>
      <c r="E1951" s="52"/>
    </row>
    <row r="1952" spans="1:5" s="103" customFormat="1" ht="13.2" hidden="1" outlineLevel="1" x14ac:dyDescent="0.25">
      <c r="A1952" s="106" t="s">
        <v>3924</v>
      </c>
      <c r="B1952" s="106" t="s">
        <v>3925</v>
      </c>
      <c r="C1952" s="106"/>
      <c r="D1952" s="106"/>
      <c r="E1952" s="52"/>
    </row>
    <row r="1953" spans="1:5" s="103" customFormat="1" ht="13.2" hidden="1" outlineLevel="1" x14ac:dyDescent="0.25">
      <c r="A1953" s="106" t="s">
        <v>3926</v>
      </c>
      <c r="B1953" s="106" t="s">
        <v>3927</v>
      </c>
      <c r="C1953" s="106"/>
      <c r="D1953" s="106"/>
      <c r="E1953" s="52"/>
    </row>
    <row r="1954" spans="1:5" s="103" customFormat="1" ht="13.2" hidden="1" outlineLevel="1" x14ac:dyDescent="0.25">
      <c r="A1954" s="106" t="s">
        <v>3928</v>
      </c>
      <c r="B1954" s="106" t="s">
        <v>3929</v>
      </c>
      <c r="C1954" s="106"/>
      <c r="D1954" s="106"/>
      <c r="E1954" s="52"/>
    </row>
    <row r="1955" spans="1:5" s="103" customFormat="1" ht="13.2" hidden="1" outlineLevel="1" x14ac:dyDescent="0.25">
      <c r="A1955" s="106" t="s">
        <v>3930</v>
      </c>
      <c r="B1955" s="106" t="s">
        <v>3931</v>
      </c>
      <c r="C1955" s="106"/>
      <c r="D1955" s="106"/>
      <c r="E1955" s="52"/>
    </row>
    <row r="1956" spans="1:5" s="103" customFormat="1" ht="13.2" hidden="1" outlineLevel="1" x14ac:dyDescent="0.25">
      <c r="A1956" s="106" t="s">
        <v>3932</v>
      </c>
      <c r="B1956" s="106" t="s">
        <v>3933</v>
      </c>
      <c r="C1956" s="106"/>
      <c r="D1956" s="106"/>
      <c r="E1956" s="52"/>
    </row>
    <row r="1957" spans="1:5" s="103" customFormat="1" ht="13.2" hidden="1" outlineLevel="1" x14ac:dyDescent="0.25">
      <c r="A1957" s="106" t="s">
        <v>3934</v>
      </c>
      <c r="B1957" s="106" t="s">
        <v>3935</v>
      </c>
      <c r="C1957" s="106"/>
      <c r="D1957" s="106"/>
      <c r="E1957" s="52"/>
    </row>
    <row r="1958" spans="1:5" s="103" customFormat="1" ht="13.2" hidden="1" outlineLevel="1" x14ac:dyDescent="0.25">
      <c r="A1958" s="106" t="s">
        <v>3936</v>
      </c>
      <c r="B1958" s="106" t="s">
        <v>3937</v>
      </c>
      <c r="C1958" s="106"/>
      <c r="D1958" s="106"/>
      <c r="E1958" s="52"/>
    </row>
    <row r="1959" spans="1:5" s="103" customFormat="1" ht="13.2" hidden="1" outlineLevel="1" x14ac:dyDescent="0.25">
      <c r="A1959" s="106" t="s">
        <v>3938</v>
      </c>
      <c r="B1959" s="106" t="s">
        <v>3939</v>
      </c>
      <c r="C1959" s="106"/>
      <c r="D1959" s="106"/>
      <c r="E1959" s="52"/>
    </row>
    <row r="1960" spans="1:5" s="103" customFormat="1" ht="13.2" hidden="1" outlineLevel="1" x14ac:dyDescent="0.25">
      <c r="A1960" s="106" t="s">
        <v>3940</v>
      </c>
      <c r="B1960" s="106" t="s">
        <v>3941</v>
      </c>
      <c r="C1960" s="106"/>
      <c r="D1960" s="106"/>
      <c r="E1960" s="52"/>
    </row>
    <row r="1961" spans="1:5" s="103" customFormat="1" ht="13.2" hidden="1" outlineLevel="1" x14ac:dyDescent="0.25">
      <c r="A1961" s="106" t="s">
        <v>3942</v>
      </c>
      <c r="B1961" s="106" t="s">
        <v>3943</v>
      </c>
      <c r="C1961" s="106"/>
      <c r="D1961" s="106"/>
      <c r="E1961" s="52"/>
    </row>
    <row r="1962" spans="1:5" s="103" customFormat="1" ht="13.2" hidden="1" outlineLevel="1" x14ac:dyDescent="0.25">
      <c r="A1962" s="106" t="s">
        <v>3944</v>
      </c>
      <c r="B1962" s="106" t="s">
        <v>3945</v>
      </c>
      <c r="C1962" s="106"/>
      <c r="D1962" s="106"/>
      <c r="E1962" s="52"/>
    </row>
    <row r="1963" spans="1:5" s="103" customFormat="1" ht="13.2" hidden="1" outlineLevel="1" x14ac:dyDescent="0.25">
      <c r="A1963" s="106" t="s">
        <v>3946</v>
      </c>
      <c r="B1963" s="106" t="s">
        <v>3947</v>
      </c>
      <c r="C1963" s="106"/>
      <c r="D1963" s="106"/>
      <c r="E1963" s="52"/>
    </row>
    <row r="1964" spans="1:5" s="103" customFormat="1" ht="13.2" hidden="1" outlineLevel="1" x14ac:dyDescent="0.25">
      <c r="A1964" s="106" t="s">
        <v>3948</v>
      </c>
      <c r="B1964" s="106" t="s">
        <v>3949</v>
      </c>
      <c r="C1964" s="106"/>
      <c r="D1964" s="106"/>
      <c r="E1964" s="52"/>
    </row>
    <row r="1965" spans="1:5" s="103" customFormat="1" ht="13.2" hidden="1" outlineLevel="1" x14ac:dyDescent="0.25">
      <c r="A1965" s="106" t="s">
        <v>3950</v>
      </c>
      <c r="B1965" s="106" t="s">
        <v>3951</v>
      </c>
      <c r="C1965" s="106"/>
      <c r="D1965" s="106"/>
      <c r="E1965" s="52"/>
    </row>
    <row r="1966" spans="1:5" s="103" customFormat="1" ht="13.2" hidden="1" outlineLevel="1" x14ac:dyDescent="0.25">
      <c r="A1966" s="106" t="s">
        <v>3952</v>
      </c>
      <c r="B1966" s="106" t="s">
        <v>3953</v>
      </c>
      <c r="C1966" s="106"/>
      <c r="D1966" s="106"/>
      <c r="E1966" s="52"/>
    </row>
    <row r="1967" spans="1:5" s="103" customFormat="1" ht="13.2" hidden="1" outlineLevel="1" x14ac:dyDescent="0.25">
      <c r="A1967" s="106" t="s">
        <v>3954</v>
      </c>
      <c r="B1967" s="106" t="s">
        <v>3955</v>
      </c>
      <c r="C1967" s="106"/>
      <c r="D1967" s="106"/>
      <c r="E1967" s="52"/>
    </row>
    <row r="1968" spans="1:5" s="103" customFormat="1" ht="13.2" hidden="1" outlineLevel="1" x14ac:dyDescent="0.25">
      <c r="A1968" s="106" t="s">
        <v>3956</v>
      </c>
      <c r="B1968" s="106" t="s">
        <v>3957</v>
      </c>
      <c r="C1968" s="106"/>
      <c r="D1968" s="106"/>
      <c r="E1968" s="52"/>
    </row>
    <row r="1969" spans="1:5" s="103" customFormat="1" ht="13.2" hidden="1" outlineLevel="1" x14ac:dyDescent="0.25">
      <c r="A1969" s="106" t="s">
        <v>3958</v>
      </c>
      <c r="B1969" s="106" t="s">
        <v>3959</v>
      </c>
      <c r="C1969" s="106"/>
      <c r="D1969" s="106"/>
      <c r="E1969" s="52"/>
    </row>
    <row r="1970" spans="1:5" s="103" customFormat="1" ht="13.2" hidden="1" outlineLevel="1" x14ac:dyDescent="0.25">
      <c r="A1970" s="106" t="s">
        <v>3960</v>
      </c>
      <c r="B1970" s="106" t="s">
        <v>3961</v>
      </c>
      <c r="C1970" s="106"/>
      <c r="D1970" s="106"/>
      <c r="E1970" s="52"/>
    </row>
    <row r="1971" spans="1:5" s="103" customFormat="1" ht="13.2" hidden="1" outlineLevel="1" x14ac:dyDescent="0.25">
      <c r="A1971" s="106" t="s">
        <v>3962</v>
      </c>
      <c r="B1971" s="106" t="s">
        <v>3963</v>
      </c>
      <c r="C1971" s="106"/>
      <c r="D1971" s="106"/>
      <c r="E1971" s="52"/>
    </row>
    <row r="1972" spans="1:5" s="103" customFormat="1" ht="13.2" hidden="1" outlineLevel="1" x14ac:dyDescent="0.25">
      <c r="A1972" s="106" t="s">
        <v>3964</v>
      </c>
      <c r="B1972" s="106" t="s">
        <v>3965</v>
      </c>
      <c r="C1972" s="106"/>
      <c r="D1972" s="106"/>
      <c r="E1972" s="52"/>
    </row>
    <row r="1973" spans="1:5" s="103" customFormat="1" ht="13.2" hidden="1" outlineLevel="1" x14ac:dyDescent="0.25">
      <c r="A1973" s="106" t="s">
        <v>3966</v>
      </c>
      <c r="B1973" s="106" t="s">
        <v>3967</v>
      </c>
      <c r="C1973" s="106"/>
      <c r="D1973" s="106"/>
      <c r="E1973" s="52"/>
    </row>
    <row r="1974" spans="1:5" s="103" customFormat="1" ht="13.2" hidden="1" outlineLevel="1" x14ac:dyDescent="0.25">
      <c r="A1974" s="106" t="s">
        <v>3968</v>
      </c>
      <c r="B1974" s="106" t="s">
        <v>3969</v>
      </c>
      <c r="C1974" s="106"/>
      <c r="D1974" s="106"/>
      <c r="E1974" s="52"/>
    </row>
    <row r="1975" spans="1:5" s="103" customFormat="1" ht="13.2" hidden="1" outlineLevel="1" x14ac:dyDescent="0.25">
      <c r="A1975" s="106" t="s">
        <v>3970</v>
      </c>
      <c r="B1975" s="106" t="s">
        <v>3971</v>
      </c>
      <c r="C1975" s="106"/>
      <c r="D1975" s="106"/>
      <c r="E1975" s="52"/>
    </row>
    <row r="1976" spans="1:5" s="103" customFormat="1" ht="13.2" hidden="1" outlineLevel="1" x14ac:dyDescent="0.25">
      <c r="A1976" s="106" t="s">
        <v>3972</v>
      </c>
      <c r="B1976" s="106" t="s">
        <v>3973</v>
      </c>
      <c r="C1976" s="106"/>
      <c r="D1976" s="106"/>
      <c r="E1976" s="52"/>
    </row>
    <row r="1977" spans="1:5" s="103" customFormat="1" ht="13.2" hidden="1" outlineLevel="1" x14ac:dyDescent="0.25">
      <c r="A1977" s="106" t="s">
        <v>3974</v>
      </c>
      <c r="B1977" s="106" t="s">
        <v>3975</v>
      </c>
      <c r="C1977" s="106"/>
      <c r="D1977" s="106"/>
      <c r="E1977" s="52"/>
    </row>
    <row r="1978" spans="1:5" s="103" customFormat="1" ht="13.2" hidden="1" outlineLevel="1" x14ac:dyDescent="0.25">
      <c r="A1978" s="106" t="s">
        <v>3976</v>
      </c>
      <c r="B1978" s="106" t="s">
        <v>3977</v>
      </c>
      <c r="C1978" s="106"/>
      <c r="D1978" s="106"/>
      <c r="E1978" s="52"/>
    </row>
    <row r="1979" spans="1:5" s="103" customFormat="1" ht="13.2" hidden="1" outlineLevel="1" x14ac:dyDescent="0.25">
      <c r="A1979" s="106" t="s">
        <v>3978</v>
      </c>
      <c r="B1979" s="106" t="s">
        <v>3979</v>
      </c>
      <c r="C1979" s="106"/>
      <c r="D1979" s="106"/>
      <c r="E1979" s="52"/>
    </row>
    <row r="1980" spans="1:5" s="103" customFormat="1" ht="13.2" hidden="1" outlineLevel="1" x14ac:dyDescent="0.25">
      <c r="A1980" s="106" t="s">
        <v>3980</v>
      </c>
      <c r="B1980" s="106" t="s">
        <v>3981</v>
      </c>
      <c r="C1980" s="106"/>
      <c r="D1980" s="106"/>
      <c r="E1980" s="52"/>
    </row>
    <row r="1981" spans="1:5" s="103" customFormat="1" ht="13.2" hidden="1" outlineLevel="1" x14ac:dyDescent="0.25">
      <c r="A1981" s="106" t="s">
        <v>3982</v>
      </c>
      <c r="B1981" s="106" t="s">
        <v>3983</v>
      </c>
      <c r="C1981" s="106"/>
      <c r="D1981" s="106"/>
      <c r="E1981" s="52"/>
    </row>
    <row r="1982" spans="1:5" s="103" customFormat="1" ht="13.2" hidden="1" outlineLevel="1" x14ac:dyDescent="0.25">
      <c r="A1982" s="106" t="s">
        <v>3984</v>
      </c>
      <c r="B1982" s="106" t="s">
        <v>3985</v>
      </c>
      <c r="C1982" s="106"/>
      <c r="D1982" s="106"/>
      <c r="E1982" s="52"/>
    </row>
    <row r="1983" spans="1:5" s="103" customFormat="1" ht="13.2" hidden="1" outlineLevel="1" x14ac:dyDescent="0.25">
      <c r="A1983" s="106" t="s">
        <v>3986</v>
      </c>
      <c r="B1983" s="106" t="s">
        <v>3987</v>
      </c>
      <c r="C1983" s="106"/>
      <c r="D1983" s="106"/>
      <c r="E1983" s="52"/>
    </row>
    <row r="1984" spans="1:5" s="103" customFormat="1" ht="13.2" hidden="1" outlineLevel="1" x14ac:dyDescent="0.25">
      <c r="A1984" s="106" t="s">
        <v>3988</v>
      </c>
      <c r="B1984" s="106" t="s">
        <v>3989</v>
      </c>
      <c r="C1984" s="106"/>
      <c r="D1984" s="106"/>
      <c r="E1984" s="52"/>
    </row>
    <row r="1985" spans="1:5" s="103" customFormat="1" ht="13.2" hidden="1" outlineLevel="1" x14ac:dyDescent="0.25">
      <c r="A1985" s="106" t="s">
        <v>3990</v>
      </c>
      <c r="B1985" s="106" t="s">
        <v>3991</v>
      </c>
      <c r="C1985" s="106"/>
      <c r="D1985" s="106"/>
      <c r="E1985" s="52"/>
    </row>
    <row r="1986" spans="1:5" s="103" customFormat="1" ht="13.2" hidden="1" outlineLevel="1" x14ac:dyDescent="0.25">
      <c r="A1986" s="106" t="s">
        <v>3992</v>
      </c>
      <c r="B1986" s="106" t="s">
        <v>3993</v>
      </c>
      <c r="C1986" s="106"/>
      <c r="D1986" s="106"/>
      <c r="E1986" s="52"/>
    </row>
    <row r="1987" spans="1:5" s="103" customFormat="1" ht="13.2" hidden="1" outlineLevel="1" x14ac:dyDescent="0.25">
      <c r="A1987" s="106" t="s">
        <v>3994</v>
      </c>
      <c r="B1987" s="106" t="s">
        <v>3995</v>
      </c>
      <c r="C1987" s="106"/>
      <c r="D1987" s="106"/>
      <c r="E1987" s="52"/>
    </row>
    <row r="1988" spans="1:5" s="103" customFormat="1" ht="13.2" hidden="1" outlineLevel="1" x14ac:dyDescent="0.25">
      <c r="A1988" s="106" t="s">
        <v>3996</v>
      </c>
      <c r="B1988" s="106" t="s">
        <v>3997</v>
      </c>
      <c r="C1988" s="106"/>
      <c r="D1988" s="106"/>
      <c r="E1988" s="52"/>
    </row>
    <row r="1989" spans="1:5" s="103" customFormat="1" ht="13.2" hidden="1" outlineLevel="1" x14ac:dyDescent="0.25">
      <c r="A1989" s="106" t="s">
        <v>3998</v>
      </c>
      <c r="B1989" s="106" t="s">
        <v>3999</v>
      </c>
      <c r="C1989" s="106"/>
      <c r="D1989" s="106"/>
      <c r="E1989" s="52"/>
    </row>
    <row r="1990" spans="1:5" s="103" customFormat="1" ht="13.2" hidden="1" outlineLevel="1" x14ac:dyDescent="0.25">
      <c r="A1990" s="106" t="s">
        <v>4000</v>
      </c>
      <c r="B1990" s="106" t="s">
        <v>4001</v>
      </c>
      <c r="C1990" s="106"/>
      <c r="D1990" s="106"/>
      <c r="E1990" s="52"/>
    </row>
    <row r="1991" spans="1:5" s="103" customFormat="1" ht="13.2" hidden="1" outlineLevel="1" x14ac:dyDescent="0.25">
      <c r="A1991" s="106" t="s">
        <v>4002</v>
      </c>
      <c r="B1991" s="106" t="s">
        <v>4003</v>
      </c>
      <c r="C1991" s="106"/>
      <c r="D1991" s="106"/>
      <c r="E1991" s="52"/>
    </row>
    <row r="1992" spans="1:5" s="103" customFormat="1" ht="13.2" hidden="1" outlineLevel="1" x14ac:dyDescent="0.25">
      <c r="A1992" s="106" t="s">
        <v>4004</v>
      </c>
      <c r="B1992" s="106" t="s">
        <v>4005</v>
      </c>
      <c r="C1992" s="106"/>
      <c r="D1992" s="106"/>
      <c r="E1992" s="52"/>
    </row>
    <row r="1993" spans="1:5" s="103" customFormat="1" ht="13.2" hidden="1" outlineLevel="1" x14ac:dyDescent="0.25">
      <c r="A1993" s="106" t="s">
        <v>4006</v>
      </c>
      <c r="B1993" s="106" t="s">
        <v>4007</v>
      </c>
      <c r="C1993" s="106"/>
      <c r="D1993" s="106"/>
      <c r="E1993" s="52"/>
    </row>
    <row r="1994" spans="1:5" s="103" customFormat="1" ht="13.2" hidden="1" outlineLevel="1" x14ac:dyDescent="0.25">
      <c r="A1994" s="106" t="s">
        <v>4008</v>
      </c>
      <c r="B1994" s="106" t="s">
        <v>4009</v>
      </c>
      <c r="C1994" s="106"/>
      <c r="D1994" s="106"/>
      <c r="E1994" s="52"/>
    </row>
    <row r="1995" spans="1:5" s="103" customFormat="1" ht="13.2" hidden="1" outlineLevel="1" x14ac:dyDescent="0.25">
      <c r="A1995" s="106" t="s">
        <v>4010</v>
      </c>
      <c r="B1995" s="106" t="s">
        <v>4011</v>
      </c>
      <c r="C1995" s="106"/>
      <c r="D1995" s="106"/>
      <c r="E1995" s="52"/>
    </row>
    <row r="1996" spans="1:5" s="103" customFormat="1" ht="13.2" hidden="1" outlineLevel="1" x14ac:dyDescent="0.25">
      <c r="A1996" s="106" t="s">
        <v>4012</v>
      </c>
      <c r="B1996" s="106" t="s">
        <v>4013</v>
      </c>
      <c r="C1996" s="106"/>
      <c r="D1996" s="106"/>
      <c r="E1996" s="52"/>
    </row>
    <row r="1997" spans="1:5" s="103" customFormat="1" ht="13.2" hidden="1" outlineLevel="1" x14ac:dyDescent="0.25">
      <c r="A1997" s="106" t="s">
        <v>4014</v>
      </c>
      <c r="B1997" s="106" t="s">
        <v>4015</v>
      </c>
      <c r="C1997" s="106"/>
      <c r="D1997" s="106"/>
      <c r="E1997" s="52"/>
    </row>
    <row r="1998" spans="1:5" s="103" customFormat="1" ht="13.2" hidden="1" outlineLevel="1" x14ac:dyDescent="0.25">
      <c r="A1998" s="106" t="s">
        <v>4016</v>
      </c>
      <c r="B1998" s="106" t="s">
        <v>4017</v>
      </c>
      <c r="C1998" s="106"/>
      <c r="D1998" s="106"/>
      <c r="E1998" s="52"/>
    </row>
    <row r="1999" spans="1:5" s="103" customFormat="1" ht="13.2" hidden="1" outlineLevel="1" x14ac:dyDescent="0.25">
      <c r="A1999" s="106" t="s">
        <v>4018</v>
      </c>
      <c r="B1999" s="106" t="s">
        <v>4019</v>
      </c>
      <c r="C1999" s="106"/>
      <c r="D1999" s="106"/>
      <c r="E1999" s="52"/>
    </row>
    <row r="2000" spans="1:5" s="103" customFormat="1" ht="13.2" hidden="1" outlineLevel="1" x14ac:dyDescent="0.25">
      <c r="A2000" s="106" t="s">
        <v>4020</v>
      </c>
      <c r="B2000" s="106" t="s">
        <v>4021</v>
      </c>
      <c r="C2000" s="106"/>
      <c r="D2000" s="106"/>
      <c r="E2000" s="52"/>
    </row>
    <row r="2001" spans="1:5" s="103" customFormat="1" ht="13.2" collapsed="1" x14ac:dyDescent="0.25">
      <c r="A2001" s="104" t="s">
        <v>4022</v>
      </c>
      <c r="B2001" s="105" t="s">
        <v>4023</v>
      </c>
      <c r="C2001" s="105"/>
      <c r="D2001" s="105"/>
      <c r="E2001" s="51"/>
    </row>
    <row r="2002" spans="1:5" s="103" customFormat="1" ht="13.2" hidden="1" outlineLevel="1" x14ac:dyDescent="0.25">
      <c r="A2002" s="106" t="s">
        <v>4024</v>
      </c>
      <c r="B2002" s="106" t="s">
        <v>4025</v>
      </c>
      <c r="C2002" s="106"/>
      <c r="D2002" s="106"/>
      <c r="E2002" s="52"/>
    </row>
    <row r="2003" spans="1:5" s="103" customFormat="1" ht="13.2" hidden="1" outlineLevel="1" x14ac:dyDescent="0.25">
      <c r="A2003" s="106" t="s">
        <v>4026</v>
      </c>
      <c r="B2003" s="106" t="s">
        <v>4027</v>
      </c>
      <c r="C2003" s="106"/>
      <c r="D2003" s="106"/>
      <c r="E2003" s="52"/>
    </row>
    <row r="2004" spans="1:5" s="103" customFormat="1" ht="13.2" hidden="1" outlineLevel="1" x14ac:dyDescent="0.25">
      <c r="A2004" s="106" t="s">
        <v>4028</v>
      </c>
      <c r="B2004" s="106" t="s">
        <v>4029</v>
      </c>
      <c r="C2004" s="106"/>
      <c r="D2004" s="106"/>
      <c r="E2004" s="52"/>
    </row>
    <row r="2005" spans="1:5" s="103" customFormat="1" ht="13.2" hidden="1" outlineLevel="1" x14ac:dyDescent="0.25">
      <c r="A2005" s="106" t="s">
        <v>4030</v>
      </c>
      <c r="B2005" s="106" t="s">
        <v>4031</v>
      </c>
      <c r="C2005" s="106"/>
      <c r="D2005" s="106"/>
      <c r="E2005" s="52"/>
    </row>
    <row r="2006" spans="1:5" s="103" customFormat="1" ht="13.2" hidden="1" outlineLevel="1" x14ac:dyDescent="0.25">
      <c r="A2006" s="106" t="s">
        <v>4032</v>
      </c>
      <c r="B2006" s="106" t="s">
        <v>4033</v>
      </c>
      <c r="C2006" s="106"/>
      <c r="D2006" s="106"/>
      <c r="E2006" s="52"/>
    </row>
    <row r="2007" spans="1:5" s="103" customFormat="1" ht="13.2" hidden="1" outlineLevel="1" x14ac:dyDescent="0.25">
      <c r="A2007" s="106" t="s">
        <v>4034</v>
      </c>
      <c r="B2007" s="106" t="s">
        <v>4035</v>
      </c>
      <c r="C2007" s="106"/>
      <c r="D2007" s="106"/>
      <c r="E2007" s="52"/>
    </row>
    <row r="2008" spans="1:5" s="103" customFormat="1" ht="13.2" hidden="1" outlineLevel="1" x14ac:dyDescent="0.25">
      <c r="A2008" s="106" t="s">
        <v>4036</v>
      </c>
      <c r="B2008" s="106" t="s">
        <v>4037</v>
      </c>
      <c r="C2008" s="106"/>
      <c r="D2008" s="106"/>
      <c r="E2008" s="52"/>
    </row>
    <row r="2009" spans="1:5" s="103" customFormat="1" ht="13.2" hidden="1" outlineLevel="1" x14ac:dyDescent="0.25">
      <c r="A2009" s="106" t="s">
        <v>4038</v>
      </c>
      <c r="B2009" s="106" t="s">
        <v>4039</v>
      </c>
      <c r="C2009" s="106"/>
      <c r="D2009" s="106"/>
      <c r="E2009" s="52"/>
    </row>
    <row r="2010" spans="1:5" s="103" customFormat="1" ht="13.2" hidden="1" outlineLevel="1" x14ac:dyDescent="0.25">
      <c r="A2010" s="106" t="s">
        <v>4040</v>
      </c>
      <c r="B2010" s="106" t="s">
        <v>4041</v>
      </c>
      <c r="C2010" s="106"/>
      <c r="D2010" s="106"/>
      <c r="E2010" s="52"/>
    </row>
    <row r="2011" spans="1:5" s="103" customFormat="1" ht="13.2" hidden="1" outlineLevel="1" x14ac:dyDescent="0.25">
      <c r="A2011" s="106" t="s">
        <v>4042</v>
      </c>
      <c r="B2011" s="106" t="s">
        <v>4043</v>
      </c>
      <c r="C2011" s="106"/>
      <c r="D2011" s="106"/>
      <c r="E2011" s="52"/>
    </row>
    <row r="2012" spans="1:5" s="103" customFormat="1" ht="13.2" hidden="1" outlineLevel="1" x14ac:dyDescent="0.25">
      <c r="A2012" s="106" t="s">
        <v>4044</v>
      </c>
      <c r="B2012" s="106" t="s">
        <v>4045</v>
      </c>
      <c r="C2012" s="106"/>
      <c r="D2012" s="106"/>
      <c r="E2012" s="52"/>
    </row>
    <row r="2013" spans="1:5" s="103" customFormat="1" ht="13.2" hidden="1" outlineLevel="1" x14ac:dyDescent="0.25">
      <c r="A2013" s="106" t="s">
        <v>4046</v>
      </c>
      <c r="B2013" s="106" t="s">
        <v>4047</v>
      </c>
      <c r="C2013" s="106"/>
      <c r="D2013" s="106"/>
      <c r="E2013" s="52"/>
    </row>
    <row r="2014" spans="1:5" s="103" customFormat="1" ht="13.2" hidden="1" outlineLevel="1" x14ac:dyDescent="0.25">
      <c r="A2014" s="106" t="s">
        <v>4048</v>
      </c>
      <c r="B2014" s="106" t="s">
        <v>4049</v>
      </c>
      <c r="C2014" s="106"/>
      <c r="D2014" s="106"/>
      <c r="E2014" s="52"/>
    </row>
    <row r="2015" spans="1:5" s="103" customFormat="1" ht="13.2" hidden="1" outlineLevel="1" x14ac:dyDescent="0.25">
      <c r="A2015" s="106" t="s">
        <v>4050</v>
      </c>
      <c r="B2015" s="106" t="s">
        <v>4051</v>
      </c>
      <c r="C2015" s="106"/>
      <c r="D2015" s="106"/>
      <c r="E2015" s="52"/>
    </row>
    <row r="2016" spans="1:5" s="103" customFormat="1" ht="13.2" hidden="1" outlineLevel="1" x14ac:dyDescent="0.25">
      <c r="A2016" s="106" t="s">
        <v>4052</v>
      </c>
      <c r="B2016" s="106" t="s">
        <v>4053</v>
      </c>
      <c r="C2016" s="106"/>
      <c r="D2016" s="106"/>
      <c r="E2016" s="52"/>
    </row>
    <row r="2017" spans="1:5" s="103" customFormat="1" ht="13.2" hidden="1" outlineLevel="1" x14ac:dyDescent="0.25">
      <c r="A2017" s="106" t="s">
        <v>4054</v>
      </c>
      <c r="B2017" s="106" t="s">
        <v>4055</v>
      </c>
      <c r="C2017" s="106"/>
      <c r="D2017" s="106"/>
      <c r="E2017" s="52"/>
    </row>
    <row r="2018" spans="1:5" s="103" customFormat="1" ht="13.2" hidden="1" outlineLevel="1" x14ac:dyDescent="0.25">
      <c r="A2018" s="106" t="s">
        <v>4056</v>
      </c>
      <c r="B2018" s="106" t="s">
        <v>4057</v>
      </c>
      <c r="C2018" s="106"/>
      <c r="D2018" s="106"/>
      <c r="E2018" s="52"/>
    </row>
    <row r="2019" spans="1:5" s="103" customFormat="1" ht="13.2" hidden="1" outlineLevel="1" x14ac:dyDescent="0.25">
      <c r="A2019" s="106" t="s">
        <v>4058</v>
      </c>
      <c r="B2019" s="106" t="s">
        <v>4059</v>
      </c>
      <c r="C2019" s="106"/>
      <c r="D2019" s="106"/>
      <c r="E2019" s="52"/>
    </row>
    <row r="2020" spans="1:5" s="103" customFormat="1" ht="13.2" hidden="1" outlineLevel="1" x14ac:dyDescent="0.25">
      <c r="A2020" s="106" t="s">
        <v>4060</v>
      </c>
      <c r="B2020" s="106" t="s">
        <v>4061</v>
      </c>
      <c r="C2020" s="106"/>
      <c r="D2020" s="106"/>
      <c r="E2020" s="52"/>
    </row>
    <row r="2021" spans="1:5" s="103" customFormat="1" ht="13.2" hidden="1" outlineLevel="1" x14ac:dyDescent="0.25">
      <c r="A2021" s="106" t="s">
        <v>4062</v>
      </c>
      <c r="B2021" s="106" t="s">
        <v>4063</v>
      </c>
      <c r="C2021" s="106"/>
      <c r="D2021" s="106"/>
      <c r="E2021" s="52"/>
    </row>
    <row r="2022" spans="1:5" s="103" customFormat="1" ht="13.2" hidden="1" outlineLevel="1" x14ac:dyDescent="0.25">
      <c r="A2022" s="106" t="s">
        <v>4064</v>
      </c>
      <c r="B2022" s="106" t="s">
        <v>4065</v>
      </c>
      <c r="C2022" s="106"/>
      <c r="D2022" s="106"/>
      <c r="E2022" s="52"/>
    </row>
    <row r="2023" spans="1:5" s="103" customFormat="1" ht="13.2" hidden="1" outlineLevel="1" x14ac:dyDescent="0.25">
      <c r="A2023" s="106" t="s">
        <v>4066</v>
      </c>
      <c r="B2023" s="106" t="s">
        <v>4067</v>
      </c>
      <c r="C2023" s="106"/>
      <c r="D2023" s="106"/>
      <c r="E2023" s="52"/>
    </row>
    <row r="2024" spans="1:5" s="103" customFormat="1" ht="13.2" hidden="1" outlineLevel="1" x14ac:dyDescent="0.25">
      <c r="A2024" s="106" t="s">
        <v>4068</v>
      </c>
      <c r="B2024" s="106" t="s">
        <v>4069</v>
      </c>
      <c r="C2024" s="106"/>
      <c r="D2024" s="106"/>
      <c r="E2024" s="52"/>
    </row>
    <row r="2025" spans="1:5" s="103" customFormat="1" ht="13.2" hidden="1" outlineLevel="1" x14ac:dyDescent="0.25">
      <c r="A2025" s="106" t="s">
        <v>4070</v>
      </c>
      <c r="B2025" s="106" t="s">
        <v>4071</v>
      </c>
      <c r="C2025" s="106"/>
      <c r="D2025" s="106"/>
      <c r="E2025" s="52"/>
    </row>
    <row r="2026" spans="1:5" s="103" customFormat="1" ht="13.2" hidden="1" outlineLevel="1" x14ac:dyDescent="0.25">
      <c r="A2026" s="106" t="s">
        <v>4072</v>
      </c>
      <c r="B2026" s="106" t="s">
        <v>4073</v>
      </c>
      <c r="C2026" s="106"/>
      <c r="D2026" s="106"/>
      <c r="E2026" s="52"/>
    </row>
    <row r="2027" spans="1:5" s="103" customFormat="1" ht="13.2" hidden="1" outlineLevel="1" x14ac:dyDescent="0.25">
      <c r="A2027" s="106" t="s">
        <v>4074</v>
      </c>
      <c r="B2027" s="106" t="s">
        <v>4075</v>
      </c>
      <c r="C2027" s="106"/>
      <c r="D2027" s="106"/>
      <c r="E2027" s="52"/>
    </row>
    <row r="2028" spans="1:5" s="103" customFormat="1" ht="13.2" hidden="1" outlineLevel="1" x14ac:dyDescent="0.25">
      <c r="A2028" s="106" t="s">
        <v>4076</v>
      </c>
      <c r="B2028" s="106" t="s">
        <v>4077</v>
      </c>
      <c r="C2028" s="106"/>
      <c r="D2028" s="106"/>
      <c r="E2028" s="52"/>
    </row>
    <row r="2029" spans="1:5" s="103" customFormat="1" ht="13.2" hidden="1" outlineLevel="1" x14ac:dyDescent="0.25">
      <c r="A2029" s="106" t="s">
        <v>4078</v>
      </c>
      <c r="B2029" s="106" t="s">
        <v>4079</v>
      </c>
      <c r="C2029" s="106"/>
      <c r="D2029" s="106"/>
      <c r="E2029" s="52"/>
    </row>
    <row r="2030" spans="1:5" s="103" customFormat="1" ht="13.2" hidden="1" outlineLevel="1" x14ac:dyDescent="0.25">
      <c r="A2030" s="106" t="s">
        <v>4080</v>
      </c>
      <c r="B2030" s="106" t="s">
        <v>4081</v>
      </c>
      <c r="C2030" s="106"/>
      <c r="D2030" s="106"/>
      <c r="E2030" s="52"/>
    </row>
    <row r="2031" spans="1:5" s="103" customFormat="1" ht="13.2" hidden="1" outlineLevel="1" x14ac:dyDescent="0.25">
      <c r="A2031" s="106" t="s">
        <v>4082</v>
      </c>
      <c r="B2031" s="106" t="s">
        <v>4083</v>
      </c>
      <c r="C2031" s="106"/>
      <c r="D2031" s="106"/>
      <c r="E2031" s="52"/>
    </row>
    <row r="2032" spans="1:5" s="103" customFormat="1" ht="13.2" hidden="1" outlineLevel="1" x14ac:dyDescent="0.25">
      <c r="A2032" s="106" t="s">
        <v>4084</v>
      </c>
      <c r="B2032" s="106" t="s">
        <v>4085</v>
      </c>
      <c r="C2032" s="106"/>
      <c r="D2032" s="106"/>
      <c r="E2032" s="52"/>
    </row>
    <row r="2033" spans="1:5" s="103" customFormat="1" ht="13.2" hidden="1" outlineLevel="1" x14ac:dyDescent="0.25">
      <c r="A2033" s="106" t="s">
        <v>4086</v>
      </c>
      <c r="B2033" s="106" t="s">
        <v>4087</v>
      </c>
      <c r="C2033" s="106"/>
      <c r="D2033" s="106"/>
      <c r="E2033" s="52"/>
    </row>
    <row r="2034" spans="1:5" s="103" customFormat="1" ht="13.2" hidden="1" outlineLevel="1" x14ac:dyDescent="0.25">
      <c r="A2034" s="106" t="s">
        <v>4088</v>
      </c>
      <c r="B2034" s="106" t="s">
        <v>4089</v>
      </c>
      <c r="C2034" s="106"/>
      <c r="D2034" s="106"/>
      <c r="E2034" s="52"/>
    </row>
    <row r="2035" spans="1:5" s="103" customFormat="1" ht="13.2" hidden="1" outlineLevel="1" x14ac:dyDescent="0.25">
      <c r="A2035" s="106" t="s">
        <v>4090</v>
      </c>
      <c r="B2035" s="106" t="s">
        <v>4091</v>
      </c>
      <c r="C2035" s="106"/>
      <c r="D2035" s="106"/>
      <c r="E2035" s="52"/>
    </row>
    <row r="2036" spans="1:5" s="103" customFormat="1" ht="13.2" hidden="1" outlineLevel="1" x14ac:dyDescent="0.25">
      <c r="A2036" s="106" t="s">
        <v>4092</v>
      </c>
      <c r="B2036" s="106" t="s">
        <v>4093</v>
      </c>
      <c r="C2036" s="106"/>
      <c r="D2036" s="106"/>
      <c r="E2036" s="52"/>
    </row>
    <row r="2037" spans="1:5" s="103" customFormat="1" ht="13.2" hidden="1" outlineLevel="1" x14ac:dyDescent="0.25">
      <c r="A2037" s="106" t="s">
        <v>4094</v>
      </c>
      <c r="B2037" s="106" t="s">
        <v>4095</v>
      </c>
      <c r="C2037" s="106"/>
      <c r="D2037" s="106"/>
      <c r="E2037" s="52"/>
    </row>
    <row r="2038" spans="1:5" s="103" customFormat="1" ht="13.2" hidden="1" outlineLevel="1" x14ac:dyDescent="0.25">
      <c r="A2038" s="106" t="s">
        <v>4096</v>
      </c>
      <c r="B2038" s="106" t="s">
        <v>4097</v>
      </c>
      <c r="C2038" s="106"/>
      <c r="D2038" s="106"/>
      <c r="E2038" s="52"/>
    </row>
    <row r="2039" spans="1:5" s="103" customFormat="1" ht="13.2" hidden="1" outlineLevel="1" x14ac:dyDescent="0.25">
      <c r="A2039" s="106" t="s">
        <v>4098</v>
      </c>
      <c r="B2039" s="106" t="s">
        <v>4099</v>
      </c>
      <c r="C2039" s="106"/>
      <c r="D2039" s="106"/>
      <c r="E2039" s="52"/>
    </row>
    <row r="2040" spans="1:5" s="103" customFormat="1" ht="13.2" hidden="1" outlineLevel="1" x14ac:dyDescent="0.25">
      <c r="A2040" s="106" t="s">
        <v>4100</v>
      </c>
      <c r="B2040" s="106" t="s">
        <v>4101</v>
      </c>
      <c r="C2040" s="106"/>
      <c r="D2040" s="106"/>
      <c r="E2040" s="52"/>
    </row>
    <row r="2041" spans="1:5" s="103" customFormat="1" ht="13.2" hidden="1" outlineLevel="1" x14ac:dyDescent="0.25">
      <c r="A2041" s="106" t="s">
        <v>4102</v>
      </c>
      <c r="B2041" s="106" t="s">
        <v>4103</v>
      </c>
      <c r="C2041" s="106"/>
      <c r="D2041" s="106"/>
      <c r="E2041" s="52"/>
    </row>
    <row r="2042" spans="1:5" s="103" customFormat="1" ht="13.2" hidden="1" outlineLevel="1" x14ac:dyDescent="0.25">
      <c r="A2042" s="106" t="s">
        <v>4104</v>
      </c>
      <c r="B2042" s="106" t="s">
        <v>4105</v>
      </c>
      <c r="C2042" s="106"/>
      <c r="D2042" s="106"/>
      <c r="E2042" s="52"/>
    </row>
    <row r="2043" spans="1:5" s="103" customFormat="1" ht="13.2" hidden="1" outlineLevel="1" x14ac:dyDescent="0.25">
      <c r="A2043" s="106" t="s">
        <v>4106</v>
      </c>
      <c r="B2043" s="106" t="s">
        <v>4107</v>
      </c>
      <c r="C2043" s="106"/>
      <c r="D2043" s="106"/>
      <c r="E2043" s="52"/>
    </row>
    <row r="2044" spans="1:5" s="103" customFormat="1" ht="13.2" hidden="1" outlineLevel="1" x14ac:dyDescent="0.25">
      <c r="A2044" s="106" t="s">
        <v>4108</v>
      </c>
      <c r="B2044" s="106" t="s">
        <v>4109</v>
      </c>
      <c r="C2044" s="106"/>
      <c r="D2044" s="106"/>
      <c r="E2044" s="52"/>
    </row>
    <row r="2045" spans="1:5" s="103" customFormat="1" ht="13.2" hidden="1" outlineLevel="1" x14ac:dyDescent="0.25">
      <c r="A2045" s="106" t="s">
        <v>4110</v>
      </c>
      <c r="B2045" s="106" t="s">
        <v>4111</v>
      </c>
      <c r="C2045" s="106"/>
      <c r="D2045" s="106"/>
      <c r="E2045" s="52"/>
    </row>
    <row r="2046" spans="1:5" s="103" customFormat="1" ht="13.2" hidden="1" outlineLevel="1" x14ac:dyDescent="0.25">
      <c r="A2046" s="106" t="s">
        <v>4112</v>
      </c>
      <c r="B2046" s="106" t="s">
        <v>4113</v>
      </c>
      <c r="C2046" s="106"/>
      <c r="D2046" s="106"/>
      <c r="E2046" s="52"/>
    </row>
    <row r="2047" spans="1:5" s="103" customFormat="1" ht="13.2" hidden="1" outlineLevel="1" x14ac:dyDescent="0.25">
      <c r="A2047" s="106" t="s">
        <v>4114</v>
      </c>
      <c r="B2047" s="106" t="s">
        <v>4115</v>
      </c>
      <c r="C2047" s="106"/>
      <c r="D2047" s="106"/>
      <c r="E2047" s="52"/>
    </row>
    <row r="2048" spans="1:5" s="103" customFormat="1" ht="13.2" hidden="1" outlineLevel="1" x14ac:dyDescent="0.25">
      <c r="A2048" s="106" t="s">
        <v>4116</v>
      </c>
      <c r="B2048" s="106" t="s">
        <v>4117</v>
      </c>
      <c r="C2048" s="106"/>
      <c r="D2048" s="106"/>
      <c r="E2048" s="52"/>
    </row>
    <row r="2049" spans="1:5" s="103" customFormat="1" ht="13.2" hidden="1" outlineLevel="1" x14ac:dyDescent="0.25">
      <c r="A2049" s="106" t="s">
        <v>4118</v>
      </c>
      <c r="B2049" s="106" t="s">
        <v>4119</v>
      </c>
      <c r="C2049" s="106"/>
      <c r="D2049" s="106"/>
      <c r="E2049" s="52"/>
    </row>
    <row r="2050" spans="1:5" s="103" customFormat="1" ht="13.2" hidden="1" outlineLevel="1" x14ac:dyDescent="0.25">
      <c r="A2050" s="106" t="s">
        <v>4120</v>
      </c>
      <c r="B2050" s="106" t="s">
        <v>4121</v>
      </c>
      <c r="C2050" s="106"/>
      <c r="D2050" s="106"/>
      <c r="E2050" s="52"/>
    </row>
    <row r="2051" spans="1:5" s="103" customFormat="1" ht="13.2" hidden="1" outlineLevel="1" x14ac:dyDescent="0.25">
      <c r="A2051" s="106" t="s">
        <v>4122</v>
      </c>
      <c r="B2051" s="106" t="s">
        <v>4123</v>
      </c>
      <c r="C2051" s="106"/>
      <c r="D2051" s="106"/>
      <c r="E2051" s="52"/>
    </row>
    <row r="2052" spans="1:5" s="103" customFormat="1" ht="13.2" hidden="1" outlineLevel="1" x14ac:dyDescent="0.25">
      <c r="A2052" s="106" t="s">
        <v>4124</v>
      </c>
      <c r="B2052" s="106" t="s">
        <v>4125</v>
      </c>
      <c r="C2052" s="106"/>
      <c r="D2052" s="106"/>
      <c r="E2052" s="52"/>
    </row>
    <row r="2053" spans="1:5" s="103" customFormat="1" ht="13.2" hidden="1" outlineLevel="1" x14ac:dyDescent="0.25">
      <c r="A2053" s="106" t="s">
        <v>4126</v>
      </c>
      <c r="B2053" s="106" t="s">
        <v>4127</v>
      </c>
      <c r="C2053" s="106"/>
      <c r="D2053" s="106"/>
      <c r="E2053" s="52"/>
    </row>
    <row r="2054" spans="1:5" s="103" customFormat="1" ht="13.2" hidden="1" outlineLevel="1" x14ac:dyDescent="0.25">
      <c r="A2054" s="106" t="s">
        <v>4128</v>
      </c>
      <c r="B2054" s="106" t="s">
        <v>4129</v>
      </c>
      <c r="C2054" s="106"/>
      <c r="D2054" s="106"/>
      <c r="E2054" s="52"/>
    </row>
    <row r="2055" spans="1:5" s="103" customFormat="1" ht="13.2" hidden="1" outlineLevel="1" x14ac:dyDescent="0.25">
      <c r="A2055" s="106" t="s">
        <v>4130</v>
      </c>
      <c r="B2055" s="106" t="s">
        <v>4131</v>
      </c>
      <c r="C2055" s="106"/>
      <c r="D2055" s="106"/>
      <c r="E2055" s="52"/>
    </row>
    <row r="2056" spans="1:5" s="103" customFormat="1" ht="13.2" hidden="1" outlineLevel="1" x14ac:dyDescent="0.25">
      <c r="A2056" s="106" t="s">
        <v>4132</v>
      </c>
      <c r="B2056" s="106" t="s">
        <v>4133</v>
      </c>
      <c r="C2056" s="106"/>
      <c r="D2056" s="106"/>
      <c r="E2056" s="52"/>
    </row>
    <row r="2057" spans="1:5" s="103" customFormat="1" ht="13.2" hidden="1" outlineLevel="1" x14ac:dyDescent="0.25">
      <c r="A2057" s="106" t="s">
        <v>4134</v>
      </c>
      <c r="B2057" s="106" t="s">
        <v>4135</v>
      </c>
      <c r="C2057" s="106"/>
      <c r="D2057" s="106"/>
      <c r="E2057" s="52"/>
    </row>
    <row r="2058" spans="1:5" s="103" customFormat="1" ht="13.2" hidden="1" outlineLevel="1" x14ac:dyDescent="0.25">
      <c r="A2058" s="106" t="s">
        <v>4136</v>
      </c>
      <c r="B2058" s="106" t="s">
        <v>4137</v>
      </c>
      <c r="C2058" s="106"/>
      <c r="D2058" s="106"/>
      <c r="E2058" s="52"/>
    </row>
    <row r="2059" spans="1:5" s="103" customFormat="1" ht="13.2" hidden="1" outlineLevel="1" x14ac:dyDescent="0.25">
      <c r="A2059" s="106" t="s">
        <v>4138</v>
      </c>
      <c r="B2059" s="106" t="s">
        <v>4139</v>
      </c>
      <c r="C2059" s="106"/>
      <c r="D2059" s="106"/>
      <c r="E2059" s="52"/>
    </row>
    <row r="2060" spans="1:5" s="103" customFormat="1" ht="13.2" hidden="1" outlineLevel="1" x14ac:dyDescent="0.25">
      <c r="A2060" s="106" t="s">
        <v>4140</v>
      </c>
      <c r="B2060" s="106" t="s">
        <v>4141</v>
      </c>
      <c r="C2060" s="106"/>
      <c r="D2060" s="106"/>
      <c r="E2060" s="52"/>
    </row>
    <row r="2061" spans="1:5" s="103" customFormat="1" ht="13.2" hidden="1" outlineLevel="1" x14ac:dyDescent="0.25">
      <c r="A2061" s="106" t="s">
        <v>4142</v>
      </c>
      <c r="B2061" s="106" t="s">
        <v>4143</v>
      </c>
      <c r="C2061" s="106"/>
      <c r="D2061" s="106"/>
      <c r="E2061" s="52"/>
    </row>
    <row r="2062" spans="1:5" s="103" customFormat="1" ht="13.2" hidden="1" outlineLevel="1" x14ac:dyDescent="0.25">
      <c r="A2062" s="106" t="s">
        <v>4144</v>
      </c>
      <c r="B2062" s="106" t="s">
        <v>4145</v>
      </c>
      <c r="C2062" s="106"/>
      <c r="D2062" s="106"/>
      <c r="E2062" s="52"/>
    </row>
    <row r="2063" spans="1:5" s="103" customFormat="1" ht="13.2" hidden="1" outlineLevel="1" x14ac:dyDescent="0.25">
      <c r="A2063" s="106" t="s">
        <v>4146</v>
      </c>
      <c r="B2063" s="106" t="s">
        <v>4147</v>
      </c>
      <c r="C2063" s="106"/>
      <c r="D2063" s="106"/>
      <c r="E2063" s="52"/>
    </row>
    <row r="2064" spans="1:5" s="103" customFormat="1" ht="13.2" hidden="1" outlineLevel="1" x14ac:dyDescent="0.25">
      <c r="A2064" s="106" t="s">
        <v>4148</v>
      </c>
      <c r="B2064" s="106" t="s">
        <v>4149</v>
      </c>
      <c r="C2064" s="106"/>
      <c r="D2064" s="106"/>
      <c r="E2064" s="52"/>
    </row>
    <row r="2065" spans="1:5" s="103" customFormat="1" ht="13.2" hidden="1" outlineLevel="1" x14ac:dyDescent="0.25">
      <c r="A2065" s="106" t="s">
        <v>4150</v>
      </c>
      <c r="B2065" s="106" t="s">
        <v>4151</v>
      </c>
      <c r="C2065" s="106"/>
      <c r="D2065" s="106"/>
      <c r="E2065" s="52"/>
    </row>
    <row r="2066" spans="1:5" s="103" customFormat="1" ht="13.2" hidden="1" outlineLevel="1" x14ac:dyDescent="0.25">
      <c r="A2066" s="106" t="s">
        <v>4152</v>
      </c>
      <c r="B2066" s="106" t="s">
        <v>4153</v>
      </c>
      <c r="C2066" s="106"/>
      <c r="D2066" s="106"/>
      <c r="E2066" s="52"/>
    </row>
    <row r="2067" spans="1:5" s="103" customFormat="1" ht="13.2" hidden="1" outlineLevel="1" x14ac:dyDescent="0.25">
      <c r="A2067" s="106" t="s">
        <v>4154</v>
      </c>
      <c r="B2067" s="106" t="s">
        <v>4155</v>
      </c>
      <c r="C2067" s="106"/>
      <c r="D2067" s="106"/>
      <c r="E2067" s="52"/>
    </row>
    <row r="2068" spans="1:5" s="103" customFormat="1" ht="13.2" hidden="1" outlineLevel="1" x14ac:dyDescent="0.25">
      <c r="A2068" s="106" t="s">
        <v>4156</v>
      </c>
      <c r="B2068" s="106" t="s">
        <v>4157</v>
      </c>
      <c r="C2068" s="106"/>
      <c r="D2068" s="106"/>
      <c r="E2068" s="52"/>
    </row>
    <row r="2069" spans="1:5" s="103" customFormat="1" ht="13.2" hidden="1" outlineLevel="1" x14ac:dyDescent="0.25">
      <c r="A2069" s="106" t="s">
        <v>4158</v>
      </c>
      <c r="B2069" s="106" t="s">
        <v>4159</v>
      </c>
      <c r="C2069" s="106"/>
      <c r="D2069" s="106"/>
      <c r="E2069" s="52"/>
    </row>
    <row r="2070" spans="1:5" s="103" customFormat="1" ht="13.2" hidden="1" outlineLevel="1" x14ac:dyDescent="0.25">
      <c r="A2070" s="106" t="s">
        <v>4160</v>
      </c>
      <c r="B2070" s="106" t="s">
        <v>4161</v>
      </c>
      <c r="C2070" s="106"/>
      <c r="D2070" s="106"/>
      <c r="E2070" s="52"/>
    </row>
    <row r="2071" spans="1:5" s="103" customFormat="1" ht="13.2" hidden="1" outlineLevel="1" x14ac:dyDescent="0.25">
      <c r="A2071" s="106" t="s">
        <v>4162</v>
      </c>
      <c r="B2071" s="106" t="s">
        <v>4163</v>
      </c>
      <c r="C2071" s="106"/>
      <c r="D2071" s="106"/>
      <c r="E2071" s="52"/>
    </row>
    <row r="2072" spans="1:5" s="103" customFormat="1" ht="13.2" hidden="1" outlineLevel="1" x14ac:dyDescent="0.25">
      <c r="A2072" s="106" t="s">
        <v>4164</v>
      </c>
      <c r="B2072" s="106" t="s">
        <v>4165</v>
      </c>
      <c r="C2072" s="106"/>
      <c r="D2072" s="106"/>
      <c r="E2072" s="52"/>
    </row>
    <row r="2073" spans="1:5" s="103" customFormat="1" ht="13.2" hidden="1" outlineLevel="1" x14ac:dyDescent="0.25">
      <c r="A2073" s="106" t="s">
        <v>4166</v>
      </c>
      <c r="B2073" s="106" t="s">
        <v>4167</v>
      </c>
      <c r="C2073" s="106"/>
      <c r="D2073" s="106"/>
      <c r="E2073" s="52"/>
    </row>
    <row r="2074" spans="1:5" s="103" customFormat="1" ht="13.2" hidden="1" outlineLevel="1" x14ac:dyDescent="0.25">
      <c r="A2074" s="106" t="s">
        <v>4168</v>
      </c>
      <c r="B2074" s="106" t="s">
        <v>4169</v>
      </c>
      <c r="C2074" s="106"/>
      <c r="D2074" s="106"/>
      <c r="E2074" s="52"/>
    </row>
    <row r="2075" spans="1:5" s="103" customFormat="1" ht="13.2" hidden="1" outlineLevel="1" x14ac:dyDescent="0.25">
      <c r="A2075" s="106" t="s">
        <v>4170</v>
      </c>
      <c r="B2075" s="106" t="s">
        <v>4171</v>
      </c>
      <c r="C2075" s="106"/>
      <c r="D2075" s="106"/>
      <c r="E2075" s="52"/>
    </row>
    <row r="2076" spans="1:5" s="103" customFormat="1" ht="13.2" hidden="1" outlineLevel="1" x14ac:dyDescent="0.25">
      <c r="A2076" s="106" t="s">
        <v>4172</v>
      </c>
      <c r="B2076" s="106" t="s">
        <v>4173</v>
      </c>
      <c r="C2076" s="106"/>
      <c r="D2076" s="106"/>
      <c r="E2076" s="52"/>
    </row>
    <row r="2077" spans="1:5" s="103" customFormat="1" ht="13.2" hidden="1" outlineLevel="1" x14ac:dyDescent="0.25">
      <c r="A2077" s="106" t="s">
        <v>4174</v>
      </c>
      <c r="B2077" s="106" t="s">
        <v>4175</v>
      </c>
      <c r="C2077" s="106"/>
      <c r="D2077" s="106"/>
      <c r="E2077" s="52"/>
    </row>
    <row r="2078" spans="1:5" s="103" customFormat="1" ht="13.2" hidden="1" outlineLevel="1" x14ac:dyDescent="0.25">
      <c r="A2078" s="106" t="s">
        <v>4176</v>
      </c>
      <c r="B2078" s="106" t="s">
        <v>4177</v>
      </c>
      <c r="C2078" s="106"/>
      <c r="D2078" s="106"/>
      <c r="E2078" s="52"/>
    </row>
    <row r="2079" spans="1:5" s="103" customFormat="1" ht="13.2" hidden="1" outlineLevel="1" x14ac:dyDescent="0.25">
      <c r="A2079" s="106" t="s">
        <v>4178</v>
      </c>
      <c r="B2079" s="106" t="s">
        <v>4179</v>
      </c>
      <c r="C2079" s="106"/>
      <c r="D2079" s="106"/>
      <c r="E2079" s="52"/>
    </row>
    <row r="2080" spans="1:5" s="103" customFormat="1" ht="13.2" hidden="1" outlineLevel="1" x14ac:dyDescent="0.25">
      <c r="A2080" s="106" t="s">
        <v>4180</v>
      </c>
      <c r="B2080" s="106" t="s">
        <v>4181</v>
      </c>
      <c r="C2080" s="106"/>
      <c r="D2080" s="106"/>
      <c r="E2080" s="52"/>
    </row>
    <row r="2081" spans="1:5" s="103" customFormat="1" ht="13.2" hidden="1" outlineLevel="1" x14ac:dyDescent="0.25">
      <c r="A2081" s="106" t="s">
        <v>4182</v>
      </c>
      <c r="B2081" s="106" t="s">
        <v>4183</v>
      </c>
      <c r="C2081" s="106"/>
      <c r="D2081" s="106"/>
      <c r="E2081" s="52"/>
    </row>
    <row r="2082" spans="1:5" s="103" customFormat="1" ht="13.2" hidden="1" outlineLevel="1" x14ac:dyDescent="0.25">
      <c r="A2082" s="106" t="s">
        <v>4184</v>
      </c>
      <c r="B2082" s="106" t="s">
        <v>4185</v>
      </c>
      <c r="C2082" s="106"/>
      <c r="D2082" s="106"/>
      <c r="E2082" s="52"/>
    </row>
    <row r="2083" spans="1:5" s="103" customFormat="1" ht="13.2" hidden="1" outlineLevel="1" x14ac:dyDescent="0.25">
      <c r="A2083" s="106" t="s">
        <v>4186</v>
      </c>
      <c r="B2083" s="106" t="s">
        <v>4187</v>
      </c>
      <c r="C2083" s="106"/>
      <c r="D2083" s="106"/>
      <c r="E2083" s="52"/>
    </row>
    <row r="2084" spans="1:5" s="103" customFormat="1" ht="13.2" hidden="1" outlineLevel="1" x14ac:dyDescent="0.25">
      <c r="A2084" s="106" t="s">
        <v>4188</v>
      </c>
      <c r="B2084" s="106" t="s">
        <v>4189</v>
      </c>
      <c r="C2084" s="106"/>
      <c r="D2084" s="106"/>
      <c r="E2084" s="52"/>
    </row>
    <row r="2085" spans="1:5" s="103" customFormat="1" ht="13.2" hidden="1" outlineLevel="1" x14ac:dyDescent="0.25">
      <c r="A2085" s="106" t="s">
        <v>4190</v>
      </c>
      <c r="B2085" s="106" t="s">
        <v>4191</v>
      </c>
      <c r="C2085" s="106"/>
      <c r="D2085" s="106"/>
      <c r="E2085" s="52"/>
    </row>
    <row r="2086" spans="1:5" s="103" customFormat="1" ht="13.2" hidden="1" outlineLevel="1" x14ac:dyDescent="0.25">
      <c r="A2086" s="106" t="s">
        <v>4192</v>
      </c>
      <c r="B2086" s="106" t="s">
        <v>4193</v>
      </c>
      <c r="C2086" s="106"/>
      <c r="D2086" s="106"/>
      <c r="E2086" s="52"/>
    </row>
    <row r="2087" spans="1:5" s="103" customFormat="1" ht="13.2" hidden="1" outlineLevel="1" x14ac:dyDescent="0.25">
      <c r="A2087" s="106" t="s">
        <v>4194</v>
      </c>
      <c r="B2087" s="106" t="s">
        <v>4195</v>
      </c>
      <c r="C2087" s="106"/>
      <c r="D2087" s="106"/>
      <c r="E2087" s="52"/>
    </row>
    <row r="2088" spans="1:5" s="103" customFormat="1" ht="13.2" hidden="1" outlineLevel="1" x14ac:dyDescent="0.25">
      <c r="A2088" s="106" t="s">
        <v>4196</v>
      </c>
      <c r="B2088" s="106" t="s">
        <v>4197</v>
      </c>
      <c r="C2088" s="106"/>
      <c r="D2088" s="106"/>
      <c r="E2088" s="52"/>
    </row>
    <row r="2089" spans="1:5" s="103" customFormat="1" ht="13.2" hidden="1" outlineLevel="1" x14ac:dyDescent="0.25">
      <c r="A2089" s="106" t="s">
        <v>4198</v>
      </c>
      <c r="B2089" s="106" t="s">
        <v>4199</v>
      </c>
      <c r="C2089" s="106"/>
      <c r="D2089" s="106"/>
      <c r="E2089" s="52"/>
    </row>
    <row r="2090" spans="1:5" s="103" customFormat="1" ht="13.2" hidden="1" outlineLevel="1" x14ac:dyDescent="0.25">
      <c r="A2090" s="106" t="s">
        <v>4200</v>
      </c>
      <c r="B2090" s="106" t="s">
        <v>4201</v>
      </c>
      <c r="C2090" s="106"/>
      <c r="D2090" s="106"/>
      <c r="E2090" s="52"/>
    </row>
    <row r="2091" spans="1:5" s="103" customFormat="1" ht="13.2" hidden="1" outlineLevel="1" x14ac:dyDescent="0.25">
      <c r="A2091" s="106" t="s">
        <v>4202</v>
      </c>
      <c r="B2091" s="106" t="s">
        <v>4203</v>
      </c>
      <c r="C2091" s="106"/>
      <c r="D2091" s="106"/>
      <c r="E2091" s="52"/>
    </row>
    <row r="2092" spans="1:5" s="103" customFormat="1" ht="13.2" hidden="1" outlineLevel="1" x14ac:dyDescent="0.25">
      <c r="A2092" s="106" t="s">
        <v>4204</v>
      </c>
      <c r="B2092" s="106" t="s">
        <v>4205</v>
      </c>
      <c r="C2092" s="106"/>
      <c r="D2092" s="106"/>
      <c r="E2092" s="52"/>
    </row>
    <row r="2093" spans="1:5" s="103" customFormat="1" ht="13.2" hidden="1" outlineLevel="1" x14ac:dyDescent="0.25">
      <c r="A2093" s="106" t="s">
        <v>4206</v>
      </c>
      <c r="B2093" s="106" t="s">
        <v>4207</v>
      </c>
      <c r="C2093" s="106"/>
      <c r="D2093" s="106"/>
      <c r="E2093" s="52"/>
    </row>
    <row r="2094" spans="1:5" s="103" customFormat="1" ht="13.2" hidden="1" outlineLevel="1" x14ac:dyDescent="0.25">
      <c r="A2094" s="106" t="s">
        <v>4208</v>
      </c>
      <c r="B2094" s="106" t="s">
        <v>4209</v>
      </c>
      <c r="C2094" s="106"/>
      <c r="D2094" s="106"/>
      <c r="E2094" s="52"/>
    </row>
    <row r="2095" spans="1:5" s="103" customFormat="1" ht="13.2" hidden="1" outlineLevel="1" x14ac:dyDescent="0.25">
      <c r="A2095" s="106" t="s">
        <v>4210</v>
      </c>
      <c r="B2095" s="106" t="s">
        <v>4211</v>
      </c>
      <c r="C2095" s="106"/>
      <c r="D2095" s="106"/>
      <c r="E2095" s="52"/>
    </row>
    <row r="2096" spans="1:5" s="103" customFormat="1" ht="13.2" hidden="1" outlineLevel="1" x14ac:dyDescent="0.25">
      <c r="A2096" s="106" t="s">
        <v>4212</v>
      </c>
      <c r="B2096" s="106" t="s">
        <v>4213</v>
      </c>
      <c r="C2096" s="106"/>
      <c r="D2096" s="106"/>
      <c r="E2096" s="52"/>
    </row>
    <row r="2097" spans="1:5" s="103" customFormat="1" ht="13.2" hidden="1" outlineLevel="1" x14ac:dyDescent="0.25">
      <c r="A2097" s="106" t="s">
        <v>4214</v>
      </c>
      <c r="B2097" s="106" t="s">
        <v>4215</v>
      </c>
      <c r="C2097" s="106"/>
      <c r="D2097" s="106"/>
      <c r="E2097" s="52"/>
    </row>
    <row r="2098" spans="1:5" s="103" customFormat="1" ht="13.2" hidden="1" outlineLevel="1" x14ac:dyDescent="0.25">
      <c r="A2098" s="106" t="s">
        <v>4216</v>
      </c>
      <c r="B2098" s="106" t="s">
        <v>4217</v>
      </c>
      <c r="C2098" s="106"/>
      <c r="D2098" s="106"/>
      <c r="E2098" s="52"/>
    </row>
    <row r="2099" spans="1:5" s="103" customFormat="1" ht="13.2" hidden="1" outlineLevel="1" x14ac:dyDescent="0.25">
      <c r="A2099" s="106" t="s">
        <v>4218</v>
      </c>
      <c r="B2099" s="106" t="s">
        <v>4219</v>
      </c>
      <c r="C2099" s="106"/>
      <c r="D2099" s="106"/>
      <c r="E2099" s="52"/>
    </row>
    <row r="2100" spans="1:5" s="103" customFormat="1" ht="13.2" hidden="1" outlineLevel="1" x14ac:dyDescent="0.25">
      <c r="A2100" s="106" t="s">
        <v>4220</v>
      </c>
      <c r="B2100" s="106" t="s">
        <v>4221</v>
      </c>
      <c r="C2100" s="106"/>
      <c r="D2100" s="106"/>
      <c r="E2100" s="52"/>
    </row>
    <row r="2101" spans="1:5" s="103" customFormat="1" ht="13.2" hidden="1" outlineLevel="1" x14ac:dyDescent="0.25">
      <c r="A2101" s="106" t="s">
        <v>4222</v>
      </c>
      <c r="B2101" s="106" t="s">
        <v>4223</v>
      </c>
      <c r="C2101" s="106"/>
      <c r="D2101" s="106"/>
      <c r="E2101" s="52"/>
    </row>
    <row r="2102" spans="1:5" s="103" customFormat="1" ht="13.2" hidden="1" outlineLevel="1" x14ac:dyDescent="0.25">
      <c r="A2102" s="106" t="s">
        <v>4224</v>
      </c>
      <c r="B2102" s="106" t="s">
        <v>4225</v>
      </c>
      <c r="C2102" s="106"/>
      <c r="D2102" s="106"/>
      <c r="E2102" s="52"/>
    </row>
    <row r="2103" spans="1:5" s="103" customFormat="1" ht="13.2" hidden="1" outlineLevel="1" x14ac:dyDescent="0.25">
      <c r="A2103" s="106" t="s">
        <v>4226</v>
      </c>
      <c r="B2103" s="106" t="s">
        <v>4227</v>
      </c>
      <c r="C2103" s="106"/>
      <c r="D2103" s="106"/>
      <c r="E2103" s="52"/>
    </row>
    <row r="2104" spans="1:5" s="103" customFormat="1" ht="13.2" hidden="1" outlineLevel="1" x14ac:dyDescent="0.25">
      <c r="A2104" s="106" t="s">
        <v>4228</v>
      </c>
      <c r="B2104" s="106" t="s">
        <v>4229</v>
      </c>
      <c r="C2104" s="106"/>
      <c r="D2104" s="106"/>
      <c r="E2104" s="52"/>
    </row>
    <row r="2105" spans="1:5" s="103" customFormat="1" ht="13.2" hidden="1" outlineLevel="1" x14ac:dyDescent="0.25">
      <c r="A2105" s="106" t="s">
        <v>4230</v>
      </c>
      <c r="B2105" s="106" t="s">
        <v>4231</v>
      </c>
      <c r="C2105" s="106"/>
      <c r="D2105" s="106"/>
      <c r="E2105" s="52"/>
    </row>
    <row r="2106" spans="1:5" s="103" customFormat="1" ht="13.2" hidden="1" outlineLevel="1" x14ac:dyDescent="0.25">
      <c r="A2106" s="106" t="s">
        <v>4232</v>
      </c>
      <c r="B2106" s="106" t="s">
        <v>4233</v>
      </c>
      <c r="C2106" s="106"/>
      <c r="D2106" s="106"/>
      <c r="E2106" s="52"/>
    </row>
    <row r="2107" spans="1:5" s="103" customFormat="1" ht="13.2" hidden="1" outlineLevel="1" x14ac:dyDescent="0.25">
      <c r="A2107" s="106" t="s">
        <v>4234</v>
      </c>
      <c r="B2107" s="106" t="s">
        <v>4235</v>
      </c>
      <c r="C2107" s="106"/>
      <c r="D2107" s="106"/>
      <c r="E2107" s="52"/>
    </row>
    <row r="2108" spans="1:5" s="103" customFormat="1" ht="13.2" hidden="1" outlineLevel="1" x14ac:dyDescent="0.25">
      <c r="A2108" s="106" t="s">
        <v>4236</v>
      </c>
      <c r="B2108" s="106" t="s">
        <v>4237</v>
      </c>
      <c r="C2108" s="106"/>
      <c r="D2108" s="106"/>
      <c r="E2108" s="52"/>
    </row>
    <row r="2109" spans="1:5" s="103" customFormat="1" ht="13.2" hidden="1" outlineLevel="1" x14ac:dyDescent="0.25">
      <c r="A2109" s="106" t="s">
        <v>4238</v>
      </c>
      <c r="B2109" s="106" t="s">
        <v>4239</v>
      </c>
      <c r="C2109" s="106"/>
      <c r="D2109" s="106"/>
      <c r="E2109" s="52"/>
    </row>
    <row r="2110" spans="1:5" s="103" customFormat="1" ht="13.2" hidden="1" outlineLevel="1" x14ac:dyDescent="0.25">
      <c r="A2110" s="106" t="s">
        <v>4240</v>
      </c>
      <c r="B2110" s="106" t="s">
        <v>4241</v>
      </c>
      <c r="C2110" s="106"/>
      <c r="D2110" s="106"/>
      <c r="E2110" s="52"/>
    </row>
    <row r="2111" spans="1:5" s="103" customFormat="1" ht="13.2" hidden="1" outlineLevel="1" x14ac:dyDescent="0.25">
      <c r="A2111" s="106" t="s">
        <v>4242</v>
      </c>
      <c r="B2111" s="106" t="s">
        <v>4243</v>
      </c>
      <c r="C2111" s="106"/>
      <c r="D2111" s="106"/>
      <c r="E2111" s="52"/>
    </row>
    <row r="2112" spans="1:5" s="103" customFormat="1" ht="13.2" hidden="1" outlineLevel="1" x14ac:dyDescent="0.25">
      <c r="A2112" s="106" t="s">
        <v>4244</v>
      </c>
      <c r="B2112" s="106" t="s">
        <v>4245</v>
      </c>
      <c r="C2112" s="106"/>
      <c r="D2112" s="106"/>
      <c r="E2112" s="52"/>
    </row>
    <row r="2113" spans="1:5" s="103" customFormat="1" ht="13.2" hidden="1" outlineLevel="1" x14ac:dyDescent="0.25">
      <c r="A2113" s="106" t="s">
        <v>4246</v>
      </c>
      <c r="B2113" s="106" t="s">
        <v>4247</v>
      </c>
      <c r="C2113" s="106"/>
      <c r="D2113" s="106"/>
      <c r="E2113" s="52"/>
    </row>
    <row r="2114" spans="1:5" s="103" customFormat="1" ht="13.2" hidden="1" outlineLevel="1" x14ac:dyDescent="0.25">
      <c r="A2114" s="106" t="s">
        <v>4248</v>
      </c>
      <c r="B2114" s="106" t="s">
        <v>4249</v>
      </c>
      <c r="C2114" s="106"/>
      <c r="D2114" s="106"/>
      <c r="E2114" s="52"/>
    </row>
    <row r="2115" spans="1:5" s="103" customFormat="1" ht="13.2" hidden="1" outlineLevel="1" x14ac:dyDescent="0.25">
      <c r="A2115" s="106" t="s">
        <v>4250</v>
      </c>
      <c r="B2115" s="106" t="s">
        <v>4251</v>
      </c>
      <c r="C2115" s="106"/>
      <c r="D2115" s="106"/>
      <c r="E2115" s="52"/>
    </row>
    <row r="2116" spans="1:5" s="103" customFormat="1" ht="13.2" hidden="1" outlineLevel="1" x14ac:dyDescent="0.25">
      <c r="A2116" s="106" t="s">
        <v>4252</v>
      </c>
      <c r="B2116" s="106" t="s">
        <v>4253</v>
      </c>
      <c r="C2116" s="106"/>
      <c r="D2116" s="106"/>
      <c r="E2116" s="52"/>
    </row>
    <row r="2117" spans="1:5" s="103" customFormat="1" ht="13.2" hidden="1" outlineLevel="1" x14ac:dyDescent="0.25">
      <c r="A2117" s="106" t="s">
        <v>4254</v>
      </c>
      <c r="B2117" s="106" t="s">
        <v>4255</v>
      </c>
      <c r="C2117" s="106"/>
      <c r="D2117" s="106"/>
      <c r="E2117" s="52"/>
    </row>
    <row r="2118" spans="1:5" s="103" customFormat="1" ht="13.2" hidden="1" outlineLevel="1" x14ac:dyDescent="0.25">
      <c r="A2118" s="106" t="s">
        <v>4256</v>
      </c>
      <c r="B2118" s="106" t="s">
        <v>4257</v>
      </c>
      <c r="C2118" s="106"/>
      <c r="D2118" s="106"/>
      <c r="E2118" s="52"/>
    </row>
    <row r="2119" spans="1:5" s="103" customFormat="1" ht="13.2" hidden="1" outlineLevel="1" x14ac:dyDescent="0.25">
      <c r="A2119" s="106" t="s">
        <v>4258</v>
      </c>
      <c r="B2119" s="106" t="s">
        <v>4259</v>
      </c>
      <c r="C2119" s="106"/>
      <c r="D2119" s="106"/>
      <c r="E2119" s="52"/>
    </row>
    <row r="2120" spans="1:5" s="103" customFormat="1" ht="13.2" hidden="1" outlineLevel="1" x14ac:dyDescent="0.25">
      <c r="A2120" s="106" t="s">
        <v>4260</v>
      </c>
      <c r="B2120" s="106" t="s">
        <v>4261</v>
      </c>
      <c r="C2120" s="106"/>
      <c r="D2120" s="106"/>
      <c r="E2120" s="52"/>
    </row>
    <row r="2121" spans="1:5" s="103" customFormat="1" ht="13.2" hidden="1" outlineLevel="1" x14ac:dyDescent="0.25">
      <c r="A2121" s="106" t="s">
        <v>4262</v>
      </c>
      <c r="B2121" s="106" t="s">
        <v>4263</v>
      </c>
      <c r="C2121" s="106"/>
      <c r="D2121" s="106"/>
      <c r="E2121" s="52"/>
    </row>
    <row r="2122" spans="1:5" s="103" customFormat="1" ht="13.2" hidden="1" outlineLevel="1" x14ac:dyDescent="0.25">
      <c r="A2122" s="106" t="s">
        <v>4264</v>
      </c>
      <c r="B2122" s="106" t="s">
        <v>4265</v>
      </c>
      <c r="C2122" s="106"/>
      <c r="D2122" s="106"/>
      <c r="E2122" s="52"/>
    </row>
    <row r="2123" spans="1:5" s="103" customFormat="1" ht="13.2" hidden="1" outlineLevel="1" x14ac:dyDescent="0.25">
      <c r="A2123" s="106" t="s">
        <v>4266</v>
      </c>
      <c r="B2123" s="106" t="s">
        <v>4267</v>
      </c>
      <c r="C2123" s="106"/>
      <c r="D2123" s="106"/>
      <c r="E2123" s="52"/>
    </row>
    <row r="2124" spans="1:5" s="103" customFormat="1" ht="13.2" hidden="1" outlineLevel="1" x14ac:dyDescent="0.25">
      <c r="A2124" s="106" t="s">
        <v>4268</v>
      </c>
      <c r="B2124" s="106" t="s">
        <v>4269</v>
      </c>
      <c r="C2124" s="106"/>
      <c r="D2124" s="106"/>
      <c r="E2124" s="52"/>
    </row>
    <row r="2125" spans="1:5" s="103" customFormat="1" ht="13.2" hidden="1" outlineLevel="1" x14ac:dyDescent="0.25">
      <c r="A2125" s="106" t="s">
        <v>4270</v>
      </c>
      <c r="B2125" s="106" t="s">
        <v>4271</v>
      </c>
      <c r="C2125" s="106"/>
      <c r="D2125" s="106"/>
      <c r="E2125" s="52"/>
    </row>
    <row r="2126" spans="1:5" s="103" customFormat="1" ht="13.2" hidden="1" outlineLevel="1" x14ac:dyDescent="0.25">
      <c r="A2126" s="106" t="s">
        <v>4272</v>
      </c>
      <c r="B2126" s="106" t="s">
        <v>4273</v>
      </c>
      <c r="C2126" s="106"/>
      <c r="D2126" s="106"/>
      <c r="E2126" s="52"/>
    </row>
    <row r="2127" spans="1:5" s="103" customFormat="1" ht="13.2" hidden="1" outlineLevel="1" x14ac:dyDescent="0.25">
      <c r="A2127" s="106" t="s">
        <v>4274</v>
      </c>
      <c r="B2127" s="106" t="s">
        <v>4275</v>
      </c>
      <c r="C2127" s="106"/>
      <c r="D2127" s="106"/>
      <c r="E2127" s="52"/>
    </row>
    <row r="2128" spans="1:5" s="103" customFormat="1" ht="13.2" hidden="1" outlineLevel="1" x14ac:dyDescent="0.25">
      <c r="A2128" s="106" t="s">
        <v>4276</v>
      </c>
      <c r="B2128" s="106" t="s">
        <v>4277</v>
      </c>
      <c r="C2128" s="106"/>
      <c r="D2128" s="106"/>
      <c r="E2128" s="52"/>
    </row>
    <row r="2129" spans="1:5" s="103" customFormat="1" ht="13.2" hidden="1" outlineLevel="1" x14ac:dyDescent="0.25">
      <c r="A2129" s="106" t="s">
        <v>4278</v>
      </c>
      <c r="B2129" s="106" t="s">
        <v>4279</v>
      </c>
      <c r="C2129" s="106"/>
      <c r="D2129" s="106"/>
      <c r="E2129" s="52"/>
    </row>
    <row r="2130" spans="1:5" s="103" customFormat="1" ht="13.2" hidden="1" outlineLevel="1" x14ac:dyDescent="0.25">
      <c r="A2130" s="106" t="s">
        <v>4280</v>
      </c>
      <c r="B2130" s="106" t="s">
        <v>4281</v>
      </c>
      <c r="C2130" s="106"/>
      <c r="D2130" s="106"/>
      <c r="E2130" s="52"/>
    </row>
    <row r="2131" spans="1:5" s="103" customFormat="1" ht="13.2" hidden="1" outlineLevel="1" x14ac:dyDescent="0.25">
      <c r="A2131" s="106" t="s">
        <v>4282</v>
      </c>
      <c r="B2131" s="106" t="s">
        <v>4283</v>
      </c>
      <c r="C2131" s="106"/>
      <c r="D2131" s="106"/>
      <c r="E2131" s="52"/>
    </row>
    <row r="2132" spans="1:5" s="103" customFormat="1" ht="13.2" hidden="1" outlineLevel="1" x14ac:dyDescent="0.25">
      <c r="A2132" s="106" t="s">
        <v>4284</v>
      </c>
      <c r="B2132" s="106" t="s">
        <v>4285</v>
      </c>
      <c r="C2132" s="106"/>
      <c r="D2132" s="106"/>
      <c r="E2132" s="52"/>
    </row>
    <row r="2133" spans="1:5" s="103" customFormat="1" ht="13.2" hidden="1" outlineLevel="1" x14ac:dyDescent="0.25">
      <c r="A2133" s="106" t="s">
        <v>4286</v>
      </c>
      <c r="B2133" s="106" t="s">
        <v>4287</v>
      </c>
      <c r="C2133" s="106"/>
      <c r="D2133" s="106"/>
      <c r="E2133" s="52"/>
    </row>
    <row r="2134" spans="1:5" s="103" customFormat="1" ht="13.2" hidden="1" outlineLevel="1" x14ac:dyDescent="0.25">
      <c r="A2134" s="106" t="s">
        <v>4288</v>
      </c>
      <c r="B2134" s="106" t="s">
        <v>4289</v>
      </c>
      <c r="C2134" s="106"/>
      <c r="D2134" s="106"/>
      <c r="E2134" s="52"/>
    </row>
    <row r="2135" spans="1:5" s="103" customFormat="1" ht="13.2" hidden="1" outlineLevel="1" x14ac:dyDescent="0.25">
      <c r="A2135" s="106" t="s">
        <v>4290</v>
      </c>
      <c r="B2135" s="106" t="s">
        <v>4291</v>
      </c>
      <c r="C2135" s="106"/>
      <c r="D2135" s="106"/>
      <c r="E2135" s="52"/>
    </row>
    <row r="2136" spans="1:5" s="103" customFormat="1" ht="13.2" hidden="1" outlineLevel="1" x14ac:dyDescent="0.25">
      <c r="A2136" s="106" t="s">
        <v>4292</v>
      </c>
      <c r="B2136" s="106" t="s">
        <v>4293</v>
      </c>
      <c r="C2136" s="106"/>
      <c r="D2136" s="106"/>
      <c r="E2136" s="52"/>
    </row>
    <row r="2137" spans="1:5" s="103" customFormat="1" ht="13.2" hidden="1" outlineLevel="1" x14ac:dyDescent="0.25">
      <c r="A2137" s="106" t="s">
        <v>4294</v>
      </c>
      <c r="B2137" s="106" t="s">
        <v>4295</v>
      </c>
      <c r="C2137" s="106"/>
      <c r="D2137" s="106"/>
      <c r="E2137" s="52"/>
    </row>
    <row r="2138" spans="1:5" s="103" customFormat="1" ht="13.2" hidden="1" outlineLevel="1" x14ac:dyDescent="0.25">
      <c r="A2138" s="106" t="s">
        <v>4296</v>
      </c>
      <c r="B2138" s="106" t="s">
        <v>4297</v>
      </c>
      <c r="C2138" s="106"/>
      <c r="D2138" s="106"/>
      <c r="E2138" s="52"/>
    </row>
    <row r="2139" spans="1:5" s="103" customFormat="1" ht="13.2" hidden="1" outlineLevel="1" x14ac:dyDescent="0.25">
      <c r="A2139" s="106" t="s">
        <v>4298</v>
      </c>
      <c r="B2139" s="106" t="s">
        <v>4299</v>
      </c>
      <c r="C2139" s="106"/>
      <c r="D2139" s="106"/>
      <c r="E2139" s="52"/>
    </row>
    <row r="2140" spans="1:5" s="103" customFormat="1" ht="13.2" hidden="1" outlineLevel="1" x14ac:dyDescent="0.25">
      <c r="A2140" s="106" t="s">
        <v>4300</v>
      </c>
      <c r="B2140" s="106" t="s">
        <v>4301</v>
      </c>
      <c r="C2140" s="106"/>
      <c r="D2140" s="106"/>
      <c r="E2140" s="52"/>
    </row>
    <row r="2141" spans="1:5" s="103" customFormat="1" ht="13.2" hidden="1" outlineLevel="1" x14ac:dyDescent="0.25">
      <c r="A2141" s="106" t="s">
        <v>4302</v>
      </c>
      <c r="B2141" s="106" t="s">
        <v>4303</v>
      </c>
      <c r="C2141" s="106"/>
      <c r="D2141" s="106"/>
      <c r="E2141" s="52"/>
    </row>
    <row r="2142" spans="1:5" s="103" customFormat="1" ht="13.2" hidden="1" outlineLevel="1" x14ac:dyDescent="0.25">
      <c r="A2142" s="106" t="s">
        <v>4304</v>
      </c>
      <c r="B2142" s="106" t="s">
        <v>4305</v>
      </c>
      <c r="C2142" s="106"/>
      <c r="D2142" s="106"/>
      <c r="E2142" s="52"/>
    </row>
    <row r="2143" spans="1:5" s="103" customFormat="1" ht="13.2" hidden="1" outlineLevel="1" x14ac:dyDescent="0.25">
      <c r="A2143" s="106" t="s">
        <v>4306</v>
      </c>
      <c r="B2143" s="106" t="s">
        <v>4307</v>
      </c>
      <c r="C2143" s="106"/>
      <c r="D2143" s="106"/>
      <c r="E2143" s="52"/>
    </row>
    <row r="2144" spans="1:5" s="103" customFormat="1" ht="13.2" hidden="1" outlineLevel="1" x14ac:dyDescent="0.25">
      <c r="A2144" s="106" t="s">
        <v>4308</v>
      </c>
      <c r="B2144" s="106" t="s">
        <v>4309</v>
      </c>
      <c r="C2144" s="106"/>
      <c r="D2144" s="106"/>
      <c r="E2144" s="52"/>
    </row>
    <row r="2145" spans="1:5" s="103" customFormat="1" ht="13.2" hidden="1" outlineLevel="1" x14ac:dyDescent="0.25">
      <c r="A2145" s="106" t="s">
        <v>4310</v>
      </c>
      <c r="B2145" s="106" t="s">
        <v>4311</v>
      </c>
      <c r="C2145" s="106"/>
      <c r="D2145" s="106"/>
      <c r="E2145" s="52"/>
    </row>
    <row r="2146" spans="1:5" s="103" customFormat="1" ht="13.2" hidden="1" outlineLevel="1" x14ac:dyDescent="0.25">
      <c r="A2146" s="106" t="s">
        <v>4312</v>
      </c>
      <c r="B2146" s="106" t="s">
        <v>4313</v>
      </c>
      <c r="C2146" s="106"/>
      <c r="D2146" s="106"/>
      <c r="E2146" s="52"/>
    </row>
    <row r="2147" spans="1:5" s="103" customFormat="1" ht="13.2" hidden="1" outlineLevel="1" x14ac:dyDescent="0.25">
      <c r="A2147" s="106" t="s">
        <v>4314</v>
      </c>
      <c r="B2147" s="106" t="s">
        <v>4315</v>
      </c>
      <c r="C2147" s="106"/>
      <c r="D2147" s="106"/>
      <c r="E2147" s="52"/>
    </row>
    <row r="2148" spans="1:5" s="103" customFormat="1" ht="13.2" hidden="1" outlineLevel="1" x14ac:dyDescent="0.25">
      <c r="A2148" s="106" t="s">
        <v>4316</v>
      </c>
      <c r="B2148" s="106" t="s">
        <v>4317</v>
      </c>
      <c r="C2148" s="106"/>
      <c r="D2148" s="106"/>
      <c r="E2148" s="52"/>
    </row>
    <row r="2149" spans="1:5" s="103" customFormat="1" ht="13.2" hidden="1" outlineLevel="1" x14ac:dyDescent="0.25">
      <c r="A2149" s="106" t="s">
        <v>4318</v>
      </c>
      <c r="B2149" s="106" t="s">
        <v>4319</v>
      </c>
      <c r="C2149" s="106"/>
      <c r="D2149" s="106"/>
      <c r="E2149" s="52"/>
    </row>
    <row r="2150" spans="1:5" s="103" customFormat="1" ht="13.2" hidden="1" outlineLevel="1" x14ac:dyDescent="0.25">
      <c r="A2150" s="106" t="s">
        <v>4320</v>
      </c>
      <c r="B2150" s="106" t="s">
        <v>4321</v>
      </c>
      <c r="C2150" s="106"/>
      <c r="D2150" s="106"/>
      <c r="E2150" s="52"/>
    </row>
    <row r="2151" spans="1:5" s="103" customFormat="1" ht="13.2" hidden="1" outlineLevel="1" x14ac:dyDescent="0.25">
      <c r="A2151" s="106" t="s">
        <v>4322</v>
      </c>
      <c r="B2151" s="106" t="s">
        <v>4323</v>
      </c>
      <c r="C2151" s="106"/>
      <c r="D2151" s="106"/>
      <c r="E2151" s="52"/>
    </row>
    <row r="2152" spans="1:5" s="103" customFormat="1" ht="13.2" hidden="1" outlineLevel="1" x14ac:dyDescent="0.25">
      <c r="A2152" s="106" t="s">
        <v>4324</v>
      </c>
      <c r="B2152" s="106" t="s">
        <v>4325</v>
      </c>
      <c r="C2152" s="106"/>
      <c r="D2152" s="106"/>
      <c r="E2152" s="52"/>
    </row>
    <row r="2153" spans="1:5" s="103" customFormat="1" ht="13.2" hidden="1" outlineLevel="1" x14ac:dyDescent="0.25">
      <c r="A2153" s="106" t="s">
        <v>4326</v>
      </c>
      <c r="B2153" s="106" t="s">
        <v>4327</v>
      </c>
      <c r="C2153" s="106"/>
      <c r="D2153" s="106"/>
      <c r="E2153" s="52"/>
    </row>
    <row r="2154" spans="1:5" s="103" customFormat="1" ht="13.2" hidden="1" outlineLevel="1" x14ac:dyDescent="0.25">
      <c r="A2154" s="106" t="s">
        <v>4328</v>
      </c>
      <c r="B2154" s="106" t="s">
        <v>4329</v>
      </c>
      <c r="C2154" s="106"/>
      <c r="D2154" s="106"/>
      <c r="E2154" s="52"/>
    </row>
    <row r="2155" spans="1:5" s="103" customFormat="1" ht="13.2" hidden="1" outlineLevel="1" x14ac:dyDescent="0.25">
      <c r="A2155" s="106" t="s">
        <v>4330</v>
      </c>
      <c r="B2155" s="106" t="s">
        <v>4331</v>
      </c>
      <c r="C2155" s="106"/>
      <c r="D2155" s="106"/>
      <c r="E2155" s="52"/>
    </row>
    <row r="2156" spans="1:5" s="103" customFormat="1" ht="13.2" hidden="1" outlineLevel="1" x14ac:dyDescent="0.25">
      <c r="A2156" s="106" t="s">
        <v>4332</v>
      </c>
      <c r="B2156" s="106" t="s">
        <v>4333</v>
      </c>
      <c r="C2156" s="106"/>
      <c r="D2156" s="106"/>
      <c r="E2156" s="52"/>
    </row>
    <row r="2157" spans="1:5" s="103" customFormat="1" ht="13.2" hidden="1" outlineLevel="1" x14ac:dyDescent="0.25">
      <c r="A2157" s="106" t="s">
        <v>4334</v>
      </c>
      <c r="B2157" s="106" t="s">
        <v>4335</v>
      </c>
      <c r="C2157" s="106"/>
      <c r="D2157" s="106"/>
      <c r="E2157" s="52"/>
    </row>
    <row r="2158" spans="1:5" s="103" customFormat="1" ht="13.2" hidden="1" outlineLevel="1" x14ac:dyDescent="0.25">
      <c r="A2158" s="106" t="s">
        <v>4336</v>
      </c>
      <c r="B2158" s="106" t="s">
        <v>4337</v>
      </c>
      <c r="C2158" s="106"/>
      <c r="D2158" s="106"/>
      <c r="E2158" s="52"/>
    </row>
    <row r="2159" spans="1:5" s="103" customFormat="1" ht="13.2" hidden="1" outlineLevel="1" x14ac:dyDescent="0.25">
      <c r="A2159" s="106" t="s">
        <v>4338</v>
      </c>
      <c r="B2159" s="106" t="s">
        <v>4339</v>
      </c>
      <c r="C2159" s="106"/>
      <c r="D2159" s="106"/>
      <c r="E2159" s="52"/>
    </row>
    <row r="2160" spans="1:5" s="103" customFormat="1" ht="13.2" hidden="1" outlineLevel="1" x14ac:dyDescent="0.25">
      <c r="A2160" s="106" t="s">
        <v>4340</v>
      </c>
      <c r="B2160" s="106" t="s">
        <v>4341</v>
      </c>
      <c r="C2160" s="106"/>
      <c r="D2160" s="106"/>
      <c r="E2160" s="52"/>
    </row>
    <row r="2161" spans="1:5" s="103" customFormat="1" ht="13.2" hidden="1" outlineLevel="1" x14ac:dyDescent="0.25">
      <c r="A2161" s="106" t="s">
        <v>4342</v>
      </c>
      <c r="B2161" s="106" t="s">
        <v>4343</v>
      </c>
      <c r="C2161" s="106"/>
      <c r="D2161" s="106"/>
      <c r="E2161" s="52"/>
    </row>
    <row r="2162" spans="1:5" s="103" customFormat="1" ht="13.2" hidden="1" outlineLevel="1" x14ac:dyDescent="0.25">
      <c r="A2162" s="106" t="s">
        <v>4344</v>
      </c>
      <c r="B2162" s="106" t="s">
        <v>4345</v>
      </c>
      <c r="C2162" s="106"/>
      <c r="D2162" s="106"/>
      <c r="E2162" s="52"/>
    </row>
    <row r="2163" spans="1:5" s="103" customFormat="1" ht="13.2" hidden="1" outlineLevel="1" x14ac:dyDescent="0.25">
      <c r="A2163" s="106" t="s">
        <v>4346</v>
      </c>
      <c r="B2163" s="106" t="s">
        <v>4347</v>
      </c>
      <c r="C2163" s="106"/>
      <c r="D2163" s="106"/>
      <c r="E2163" s="52"/>
    </row>
    <row r="2164" spans="1:5" s="103" customFormat="1" ht="13.2" hidden="1" outlineLevel="1" x14ac:dyDescent="0.25">
      <c r="A2164" s="106" t="s">
        <v>4348</v>
      </c>
      <c r="B2164" s="106" t="s">
        <v>4349</v>
      </c>
      <c r="C2164" s="106"/>
      <c r="D2164" s="106"/>
      <c r="E2164" s="52"/>
    </row>
    <row r="2165" spans="1:5" s="103" customFormat="1" ht="13.2" hidden="1" outlineLevel="1" x14ac:dyDescent="0.25">
      <c r="A2165" s="106" t="s">
        <v>4350</v>
      </c>
      <c r="B2165" s="106" t="s">
        <v>4351</v>
      </c>
      <c r="C2165" s="106"/>
      <c r="D2165" s="106"/>
      <c r="E2165" s="52"/>
    </row>
    <row r="2166" spans="1:5" s="103" customFormat="1" ht="13.2" hidden="1" outlineLevel="1" x14ac:dyDescent="0.25">
      <c r="A2166" s="106" t="s">
        <v>4352</v>
      </c>
      <c r="B2166" s="106" t="s">
        <v>4353</v>
      </c>
      <c r="C2166" s="106"/>
      <c r="D2166" s="106"/>
      <c r="E2166" s="52"/>
    </row>
    <row r="2167" spans="1:5" s="103" customFormat="1" ht="13.2" hidden="1" outlineLevel="1" x14ac:dyDescent="0.25">
      <c r="A2167" s="106" t="s">
        <v>4354</v>
      </c>
      <c r="B2167" s="106" t="s">
        <v>4355</v>
      </c>
      <c r="C2167" s="106"/>
      <c r="D2167" s="106"/>
      <c r="E2167" s="52"/>
    </row>
    <row r="2168" spans="1:5" s="103" customFormat="1" ht="13.2" hidden="1" outlineLevel="1" x14ac:dyDescent="0.25">
      <c r="A2168" s="106" t="s">
        <v>4356</v>
      </c>
      <c r="B2168" s="106" t="s">
        <v>4357</v>
      </c>
      <c r="C2168" s="106"/>
      <c r="D2168" s="106"/>
      <c r="E2168" s="52"/>
    </row>
    <row r="2169" spans="1:5" s="103" customFormat="1" ht="13.2" hidden="1" outlineLevel="1" x14ac:dyDescent="0.25">
      <c r="A2169" s="106" t="s">
        <v>4358</v>
      </c>
      <c r="B2169" s="106" t="s">
        <v>4359</v>
      </c>
      <c r="C2169" s="106"/>
      <c r="D2169" s="106"/>
      <c r="E2169" s="52"/>
    </row>
    <row r="2170" spans="1:5" s="103" customFormat="1" ht="13.2" hidden="1" outlineLevel="1" x14ac:dyDescent="0.25">
      <c r="A2170" s="106" t="s">
        <v>4360</v>
      </c>
      <c r="B2170" s="106" t="s">
        <v>4361</v>
      </c>
      <c r="C2170" s="106"/>
      <c r="D2170" s="106"/>
      <c r="E2170" s="52"/>
    </row>
    <row r="2171" spans="1:5" s="103" customFormat="1" ht="13.2" hidden="1" outlineLevel="1" x14ac:dyDescent="0.25">
      <c r="A2171" s="106" t="s">
        <v>4362</v>
      </c>
      <c r="B2171" s="106" t="s">
        <v>4363</v>
      </c>
      <c r="C2171" s="106"/>
      <c r="D2171" s="106"/>
      <c r="E2171" s="52"/>
    </row>
    <row r="2172" spans="1:5" s="103" customFormat="1" ht="13.2" hidden="1" outlineLevel="1" x14ac:dyDescent="0.25">
      <c r="A2172" s="106" t="s">
        <v>4364</v>
      </c>
      <c r="B2172" s="106" t="s">
        <v>4365</v>
      </c>
      <c r="C2172" s="106"/>
      <c r="D2172" s="106"/>
      <c r="E2172" s="52"/>
    </row>
    <row r="2173" spans="1:5" s="103" customFormat="1" ht="13.2" hidden="1" outlineLevel="1" x14ac:dyDescent="0.25">
      <c r="A2173" s="106" t="s">
        <v>4366</v>
      </c>
      <c r="B2173" s="106" t="s">
        <v>4367</v>
      </c>
      <c r="C2173" s="106"/>
      <c r="D2173" s="106"/>
      <c r="E2173" s="52"/>
    </row>
    <row r="2174" spans="1:5" s="103" customFormat="1" ht="13.2" hidden="1" outlineLevel="1" x14ac:dyDescent="0.25">
      <c r="A2174" s="106" t="s">
        <v>4368</v>
      </c>
      <c r="B2174" s="106" t="s">
        <v>4369</v>
      </c>
      <c r="C2174" s="106"/>
      <c r="D2174" s="106"/>
      <c r="E2174" s="52"/>
    </row>
    <row r="2175" spans="1:5" s="103" customFormat="1" ht="13.2" hidden="1" outlineLevel="1" x14ac:dyDescent="0.25">
      <c r="A2175" s="106" t="s">
        <v>4370</v>
      </c>
      <c r="B2175" s="106" t="s">
        <v>4371</v>
      </c>
      <c r="C2175" s="106"/>
      <c r="D2175" s="106"/>
      <c r="E2175" s="52"/>
    </row>
    <row r="2176" spans="1:5" s="103" customFormat="1" ht="13.2" hidden="1" outlineLevel="1" x14ac:dyDescent="0.25">
      <c r="A2176" s="106" t="s">
        <v>4372</v>
      </c>
      <c r="B2176" s="106" t="s">
        <v>4373</v>
      </c>
      <c r="C2176" s="106"/>
      <c r="D2176" s="106"/>
      <c r="E2176" s="52"/>
    </row>
    <row r="2177" spans="1:5" s="103" customFormat="1" ht="13.2" hidden="1" outlineLevel="1" x14ac:dyDescent="0.25">
      <c r="A2177" s="106" t="s">
        <v>4374</v>
      </c>
      <c r="B2177" s="106" t="s">
        <v>4375</v>
      </c>
      <c r="C2177" s="106"/>
      <c r="D2177" s="106"/>
      <c r="E2177" s="52"/>
    </row>
    <row r="2178" spans="1:5" s="103" customFormat="1" ht="13.2" hidden="1" outlineLevel="1" x14ac:dyDescent="0.25">
      <c r="A2178" s="106" t="s">
        <v>4376</v>
      </c>
      <c r="B2178" s="106" t="s">
        <v>4377</v>
      </c>
      <c r="C2178" s="106"/>
      <c r="D2178" s="106"/>
      <c r="E2178" s="52"/>
    </row>
    <row r="2179" spans="1:5" s="103" customFormat="1" ht="13.2" hidden="1" outlineLevel="1" x14ac:dyDescent="0.25">
      <c r="A2179" s="106" t="s">
        <v>4378</v>
      </c>
      <c r="B2179" s="106" t="s">
        <v>4379</v>
      </c>
      <c r="C2179" s="106"/>
      <c r="D2179" s="106"/>
      <c r="E2179" s="52"/>
    </row>
    <row r="2180" spans="1:5" s="103" customFormat="1" ht="13.2" hidden="1" outlineLevel="1" x14ac:dyDescent="0.25">
      <c r="A2180" s="106" t="s">
        <v>4380</v>
      </c>
      <c r="B2180" s="106" t="s">
        <v>4381</v>
      </c>
      <c r="C2180" s="106"/>
      <c r="D2180" s="106"/>
      <c r="E2180" s="52"/>
    </row>
    <row r="2181" spans="1:5" s="103" customFormat="1" ht="13.2" hidden="1" outlineLevel="1" x14ac:dyDescent="0.25">
      <c r="A2181" s="106" t="s">
        <v>4382</v>
      </c>
      <c r="B2181" s="106" t="s">
        <v>4383</v>
      </c>
      <c r="C2181" s="106"/>
      <c r="D2181" s="106"/>
      <c r="E2181" s="52"/>
    </row>
    <row r="2182" spans="1:5" s="103" customFormat="1" ht="13.2" hidden="1" outlineLevel="1" x14ac:dyDescent="0.25">
      <c r="A2182" s="106" t="s">
        <v>4384</v>
      </c>
      <c r="B2182" s="106" t="s">
        <v>4385</v>
      </c>
      <c r="C2182" s="106"/>
      <c r="D2182" s="106"/>
      <c r="E2182" s="52"/>
    </row>
    <row r="2183" spans="1:5" s="103" customFormat="1" ht="13.2" hidden="1" outlineLevel="1" x14ac:dyDescent="0.25">
      <c r="A2183" s="106" t="s">
        <v>4386</v>
      </c>
      <c r="B2183" s="106" t="s">
        <v>4387</v>
      </c>
      <c r="C2183" s="106"/>
      <c r="D2183" s="106"/>
      <c r="E2183" s="52"/>
    </row>
    <row r="2184" spans="1:5" s="103" customFormat="1" ht="13.2" hidden="1" outlineLevel="1" x14ac:dyDescent="0.25">
      <c r="A2184" s="106" t="s">
        <v>4388</v>
      </c>
      <c r="B2184" s="106" t="s">
        <v>4389</v>
      </c>
      <c r="C2184" s="106"/>
      <c r="D2184" s="106"/>
      <c r="E2184" s="52"/>
    </row>
    <row r="2185" spans="1:5" s="103" customFormat="1" ht="13.2" hidden="1" outlineLevel="1" x14ac:dyDescent="0.25">
      <c r="A2185" s="106" t="s">
        <v>4390</v>
      </c>
      <c r="B2185" s="106" t="s">
        <v>4391</v>
      </c>
      <c r="C2185" s="106"/>
      <c r="D2185" s="106"/>
      <c r="E2185" s="52"/>
    </row>
    <row r="2186" spans="1:5" s="103" customFormat="1" ht="13.2" hidden="1" outlineLevel="1" x14ac:dyDescent="0.25">
      <c r="A2186" s="106" t="s">
        <v>4392</v>
      </c>
      <c r="B2186" s="106" t="s">
        <v>4393</v>
      </c>
      <c r="C2186" s="106"/>
      <c r="D2186" s="106"/>
      <c r="E2186" s="52"/>
    </row>
    <row r="2187" spans="1:5" s="103" customFormat="1" ht="13.2" hidden="1" outlineLevel="1" x14ac:dyDescent="0.25">
      <c r="A2187" s="106" t="s">
        <v>4394</v>
      </c>
      <c r="B2187" s="106" t="s">
        <v>4395</v>
      </c>
      <c r="C2187" s="106"/>
      <c r="D2187" s="106"/>
      <c r="E2187" s="52"/>
    </row>
    <row r="2188" spans="1:5" s="103" customFormat="1" ht="13.2" hidden="1" outlineLevel="1" x14ac:dyDescent="0.25">
      <c r="A2188" s="106" t="s">
        <v>4396</v>
      </c>
      <c r="B2188" s="106" t="s">
        <v>4397</v>
      </c>
      <c r="C2188" s="106"/>
      <c r="D2188" s="106"/>
      <c r="E2188" s="52"/>
    </row>
    <row r="2189" spans="1:5" s="103" customFormat="1" ht="13.2" hidden="1" outlineLevel="1" x14ac:dyDescent="0.25">
      <c r="A2189" s="106" t="s">
        <v>4398</v>
      </c>
      <c r="B2189" s="106" t="s">
        <v>4399</v>
      </c>
      <c r="C2189" s="106"/>
      <c r="D2189" s="106"/>
      <c r="E2189" s="52"/>
    </row>
    <row r="2190" spans="1:5" s="103" customFormat="1" ht="13.2" hidden="1" outlineLevel="1" x14ac:dyDescent="0.25">
      <c r="A2190" s="106" t="s">
        <v>4400</v>
      </c>
      <c r="B2190" s="106" t="s">
        <v>4401</v>
      </c>
      <c r="C2190" s="106"/>
      <c r="D2190" s="106"/>
      <c r="E2190" s="52"/>
    </row>
    <row r="2191" spans="1:5" s="103" customFormat="1" ht="13.2" hidden="1" outlineLevel="1" x14ac:dyDescent="0.25">
      <c r="A2191" s="106" t="s">
        <v>4402</v>
      </c>
      <c r="B2191" s="106" t="s">
        <v>4403</v>
      </c>
      <c r="C2191" s="106"/>
      <c r="D2191" s="106"/>
      <c r="E2191" s="52"/>
    </row>
    <row r="2192" spans="1:5" s="103" customFormat="1" ht="13.2" hidden="1" outlineLevel="1" x14ac:dyDescent="0.25">
      <c r="A2192" s="106" t="s">
        <v>4404</v>
      </c>
      <c r="B2192" s="106" t="s">
        <v>4405</v>
      </c>
      <c r="C2192" s="106"/>
      <c r="D2192" s="106"/>
      <c r="E2192" s="52"/>
    </row>
    <row r="2193" spans="1:5" s="103" customFormat="1" ht="13.2" hidden="1" outlineLevel="1" x14ac:dyDescent="0.25">
      <c r="A2193" s="106" t="s">
        <v>4406</v>
      </c>
      <c r="B2193" s="106" t="s">
        <v>4407</v>
      </c>
      <c r="C2193" s="106"/>
      <c r="D2193" s="106"/>
      <c r="E2193" s="52"/>
    </row>
    <row r="2194" spans="1:5" s="103" customFormat="1" ht="13.2" hidden="1" outlineLevel="1" x14ac:dyDescent="0.25">
      <c r="A2194" s="106" t="s">
        <v>4408</v>
      </c>
      <c r="B2194" s="106" t="s">
        <v>4409</v>
      </c>
      <c r="C2194" s="106"/>
      <c r="D2194" s="106"/>
      <c r="E2194" s="52"/>
    </row>
    <row r="2195" spans="1:5" s="103" customFormat="1" ht="13.2" hidden="1" outlineLevel="1" x14ac:dyDescent="0.25">
      <c r="A2195" s="106" t="s">
        <v>4410</v>
      </c>
      <c r="B2195" s="106" t="s">
        <v>4411</v>
      </c>
      <c r="C2195" s="106"/>
      <c r="D2195" s="106"/>
      <c r="E2195" s="52"/>
    </row>
    <row r="2196" spans="1:5" s="103" customFormat="1" ht="13.2" hidden="1" outlineLevel="1" x14ac:dyDescent="0.25">
      <c r="A2196" s="106" t="s">
        <v>4412</v>
      </c>
      <c r="B2196" s="106" t="s">
        <v>4413</v>
      </c>
      <c r="C2196" s="106"/>
      <c r="D2196" s="106"/>
      <c r="E2196" s="52"/>
    </row>
    <row r="2197" spans="1:5" s="103" customFormat="1" ht="13.2" hidden="1" outlineLevel="1" x14ac:dyDescent="0.25">
      <c r="A2197" s="106" t="s">
        <v>4414</v>
      </c>
      <c r="B2197" s="106" t="s">
        <v>4415</v>
      </c>
      <c r="C2197" s="106"/>
      <c r="D2197" s="106"/>
      <c r="E2197" s="52"/>
    </row>
    <row r="2198" spans="1:5" s="103" customFormat="1" ht="13.2" hidden="1" outlineLevel="1" x14ac:dyDescent="0.25">
      <c r="A2198" s="106" t="s">
        <v>4416</v>
      </c>
      <c r="B2198" s="106" t="s">
        <v>4417</v>
      </c>
      <c r="C2198" s="106"/>
      <c r="D2198" s="106"/>
      <c r="E2198" s="52"/>
    </row>
    <row r="2199" spans="1:5" s="103" customFormat="1" ht="13.2" hidden="1" outlineLevel="1" x14ac:dyDescent="0.25">
      <c r="A2199" s="106" t="s">
        <v>4418</v>
      </c>
      <c r="B2199" s="106" t="s">
        <v>4419</v>
      </c>
      <c r="C2199" s="106"/>
      <c r="D2199" s="106"/>
      <c r="E2199" s="52"/>
    </row>
    <row r="2200" spans="1:5" s="103" customFormat="1" ht="13.2" hidden="1" outlineLevel="1" x14ac:dyDescent="0.25">
      <c r="A2200" s="106" t="s">
        <v>4420</v>
      </c>
      <c r="B2200" s="106" t="s">
        <v>4421</v>
      </c>
      <c r="C2200" s="106"/>
      <c r="D2200" s="106"/>
      <c r="E2200" s="52"/>
    </row>
    <row r="2201" spans="1:5" s="103" customFormat="1" ht="13.2" hidden="1" outlineLevel="1" x14ac:dyDescent="0.25">
      <c r="A2201" s="106" t="s">
        <v>4422</v>
      </c>
      <c r="B2201" s="106" t="s">
        <v>4423</v>
      </c>
      <c r="C2201" s="106"/>
      <c r="D2201" s="106"/>
      <c r="E2201" s="52"/>
    </row>
    <row r="2202" spans="1:5" s="103" customFormat="1" ht="13.2" hidden="1" outlineLevel="1" x14ac:dyDescent="0.25">
      <c r="A2202" s="106" t="s">
        <v>4424</v>
      </c>
      <c r="B2202" s="106" t="s">
        <v>4425</v>
      </c>
      <c r="C2202" s="106"/>
      <c r="D2202" s="106"/>
      <c r="E2202" s="52"/>
    </row>
    <row r="2203" spans="1:5" s="103" customFormat="1" ht="13.2" hidden="1" outlineLevel="1" x14ac:dyDescent="0.25">
      <c r="A2203" s="106" t="s">
        <v>4426</v>
      </c>
      <c r="B2203" s="106" t="s">
        <v>4427</v>
      </c>
      <c r="C2203" s="106"/>
      <c r="D2203" s="106"/>
      <c r="E2203" s="52"/>
    </row>
    <row r="2204" spans="1:5" s="103" customFormat="1" ht="13.2" hidden="1" outlineLevel="1" x14ac:dyDescent="0.25">
      <c r="A2204" s="106" t="s">
        <v>4428</v>
      </c>
      <c r="B2204" s="106" t="s">
        <v>4429</v>
      </c>
      <c r="C2204" s="106"/>
      <c r="D2204" s="106"/>
      <c r="E2204" s="52"/>
    </row>
    <row r="2205" spans="1:5" s="103" customFormat="1" ht="13.2" hidden="1" outlineLevel="1" x14ac:dyDescent="0.25">
      <c r="A2205" s="106" t="s">
        <v>4430</v>
      </c>
      <c r="B2205" s="106" t="s">
        <v>4431</v>
      </c>
      <c r="C2205" s="106"/>
      <c r="D2205" s="106"/>
      <c r="E2205" s="52"/>
    </row>
    <row r="2206" spans="1:5" s="103" customFormat="1" ht="13.2" hidden="1" outlineLevel="1" x14ac:dyDescent="0.25">
      <c r="A2206" s="106" t="s">
        <v>4432</v>
      </c>
      <c r="B2206" s="106" t="s">
        <v>4433</v>
      </c>
      <c r="C2206" s="106"/>
      <c r="D2206" s="106"/>
      <c r="E2206" s="52"/>
    </row>
    <row r="2207" spans="1:5" s="103" customFormat="1" ht="13.2" hidden="1" outlineLevel="1" x14ac:dyDescent="0.25">
      <c r="A2207" s="106" t="s">
        <v>4434</v>
      </c>
      <c r="B2207" s="106" t="s">
        <v>4435</v>
      </c>
      <c r="C2207" s="106"/>
      <c r="D2207" s="106"/>
      <c r="E2207" s="52"/>
    </row>
    <row r="2208" spans="1:5" s="103" customFormat="1" ht="13.2" hidden="1" outlineLevel="1" x14ac:dyDescent="0.25">
      <c r="A2208" s="106" t="s">
        <v>4436</v>
      </c>
      <c r="B2208" s="106" t="s">
        <v>4437</v>
      </c>
      <c r="C2208" s="106"/>
      <c r="D2208" s="106"/>
      <c r="E2208" s="52"/>
    </row>
    <row r="2209" spans="1:5" s="103" customFormat="1" ht="13.2" hidden="1" outlineLevel="1" x14ac:dyDescent="0.25">
      <c r="A2209" s="106" t="s">
        <v>4438</v>
      </c>
      <c r="B2209" s="106" t="s">
        <v>4439</v>
      </c>
      <c r="C2209" s="106"/>
      <c r="D2209" s="106"/>
      <c r="E2209" s="52"/>
    </row>
    <row r="2210" spans="1:5" s="103" customFormat="1" ht="13.2" hidden="1" outlineLevel="1" x14ac:dyDescent="0.25">
      <c r="A2210" s="106" t="s">
        <v>4440</v>
      </c>
      <c r="B2210" s="106" t="s">
        <v>4441</v>
      </c>
      <c r="C2210" s="106"/>
      <c r="D2210" s="106"/>
      <c r="E2210" s="52"/>
    </row>
    <row r="2211" spans="1:5" s="103" customFormat="1" ht="13.2" hidden="1" outlineLevel="1" x14ac:dyDescent="0.25">
      <c r="A2211" s="106" t="s">
        <v>4442</v>
      </c>
      <c r="B2211" s="106" t="s">
        <v>4443</v>
      </c>
      <c r="C2211" s="106"/>
      <c r="D2211" s="106"/>
      <c r="E2211" s="52"/>
    </row>
    <row r="2212" spans="1:5" s="103" customFormat="1" ht="13.2" hidden="1" outlineLevel="1" x14ac:dyDescent="0.25">
      <c r="A2212" s="106" t="s">
        <v>4444</v>
      </c>
      <c r="B2212" s="106" t="s">
        <v>4445</v>
      </c>
      <c r="C2212" s="106"/>
      <c r="D2212" s="106"/>
      <c r="E2212" s="52"/>
    </row>
    <row r="2213" spans="1:5" s="103" customFormat="1" ht="13.2" hidden="1" outlineLevel="1" x14ac:dyDescent="0.25">
      <c r="A2213" s="106" t="s">
        <v>4446</v>
      </c>
      <c r="B2213" s="106" t="s">
        <v>4447</v>
      </c>
      <c r="C2213" s="106"/>
      <c r="D2213" s="106"/>
      <c r="E2213" s="52"/>
    </row>
    <row r="2214" spans="1:5" s="103" customFormat="1" ht="13.2" hidden="1" outlineLevel="1" x14ac:dyDescent="0.25">
      <c r="A2214" s="106" t="s">
        <v>4448</v>
      </c>
      <c r="B2214" s="106" t="s">
        <v>4449</v>
      </c>
      <c r="C2214" s="106"/>
      <c r="D2214" s="106"/>
      <c r="E2214" s="52"/>
    </row>
    <row r="2215" spans="1:5" s="103" customFormat="1" ht="13.2" hidden="1" outlineLevel="1" x14ac:dyDescent="0.25">
      <c r="A2215" s="106" t="s">
        <v>4450</v>
      </c>
      <c r="B2215" s="106" t="s">
        <v>4451</v>
      </c>
      <c r="C2215" s="106"/>
      <c r="D2215" s="106"/>
      <c r="E2215" s="52"/>
    </row>
    <row r="2216" spans="1:5" s="103" customFormat="1" ht="13.2" hidden="1" outlineLevel="1" x14ac:dyDescent="0.25">
      <c r="A2216" s="106" t="s">
        <v>4452</v>
      </c>
      <c r="B2216" s="106" t="s">
        <v>4453</v>
      </c>
      <c r="C2216" s="106"/>
      <c r="D2216" s="106"/>
      <c r="E2216" s="52"/>
    </row>
    <row r="2217" spans="1:5" s="103" customFormat="1" ht="13.2" hidden="1" outlineLevel="1" x14ac:dyDescent="0.25">
      <c r="A2217" s="106" t="s">
        <v>4454</v>
      </c>
      <c r="B2217" s="106" t="s">
        <v>4455</v>
      </c>
      <c r="C2217" s="106"/>
      <c r="D2217" s="106"/>
      <c r="E2217" s="52"/>
    </row>
    <row r="2218" spans="1:5" s="103" customFormat="1" ht="13.2" hidden="1" outlineLevel="1" x14ac:dyDescent="0.25">
      <c r="A2218" s="106" t="s">
        <v>4456</v>
      </c>
      <c r="B2218" s="106" t="s">
        <v>4457</v>
      </c>
      <c r="C2218" s="106"/>
      <c r="D2218" s="106"/>
      <c r="E2218" s="52"/>
    </row>
    <row r="2219" spans="1:5" s="103" customFormat="1" ht="13.2" hidden="1" outlineLevel="1" x14ac:dyDescent="0.25">
      <c r="A2219" s="106" t="s">
        <v>4458</v>
      </c>
      <c r="B2219" s="106" t="s">
        <v>4459</v>
      </c>
      <c r="C2219" s="106"/>
      <c r="D2219" s="106"/>
      <c r="E2219" s="52"/>
    </row>
    <row r="2220" spans="1:5" s="103" customFormat="1" ht="13.2" hidden="1" outlineLevel="1" x14ac:dyDescent="0.25">
      <c r="A2220" s="106" t="s">
        <v>4460</v>
      </c>
      <c r="B2220" s="106" t="s">
        <v>4461</v>
      </c>
      <c r="C2220" s="106"/>
      <c r="D2220" s="106"/>
      <c r="E2220" s="52"/>
    </row>
    <row r="2221" spans="1:5" s="103" customFormat="1" ht="13.2" hidden="1" outlineLevel="1" x14ac:dyDescent="0.25">
      <c r="A2221" s="106" t="s">
        <v>4462</v>
      </c>
      <c r="B2221" s="106" t="s">
        <v>4463</v>
      </c>
      <c r="C2221" s="106"/>
      <c r="D2221" s="106"/>
      <c r="E2221" s="52"/>
    </row>
    <row r="2222" spans="1:5" s="103" customFormat="1" ht="13.2" hidden="1" outlineLevel="1" x14ac:dyDescent="0.25">
      <c r="A2222" s="106" t="s">
        <v>4464</v>
      </c>
      <c r="B2222" s="106" t="s">
        <v>4465</v>
      </c>
      <c r="C2222" s="106"/>
      <c r="D2222" s="106"/>
      <c r="E2222" s="52"/>
    </row>
    <row r="2223" spans="1:5" s="103" customFormat="1" ht="13.2" hidden="1" outlineLevel="1" x14ac:dyDescent="0.25">
      <c r="A2223" s="106" t="s">
        <v>4466</v>
      </c>
      <c r="B2223" s="106" t="s">
        <v>4467</v>
      </c>
      <c r="C2223" s="106"/>
      <c r="D2223" s="106"/>
      <c r="E2223" s="52"/>
    </row>
    <row r="2224" spans="1:5" s="103" customFormat="1" ht="13.2" hidden="1" outlineLevel="1" x14ac:dyDescent="0.25">
      <c r="A2224" s="106" t="s">
        <v>4468</v>
      </c>
      <c r="B2224" s="106" t="s">
        <v>4469</v>
      </c>
      <c r="C2224" s="106"/>
      <c r="D2224" s="106"/>
      <c r="E2224" s="52"/>
    </row>
    <row r="2225" spans="1:5" s="103" customFormat="1" ht="13.2" hidden="1" outlineLevel="1" x14ac:dyDescent="0.25">
      <c r="A2225" s="106" t="s">
        <v>4470</v>
      </c>
      <c r="B2225" s="106" t="s">
        <v>4471</v>
      </c>
      <c r="C2225" s="106"/>
      <c r="D2225" s="106"/>
      <c r="E2225" s="52"/>
    </row>
    <row r="2226" spans="1:5" s="103" customFormat="1" ht="13.2" hidden="1" outlineLevel="1" x14ac:dyDescent="0.25">
      <c r="A2226" s="106" t="s">
        <v>4472</v>
      </c>
      <c r="B2226" s="106" t="s">
        <v>4473</v>
      </c>
      <c r="C2226" s="106"/>
      <c r="D2226" s="106"/>
      <c r="E2226" s="52"/>
    </row>
    <row r="2227" spans="1:5" s="103" customFormat="1" ht="13.2" hidden="1" outlineLevel="1" x14ac:dyDescent="0.25">
      <c r="A2227" s="106" t="s">
        <v>4474</v>
      </c>
      <c r="B2227" s="106" t="s">
        <v>4475</v>
      </c>
      <c r="C2227" s="106"/>
      <c r="D2227" s="106"/>
      <c r="E2227" s="52"/>
    </row>
    <row r="2228" spans="1:5" s="103" customFormat="1" ht="13.2" hidden="1" outlineLevel="1" x14ac:dyDescent="0.25">
      <c r="A2228" s="106" t="s">
        <v>4476</v>
      </c>
      <c r="B2228" s="106" t="s">
        <v>4477</v>
      </c>
      <c r="C2228" s="106"/>
      <c r="D2228" s="106"/>
      <c r="E2228" s="52"/>
    </row>
    <row r="2229" spans="1:5" s="103" customFormat="1" ht="13.2" hidden="1" outlineLevel="1" x14ac:dyDescent="0.25">
      <c r="A2229" s="106" t="s">
        <v>4478</v>
      </c>
      <c r="B2229" s="106" t="s">
        <v>4479</v>
      </c>
      <c r="C2229" s="106"/>
      <c r="D2229" s="106"/>
      <c r="E2229" s="52"/>
    </row>
    <row r="2230" spans="1:5" s="103" customFormat="1" ht="13.2" hidden="1" outlineLevel="1" x14ac:dyDescent="0.25">
      <c r="A2230" s="106" t="s">
        <v>4480</v>
      </c>
      <c r="B2230" s="106" t="s">
        <v>4481</v>
      </c>
      <c r="C2230" s="106"/>
      <c r="D2230" s="106"/>
      <c r="E2230" s="52"/>
    </row>
    <row r="2231" spans="1:5" s="103" customFormat="1" ht="13.2" hidden="1" outlineLevel="1" x14ac:dyDescent="0.25">
      <c r="A2231" s="106" t="s">
        <v>4482</v>
      </c>
      <c r="B2231" s="106" t="s">
        <v>4483</v>
      </c>
      <c r="C2231" s="106"/>
      <c r="D2231" s="106"/>
      <c r="E2231" s="52"/>
    </row>
    <row r="2232" spans="1:5" s="103" customFormat="1" ht="13.2" hidden="1" outlineLevel="1" x14ac:dyDescent="0.25">
      <c r="A2232" s="106" t="s">
        <v>4484</v>
      </c>
      <c r="B2232" s="106" t="s">
        <v>4485</v>
      </c>
      <c r="C2232" s="106"/>
      <c r="D2232" s="106"/>
      <c r="E2232" s="52"/>
    </row>
    <row r="2233" spans="1:5" s="103" customFormat="1" ht="13.2" hidden="1" outlineLevel="1" x14ac:dyDescent="0.25">
      <c r="A2233" s="106" t="s">
        <v>4486</v>
      </c>
      <c r="B2233" s="106" t="s">
        <v>4487</v>
      </c>
      <c r="C2233" s="106"/>
      <c r="D2233" s="106"/>
      <c r="E2233" s="52"/>
    </row>
    <row r="2234" spans="1:5" s="103" customFormat="1" ht="13.2" hidden="1" outlineLevel="1" x14ac:dyDescent="0.25">
      <c r="A2234" s="106" t="s">
        <v>4488</v>
      </c>
      <c r="B2234" s="106" t="s">
        <v>4489</v>
      </c>
      <c r="C2234" s="106"/>
      <c r="D2234" s="106"/>
      <c r="E2234" s="52"/>
    </row>
    <row r="2235" spans="1:5" s="103" customFormat="1" ht="13.2" hidden="1" outlineLevel="1" x14ac:dyDescent="0.25">
      <c r="A2235" s="106" t="s">
        <v>4490</v>
      </c>
      <c r="B2235" s="106" t="s">
        <v>4491</v>
      </c>
      <c r="C2235" s="106"/>
      <c r="D2235" s="106"/>
      <c r="E2235" s="52"/>
    </row>
    <row r="2236" spans="1:5" s="103" customFormat="1" ht="13.2" hidden="1" outlineLevel="1" x14ac:dyDescent="0.25">
      <c r="A2236" s="106" t="s">
        <v>4492</v>
      </c>
      <c r="B2236" s="106" t="s">
        <v>4493</v>
      </c>
      <c r="C2236" s="106"/>
      <c r="D2236" s="106"/>
      <c r="E2236" s="52"/>
    </row>
    <row r="2237" spans="1:5" s="103" customFormat="1" ht="13.2" hidden="1" outlineLevel="1" x14ac:dyDescent="0.25">
      <c r="A2237" s="106" t="s">
        <v>4494</v>
      </c>
      <c r="B2237" s="106" t="s">
        <v>4495</v>
      </c>
      <c r="C2237" s="106"/>
      <c r="D2237" s="106"/>
      <c r="E2237" s="52"/>
    </row>
    <row r="2238" spans="1:5" s="103" customFormat="1" ht="13.2" hidden="1" outlineLevel="1" x14ac:dyDescent="0.25">
      <c r="A2238" s="106" t="s">
        <v>4496</v>
      </c>
      <c r="B2238" s="106" t="s">
        <v>4497</v>
      </c>
      <c r="C2238" s="106"/>
      <c r="D2238" s="106"/>
      <c r="E2238" s="52"/>
    </row>
    <row r="2239" spans="1:5" s="103" customFormat="1" ht="13.2" hidden="1" outlineLevel="1" x14ac:dyDescent="0.25">
      <c r="A2239" s="106" t="s">
        <v>4498</v>
      </c>
      <c r="B2239" s="106" t="s">
        <v>4499</v>
      </c>
      <c r="C2239" s="106"/>
      <c r="D2239" s="106"/>
      <c r="E2239" s="52"/>
    </row>
    <row r="2240" spans="1:5" s="103" customFormat="1" ht="13.2" hidden="1" outlineLevel="1" x14ac:dyDescent="0.25">
      <c r="A2240" s="106" t="s">
        <v>4500</v>
      </c>
      <c r="B2240" s="106" t="s">
        <v>4501</v>
      </c>
      <c r="C2240" s="106"/>
      <c r="D2240" s="106"/>
      <c r="E2240" s="52"/>
    </row>
    <row r="2241" spans="1:5" s="103" customFormat="1" ht="13.2" hidden="1" outlineLevel="1" x14ac:dyDescent="0.25">
      <c r="A2241" s="106" t="s">
        <v>4502</v>
      </c>
      <c r="B2241" s="106" t="s">
        <v>4503</v>
      </c>
      <c r="C2241" s="106"/>
      <c r="D2241" s="106"/>
      <c r="E2241" s="52"/>
    </row>
    <row r="2242" spans="1:5" s="103" customFormat="1" ht="13.2" hidden="1" outlineLevel="1" x14ac:dyDescent="0.25">
      <c r="A2242" s="106" t="s">
        <v>4504</v>
      </c>
      <c r="B2242" s="106" t="s">
        <v>4505</v>
      </c>
      <c r="C2242" s="106"/>
      <c r="D2242" s="106"/>
      <c r="E2242" s="52"/>
    </row>
    <row r="2243" spans="1:5" s="103" customFormat="1" ht="13.2" hidden="1" outlineLevel="1" x14ac:dyDescent="0.25">
      <c r="A2243" s="106" t="s">
        <v>4506</v>
      </c>
      <c r="B2243" s="106" t="s">
        <v>4507</v>
      </c>
      <c r="C2243" s="106"/>
      <c r="D2243" s="106"/>
      <c r="E2243" s="52"/>
    </row>
    <row r="2244" spans="1:5" s="103" customFormat="1" ht="13.2" hidden="1" outlineLevel="1" x14ac:dyDescent="0.25">
      <c r="A2244" s="106" t="s">
        <v>4508</v>
      </c>
      <c r="B2244" s="106" t="s">
        <v>4509</v>
      </c>
      <c r="C2244" s="106"/>
      <c r="D2244" s="106"/>
      <c r="E2244" s="52"/>
    </row>
    <row r="2245" spans="1:5" s="103" customFormat="1" ht="13.2" hidden="1" outlineLevel="1" x14ac:dyDescent="0.25">
      <c r="A2245" s="106" t="s">
        <v>4510</v>
      </c>
      <c r="B2245" s="106" t="s">
        <v>4511</v>
      </c>
      <c r="C2245" s="106"/>
      <c r="D2245" s="106"/>
      <c r="E2245" s="52"/>
    </row>
    <row r="2246" spans="1:5" s="103" customFormat="1" ht="13.2" hidden="1" outlineLevel="1" x14ac:dyDescent="0.25">
      <c r="A2246" s="106" t="s">
        <v>4512</v>
      </c>
      <c r="B2246" s="106" t="s">
        <v>4513</v>
      </c>
      <c r="C2246" s="106"/>
      <c r="D2246" s="106"/>
      <c r="E2246" s="52"/>
    </row>
    <row r="2247" spans="1:5" s="103" customFormat="1" ht="13.2" hidden="1" outlineLevel="1" x14ac:dyDescent="0.25">
      <c r="A2247" s="106" t="s">
        <v>4514</v>
      </c>
      <c r="B2247" s="106" t="s">
        <v>4515</v>
      </c>
      <c r="C2247" s="106"/>
      <c r="D2247" s="106"/>
      <c r="E2247" s="52"/>
    </row>
    <row r="2248" spans="1:5" s="103" customFormat="1" ht="13.2" hidden="1" outlineLevel="1" x14ac:dyDescent="0.25">
      <c r="A2248" s="106" t="s">
        <v>4516</v>
      </c>
      <c r="B2248" s="106" t="s">
        <v>4517</v>
      </c>
      <c r="C2248" s="106"/>
      <c r="D2248" s="106"/>
      <c r="E2248" s="52"/>
    </row>
    <row r="2249" spans="1:5" s="103" customFormat="1" ht="13.2" hidden="1" outlineLevel="1" x14ac:dyDescent="0.25">
      <c r="A2249" s="106" t="s">
        <v>4518</v>
      </c>
      <c r="B2249" s="106" t="s">
        <v>4519</v>
      </c>
      <c r="C2249" s="106"/>
      <c r="D2249" s="106"/>
      <c r="E2249" s="52"/>
    </row>
    <row r="2250" spans="1:5" s="103" customFormat="1" ht="13.2" hidden="1" outlineLevel="1" x14ac:dyDescent="0.25">
      <c r="A2250" s="106" t="s">
        <v>4520</v>
      </c>
      <c r="B2250" s="106" t="s">
        <v>4521</v>
      </c>
      <c r="C2250" s="106"/>
      <c r="D2250" s="106"/>
      <c r="E2250" s="52"/>
    </row>
    <row r="2251" spans="1:5" s="103" customFormat="1" ht="13.2" hidden="1" outlineLevel="1" x14ac:dyDescent="0.25">
      <c r="A2251" s="106" t="s">
        <v>4522</v>
      </c>
      <c r="B2251" s="106" t="s">
        <v>4523</v>
      </c>
      <c r="C2251" s="106"/>
      <c r="D2251" s="106"/>
      <c r="E2251" s="52"/>
    </row>
    <row r="2252" spans="1:5" s="103" customFormat="1" ht="13.2" hidden="1" outlineLevel="1" x14ac:dyDescent="0.25">
      <c r="A2252" s="106" t="s">
        <v>4524</v>
      </c>
      <c r="B2252" s="106" t="s">
        <v>4525</v>
      </c>
      <c r="C2252" s="106"/>
      <c r="D2252" s="106"/>
      <c r="E2252" s="52"/>
    </row>
    <row r="2253" spans="1:5" s="103" customFormat="1" ht="13.2" hidden="1" outlineLevel="1" x14ac:dyDescent="0.25">
      <c r="A2253" s="106" t="s">
        <v>4526</v>
      </c>
      <c r="B2253" s="106" t="s">
        <v>4527</v>
      </c>
      <c r="C2253" s="106"/>
      <c r="D2253" s="106"/>
      <c r="E2253" s="52"/>
    </row>
    <row r="2254" spans="1:5" s="103" customFormat="1" ht="13.2" hidden="1" outlineLevel="1" x14ac:dyDescent="0.25">
      <c r="A2254" s="106" t="s">
        <v>4528</v>
      </c>
      <c r="B2254" s="106" t="s">
        <v>4529</v>
      </c>
      <c r="C2254" s="106"/>
      <c r="D2254" s="106"/>
      <c r="E2254" s="52"/>
    </row>
    <row r="2255" spans="1:5" s="103" customFormat="1" ht="13.2" hidden="1" outlineLevel="1" x14ac:dyDescent="0.25">
      <c r="A2255" s="106" t="s">
        <v>4530</v>
      </c>
      <c r="B2255" s="106" t="s">
        <v>4531</v>
      </c>
      <c r="C2255" s="106"/>
      <c r="D2255" s="106"/>
      <c r="E2255" s="52"/>
    </row>
    <row r="2256" spans="1:5" s="103" customFormat="1" ht="13.2" hidden="1" outlineLevel="1" x14ac:dyDescent="0.25">
      <c r="A2256" s="106" t="s">
        <v>4532</v>
      </c>
      <c r="B2256" s="106" t="s">
        <v>4533</v>
      </c>
      <c r="C2256" s="106"/>
      <c r="D2256" s="106"/>
      <c r="E2256" s="52"/>
    </row>
    <row r="2257" spans="1:5" s="103" customFormat="1" ht="13.2" hidden="1" outlineLevel="1" x14ac:dyDescent="0.25">
      <c r="A2257" s="106" t="s">
        <v>4534</v>
      </c>
      <c r="B2257" s="106" t="s">
        <v>4535</v>
      </c>
      <c r="C2257" s="106"/>
      <c r="D2257" s="106"/>
      <c r="E2257" s="52"/>
    </row>
    <row r="2258" spans="1:5" s="103" customFormat="1" ht="13.2" hidden="1" outlineLevel="1" x14ac:dyDescent="0.25">
      <c r="A2258" s="106" t="s">
        <v>4536</v>
      </c>
      <c r="B2258" s="106" t="s">
        <v>4537</v>
      </c>
      <c r="C2258" s="106"/>
      <c r="D2258" s="106"/>
      <c r="E2258" s="52"/>
    </row>
    <row r="2259" spans="1:5" s="103" customFormat="1" ht="13.2" hidden="1" outlineLevel="1" x14ac:dyDescent="0.25">
      <c r="A2259" s="106" t="s">
        <v>4538</v>
      </c>
      <c r="B2259" s="106" t="s">
        <v>4539</v>
      </c>
      <c r="C2259" s="106"/>
      <c r="D2259" s="106"/>
      <c r="E2259" s="52"/>
    </row>
    <row r="2260" spans="1:5" s="103" customFormat="1" ht="13.2" hidden="1" outlineLevel="1" x14ac:dyDescent="0.25">
      <c r="A2260" s="106" t="s">
        <v>4540</v>
      </c>
      <c r="B2260" s="106" t="s">
        <v>4541</v>
      </c>
      <c r="C2260" s="106"/>
      <c r="D2260" s="106"/>
      <c r="E2260" s="52"/>
    </row>
    <row r="2261" spans="1:5" s="103" customFormat="1" ht="13.2" hidden="1" outlineLevel="1" x14ac:dyDescent="0.25">
      <c r="A2261" s="106" t="s">
        <v>4542</v>
      </c>
      <c r="B2261" s="106" t="s">
        <v>4543</v>
      </c>
      <c r="C2261" s="106"/>
      <c r="D2261" s="106"/>
      <c r="E2261" s="52"/>
    </row>
    <row r="2262" spans="1:5" s="103" customFormat="1" ht="13.2" hidden="1" outlineLevel="1" x14ac:dyDescent="0.25">
      <c r="A2262" s="106" t="s">
        <v>4544</v>
      </c>
      <c r="B2262" s="106" t="s">
        <v>4545</v>
      </c>
      <c r="C2262" s="106"/>
      <c r="D2262" s="106"/>
      <c r="E2262" s="52"/>
    </row>
    <row r="2263" spans="1:5" s="103" customFormat="1" ht="13.2" hidden="1" outlineLevel="1" x14ac:dyDescent="0.25">
      <c r="A2263" s="106" t="s">
        <v>4546</v>
      </c>
      <c r="B2263" s="106" t="s">
        <v>4547</v>
      </c>
      <c r="C2263" s="106"/>
      <c r="D2263" s="106"/>
      <c r="E2263" s="52"/>
    </row>
    <row r="2264" spans="1:5" s="103" customFormat="1" ht="13.2" hidden="1" outlineLevel="1" x14ac:dyDescent="0.25">
      <c r="A2264" s="106" t="s">
        <v>4548</v>
      </c>
      <c r="B2264" s="106" t="s">
        <v>4549</v>
      </c>
      <c r="C2264" s="106"/>
      <c r="D2264" s="106"/>
      <c r="E2264" s="52"/>
    </row>
    <row r="2265" spans="1:5" s="103" customFormat="1" ht="13.2" hidden="1" outlineLevel="1" x14ac:dyDescent="0.25">
      <c r="A2265" s="106" t="s">
        <v>4550</v>
      </c>
      <c r="B2265" s="106" t="s">
        <v>4551</v>
      </c>
      <c r="C2265" s="106"/>
      <c r="D2265" s="106"/>
      <c r="E2265" s="52"/>
    </row>
    <row r="2266" spans="1:5" s="103" customFormat="1" ht="13.2" hidden="1" outlineLevel="1" x14ac:dyDescent="0.25">
      <c r="A2266" s="106" t="s">
        <v>4552</v>
      </c>
      <c r="B2266" s="106" t="s">
        <v>4553</v>
      </c>
      <c r="C2266" s="106"/>
      <c r="D2266" s="106"/>
      <c r="E2266" s="52"/>
    </row>
    <row r="2267" spans="1:5" s="103" customFormat="1" ht="13.2" hidden="1" outlineLevel="1" x14ac:dyDescent="0.25">
      <c r="A2267" s="106" t="s">
        <v>4554</v>
      </c>
      <c r="B2267" s="106" t="s">
        <v>4555</v>
      </c>
      <c r="C2267" s="106"/>
      <c r="D2267" s="106"/>
      <c r="E2267" s="52"/>
    </row>
    <row r="2268" spans="1:5" s="103" customFormat="1" ht="13.2" collapsed="1" x14ac:dyDescent="0.25">
      <c r="A2268" s="104" t="s">
        <v>4556</v>
      </c>
      <c r="B2268" s="105" t="s">
        <v>4557</v>
      </c>
      <c r="C2268" s="105"/>
      <c r="D2268" s="105"/>
      <c r="E2268" s="51"/>
    </row>
    <row r="2269" spans="1:5" s="103" customFormat="1" ht="13.2" hidden="1" outlineLevel="1" x14ac:dyDescent="0.25">
      <c r="A2269" s="106" t="s">
        <v>4558</v>
      </c>
      <c r="B2269" s="106" t="s">
        <v>4559</v>
      </c>
      <c r="C2269" s="106"/>
      <c r="D2269" s="106"/>
      <c r="E2269" s="52"/>
    </row>
    <row r="2270" spans="1:5" s="103" customFormat="1" ht="13.2" hidden="1" outlineLevel="1" x14ac:dyDescent="0.25">
      <c r="A2270" s="106" t="s">
        <v>4560</v>
      </c>
      <c r="B2270" s="106" t="s">
        <v>4561</v>
      </c>
      <c r="C2270" s="106"/>
      <c r="D2270" s="106"/>
      <c r="E2270" s="52"/>
    </row>
    <row r="2271" spans="1:5" s="103" customFormat="1" ht="13.2" hidden="1" outlineLevel="1" x14ac:dyDescent="0.25">
      <c r="A2271" s="106" t="s">
        <v>4562</v>
      </c>
      <c r="B2271" s="106" t="s">
        <v>4563</v>
      </c>
      <c r="C2271" s="106"/>
      <c r="D2271" s="106"/>
      <c r="E2271" s="52"/>
    </row>
    <row r="2272" spans="1:5" s="103" customFormat="1" ht="13.2" hidden="1" outlineLevel="1" x14ac:dyDescent="0.25">
      <c r="A2272" s="106" t="s">
        <v>4564</v>
      </c>
      <c r="B2272" s="106" t="s">
        <v>4565</v>
      </c>
      <c r="C2272" s="106"/>
      <c r="D2272" s="106"/>
      <c r="E2272" s="52"/>
    </row>
    <row r="2273" spans="1:5" s="103" customFormat="1" ht="13.2" hidden="1" outlineLevel="1" x14ac:dyDescent="0.25">
      <c r="A2273" s="106" t="s">
        <v>4566</v>
      </c>
      <c r="B2273" s="106" t="s">
        <v>4567</v>
      </c>
      <c r="C2273" s="106"/>
      <c r="D2273" s="106"/>
      <c r="E2273" s="52"/>
    </row>
    <row r="2274" spans="1:5" s="103" customFormat="1" ht="13.2" hidden="1" outlineLevel="1" x14ac:dyDescent="0.25">
      <c r="A2274" s="106" t="s">
        <v>4568</v>
      </c>
      <c r="B2274" s="106" t="s">
        <v>4569</v>
      </c>
      <c r="C2274" s="106"/>
      <c r="D2274" s="106"/>
      <c r="E2274" s="52"/>
    </row>
    <row r="2275" spans="1:5" s="103" customFormat="1" ht="13.2" hidden="1" outlineLevel="1" x14ac:dyDescent="0.25">
      <c r="A2275" s="106" t="s">
        <v>4570</v>
      </c>
      <c r="B2275" s="106" t="s">
        <v>4571</v>
      </c>
      <c r="C2275" s="106"/>
      <c r="D2275" s="106"/>
      <c r="E2275" s="52"/>
    </row>
    <row r="2276" spans="1:5" s="103" customFormat="1" ht="13.2" hidden="1" outlineLevel="1" x14ac:dyDescent="0.25">
      <c r="A2276" s="106" t="s">
        <v>4572</v>
      </c>
      <c r="B2276" s="106" t="s">
        <v>4573</v>
      </c>
      <c r="C2276" s="106"/>
      <c r="D2276" s="106"/>
      <c r="E2276" s="52"/>
    </row>
    <row r="2277" spans="1:5" s="103" customFormat="1" ht="13.2" hidden="1" outlineLevel="1" x14ac:dyDescent="0.25">
      <c r="A2277" s="106" t="s">
        <v>4574</v>
      </c>
      <c r="B2277" s="106" t="s">
        <v>4575</v>
      </c>
      <c r="C2277" s="106"/>
      <c r="D2277" s="106"/>
      <c r="E2277" s="52"/>
    </row>
    <row r="2278" spans="1:5" s="103" customFormat="1" ht="13.2" hidden="1" outlineLevel="1" x14ac:dyDescent="0.25">
      <c r="A2278" s="106" t="s">
        <v>4576</v>
      </c>
      <c r="B2278" s="106" t="s">
        <v>4577</v>
      </c>
      <c r="C2278" s="106"/>
      <c r="D2278" s="106"/>
      <c r="E2278" s="52"/>
    </row>
    <row r="2279" spans="1:5" s="103" customFormat="1" ht="13.2" hidden="1" outlineLevel="1" x14ac:dyDescent="0.25">
      <c r="A2279" s="106" t="s">
        <v>4578</v>
      </c>
      <c r="B2279" s="106" t="s">
        <v>4579</v>
      </c>
      <c r="C2279" s="106"/>
      <c r="D2279" s="106"/>
      <c r="E2279" s="52"/>
    </row>
    <row r="2280" spans="1:5" s="103" customFormat="1" ht="13.2" hidden="1" outlineLevel="1" x14ac:dyDescent="0.25">
      <c r="A2280" s="106" t="s">
        <v>4580</v>
      </c>
      <c r="B2280" s="106" t="s">
        <v>4581</v>
      </c>
      <c r="C2280" s="106"/>
      <c r="D2280" s="106"/>
      <c r="E2280" s="52"/>
    </row>
    <row r="2281" spans="1:5" s="103" customFormat="1" ht="13.2" hidden="1" outlineLevel="1" x14ac:dyDescent="0.25">
      <c r="A2281" s="106" t="s">
        <v>4582</v>
      </c>
      <c r="B2281" s="106" t="s">
        <v>4583</v>
      </c>
      <c r="C2281" s="106"/>
      <c r="D2281" s="106"/>
      <c r="E2281" s="52"/>
    </row>
    <row r="2282" spans="1:5" s="103" customFormat="1" ht="13.2" hidden="1" outlineLevel="1" x14ac:dyDescent="0.25">
      <c r="A2282" s="106" t="s">
        <v>4584</v>
      </c>
      <c r="B2282" s="106" t="s">
        <v>4585</v>
      </c>
      <c r="C2282" s="106"/>
      <c r="D2282" s="106"/>
      <c r="E2282" s="52"/>
    </row>
    <row r="2283" spans="1:5" s="103" customFormat="1" ht="13.2" hidden="1" outlineLevel="1" x14ac:dyDescent="0.25">
      <c r="A2283" s="106" t="s">
        <v>4586</v>
      </c>
      <c r="B2283" s="106" t="s">
        <v>4587</v>
      </c>
      <c r="C2283" s="106"/>
      <c r="D2283" s="106"/>
      <c r="E2283" s="52"/>
    </row>
    <row r="2284" spans="1:5" s="103" customFormat="1" ht="13.2" hidden="1" outlineLevel="1" x14ac:dyDescent="0.25">
      <c r="A2284" s="106" t="s">
        <v>4588</v>
      </c>
      <c r="B2284" s="106" t="s">
        <v>4589</v>
      </c>
      <c r="C2284" s="106"/>
      <c r="D2284" s="106"/>
      <c r="E2284" s="52"/>
    </row>
    <row r="2285" spans="1:5" s="103" customFormat="1" ht="13.2" hidden="1" outlineLevel="1" x14ac:dyDescent="0.25">
      <c r="A2285" s="106" t="s">
        <v>4590</v>
      </c>
      <c r="B2285" s="106" t="s">
        <v>4591</v>
      </c>
      <c r="C2285" s="106"/>
      <c r="D2285" s="106"/>
      <c r="E2285" s="52"/>
    </row>
    <row r="2286" spans="1:5" s="103" customFormat="1" ht="13.2" hidden="1" outlineLevel="1" x14ac:dyDescent="0.25">
      <c r="A2286" s="106" t="s">
        <v>4592</v>
      </c>
      <c r="B2286" s="106" t="s">
        <v>4593</v>
      </c>
      <c r="C2286" s="106"/>
      <c r="D2286" s="106"/>
      <c r="E2286" s="52"/>
    </row>
    <row r="2287" spans="1:5" s="103" customFormat="1" ht="13.2" hidden="1" outlineLevel="1" x14ac:dyDescent="0.25">
      <c r="A2287" s="106" t="s">
        <v>4594</v>
      </c>
      <c r="B2287" s="106" t="s">
        <v>4595</v>
      </c>
      <c r="C2287" s="106"/>
      <c r="D2287" s="106"/>
      <c r="E2287" s="52"/>
    </row>
    <row r="2288" spans="1:5" s="103" customFormat="1" ht="13.2" hidden="1" outlineLevel="1" x14ac:dyDescent="0.25">
      <c r="A2288" s="106" t="s">
        <v>4596</v>
      </c>
      <c r="B2288" s="106" t="s">
        <v>4597</v>
      </c>
      <c r="C2288" s="106"/>
      <c r="D2288" s="106"/>
      <c r="E2288" s="52"/>
    </row>
    <row r="2289" spans="1:5" s="103" customFormat="1" ht="13.2" hidden="1" outlineLevel="1" x14ac:dyDescent="0.25">
      <c r="A2289" s="106" t="s">
        <v>4598</v>
      </c>
      <c r="B2289" s="106" t="s">
        <v>4599</v>
      </c>
      <c r="C2289" s="106"/>
      <c r="D2289" s="106"/>
      <c r="E2289" s="52"/>
    </row>
    <row r="2290" spans="1:5" s="103" customFormat="1" ht="13.2" hidden="1" outlineLevel="1" x14ac:dyDescent="0.25">
      <c r="A2290" s="106" t="s">
        <v>4600</v>
      </c>
      <c r="B2290" s="106" t="s">
        <v>4601</v>
      </c>
      <c r="C2290" s="106"/>
      <c r="D2290" s="106"/>
      <c r="E2290" s="52"/>
    </row>
    <row r="2291" spans="1:5" s="103" customFormat="1" ht="13.2" hidden="1" outlineLevel="1" x14ac:dyDescent="0.25">
      <c r="A2291" s="106" t="s">
        <v>4602</v>
      </c>
      <c r="B2291" s="106" t="s">
        <v>4603</v>
      </c>
      <c r="C2291" s="106"/>
      <c r="D2291" s="106"/>
      <c r="E2291" s="52"/>
    </row>
    <row r="2292" spans="1:5" s="103" customFormat="1" ht="13.2" hidden="1" outlineLevel="1" x14ac:dyDescent="0.25">
      <c r="A2292" s="106" t="s">
        <v>4604</v>
      </c>
      <c r="B2292" s="106" t="s">
        <v>4605</v>
      </c>
      <c r="C2292" s="106"/>
      <c r="D2292" s="106"/>
      <c r="E2292" s="52"/>
    </row>
    <row r="2293" spans="1:5" s="103" customFormat="1" ht="13.2" hidden="1" outlineLevel="1" x14ac:dyDescent="0.25">
      <c r="A2293" s="106" t="s">
        <v>4606</v>
      </c>
      <c r="B2293" s="106" t="s">
        <v>4607</v>
      </c>
      <c r="C2293" s="106"/>
      <c r="D2293" s="106"/>
      <c r="E2293" s="52"/>
    </row>
    <row r="2294" spans="1:5" s="103" customFormat="1" ht="13.2" hidden="1" outlineLevel="1" x14ac:dyDescent="0.25">
      <c r="A2294" s="106" t="s">
        <v>4608</v>
      </c>
      <c r="B2294" s="106" t="s">
        <v>4609</v>
      </c>
      <c r="C2294" s="106"/>
      <c r="D2294" s="106"/>
      <c r="E2294" s="52"/>
    </row>
    <row r="2295" spans="1:5" s="103" customFormat="1" ht="13.2" hidden="1" outlineLevel="1" x14ac:dyDescent="0.25">
      <c r="A2295" s="106" t="s">
        <v>4610</v>
      </c>
      <c r="B2295" s="106" t="s">
        <v>4611</v>
      </c>
      <c r="C2295" s="106"/>
      <c r="D2295" s="106"/>
      <c r="E2295" s="52"/>
    </row>
    <row r="2296" spans="1:5" s="103" customFormat="1" ht="13.2" hidden="1" outlineLevel="1" x14ac:dyDescent="0.25">
      <c r="A2296" s="106" t="s">
        <v>4612</v>
      </c>
      <c r="B2296" s="106" t="s">
        <v>4613</v>
      </c>
      <c r="C2296" s="106"/>
      <c r="D2296" s="106"/>
      <c r="E2296" s="52"/>
    </row>
    <row r="2297" spans="1:5" s="103" customFormat="1" ht="13.2" hidden="1" outlineLevel="1" x14ac:dyDescent="0.25">
      <c r="A2297" s="106" t="s">
        <v>4614</v>
      </c>
      <c r="B2297" s="106" t="s">
        <v>4615</v>
      </c>
      <c r="C2297" s="106"/>
      <c r="D2297" s="106"/>
      <c r="E2297" s="52"/>
    </row>
    <row r="2298" spans="1:5" s="103" customFormat="1" ht="13.2" hidden="1" outlineLevel="1" x14ac:dyDescent="0.25">
      <c r="A2298" s="106" t="s">
        <v>4616</v>
      </c>
      <c r="B2298" s="106" t="s">
        <v>4617</v>
      </c>
      <c r="C2298" s="106"/>
      <c r="D2298" s="106"/>
      <c r="E2298" s="52"/>
    </row>
    <row r="2299" spans="1:5" s="103" customFormat="1" ht="13.2" hidden="1" outlineLevel="1" x14ac:dyDescent="0.25">
      <c r="A2299" s="106" t="s">
        <v>4618</v>
      </c>
      <c r="B2299" s="106" t="s">
        <v>4619</v>
      </c>
      <c r="C2299" s="106"/>
      <c r="D2299" s="106"/>
      <c r="E2299" s="52"/>
    </row>
    <row r="2300" spans="1:5" s="103" customFormat="1" ht="13.2" hidden="1" outlineLevel="1" x14ac:dyDescent="0.25">
      <c r="A2300" s="106" t="s">
        <v>4620</v>
      </c>
      <c r="B2300" s="106" t="s">
        <v>4621</v>
      </c>
      <c r="C2300" s="106"/>
      <c r="D2300" s="106"/>
      <c r="E2300" s="52"/>
    </row>
    <row r="2301" spans="1:5" s="103" customFormat="1" ht="13.2" hidden="1" outlineLevel="1" x14ac:dyDescent="0.25">
      <c r="A2301" s="106" t="s">
        <v>4622</v>
      </c>
      <c r="B2301" s="106" t="s">
        <v>4623</v>
      </c>
      <c r="C2301" s="106"/>
      <c r="D2301" s="106"/>
      <c r="E2301" s="52"/>
    </row>
    <row r="2302" spans="1:5" s="103" customFormat="1" ht="13.2" hidden="1" outlineLevel="1" x14ac:dyDescent="0.25">
      <c r="A2302" s="106" t="s">
        <v>4624</v>
      </c>
      <c r="B2302" s="106" t="s">
        <v>4625</v>
      </c>
      <c r="C2302" s="106"/>
      <c r="D2302" s="106"/>
      <c r="E2302" s="52"/>
    </row>
    <row r="2303" spans="1:5" s="103" customFormat="1" ht="13.2" hidden="1" outlineLevel="1" x14ac:dyDescent="0.25">
      <c r="A2303" s="106" t="s">
        <v>4626</v>
      </c>
      <c r="B2303" s="106" t="s">
        <v>4627</v>
      </c>
      <c r="C2303" s="106"/>
      <c r="D2303" s="106"/>
      <c r="E2303" s="52"/>
    </row>
    <row r="2304" spans="1:5" s="103" customFormat="1" ht="13.2" hidden="1" outlineLevel="1" x14ac:dyDescent="0.25">
      <c r="A2304" s="106" t="s">
        <v>4628</v>
      </c>
      <c r="B2304" s="106" t="s">
        <v>4629</v>
      </c>
      <c r="C2304" s="106"/>
      <c r="D2304" s="106"/>
      <c r="E2304" s="52"/>
    </row>
    <row r="2305" spans="1:5" s="103" customFormat="1" ht="13.2" hidden="1" outlineLevel="1" x14ac:dyDescent="0.25">
      <c r="A2305" s="106" t="s">
        <v>4630</v>
      </c>
      <c r="B2305" s="106" t="s">
        <v>4631</v>
      </c>
      <c r="C2305" s="106"/>
      <c r="D2305" s="106"/>
      <c r="E2305" s="52"/>
    </row>
    <row r="2306" spans="1:5" s="103" customFormat="1" ht="13.2" hidden="1" outlineLevel="1" x14ac:dyDescent="0.25">
      <c r="A2306" s="106" t="s">
        <v>4632</v>
      </c>
      <c r="B2306" s="106" t="s">
        <v>4633</v>
      </c>
      <c r="C2306" s="106"/>
      <c r="D2306" s="106"/>
      <c r="E2306" s="52"/>
    </row>
    <row r="2307" spans="1:5" s="103" customFormat="1" ht="13.2" hidden="1" outlineLevel="1" x14ac:dyDescent="0.25">
      <c r="A2307" s="106" t="s">
        <v>4634</v>
      </c>
      <c r="B2307" s="106" t="s">
        <v>4635</v>
      </c>
      <c r="C2307" s="106"/>
      <c r="D2307" s="106"/>
      <c r="E2307" s="52"/>
    </row>
    <row r="2308" spans="1:5" s="103" customFormat="1" ht="13.2" hidden="1" outlineLevel="1" x14ac:dyDescent="0.25">
      <c r="A2308" s="106" t="s">
        <v>4636</v>
      </c>
      <c r="B2308" s="106" t="s">
        <v>4637</v>
      </c>
      <c r="C2308" s="106"/>
      <c r="D2308" s="106"/>
      <c r="E2308" s="52"/>
    </row>
    <row r="2309" spans="1:5" s="103" customFormat="1" ht="13.2" hidden="1" outlineLevel="1" x14ac:dyDescent="0.25">
      <c r="A2309" s="106" t="s">
        <v>4638</v>
      </c>
      <c r="B2309" s="106" t="s">
        <v>4639</v>
      </c>
      <c r="C2309" s="106"/>
      <c r="D2309" s="106"/>
      <c r="E2309" s="52"/>
    </row>
    <row r="2310" spans="1:5" s="103" customFormat="1" ht="13.2" hidden="1" outlineLevel="1" x14ac:dyDescent="0.25">
      <c r="A2310" s="106" t="s">
        <v>4640</v>
      </c>
      <c r="B2310" s="106" t="s">
        <v>4641</v>
      </c>
      <c r="C2310" s="106"/>
      <c r="D2310" s="106"/>
      <c r="E2310" s="52"/>
    </row>
    <row r="2311" spans="1:5" s="103" customFormat="1" ht="13.2" hidden="1" outlineLevel="1" x14ac:dyDescent="0.25">
      <c r="A2311" s="106" t="s">
        <v>14391</v>
      </c>
      <c r="B2311" s="106" t="s">
        <v>14406</v>
      </c>
      <c r="C2311" s="106"/>
      <c r="D2311" s="106"/>
      <c r="E2311" s="52"/>
    </row>
    <row r="2312" spans="1:5" s="103" customFormat="1" ht="13.2" hidden="1" outlineLevel="1" x14ac:dyDescent="0.25">
      <c r="A2312" s="106" t="s">
        <v>4642</v>
      </c>
      <c r="B2312" s="106" t="s">
        <v>4643</v>
      </c>
      <c r="C2312" s="106"/>
      <c r="D2312" s="106"/>
      <c r="E2312" s="52"/>
    </row>
    <row r="2313" spans="1:5" s="103" customFormat="1" ht="13.2" hidden="1" outlineLevel="1" x14ac:dyDescent="0.25">
      <c r="A2313" s="106" t="s">
        <v>4644</v>
      </c>
      <c r="B2313" s="106" t="s">
        <v>4645</v>
      </c>
      <c r="C2313" s="106"/>
      <c r="D2313" s="106"/>
      <c r="E2313" s="52"/>
    </row>
    <row r="2314" spans="1:5" s="103" customFormat="1" ht="13.2" hidden="1" outlineLevel="1" x14ac:dyDescent="0.25">
      <c r="A2314" s="106" t="s">
        <v>4646</v>
      </c>
      <c r="B2314" s="106" t="s">
        <v>4647</v>
      </c>
      <c r="C2314" s="106"/>
      <c r="D2314" s="106"/>
      <c r="E2314" s="52"/>
    </row>
    <row r="2315" spans="1:5" s="103" customFormat="1" ht="13.2" hidden="1" outlineLevel="1" x14ac:dyDescent="0.25">
      <c r="A2315" s="106" t="s">
        <v>4648</v>
      </c>
      <c r="B2315" s="106" t="s">
        <v>4649</v>
      </c>
      <c r="C2315" s="106"/>
      <c r="D2315" s="106"/>
      <c r="E2315" s="52"/>
    </row>
    <row r="2316" spans="1:5" s="103" customFormat="1" ht="13.2" hidden="1" outlineLevel="1" x14ac:dyDescent="0.25">
      <c r="A2316" s="106" t="s">
        <v>4650</v>
      </c>
      <c r="B2316" s="106" t="s">
        <v>4651</v>
      </c>
      <c r="C2316" s="106"/>
      <c r="D2316" s="106"/>
      <c r="E2316" s="52"/>
    </row>
    <row r="2317" spans="1:5" s="103" customFormat="1" ht="13.2" hidden="1" outlineLevel="1" x14ac:dyDescent="0.25">
      <c r="A2317" s="106" t="s">
        <v>4652</v>
      </c>
      <c r="B2317" s="106" t="s">
        <v>4653</v>
      </c>
      <c r="C2317" s="106"/>
      <c r="D2317" s="106"/>
      <c r="E2317" s="52"/>
    </row>
    <row r="2318" spans="1:5" s="103" customFormat="1" ht="13.2" hidden="1" outlineLevel="1" x14ac:dyDescent="0.25">
      <c r="A2318" s="106" t="s">
        <v>4654</v>
      </c>
      <c r="B2318" s="106" t="s">
        <v>4655</v>
      </c>
      <c r="C2318" s="106"/>
      <c r="D2318" s="106"/>
      <c r="E2318" s="52"/>
    </row>
    <row r="2319" spans="1:5" s="103" customFormat="1" ht="13.2" hidden="1" outlineLevel="1" x14ac:dyDescent="0.25">
      <c r="A2319" s="106" t="s">
        <v>4656</v>
      </c>
      <c r="B2319" s="106" t="s">
        <v>4657</v>
      </c>
      <c r="C2319" s="106"/>
      <c r="D2319" s="106"/>
      <c r="E2319" s="52"/>
    </row>
    <row r="2320" spans="1:5" s="103" customFormat="1" ht="13.2" hidden="1" outlineLevel="1" x14ac:dyDescent="0.25">
      <c r="A2320" s="106" t="s">
        <v>4658</v>
      </c>
      <c r="B2320" s="106" t="s">
        <v>4659</v>
      </c>
      <c r="C2320" s="106"/>
      <c r="D2320" s="106"/>
      <c r="E2320" s="52"/>
    </row>
    <row r="2321" spans="1:5" s="103" customFormat="1" ht="13.2" hidden="1" outlineLevel="1" x14ac:dyDescent="0.25">
      <c r="A2321" s="106" t="s">
        <v>4660</v>
      </c>
      <c r="B2321" s="106" t="s">
        <v>4661</v>
      </c>
      <c r="C2321" s="106"/>
      <c r="D2321" s="106"/>
      <c r="E2321" s="52"/>
    </row>
    <row r="2322" spans="1:5" s="103" customFormat="1" ht="13.2" hidden="1" outlineLevel="1" x14ac:dyDescent="0.25">
      <c r="A2322" s="106" t="s">
        <v>4662</v>
      </c>
      <c r="B2322" s="106" t="s">
        <v>4663</v>
      </c>
      <c r="C2322" s="106"/>
      <c r="D2322" s="106"/>
      <c r="E2322" s="52"/>
    </row>
    <row r="2323" spans="1:5" s="103" customFormat="1" ht="13.2" hidden="1" outlineLevel="1" x14ac:dyDescent="0.25">
      <c r="A2323" s="106" t="s">
        <v>4664</v>
      </c>
      <c r="B2323" s="106" t="s">
        <v>4665</v>
      </c>
      <c r="C2323" s="106"/>
      <c r="D2323" s="106"/>
      <c r="E2323" s="52"/>
    </row>
    <row r="2324" spans="1:5" s="103" customFormat="1" ht="13.2" hidden="1" outlineLevel="1" x14ac:dyDescent="0.25">
      <c r="A2324" s="106" t="s">
        <v>4666</v>
      </c>
      <c r="B2324" s="106" t="s">
        <v>4667</v>
      </c>
      <c r="C2324" s="106"/>
      <c r="D2324" s="106"/>
      <c r="E2324" s="52"/>
    </row>
    <row r="2325" spans="1:5" s="103" customFormat="1" ht="13.2" hidden="1" outlineLevel="1" x14ac:dyDescent="0.25">
      <c r="A2325" s="106" t="s">
        <v>4668</v>
      </c>
      <c r="B2325" s="106" t="s">
        <v>4669</v>
      </c>
      <c r="C2325" s="106"/>
      <c r="D2325" s="106"/>
      <c r="E2325" s="52"/>
    </row>
    <row r="2326" spans="1:5" s="103" customFormat="1" ht="13.2" hidden="1" outlineLevel="1" x14ac:dyDescent="0.25">
      <c r="A2326" s="106" t="s">
        <v>4670</v>
      </c>
      <c r="B2326" s="106" t="s">
        <v>4671</v>
      </c>
      <c r="C2326" s="106"/>
      <c r="D2326" s="106"/>
      <c r="E2326" s="52"/>
    </row>
    <row r="2327" spans="1:5" s="103" customFormat="1" ht="13.2" hidden="1" outlineLevel="1" x14ac:dyDescent="0.25">
      <c r="A2327" s="106" t="s">
        <v>4672</v>
      </c>
      <c r="B2327" s="106" t="s">
        <v>4673</v>
      </c>
      <c r="C2327" s="106"/>
      <c r="D2327" s="106"/>
      <c r="E2327" s="52"/>
    </row>
    <row r="2328" spans="1:5" s="103" customFormat="1" ht="13.2" hidden="1" outlineLevel="1" x14ac:dyDescent="0.25">
      <c r="A2328" s="106" t="s">
        <v>4674</v>
      </c>
      <c r="B2328" s="106" t="s">
        <v>4675</v>
      </c>
      <c r="C2328" s="106"/>
      <c r="D2328" s="106"/>
      <c r="E2328" s="52"/>
    </row>
    <row r="2329" spans="1:5" s="103" customFormat="1" ht="13.2" hidden="1" outlineLevel="1" x14ac:dyDescent="0.25">
      <c r="A2329" s="106" t="s">
        <v>4676</v>
      </c>
      <c r="B2329" s="106" t="s">
        <v>4677</v>
      </c>
      <c r="C2329" s="106"/>
      <c r="D2329" s="106"/>
      <c r="E2329" s="52"/>
    </row>
    <row r="2330" spans="1:5" s="103" customFormat="1" ht="13.2" hidden="1" outlineLevel="1" x14ac:dyDescent="0.25">
      <c r="A2330" s="106" t="s">
        <v>4678</v>
      </c>
      <c r="B2330" s="106" t="s">
        <v>4679</v>
      </c>
      <c r="C2330" s="106"/>
      <c r="D2330" s="106"/>
      <c r="E2330" s="52"/>
    </row>
    <row r="2331" spans="1:5" s="103" customFormat="1" ht="13.2" hidden="1" outlineLevel="1" x14ac:dyDescent="0.25">
      <c r="A2331" s="106" t="s">
        <v>4680</v>
      </c>
      <c r="B2331" s="106" t="s">
        <v>4681</v>
      </c>
      <c r="C2331" s="106"/>
      <c r="D2331" s="106"/>
      <c r="E2331" s="52"/>
    </row>
    <row r="2332" spans="1:5" s="103" customFormat="1" ht="13.2" hidden="1" outlineLevel="1" x14ac:dyDescent="0.25">
      <c r="A2332" s="106" t="s">
        <v>4682</v>
      </c>
      <c r="B2332" s="106" t="s">
        <v>4683</v>
      </c>
      <c r="C2332" s="106"/>
      <c r="D2332" s="106"/>
      <c r="E2332" s="52"/>
    </row>
    <row r="2333" spans="1:5" s="103" customFormat="1" ht="13.2" hidden="1" outlineLevel="1" x14ac:dyDescent="0.25">
      <c r="A2333" s="106" t="s">
        <v>4684</v>
      </c>
      <c r="B2333" s="106" t="s">
        <v>4685</v>
      </c>
      <c r="C2333" s="106"/>
      <c r="D2333" s="106"/>
      <c r="E2333" s="52"/>
    </row>
    <row r="2334" spans="1:5" s="103" customFormat="1" ht="13.2" hidden="1" outlineLevel="1" x14ac:dyDescent="0.25">
      <c r="A2334" s="106" t="s">
        <v>4686</v>
      </c>
      <c r="B2334" s="106" t="s">
        <v>4687</v>
      </c>
      <c r="C2334" s="106"/>
      <c r="D2334" s="106"/>
      <c r="E2334" s="52"/>
    </row>
    <row r="2335" spans="1:5" s="103" customFormat="1" ht="13.2" hidden="1" outlineLevel="1" x14ac:dyDescent="0.25">
      <c r="A2335" s="106" t="s">
        <v>4688</v>
      </c>
      <c r="B2335" s="106" t="s">
        <v>4689</v>
      </c>
      <c r="C2335" s="106"/>
      <c r="D2335" s="106"/>
      <c r="E2335" s="52"/>
    </row>
    <row r="2336" spans="1:5" s="103" customFormat="1" ht="13.2" hidden="1" outlineLevel="1" x14ac:dyDescent="0.25">
      <c r="A2336" s="106" t="s">
        <v>4690</v>
      </c>
      <c r="B2336" s="106" t="s">
        <v>4691</v>
      </c>
      <c r="C2336" s="106"/>
      <c r="D2336" s="106"/>
      <c r="E2336" s="52"/>
    </row>
    <row r="2337" spans="1:5" s="103" customFormat="1" ht="13.2" hidden="1" outlineLevel="1" x14ac:dyDescent="0.25">
      <c r="A2337" s="106" t="s">
        <v>4692</v>
      </c>
      <c r="B2337" s="106" t="s">
        <v>4693</v>
      </c>
      <c r="C2337" s="106"/>
      <c r="D2337" s="106"/>
      <c r="E2337" s="52"/>
    </row>
    <row r="2338" spans="1:5" s="103" customFormat="1" ht="13.2" hidden="1" outlineLevel="1" x14ac:dyDescent="0.25">
      <c r="A2338" s="106" t="s">
        <v>4694</v>
      </c>
      <c r="B2338" s="106" t="s">
        <v>4695</v>
      </c>
      <c r="C2338" s="106"/>
      <c r="D2338" s="106"/>
      <c r="E2338" s="52"/>
    </row>
    <row r="2339" spans="1:5" s="103" customFormat="1" ht="13.2" hidden="1" outlineLevel="1" x14ac:dyDescent="0.25">
      <c r="A2339" s="106" t="s">
        <v>4696</v>
      </c>
      <c r="B2339" s="106" t="s">
        <v>4697</v>
      </c>
      <c r="C2339" s="106"/>
      <c r="D2339" s="106"/>
      <c r="E2339" s="52"/>
    </row>
    <row r="2340" spans="1:5" s="103" customFormat="1" ht="13.2" hidden="1" outlineLevel="1" x14ac:dyDescent="0.25">
      <c r="A2340" s="106" t="s">
        <v>4698</v>
      </c>
      <c r="B2340" s="106" t="s">
        <v>4699</v>
      </c>
      <c r="C2340" s="106"/>
      <c r="D2340" s="106"/>
      <c r="E2340" s="52"/>
    </row>
    <row r="2341" spans="1:5" s="103" customFormat="1" ht="13.2" hidden="1" outlineLevel="1" x14ac:dyDescent="0.25">
      <c r="A2341" s="106" t="s">
        <v>4700</v>
      </c>
      <c r="B2341" s="106" t="s">
        <v>4701</v>
      </c>
      <c r="C2341" s="106"/>
      <c r="D2341" s="106"/>
      <c r="E2341" s="52"/>
    </row>
    <row r="2342" spans="1:5" s="103" customFormat="1" ht="13.2" hidden="1" outlineLevel="1" x14ac:dyDescent="0.25">
      <c r="A2342" s="106" t="s">
        <v>4702</v>
      </c>
      <c r="B2342" s="106" t="s">
        <v>4703</v>
      </c>
      <c r="C2342" s="106"/>
      <c r="D2342" s="106"/>
      <c r="E2342" s="52"/>
    </row>
    <row r="2343" spans="1:5" s="103" customFormat="1" ht="13.2" hidden="1" outlineLevel="1" x14ac:dyDescent="0.25">
      <c r="A2343" s="106" t="s">
        <v>4704</v>
      </c>
      <c r="B2343" s="106" t="s">
        <v>4705</v>
      </c>
      <c r="C2343" s="106"/>
      <c r="D2343" s="106"/>
      <c r="E2343" s="52"/>
    </row>
    <row r="2344" spans="1:5" s="103" customFormat="1" ht="13.2" hidden="1" outlineLevel="1" x14ac:dyDescent="0.25">
      <c r="A2344" s="106" t="s">
        <v>4706</v>
      </c>
      <c r="B2344" s="106" t="s">
        <v>4707</v>
      </c>
      <c r="C2344" s="106"/>
      <c r="D2344" s="106"/>
      <c r="E2344" s="52"/>
    </row>
    <row r="2345" spans="1:5" s="103" customFormat="1" ht="13.2" hidden="1" outlineLevel="1" x14ac:dyDescent="0.25">
      <c r="A2345" s="106" t="s">
        <v>4708</v>
      </c>
      <c r="B2345" s="106" t="s">
        <v>4709</v>
      </c>
      <c r="C2345" s="106"/>
      <c r="D2345" s="106"/>
      <c r="E2345" s="52"/>
    </row>
    <row r="2346" spans="1:5" s="103" customFormat="1" ht="13.2" hidden="1" outlineLevel="1" x14ac:dyDescent="0.25">
      <c r="A2346" s="106" t="s">
        <v>4710</v>
      </c>
      <c r="B2346" s="106" t="s">
        <v>4711</v>
      </c>
      <c r="C2346" s="106"/>
      <c r="D2346" s="106"/>
      <c r="E2346" s="52"/>
    </row>
    <row r="2347" spans="1:5" s="103" customFormat="1" ht="13.2" hidden="1" outlineLevel="1" x14ac:dyDescent="0.25">
      <c r="A2347" s="106" t="s">
        <v>4712</v>
      </c>
      <c r="B2347" s="106" t="s">
        <v>4713</v>
      </c>
      <c r="C2347" s="106"/>
      <c r="D2347" s="106"/>
      <c r="E2347" s="52"/>
    </row>
    <row r="2348" spans="1:5" s="103" customFormat="1" ht="13.2" hidden="1" outlineLevel="1" x14ac:dyDescent="0.25">
      <c r="A2348" s="106" t="s">
        <v>4714</v>
      </c>
      <c r="B2348" s="106" t="s">
        <v>4715</v>
      </c>
      <c r="C2348" s="106"/>
      <c r="D2348" s="106"/>
      <c r="E2348" s="52"/>
    </row>
    <row r="2349" spans="1:5" s="103" customFormat="1" ht="13.2" hidden="1" outlineLevel="1" x14ac:dyDescent="0.25">
      <c r="A2349" s="106" t="s">
        <v>4716</v>
      </c>
      <c r="B2349" s="106" t="s">
        <v>4717</v>
      </c>
      <c r="C2349" s="106"/>
      <c r="D2349" s="106"/>
      <c r="E2349" s="52"/>
    </row>
    <row r="2350" spans="1:5" s="103" customFormat="1" ht="13.2" hidden="1" outlineLevel="1" x14ac:dyDescent="0.25">
      <c r="A2350" s="106" t="s">
        <v>4718</v>
      </c>
      <c r="B2350" s="106" t="s">
        <v>4719</v>
      </c>
      <c r="C2350" s="106"/>
      <c r="D2350" s="106"/>
      <c r="E2350" s="52"/>
    </row>
    <row r="2351" spans="1:5" s="103" customFormat="1" ht="13.2" hidden="1" outlineLevel="1" x14ac:dyDescent="0.25">
      <c r="A2351" s="106" t="s">
        <v>4720</v>
      </c>
      <c r="B2351" s="106" t="s">
        <v>4721</v>
      </c>
      <c r="C2351" s="106"/>
      <c r="D2351" s="106"/>
      <c r="E2351" s="52"/>
    </row>
    <row r="2352" spans="1:5" s="103" customFormat="1" ht="13.2" hidden="1" outlineLevel="1" x14ac:dyDescent="0.25">
      <c r="A2352" s="106" t="s">
        <v>4722</v>
      </c>
      <c r="B2352" s="106" t="s">
        <v>4723</v>
      </c>
      <c r="C2352" s="106"/>
      <c r="D2352" s="106"/>
      <c r="E2352" s="52"/>
    </row>
    <row r="2353" spans="1:5" s="103" customFormat="1" ht="13.2" hidden="1" outlineLevel="1" x14ac:dyDescent="0.25">
      <c r="A2353" s="106" t="s">
        <v>4724</v>
      </c>
      <c r="B2353" s="106" t="s">
        <v>4725</v>
      </c>
      <c r="C2353" s="106"/>
      <c r="D2353" s="106"/>
      <c r="E2353" s="52"/>
    </row>
    <row r="2354" spans="1:5" s="103" customFormat="1" ht="13.2" hidden="1" outlineLevel="1" x14ac:dyDescent="0.25">
      <c r="A2354" s="106" t="s">
        <v>4726</v>
      </c>
      <c r="B2354" s="106" t="s">
        <v>4727</v>
      </c>
      <c r="C2354" s="106"/>
      <c r="D2354" s="106"/>
      <c r="E2354" s="52"/>
    </row>
    <row r="2355" spans="1:5" s="103" customFormat="1" ht="13.2" hidden="1" outlineLevel="1" x14ac:dyDescent="0.25">
      <c r="A2355" s="106" t="s">
        <v>4728</v>
      </c>
      <c r="B2355" s="106" t="s">
        <v>4729</v>
      </c>
      <c r="C2355" s="106"/>
      <c r="D2355" s="106"/>
      <c r="E2355" s="52"/>
    </row>
    <row r="2356" spans="1:5" s="103" customFormat="1" ht="13.2" hidden="1" outlineLevel="1" x14ac:dyDescent="0.25">
      <c r="A2356" s="106" t="s">
        <v>4730</v>
      </c>
      <c r="B2356" s="106" t="s">
        <v>4731</v>
      </c>
      <c r="C2356" s="106"/>
      <c r="D2356" s="106"/>
      <c r="E2356" s="52"/>
    </row>
    <row r="2357" spans="1:5" s="103" customFormat="1" ht="13.2" hidden="1" outlineLevel="1" x14ac:dyDescent="0.25">
      <c r="A2357" s="106" t="s">
        <v>4732</v>
      </c>
      <c r="B2357" s="106" t="s">
        <v>4733</v>
      </c>
      <c r="C2357" s="106"/>
      <c r="D2357" s="106"/>
      <c r="E2357" s="52"/>
    </row>
    <row r="2358" spans="1:5" s="103" customFormat="1" ht="13.2" hidden="1" outlineLevel="1" x14ac:dyDescent="0.25">
      <c r="A2358" s="106" t="s">
        <v>4734</v>
      </c>
      <c r="B2358" s="106" t="s">
        <v>4735</v>
      </c>
      <c r="C2358" s="106"/>
      <c r="D2358" s="106"/>
      <c r="E2358" s="52"/>
    </row>
    <row r="2359" spans="1:5" s="103" customFormat="1" ht="13.2" hidden="1" outlineLevel="1" x14ac:dyDescent="0.25">
      <c r="A2359" s="106" t="s">
        <v>4736</v>
      </c>
      <c r="B2359" s="106" t="s">
        <v>4737</v>
      </c>
      <c r="C2359" s="106"/>
      <c r="D2359" s="106"/>
      <c r="E2359" s="52"/>
    </row>
    <row r="2360" spans="1:5" s="103" customFormat="1" ht="13.2" hidden="1" outlineLevel="1" x14ac:dyDescent="0.25">
      <c r="A2360" s="106" t="s">
        <v>4738</v>
      </c>
      <c r="B2360" s="106" t="s">
        <v>4739</v>
      </c>
      <c r="C2360" s="106"/>
      <c r="D2360" s="106"/>
      <c r="E2360" s="52"/>
    </row>
    <row r="2361" spans="1:5" s="103" customFormat="1" ht="13.2" hidden="1" outlineLevel="1" x14ac:dyDescent="0.25">
      <c r="A2361" s="106" t="s">
        <v>4740</v>
      </c>
      <c r="B2361" s="106" t="s">
        <v>4741</v>
      </c>
      <c r="C2361" s="106"/>
      <c r="D2361" s="106"/>
      <c r="E2361" s="52"/>
    </row>
    <row r="2362" spans="1:5" s="103" customFormat="1" ht="13.2" hidden="1" outlineLevel="1" x14ac:dyDescent="0.25">
      <c r="A2362" s="106" t="s">
        <v>4742</v>
      </c>
      <c r="B2362" s="106" t="s">
        <v>4743</v>
      </c>
      <c r="C2362" s="106"/>
      <c r="D2362" s="106"/>
      <c r="E2362" s="52"/>
    </row>
    <row r="2363" spans="1:5" s="103" customFormat="1" ht="13.2" hidden="1" outlineLevel="1" x14ac:dyDescent="0.25">
      <c r="A2363" s="106" t="s">
        <v>4744</v>
      </c>
      <c r="B2363" s="106" t="s">
        <v>4745</v>
      </c>
      <c r="C2363" s="106"/>
      <c r="D2363" s="106"/>
      <c r="E2363" s="52"/>
    </row>
    <row r="2364" spans="1:5" s="103" customFormat="1" ht="13.2" hidden="1" outlineLevel="1" x14ac:dyDescent="0.25">
      <c r="A2364" s="106" t="s">
        <v>4746</v>
      </c>
      <c r="B2364" s="106" t="s">
        <v>4747</v>
      </c>
      <c r="C2364" s="106"/>
      <c r="D2364" s="106"/>
      <c r="E2364" s="52"/>
    </row>
    <row r="2365" spans="1:5" s="103" customFormat="1" ht="13.2" hidden="1" outlineLevel="1" x14ac:dyDescent="0.25">
      <c r="A2365" s="106" t="s">
        <v>4748</v>
      </c>
      <c r="B2365" s="106" t="s">
        <v>4749</v>
      </c>
      <c r="C2365" s="106"/>
      <c r="D2365" s="106"/>
      <c r="E2365" s="52"/>
    </row>
    <row r="2366" spans="1:5" s="103" customFormat="1" ht="13.2" hidden="1" outlineLevel="1" x14ac:dyDescent="0.25">
      <c r="A2366" s="106" t="s">
        <v>4750</v>
      </c>
      <c r="B2366" s="106" t="s">
        <v>4751</v>
      </c>
      <c r="C2366" s="106"/>
      <c r="D2366" s="106"/>
      <c r="E2366" s="52"/>
    </row>
    <row r="2367" spans="1:5" s="103" customFormat="1" ht="13.2" hidden="1" outlineLevel="1" x14ac:dyDescent="0.25">
      <c r="A2367" s="106" t="s">
        <v>4752</v>
      </c>
      <c r="B2367" s="106" t="s">
        <v>4753</v>
      </c>
      <c r="C2367" s="106"/>
      <c r="D2367" s="106"/>
      <c r="E2367" s="52"/>
    </row>
    <row r="2368" spans="1:5" s="103" customFormat="1" ht="13.2" hidden="1" outlineLevel="1" x14ac:dyDescent="0.25">
      <c r="A2368" s="106" t="s">
        <v>4754</v>
      </c>
      <c r="B2368" s="106" t="s">
        <v>4755</v>
      </c>
      <c r="C2368" s="106"/>
      <c r="D2368" s="106"/>
      <c r="E2368" s="52"/>
    </row>
    <row r="2369" spans="1:5" s="103" customFormat="1" ht="13.2" hidden="1" outlineLevel="1" x14ac:dyDescent="0.25">
      <c r="A2369" s="106" t="s">
        <v>4756</v>
      </c>
      <c r="B2369" s="106" t="s">
        <v>4757</v>
      </c>
      <c r="C2369" s="106"/>
      <c r="D2369" s="106"/>
      <c r="E2369" s="52"/>
    </row>
    <row r="2370" spans="1:5" s="103" customFormat="1" ht="13.2" hidden="1" outlineLevel="1" x14ac:dyDescent="0.25">
      <c r="A2370" s="106" t="s">
        <v>4758</v>
      </c>
      <c r="B2370" s="106" t="s">
        <v>4759</v>
      </c>
      <c r="C2370" s="106"/>
      <c r="D2370" s="106"/>
      <c r="E2370" s="52"/>
    </row>
    <row r="2371" spans="1:5" s="103" customFormat="1" ht="13.2" hidden="1" outlineLevel="1" x14ac:dyDescent="0.25">
      <c r="A2371" s="106" t="s">
        <v>4760</v>
      </c>
      <c r="B2371" s="106" t="s">
        <v>4761</v>
      </c>
      <c r="C2371" s="106"/>
      <c r="D2371" s="106"/>
      <c r="E2371" s="52"/>
    </row>
    <row r="2372" spans="1:5" s="103" customFormat="1" ht="13.2" hidden="1" outlineLevel="1" x14ac:dyDescent="0.25">
      <c r="A2372" s="106" t="s">
        <v>4762</v>
      </c>
      <c r="B2372" s="106" t="s">
        <v>4763</v>
      </c>
      <c r="C2372" s="106"/>
      <c r="D2372" s="106"/>
      <c r="E2372" s="52"/>
    </row>
    <row r="2373" spans="1:5" s="103" customFormat="1" ht="13.2" hidden="1" outlineLevel="1" x14ac:dyDescent="0.25">
      <c r="A2373" s="106" t="s">
        <v>4764</v>
      </c>
      <c r="B2373" s="106" t="s">
        <v>4765</v>
      </c>
      <c r="C2373" s="106"/>
      <c r="D2373" s="106"/>
      <c r="E2373" s="52"/>
    </row>
    <row r="2374" spans="1:5" s="103" customFormat="1" ht="13.2" hidden="1" outlineLevel="1" x14ac:dyDescent="0.25">
      <c r="A2374" s="106" t="s">
        <v>4766</v>
      </c>
      <c r="B2374" s="106" t="s">
        <v>4767</v>
      </c>
      <c r="C2374" s="106"/>
      <c r="D2374" s="106"/>
      <c r="E2374" s="52"/>
    </row>
    <row r="2375" spans="1:5" s="103" customFormat="1" ht="13.2" hidden="1" outlineLevel="1" x14ac:dyDescent="0.25">
      <c r="A2375" s="106" t="s">
        <v>4768</v>
      </c>
      <c r="B2375" s="106" t="s">
        <v>4769</v>
      </c>
      <c r="C2375" s="106"/>
      <c r="D2375" s="106"/>
      <c r="E2375" s="52"/>
    </row>
    <row r="2376" spans="1:5" s="103" customFormat="1" ht="13.2" hidden="1" outlineLevel="1" x14ac:dyDescent="0.25">
      <c r="A2376" s="106" t="s">
        <v>4770</v>
      </c>
      <c r="B2376" s="106" t="s">
        <v>4771</v>
      </c>
      <c r="C2376" s="106"/>
      <c r="D2376" s="106"/>
      <c r="E2376" s="52"/>
    </row>
    <row r="2377" spans="1:5" s="103" customFormat="1" ht="13.2" hidden="1" outlineLevel="1" x14ac:dyDescent="0.25">
      <c r="A2377" s="106" t="s">
        <v>4772</v>
      </c>
      <c r="B2377" s="106" t="s">
        <v>4773</v>
      </c>
      <c r="C2377" s="106"/>
      <c r="D2377" s="106"/>
      <c r="E2377" s="52"/>
    </row>
    <row r="2378" spans="1:5" s="103" customFormat="1" ht="13.2" hidden="1" outlineLevel="1" x14ac:dyDescent="0.25">
      <c r="A2378" s="106" t="s">
        <v>4774</v>
      </c>
      <c r="B2378" s="106" t="s">
        <v>4775</v>
      </c>
      <c r="C2378" s="106"/>
      <c r="D2378" s="106"/>
      <c r="E2378" s="52"/>
    </row>
    <row r="2379" spans="1:5" s="103" customFormat="1" ht="13.2" hidden="1" outlineLevel="1" x14ac:dyDescent="0.25">
      <c r="A2379" s="106" t="s">
        <v>4776</v>
      </c>
      <c r="B2379" s="106" t="s">
        <v>4777</v>
      </c>
      <c r="C2379" s="106"/>
      <c r="D2379" s="106"/>
      <c r="E2379" s="52"/>
    </row>
    <row r="2380" spans="1:5" s="103" customFormat="1" ht="13.2" hidden="1" outlineLevel="1" x14ac:dyDescent="0.25">
      <c r="A2380" s="106" t="s">
        <v>4778</v>
      </c>
      <c r="B2380" s="106" t="s">
        <v>4779</v>
      </c>
      <c r="C2380" s="106"/>
      <c r="D2380" s="106"/>
      <c r="E2380" s="52"/>
    </row>
    <row r="2381" spans="1:5" s="103" customFormat="1" ht="13.2" hidden="1" outlineLevel="1" x14ac:dyDescent="0.25">
      <c r="A2381" s="106" t="s">
        <v>4780</v>
      </c>
      <c r="B2381" s="106" t="s">
        <v>4781</v>
      </c>
      <c r="C2381" s="106"/>
      <c r="D2381" s="106"/>
      <c r="E2381" s="52"/>
    </row>
    <row r="2382" spans="1:5" s="103" customFormat="1" ht="13.2" hidden="1" outlineLevel="1" x14ac:dyDescent="0.25">
      <c r="A2382" s="106" t="s">
        <v>4782</v>
      </c>
      <c r="B2382" s="106" t="s">
        <v>4783</v>
      </c>
      <c r="C2382" s="106"/>
      <c r="D2382" s="106"/>
      <c r="E2382" s="52"/>
    </row>
    <row r="2383" spans="1:5" s="103" customFormat="1" ht="13.2" hidden="1" outlineLevel="1" x14ac:dyDescent="0.25">
      <c r="A2383" s="106" t="s">
        <v>4784</v>
      </c>
      <c r="B2383" s="106" t="s">
        <v>4785</v>
      </c>
      <c r="C2383" s="106"/>
      <c r="D2383" s="106"/>
      <c r="E2383" s="52"/>
    </row>
    <row r="2384" spans="1:5" s="103" customFormat="1" ht="13.2" hidden="1" outlineLevel="1" x14ac:dyDescent="0.25">
      <c r="A2384" s="106" t="s">
        <v>4786</v>
      </c>
      <c r="B2384" s="106" t="s">
        <v>4787</v>
      </c>
      <c r="C2384" s="106"/>
      <c r="D2384" s="106"/>
      <c r="E2384" s="52"/>
    </row>
    <row r="2385" spans="1:5" s="103" customFormat="1" ht="13.2" hidden="1" outlineLevel="1" x14ac:dyDescent="0.25">
      <c r="A2385" s="106" t="s">
        <v>4788</v>
      </c>
      <c r="B2385" s="106" t="s">
        <v>4789</v>
      </c>
      <c r="C2385" s="106"/>
      <c r="D2385" s="106"/>
      <c r="E2385" s="52"/>
    </row>
    <row r="2386" spans="1:5" s="103" customFormat="1" ht="13.2" hidden="1" outlineLevel="1" x14ac:dyDescent="0.25">
      <c r="A2386" s="106" t="s">
        <v>4790</v>
      </c>
      <c r="B2386" s="106" t="s">
        <v>4791</v>
      </c>
      <c r="C2386" s="106"/>
      <c r="D2386" s="106"/>
      <c r="E2386" s="52"/>
    </row>
    <row r="2387" spans="1:5" s="103" customFormat="1" ht="13.2" hidden="1" outlineLevel="1" x14ac:dyDescent="0.25">
      <c r="A2387" s="106" t="s">
        <v>4792</v>
      </c>
      <c r="B2387" s="106" t="s">
        <v>4793</v>
      </c>
      <c r="C2387" s="106"/>
      <c r="D2387" s="106"/>
      <c r="E2387" s="52"/>
    </row>
    <row r="2388" spans="1:5" s="103" customFormat="1" ht="13.2" hidden="1" outlineLevel="1" x14ac:dyDescent="0.25">
      <c r="A2388" s="106" t="s">
        <v>4794</v>
      </c>
      <c r="B2388" s="106" t="s">
        <v>4795</v>
      </c>
      <c r="C2388" s="106"/>
      <c r="D2388" s="106"/>
      <c r="E2388" s="52"/>
    </row>
    <row r="2389" spans="1:5" s="103" customFormat="1" ht="13.2" hidden="1" outlineLevel="1" x14ac:dyDescent="0.25">
      <c r="A2389" s="106" t="s">
        <v>4796</v>
      </c>
      <c r="B2389" s="106" t="s">
        <v>4797</v>
      </c>
      <c r="C2389" s="106"/>
      <c r="D2389" s="106"/>
      <c r="E2389" s="52"/>
    </row>
    <row r="2390" spans="1:5" s="103" customFormat="1" ht="13.2" hidden="1" outlineLevel="1" x14ac:dyDescent="0.25">
      <c r="A2390" s="106" t="s">
        <v>4798</v>
      </c>
      <c r="B2390" s="106" t="s">
        <v>4799</v>
      </c>
      <c r="C2390" s="106"/>
      <c r="D2390" s="106"/>
      <c r="E2390" s="52"/>
    </row>
    <row r="2391" spans="1:5" s="103" customFormat="1" ht="13.2" hidden="1" outlineLevel="1" x14ac:dyDescent="0.25">
      <c r="A2391" s="106" t="s">
        <v>4800</v>
      </c>
      <c r="B2391" s="106" t="s">
        <v>4801</v>
      </c>
      <c r="C2391" s="106"/>
      <c r="D2391" s="106"/>
      <c r="E2391" s="52"/>
    </row>
    <row r="2392" spans="1:5" s="103" customFormat="1" ht="13.2" hidden="1" outlineLevel="1" x14ac:dyDescent="0.25">
      <c r="A2392" s="106" t="s">
        <v>4802</v>
      </c>
      <c r="B2392" s="106" t="s">
        <v>4803</v>
      </c>
      <c r="C2392" s="106"/>
      <c r="D2392" s="106"/>
      <c r="E2392" s="52"/>
    </row>
    <row r="2393" spans="1:5" s="103" customFormat="1" ht="13.2" hidden="1" outlineLevel="1" x14ac:dyDescent="0.25">
      <c r="A2393" s="106" t="s">
        <v>4804</v>
      </c>
      <c r="B2393" s="106" t="s">
        <v>4805</v>
      </c>
      <c r="C2393" s="106"/>
      <c r="D2393" s="106"/>
      <c r="E2393" s="52"/>
    </row>
    <row r="2394" spans="1:5" s="103" customFormat="1" ht="13.2" hidden="1" outlineLevel="1" x14ac:dyDescent="0.25">
      <c r="A2394" s="106" t="s">
        <v>4806</v>
      </c>
      <c r="B2394" s="106" t="s">
        <v>4807</v>
      </c>
      <c r="C2394" s="106"/>
      <c r="D2394" s="106"/>
      <c r="E2394" s="52"/>
    </row>
    <row r="2395" spans="1:5" s="103" customFormat="1" ht="13.2" hidden="1" outlineLevel="1" x14ac:dyDescent="0.25">
      <c r="A2395" s="106" t="s">
        <v>4808</v>
      </c>
      <c r="B2395" s="106" t="s">
        <v>4809</v>
      </c>
      <c r="C2395" s="106"/>
      <c r="D2395" s="106"/>
      <c r="E2395" s="52"/>
    </row>
    <row r="2396" spans="1:5" s="103" customFormat="1" ht="13.2" hidden="1" outlineLevel="1" x14ac:dyDescent="0.25">
      <c r="A2396" s="106" t="s">
        <v>4810</v>
      </c>
      <c r="B2396" s="106" t="s">
        <v>4811</v>
      </c>
      <c r="C2396" s="106"/>
      <c r="D2396" s="106"/>
      <c r="E2396" s="52"/>
    </row>
    <row r="2397" spans="1:5" s="103" customFormat="1" ht="13.2" hidden="1" outlineLevel="1" x14ac:dyDescent="0.25">
      <c r="A2397" s="106" t="s">
        <v>4812</v>
      </c>
      <c r="B2397" s="106" t="s">
        <v>4813</v>
      </c>
      <c r="C2397" s="106"/>
      <c r="D2397" s="106"/>
      <c r="E2397" s="52"/>
    </row>
    <row r="2398" spans="1:5" s="103" customFormat="1" ht="13.2" hidden="1" outlineLevel="1" x14ac:dyDescent="0.25">
      <c r="A2398" s="106" t="s">
        <v>4814</v>
      </c>
      <c r="B2398" s="106" t="s">
        <v>4815</v>
      </c>
      <c r="C2398" s="106"/>
      <c r="D2398" s="106"/>
      <c r="E2398" s="52"/>
    </row>
    <row r="2399" spans="1:5" s="103" customFormat="1" ht="13.2" hidden="1" outlineLevel="1" x14ac:dyDescent="0.25">
      <c r="A2399" s="106" t="s">
        <v>4816</v>
      </c>
      <c r="B2399" s="106" t="s">
        <v>4817</v>
      </c>
      <c r="C2399" s="106"/>
      <c r="D2399" s="106"/>
      <c r="E2399" s="52"/>
    </row>
    <row r="2400" spans="1:5" s="103" customFormat="1" ht="13.2" hidden="1" outlineLevel="1" x14ac:dyDescent="0.25">
      <c r="A2400" s="106" t="s">
        <v>4818</v>
      </c>
      <c r="B2400" s="106" t="s">
        <v>4819</v>
      </c>
      <c r="C2400" s="106"/>
      <c r="D2400" s="106"/>
      <c r="E2400" s="52"/>
    </row>
    <row r="2401" spans="1:5" s="103" customFormat="1" ht="13.2" hidden="1" outlineLevel="1" x14ac:dyDescent="0.25">
      <c r="A2401" s="106" t="s">
        <v>4820</v>
      </c>
      <c r="B2401" s="106" t="s">
        <v>4821</v>
      </c>
      <c r="C2401" s="106"/>
      <c r="D2401" s="106"/>
      <c r="E2401" s="52"/>
    </row>
    <row r="2402" spans="1:5" s="103" customFormat="1" ht="13.2" hidden="1" outlineLevel="1" x14ac:dyDescent="0.25">
      <c r="A2402" s="106" t="s">
        <v>4822</v>
      </c>
      <c r="B2402" s="106" t="s">
        <v>4823</v>
      </c>
      <c r="C2402" s="106"/>
      <c r="D2402" s="106"/>
      <c r="E2402" s="52"/>
    </row>
    <row r="2403" spans="1:5" s="103" customFormat="1" ht="13.2" hidden="1" outlineLevel="1" x14ac:dyDescent="0.25">
      <c r="A2403" s="106" t="s">
        <v>4824</v>
      </c>
      <c r="B2403" s="106" t="s">
        <v>4825</v>
      </c>
      <c r="C2403" s="106"/>
      <c r="D2403" s="106"/>
      <c r="E2403" s="52"/>
    </row>
    <row r="2404" spans="1:5" s="103" customFormat="1" ht="13.2" hidden="1" outlineLevel="1" x14ac:dyDescent="0.25">
      <c r="A2404" s="106" t="s">
        <v>4826</v>
      </c>
      <c r="B2404" s="106" t="s">
        <v>4827</v>
      </c>
      <c r="C2404" s="106"/>
      <c r="D2404" s="106"/>
      <c r="E2404" s="52"/>
    </row>
    <row r="2405" spans="1:5" s="103" customFormat="1" ht="13.2" hidden="1" outlineLevel="1" x14ac:dyDescent="0.25">
      <c r="A2405" s="106" t="s">
        <v>4828</v>
      </c>
      <c r="B2405" s="106" t="s">
        <v>4829</v>
      </c>
      <c r="C2405" s="106"/>
      <c r="D2405" s="106"/>
      <c r="E2405" s="52"/>
    </row>
    <row r="2406" spans="1:5" s="103" customFormat="1" ht="13.2" hidden="1" outlineLevel="1" x14ac:dyDescent="0.25">
      <c r="A2406" s="106" t="s">
        <v>4830</v>
      </c>
      <c r="B2406" s="106" t="s">
        <v>4831</v>
      </c>
      <c r="C2406" s="106"/>
      <c r="D2406" s="106"/>
      <c r="E2406" s="52"/>
    </row>
    <row r="2407" spans="1:5" s="103" customFormat="1" ht="13.2" hidden="1" outlineLevel="1" x14ac:dyDescent="0.25">
      <c r="A2407" s="106" t="s">
        <v>4832</v>
      </c>
      <c r="B2407" s="106" t="s">
        <v>4833</v>
      </c>
      <c r="C2407" s="106"/>
      <c r="D2407" s="106"/>
      <c r="E2407" s="52"/>
    </row>
    <row r="2408" spans="1:5" s="103" customFormat="1" ht="13.2" hidden="1" outlineLevel="1" x14ac:dyDescent="0.25">
      <c r="A2408" s="106" t="s">
        <v>4834</v>
      </c>
      <c r="B2408" s="106" t="s">
        <v>4835</v>
      </c>
      <c r="C2408" s="106"/>
      <c r="D2408" s="106"/>
      <c r="E2408" s="52"/>
    </row>
    <row r="2409" spans="1:5" s="103" customFormat="1" ht="13.2" hidden="1" outlineLevel="1" x14ac:dyDescent="0.25">
      <c r="A2409" s="106" t="s">
        <v>4836</v>
      </c>
      <c r="B2409" s="106" t="s">
        <v>4837</v>
      </c>
      <c r="C2409" s="106"/>
      <c r="D2409" s="106"/>
      <c r="E2409" s="52"/>
    </row>
    <row r="2410" spans="1:5" s="103" customFormat="1" ht="13.2" hidden="1" outlineLevel="1" x14ac:dyDescent="0.25">
      <c r="A2410" s="106" t="s">
        <v>4838</v>
      </c>
      <c r="B2410" s="106" t="s">
        <v>4839</v>
      </c>
      <c r="C2410" s="106"/>
      <c r="D2410" s="106"/>
      <c r="E2410" s="52"/>
    </row>
    <row r="2411" spans="1:5" s="103" customFormat="1" ht="13.2" hidden="1" outlineLevel="1" x14ac:dyDescent="0.25">
      <c r="A2411" s="106" t="s">
        <v>4840</v>
      </c>
      <c r="B2411" s="106" t="s">
        <v>4841</v>
      </c>
      <c r="C2411" s="106"/>
      <c r="D2411" s="106"/>
      <c r="E2411" s="52"/>
    </row>
    <row r="2412" spans="1:5" s="103" customFormat="1" ht="13.2" hidden="1" outlineLevel="1" x14ac:dyDescent="0.25">
      <c r="A2412" s="106" t="s">
        <v>4842</v>
      </c>
      <c r="B2412" s="106" t="s">
        <v>4843</v>
      </c>
      <c r="C2412" s="106"/>
      <c r="D2412" s="106"/>
      <c r="E2412" s="52"/>
    </row>
    <row r="2413" spans="1:5" s="103" customFormat="1" ht="13.2" hidden="1" outlineLevel="1" x14ac:dyDescent="0.25">
      <c r="A2413" s="106" t="s">
        <v>4844</v>
      </c>
      <c r="B2413" s="106" t="s">
        <v>4845</v>
      </c>
      <c r="C2413" s="106"/>
      <c r="D2413" s="106"/>
      <c r="E2413" s="52"/>
    </row>
    <row r="2414" spans="1:5" s="103" customFormat="1" ht="13.2" hidden="1" outlineLevel="1" x14ac:dyDescent="0.25">
      <c r="A2414" s="106" t="s">
        <v>4846</v>
      </c>
      <c r="B2414" s="106" t="s">
        <v>4847</v>
      </c>
      <c r="C2414" s="106"/>
      <c r="D2414" s="106"/>
      <c r="E2414" s="52"/>
    </row>
    <row r="2415" spans="1:5" s="103" customFormat="1" ht="13.2" hidden="1" outlineLevel="1" x14ac:dyDescent="0.25">
      <c r="A2415" s="106" t="s">
        <v>4848</v>
      </c>
      <c r="B2415" s="106" t="s">
        <v>4849</v>
      </c>
      <c r="C2415" s="106"/>
      <c r="D2415" s="106"/>
      <c r="E2415" s="52"/>
    </row>
    <row r="2416" spans="1:5" s="103" customFormat="1" ht="13.2" hidden="1" outlineLevel="1" x14ac:dyDescent="0.25">
      <c r="A2416" s="106" t="s">
        <v>4850</v>
      </c>
      <c r="B2416" s="106" t="s">
        <v>4851</v>
      </c>
      <c r="C2416" s="106"/>
      <c r="D2416" s="106"/>
      <c r="E2416" s="52"/>
    </row>
    <row r="2417" spans="1:5" s="103" customFormat="1" ht="13.2" hidden="1" outlineLevel="1" x14ac:dyDescent="0.25">
      <c r="A2417" s="106" t="s">
        <v>4852</v>
      </c>
      <c r="B2417" s="106" t="s">
        <v>4853</v>
      </c>
      <c r="C2417" s="106"/>
      <c r="D2417" s="106"/>
      <c r="E2417" s="52"/>
    </row>
    <row r="2418" spans="1:5" s="103" customFormat="1" ht="13.2" hidden="1" outlineLevel="1" x14ac:dyDescent="0.25">
      <c r="A2418" s="106" t="s">
        <v>4854</v>
      </c>
      <c r="B2418" s="106" t="s">
        <v>4855</v>
      </c>
      <c r="C2418" s="106"/>
      <c r="D2418" s="106"/>
      <c r="E2418" s="52"/>
    </row>
    <row r="2419" spans="1:5" s="103" customFormat="1" ht="13.2" hidden="1" outlineLevel="1" x14ac:dyDescent="0.25">
      <c r="A2419" s="106" t="s">
        <v>4856</v>
      </c>
      <c r="B2419" s="106" t="s">
        <v>4857</v>
      </c>
      <c r="C2419" s="106"/>
      <c r="D2419" s="106"/>
      <c r="E2419" s="52"/>
    </row>
    <row r="2420" spans="1:5" s="103" customFormat="1" ht="13.2" hidden="1" outlineLevel="1" x14ac:dyDescent="0.25">
      <c r="A2420" s="106" t="s">
        <v>4858</v>
      </c>
      <c r="B2420" s="106" t="s">
        <v>4859</v>
      </c>
      <c r="C2420" s="106"/>
      <c r="D2420" s="106"/>
      <c r="E2420" s="52"/>
    </row>
    <row r="2421" spans="1:5" s="103" customFormat="1" ht="13.2" hidden="1" outlineLevel="1" x14ac:dyDescent="0.25">
      <c r="A2421" s="106" t="s">
        <v>4860</v>
      </c>
      <c r="B2421" s="106" t="s">
        <v>4861</v>
      </c>
      <c r="C2421" s="106"/>
      <c r="D2421" s="106"/>
      <c r="E2421" s="52"/>
    </row>
    <row r="2422" spans="1:5" s="103" customFormat="1" ht="13.2" hidden="1" outlineLevel="1" x14ac:dyDescent="0.25">
      <c r="A2422" s="106" t="s">
        <v>4862</v>
      </c>
      <c r="B2422" s="106" t="s">
        <v>4863</v>
      </c>
      <c r="C2422" s="106"/>
      <c r="D2422" s="106"/>
      <c r="E2422" s="52"/>
    </row>
    <row r="2423" spans="1:5" s="103" customFormat="1" ht="13.2" hidden="1" outlineLevel="1" x14ac:dyDescent="0.25">
      <c r="A2423" s="106" t="s">
        <v>4864</v>
      </c>
      <c r="B2423" s="106" t="s">
        <v>4865</v>
      </c>
      <c r="C2423" s="106"/>
      <c r="D2423" s="106"/>
      <c r="E2423" s="52"/>
    </row>
    <row r="2424" spans="1:5" s="103" customFormat="1" ht="13.2" hidden="1" outlineLevel="1" x14ac:dyDescent="0.25">
      <c r="A2424" s="106" t="s">
        <v>4866</v>
      </c>
      <c r="B2424" s="106" t="s">
        <v>4867</v>
      </c>
      <c r="C2424" s="106"/>
      <c r="D2424" s="106"/>
      <c r="E2424" s="52"/>
    </row>
    <row r="2425" spans="1:5" s="103" customFormat="1" ht="13.2" hidden="1" outlineLevel="1" x14ac:dyDescent="0.25">
      <c r="A2425" s="106" t="s">
        <v>4868</v>
      </c>
      <c r="B2425" s="106" t="s">
        <v>4869</v>
      </c>
      <c r="C2425" s="106"/>
      <c r="D2425" s="106"/>
      <c r="E2425" s="52"/>
    </row>
    <row r="2426" spans="1:5" s="103" customFormat="1" ht="13.2" hidden="1" outlineLevel="1" x14ac:dyDescent="0.25">
      <c r="A2426" s="106" t="s">
        <v>4870</v>
      </c>
      <c r="B2426" s="106" t="s">
        <v>4871</v>
      </c>
      <c r="C2426" s="106"/>
      <c r="D2426" s="106"/>
      <c r="E2426" s="52"/>
    </row>
    <row r="2427" spans="1:5" s="103" customFormat="1" ht="13.2" hidden="1" outlineLevel="1" x14ac:dyDescent="0.25">
      <c r="A2427" s="106" t="s">
        <v>4872</v>
      </c>
      <c r="B2427" s="106" t="s">
        <v>4873</v>
      </c>
      <c r="C2427" s="106"/>
      <c r="D2427" s="106"/>
      <c r="E2427" s="52"/>
    </row>
    <row r="2428" spans="1:5" s="103" customFormat="1" ht="13.2" hidden="1" outlineLevel="1" x14ac:dyDescent="0.25">
      <c r="A2428" s="106" t="s">
        <v>4874</v>
      </c>
      <c r="B2428" s="106" t="s">
        <v>4875</v>
      </c>
      <c r="C2428" s="106"/>
      <c r="D2428" s="106"/>
      <c r="E2428" s="52"/>
    </row>
    <row r="2429" spans="1:5" s="103" customFormat="1" ht="13.2" hidden="1" outlineLevel="1" x14ac:dyDescent="0.25">
      <c r="A2429" s="106" t="s">
        <v>4876</v>
      </c>
      <c r="B2429" s="106" t="s">
        <v>4877</v>
      </c>
      <c r="C2429" s="106"/>
      <c r="D2429" s="106"/>
      <c r="E2429" s="52"/>
    </row>
    <row r="2430" spans="1:5" s="103" customFormat="1" ht="13.2" hidden="1" outlineLevel="1" x14ac:dyDescent="0.25">
      <c r="A2430" s="106" t="s">
        <v>4878</v>
      </c>
      <c r="B2430" s="106" t="s">
        <v>4879</v>
      </c>
      <c r="C2430" s="106"/>
      <c r="D2430" s="106"/>
      <c r="E2430" s="52"/>
    </row>
    <row r="2431" spans="1:5" s="103" customFormat="1" ht="13.2" hidden="1" outlineLevel="1" x14ac:dyDescent="0.25">
      <c r="A2431" s="106" t="s">
        <v>4880</v>
      </c>
      <c r="B2431" s="106" t="s">
        <v>4881</v>
      </c>
      <c r="C2431" s="106"/>
      <c r="D2431" s="106"/>
      <c r="E2431" s="52"/>
    </row>
    <row r="2432" spans="1:5" s="103" customFormat="1" ht="13.2" hidden="1" outlineLevel="1" x14ac:dyDescent="0.25">
      <c r="A2432" s="106" t="s">
        <v>4882</v>
      </c>
      <c r="B2432" s="106" t="s">
        <v>4883</v>
      </c>
      <c r="C2432" s="106"/>
      <c r="D2432" s="106"/>
      <c r="E2432" s="52"/>
    </row>
    <row r="2433" spans="1:5" s="103" customFormat="1" ht="13.2" hidden="1" outlineLevel="1" x14ac:dyDescent="0.25">
      <c r="A2433" s="106" t="s">
        <v>4884</v>
      </c>
      <c r="B2433" s="106" t="s">
        <v>4885</v>
      </c>
      <c r="C2433" s="106"/>
      <c r="D2433" s="106"/>
      <c r="E2433" s="52"/>
    </row>
    <row r="2434" spans="1:5" s="103" customFormat="1" ht="13.2" hidden="1" outlineLevel="1" x14ac:dyDescent="0.25">
      <c r="A2434" s="106" t="s">
        <v>4886</v>
      </c>
      <c r="B2434" s="106" t="s">
        <v>4887</v>
      </c>
      <c r="C2434" s="106"/>
      <c r="D2434" s="106"/>
      <c r="E2434" s="52"/>
    </row>
    <row r="2435" spans="1:5" s="103" customFormat="1" ht="13.2" hidden="1" outlineLevel="1" x14ac:dyDescent="0.25">
      <c r="A2435" s="106" t="s">
        <v>4888</v>
      </c>
      <c r="B2435" s="106" t="s">
        <v>4889</v>
      </c>
      <c r="C2435" s="106"/>
      <c r="D2435" s="106"/>
      <c r="E2435" s="52"/>
    </row>
    <row r="2436" spans="1:5" s="103" customFormat="1" ht="13.2" hidden="1" outlineLevel="1" x14ac:dyDescent="0.25">
      <c r="A2436" s="106" t="s">
        <v>4890</v>
      </c>
      <c r="B2436" s="106" t="s">
        <v>4891</v>
      </c>
      <c r="C2436" s="106"/>
      <c r="D2436" s="106"/>
      <c r="E2436" s="52"/>
    </row>
    <row r="2437" spans="1:5" s="103" customFormat="1" ht="13.2" hidden="1" outlineLevel="1" x14ac:dyDescent="0.25">
      <c r="A2437" s="106" t="s">
        <v>4892</v>
      </c>
      <c r="B2437" s="106" t="s">
        <v>4893</v>
      </c>
      <c r="C2437" s="106"/>
      <c r="D2437" s="106"/>
      <c r="E2437" s="52"/>
    </row>
    <row r="2438" spans="1:5" s="103" customFormat="1" ht="13.2" hidden="1" outlineLevel="1" x14ac:dyDescent="0.25">
      <c r="A2438" s="106" t="s">
        <v>4894</v>
      </c>
      <c r="B2438" s="106" t="s">
        <v>4895</v>
      </c>
      <c r="C2438" s="106"/>
      <c r="D2438" s="106"/>
      <c r="E2438" s="52"/>
    </row>
    <row r="2439" spans="1:5" s="103" customFormat="1" ht="13.2" hidden="1" outlineLevel="1" x14ac:dyDescent="0.25">
      <c r="A2439" s="106" t="s">
        <v>4896</v>
      </c>
      <c r="B2439" s="106" t="s">
        <v>4897</v>
      </c>
      <c r="C2439" s="106"/>
      <c r="D2439" s="106"/>
      <c r="E2439" s="52"/>
    </row>
    <row r="2440" spans="1:5" s="103" customFormat="1" ht="13.2" hidden="1" outlineLevel="1" x14ac:dyDescent="0.25">
      <c r="A2440" s="106" t="s">
        <v>4898</v>
      </c>
      <c r="B2440" s="106" t="s">
        <v>4899</v>
      </c>
      <c r="C2440" s="106"/>
      <c r="D2440" s="106"/>
      <c r="E2440" s="52"/>
    </row>
    <row r="2441" spans="1:5" s="103" customFormat="1" ht="13.2" hidden="1" outlineLevel="1" x14ac:dyDescent="0.25">
      <c r="A2441" s="106" t="s">
        <v>4900</v>
      </c>
      <c r="B2441" s="106" t="s">
        <v>4901</v>
      </c>
      <c r="C2441" s="106"/>
      <c r="D2441" s="106"/>
      <c r="E2441" s="52"/>
    </row>
    <row r="2442" spans="1:5" s="103" customFormat="1" ht="13.2" hidden="1" outlineLevel="1" x14ac:dyDescent="0.25">
      <c r="A2442" s="106" t="s">
        <v>4902</v>
      </c>
      <c r="B2442" s="106" t="s">
        <v>4903</v>
      </c>
      <c r="C2442" s="106"/>
      <c r="D2442" s="106"/>
      <c r="E2442" s="52"/>
    </row>
    <row r="2443" spans="1:5" s="103" customFormat="1" ht="13.2" hidden="1" outlineLevel="1" x14ac:dyDescent="0.25">
      <c r="A2443" s="106" t="s">
        <v>4904</v>
      </c>
      <c r="B2443" s="106" t="s">
        <v>4905</v>
      </c>
      <c r="C2443" s="106"/>
      <c r="D2443" s="106"/>
      <c r="E2443" s="52"/>
    </row>
    <row r="2444" spans="1:5" s="103" customFormat="1" ht="13.2" hidden="1" outlineLevel="1" x14ac:dyDescent="0.25">
      <c r="A2444" s="106" t="s">
        <v>4906</v>
      </c>
      <c r="B2444" s="106" t="s">
        <v>4907</v>
      </c>
      <c r="C2444" s="106"/>
      <c r="D2444" s="106"/>
      <c r="E2444" s="52"/>
    </row>
    <row r="2445" spans="1:5" s="103" customFormat="1" ht="13.2" hidden="1" outlineLevel="1" x14ac:dyDescent="0.25">
      <c r="A2445" s="106" t="s">
        <v>4908</v>
      </c>
      <c r="B2445" s="106" t="s">
        <v>4909</v>
      </c>
      <c r="C2445" s="106"/>
      <c r="D2445" s="106"/>
      <c r="E2445" s="52"/>
    </row>
    <row r="2446" spans="1:5" s="103" customFormat="1" ht="13.2" hidden="1" outlineLevel="1" x14ac:dyDescent="0.25">
      <c r="A2446" s="106" t="s">
        <v>4910</v>
      </c>
      <c r="B2446" s="106" t="s">
        <v>4911</v>
      </c>
      <c r="C2446" s="106"/>
      <c r="D2446" s="106"/>
      <c r="E2446" s="52"/>
    </row>
    <row r="2447" spans="1:5" s="103" customFormat="1" ht="13.2" hidden="1" outlineLevel="1" x14ac:dyDescent="0.25">
      <c r="A2447" s="106" t="s">
        <v>4912</v>
      </c>
      <c r="B2447" s="106" t="s">
        <v>4913</v>
      </c>
      <c r="C2447" s="106"/>
      <c r="D2447" s="106"/>
      <c r="E2447" s="52"/>
    </row>
    <row r="2448" spans="1:5" s="103" customFormat="1" ht="13.2" hidden="1" outlineLevel="1" x14ac:dyDescent="0.25">
      <c r="A2448" s="106" t="s">
        <v>4914</v>
      </c>
      <c r="B2448" s="106" t="s">
        <v>4915</v>
      </c>
      <c r="C2448" s="106"/>
      <c r="D2448" s="106"/>
      <c r="E2448" s="52"/>
    </row>
    <row r="2449" spans="1:5" s="103" customFormat="1" ht="13.2" hidden="1" outlineLevel="1" x14ac:dyDescent="0.25">
      <c r="A2449" s="106" t="s">
        <v>4916</v>
      </c>
      <c r="B2449" s="106" t="s">
        <v>4917</v>
      </c>
      <c r="C2449" s="106"/>
      <c r="D2449" s="106"/>
      <c r="E2449" s="52"/>
    </row>
    <row r="2450" spans="1:5" s="103" customFormat="1" ht="13.2" hidden="1" outlineLevel="1" x14ac:dyDescent="0.25">
      <c r="A2450" s="106" t="s">
        <v>4918</v>
      </c>
      <c r="B2450" s="106" t="s">
        <v>4919</v>
      </c>
      <c r="C2450" s="106"/>
      <c r="D2450" s="106"/>
      <c r="E2450" s="52"/>
    </row>
    <row r="2451" spans="1:5" s="103" customFormat="1" ht="13.2" hidden="1" outlineLevel="1" x14ac:dyDescent="0.25">
      <c r="A2451" s="106" t="s">
        <v>4920</v>
      </c>
      <c r="B2451" s="106" t="s">
        <v>4921</v>
      </c>
      <c r="C2451" s="106"/>
      <c r="D2451" s="106"/>
      <c r="E2451" s="52"/>
    </row>
    <row r="2452" spans="1:5" s="103" customFormat="1" ht="13.2" hidden="1" outlineLevel="1" x14ac:dyDescent="0.25">
      <c r="A2452" s="106" t="s">
        <v>4922</v>
      </c>
      <c r="B2452" s="106" t="s">
        <v>4923</v>
      </c>
      <c r="C2452" s="106"/>
      <c r="D2452" s="106"/>
      <c r="E2452" s="52"/>
    </row>
    <row r="2453" spans="1:5" s="103" customFormat="1" ht="13.2" hidden="1" outlineLevel="1" x14ac:dyDescent="0.25">
      <c r="A2453" s="106" t="s">
        <v>4924</v>
      </c>
      <c r="B2453" s="106" t="s">
        <v>4925</v>
      </c>
      <c r="C2453" s="106"/>
      <c r="D2453" s="106"/>
      <c r="E2453" s="52"/>
    </row>
    <row r="2454" spans="1:5" s="103" customFormat="1" ht="13.2" hidden="1" outlineLevel="1" x14ac:dyDescent="0.25">
      <c r="A2454" s="106" t="s">
        <v>4926</v>
      </c>
      <c r="B2454" s="106" t="s">
        <v>4927</v>
      </c>
      <c r="C2454" s="106"/>
      <c r="D2454" s="106"/>
      <c r="E2454" s="52"/>
    </row>
    <row r="2455" spans="1:5" s="103" customFormat="1" ht="13.2" hidden="1" outlineLevel="1" x14ac:dyDescent="0.25">
      <c r="A2455" s="106" t="s">
        <v>4928</v>
      </c>
      <c r="B2455" s="106" t="s">
        <v>4929</v>
      </c>
      <c r="C2455" s="106"/>
      <c r="D2455" s="106"/>
      <c r="E2455" s="52"/>
    </row>
    <row r="2456" spans="1:5" s="103" customFormat="1" ht="13.2" hidden="1" outlineLevel="1" x14ac:dyDescent="0.25">
      <c r="A2456" s="106" t="s">
        <v>4930</v>
      </c>
      <c r="B2456" s="106" t="s">
        <v>4931</v>
      </c>
      <c r="C2456" s="106"/>
      <c r="D2456" s="106"/>
      <c r="E2456" s="52"/>
    </row>
    <row r="2457" spans="1:5" s="103" customFormat="1" ht="13.2" hidden="1" outlineLevel="1" x14ac:dyDescent="0.25">
      <c r="A2457" s="106" t="s">
        <v>4932</v>
      </c>
      <c r="B2457" s="106" t="s">
        <v>4933</v>
      </c>
      <c r="C2457" s="106"/>
      <c r="D2457" s="106"/>
      <c r="E2457" s="52"/>
    </row>
    <row r="2458" spans="1:5" s="103" customFormat="1" ht="13.2" hidden="1" outlineLevel="1" x14ac:dyDescent="0.25">
      <c r="A2458" s="106" t="s">
        <v>4934</v>
      </c>
      <c r="B2458" s="106" t="s">
        <v>4935</v>
      </c>
      <c r="C2458" s="106"/>
      <c r="D2458" s="106"/>
      <c r="E2458" s="52"/>
    </row>
    <row r="2459" spans="1:5" s="103" customFormat="1" ht="13.2" hidden="1" outlineLevel="1" x14ac:dyDescent="0.25">
      <c r="A2459" s="106" t="s">
        <v>4936</v>
      </c>
      <c r="B2459" s="106" t="s">
        <v>4937</v>
      </c>
      <c r="C2459" s="106"/>
      <c r="D2459" s="106"/>
      <c r="E2459" s="52"/>
    </row>
    <row r="2460" spans="1:5" s="103" customFormat="1" ht="13.2" hidden="1" outlineLevel="1" x14ac:dyDescent="0.25">
      <c r="A2460" s="106" t="s">
        <v>4938</v>
      </c>
      <c r="B2460" s="106" t="s">
        <v>4939</v>
      </c>
      <c r="C2460" s="106"/>
      <c r="D2460" s="106"/>
      <c r="E2460" s="52"/>
    </row>
    <row r="2461" spans="1:5" s="103" customFormat="1" ht="13.2" hidden="1" outlineLevel="1" x14ac:dyDescent="0.25">
      <c r="A2461" s="106" t="s">
        <v>4940</v>
      </c>
      <c r="B2461" s="106" t="s">
        <v>4941</v>
      </c>
      <c r="C2461" s="106"/>
      <c r="D2461" s="106"/>
      <c r="E2461" s="52"/>
    </row>
    <row r="2462" spans="1:5" s="103" customFormat="1" ht="13.2" hidden="1" outlineLevel="1" x14ac:dyDescent="0.25">
      <c r="A2462" s="106" t="s">
        <v>4942</v>
      </c>
      <c r="B2462" s="106" t="s">
        <v>4943</v>
      </c>
      <c r="C2462" s="106"/>
      <c r="D2462" s="106"/>
      <c r="E2462" s="52"/>
    </row>
    <row r="2463" spans="1:5" s="103" customFormat="1" ht="13.2" hidden="1" outlineLevel="1" x14ac:dyDescent="0.25">
      <c r="A2463" s="106" t="s">
        <v>4944</v>
      </c>
      <c r="B2463" s="106" t="s">
        <v>4945</v>
      </c>
      <c r="C2463" s="106"/>
      <c r="D2463" s="106"/>
      <c r="E2463" s="52"/>
    </row>
    <row r="2464" spans="1:5" s="103" customFormat="1" ht="13.2" hidden="1" outlineLevel="1" x14ac:dyDescent="0.25">
      <c r="A2464" s="106" t="s">
        <v>4946</v>
      </c>
      <c r="B2464" s="106" t="s">
        <v>4947</v>
      </c>
      <c r="C2464" s="106"/>
      <c r="D2464" s="106"/>
      <c r="E2464" s="52"/>
    </row>
    <row r="2465" spans="1:5" s="103" customFormat="1" ht="13.2" hidden="1" outlineLevel="1" x14ac:dyDescent="0.25">
      <c r="A2465" s="106" t="s">
        <v>4948</v>
      </c>
      <c r="B2465" s="106" t="s">
        <v>4949</v>
      </c>
      <c r="C2465" s="106"/>
      <c r="D2465" s="106"/>
      <c r="E2465" s="52"/>
    </row>
    <row r="2466" spans="1:5" s="103" customFormat="1" ht="13.2" hidden="1" outlineLevel="1" x14ac:dyDescent="0.25">
      <c r="A2466" s="106" t="s">
        <v>4950</v>
      </c>
      <c r="B2466" s="106" t="s">
        <v>4951</v>
      </c>
      <c r="C2466" s="106"/>
      <c r="D2466" s="106"/>
      <c r="E2466" s="52"/>
    </row>
    <row r="2467" spans="1:5" s="103" customFormat="1" ht="13.2" hidden="1" outlineLevel="1" x14ac:dyDescent="0.25">
      <c r="A2467" s="106" t="s">
        <v>4952</v>
      </c>
      <c r="B2467" s="106" t="s">
        <v>4953</v>
      </c>
      <c r="C2467" s="106"/>
      <c r="D2467" s="106"/>
      <c r="E2467" s="52"/>
    </row>
    <row r="2468" spans="1:5" s="103" customFormat="1" ht="13.2" hidden="1" outlineLevel="1" x14ac:dyDescent="0.25">
      <c r="A2468" s="106" t="s">
        <v>4954</v>
      </c>
      <c r="B2468" s="106" t="s">
        <v>4955</v>
      </c>
      <c r="C2468" s="106"/>
      <c r="D2468" s="106"/>
      <c r="E2468" s="52"/>
    </row>
    <row r="2469" spans="1:5" s="103" customFormat="1" ht="13.2" hidden="1" outlineLevel="1" x14ac:dyDescent="0.25">
      <c r="A2469" s="106" t="s">
        <v>4956</v>
      </c>
      <c r="B2469" s="106" t="s">
        <v>4957</v>
      </c>
      <c r="C2469" s="106"/>
      <c r="D2469" s="106"/>
      <c r="E2469" s="52"/>
    </row>
    <row r="2470" spans="1:5" s="103" customFormat="1" ht="13.2" hidden="1" outlineLevel="1" x14ac:dyDescent="0.25">
      <c r="A2470" s="106" t="s">
        <v>4958</v>
      </c>
      <c r="B2470" s="106" t="s">
        <v>4959</v>
      </c>
      <c r="C2470" s="106"/>
      <c r="D2470" s="106"/>
      <c r="E2470" s="52"/>
    </row>
    <row r="2471" spans="1:5" s="103" customFormat="1" ht="13.2" hidden="1" outlineLevel="1" x14ac:dyDescent="0.25">
      <c r="A2471" s="106" t="s">
        <v>4960</v>
      </c>
      <c r="B2471" s="106" t="s">
        <v>4961</v>
      </c>
      <c r="C2471" s="106"/>
      <c r="D2471" s="106"/>
      <c r="E2471" s="52"/>
    </row>
    <row r="2472" spans="1:5" s="103" customFormat="1" ht="13.2" hidden="1" outlineLevel="1" x14ac:dyDescent="0.25">
      <c r="A2472" s="106" t="s">
        <v>4962</v>
      </c>
      <c r="B2472" s="106" t="s">
        <v>4963</v>
      </c>
      <c r="C2472" s="106"/>
      <c r="D2472" s="106"/>
      <c r="E2472" s="52"/>
    </row>
    <row r="2473" spans="1:5" s="103" customFormat="1" ht="13.2" hidden="1" outlineLevel="1" x14ac:dyDescent="0.25">
      <c r="A2473" s="106" t="s">
        <v>4964</v>
      </c>
      <c r="B2473" s="106" t="s">
        <v>4965</v>
      </c>
      <c r="C2473" s="106"/>
      <c r="D2473" s="106"/>
      <c r="E2473" s="52"/>
    </row>
    <row r="2474" spans="1:5" s="103" customFormat="1" ht="13.2" hidden="1" outlineLevel="1" x14ac:dyDescent="0.25">
      <c r="A2474" s="106" t="s">
        <v>4966</v>
      </c>
      <c r="B2474" s="106" t="s">
        <v>4967</v>
      </c>
      <c r="C2474" s="106"/>
      <c r="D2474" s="106"/>
      <c r="E2474" s="52"/>
    </row>
    <row r="2475" spans="1:5" s="103" customFormat="1" ht="13.2" hidden="1" outlineLevel="1" x14ac:dyDescent="0.25">
      <c r="A2475" s="106" t="s">
        <v>4968</v>
      </c>
      <c r="B2475" s="106" t="s">
        <v>4969</v>
      </c>
      <c r="C2475" s="106"/>
      <c r="D2475" s="106"/>
      <c r="E2475" s="52"/>
    </row>
    <row r="2476" spans="1:5" s="103" customFormat="1" ht="13.2" hidden="1" outlineLevel="1" x14ac:dyDescent="0.25">
      <c r="A2476" s="106" t="s">
        <v>4970</v>
      </c>
      <c r="B2476" s="106" t="s">
        <v>4971</v>
      </c>
      <c r="C2476" s="106"/>
      <c r="D2476" s="106"/>
      <c r="E2476" s="52"/>
    </row>
    <row r="2477" spans="1:5" s="103" customFormat="1" ht="13.2" hidden="1" outlineLevel="1" x14ac:dyDescent="0.25">
      <c r="A2477" s="106" t="s">
        <v>4972</v>
      </c>
      <c r="B2477" s="106" t="s">
        <v>4973</v>
      </c>
      <c r="C2477" s="106"/>
      <c r="D2477" s="106"/>
      <c r="E2477" s="52"/>
    </row>
    <row r="2478" spans="1:5" s="103" customFormat="1" ht="13.2" hidden="1" outlineLevel="1" x14ac:dyDescent="0.25">
      <c r="A2478" s="106" t="s">
        <v>4974</v>
      </c>
      <c r="B2478" s="106" t="s">
        <v>4975</v>
      </c>
      <c r="C2478" s="106"/>
      <c r="D2478" s="106"/>
      <c r="E2478" s="52"/>
    </row>
    <row r="2479" spans="1:5" s="103" customFormat="1" ht="13.2" hidden="1" outlineLevel="1" x14ac:dyDescent="0.25">
      <c r="A2479" s="106" t="s">
        <v>4976</v>
      </c>
      <c r="B2479" s="106" t="s">
        <v>4977</v>
      </c>
      <c r="C2479" s="106"/>
      <c r="D2479" s="106"/>
      <c r="E2479" s="52"/>
    </row>
    <row r="2480" spans="1:5" s="103" customFormat="1" ht="13.2" hidden="1" outlineLevel="1" x14ac:dyDescent="0.25">
      <c r="A2480" s="106" t="s">
        <v>4978</v>
      </c>
      <c r="B2480" s="106" t="s">
        <v>4979</v>
      </c>
      <c r="C2480" s="106"/>
      <c r="D2480" s="106"/>
      <c r="E2480" s="52"/>
    </row>
    <row r="2481" spans="1:5" s="103" customFormat="1" ht="13.2" hidden="1" outlineLevel="1" x14ac:dyDescent="0.25">
      <c r="A2481" s="106" t="s">
        <v>4980</v>
      </c>
      <c r="B2481" s="106" t="s">
        <v>4981</v>
      </c>
      <c r="C2481" s="106"/>
      <c r="D2481" s="106"/>
      <c r="E2481" s="52"/>
    </row>
    <row r="2482" spans="1:5" s="103" customFormat="1" ht="13.2" hidden="1" outlineLevel="1" x14ac:dyDescent="0.25">
      <c r="A2482" s="106" t="s">
        <v>4982</v>
      </c>
      <c r="B2482" s="106" t="s">
        <v>4983</v>
      </c>
      <c r="C2482" s="106"/>
      <c r="D2482" s="106"/>
      <c r="E2482" s="52"/>
    </row>
    <row r="2483" spans="1:5" s="103" customFormat="1" ht="13.2" hidden="1" outlineLevel="1" x14ac:dyDescent="0.25">
      <c r="A2483" s="106" t="s">
        <v>4984</v>
      </c>
      <c r="B2483" s="106" t="s">
        <v>4985</v>
      </c>
      <c r="C2483" s="106"/>
      <c r="D2483" s="106"/>
      <c r="E2483" s="52"/>
    </row>
    <row r="2484" spans="1:5" s="103" customFormat="1" ht="13.2" hidden="1" outlineLevel="1" x14ac:dyDescent="0.25">
      <c r="A2484" s="106" t="s">
        <v>4986</v>
      </c>
      <c r="B2484" s="106" t="s">
        <v>4987</v>
      </c>
      <c r="C2484" s="106"/>
      <c r="D2484" s="106"/>
      <c r="E2484" s="52"/>
    </row>
    <row r="2485" spans="1:5" s="103" customFormat="1" ht="13.2" hidden="1" outlineLevel="1" x14ac:dyDescent="0.25">
      <c r="A2485" s="106" t="s">
        <v>4988</v>
      </c>
      <c r="B2485" s="106" t="s">
        <v>4989</v>
      </c>
      <c r="C2485" s="106"/>
      <c r="D2485" s="106"/>
      <c r="E2485" s="52"/>
    </row>
    <row r="2486" spans="1:5" s="103" customFormat="1" ht="13.2" hidden="1" outlineLevel="1" x14ac:dyDescent="0.25">
      <c r="A2486" s="106" t="s">
        <v>4990</v>
      </c>
      <c r="B2486" s="106" t="s">
        <v>4991</v>
      </c>
      <c r="C2486" s="106"/>
      <c r="D2486" s="106"/>
      <c r="E2486" s="52"/>
    </row>
    <row r="2487" spans="1:5" s="103" customFormat="1" ht="13.2" hidden="1" outlineLevel="1" x14ac:dyDescent="0.25">
      <c r="A2487" s="106" t="s">
        <v>4992</v>
      </c>
      <c r="B2487" s="106" t="s">
        <v>4993</v>
      </c>
      <c r="C2487" s="106"/>
      <c r="D2487" s="106"/>
      <c r="E2487" s="52"/>
    </row>
    <row r="2488" spans="1:5" s="103" customFormat="1" ht="13.2" hidden="1" outlineLevel="1" x14ac:dyDescent="0.25">
      <c r="A2488" s="106" t="s">
        <v>4994</v>
      </c>
      <c r="B2488" s="106" t="s">
        <v>4995</v>
      </c>
      <c r="C2488" s="106"/>
      <c r="D2488" s="106"/>
      <c r="E2488" s="52"/>
    </row>
    <row r="2489" spans="1:5" s="103" customFormat="1" ht="13.2" hidden="1" outlineLevel="1" x14ac:dyDescent="0.25">
      <c r="A2489" s="106" t="s">
        <v>4996</v>
      </c>
      <c r="B2489" s="106" t="s">
        <v>4997</v>
      </c>
      <c r="C2489" s="106"/>
      <c r="D2489" s="106"/>
      <c r="E2489" s="52"/>
    </row>
    <row r="2490" spans="1:5" s="103" customFormat="1" ht="13.2" hidden="1" outlineLevel="1" x14ac:dyDescent="0.25">
      <c r="A2490" s="106" t="s">
        <v>4998</v>
      </c>
      <c r="B2490" s="106" t="s">
        <v>4999</v>
      </c>
      <c r="C2490" s="106"/>
      <c r="D2490" s="106"/>
      <c r="E2490" s="52"/>
    </row>
    <row r="2491" spans="1:5" s="103" customFormat="1" ht="13.2" hidden="1" outlineLevel="1" x14ac:dyDescent="0.25">
      <c r="A2491" s="106" t="s">
        <v>5000</v>
      </c>
      <c r="B2491" s="106" t="s">
        <v>5001</v>
      </c>
      <c r="C2491" s="106"/>
      <c r="D2491" s="106"/>
      <c r="E2491" s="52"/>
    </row>
    <row r="2492" spans="1:5" s="103" customFormat="1" ht="13.2" hidden="1" outlineLevel="1" x14ac:dyDescent="0.25">
      <c r="A2492" s="106" t="s">
        <v>5002</v>
      </c>
      <c r="B2492" s="106" t="s">
        <v>5003</v>
      </c>
      <c r="C2492" s="106"/>
      <c r="D2492" s="106"/>
      <c r="E2492" s="52"/>
    </row>
    <row r="2493" spans="1:5" s="103" customFormat="1" ht="13.2" hidden="1" outlineLevel="1" x14ac:dyDescent="0.25">
      <c r="A2493" s="106" t="s">
        <v>5004</v>
      </c>
      <c r="B2493" s="106" t="s">
        <v>5005</v>
      </c>
      <c r="C2493" s="106"/>
      <c r="D2493" s="106"/>
      <c r="E2493" s="52"/>
    </row>
    <row r="2494" spans="1:5" s="103" customFormat="1" ht="13.2" hidden="1" outlineLevel="1" x14ac:dyDescent="0.25">
      <c r="A2494" s="106" t="s">
        <v>5006</v>
      </c>
      <c r="B2494" s="106" t="s">
        <v>5007</v>
      </c>
      <c r="C2494" s="106"/>
      <c r="D2494" s="106"/>
      <c r="E2494" s="52"/>
    </row>
    <row r="2495" spans="1:5" s="103" customFormat="1" ht="13.2" hidden="1" outlineLevel="1" x14ac:dyDescent="0.25">
      <c r="A2495" s="106" t="s">
        <v>5008</v>
      </c>
      <c r="B2495" s="106" t="s">
        <v>5009</v>
      </c>
      <c r="C2495" s="106"/>
      <c r="D2495" s="106"/>
      <c r="E2495" s="52"/>
    </row>
    <row r="2496" spans="1:5" s="103" customFormat="1" ht="13.2" hidden="1" outlineLevel="1" x14ac:dyDescent="0.25">
      <c r="A2496" s="106" t="s">
        <v>5010</v>
      </c>
      <c r="B2496" s="106" t="s">
        <v>5011</v>
      </c>
      <c r="C2496" s="106"/>
      <c r="D2496" s="106"/>
      <c r="E2496" s="52"/>
    </row>
    <row r="2497" spans="1:5" s="103" customFormat="1" ht="13.2" hidden="1" outlineLevel="1" x14ac:dyDescent="0.25">
      <c r="A2497" s="106" t="s">
        <v>5012</v>
      </c>
      <c r="B2497" s="106" t="s">
        <v>5013</v>
      </c>
      <c r="C2497" s="106"/>
      <c r="D2497" s="106"/>
      <c r="E2497" s="52"/>
    </row>
    <row r="2498" spans="1:5" s="103" customFormat="1" ht="13.2" hidden="1" outlineLevel="1" x14ac:dyDescent="0.25">
      <c r="A2498" s="106" t="s">
        <v>5014</v>
      </c>
      <c r="B2498" s="106" t="s">
        <v>5015</v>
      </c>
      <c r="C2498" s="106"/>
      <c r="D2498" s="106"/>
      <c r="E2498" s="52"/>
    </row>
    <row r="2499" spans="1:5" s="103" customFormat="1" ht="13.2" hidden="1" outlineLevel="1" x14ac:dyDescent="0.25">
      <c r="A2499" s="106" t="s">
        <v>5016</v>
      </c>
      <c r="B2499" s="106" t="s">
        <v>5017</v>
      </c>
      <c r="C2499" s="106"/>
      <c r="D2499" s="106"/>
      <c r="E2499" s="52"/>
    </row>
    <row r="2500" spans="1:5" s="103" customFormat="1" ht="13.2" hidden="1" outlineLevel="1" x14ac:dyDescent="0.25">
      <c r="A2500" s="106" t="s">
        <v>5018</v>
      </c>
      <c r="B2500" s="106" t="s">
        <v>5019</v>
      </c>
      <c r="C2500" s="106"/>
      <c r="D2500" s="106"/>
      <c r="E2500" s="52"/>
    </row>
    <row r="2501" spans="1:5" s="103" customFormat="1" ht="13.2" hidden="1" outlineLevel="1" x14ac:dyDescent="0.25">
      <c r="A2501" s="106" t="s">
        <v>5020</v>
      </c>
      <c r="B2501" s="106" t="s">
        <v>5021</v>
      </c>
      <c r="C2501" s="106"/>
      <c r="D2501" s="106"/>
      <c r="E2501" s="52"/>
    </row>
    <row r="2502" spans="1:5" s="103" customFormat="1" ht="13.2" hidden="1" outlineLevel="1" x14ac:dyDescent="0.25">
      <c r="A2502" s="106" t="s">
        <v>5022</v>
      </c>
      <c r="B2502" s="106" t="s">
        <v>5023</v>
      </c>
      <c r="C2502" s="106"/>
      <c r="D2502" s="106"/>
      <c r="E2502" s="52"/>
    </row>
    <row r="2503" spans="1:5" s="103" customFormat="1" ht="13.2" hidden="1" outlineLevel="1" x14ac:dyDescent="0.25">
      <c r="A2503" s="106" t="s">
        <v>5024</v>
      </c>
      <c r="B2503" s="106" t="s">
        <v>5025</v>
      </c>
      <c r="C2503" s="106"/>
      <c r="D2503" s="106"/>
      <c r="E2503" s="52"/>
    </row>
    <row r="2504" spans="1:5" s="103" customFormat="1" ht="13.2" hidden="1" outlineLevel="1" x14ac:dyDescent="0.25">
      <c r="A2504" s="106" t="s">
        <v>5026</v>
      </c>
      <c r="B2504" s="106" t="s">
        <v>5027</v>
      </c>
      <c r="C2504" s="106"/>
      <c r="D2504" s="106"/>
      <c r="E2504" s="52"/>
    </row>
    <row r="2505" spans="1:5" s="103" customFormat="1" ht="13.2" hidden="1" outlineLevel="1" x14ac:dyDescent="0.25">
      <c r="A2505" s="106" t="s">
        <v>5028</v>
      </c>
      <c r="B2505" s="106" t="s">
        <v>5029</v>
      </c>
      <c r="C2505" s="106"/>
      <c r="D2505" s="106"/>
      <c r="E2505" s="52"/>
    </row>
    <row r="2506" spans="1:5" s="103" customFormat="1" ht="13.2" hidden="1" outlineLevel="1" x14ac:dyDescent="0.25">
      <c r="A2506" s="106" t="s">
        <v>5030</v>
      </c>
      <c r="B2506" s="106" t="s">
        <v>5031</v>
      </c>
      <c r="C2506" s="106"/>
      <c r="D2506" s="106"/>
      <c r="E2506" s="52"/>
    </row>
    <row r="2507" spans="1:5" s="103" customFormat="1" ht="13.2" hidden="1" outlineLevel="1" x14ac:dyDescent="0.25">
      <c r="A2507" s="106" t="s">
        <v>5032</v>
      </c>
      <c r="B2507" s="106" t="s">
        <v>5033</v>
      </c>
      <c r="C2507" s="106"/>
      <c r="D2507" s="106"/>
      <c r="E2507" s="52"/>
    </row>
    <row r="2508" spans="1:5" s="103" customFormat="1" ht="13.2" hidden="1" outlineLevel="1" x14ac:dyDescent="0.25">
      <c r="A2508" s="106" t="s">
        <v>5034</v>
      </c>
      <c r="B2508" s="106" t="s">
        <v>5035</v>
      </c>
      <c r="C2508" s="106"/>
      <c r="D2508" s="106"/>
      <c r="E2508" s="52"/>
    </row>
    <row r="2509" spans="1:5" s="103" customFormat="1" ht="13.2" hidden="1" outlineLevel="1" x14ac:dyDescent="0.25">
      <c r="A2509" s="106" t="s">
        <v>5036</v>
      </c>
      <c r="B2509" s="106" t="s">
        <v>5037</v>
      </c>
      <c r="C2509" s="106"/>
      <c r="D2509" s="106"/>
      <c r="E2509" s="52"/>
    </row>
    <row r="2510" spans="1:5" s="103" customFormat="1" ht="13.2" hidden="1" outlineLevel="1" x14ac:dyDescent="0.25">
      <c r="A2510" s="106" t="s">
        <v>5038</v>
      </c>
      <c r="B2510" s="106" t="s">
        <v>5039</v>
      </c>
      <c r="C2510" s="106"/>
      <c r="D2510" s="106"/>
      <c r="E2510" s="52"/>
    </row>
    <row r="2511" spans="1:5" s="103" customFormat="1" ht="13.2" hidden="1" outlineLevel="1" x14ac:dyDescent="0.25">
      <c r="A2511" s="106" t="s">
        <v>5040</v>
      </c>
      <c r="B2511" s="106" t="s">
        <v>5041</v>
      </c>
      <c r="C2511" s="106"/>
      <c r="D2511" s="106"/>
      <c r="E2511" s="52"/>
    </row>
    <row r="2512" spans="1:5" s="103" customFormat="1" ht="13.2" hidden="1" outlineLevel="1" x14ac:dyDescent="0.25">
      <c r="A2512" s="106" t="s">
        <v>5042</v>
      </c>
      <c r="B2512" s="106" t="s">
        <v>5043</v>
      </c>
      <c r="C2512" s="106"/>
      <c r="D2512" s="106"/>
      <c r="E2512" s="52"/>
    </row>
    <row r="2513" spans="1:5" s="103" customFormat="1" ht="13.2" hidden="1" outlineLevel="1" x14ac:dyDescent="0.25">
      <c r="A2513" s="106" t="s">
        <v>5044</v>
      </c>
      <c r="B2513" s="106" t="s">
        <v>5045</v>
      </c>
      <c r="C2513" s="106"/>
      <c r="D2513" s="106"/>
      <c r="E2513" s="52"/>
    </row>
    <row r="2514" spans="1:5" s="103" customFormat="1" ht="13.2" hidden="1" outlineLevel="1" x14ac:dyDescent="0.25">
      <c r="A2514" s="106" t="s">
        <v>5046</v>
      </c>
      <c r="B2514" s="106" t="s">
        <v>5047</v>
      </c>
      <c r="C2514" s="106"/>
      <c r="D2514" s="106"/>
      <c r="E2514" s="52"/>
    </row>
    <row r="2515" spans="1:5" s="103" customFormat="1" ht="13.2" hidden="1" outlineLevel="1" x14ac:dyDescent="0.25">
      <c r="A2515" s="106" t="s">
        <v>5048</v>
      </c>
      <c r="B2515" s="106" t="s">
        <v>5049</v>
      </c>
      <c r="C2515" s="106"/>
      <c r="D2515" s="106"/>
      <c r="E2515" s="52"/>
    </row>
    <row r="2516" spans="1:5" s="103" customFormat="1" ht="13.2" hidden="1" outlineLevel="1" x14ac:dyDescent="0.25">
      <c r="A2516" s="106" t="s">
        <v>5050</v>
      </c>
      <c r="B2516" s="106" t="s">
        <v>5051</v>
      </c>
      <c r="C2516" s="106"/>
      <c r="D2516" s="106"/>
      <c r="E2516" s="52"/>
    </row>
    <row r="2517" spans="1:5" s="103" customFormat="1" ht="13.2" hidden="1" outlineLevel="1" x14ac:dyDescent="0.25">
      <c r="A2517" s="106" t="s">
        <v>5052</v>
      </c>
      <c r="B2517" s="106" t="s">
        <v>5053</v>
      </c>
      <c r="C2517" s="106"/>
      <c r="D2517" s="106"/>
      <c r="E2517" s="52"/>
    </row>
    <row r="2518" spans="1:5" s="103" customFormat="1" ht="13.2" hidden="1" outlineLevel="1" x14ac:dyDescent="0.25">
      <c r="A2518" s="106" t="s">
        <v>5054</v>
      </c>
      <c r="B2518" s="106" t="s">
        <v>5055</v>
      </c>
      <c r="C2518" s="106"/>
      <c r="D2518" s="106"/>
      <c r="E2518" s="52"/>
    </row>
    <row r="2519" spans="1:5" s="103" customFormat="1" ht="13.2" hidden="1" outlineLevel="1" x14ac:dyDescent="0.25">
      <c r="A2519" s="106" t="s">
        <v>5056</v>
      </c>
      <c r="B2519" s="106" t="s">
        <v>5057</v>
      </c>
      <c r="C2519" s="106"/>
      <c r="D2519" s="106"/>
      <c r="E2519" s="52"/>
    </row>
    <row r="2520" spans="1:5" s="103" customFormat="1" ht="13.2" hidden="1" outlineLevel="1" x14ac:dyDescent="0.25">
      <c r="A2520" s="106" t="s">
        <v>5058</v>
      </c>
      <c r="B2520" s="106" t="s">
        <v>5059</v>
      </c>
      <c r="C2520" s="106"/>
      <c r="D2520" s="106"/>
      <c r="E2520" s="52"/>
    </row>
    <row r="2521" spans="1:5" s="103" customFormat="1" ht="13.2" hidden="1" outlineLevel="1" x14ac:dyDescent="0.25">
      <c r="A2521" s="106" t="s">
        <v>5060</v>
      </c>
      <c r="B2521" s="106" t="s">
        <v>5061</v>
      </c>
      <c r="C2521" s="106"/>
      <c r="D2521" s="106"/>
      <c r="E2521" s="52"/>
    </row>
    <row r="2522" spans="1:5" s="103" customFormat="1" ht="13.2" hidden="1" outlineLevel="1" x14ac:dyDescent="0.25">
      <c r="A2522" s="106" t="s">
        <v>5062</v>
      </c>
      <c r="B2522" s="106" t="s">
        <v>5063</v>
      </c>
      <c r="C2522" s="106"/>
      <c r="D2522" s="106"/>
      <c r="E2522" s="52"/>
    </row>
    <row r="2523" spans="1:5" s="103" customFormat="1" ht="13.2" hidden="1" outlineLevel="1" x14ac:dyDescent="0.25">
      <c r="A2523" s="106" t="s">
        <v>5064</v>
      </c>
      <c r="B2523" s="106" t="s">
        <v>5065</v>
      </c>
      <c r="C2523" s="106"/>
      <c r="D2523" s="106"/>
      <c r="E2523" s="52"/>
    </row>
    <row r="2524" spans="1:5" s="103" customFormat="1" ht="13.2" hidden="1" outlineLevel="1" x14ac:dyDescent="0.25">
      <c r="A2524" s="106" t="s">
        <v>5066</v>
      </c>
      <c r="B2524" s="106" t="s">
        <v>5067</v>
      </c>
      <c r="C2524" s="106"/>
      <c r="D2524" s="106"/>
      <c r="E2524" s="52"/>
    </row>
    <row r="2525" spans="1:5" s="103" customFormat="1" ht="13.2" hidden="1" outlineLevel="1" x14ac:dyDescent="0.25">
      <c r="A2525" s="106" t="s">
        <v>5068</v>
      </c>
      <c r="B2525" s="106" t="s">
        <v>5069</v>
      </c>
      <c r="C2525" s="106"/>
      <c r="D2525" s="106"/>
      <c r="E2525" s="52"/>
    </row>
    <row r="2526" spans="1:5" s="103" customFormat="1" ht="13.2" hidden="1" outlineLevel="1" x14ac:dyDescent="0.25">
      <c r="A2526" s="106" t="s">
        <v>5070</v>
      </c>
      <c r="B2526" s="106" t="s">
        <v>5071</v>
      </c>
      <c r="C2526" s="106"/>
      <c r="D2526" s="106"/>
      <c r="E2526" s="52"/>
    </row>
    <row r="2527" spans="1:5" s="103" customFormat="1" ht="13.2" hidden="1" outlineLevel="1" x14ac:dyDescent="0.25">
      <c r="A2527" s="106" t="s">
        <v>5072</v>
      </c>
      <c r="B2527" s="106" t="s">
        <v>5073</v>
      </c>
      <c r="C2527" s="106"/>
      <c r="D2527" s="106"/>
      <c r="E2527" s="52"/>
    </row>
    <row r="2528" spans="1:5" s="103" customFormat="1" ht="13.2" hidden="1" outlineLevel="1" x14ac:dyDescent="0.25">
      <c r="A2528" s="106" t="s">
        <v>5074</v>
      </c>
      <c r="B2528" s="106" t="s">
        <v>5075</v>
      </c>
      <c r="C2528" s="106"/>
      <c r="D2528" s="106"/>
      <c r="E2528" s="52"/>
    </row>
    <row r="2529" spans="1:5" s="103" customFormat="1" ht="13.2" hidden="1" outlineLevel="1" x14ac:dyDescent="0.25">
      <c r="A2529" s="106" t="s">
        <v>5076</v>
      </c>
      <c r="B2529" s="106" t="s">
        <v>5077</v>
      </c>
      <c r="C2529" s="106"/>
      <c r="D2529" s="106"/>
      <c r="E2529" s="52"/>
    </row>
    <row r="2530" spans="1:5" s="103" customFormat="1" ht="13.2" hidden="1" outlineLevel="1" x14ac:dyDescent="0.25">
      <c r="A2530" s="106" t="s">
        <v>5078</v>
      </c>
      <c r="B2530" s="106" t="s">
        <v>5079</v>
      </c>
      <c r="C2530" s="106"/>
      <c r="D2530" s="106"/>
      <c r="E2530" s="52"/>
    </row>
    <row r="2531" spans="1:5" s="103" customFormat="1" ht="13.2" hidden="1" outlineLevel="1" x14ac:dyDescent="0.25">
      <c r="A2531" s="106" t="s">
        <v>5080</v>
      </c>
      <c r="B2531" s="106" t="s">
        <v>5081</v>
      </c>
      <c r="C2531" s="106"/>
      <c r="D2531" s="106"/>
      <c r="E2531" s="52"/>
    </row>
    <row r="2532" spans="1:5" s="103" customFormat="1" ht="13.2" hidden="1" outlineLevel="1" x14ac:dyDescent="0.25">
      <c r="A2532" s="106" t="s">
        <v>5082</v>
      </c>
      <c r="B2532" s="106" t="s">
        <v>5083</v>
      </c>
      <c r="C2532" s="106"/>
      <c r="D2532" s="106"/>
      <c r="E2532" s="52"/>
    </row>
    <row r="2533" spans="1:5" s="103" customFormat="1" ht="13.2" hidden="1" outlineLevel="1" x14ac:dyDescent="0.25">
      <c r="A2533" s="106" t="s">
        <v>5084</v>
      </c>
      <c r="B2533" s="106" t="s">
        <v>5085</v>
      </c>
      <c r="C2533" s="106"/>
      <c r="D2533" s="106"/>
      <c r="E2533" s="52"/>
    </row>
    <row r="2534" spans="1:5" s="103" customFormat="1" ht="13.2" hidden="1" outlineLevel="1" x14ac:dyDescent="0.25">
      <c r="A2534" s="106" t="s">
        <v>5086</v>
      </c>
      <c r="B2534" s="106" t="s">
        <v>5087</v>
      </c>
      <c r="C2534" s="106"/>
      <c r="D2534" s="106"/>
      <c r="E2534" s="52"/>
    </row>
    <row r="2535" spans="1:5" s="103" customFormat="1" ht="13.2" hidden="1" outlineLevel="1" x14ac:dyDescent="0.25">
      <c r="A2535" s="106" t="s">
        <v>5088</v>
      </c>
      <c r="B2535" s="106" t="s">
        <v>5089</v>
      </c>
      <c r="C2535" s="106"/>
      <c r="D2535" s="106"/>
      <c r="E2535" s="52"/>
    </row>
    <row r="2536" spans="1:5" s="103" customFormat="1" ht="13.2" hidden="1" outlineLevel="1" x14ac:dyDescent="0.25">
      <c r="A2536" s="106" t="s">
        <v>5090</v>
      </c>
      <c r="B2536" s="106" t="s">
        <v>5091</v>
      </c>
      <c r="C2536" s="106"/>
      <c r="D2536" s="106"/>
      <c r="E2536" s="52"/>
    </row>
    <row r="2537" spans="1:5" s="103" customFormat="1" ht="13.2" hidden="1" outlineLevel="1" x14ac:dyDescent="0.25">
      <c r="A2537" s="106" t="s">
        <v>5092</v>
      </c>
      <c r="B2537" s="106" t="s">
        <v>5093</v>
      </c>
      <c r="C2537" s="106"/>
      <c r="D2537" s="106"/>
      <c r="E2537" s="52"/>
    </row>
    <row r="2538" spans="1:5" s="103" customFormat="1" ht="13.2" hidden="1" outlineLevel="1" x14ac:dyDescent="0.25">
      <c r="A2538" s="106" t="s">
        <v>5094</v>
      </c>
      <c r="B2538" s="106" t="s">
        <v>5095</v>
      </c>
      <c r="C2538" s="106"/>
      <c r="D2538" s="106"/>
      <c r="E2538" s="52"/>
    </row>
    <row r="2539" spans="1:5" s="103" customFormat="1" ht="13.2" hidden="1" outlineLevel="1" x14ac:dyDescent="0.25">
      <c r="A2539" s="106" t="s">
        <v>5096</v>
      </c>
      <c r="B2539" s="106" t="s">
        <v>5097</v>
      </c>
      <c r="C2539" s="106"/>
      <c r="D2539" s="106"/>
      <c r="E2539" s="52"/>
    </row>
    <row r="2540" spans="1:5" s="103" customFormat="1" ht="13.2" hidden="1" outlineLevel="1" x14ac:dyDescent="0.25">
      <c r="A2540" s="106" t="s">
        <v>5098</v>
      </c>
      <c r="B2540" s="106" t="s">
        <v>5099</v>
      </c>
      <c r="C2540" s="106"/>
      <c r="D2540" s="106"/>
      <c r="E2540" s="52"/>
    </row>
    <row r="2541" spans="1:5" s="103" customFormat="1" ht="13.2" hidden="1" outlineLevel="1" x14ac:dyDescent="0.25">
      <c r="A2541" s="106" t="s">
        <v>5100</v>
      </c>
      <c r="B2541" s="106" t="s">
        <v>5101</v>
      </c>
      <c r="C2541" s="106"/>
      <c r="D2541" s="106"/>
      <c r="E2541" s="52"/>
    </row>
    <row r="2542" spans="1:5" s="103" customFormat="1" ht="13.2" hidden="1" outlineLevel="1" x14ac:dyDescent="0.25">
      <c r="A2542" s="106" t="s">
        <v>5102</v>
      </c>
      <c r="B2542" s="106" t="s">
        <v>5103</v>
      </c>
      <c r="C2542" s="106"/>
      <c r="D2542" s="106"/>
      <c r="E2542" s="52"/>
    </row>
    <row r="2543" spans="1:5" s="103" customFormat="1" ht="13.2" hidden="1" outlineLevel="1" x14ac:dyDescent="0.25">
      <c r="A2543" s="106" t="s">
        <v>5104</v>
      </c>
      <c r="B2543" s="106" t="s">
        <v>5105</v>
      </c>
      <c r="C2543" s="106"/>
      <c r="D2543" s="106"/>
      <c r="E2543" s="52"/>
    </row>
    <row r="2544" spans="1:5" s="103" customFormat="1" ht="13.2" hidden="1" outlineLevel="1" x14ac:dyDescent="0.25">
      <c r="A2544" s="106" t="s">
        <v>5106</v>
      </c>
      <c r="B2544" s="106" t="s">
        <v>5107</v>
      </c>
      <c r="C2544" s="106"/>
      <c r="D2544" s="106"/>
      <c r="E2544" s="52"/>
    </row>
    <row r="2545" spans="1:5" s="103" customFormat="1" ht="13.2" hidden="1" outlineLevel="1" x14ac:dyDescent="0.25">
      <c r="A2545" s="106" t="s">
        <v>5108</v>
      </c>
      <c r="B2545" s="106" t="s">
        <v>5109</v>
      </c>
      <c r="C2545" s="106"/>
      <c r="D2545" s="106"/>
      <c r="E2545" s="52"/>
    </row>
    <row r="2546" spans="1:5" s="103" customFormat="1" ht="13.2" hidden="1" outlineLevel="1" x14ac:dyDescent="0.25">
      <c r="A2546" s="106" t="s">
        <v>5110</v>
      </c>
      <c r="B2546" s="106" t="s">
        <v>5111</v>
      </c>
      <c r="C2546" s="106"/>
      <c r="D2546" s="106"/>
      <c r="E2546" s="52"/>
    </row>
    <row r="2547" spans="1:5" s="103" customFormat="1" ht="13.2" hidden="1" outlineLevel="1" x14ac:dyDescent="0.25">
      <c r="A2547" s="106" t="s">
        <v>5112</v>
      </c>
      <c r="B2547" s="106" t="s">
        <v>5113</v>
      </c>
      <c r="C2547" s="106"/>
      <c r="D2547" s="106"/>
      <c r="E2547" s="52"/>
    </row>
    <row r="2548" spans="1:5" s="103" customFormat="1" ht="13.2" hidden="1" outlineLevel="1" x14ac:dyDescent="0.25">
      <c r="A2548" s="106" t="s">
        <v>5114</v>
      </c>
      <c r="B2548" s="106" t="s">
        <v>5115</v>
      </c>
      <c r="C2548" s="106"/>
      <c r="D2548" s="106"/>
      <c r="E2548" s="52"/>
    </row>
    <row r="2549" spans="1:5" s="103" customFormat="1" ht="13.2" hidden="1" outlineLevel="1" x14ac:dyDescent="0.25">
      <c r="A2549" s="106" t="s">
        <v>5116</v>
      </c>
      <c r="B2549" s="106" t="s">
        <v>5117</v>
      </c>
      <c r="C2549" s="106"/>
      <c r="D2549" s="106"/>
      <c r="E2549" s="52"/>
    </row>
    <row r="2550" spans="1:5" s="103" customFormat="1" ht="13.2" hidden="1" outlineLevel="1" x14ac:dyDescent="0.25">
      <c r="A2550" s="106" t="s">
        <v>5118</v>
      </c>
      <c r="B2550" s="106" t="s">
        <v>5119</v>
      </c>
      <c r="C2550" s="106"/>
      <c r="D2550" s="106"/>
      <c r="E2550" s="52"/>
    </row>
    <row r="2551" spans="1:5" s="103" customFormat="1" ht="13.2" hidden="1" outlineLevel="1" x14ac:dyDescent="0.25">
      <c r="A2551" s="106" t="s">
        <v>5120</v>
      </c>
      <c r="B2551" s="106" t="s">
        <v>5121</v>
      </c>
      <c r="C2551" s="106"/>
      <c r="D2551" s="106"/>
      <c r="E2551" s="52"/>
    </row>
    <row r="2552" spans="1:5" s="103" customFormat="1" ht="13.2" hidden="1" outlineLevel="1" x14ac:dyDescent="0.25">
      <c r="A2552" s="106" t="s">
        <v>5122</v>
      </c>
      <c r="B2552" s="106" t="s">
        <v>5123</v>
      </c>
      <c r="C2552" s="106"/>
      <c r="D2552" s="106"/>
      <c r="E2552" s="52"/>
    </row>
    <row r="2553" spans="1:5" s="103" customFormat="1" ht="13.2" hidden="1" outlineLevel="1" x14ac:dyDescent="0.25">
      <c r="A2553" s="106" t="s">
        <v>5124</v>
      </c>
      <c r="B2553" s="106" t="s">
        <v>5125</v>
      </c>
      <c r="C2553" s="106"/>
      <c r="D2553" s="106"/>
      <c r="E2553" s="52"/>
    </row>
    <row r="2554" spans="1:5" s="103" customFormat="1" ht="13.2" hidden="1" outlineLevel="1" x14ac:dyDescent="0.25">
      <c r="A2554" s="106" t="s">
        <v>5126</v>
      </c>
      <c r="B2554" s="106" t="s">
        <v>5127</v>
      </c>
      <c r="C2554" s="106"/>
      <c r="D2554" s="106"/>
      <c r="E2554" s="52"/>
    </row>
    <row r="2555" spans="1:5" s="103" customFormat="1" ht="13.2" hidden="1" outlineLevel="1" x14ac:dyDescent="0.25">
      <c r="A2555" s="106" t="s">
        <v>5128</v>
      </c>
      <c r="B2555" s="106" t="s">
        <v>5129</v>
      </c>
      <c r="C2555" s="106"/>
      <c r="D2555" s="106"/>
      <c r="E2555" s="52"/>
    </row>
    <row r="2556" spans="1:5" s="103" customFormat="1" ht="13.2" hidden="1" outlineLevel="1" x14ac:dyDescent="0.25">
      <c r="A2556" s="106" t="s">
        <v>5130</v>
      </c>
      <c r="B2556" s="106" t="s">
        <v>5131</v>
      </c>
      <c r="C2556" s="106"/>
      <c r="D2556" s="106"/>
      <c r="E2556" s="52"/>
    </row>
    <row r="2557" spans="1:5" s="103" customFormat="1" ht="13.2" hidden="1" outlineLevel="1" x14ac:dyDescent="0.25">
      <c r="A2557" s="106" t="s">
        <v>5132</v>
      </c>
      <c r="B2557" s="106" t="s">
        <v>5133</v>
      </c>
      <c r="C2557" s="106"/>
      <c r="D2557" s="106"/>
      <c r="E2557" s="52"/>
    </row>
    <row r="2558" spans="1:5" s="103" customFormat="1" ht="13.2" hidden="1" outlineLevel="1" x14ac:dyDescent="0.25">
      <c r="A2558" s="106" t="s">
        <v>5134</v>
      </c>
      <c r="B2558" s="106" t="s">
        <v>5135</v>
      </c>
      <c r="C2558" s="106"/>
      <c r="D2558" s="106"/>
      <c r="E2558" s="52"/>
    </row>
    <row r="2559" spans="1:5" s="103" customFormat="1" ht="13.2" hidden="1" outlineLevel="1" x14ac:dyDescent="0.25">
      <c r="A2559" s="106" t="s">
        <v>5136</v>
      </c>
      <c r="B2559" s="106" t="s">
        <v>5137</v>
      </c>
      <c r="C2559" s="106"/>
      <c r="D2559" s="106"/>
      <c r="E2559" s="52"/>
    </row>
    <row r="2560" spans="1:5" s="103" customFormat="1" ht="13.2" collapsed="1" x14ac:dyDescent="0.25">
      <c r="A2560" s="104" t="s">
        <v>5138</v>
      </c>
      <c r="B2560" s="105" t="s">
        <v>5139</v>
      </c>
      <c r="C2560" s="105"/>
      <c r="D2560" s="105"/>
      <c r="E2560" s="51"/>
    </row>
    <row r="2561" spans="1:5" s="103" customFormat="1" ht="13.2" hidden="1" outlineLevel="1" x14ac:dyDescent="0.25">
      <c r="A2561" s="106" t="s">
        <v>5140</v>
      </c>
      <c r="B2561" s="106" t="s">
        <v>5141</v>
      </c>
      <c r="C2561" s="106"/>
      <c r="D2561" s="106"/>
      <c r="E2561" s="52"/>
    </row>
    <row r="2562" spans="1:5" s="103" customFormat="1" ht="13.2" hidden="1" outlineLevel="1" x14ac:dyDescent="0.25">
      <c r="A2562" s="106" t="s">
        <v>5142</v>
      </c>
      <c r="B2562" s="106" t="s">
        <v>5143</v>
      </c>
      <c r="C2562" s="106"/>
      <c r="D2562" s="106"/>
      <c r="E2562" s="52"/>
    </row>
    <row r="2563" spans="1:5" s="103" customFormat="1" ht="13.2" hidden="1" outlineLevel="1" x14ac:dyDescent="0.25">
      <c r="A2563" s="106" t="s">
        <v>5144</v>
      </c>
      <c r="B2563" s="106" t="s">
        <v>5145</v>
      </c>
      <c r="C2563" s="106"/>
      <c r="D2563" s="106"/>
      <c r="E2563" s="52"/>
    </row>
    <row r="2564" spans="1:5" s="103" customFormat="1" ht="13.2" hidden="1" outlineLevel="1" x14ac:dyDescent="0.25">
      <c r="A2564" s="106" t="s">
        <v>5146</v>
      </c>
      <c r="B2564" s="106" t="s">
        <v>5147</v>
      </c>
      <c r="C2564" s="106"/>
      <c r="D2564" s="106"/>
      <c r="E2564" s="52"/>
    </row>
    <row r="2565" spans="1:5" s="103" customFormat="1" ht="13.2" hidden="1" outlineLevel="1" x14ac:dyDescent="0.25">
      <c r="A2565" s="106" t="s">
        <v>5148</v>
      </c>
      <c r="B2565" s="106" t="s">
        <v>5149</v>
      </c>
      <c r="C2565" s="106"/>
      <c r="D2565" s="106"/>
      <c r="E2565" s="52"/>
    </row>
    <row r="2566" spans="1:5" s="103" customFormat="1" ht="13.2" hidden="1" outlineLevel="1" x14ac:dyDescent="0.25">
      <c r="A2566" s="106" t="s">
        <v>5150</v>
      </c>
      <c r="B2566" s="106" t="s">
        <v>5151</v>
      </c>
      <c r="C2566" s="106"/>
      <c r="D2566" s="106"/>
      <c r="E2566" s="52"/>
    </row>
    <row r="2567" spans="1:5" s="103" customFormat="1" ht="13.2" hidden="1" outlineLevel="1" x14ac:dyDescent="0.25">
      <c r="A2567" s="106" t="s">
        <v>5152</v>
      </c>
      <c r="B2567" s="106" t="s">
        <v>5153</v>
      </c>
      <c r="C2567" s="106"/>
      <c r="D2567" s="106"/>
      <c r="E2567" s="52"/>
    </row>
    <row r="2568" spans="1:5" s="103" customFormat="1" ht="13.2" hidden="1" outlineLevel="1" x14ac:dyDescent="0.25">
      <c r="A2568" s="106" t="s">
        <v>5154</v>
      </c>
      <c r="B2568" s="106" t="s">
        <v>5155</v>
      </c>
      <c r="C2568" s="106"/>
      <c r="D2568" s="106"/>
      <c r="E2568" s="52"/>
    </row>
    <row r="2569" spans="1:5" s="103" customFormat="1" ht="13.2" hidden="1" outlineLevel="1" x14ac:dyDescent="0.25">
      <c r="A2569" s="106" t="s">
        <v>5156</v>
      </c>
      <c r="B2569" s="106" t="s">
        <v>5157</v>
      </c>
      <c r="C2569" s="106"/>
      <c r="D2569" s="106"/>
      <c r="E2569" s="52"/>
    </row>
    <row r="2570" spans="1:5" s="103" customFormat="1" ht="13.2" hidden="1" outlineLevel="1" x14ac:dyDescent="0.25">
      <c r="A2570" s="106" t="s">
        <v>5158</v>
      </c>
      <c r="B2570" s="106" t="s">
        <v>5159</v>
      </c>
      <c r="C2570" s="106"/>
      <c r="D2570" s="106"/>
      <c r="E2570" s="52"/>
    </row>
    <row r="2571" spans="1:5" s="103" customFormat="1" ht="13.2" hidden="1" outlineLevel="1" x14ac:dyDescent="0.25">
      <c r="A2571" s="106" t="s">
        <v>5160</v>
      </c>
      <c r="B2571" s="106" t="s">
        <v>5161</v>
      </c>
      <c r="C2571" s="106"/>
      <c r="D2571" s="106"/>
      <c r="E2571" s="52"/>
    </row>
    <row r="2572" spans="1:5" s="103" customFormat="1" ht="13.2" hidden="1" outlineLevel="1" x14ac:dyDescent="0.25">
      <c r="A2572" s="106" t="s">
        <v>5162</v>
      </c>
      <c r="B2572" s="106" t="s">
        <v>5163</v>
      </c>
      <c r="C2572" s="106"/>
      <c r="D2572" s="106"/>
      <c r="E2572" s="52"/>
    </row>
    <row r="2573" spans="1:5" s="103" customFormat="1" ht="13.2" hidden="1" outlineLevel="1" x14ac:dyDescent="0.25">
      <c r="A2573" s="106" t="s">
        <v>5164</v>
      </c>
      <c r="B2573" s="106" t="s">
        <v>5165</v>
      </c>
      <c r="C2573" s="106"/>
      <c r="D2573" s="106"/>
      <c r="E2573" s="52"/>
    </row>
    <row r="2574" spans="1:5" s="103" customFormat="1" ht="13.2" hidden="1" outlineLevel="1" x14ac:dyDescent="0.25">
      <c r="A2574" s="106" t="s">
        <v>5166</v>
      </c>
      <c r="B2574" s="106" t="s">
        <v>5167</v>
      </c>
      <c r="C2574" s="106"/>
      <c r="D2574" s="106"/>
      <c r="E2574" s="52"/>
    </row>
    <row r="2575" spans="1:5" s="103" customFormat="1" ht="13.2" hidden="1" outlineLevel="1" x14ac:dyDescent="0.25">
      <c r="A2575" s="106" t="s">
        <v>5168</v>
      </c>
      <c r="B2575" s="106" t="s">
        <v>5169</v>
      </c>
      <c r="C2575" s="106"/>
      <c r="D2575" s="106"/>
      <c r="E2575" s="52"/>
    </row>
    <row r="2576" spans="1:5" s="103" customFormat="1" ht="13.2" hidden="1" outlineLevel="1" x14ac:dyDescent="0.25">
      <c r="A2576" s="106" t="s">
        <v>5170</v>
      </c>
      <c r="B2576" s="106" t="s">
        <v>5171</v>
      </c>
      <c r="C2576" s="106"/>
      <c r="D2576" s="106"/>
      <c r="E2576" s="52"/>
    </row>
    <row r="2577" spans="1:5" s="103" customFormat="1" ht="13.2" hidden="1" outlineLevel="1" x14ac:dyDescent="0.25">
      <c r="A2577" s="106" t="s">
        <v>5172</v>
      </c>
      <c r="B2577" s="106" t="s">
        <v>5173</v>
      </c>
      <c r="C2577" s="106"/>
      <c r="D2577" s="106"/>
      <c r="E2577" s="52"/>
    </row>
    <row r="2578" spans="1:5" s="103" customFormat="1" ht="13.2" hidden="1" outlineLevel="1" x14ac:dyDescent="0.25">
      <c r="A2578" s="106" t="s">
        <v>5174</v>
      </c>
      <c r="B2578" s="106" t="s">
        <v>5175</v>
      </c>
      <c r="C2578" s="106"/>
      <c r="D2578" s="106"/>
      <c r="E2578" s="52"/>
    </row>
    <row r="2579" spans="1:5" s="103" customFormat="1" ht="13.2" hidden="1" outlineLevel="1" x14ac:dyDescent="0.25">
      <c r="A2579" s="106" t="s">
        <v>5176</v>
      </c>
      <c r="B2579" s="106" t="s">
        <v>5177</v>
      </c>
      <c r="C2579" s="106"/>
      <c r="D2579" s="106"/>
      <c r="E2579" s="52"/>
    </row>
    <row r="2580" spans="1:5" s="103" customFormat="1" ht="13.2" hidden="1" outlineLevel="1" x14ac:dyDescent="0.25">
      <c r="A2580" s="106" t="s">
        <v>5178</v>
      </c>
      <c r="B2580" s="106" t="s">
        <v>5179</v>
      </c>
      <c r="C2580" s="106"/>
      <c r="D2580" s="106"/>
      <c r="E2580" s="52"/>
    </row>
    <row r="2581" spans="1:5" s="103" customFormat="1" ht="13.2" hidden="1" outlineLevel="1" x14ac:dyDescent="0.25">
      <c r="A2581" s="106" t="s">
        <v>5180</v>
      </c>
      <c r="B2581" s="106" t="s">
        <v>5181</v>
      </c>
      <c r="C2581" s="106"/>
      <c r="D2581" s="106"/>
      <c r="E2581" s="52"/>
    </row>
    <row r="2582" spans="1:5" s="103" customFormat="1" ht="13.2" hidden="1" outlineLevel="1" x14ac:dyDescent="0.25">
      <c r="A2582" s="106" t="s">
        <v>5182</v>
      </c>
      <c r="B2582" s="106" t="s">
        <v>5183</v>
      </c>
      <c r="C2582" s="106"/>
      <c r="D2582" s="106"/>
      <c r="E2582" s="52"/>
    </row>
    <row r="2583" spans="1:5" s="103" customFormat="1" ht="13.2" hidden="1" outlineLevel="1" x14ac:dyDescent="0.25">
      <c r="A2583" s="106" t="s">
        <v>5184</v>
      </c>
      <c r="B2583" s="106" t="s">
        <v>5185</v>
      </c>
      <c r="C2583" s="106"/>
      <c r="D2583" s="106"/>
      <c r="E2583" s="52"/>
    </row>
    <row r="2584" spans="1:5" s="103" customFormat="1" ht="13.2" hidden="1" outlineLevel="1" x14ac:dyDescent="0.25">
      <c r="A2584" s="106" t="s">
        <v>5186</v>
      </c>
      <c r="B2584" s="106" t="s">
        <v>5187</v>
      </c>
      <c r="C2584" s="106"/>
      <c r="D2584" s="106"/>
      <c r="E2584" s="52"/>
    </row>
    <row r="2585" spans="1:5" s="103" customFormat="1" ht="13.2" hidden="1" outlineLevel="1" x14ac:dyDescent="0.25">
      <c r="A2585" s="106" t="s">
        <v>5188</v>
      </c>
      <c r="B2585" s="106" t="s">
        <v>5189</v>
      </c>
      <c r="C2585" s="106"/>
      <c r="D2585" s="106"/>
      <c r="E2585" s="52"/>
    </row>
    <row r="2586" spans="1:5" s="103" customFormat="1" ht="13.2" hidden="1" outlineLevel="1" x14ac:dyDescent="0.25">
      <c r="A2586" s="106" t="s">
        <v>5190</v>
      </c>
      <c r="B2586" s="106" t="s">
        <v>5191</v>
      </c>
      <c r="C2586" s="106"/>
      <c r="D2586" s="106"/>
      <c r="E2586" s="52"/>
    </row>
    <row r="2587" spans="1:5" s="103" customFormat="1" ht="13.2" hidden="1" outlineLevel="1" x14ac:dyDescent="0.25">
      <c r="A2587" s="106" t="s">
        <v>5192</v>
      </c>
      <c r="B2587" s="106" t="s">
        <v>5193</v>
      </c>
      <c r="C2587" s="106"/>
      <c r="D2587" s="106"/>
      <c r="E2587" s="52"/>
    </row>
    <row r="2588" spans="1:5" s="103" customFormat="1" ht="13.2" hidden="1" outlineLevel="1" x14ac:dyDescent="0.25">
      <c r="A2588" s="106" t="s">
        <v>5194</v>
      </c>
      <c r="B2588" s="106" t="s">
        <v>5195</v>
      </c>
      <c r="C2588" s="106"/>
      <c r="D2588" s="106"/>
      <c r="E2588" s="52"/>
    </row>
    <row r="2589" spans="1:5" s="103" customFormat="1" ht="13.2" hidden="1" outlineLevel="1" x14ac:dyDescent="0.25">
      <c r="A2589" s="106" t="s">
        <v>5196</v>
      </c>
      <c r="B2589" s="106" t="s">
        <v>5197</v>
      </c>
      <c r="C2589" s="106"/>
      <c r="D2589" s="106"/>
      <c r="E2589" s="52"/>
    </row>
    <row r="2590" spans="1:5" s="103" customFormat="1" ht="13.2" hidden="1" outlineLevel="1" x14ac:dyDescent="0.25">
      <c r="A2590" s="106" t="s">
        <v>5198</v>
      </c>
      <c r="B2590" s="106" t="s">
        <v>5199</v>
      </c>
      <c r="C2590" s="106"/>
      <c r="D2590" s="106"/>
      <c r="E2590" s="52"/>
    </row>
    <row r="2591" spans="1:5" s="103" customFormat="1" ht="13.2" hidden="1" outlineLevel="1" x14ac:dyDescent="0.25">
      <c r="A2591" s="106" t="s">
        <v>5200</v>
      </c>
      <c r="B2591" s="106" t="s">
        <v>5201</v>
      </c>
      <c r="C2591" s="106"/>
      <c r="D2591" s="106"/>
      <c r="E2591" s="52"/>
    </row>
    <row r="2592" spans="1:5" s="103" customFormat="1" ht="13.2" hidden="1" outlineLevel="1" x14ac:dyDescent="0.25">
      <c r="A2592" s="106" t="s">
        <v>5202</v>
      </c>
      <c r="B2592" s="106" t="s">
        <v>5203</v>
      </c>
      <c r="C2592" s="106"/>
      <c r="D2592" s="106"/>
      <c r="E2592" s="52"/>
    </row>
    <row r="2593" spans="1:5" s="103" customFormat="1" ht="13.2" hidden="1" outlineLevel="1" x14ac:dyDescent="0.25">
      <c r="A2593" s="106" t="s">
        <v>5204</v>
      </c>
      <c r="B2593" s="106" t="s">
        <v>5205</v>
      </c>
      <c r="C2593" s="106"/>
      <c r="D2593" s="106"/>
      <c r="E2593" s="52"/>
    </row>
    <row r="2594" spans="1:5" s="103" customFormat="1" ht="13.2" hidden="1" outlineLevel="1" x14ac:dyDescent="0.25">
      <c r="A2594" s="106" t="s">
        <v>5206</v>
      </c>
      <c r="B2594" s="106" t="s">
        <v>5207</v>
      </c>
      <c r="C2594" s="106"/>
      <c r="D2594" s="106"/>
      <c r="E2594" s="52"/>
    </row>
    <row r="2595" spans="1:5" s="103" customFormat="1" ht="13.2" hidden="1" outlineLevel="1" x14ac:dyDescent="0.25">
      <c r="A2595" s="106" t="s">
        <v>5208</v>
      </c>
      <c r="B2595" s="106" t="s">
        <v>5209</v>
      </c>
      <c r="C2595" s="106"/>
      <c r="D2595" s="106"/>
      <c r="E2595" s="52"/>
    </row>
    <row r="2596" spans="1:5" s="103" customFormat="1" ht="13.2" hidden="1" outlineLevel="1" x14ac:dyDescent="0.25">
      <c r="A2596" s="106" t="s">
        <v>5210</v>
      </c>
      <c r="B2596" s="106" t="s">
        <v>5211</v>
      </c>
      <c r="C2596" s="106"/>
      <c r="D2596" s="106"/>
      <c r="E2596" s="52"/>
    </row>
    <row r="2597" spans="1:5" s="103" customFormat="1" ht="13.2" hidden="1" outlineLevel="1" x14ac:dyDescent="0.25">
      <c r="A2597" s="106" t="s">
        <v>5212</v>
      </c>
      <c r="B2597" s="106" t="s">
        <v>5213</v>
      </c>
      <c r="C2597" s="106"/>
      <c r="D2597" s="106"/>
      <c r="E2597" s="52"/>
    </row>
    <row r="2598" spans="1:5" s="103" customFormat="1" ht="13.2" hidden="1" outlineLevel="1" x14ac:dyDescent="0.25">
      <c r="A2598" s="106" t="s">
        <v>5214</v>
      </c>
      <c r="B2598" s="106" t="s">
        <v>5215</v>
      </c>
      <c r="C2598" s="106"/>
      <c r="D2598" s="106"/>
      <c r="E2598" s="52"/>
    </row>
    <row r="2599" spans="1:5" s="103" customFormat="1" ht="13.2" hidden="1" outlineLevel="1" x14ac:dyDescent="0.25">
      <c r="A2599" s="106" t="s">
        <v>5216</v>
      </c>
      <c r="B2599" s="106" t="s">
        <v>5217</v>
      </c>
      <c r="C2599" s="106"/>
      <c r="D2599" s="106"/>
      <c r="E2599" s="52"/>
    </row>
    <row r="2600" spans="1:5" s="103" customFormat="1" ht="13.2" hidden="1" outlineLevel="1" x14ac:dyDescent="0.25">
      <c r="A2600" s="106" t="s">
        <v>5218</v>
      </c>
      <c r="B2600" s="106" t="s">
        <v>5219</v>
      </c>
      <c r="C2600" s="106"/>
      <c r="D2600" s="106"/>
      <c r="E2600" s="52"/>
    </row>
    <row r="2601" spans="1:5" s="103" customFormat="1" ht="13.2" hidden="1" outlineLevel="1" x14ac:dyDescent="0.25">
      <c r="A2601" s="106" t="s">
        <v>5220</v>
      </c>
      <c r="B2601" s="106" t="s">
        <v>5221</v>
      </c>
      <c r="C2601" s="106"/>
      <c r="D2601" s="106"/>
      <c r="E2601" s="52"/>
    </row>
    <row r="2602" spans="1:5" s="103" customFormat="1" ht="13.2" hidden="1" outlineLevel="1" x14ac:dyDescent="0.25">
      <c r="A2602" s="106" t="s">
        <v>5222</v>
      </c>
      <c r="B2602" s="106" t="s">
        <v>5223</v>
      </c>
      <c r="C2602" s="106"/>
      <c r="D2602" s="106"/>
      <c r="E2602" s="52"/>
    </row>
    <row r="2603" spans="1:5" s="103" customFormat="1" ht="13.2" hidden="1" outlineLevel="1" x14ac:dyDescent="0.25">
      <c r="A2603" s="106" t="s">
        <v>5224</v>
      </c>
      <c r="B2603" s="106" t="s">
        <v>5225</v>
      </c>
      <c r="C2603" s="106"/>
      <c r="D2603" s="106"/>
      <c r="E2603" s="52"/>
    </row>
    <row r="2604" spans="1:5" s="103" customFormat="1" ht="13.2" hidden="1" outlineLevel="1" x14ac:dyDescent="0.25">
      <c r="A2604" s="106" t="s">
        <v>5226</v>
      </c>
      <c r="B2604" s="106" t="s">
        <v>5227</v>
      </c>
      <c r="C2604" s="106"/>
      <c r="D2604" s="106"/>
      <c r="E2604" s="52"/>
    </row>
    <row r="2605" spans="1:5" s="103" customFormat="1" ht="13.2" hidden="1" outlineLevel="1" x14ac:dyDescent="0.25">
      <c r="A2605" s="106" t="s">
        <v>5228</v>
      </c>
      <c r="B2605" s="106" t="s">
        <v>5229</v>
      </c>
      <c r="C2605" s="106"/>
      <c r="D2605" s="106"/>
      <c r="E2605" s="52"/>
    </row>
    <row r="2606" spans="1:5" s="103" customFormat="1" ht="13.2" hidden="1" outlineLevel="1" x14ac:dyDescent="0.25">
      <c r="A2606" s="106" t="s">
        <v>5230</v>
      </c>
      <c r="B2606" s="106" t="s">
        <v>5231</v>
      </c>
      <c r="C2606" s="106"/>
      <c r="D2606" s="106"/>
      <c r="E2606" s="52"/>
    </row>
    <row r="2607" spans="1:5" s="103" customFormat="1" ht="13.2" hidden="1" outlineLevel="1" x14ac:dyDescent="0.25">
      <c r="A2607" s="106" t="s">
        <v>5232</v>
      </c>
      <c r="B2607" s="106" t="s">
        <v>5233</v>
      </c>
      <c r="C2607" s="106"/>
      <c r="D2607" s="106"/>
      <c r="E2607" s="52"/>
    </row>
    <row r="2608" spans="1:5" s="103" customFormat="1" ht="13.2" hidden="1" outlineLevel="1" x14ac:dyDescent="0.25">
      <c r="A2608" s="106" t="s">
        <v>5234</v>
      </c>
      <c r="B2608" s="106" t="s">
        <v>5235</v>
      </c>
      <c r="C2608" s="106"/>
      <c r="D2608" s="106"/>
      <c r="E2608" s="52"/>
    </row>
    <row r="2609" spans="1:5" s="103" customFormat="1" ht="13.2" hidden="1" outlineLevel="1" x14ac:dyDescent="0.25">
      <c r="A2609" s="106" t="s">
        <v>5236</v>
      </c>
      <c r="B2609" s="106" t="s">
        <v>5237</v>
      </c>
      <c r="C2609" s="106"/>
      <c r="D2609" s="106"/>
      <c r="E2609" s="52"/>
    </row>
    <row r="2610" spans="1:5" s="103" customFormat="1" ht="13.2" hidden="1" outlineLevel="1" x14ac:dyDescent="0.25">
      <c r="A2610" s="106" t="s">
        <v>5238</v>
      </c>
      <c r="B2610" s="106" t="s">
        <v>5239</v>
      </c>
      <c r="C2610" s="106"/>
      <c r="D2610" s="106"/>
      <c r="E2610" s="52"/>
    </row>
    <row r="2611" spans="1:5" s="103" customFormat="1" ht="13.2" hidden="1" outlineLevel="1" x14ac:dyDescent="0.25">
      <c r="A2611" s="106" t="s">
        <v>5240</v>
      </c>
      <c r="B2611" s="106" t="s">
        <v>5241</v>
      </c>
      <c r="C2611" s="106"/>
      <c r="D2611" s="106"/>
      <c r="E2611" s="52"/>
    </row>
    <row r="2612" spans="1:5" s="103" customFormat="1" ht="13.2" hidden="1" outlineLevel="1" x14ac:dyDescent="0.25">
      <c r="A2612" s="106" t="s">
        <v>5242</v>
      </c>
      <c r="B2612" s="106" t="s">
        <v>5243</v>
      </c>
      <c r="C2612" s="106"/>
      <c r="D2612" s="106"/>
      <c r="E2612" s="52"/>
    </row>
    <row r="2613" spans="1:5" s="103" customFormat="1" ht="13.2" hidden="1" outlineLevel="1" x14ac:dyDescent="0.25">
      <c r="A2613" s="106" t="s">
        <v>5244</v>
      </c>
      <c r="B2613" s="106" t="s">
        <v>5245</v>
      </c>
      <c r="C2613" s="106"/>
      <c r="D2613" s="106"/>
      <c r="E2613" s="52"/>
    </row>
    <row r="2614" spans="1:5" s="103" customFormat="1" ht="13.2" hidden="1" outlineLevel="1" x14ac:dyDescent="0.25">
      <c r="A2614" s="106" t="s">
        <v>5246</v>
      </c>
      <c r="B2614" s="106" t="s">
        <v>5247</v>
      </c>
      <c r="C2614" s="106"/>
      <c r="D2614" s="106"/>
      <c r="E2614" s="52"/>
    </row>
    <row r="2615" spans="1:5" s="103" customFormat="1" ht="13.2" hidden="1" outlineLevel="1" x14ac:dyDescent="0.25">
      <c r="A2615" s="106" t="s">
        <v>5248</v>
      </c>
      <c r="B2615" s="106" t="s">
        <v>5249</v>
      </c>
      <c r="C2615" s="106"/>
      <c r="D2615" s="106"/>
      <c r="E2615" s="52"/>
    </row>
    <row r="2616" spans="1:5" s="103" customFormat="1" ht="13.2" hidden="1" outlineLevel="1" x14ac:dyDescent="0.25">
      <c r="A2616" s="106" t="s">
        <v>5250</v>
      </c>
      <c r="B2616" s="106" t="s">
        <v>5251</v>
      </c>
      <c r="C2616" s="106"/>
      <c r="D2616" s="106"/>
      <c r="E2616" s="52"/>
    </row>
    <row r="2617" spans="1:5" s="103" customFormat="1" ht="13.2" hidden="1" outlineLevel="1" x14ac:dyDescent="0.25">
      <c r="A2617" s="106" t="s">
        <v>5252</v>
      </c>
      <c r="B2617" s="106" t="s">
        <v>5253</v>
      </c>
      <c r="C2617" s="106"/>
      <c r="D2617" s="106"/>
      <c r="E2617" s="52"/>
    </row>
    <row r="2618" spans="1:5" s="103" customFormat="1" ht="13.2" hidden="1" outlineLevel="1" x14ac:dyDescent="0.25">
      <c r="A2618" s="106" t="s">
        <v>5254</v>
      </c>
      <c r="B2618" s="106" t="s">
        <v>5255</v>
      </c>
      <c r="C2618" s="106"/>
      <c r="D2618" s="106"/>
      <c r="E2618" s="52"/>
    </row>
    <row r="2619" spans="1:5" s="103" customFormat="1" ht="13.2" hidden="1" outlineLevel="1" x14ac:dyDescent="0.25">
      <c r="A2619" s="106" t="s">
        <v>5256</v>
      </c>
      <c r="B2619" s="106" t="s">
        <v>5257</v>
      </c>
      <c r="C2619" s="106"/>
      <c r="D2619" s="106"/>
      <c r="E2619" s="52"/>
    </row>
    <row r="2620" spans="1:5" s="103" customFormat="1" ht="13.2" hidden="1" outlineLevel="1" x14ac:dyDescent="0.25">
      <c r="A2620" s="106" t="s">
        <v>5258</v>
      </c>
      <c r="B2620" s="106" t="s">
        <v>5259</v>
      </c>
      <c r="C2620" s="106"/>
      <c r="D2620" s="106"/>
      <c r="E2620" s="52"/>
    </row>
    <row r="2621" spans="1:5" s="103" customFormat="1" ht="13.2" hidden="1" outlineLevel="1" x14ac:dyDescent="0.25">
      <c r="A2621" s="106" t="s">
        <v>5260</v>
      </c>
      <c r="B2621" s="106" t="s">
        <v>5261</v>
      </c>
      <c r="C2621" s="106"/>
      <c r="D2621" s="106"/>
      <c r="E2621" s="52"/>
    </row>
    <row r="2622" spans="1:5" s="103" customFormat="1" ht="13.2" hidden="1" outlineLevel="1" x14ac:dyDescent="0.25">
      <c r="A2622" s="106" t="s">
        <v>5262</v>
      </c>
      <c r="B2622" s="106" t="s">
        <v>5263</v>
      </c>
      <c r="C2622" s="106"/>
      <c r="D2622" s="106"/>
      <c r="E2622" s="52"/>
    </row>
    <row r="2623" spans="1:5" s="103" customFormat="1" ht="13.2" hidden="1" outlineLevel="1" x14ac:dyDescent="0.25">
      <c r="A2623" s="106" t="s">
        <v>5264</v>
      </c>
      <c r="B2623" s="106" t="s">
        <v>5265</v>
      </c>
      <c r="C2623" s="106"/>
      <c r="D2623" s="106"/>
      <c r="E2623" s="52"/>
    </row>
    <row r="2624" spans="1:5" s="103" customFormat="1" ht="13.2" hidden="1" outlineLevel="1" x14ac:dyDescent="0.25">
      <c r="A2624" s="106" t="s">
        <v>5266</v>
      </c>
      <c r="B2624" s="106" t="s">
        <v>5267</v>
      </c>
      <c r="C2624" s="106"/>
      <c r="D2624" s="106"/>
      <c r="E2624" s="52"/>
    </row>
    <row r="2625" spans="1:5" s="103" customFormat="1" ht="13.2" hidden="1" outlineLevel="1" x14ac:dyDescent="0.25">
      <c r="A2625" s="106" t="s">
        <v>5268</v>
      </c>
      <c r="B2625" s="106" t="s">
        <v>5269</v>
      </c>
      <c r="C2625" s="106"/>
      <c r="D2625" s="106"/>
      <c r="E2625" s="52"/>
    </row>
    <row r="2626" spans="1:5" s="103" customFormat="1" ht="13.2" hidden="1" outlineLevel="1" x14ac:dyDescent="0.25">
      <c r="A2626" s="106" t="s">
        <v>5270</v>
      </c>
      <c r="B2626" s="106" t="s">
        <v>5271</v>
      </c>
      <c r="C2626" s="106"/>
      <c r="D2626" s="106"/>
      <c r="E2626" s="52"/>
    </row>
    <row r="2627" spans="1:5" s="103" customFormat="1" ht="13.2" hidden="1" outlineLevel="1" x14ac:dyDescent="0.25">
      <c r="A2627" s="106" t="s">
        <v>5272</v>
      </c>
      <c r="B2627" s="106" t="s">
        <v>5273</v>
      </c>
      <c r="C2627" s="106"/>
      <c r="D2627" s="106"/>
      <c r="E2627" s="52"/>
    </row>
    <row r="2628" spans="1:5" s="103" customFormat="1" ht="13.2" hidden="1" outlineLevel="1" x14ac:dyDescent="0.25">
      <c r="A2628" s="106" t="s">
        <v>5274</v>
      </c>
      <c r="B2628" s="106" t="s">
        <v>5275</v>
      </c>
      <c r="C2628" s="106"/>
      <c r="D2628" s="106"/>
      <c r="E2628" s="52"/>
    </row>
    <row r="2629" spans="1:5" s="103" customFormat="1" ht="13.2" hidden="1" outlineLevel="1" x14ac:dyDescent="0.25">
      <c r="A2629" s="106" t="s">
        <v>5276</v>
      </c>
      <c r="B2629" s="106" t="s">
        <v>5277</v>
      </c>
      <c r="C2629" s="106"/>
      <c r="D2629" s="106"/>
      <c r="E2629" s="52"/>
    </row>
    <row r="2630" spans="1:5" s="103" customFormat="1" ht="13.2" hidden="1" outlineLevel="1" x14ac:dyDescent="0.25">
      <c r="A2630" s="106" t="s">
        <v>5278</v>
      </c>
      <c r="B2630" s="106" t="s">
        <v>5279</v>
      </c>
      <c r="C2630" s="106"/>
      <c r="D2630" s="106"/>
      <c r="E2630" s="52"/>
    </row>
    <row r="2631" spans="1:5" s="103" customFormat="1" ht="13.2" hidden="1" outlineLevel="1" x14ac:dyDescent="0.25">
      <c r="A2631" s="106" t="s">
        <v>5280</v>
      </c>
      <c r="B2631" s="106" t="s">
        <v>5281</v>
      </c>
      <c r="C2631" s="106"/>
      <c r="D2631" s="106"/>
      <c r="E2631" s="52"/>
    </row>
    <row r="2632" spans="1:5" s="103" customFormat="1" ht="13.2" hidden="1" outlineLevel="1" x14ac:dyDescent="0.25">
      <c r="A2632" s="106" t="s">
        <v>5282</v>
      </c>
      <c r="B2632" s="106" t="s">
        <v>5283</v>
      </c>
      <c r="C2632" s="106"/>
      <c r="D2632" s="106"/>
      <c r="E2632" s="52"/>
    </row>
    <row r="2633" spans="1:5" s="103" customFormat="1" ht="13.2" hidden="1" outlineLevel="1" x14ac:dyDescent="0.25">
      <c r="A2633" s="106" t="s">
        <v>5284</v>
      </c>
      <c r="B2633" s="106" t="s">
        <v>5285</v>
      </c>
      <c r="C2633" s="106"/>
      <c r="D2633" s="106"/>
      <c r="E2633" s="52"/>
    </row>
    <row r="2634" spans="1:5" s="103" customFormat="1" ht="13.2" hidden="1" outlineLevel="1" x14ac:dyDescent="0.25">
      <c r="A2634" s="106" t="s">
        <v>5286</v>
      </c>
      <c r="B2634" s="106" t="s">
        <v>5287</v>
      </c>
      <c r="C2634" s="106"/>
      <c r="D2634" s="106"/>
      <c r="E2634" s="52"/>
    </row>
    <row r="2635" spans="1:5" s="103" customFormat="1" ht="13.2" hidden="1" outlineLevel="1" x14ac:dyDescent="0.25">
      <c r="A2635" s="106" t="s">
        <v>5288</v>
      </c>
      <c r="B2635" s="106" t="s">
        <v>5289</v>
      </c>
      <c r="C2635" s="106"/>
      <c r="D2635" s="106"/>
      <c r="E2635" s="52"/>
    </row>
    <row r="2636" spans="1:5" s="103" customFormat="1" ht="13.2" hidden="1" outlineLevel="1" x14ac:dyDescent="0.25">
      <c r="A2636" s="106" t="s">
        <v>5290</v>
      </c>
      <c r="B2636" s="106" t="s">
        <v>5291</v>
      </c>
      <c r="C2636" s="106"/>
      <c r="D2636" s="106"/>
      <c r="E2636" s="52"/>
    </row>
    <row r="2637" spans="1:5" s="103" customFormat="1" ht="13.2" hidden="1" outlineLevel="1" x14ac:dyDescent="0.25">
      <c r="A2637" s="106" t="s">
        <v>5292</v>
      </c>
      <c r="B2637" s="106" t="s">
        <v>5293</v>
      </c>
      <c r="C2637" s="106"/>
      <c r="D2637" s="106"/>
      <c r="E2637" s="52"/>
    </row>
    <row r="2638" spans="1:5" s="103" customFormat="1" ht="13.2" hidden="1" outlineLevel="1" x14ac:dyDescent="0.25">
      <c r="A2638" s="106" t="s">
        <v>5294</v>
      </c>
      <c r="B2638" s="106" t="s">
        <v>5295</v>
      </c>
      <c r="C2638" s="106"/>
      <c r="D2638" s="106"/>
      <c r="E2638" s="52"/>
    </row>
    <row r="2639" spans="1:5" s="103" customFormat="1" ht="13.2" hidden="1" outlineLevel="1" x14ac:dyDescent="0.25">
      <c r="A2639" s="106" t="s">
        <v>5296</v>
      </c>
      <c r="B2639" s="106" t="s">
        <v>5297</v>
      </c>
      <c r="C2639" s="106"/>
      <c r="D2639" s="106"/>
      <c r="E2639" s="52"/>
    </row>
    <row r="2640" spans="1:5" s="103" customFormat="1" ht="13.2" hidden="1" outlineLevel="1" x14ac:dyDescent="0.25">
      <c r="A2640" s="106" t="s">
        <v>5298</v>
      </c>
      <c r="B2640" s="106" t="s">
        <v>5299</v>
      </c>
      <c r="C2640" s="106"/>
      <c r="D2640" s="106"/>
      <c r="E2640" s="52"/>
    </row>
    <row r="2641" spans="1:5" s="103" customFormat="1" ht="13.2" hidden="1" outlineLevel="1" x14ac:dyDescent="0.25">
      <c r="A2641" s="106" t="s">
        <v>5300</v>
      </c>
      <c r="B2641" s="106" t="s">
        <v>5301</v>
      </c>
      <c r="C2641" s="106"/>
      <c r="D2641" s="106"/>
      <c r="E2641" s="52"/>
    </row>
    <row r="2642" spans="1:5" s="103" customFormat="1" ht="13.2" hidden="1" outlineLevel="1" x14ac:dyDescent="0.25">
      <c r="A2642" s="106" t="s">
        <v>5302</v>
      </c>
      <c r="B2642" s="106" t="s">
        <v>5303</v>
      </c>
      <c r="C2642" s="106"/>
      <c r="D2642" s="106"/>
      <c r="E2642" s="52"/>
    </row>
    <row r="2643" spans="1:5" s="103" customFormat="1" ht="13.2" hidden="1" outlineLevel="1" x14ac:dyDescent="0.25">
      <c r="A2643" s="106" t="s">
        <v>5304</v>
      </c>
      <c r="B2643" s="106" t="s">
        <v>5305</v>
      </c>
      <c r="C2643" s="106"/>
      <c r="D2643" s="106"/>
      <c r="E2643" s="52"/>
    </row>
    <row r="2644" spans="1:5" s="103" customFormat="1" ht="13.2" hidden="1" outlineLevel="1" x14ac:dyDescent="0.25">
      <c r="A2644" s="106" t="s">
        <v>5306</v>
      </c>
      <c r="B2644" s="106" t="s">
        <v>5307</v>
      </c>
      <c r="C2644" s="106"/>
      <c r="D2644" s="106"/>
      <c r="E2644" s="52"/>
    </row>
    <row r="2645" spans="1:5" s="103" customFormat="1" ht="13.2" hidden="1" outlineLevel="1" x14ac:dyDescent="0.25">
      <c r="A2645" s="106" t="s">
        <v>5308</v>
      </c>
      <c r="B2645" s="106" t="s">
        <v>5309</v>
      </c>
      <c r="C2645" s="106"/>
      <c r="D2645" s="106"/>
      <c r="E2645" s="52"/>
    </row>
    <row r="2646" spans="1:5" s="103" customFormat="1" ht="13.2" hidden="1" outlineLevel="1" x14ac:dyDescent="0.25">
      <c r="A2646" s="106" t="s">
        <v>5310</v>
      </c>
      <c r="B2646" s="106" t="s">
        <v>5311</v>
      </c>
      <c r="C2646" s="106"/>
      <c r="D2646" s="106"/>
      <c r="E2646" s="52"/>
    </row>
    <row r="2647" spans="1:5" s="103" customFormat="1" ht="13.2" hidden="1" outlineLevel="1" x14ac:dyDescent="0.25">
      <c r="A2647" s="106" t="s">
        <v>5312</v>
      </c>
      <c r="B2647" s="106" t="s">
        <v>5313</v>
      </c>
      <c r="C2647" s="106"/>
      <c r="D2647" s="106"/>
      <c r="E2647" s="52"/>
    </row>
    <row r="2648" spans="1:5" s="103" customFormat="1" ht="13.2" hidden="1" outlineLevel="1" x14ac:dyDescent="0.25">
      <c r="A2648" s="106" t="s">
        <v>5314</v>
      </c>
      <c r="B2648" s="106" t="s">
        <v>5315</v>
      </c>
      <c r="C2648" s="106"/>
      <c r="D2648" s="106"/>
      <c r="E2648" s="52"/>
    </row>
    <row r="2649" spans="1:5" s="103" customFormat="1" ht="13.2" hidden="1" outlineLevel="1" x14ac:dyDescent="0.25">
      <c r="A2649" s="106" t="s">
        <v>5316</v>
      </c>
      <c r="B2649" s="106" t="s">
        <v>5317</v>
      </c>
      <c r="C2649" s="106"/>
      <c r="D2649" s="106"/>
      <c r="E2649" s="52"/>
    </row>
    <row r="2650" spans="1:5" s="103" customFormat="1" ht="13.2" hidden="1" outlineLevel="1" x14ac:dyDescent="0.25">
      <c r="A2650" s="106" t="s">
        <v>5318</v>
      </c>
      <c r="B2650" s="106" t="s">
        <v>5319</v>
      </c>
      <c r="C2650" s="106"/>
      <c r="D2650" s="106"/>
      <c r="E2650" s="52"/>
    </row>
    <row r="2651" spans="1:5" s="103" customFormat="1" ht="13.2" hidden="1" outlineLevel="1" x14ac:dyDescent="0.25">
      <c r="A2651" s="106" t="s">
        <v>5320</v>
      </c>
      <c r="B2651" s="106" t="s">
        <v>5321</v>
      </c>
      <c r="C2651" s="106"/>
      <c r="D2651" s="106"/>
      <c r="E2651" s="52"/>
    </row>
    <row r="2652" spans="1:5" s="103" customFormat="1" ht="13.2" hidden="1" outlineLevel="1" x14ac:dyDescent="0.25">
      <c r="A2652" s="106" t="s">
        <v>5322</v>
      </c>
      <c r="B2652" s="106" t="s">
        <v>5323</v>
      </c>
      <c r="C2652" s="106"/>
      <c r="D2652" s="106"/>
      <c r="E2652" s="52"/>
    </row>
    <row r="2653" spans="1:5" s="103" customFormat="1" ht="13.2" hidden="1" outlineLevel="1" x14ac:dyDescent="0.25">
      <c r="A2653" s="106" t="s">
        <v>5324</v>
      </c>
      <c r="B2653" s="106" t="s">
        <v>5325</v>
      </c>
      <c r="C2653" s="106"/>
      <c r="D2653" s="106"/>
      <c r="E2653" s="52"/>
    </row>
    <row r="2654" spans="1:5" s="103" customFormat="1" ht="13.2" hidden="1" outlineLevel="1" x14ac:dyDescent="0.25">
      <c r="A2654" s="106" t="s">
        <v>5326</v>
      </c>
      <c r="B2654" s="106" t="s">
        <v>5327</v>
      </c>
      <c r="C2654" s="106"/>
      <c r="D2654" s="106"/>
      <c r="E2654" s="52"/>
    </row>
    <row r="2655" spans="1:5" s="103" customFormat="1" ht="13.2" hidden="1" outlineLevel="1" x14ac:dyDescent="0.25">
      <c r="A2655" s="106" t="s">
        <v>5328</v>
      </c>
      <c r="B2655" s="106" t="s">
        <v>5329</v>
      </c>
      <c r="C2655" s="106"/>
      <c r="D2655" s="106"/>
      <c r="E2655" s="52"/>
    </row>
    <row r="2656" spans="1:5" s="103" customFormat="1" ht="13.2" hidden="1" outlineLevel="1" x14ac:dyDescent="0.25">
      <c r="A2656" s="106" t="s">
        <v>5330</v>
      </c>
      <c r="B2656" s="106" t="s">
        <v>5331</v>
      </c>
      <c r="C2656" s="106"/>
      <c r="D2656" s="106"/>
      <c r="E2656" s="52"/>
    </row>
    <row r="2657" spans="1:5" s="103" customFormat="1" ht="13.2" hidden="1" outlineLevel="1" x14ac:dyDescent="0.25">
      <c r="A2657" s="106" t="s">
        <v>5332</v>
      </c>
      <c r="B2657" s="106" t="s">
        <v>5333</v>
      </c>
      <c r="C2657" s="106"/>
      <c r="D2657" s="106"/>
      <c r="E2657" s="52"/>
    </row>
    <row r="2658" spans="1:5" s="103" customFormat="1" ht="13.2" hidden="1" outlineLevel="1" x14ac:dyDescent="0.25">
      <c r="A2658" s="106" t="s">
        <v>5334</v>
      </c>
      <c r="B2658" s="106" t="s">
        <v>5335</v>
      </c>
      <c r="C2658" s="106"/>
      <c r="D2658" s="106"/>
      <c r="E2658" s="52"/>
    </row>
    <row r="2659" spans="1:5" s="103" customFormat="1" ht="13.2" hidden="1" outlineLevel="1" x14ac:dyDescent="0.25">
      <c r="A2659" s="106" t="s">
        <v>5336</v>
      </c>
      <c r="B2659" s="106" t="s">
        <v>5337</v>
      </c>
      <c r="C2659" s="106"/>
      <c r="D2659" s="106"/>
      <c r="E2659" s="52"/>
    </row>
    <row r="2660" spans="1:5" s="103" customFormat="1" ht="13.2" hidden="1" outlineLevel="1" x14ac:dyDescent="0.25">
      <c r="A2660" s="106" t="s">
        <v>5338</v>
      </c>
      <c r="B2660" s="106" t="s">
        <v>5339</v>
      </c>
      <c r="C2660" s="106"/>
      <c r="D2660" s="106"/>
      <c r="E2660" s="52"/>
    </row>
    <row r="2661" spans="1:5" s="103" customFormat="1" ht="13.2" hidden="1" outlineLevel="1" x14ac:dyDescent="0.25">
      <c r="A2661" s="106" t="s">
        <v>5340</v>
      </c>
      <c r="B2661" s="106" t="s">
        <v>5341</v>
      </c>
      <c r="C2661" s="106"/>
      <c r="D2661" s="106"/>
      <c r="E2661" s="52"/>
    </row>
    <row r="2662" spans="1:5" s="103" customFormat="1" ht="13.2" hidden="1" outlineLevel="1" x14ac:dyDescent="0.25">
      <c r="A2662" s="106" t="s">
        <v>5342</v>
      </c>
      <c r="B2662" s="106" t="s">
        <v>5343</v>
      </c>
      <c r="C2662" s="106"/>
      <c r="D2662" s="106"/>
      <c r="E2662" s="52"/>
    </row>
    <row r="2663" spans="1:5" s="103" customFormat="1" ht="13.2" hidden="1" outlineLevel="1" x14ac:dyDescent="0.25">
      <c r="A2663" s="106" t="s">
        <v>5344</v>
      </c>
      <c r="B2663" s="106" t="s">
        <v>5345</v>
      </c>
      <c r="C2663" s="106"/>
      <c r="D2663" s="106"/>
      <c r="E2663" s="52"/>
    </row>
    <row r="2664" spans="1:5" s="103" customFormat="1" ht="13.2" hidden="1" outlineLevel="1" x14ac:dyDescent="0.25">
      <c r="A2664" s="106" t="s">
        <v>5346</v>
      </c>
      <c r="B2664" s="106" t="s">
        <v>5347</v>
      </c>
      <c r="C2664" s="106"/>
      <c r="D2664" s="106"/>
      <c r="E2664" s="52"/>
    </row>
    <row r="2665" spans="1:5" s="103" customFormat="1" ht="13.2" hidden="1" outlineLevel="1" x14ac:dyDescent="0.25">
      <c r="A2665" s="106" t="s">
        <v>5348</v>
      </c>
      <c r="B2665" s="106" t="s">
        <v>5349</v>
      </c>
      <c r="C2665" s="106"/>
      <c r="D2665" s="106"/>
      <c r="E2665" s="52"/>
    </row>
    <row r="2666" spans="1:5" s="103" customFormat="1" ht="13.2" hidden="1" outlineLevel="1" x14ac:dyDescent="0.25">
      <c r="A2666" s="106" t="s">
        <v>5350</v>
      </c>
      <c r="B2666" s="106" t="s">
        <v>5351</v>
      </c>
      <c r="C2666" s="106"/>
      <c r="D2666" s="106"/>
      <c r="E2666" s="52"/>
    </row>
    <row r="2667" spans="1:5" s="103" customFormat="1" ht="13.2" hidden="1" outlineLevel="1" x14ac:dyDescent="0.25">
      <c r="A2667" s="106" t="s">
        <v>5352</v>
      </c>
      <c r="B2667" s="106" t="s">
        <v>5353</v>
      </c>
      <c r="C2667" s="106"/>
      <c r="D2667" s="106"/>
      <c r="E2667" s="52"/>
    </row>
    <row r="2668" spans="1:5" s="103" customFormat="1" ht="13.2" hidden="1" outlineLevel="1" x14ac:dyDescent="0.25">
      <c r="A2668" s="106" t="s">
        <v>5354</v>
      </c>
      <c r="B2668" s="106" t="s">
        <v>5355</v>
      </c>
      <c r="C2668" s="106"/>
      <c r="D2668" s="106"/>
      <c r="E2668" s="52"/>
    </row>
    <row r="2669" spans="1:5" s="103" customFormat="1" ht="13.2" hidden="1" outlineLevel="1" x14ac:dyDescent="0.25">
      <c r="A2669" s="106" t="s">
        <v>5356</v>
      </c>
      <c r="B2669" s="106" t="s">
        <v>5357</v>
      </c>
      <c r="C2669" s="106"/>
      <c r="D2669" s="106"/>
      <c r="E2669" s="52"/>
    </row>
    <row r="2670" spans="1:5" s="103" customFormat="1" ht="13.2" hidden="1" outlineLevel="1" x14ac:dyDescent="0.25">
      <c r="A2670" s="106" t="s">
        <v>5358</v>
      </c>
      <c r="B2670" s="106" t="s">
        <v>5359</v>
      </c>
      <c r="C2670" s="106"/>
      <c r="D2670" s="106"/>
      <c r="E2670" s="52"/>
    </row>
    <row r="2671" spans="1:5" s="103" customFormat="1" ht="13.2" hidden="1" outlineLevel="1" x14ac:dyDescent="0.25">
      <c r="A2671" s="106" t="s">
        <v>5360</v>
      </c>
      <c r="B2671" s="106" t="s">
        <v>5361</v>
      </c>
      <c r="C2671" s="106"/>
      <c r="D2671" s="106"/>
      <c r="E2671" s="52"/>
    </row>
    <row r="2672" spans="1:5" s="103" customFormat="1" ht="13.2" hidden="1" outlineLevel="1" x14ac:dyDescent="0.25">
      <c r="A2672" s="106" t="s">
        <v>5362</v>
      </c>
      <c r="B2672" s="106" t="s">
        <v>5363</v>
      </c>
      <c r="C2672" s="106"/>
      <c r="D2672" s="106"/>
      <c r="E2672" s="52"/>
    </row>
    <row r="2673" spans="1:5" s="103" customFormat="1" ht="13.2" hidden="1" outlineLevel="1" x14ac:dyDescent="0.25">
      <c r="A2673" s="106" t="s">
        <v>5364</v>
      </c>
      <c r="B2673" s="106" t="s">
        <v>5365</v>
      </c>
      <c r="C2673" s="106"/>
      <c r="D2673" s="106"/>
      <c r="E2673" s="52"/>
    </row>
    <row r="2674" spans="1:5" s="103" customFormat="1" ht="13.2" hidden="1" outlineLevel="1" x14ac:dyDescent="0.25">
      <c r="A2674" s="106" t="s">
        <v>5366</v>
      </c>
      <c r="B2674" s="106" t="s">
        <v>5367</v>
      </c>
      <c r="C2674" s="106"/>
      <c r="D2674" s="106"/>
      <c r="E2674" s="52"/>
    </row>
    <row r="2675" spans="1:5" s="103" customFormat="1" ht="13.2" hidden="1" outlineLevel="1" x14ac:dyDescent="0.25">
      <c r="A2675" s="106" t="s">
        <v>5368</v>
      </c>
      <c r="B2675" s="106" t="s">
        <v>5369</v>
      </c>
      <c r="C2675" s="106"/>
      <c r="D2675" s="106"/>
      <c r="E2675" s="52"/>
    </row>
    <row r="2676" spans="1:5" s="103" customFormat="1" ht="13.2" hidden="1" outlineLevel="1" x14ac:dyDescent="0.25">
      <c r="A2676" s="106" t="s">
        <v>5370</v>
      </c>
      <c r="B2676" s="106" t="s">
        <v>5371</v>
      </c>
      <c r="C2676" s="106"/>
      <c r="D2676" s="106"/>
      <c r="E2676" s="52"/>
    </row>
    <row r="2677" spans="1:5" s="103" customFormat="1" ht="13.2" hidden="1" outlineLevel="1" x14ac:dyDescent="0.25">
      <c r="A2677" s="106" t="s">
        <v>5372</v>
      </c>
      <c r="B2677" s="106" t="s">
        <v>5373</v>
      </c>
      <c r="C2677" s="106"/>
      <c r="D2677" s="106"/>
      <c r="E2677" s="52"/>
    </row>
    <row r="2678" spans="1:5" s="103" customFormat="1" ht="13.2" hidden="1" outlineLevel="1" x14ac:dyDescent="0.25">
      <c r="A2678" s="106" t="s">
        <v>5374</v>
      </c>
      <c r="B2678" s="106" t="s">
        <v>5375</v>
      </c>
      <c r="C2678" s="106"/>
      <c r="D2678" s="106"/>
      <c r="E2678" s="52"/>
    </row>
    <row r="2679" spans="1:5" s="103" customFormat="1" ht="13.2" hidden="1" outlineLevel="1" x14ac:dyDescent="0.25">
      <c r="A2679" s="106" t="s">
        <v>5376</v>
      </c>
      <c r="B2679" s="106" t="s">
        <v>5377</v>
      </c>
      <c r="C2679" s="106"/>
      <c r="D2679" s="106"/>
      <c r="E2679" s="52"/>
    </row>
    <row r="2680" spans="1:5" s="103" customFormat="1" ht="13.2" hidden="1" outlineLevel="1" x14ac:dyDescent="0.25">
      <c r="A2680" s="106" t="s">
        <v>5378</v>
      </c>
      <c r="B2680" s="106" t="s">
        <v>5379</v>
      </c>
      <c r="C2680" s="106"/>
      <c r="D2680" s="106"/>
      <c r="E2680" s="52"/>
    </row>
    <row r="2681" spans="1:5" s="103" customFormat="1" ht="13.2" hidden="1" outlineLevel="1" x14ac:dyDescent="0.25">
      <c r="A2681" s="106" t="s">
        <v>5380</v>
      </c>
      <c r="B2681" s="106" t="s">
        <v>5381</v>
      </c>
      <c r="C2681" s="106"/>
      <c r="D2681" s="106"/>
      <c r="E2681" s="52"/>
    </row>
    <row r="2682" spans="1:5" s="103" customFormat="1" ht="13.2" hidden="1" outlineLevel="1" x14ac:dyDescent="0.25">
      <c r="A2682" s="106" t="s">
        <v>5382</v>
      </c>
      <c r="B2682" s="106" t="s">
        <v>5383</v>
      </c>
      <c r="C2682" s="106"/>
      <c r="D2682" s="106"/>
      <c r="E2682" s="52"/>
    </row>
    <row r="2683" spans="1:5" s="103" customFormat="1" ht="13.2" hidden="1" outlineLevel="1" x14ac:dyDescent="0.25">
      <c r="A2683" s="106" t="s">
        <v>5384</v>
      </c>
      <c r="B2683" s="106" t="s">
        <v>5385</v>
      </c>
      <c r="C2683" s="106"/>
      <c r="D2683" s="106"/>
      <c r="E2683" s="52"/>
    </row>
    <row r="2684" spans="1:5" s="103" customFormat="1" ht="13.2" hidden="1" outlineLevel="1" x14ac:dyDescent="0.25">
      <c r="A2684" s="106" t="s">
        <v>5386</v>
      </c>
      <c r="B2684" s="106" t="s">
        <v>5387</v>
      </c>
      <c r="C2684" s="106"/>
      <c r="D2684" s="106"/>
      <c r="E2684" s="52"/>
    </row>
    <row r="2685" spans="1:5" s="103" customFormat="1" ht="13.2" hidden="1" outlineLevel="1" x14ac:dyDescent="0.25">
      <c r="A2685" s="106" t="s">
        <v>5388</v>
      </c>
      <c r="B2685" s="106" t="s">
        <v>5389</v>
      </c>
      <c r="C2685" s="106"/>
      <c r="D2685" s="106"/>
      <c r="E2685" s="52"/>
    </row>
    <row r="2686" spans="1:5" s="103" customFormat="1" ht="13.2" hidden="1" outlineLevel="1" x14ac:dyDescent="0.25">
      <c r="A2686" s="106" t="s">
        <v>5390</v>
      </c>
      <c r="B2686" s="106" t="s">
        <v>5391</v>
      </c>
      <c r="C2686" s="106"/>
      <c r="D2686" s="106"/>
      <c r="E2686" s="52"/>
    </row>
    <row r="2687" spans="1:5" s="103" customFormat="1" ht="13.2" hidden="1" outlineLevel="1" x14ac:dyDescent="0.25">
      <c r="A2687" s="106" t="s">
        <v>5392</v>
      </c>
      <c r="B2687" s="106" t="s">
        <v>5393</v>
      </c>
      <c r="C2687" s="106"/>
      <c r="D2687" s="106"/>
      <c r="E2687" s="52"/>
    </row>
    <row r="2688" spans="1:5" s="103" customFormat="1" ht="13.2" hidden="1" outlineLevel="1" x14ac:dyDescent="0.25">
      <c r="A2688" s="106" t="s">
        <v>5394</v>
      </c>
      <c r="B2688" s="106" t="s">
        <v>5395</v>
      </c>
      <c r="C2688" s="106"/>
      <c r="D2688" s="106"/>
      <c r="E2688" s="52"/>
    </row>
    <row r="2689" spans="1:5" s="103" customFormat="1" ht="13.2" hidden="1" outlineLevel="1" x14ac:dyDescent="0.25">
      <c r="A2689" s="106" t="s">
        <v>5396</v>
      </c>
      <c r="B2689" s="106" t="s">
        <v>5397</v>
      </c>
      <c r="C2689" s="106"/>
      <c r="D2689" s="106"/>
      <c r="E2689" s="52"/>
    </row>
    <row r="2690" spans="1:5" s="103" customFormat="1" ht="13.2" hidden="1" outlineLevel="1" x14ac:dyDescent="0.25">
      <c r="A2690" s="106" t="s">
        <v>5398</v>
      </c>
      <c r="B2690" s="106" t="s">
        <v>5399</v>
      </c>
      <c r="C2690" s="106"/>
      <c r="D2690" s="106"/>
      <c r="E2690" s="52"/>
    </row>
    <row r="2691" spans="1:5" s="103" customFormat="1" ht="13.2" hidden="1" outlineLevel="1" x14ac:dyDescent="0.25">
      <c r="A2691" s="106" t="s">
        <v>5400</v>
      </c>
      <c r="B2691" s="106" t="s">
        <v>5401</v>
      </c>
      <c r="C2691" s="106"/>
      <c r="D2691" s="106"/>
      <c r="E2691" s="52"/>
    </row>
    <row r="2692" spans="1:5" s="103" customFormat="1" ht="13.2" hidden="1" outlineLevel="1" x14ac:dyDescent="0.25">
      <c r="A2692" s="106" t="s">
        <v>5402</v>
      </c>
      <c r="B2692" s="106" t="s">
        <v>5403</v>
      </c>
      <c r="C2692" s="106"/>
      <c r="D2692" s="106"/>
      <c r="E2692" s="52"/>
    </row>
    <row r="2693" spans="1:5" s="103" customFormat="1" ht="13.2" hidden="1" outlineLevel="1" x14ac:dyDescent="0.25">
      <c r="A2693" s="106" t="s">
        <v>5404</v>
      </c>
      <c r="B2693" s="106" t="s">
        <v>5405</v>
      </c>
      <c r="C2693" s="106"/>
      <c r="D2693" s="106"/>
      <c r="E2693" s="52"/>
    </row>
    <row r="2694" spans="1:5" s="103" customFormat="1" ht="13.2" hidden="1" outlineLevel="1" x14ac:dyDescent="0.25">
      <c r="A2694" s="106" t="s">
        <v>5406</v>
      </c>
      <c r="B2694" s="106" t="s">
        <v>5407</v>
      </c>
      <c r="C2694" s="106"/>
      <c r="D2694" s="106"/>
      <c r="E2694" s="52"/>
    </row>
    <row r="2695" spans="1:5" s="103" customFormat="1" ht="13.2" hidden="1" outlineLevel="1" x14ac:dyDescent="0.25">
      <c r="A2695" s="106" t="s">
        <v>5408</v>
      </c>
      <c r="B2695" s="106" t="s">
        <v>5409</v>
      </c>
      <c r="C2695" s="106"/>
      <c r="D2695" s="106"/>
      <c r="E2695" s="52"/>
    </row>
    <row r="2696" spans="1:5" s="103" customFormat="1" ht="13.2" hidden="1" outlineLevel="1" x14ac:dyDescent="0.25">
      <c r="A2696" s="106" t="s">
        <v>5410</v>
      </c>
      <c r="B2696" s="106" t="s">
        <v>5411</v>
      </c>
      <c r="C2696" s="106"/>
      <c r="D2696" s="106"/>
      <c r="E2696" s="52"/>
    </row>
    <row r="2697" spans="1:5" s="103" customFormat="1" ht="13.2" hidden="1" outlineLevel="1" x14ac:dyDescent="0.25">
      <c r="A2697" s="106" t="s">
        <v>5412</v>
      </c>
      <c r="B2697" s="106" t="s">
        <v>5413</v>
      </c>
      <c r="C2697" s="106"/>
      <c r="D2697" s="106"/>
      <c r="E2697" s="52"/>
    </row>
    <row r="2698" spans="1:5" s="103" customFormat="1" ht="13.2" hidden="1" outlineLevel="1" x14ac:dyDescent="0.25">
      <c r="A2698" s="106" t="s">
        <v>5414</v>
      </c>
      <c r="B2698" s="106" t="s">
        <v>5415</v>
      </c>
      <c r="C2698" s="106"/>
      <c r="D2698" s="106"/>
      <c r="E2698" s="52"/>
    </row>
    <row r="2699" spans="1:5" s="103" customFormat="1" ht="13.2" hidden="1" outlineLevel="1" x14ac:dyDescent="0.25">
      <c r="A2699" s="106" t="s">
        <v>5416</v>
      </c>
      <c r="B2699" s="106" t="s">
        <v>5417</v>
      </c>
      <c r="C2699" s="106"/>
      <c r="D2699" s="106"/>
      <c r="E2699" s="52"/>
    </row>
    <row r="2700" spans="1:5" s="103" customFormat="1" ht="13.2" hidden="1" outlineLevel="1" x14ac:dyDescent="0.25">
      <c r="A2700" s="106" t="s">
        <v>5418</v>
      </c>
      <c r="B2700" s="106" t="s">
        <v>5419</v>
      </c>
      <c r="C2700" s="106"/>
      <c r="D2700" s="106"/>
      <c r="E2700" s="52"/>
    </row>
    <row r="2701" spans="1:5" s="103" customFormat="1" ht="13.2" hidden="1" outlineLevel="1" x14ac:dyDescent="0.25">
      <c r="A2701" s="106" t="s">
        <v>5420</v>
      </c>
      <c r="B2701" s="106" t="s">
        <v>5421</v>
      </c>
      <c r="C2701" s="106"/>
      <c r="D2701" s="106"/>
      <c r="E2701" s="52"/>
    </row>
    <row r="2702" spans="1:5" s="103" customFormat="1" ht="13.2" hidden="1" outlineLevel="1" x14ac:dyDescent="0.25">
      <c r="A2702" s="106" t="s">
        <v>5422</v>
      </c>
      <c r="B2702" s="106" t="s">
        <v>5423</v>
      </c>
      <c r="C2702" s="106"/>
      <c r="D2702" s="106"/>
      <c r="E2702" s="52"/>
    </row>
    <row r="2703" spans="1:5" s="103" customFormat="1" ht="13.2" hidden="1" outlineLevel="1" x14ac:dyDescent="0.25">
      <c r="A2703" s="106" t="s">
        <v>5424</v>
      </c>
      <c r="B2703" s="106" t="s">
        <v>5425</v>
      </c>
      <c r="C2703" s="106"/>
      <c r="D2703" s="106"/>
      <c r="E2703" s="52"/>
    </row>
    <row r="2704" spans="1:5" s="103" customFormat="1" ht="13.2" hidden="1" outlineLevel="1" x14ac:dyDescent="0.25">
      <c r="A2704" s="106" t="s">
        <v>5426</v>
      </c>
      <c r="B2704" s="106" t="s">
        <v>5427</v>
      </c>
      <c r="C2704" s="106"/>
      <c r="D2704" s="106"/>
      <c r="E2704" s="52"/>
    </row>
    <row r="2705" spans="1:5" s="103" customFormat="1" ht="13.2" hidden="1" outlineLevel="1" x14ac:dyDescent="0.25">
      <c r="A2705" s="106" t="s">
        <v>5428</v>
      </c>
      <c r="B2705" s="106" t="s">
        <v>5429</v>
      </c>
      <c r="C2705" s="106"/>
      <c r="D2705" s="106"/>
      <c r="E2705" s="52"/>
    </row>
    <row r="2706" spans="1:5" s="103" customFormat="1" ht="13.2" hidden="1" outlineLevel="1" x14ac:dyDescent="0.25">
      <c r="A2706" s="106" t="s">
        <v>5430</v>
      </c>
      <c r="B2706" s="106" t="s">
        <v>5431</v>
      </c>
      <c r="C2706" s="106"/>
      <c r="D2706" s="106"/>
      <c r="E2706" s="52"/>
    </row>
    <row r="2707" spans="1:5" s="103" customFormat="1" ht="13.2" hidden="1" outlineLevel="1" x14ac:dyDescent="0.25">
      <c r="A2707" s="106" t="s">
        <v>5432</v>
      </c>
      <c r="B2707" s="106" t="s">
        <v>5433</v>
      </c>
      <c r="C2707" s="106"/>
      <c r="D2707" s="106"/>
      <c r="E2707" s="52"/>
    </row>
    <row r="2708" spans="1:5" s="103" customFormat="1" ht="13.2" hidden="1" outlineLevel="1" x14ac:dyDescent="0.25">
      <c r="A2708" s="106" t="s">
        <v>5434</v>
      </c>
      <c r="B2708" s="106" t="s">
        <v>5435</v>
      </c>
      <c r="C2708" s="106"/>
      <c r="D2708" s="106"/>
      <c r="E2708" s="52"/>
    </row>
    <row r="2709" spans="1:5" s="103" customFormat="1" ht="13.2" hidden="1" outlineLevel="1" x14ac:dyDescent="0.25">
      <c r="A2709" s="106" t="s">
        <v>5436</v>
      </c>
      <c r="B2709" s="106" t="s">
        <v>5437</v>
      </c>
      <c r="C2709" s="106"/>
      <c r="D2709" s="106"/>
      <c r="E2709" s="52"/>
    </row>
    <row r="2710" spans="1:5" s="103" customFormat="1" ht="13.2" hidden="1" outlineLevel="1" x14ac:dyDescent="0.25">
      <c r="A2710" s="106" t="s">
        <v>5438</v>
      </c>
      <c r="B2710" s="106" t="s">
        <v>5439</v>
      </c>
      <c r="C2710" s="106"/>
      <c r="D2710" s="106"/>
      <c r="E2710" s="52"/>
    </row>
    <row r="2711" spans="1:5" s="103" customFormat="1" ht="13.2" hidden="1" outlineLevel="1" x14ac:dyDescent="0.25">
      <c r="A2711" s="106" t="s">
        <v>5440</v>
      </c>
      <c r="B2711" s="106" t="s">
        <v>5441</v>
      </c>
      <c r="C2711" s="106"/>
      <c r="D2711" s="106"/>
      <c r="E2711" s="52"/>
    </row>
    <row r="2712" spans="1:5" s="103" customFormat="1" ht="13.2" hidden="1" outlineLevel="1" x14ac:dyDescent="0.25">
      <c r="A2712" s="106" t="s">
        <v>5442</v>
      </c>
      <c r="B2712" s="106" t="s">
        <v>5443</v>
      </c>
      <c r="C2712" s="106"/>
      <c r="D2712" s="106"/>
      <c r="E2712" s="52"/>
    </row>
    <row r="2713" spans="1:5" s="103" customFormat="1" ht="13.2" hidden="1" outlineLevel="1" x14ac:dyDescent="0.25">
      <c r="A2713" s="106" t="s">
        <v>5444</v>
      </c>
      <c r="B2713" s="106" t="s">
        <v>5445</v>
      </c>
      <c r="C2713" s="106"/>
      <c r="D2713" s="106"/>
      <c r="E2713" s="52"/>
    </row>
    <row r="2714" spans="1:5" s="103" customFormat="1" ht="13.2" hidden="1" outlineLevel="1" x14ac:dyDescent="0.25">
      <c r="A2714" s="106" t="s">
        <v>5446</v>
      </c>
      <c r="B2714" s="106" t="s">
        <v>5447</v>
      </c>
      <c r="C2714" s="106"/>
      <c r="D2714" s="106"/>
      <c r="E2714" s="52"/>
    </row>
    <row r="2715" spans="1:5" s="103" customFormat="1" ht="13.2" hidden="1" outlineLevel="1" x14ac:dyDescent="0.25">
      <c r="A2715" s="106" t="s">
        <v>5448</v>
      </c>
      <c r="B2715" s="106" t="s">
        <v>5449</v>
      </c>
      <c r="C2715" s="106"/>
      <c r="D2715" s="106"/>
      <c r="E2715" s="52"/>
    </row>
    <row r="2716" spans="1:5" s="103" customFormat="1" ht="13.2" hidden="1" outlineLevel="1" x14ac:dyDescent="0.25">
      <c r="A2716" s="106" t="s">
        <v>5450</v>
      </c>
      <c r="B2716" s="106" t="s">
        <v>5451</v>
      </c>
      <c r="C2716" s="106"/>
      <c r="D2716" s="106"/>
      <c r="E2716" s="52"/>
    </row>
    <row r="2717" spans="1:5" s="103" customFormat="1" ht="13.2" hidden="1" outlineLevel="1" x14ac:dyDescent="0.25">
      <c r="A2717" s="106" t="s">
        <v>5452</v>
      </c>
      <c r="B2717" s="106" t="s">
        <v>5453</v>
      </c>
      <c r="C2717" s="106"/>
      <c r="D2717" s="106"/>
      <c r="E2717" s="52"/>
    </row>
    <row r="2718" spans="1:5" s="103" customFormat="1" ht="13.2" hidden="1" outlineLevel="1" x14ac:dyDescent="0.25">
      <c r="A2718" s="106" t="s">
        <v>5454</v>
      </c>
      <c r="B2718" s="106" t="s">
        <v>5455</v>
      </c>
      <c r="C2718" s="106"/>
      <c r="D2718" s="106"/>
      <c r="E2718" s="52"/>
    </row>
    <row r="2719" spans="1:5" s="103" customFormat="1" ht="13.2" hidden="1" outlineLevel="1" x14ac:dyDescent="0.25">
      <c r="A2719" s="106" t="s">
        <v>5456</v>
      </c>
      <c r="B2719" s="106" t="s">
        <v>5457</v>
      </c>
      <c r="C2719" s="106"/>
      <c r="D2719" s="106"/>
      <c r="E2719" s="52"/>
    </row>
    <row r="2720" spans="1:5" s="103" customFormat="1" ht="13.2" hidden="1" outlineLevel="1" x14ac:dyDescent="0.25">
      <c r="A2720" s="106" t="s">
        <v>5458</v>
      </c>
      <c r="B2720" s="106" t="s">
        <v>5459</v>
      </c>
      <c r="C2720" s="106"/>
      <c r="D2720" s="106"/>
      <c r="E2720" s="52"/>
    </row>
    <row r="2721" spans="1:5" s="103" customFormat="1" ht="13.2" hidden="1" outlineLevel="1" x14ac:dyDescent="0.25">
      <c r="A2721" s="106" t="s">
        <v>5460</v>
      </c>
      <c r="B2721" s="106" t="s">
        <v>5461</v>
      </c>
      <c r="C2721" s="106"/>
      <c r="D2721" s="106"/>
      <c r="E2721" s="52"/>
    </row>
    <row r="2722" spans="1:5" s="103" customFormat="1" ht="13.2" hidden="1" outlineLevel="1" x14ac:dyDescent="0.25">
      <c r="A2722" s="106" t="s">
        <v>5462</v>
      </c>
      <c r="B2722" s="106" t="s">
        <v>5463</v>
      </c>
      <c r="C2722" s="106"/>
      <c r="D2722" s="106"/>
      <c r="E2722" s="52"/>
    </row>
    <row r="2723" spans="1:5" s="103" customFormat="1" ht="13.2" hidden="1" outlineLevel="1" x14ac:dyDescent="0.25">
      <c r="A2723" s="106" t="s">
        <v>5464</v>
      </c>
      <c r="B2723" s="106" t="s">
        <v>5465</v>
      </c>
      <c r="C2723" s="106"/>
      <c r="D2723" s="106"/>
      <c r="E2723" s="52"/>
    </row>
    <row r="2724" spans="1:5" s="103" customFormat="1" ht="13.2" hidden="1" outlineLevel="1" x14ac:dyDescent="0.25">
      <c r="A2724" s="106" t="s">
        <v>5466</v>
      </c>
      <c r="B2724" s="106" t="s">
        <v>5467</v>
      </c>
      <c r="C2724" s="106"/>
      <c r="D2724" s="106"/>
      <c r="E2724" s="52"/>
    </row>
    <row r="2725" spans="1:5" s="103" customFormat="1" ht="13.2" hidden="1" outlineLevel="1" x14ac:dyDescent="0.25">
      <c r="A2725" s="106" t="s">
        <v>5468</v>
      </c>
      <c r="B2725" s="106" t="s">
        <v>5469</v>
      </c>
      <c r="C2725" s="106"/>
      <c r="D2725" s="106"/>
      <c r="E2725" s="52"/>
    </row>
    <row r="2726" spans="1:5" s="103" customFormat="1" ht="13.2" hidden="1" outlineLevel="1" x14ac:dyDescent="0.25">
      <c r="A2726" s="106" t="s">
        <v>5470</v>
      </c>
      <c r="B2726" s="106" t="s">
        <v>5471</v>
      </c>
      <c r="C2726" s="106"/>
      <c r="D2726" s="106"/>
      <c r="E2726" s="52"/>
    </row>
    <row r="2727" spans="1:5" s="103" customFormat="1" ht="13.2" hidden="1" outlineLevel="1" x14ac:dyDescent="0.25">
      <c r="A2727" s="106" t="s">
        <v>5472</v>
      </c>
      <c r="B2727" s="106" t="s">
        <v>5473</v>
      </c>
      <c r="C2727" s="106"/>
      <c r="D2727" s="106"/>
      <c r="E2727" s="52"/>
    </row>
    <row r="2728" spans="1:5" s="103" customFormat="1" ht="13.2" hidden="1" outlineLevel="1" x14ac:dyDescent="0.25">
      <c r="A2728" s="106" t="s">
        <v>5474</v>
      </c>
      <c r="B2728" s="106" t="s">
        <v>5475</v>
      </c>
      <c r="C2728" s="106"/>
      <c r="D2728" s="106"/>
      <c r="E2728" s="52"/>
    </row>
    <row r="2729" spans="1:5" s="103" customFormat="1" ht="13.2" hidden="1" outlineLevel="1" x14ac:dyDescent="0.25">
      <c r="A2729" s="106" t="s">
        <v>5476</v>
      </c>
      <c r="B2729" s="106" t="s">
        <v>5477</v>
      </c>
      <c r="C2729" s="106"/>
      <c r="D2729" s="106"/>
      <c r="E2729" s="52"/>
    </row>
    <row r="2730" spans="1:5" s="103" customFormat="1" ht="13.2" hidden="1" outlineLevel="1" x14ac:dyDescent="0.25">
      <c r="A2730" s="106" t="s">
        <v>5478</v>
      </c>
      <c r="B2730" s="106" t="s">
        <v>5479</v>
      </c>
      <c r="C2730" s="106"/>
      <c r="D2730" s="106"/>
      <c r="E2730" s="52"/>
    </row>
    <row r="2731" spans="1:5" s="103" customFormat="1" ht="13.2" hidden="1" outlineLevel="1" x14ac:dyDescent="0.25">
      <c r="A2731" s="106" t="s">
        <v>5480</v>
      </c>
      <c r="B2731" s="106" t="s">
        <v>5481</v>
      </c>
      <c r="C2731" s="106"/>
      <c r="D2731" s="106"/>
      <c r="E2731" s="52"/>
    </row>
    <row r="2732" spans="1:5" s="103" customFormat="1" ht="13.2" hidden="1" outlineLevel="1" x14ac:dyDescent="0.25">
      <c r="A2732" s="106" t="s">
        <v>5482</v>
      </c>
      <c r="B2732" s="106" t="s">
        <v>5483</v>
      </c>
      <c r="C2732" s="106"/>
      <c r="D2732" s="106"/>
      <c r="E2732" s="52"/>
    </row>
    <row r="2733" spans="1:5" s="103" customFormat="1" ht="13.2" hidden="1" outlineLevel="1" x14ac:dyDescent="0.25">
      <c r="A2733" s="106" t="s">
        <v>5484</v>
      </c>
      <c r="B2733" s="106" t="s">
        <v>5485</v>
      </c>
      <c r="C2733" s="106"/>
      <c r="D2733" s="106"/>
      <c r="E2733" s="52"/>
    </row>
    <row r="2734" spans="1:5" s="103" customFormat="1" ht="13.2" hidden="1" outlineLevel="1" x14ac:dyDescent="0.25">
      <c r="A2734" s="106" t="s">
        <v>5486</v>
      </c>
      <c r="B2734" s="106" t="s">
        <v>5487</v>
      </c>
      <c r="C2734" s="106"/>
      <c r="D2734" s="106"/>
      <c r="E2734" s="52"/>
    </row>
    <row r="2735" spans="1:5" s="103" customFormat="1" ht="13.2" hidden="1" outlineLevel="1" x14ac:dyDescent="0.25">
      <c r="A2735" s="106" t="s">
        <v>5488</v>
      </c>
      <c r="B2735" s="106" t="s">
        <v>5489</v>
      </c>
      <c r="C2735" s="106"/>
      <c r="D2735" s="106"/>
      <c r="E2735" s="52"/>
    </row>
    <row r="2736" spans="1:5" s="103" customFormat="1" ht="13.2" hidden="1" outlineLevel="1" x14ac:dyDescent="0.25">
      <c r="A2736" s="106" t="s">
        <v>5490</v>
      </c>
      <c r="B2736" s="106" t="s">
        <v>5491</v>
      </c>
      <c r="C2736" s="106"/>
      <c r="D2736" s="106"/>
      <c r="E2736" s="52"/>
    </row>
    <row r="2737" spans="1:5" s="103" customFormat="1" ht="13.2" hidden="1" outlineLevel="1" x14ac:dyDescent="0.25">
      <c r="A2737" s="106" t="s">
        <v>5492</v>
      </c>
      <c r="B2737" s="106" t="s">
        <v>5493</v>
      </c>
      <c r="C2737" s="106"/>
      <c r="D2737" s="106"/>
      <c r="E2737" s="52"/>
    </row>
    <row r="2738" spans="1:5" s="103" customFormat="1" ht="13.2" hidden="1" outlineLevel="1" x14ac:dyDescent="0.25">
      <c r="A2738" s="106" t="s">
        <v>5494</v>
      </c>
      <c r="B2738" s="106" t="s">
        <v>5495</v>
      </c>
      <c r="C2738" s="106"/>
      <c r="D2738" s="106"/>
      <c r="E2738" s="52"/>
    </row>
    <row r="2739" spans="1:5" s="103" customFormat="1" ht="13.2" hidden="1" outlineLevel="1" x14ac:dyDescent="0.25">
      <c r="A2739" s="106" t="s">
        <v>5496</v>
      </c>
      <c r="B2739" s="106" t="s">
        <v>5497</v>
      </c>
      <c r="C2739" s="106"/>
      <c r="D2739" s="106"/>
      <c r="E2739" s="52"/>
    </row>
    <row r="2740" spans="1:5" s="103" customFormat="1" ht="13.2" hidden="1" outlineLevel="1" x14ac:dyDescent="0.25">
      <c r="A2740" s="106" t="s">
        <v>5498</v>
      </c>
      <c r="B2740" s="106" t="s">
        <v>5499</v>
      </c>
      <c r="C2740" s="106"/>
      <c r="D2740" s="106"/>
      <c r="E2740" s="52"/>
    </row>
    <row r="2741" spans="1:5" s="103" customFormat="1" ht="13.2" hidden="1" outlineLevel="1" x14ac:dyDescent="0.25">
      <c r="A2741" s="106" t="s">
        <v>5500</v>
      </c>
      <c r="B2741" s="106" t="s">
        <v>5501</v>
      </c>
      <c r="C2741" s="106"/>
      <c r="D2741" s="106"/>
      <c r="E2741" s="52"/>
    </row>
    <row r="2742" spans="1:5" s="103" customFormat="1" ht="13.2" hidden="1" outlineLevel="1" x14ac:dyDescent="0.25">
      <c r="A2742" s="106" t="s">
        <v>5502</v>
      </c>
      <c r="B2742" s="106" t="s">
        <v>5503</v>
      </c>
      <c r="C2742" s="106"/>
      <c r="D2742" s="106"/>
      <c r="E2742" s="52"/>
    </row>
    <row r="2743" spans="1:5" s="103" customFormat="1" ht="13.2" hidden="1" outlineLevel="1" x14ac:dyDescent="0.25">
      <c r="A2743" s="106" t="s">
        <v>5504</v>
      </c>
      <c r="B2743" s="106" t="s">
        <v>5505</v>
      </c>
      <c r="C2743" s="106"/>
      <c r="D2743" s="106"/>
      <c r="E2743" s="52"/>
    </row>
    <row r="2744" spans="1:5" s="103" customFormat="1" ht="13.2" hidden="1" outlineLevel="1" x14ac:dyDescent="0.25">
      <c r="A2744" s="106" t="s">
        <v>5506</v>
      </c>
      <c r="B2744" s="106" t="s">
        <v>5507</v>
      </c>
      <c r="C2744" s="106"/>
      <c r="D2744" s="106"/>
      <c r="E2744" s="52"/>
    </row>
    <row r="2745" spans="1:5" s="103" customFormat="1" ht="13.2" hidden="1" outlineLevel="1" x14ac:dyDescent="0.25">
      <c r="A2745" s="106" t="s">
        <v>5508</v>
      </c>
      <c r="B2745" s="106" t="s">
        <v>5509</v>
      </c>
      <c r="C2745" s="106"/>
      <c r="D2745" s="106"/>
      <c r="E2745" s="52"/>
    </row>
    <row r="2746" spans="1:5" s="103" customFormat="1" ht="13.2" hidden="1" outlineLevel="1" x14ac:dyDescent="0.25">
      <c r="A2746" s="106" t="s">
        <v>5510</v>
      </c>
      <c r="B2746" s="106" t="s">
        <v>5511</v>
      </c>
      <c r="C2746" s="106"/>
      <c r="D2746" s="106"/>
      <c r="E2746" s="52"/>
    </row>
    <row r="2747" spans="1:5" s="103" customFormat="1" ht="13.2" hidden="1" outlineLevel="1" x14ac:dyDescent="0.25">
      <c r="A2747" s="106" t="s">
        <v>5512</v>
      </c>
      <c r="B2747" s="106" t="s">
        <v>5513</v>
      </c>
      <c r="C2747" s="106"/>
      <c r="D2747" s="106"/>
      <c r="E2747" s="52"/>
    </row>
    <row r="2748" spans="1:5" s="103" customFormat="1" ht="13.2" hidden="1" outlineLevel="1" x14ac:dyDescent="0.25">
      <c r="A2748" s="106" t="s">
        <v>5514</v>
      </c>
      <c r="B2748" s="106" t="s">
        <v>5515</v>
      </c>
      <c r="C2748" s="106"/>
      <c r="D2748" s="106"/>
      <c r="E2748" s="52"/>
    </row>
    <row r="2749" spans="1:5" s="103" customFormat="1" ht="13.2" hidden="1" outlineLevel="1" x14ac:dyDescent="0.25">
      <c r="A2749" s="106" t="s">
        <v>5516</v>
      </c>
      <c r="B2749" s="106" t="s">
        <v>5517</v>
      </c>
      <c r="C2749" s="106"/>
      <c r="D2749" s="106"/>
      <c r="E2749" s="52"/>
    </row>
    <row r="2750" spans="1:5" s="103" customFormat="1" ht="13.2" hidden="1" outlineLevel="1" x14ac:dyDescent="0.25">
      <c r="A2750" s="106" t="s">
        <v>5518</v>
      </c>
      <c r="B2750" s="106" t="s">
        <v>5519</v>
      </c>
      <c r="C2750" s="106"/>
      <c r="D2750" s="106"/>
      <c r="E2750" s="52"/>
    </row>
    <row r="2751" spans="1:5" s="103" customFormat="1" ht="13.2" hidden="1" outlineLevel="1" x14ac:dyDescent="0.25">
      <c r="A2751" s="106" t="s">
        <v>5520</v>
      </c>
      <c r="B2751" s="106" t="s">
        <v>5521</v>
      </c>
      <c r="C2751" s="106"/>
      <c r="D2751" s="106"/>
      <c r="E2751" s="52"/>
    </row>
    <row r="2752" spans="1:5" s="103" customFormat="1" ht="13.2" hidden="1" outlineLevel="1" x14ac:dyDescent="0.25">
      <c r="A2752" s="106" t="s">
        <v>5522</v>
      </c>
      <c r="B2752" s="106" t="s">
        <v>5523</v>
      </c>
      <c r="C2752" s="106"/>
      <c r="D2752" s="106"/>
      <c r="E2752" s="52"/>
    </row>
    <row r="2753" spans="1:5" s="103" customFormat="1" ht="13.2" hidden="1" outlineLevel="1" x14ac:dyDescent="0.25">
      <c r="A2753" s="106" t="s">
        <v>5524</v>
      </c>
      <c r="B2753" s="106" t="s">
        <v>5525</v>
      </c>
      <c r="C2753" s="106"/>
      <c r="D2753" s="106"/>
      <c r="E2753" s="52"/>
    </row>
    <row r="2754" spans="1:5" s="103" customFormat="1" ht="13.2" hidden="1" outlineLevel="1" x14ac:dyDescent="0.25">
      <c r="A2754" s="106" t="s">
        <v>5526</v>
      </c>
      <c r="B2754" s="106" t="s">
        <v>5527</v>
      </c>
      <c r="C2754" s="106"/>
      <c r="D2754" s="106"/>
      <c r="E2754" s="52"/>
    </row>
    <row r="2755" spans="1:5" s="103" customFormat="1" ht="13.2" hidden="1" outlineLevel="1" x14ac:dyDescent="0.25">
      <c r="A2755" s="106" t="s">
        <v>5528</v>
      </c>
      <c r="B2755" s="106" t="s">
        <v>5529</v>
      </c>
      <c r="C2755" s="106"/>
      <c r="D2755" s="106"/>
      <c r="E2755" s="52"/>
    </row>
    <row r="2756" spans="1:5" s="103" customFormat="1" ht="13.2" hidden="1" outlineLevel="1" x14ac:dyDescent="0.25">
      <c r="A2756" s="106" t="s">
        <v>5530</v>
      </c>
      <c r="B2756" s="106" t="s">
        <v>5531</v>
      </c>
      <c r="C2756" s="106"/>
      <c r="D2756" s="106"/>
      <c r="E2756" s="52"/>
    </row>
    <row r="2757" spans="1:5" s="103" customFormat="1" ht="13.2" hidden="1" outlineLevel="1" x14ac:dyDescent="0.25">
      <c r="A2757" s="106" t="s">
        <v>5532</v>
      </c>
      <c r="B2757" s="106" t="s">
        <v>5533</v>
      </c>
      <c r="C2757" s="106"/>
      <c r="D2757" s="106"/>
      <c r="E2757" s="52"/>
    </row>
    <row r="2758" spans="1:5" s="103" customFormat="1" ht="13.2" hidden="1" outlineLevel="1" x14ac:dyDescent="0.25">
      <c r="A2758" s="106" t="s">
        <v>5534</v>
      </c>
      <c r="B2758" s="106" t="s">
        <v>5535</v>
      </c>
      <c r="C2758" s="106"/>
      <c r="D2758" s="106"/>
      <c r="E2758" s="52"/>
    </row>
    <row r="2759" spans="1:5" s="103" customFormat="1" ht="13.2" hidden="1" outlineLevel="1" x14ac:dyDescent="0.25">
      <c r="A2759" s="106" t="s">
        <v>5536</v>
      </c>
      <c r="B2759" s="106" t="s">
        <v>5537</v>
      </c>
      <c r="C2759" s="106"/>
      <c r="D2759" s="106"/>
      <c r="E2759" s="52"/>
    </row>
    <row r="2760" spans="1:5" s="103" customFormat="1" ht="13.2" hidden="1" outlineLevel="1" x14ac:dyDescent="0.25">
      <c r="A2760" s="106" t="s">
        <v>5538</v>
      </c>
      <c r="B2760" s="106" t="s">
        <v>5539</v>
      </c>
      <c r="C2760" s="106"/>
      <c r="D2760" s="106"/>
      <c r="E2760" s="52"/>
    </row>
    <row r="2761" spans="1:5" s="103" customFormat="1" ht="13.2" hidden="1" outlineLevel="1" x14ac:dyDescent="0.25">
      <c r="A2761" s="106" t="s">
        <v>5540</v>
      </c>
      <c r="B2761" s="106" t="s">
        <v>5541</v>
      </c>
      <c r="C2761" s="106"/>
      <c r="D2761" s="106"/>
      <c r="E2761" s="52"/>
    </row>
    <row r="2762" spans="1:5" s="103" customFormat="1" ht="13.2" hidden="1" outlineLevel="1" x14ac:dyDescent="0.25">
      <c r="A2762" s="106" t="s">
        <v>5542</v>
      </c>
      <c r="B2762" s="106" t="s">
        <v>5543</v>
      </c>
      <c r="C2762" s="106"/>
      <c r="D2762" s="106"/>
      <c r="E2762" s="52"/>
    </row>
    <row r="2763" spans="1:5" s="103" customFormat="1" ht="13.2" hidden="1" outlineLevel="1" x14ac:dyDescent="0.25">
      <c r="A2763" s="106" t="s">
        <v>5544</v>
      </c>
      <c r="B2763" s="106" t="s">
        <v>5545</v>
      </c>
      <c r="C2763" s="106"/>
      <c r="D2763" s="106"/>
      <c r="E2763" s="52"/>
    </row>
    <row r="2764" spans="1:5" s="103" customFormat="1" ht="13.2" hidden="1" outlineLevel="1" x14ac:dyDescent="0.25">
      <c r="A2764" s="106" t="s">
        <v>5546</v>
      </c>
      <c r="B2764" s="106" t="s">
        <v>5547</v>
      </c>
      <c r="C2764" s="106"/>
      <c r="D2764" s="106"/>
      <c r="E2764" s="52"/>
    </row>
    <row r="2765" spans="1:5" s="103" customFormat="1" ht="13.2" hidden="1" outlineLevel="1" x14ac:dyDescent="0.25">
      <c r="A2765" s="106" t="s">
        <v>5548</v>
      </c>
      <c r="B2765" s="106" t="s">
        <v>5549</v>
      </c>
      <c r="C2765" s="106"/>
      <c r="D2765" s="106"/>
      <c r="E2765" s="52"/>
    </row>
    <row r="2766" spans="1:5" s="103" customFormat="1" ht="13.2" hidden="1" outlineLevel="1" x14ac:dyDescent="0.25">
      <c r="A2766" s="106" t="s">
        <v>5550</v>
      </c>
      <c r="B2766" s="106" t="s">
        <v>5551</v>
      </c>
      <c r="C2766" s="106"/>
      <c r="D2766" s="106"/>
      <c r="E2766" s="52"/>
    </row>
    <row r="2767" spans="1:5" s="103" customFormat="1" ht="13.2" hidden="1" outlineLevel="1" x14ac:dyDescent="0.25">
      <c r="A2767" s="106" t="s">
        <v>5552</v>
      </c>
      <c r="B2767" s="106" t="s">
        <v>5553</v>
      </c>
      <c r="C2767" s="106"/>
      <c r="D2767" s="106"/>
      <c r="E2767" s="52"/>
    </row>
    <row r="2768" spans="1:5" s="103" customFormat="1" ht="13.2" hidden="1" outlineLevel="1" x14ac:dyDescent="0.25">
      <c r="A2768" s="106" t="s">
        <v>5554</v>
      </c>
      <c r="B2768" s="106" t="s">
        <v>5555</v>
      </c>
      <c r="C2768" s="106"/>
      <c r="D2768" s="106"/>
      <c r="E2768" s="52"/>
    </row>
    <row r="2769" spans="1:5" s="103" customFormat="1" ht="13.2" hidden="1" outlineLevel="1" x14ac:dyDescent="0.25">
      <c r="A2769" s="106" t="s">
        <v>5556</v>
      </c>
      <c r="B2769" s="106" t="s">
        <v>5557</v>
      </c>
      <c r="C2769" s="106"/>
      <c r="D2769" s="106"/>
      <c r="E2769" s="52"/>
    </row>
    <row r="2770" spans="1:5" s="103" customFormat="1" ht="13.2" hidden="1" outlineLevel="1" x14ac:dyDescent="0.25">
      <c r="A2770" s="106" t="s">
        <v>5558</v>
      </c>
      <c r="B2770" s="106" t="s">
        <v>5559</v>
      </c>
      <c r="C2770" s="106"/>
      <c r="D2770" s="106"/>
      <c r="E2770" s="52"/>
    </row>
    <row r="2771" spans="1:5" s="103" customFormat="1" ht="13.2" hidden="1" outlineLevel="1" x14ac:dyDescent="0.25">
      <c r="A2771" s="106" t="s">
        <v>5560</v>
      </c>
      <c r="B2771" s="106" t="s">
        <v>5561</v>
      </c>
      <c r="C2771" s="106"/>
      <c r="D2771" s="106"/>
      <c r="E2771" s="52"/>
    </row>
    <row r="2772" spans="1:5" s="103" customFormat="1" ht="13.2" hidden="1" outlineLevel="1" x14ac:dyDescent="0.25">
      <c r="A2772" s="106" t="s">
        <v>5562</v>
      </c>
      <c r="B2772" s="106" t="s">
        <v>5563</v>
      </c>
      <c r="C2772" s="106"/>
      <c r="D2772" s="106"/>
      <c r="E2772" s="52"/>
    </row>
    <row r="2773" spans="1:5" s="103" customFormat="1" ht="13.2" hidden="1" outlineLevel="1" x14ac:dyDescent="0.25">
      <c r="A2773" s="106" t="s">
        <v>5564</v>
      </c>
      <c r="B2773" s="106" t="s">
        <v>5565</v>
      </c>
      <c r="C2773" s="106"/>
      <c r="D2773" s="106"/>
      <c r="E2773" s="52"/>
    </row>
    <row r="2774" spans="1:5" s="103" customFormat="1" ht="13.2" hidden="1" outlineLevel="1" x14ac:dyDescent="0.25">
      <c r="A2774" s="106" t="s">
        <v>5566</v>
      </c>
      <c r="B2774" s="106" t="s">
        <v>5567</v>
      </c>
      <c r="C2774" s="106"/>
      <c r="D2774" s="106"/>
      <c r="E2774" s="52"/>
    </row>
    <row r="2775" spans="1:5" s="103" customFormat="1" ht="13.2" hidden="1" outlineLevel="1" x14ac:dyDescent="0.25">
      <c r="A2775" s="106" t="s">
        <v>5568</v>
      </c>
      <c r="B2775" s="106" t="s">
        <v>5569</v>
      </c>
      <c r="C2775" s="106"/>
      <c r="D2775" s="106"/>
      <c r="E2775" s="52"/>
    </row>
    <row r="2776" spans="1:5" s="103" customFormat="1" ht="13.2" hidden="1" outlineLevel="1" x14ac:dyDescent="0.25">
      <c r="A2776" s="106" t="s">
        <v>5570</v>
      </c>
      <c r="B2776" s="106" t="s">
        <v>5571</v>
      </c>
      <c r="C2776" s="106"/>
      <c r="D2776" s="106"/>
      <c r="E2776" s="52"/>
    </row>
    <row r="2777" spans="1:5" s="103" customFormat="1" ht="13.2" hidden="1" outlineLevel="1" x14ac:dyDescent="0.25">
      <c r="A2777" s="106" t="s">
        <v>5572</v>
      </c>
      <c r="B2777" s="106" t="s">
        <v>5573</v>
      </c>
      <c r="C2777" s="106"/>
      <c r="D2777" s="106"/>
      <c r="E2777" s="52"/>
    </row>
    <row r="2778" spans="1:5" s="103" customFormat="1" ht="13.2" hidden="1" outlineLevel="1" x14ac:dyDescent="0.25">
      <c r="A2778" s="106" t="s">
        <v>5574</v>
      </c>
      <c r="B2778" s="106" t="s">
        <v>5575</v>
      </c>
      <c r="C2778" s="106"/>
      <c r="D2778" s="106"/>
      <c r="E2778" s="52"/>
    </row>
    <row r="2779" spans="1:5" s="103" customFormat="1" ht="13.2" hidden="1" outlineLevel="1" x14ac:dyDescent="0.25">
      <c r="A2779" s="106" t="s">
        <v>5576</v>
      </c>
      <c r="B2779" s="106" t="s">
        <v>5577</v>
      </c>
      <c r="C2779" s="106"/>
      <c r="D2779" s="106"/>
      <c r="E2779" s="52"/>
    </row>
    <row r="2780" spans="1:5" s="103" customFormat="1" ht="13.2" hidden="1" outlineLevel="1" x14ac:dyDescent="0.25">
      <c r="A2780" s="106" t="s">
        <v>5578</v>
      </c>
      <c r="B2780" s="106" t="s">
        <v>5579</v>
      </c>
      <c r="C2780" s="106"/>
      <c r="D2780" s="106"/>
      <c r="E2780" s="52"/>
    </row>
    <row r="2781" spans="1:5" s="103" customFormat="1" ht="13.2" hidden="1" outlineLevel="1" x14ac:dyDescent="0.25">
      <c r="A2781" s="106" t="s">
        <v>5580</v>
      </c>
      <c r="B2781" s="106" t="s">
        <v>5581</v>
      </c>
      <c r="C2781" s="106"/>
      <c r="D2781" s="106"/>
      <c r="E2781" s="52"/>
    </row>
    <row r="2782" spans="1:5" s="103" customFormat="1" ht="13.2" hidden="1" outlineLevel="1" x14ac:dyDescent="0.25">
      <c r="A2782" s="106" t="s">
        <v>5582</v>
      </c>
      <c r="B2782" s="106" t="s">
        <v>5583</v>
      </c>
      <c r="C2782" s="106"/>
      <c r="D2782" s="106"/>
      <c r="E2782" s="52"/>
    </row>
    <row r="2783" spans="1:5" s="103" customFormat="1" ht="13.2" hidden="1" outlineLevel="1" x14ac:dyDescent="0.25">
      <c r="A2783" s="106" t="s">
        <v>5584</v>
      </c>
      <c r="B2783" s="106" t="s">
        <v>5585</v>
      </c>
      <c r="C2783" s="106"/>
      <c r="D2783" s="106"/>
      <c r="E2783" s="52"/>
    </row>
    <row r="2784" spans="1:5" s="103" customFormat="1" ht="13.2" hidden="1" outlineLevel="1" x14ac:dyDescent="0.25">
      <c r="A2784" s="106" t="s">
        <v>5586</v>
      </c>
      <c r="B2784" s="106" t="s">
        <v>5587</v>
      </c>
      <c r="C2784" s="106"/>
      <c r="D2784" s="106"/>
      <c r="E2784" s="52"/>
    </row>
    <row r="2785" spans="1:5" s="103" customFormat="1" ht="13.2" hidden="1" outlineLevel="1" x14ac:dyDescent="0.25">
      <c r="A2785" s="106" t="s">
        <v>5588</v>
      </c>
      <c r="B2785" s="106" t="s">
        <v>5589</v>
      </c>
      <c r="C2785" s="106"/>
      <c r="D2785" s="106"/>
      <c r="E2785" s="52"/>
    </row>
    <row r="2786" spans="1:5" s="103" customFormat="1" ht="13.2" hidden="1" outlineLevel="1" x14ac:dyDescent="0.25">
      <c r="A2786" s="106" t="s">
        <v>5590</v>
      </c>
      <c r="B2786" s="106" t="s">
        <v>5591</v>
      </c>
      <c r="C2786" s="106"/>
      <c r="D2786" s="106"/>
      <c r="E2786" s="52"/>
    </row>
    <row r="2787" spans="1:5" s="103" customFormat="1" ht="13.2" hidden="1" outlineLevel="1" x14ac:dyDescent="0.25">
      <c r="A2787" s="106" t="s">
        <v>5592</v>
      </c>
      <c r="B2787" s="106" t="s">
        <v>5593</v>
      </c>
      <c r="C2787" s="106"/>
      <c r="D2787" s="106"/>
      <c r="E2787" s="52"/>
    </row>
    <row r="2788" spans="1:5" s="103" customFormat="1" ht="13.2" hidden="1" outlineLevel="1" x14ac:dyDescent="0.25">
      <c r="A2788" s="106" t="s">
        <v>5594</v>
      </c>
      <c r="B2788" s="106" t="s">
        <v>5595</v>
      </c>
      <c r="C2788" s="106"/>
      <c r="D2788" s="106"/>
      <c r="E2788" s="52"/>
    </row>
    <row r="2789" spans="1:5" s="103" customFormat="1" ht="13.2" hidden="1" outlineLevel="1" x14ac:dyDescent="0.25">
      <c r="A2789" s="106" t="s">
        <v>5596</v>
      </c>
      <c r="B2789" s="106" t="s">
        <v>5597</v>
      </c>
      <c r="C2789" s="106"/>
      <c r="D2789" s="106"/>
      <c r="E2789" s="52"/>
    </row>
    <row r="2790" spans="1:5" s="103" customFormat="1" ht="13.2" hidden="1" outlineLevel="1" x14ac:dyDescent="0.25">
      <c r="A2790" s="106" t="s">
        <v>5598</v>
      </c>
      <c r="B2790" s="106" t="s">
        <v>5599</v>
      </c>
      <c r="C2790" s="106"/>
      <c r="D2790" s="106"/>
      <c r="E2790" s="52"/>
    </row>
    <row r="2791" spans="1:5" s="103" customFormat="1" ht="13.2" hidden="1" outlineLevel="1" x14ac:dyDescent="0.25">
      <c r="A2791" s="106" t="s">
        <v>5600</v>
      </c>
      <c r="B2791" s="106" t="s">
        <v>5601</v>
      </c>
      <c r="C2791" s="106"/>
      <c r="D2791" s="106"/>
      <c r="E2791" s="52"/>
    </row>
    <row r="2792" spans="1:5" s="103" customFormat="1" ht="13.2" hidden="1" outlineLevel="1" x14ac:dyDescent="0.25">
      <c r="A2792" s="106" t="s">
        <v>5602</v>
      </c>
      <c r="B2792" s="106" t="s">
        <v>5603</v>
      </c>
      <c r="C2792" s="106"/>
      <c r="D2792" s="106"/>
      <c r="E2792" s="52"/>
    </row>
    <row r="2793" spans="1:5" s="103" customFormat="1" ht="13.2" hidden="1" outlineLevel="1" x14ac:dyDescent="0.25">
      <c r="A2793" s="106" t="s">
        <v>5604</v>
      </c>
      <c r="B2793" s="106" t="s">
        <v>5605</v>
      </c>
      <c r="C2793" s="106"/>
      <c r="D2793" s="106"/>
      <c r="E2793" s="52"/>
    </row>
    <row r="2794" spans="1:5" s="103" customFormat="1" ht="13.2" hidden="1" outlineLevel="1" x14ac:dyDescent="0.25">
      <c r="A2794" s="106" t="s">
        <v>5606</v>
      </c>
      <c r="B2794" s="106" t="s">
        <v>5607</v>
      </c>
      <c r="C2794" s="106"/>
      <c r="D2794" s="106"/>
      <c r="E2794" s="52"/>
    </row>
    <row r="2795" spans="1:5" s="103" customFormat="1" ht="13.2" hidden="1" outlineLevel="1" x14ac:dyDescent="0.25">
      <c r="A2795" s="106" t="s">
        <v>5608</v>
      </c>
      <c r="B2795" s="106" t="s">
        <v>5609</v>
      </c>
      <c r="C2795" s="106"/>
      <c r="D2795" s="106"/>
      <c r="E2795" s="52"/>
    </row>
    <row r="2796" spans="1:5" s="103" customFormat="1" ht="13.2" hidden="1" outlineLevel="1" x14ac:dyDescent="0.25">
      <c r="A2796" s="106" t="s">
        <v>5610</v>
      </c>
      <c r="B2796" s="106" t="s">
        <v>5611</v>
      </c>
      <c r="C2796" s="106"/>
      <c r="D2796" s="106"/>
      <c r="E2796" s="52"/>
    </row>
    <row r="2797" spans="1:5" s="103" customFormat="1" ht="13.2" hidden="1" outlineLevel="1" x14ac:dyDescent="0.25">
      <c r="A2797" s="106" t="s">
        <v>5612</v>
      </c>
      <c r="B2797" s="106" t="s">
        <v>5613</v>
      </c>
      <c r="C2797" s="106"/>
      <c r="D2797" s="106"/>
      <c r="E2797" s="52"/>
    </row>
    <row r="2798" spans="1:5" s="103" customFormat="1" ht="13.2" hidden="1" outlineLevel="1" x14ac:dyDescent="0.25">
      <c r="A2798" s="106" t="s">
        <v>5614</v>
      </c>
      <c r="B2798" s="106" t="s">
        <v>5615</v>
      </c>
      <c r="C2798" s="106"/>
      <c r="D2798" s="106"/>
      <c r="E2798" s="52"/>
    </row>
    <row r="2799" spans="1:5" s="103" customFormat="1" ht="13.2" hidden="1" outlineLevel="1" x14ac:dyDescent="0.25">
      <c r="A2799" s="106" t="s">
        <v>5616</v>
      </c>
      <c r="B2799" s="106" t="s">
        <v>5617</v>
      </c>
      <c r="C2799" s="106"/>
      <c r="D2799" s="106"/>
      <c r="E2799" s="52"/>
    </row>
    <row r="2800" spans="1:5" s="103" customFormat="1" ht="13.2" hidden="1" outlineLevel="1" x14ac:dyDescent="0.25">
      <c r="A2800" s="106" t="s">
        <v>5618</v>
      </c>
      <c r="B2800" s="106" t="s">
        <v>5619</v>
      </c>
      <c r="C2800" s="106"/>
      <c r="D2800" s="106"/>
      <c r="E2800" s="52"/>
    </row>
    <row r="2801" spans="1:5" s="103" customFormat="1" ht="13.2" hidden="1" outlineLevel="1" x14ac:dyDescent="0.25">
      <c r="A2801" s="106" t="s">
        <v>5620</v>
      </c>
      <c r="B2801" s="106" t="s">
        <v>5621</v>
      </c>
      <c r="C2801" s="106"/>
      <c r="D2801" s="106"/>
      <c r="E2801" s="52"/>
    </row>
    <row r="2802" spans="1:5" s="103" customFormat="1" ht="13.2" hidden="1" outlineLevel="1" x14ac:dyDescent="0.25">
      <c r="A2802" s="106" t="s">
        <v>5622</v>
      </c>
      <c r="B2802" s="106" t="s">
        <v>5623</v>
      </c>
      <c r="C2802" s="106"/>
      <c r="D2802" s="106"/>
      <c r="E2802" s="52"/>
    </row>
    <row r="2803" spans="1:5" s="103" customFormat="1" ht="13.2" hidden="1" outlineLevel="1" x14ac:dyDescent="0.25">
      <c r="A2803" s="106" t="s">
        <v>5624</v>
      </c>
      <c r="B2803" s="106" t="s">
        <v>5625</v>
      </c>
      <c r="C2803" s="106"/>
      <c r="D2803" s="106"/>
      <c r="E2803" s="52"/>
    </row>
    <row r="2804" spans="1:5" s="103" customFormat="1" ht="13.2" hidden="1" outlineLevel="1" x14ac:dyDescent="0.25">
      <c r="A2804" s="106" t="s">
        <v>5626</v>
      </c>
      <c r="B2804" s="106" t="s">
        <v>5627</v>
      </c>
      <c r="C2804" s="106"/>
      <c r="D2804" s="106"/>
      <c r="E2804" s="52"/>
    </row>
    <row r="2805" spans="1:5" s="103" customFormat="1" ht="13.2" hidden="1" outlineLevel="1" x14ac:dyDescent="0.25">
      <c r="A2805" s="106" t="s">
        <v>5628</v>
      </c>
      <c r="B2805" s="106" t="s">
        <v>5629</v>
      </c>
      <c r="C2805" s="106"/>
      <c r="D2805" s="106"/>
      <c r="E2805" s="52"/>
    </row>
    <row r="2806" spans="1:5" s="103" customFormat="1" ht="13.2" hidden="1" outlineLevel="1" x14ac:dyDescent="0.25">
      <c r="A2806" s="106" t="s">
        <v>5630</v>
      </c>
      <c r="B2806" s="106" t="s">
        <v>5631</v>
      </c>
      <c r="C2806" s="106"/>
      <c r="D2806" s="106"/>
      <c r="E2806" s="52"/>
    </row>
    <row r="2807" spans="1:5" s="103" customFormat="1" ht="13.2" hidden="1" outlineLevel="1" x14ac:dyDescent="0.25">
      <c r="A2807" s="106" t="s">
        <v>5632</v>
      </c>
      <c r="B2807" s="106" t="s">
        <v>5633</v>
      </c>
      <c r="C2807" s="106"/>
      <c r="D2807" s="106"/>
      <c r="E2807" s="52"/>
    </row>
    <row r="2808" spans="1:5" s="103" customFormat="1" ht="13.2" hidden="1" outlineLevel="1" x14ac:dyDescent="0.25">
      <c r="A2808" s="106" t="s">
        <v>5634</v>
      </c>
      <c r="B2808" s="106" t="s">
        <v>5635</v>
      </c>
      <c r="C2808" s="106"/>
      <c r="D2808" s="106"/>
      <c r="E2808" s="52"/>
    </row>
    <row r="2809" spans="1:5" s="103" customFormat="1" ht="13.2" hidden="1" outlineLevel="1" x14ac:dyDescent="0.25">
      <c r="A2809" s="106" t="s">
        <v>5636</v>
      </c>
      <c r="B2809" s="106" t="s">
        <v>5637</v>
      </c>
      <c r="C2809" s="106"/>
      <c r="D2809" s="106"/>
      <c r="E2809" s="52"/>
    </row>
    <row r="2810" spans="1:5" s="103" customFormat="1" ht="13.2" hidden="1" outlineLevel="1" x14ac:dyDescent="0.25">
      <c r="A2810" s="106" t="s">
        <v>5638</v>
      </c>
      <c r="B2810" s="106" t="s">
        <v>5639</v>
      </c>
      <c r="C2810" s="106"/>
      <c r="D2810" s="106"/>
      <c r="E2810" s="52"/>
    </row>
    <row r="2811" spans="1:5" s="103" customFormat="1" ht="13.2" hidden="1" outlineLevel="1" x14ac:dyDescent="0.25">
      <c r="A2811" s="106" t="s">
        <v>5640</v>
      </c>
      <c r="B2811" s="106" t="s">
        <v>5641</v>
      </c>
      <c r="C2811" s="106"/>
      <c r="D2811" s="106"/>
      <c r="E2811" s="52"/>
    </row>
    <row r="2812" spans="1:5" s="103" customFormat="1" ht="13.2" hidden="1" outlineLevel="1" x14ac:dyDescent="0.25">
      <c r="A2812" s="106" t="s">
        <v>5642</v>
      </c>
      <c r="B2812" s="106" t="s">
        <v>5643</v>
      </c>
      <c r="C2812" s="106"/>
      <c r="D2812" s="106"/>
      <c r="E2812" s="52"/>
    </row>
    <row r="2813" spans="1:5" s="103" customFormat="1" ht="13.2" hidden="1" outlineLevel="1" x14ac:dyDescent="0.25">
      <c r="A2813" s="106" t="s">
        <v>5644</v>
      </c>
      <c r="B2813" s="106" t="s">
        <v>5645</v>
      </c>
      <c r="C2813" s="106"/>
      <c r="D2813" s="106"/>
      <c r="E2813" s="52"/>
    </row>
    <row r="2814" spans="1:5" s="103" customFormat="1" ht="13.2" hidden="1" outlineLevel="1" x14ac:dyDescent="0.25">
      <c r="A2814" s="106" t="s">
        <v>5646</v>
      </c>
      <c r="B2814" s="106" t="s">
        <v>5647</v>
      </c>
      <c r="C2814" s="106"/>
      <c r="D2814" s="106"/>
      <c r="E2814" s="52"/>
    </row>
    <row r="2815" spans="1:5" s="103" customFormat="1" ht="13.2" hidden="1" outlineLevel="1" x14ac:dyDescent="0.25">
      <c r="A2815" s="106" t="s">
        <v>5648</v>
      </c>
      <c r="B2815" s="106" t="s">
        <v>5649</v>
      </c>
      <c r="C2815" s="106"/>
      <c r="D2815" s="106"/>
      <c r="E2815" s="52"/>
    </row>
    <row r="2816" spans="1:5" s="103" customFormat="1" ht="13.2" hidden="1" outlineLevel="1" x14ac:dyDescent="0.25">
      <c r="A2816" s="106" t="s">
        <v>5650</v>
      </c>
      <c r="B2816" s="106" t="s">
        <v>5651</v>
      </c>
      <c r="C2816" s="106"/>
      <c r="D2816" s="106"/>
      <c r="E2816" s="52"/>
    </row>
    <row r="2817" spans="1:5" s="103" customFormat="1" ht="13.2" hidden="1" outlineLevel="1" x14ac:dyDescent="0.25">
      <c r="A2817" s="106" t="s">
        <v>5652</v>
      </c>
      <c r="B2817" s="106" t="s">
        <v>5653</v>
      </c>
      <c r="C2817" s="106"/>
      <c r="D2817" s="106"/>
      <c r="E2817" s="52"/>
    </row>
    <row r="2818" spans="1:5" s="103" customFormat="1" ht="13.2" hidden="1" outlineLevel="1" x14ac:dyDescent="0.25">
      <c r="A2818" s="106" t="s">
        <v>5654</v>
      </c>
      <c r="B2818" s="106" t="s">
        <v>5655</v>
      </c>
      <c r="C2818" s="106"/>
      <c r="D2818" s="106"/>
      <c r="E2818" s="52"/>
    </row>
    <row r="2819" spans="1:5" s="103" customFormat="1" ht="13.2" hidden="1" outlineLevel="1" x14ac:dyDescent="0.25">
      <c r="A2819" s="106" t="s">
        <v>5656</v>
      </c>
      <c r="B2819" s="106" t="s">
        <v>5657</v>
      </c>
      <c r="C2819" s="106"/>
      <c r="D2819" s="106"/>
      <c r="E2819" s="52"/>
    </row>
    <row r="2820" spans="1:5" s="103" customFormat="1" ht="13.2" hidden="1" outlineLevel="1" x14ac:dyDescent="0.25">
      <c r="A2820" s="106" t="s">
        <v>5658</v>
      </c>
      <c r="B2820" s="106" t="s">
        <v>5659</v>
      </c>
      <c r="C2820" s="106"/>
      <c r="D2820" s="106"/>
      <c r="E2820" s="52"/>
    </row>
    <row r="2821" spans="1:5" s="103" customFormat="1" ht="13.2" hidden="1" outlineLevel="1" x14ac:dyDescent="0.25">
      <c r="A2821" s="106" t="s">
        <v>5660</v>
      </c>
      <c r="B2821" s="106" t="s">
        <v>5661</v>
      </c>
      <c r="C2821" s="106"/>
      <c r="D2821" s="106"/>
      <c r="E2821" s="52"/>
    </row>
    <row r="2822" spans="1:5" s="103" customFormat="1" ht="13.2" hidden="1" outlineLevel="1" x14ac:dyDescent="0.25">
      <c r="A2822" s="106" t="s">
        <v>5662</v>
      </c>
      <c r="B2822" s="106" t="s">
        <v>5663</v>
      </c>
      <c r="C2822" s="106"/>
      <c r="D2822" s="106"/>
      <c r="E2822" s="52"/>
    </row>
    <row r="2823" spans="1:5" s="103" customFormat="1" ht="13.2" hidden="1" outlineLevel="1" x14ac:dyDescent="0.25">
      <c r="A2823" s="106" t="s">
        <v>5664</v>
      </c>
      <c r="B2823" s="106" t="s">
        <v>5665</v>
      </c>
      <c r="C2823" s="106"/>
      <c r="D2823" s="106"/>
      <c r="E2823" s="52"/>
    </row>
    <row r="2824" spans="1:5" s="103" customFormat="1" ht="13.2" hidden="1" outlineLevel="1" x14ac:dyDescent="0.25">
      <c r="A2824" s="106" t="s">
        <v>5666</v>
      </c>
      <c r="B2824" s="106" t="s">
        <v>5667</v>
      </c>
      <c r="C2824" s="106"/>
      <c r="D2824" s="106"/>
      <c r="E2824" s="52"/>
    </row>
    <row r="2825" spans="1:5" s="103" customFormat="1" ht="13.2" hidden="1" outlineLevel="1" x14ac:dyDescent="0.25">
      <c r="A2825" s="106" t="s">
        <v>5668</v>
      </c>
      <c r="B2825" s="106" t="s">
        <v>5669</v>
      </c>
      <c r="C2825" s="106"/>
      <c r="D2825" s="106"/>
      <c r="E2825" s="52"/>
    </row>
    <row r="2826" spans="1:5" s="103" customFormat="1" ht="13.2" hidden="1" outlineLevel="1" x14ac:dyDescent="0.25">
      <c r="A2826" s="106" t="s">
        <v>5670</v>
      </c>
      <c r="B2826" s="106" t="s">
        <v>5671</v>
      </c>
      <c r="C2826" s="106"/>
      <c r="D2826" s="106"/>
      <c r="E2826" s="52"/>
    </row>
    <row r="2827" spans="1:5" s="103" customFormat="1" ht="13.2" hidden="1" outlineLevel="1" x14ac:dyDescent="0.25">
      <c r="A2827" s="106" t="s">
        <v>5672</v>
      </c>
      <c r="B2827" s="106" t="s">
        <v>5673</v>
      </c>
      <c r="C2827" s="106"/>
      <c r="D2827" s="106"/>
      <c r="E2827" s="52"/>
    </row>
    <row r="2828" spans="1:5" s="103" customFormat="1" ht="13.2" hidden="1" outlineLevel="1" x14ac:dyDescent="0.25">
      <c r="A2828" s="106" t="s">
        <v>5674</v>
      </c>
      <c r="B2828" s="106" t="s">
        <v>5675</v>
      </c>
      <c r="C2828" s="106"/>
      <c r="D2828" s="106"/>
      <c r="E2828" s="52"/>
    </row>
    <row r="2829" spans="1:5" s="103" customFormat="1" ht="13.2" hidden="1" outlineLevel="1" x14ac:dyDescent="0.25">
      <c r="A2829" s="106" t="s">
        <v>5676</v>
      </c>
      <c r="B2829" s="106" t="s">
        <v>5677</v>
      </c>
      <c r="C2829" s="106"/>
      <c r="D2829" s="106"/>
      <c r="E2829" s="52"/>
    </row>
    <row r="2830" spans="1:5" s="103" customFormat="1" ht="13.2" hidden="1" outlineLevel="1" x14ac:dyDescent="0.25">
      <c r="A2830" s="106" t="s">
        <v>5678</v>
      </c>
      <c r="B2830" s="106" t="s">
        <v>5679</v>
      </c>
      <c r="C2830" s="106"/>
      <c r="D2830" s="106"/>
      <c r="E2830" s="52"/>
    </row>
    <row r="2831" spans="1:5" s="103" customFormat="1" ht="13.2" collapsed="1" x14ac:dyDescent="0.25">
      <c r="A2831" s="104" t="s">
        <v>5680</v>
      </c>
      <c r="B2831" s="105" t="s">
        <v>5681</v>
      </c>
      <c r="C2831" s="105"/>
      <c r="D2831" s="105"/>
      <c r="E2831" s="51"/>
    </row>
    <row r="2832" spans="1:5" s="103" customFormat="1" ht="13.2" hidden="1" outlineLevel="1" x14ac:dyDescent="0.25">
      <c r="A2832" s="106" t="s">
        <v>5682</v>
      </c>
      <c r="B2832" s="106" t="s">
        <v>5683</v>
      </c>
      <c r="C2832" s="106"/>
      <c r="D2832" s="106"/>
      <c r="E2832" s="52"/>
    </row>
    <row r="2833" spans="1:5" s="103" customFormat="1" ht="13.2" hidden="1" outlineLevel="1" x14ac:dyDescent="0.25">
      <c r="A2833" s="106" t="s">
        <v>5684</v>
      </c>
      <c r="B2833" s="106" t="s">
        <v>5685</v>
      </c>
      <c r="C2833" s="106"/>
      <c r="D2833" s="106"/>
      <c r="E2833" s="52"/>
    </row>
    <row r="2834" spans="1:5" s="103" customFormat="1" ht="13.2" hidden="1" outlineLevel="1" x14ac:dyDescent="0.25">
      <c r="A2834" s="106" t="s">
        <v>5686</v>
      </c>
      <c r="B2834" s="106" t="s">
        <v>5687</v>
      </c>
      <c r="C2834" s="106"/>
      <c r="D2834" s="106"/>
      <c r="E2834" s="52"/>
    </row>
    <row r="2835" spans="1:5" s="103" customFormat="1" ht="13.2" hidden="1" outlineLevel="1" x14ac:dyDescent="0.25">
      <c r="A2835" s="106" t="s">
        <v>5688</v>
      </c>
      <c r="B2835" s="106" t="s">
        <v>5689</v>
      </c>
      <c r="C2835" s="106"/>
      <c r="D2835" s="106"/>
      <c r="E2835" s="52"/>
    </row>
    <row r="2836" spans="1:5" s="103" customFormat="1" ht="13.2" hidden="1" outlineLevel="1" x14ac:dyDescent="0.25">
      <c r="A2836" s="106" t="s">
        <v>5690</v>
      </c>
      <c r="B2836" s="106" t="s">
        <v>5691</v>
      </c>
      <c r="C2836" s="106"/>
      <c r="D2836" s="106"/>
      <c r="E2836" s="52"/>
    </row>
    <row r="2837" spans="1:5" s="103" customFormat="1" ht="13.2" hidden="1" outlineLevel="1" x14ac:dyDescent="0.25">
      <c r="A2837" s="106" t="s">
        <v>5692</v>
      </c>
      <c r="B2837" s="106" t="s">
        <v>5693</v>
      </c>
      <c r="C2837" s="106"/>
      <c r="D2837" s="106"/>
      <c r="E2837" s="52"/>
    </row>
    <row r="2838" spans="1:5" s="103" customFormat="1" ht="13.2" hidden="1" outlineLevel="1" x14ac:dyDescent="0.25">
      <c r="A2838" s="106" t="s">
        <v>5694</v>
      </c>
      <c r="B2838" s="106" t="s">
        <v>5695</v>
      </c>
      <c r="C2838" s="106"/>
      <c r="D2838" s="106"/>
      <c r="E2838" s="52"/>
    </row>
    <row r="2839" spans="1:5" s="103" customFormat="1" ht="13.2" hidden="1" outlineLevel="1" x14ac:dyDescent="0.25">
      <c r="A2839" s="106" t="s">
        <v>5696</v>
      </c>
      <c r="B2839" s="106" t="s">
        <v>5697</v>
      </c>
      <c r="C2839" s="106"/>
      <c r="D2839" s="106"/>
      <c r="E2839" s="52"/>
    </row>
    <row r="2840" spans="1:5" s="103" customFormat="1" ht="13.2" hidden="1" outlineLevel="1" x14ac:dyDescent="0.25">
      <c r="A2840" s="106" t="s">
        <v>5698</v>
      </c>
      <c r="B2840" s="106" t="s">
        <v>5699</v>
      </c>
      <c r="C2840" s="106"/>
      <c r="D2840" s="106"/>
      <c r="E2840" s="52"/>
    </row>
    <row r="2841" spans="1:5" s="103" customFormat="1" ht="13.2" hidden="1" outlineLevel="1" x14ac:dyDescent="0.25">
      <c r="A2841" s="106" t="s">
        <v>5700</v>
      </c>
      <c r="B2841" s="106" t="s">
        <v>5701</v>
      </c>
      <c r="C2841" s="106"/>
      <c r="D2841" s="106"/>
      <c r="E2841" s="52"/>
    </row>
    <row r="2842" spans="1:5" s="103" customFormat="1" ht="13.2" hidden="1" outlineLevel="1" x14ac:dyDescent="0.25">
      <c r="A2842" s="106" t="s">
        <v>5702</v>
      </c>
      <c r="B2842" s="106" t="s">
        <v>5703</v>
      </c>
      <c r="C2842" s="106"/>
      <c r="D2842" s="106"/>
      <c r="E2842" s="52"/>
    </row>
    <row r="2843" spans="1:5" s="103" customFormat="1" ht="13.2" hidden="1" outlineLevel="1" x14ac:dyDescent="0.25">
      <c r="A2843" s="106" t="s">
        <v>5704</v>
      </c>
      <c r="B2843" s="106" t="s">
        <v>5705</v>
      </c>
      <c r="C2843" s="106"/>
      <c r="D2843" s="106"/>
      <c r="E2843" s="52"/>
    </row>
    <row r="2844" spans="1:5" s="103" customFormat="1" ht="13.2" hidden="1" outlineLevel="1" x14ac:dyDescent="0.25">
      <c r="A2844" s="106" t="s">
        <v>5706</v>
      </c>
      <c r="B2844" s="106" t="s">
        <v>5707</v>
      </c>
      <c r="C2844" s="106"/>
      <c r="D2844" s="106"/>
      <c r="E2844" s="52"/>
    </row>
    <row r="2845" spans="1:5" s="103" customFormat="1" ht="13.2" hidden="1" outlineLevel="1" x14ac:dyDescent="0.25">
      <c r="A2845" s="106" t="s">
        <v>5708</v>
      </c>
      <c r="B2845" s="106" t="s">
        <v>5709</v>
      </c>
      <c r="C2845" s="106"/>
      <c r="D2845" s="106"/>
      <c r="E2845" s="52"/>
    </row>
    <row r="2846" spans="1:5" s="103" customFormat="1" ht="13.2" hidden="1" outlineLevel="1" x14ac:dyDescent="0.25">
      <c r="A2846" s="106" t="s">
        <v>5710</v>
      </c>
      <c r="B2846" s="106" t="s">
        <v>5711</v>
      </c>
      <c r="C2846" s="106"/>
      <c r="D2846" s="106"/>
      <c r="E2846" s="52"/>
    </row>
    <row r="2847" spans="1:5" s="103" customFormat="1" ht="13.2" hidden="1" outlineLevel="1" x14ac:dyDescent="0.25">
      <c r="A2847" s="106" t="s">
        <v>5712</v>
      </c>
      <c r="B2847" s="106" t="s">
        <v>5713</v>
      </c>
      <c r="C2847" s="106"/>
      <c r="D2847" s="106"/>
      <c r="E2847" s="52"/>
    </row>
    <row r="2848" spans="1:5" s="103" customFormat="1" ht="13.2" hidden="1" outlineLevel="1" x14ac:dyDescent="0.25">
      <c r="A2848" s="106" t="s">
        <v>5714</v>
      </c>
      <c r="B2848" s="106" t="s">
        <v>5715</v>
      </c>
      <c r="C2848" s="106"/>
      <c r="D2848" s="106"/>
      <c r="E2848" s="52"/>
    </row>
    <row r="2849" spans="1:5" s="103" customFormat="1" ht="13.2" hidden="1" outlineLevel="1" x14ac:dyDescent="0.25">
      <c r="A2849" s="106" t="s">
        <v>5716</v>
      </c>
      <c r="B2849" s="106" t="s">
        <v>5717</v>
      </c>
      <c r="C2849" s="106"/>
      <c r="D2849" s="106"/>
      <c r="E2849" s="52"/>
    </row>
    <row r="2850" spans="1:5" s="103" customFormat="1" ht="13.2" hidden="1" outlineLevel="1" x14ac:dyDescent="0.25">
      <c r="A2850" s="106" t="s">
        <v>5718</v>
      </c>
      <c r="B2850" s="106" t="s">
        <v>5719</v>
      </c>
      <c r="C2850" s="106"/>
      <c r="D2850" s="106"/>
      <c r="E2850" s="52"/>
    </row>
    <row r="2851" spans="1:5" s="103" customFormat="1" ht="13.2" hidden="1" outlineLevel="1" x14ac:dyDescent="0.25">
      <c r="A2851" s="106" t="s">
        <v>5720</v>
      </c>
      <c r="B2851" s="106" t="s">
        <v>5721</v>
      </c>
      <c r="C2851" s="106"/>
      <c r="D2851" s="106"/>
      <c r="E2851" s="52"/>
    </row>
    <row r="2852" spans="1:5" s="103" customFormat="1" ht="13.2" hidden="1" outlineLevel="1" x14ac:dyDescent="0.25">
      <c r="A2852" s="106" t="s">
        <v>5722</v>
      </c>
      <c r="B2852" s="106" t="s">
        <v>5723</v>
      </c>
      <c r="C2852" s="106"/>
      <c r="D2852" s="106"/>
      <c r="E2852" s="52"/>
    </row>
    <row r="2853" spans="1:5" s="103" customFormat="1" ht="13.2" hidden="1" outlineLevel="1" x14ac:dyDescent="0.25">
      <c r="A2853" s="106" t="s">
        <v>5724</v>
      </c>
      <c r="B2853" s="106" t="s">
        <v>5725</v>
      </c>
      <c r="C2853" s="106"/>
      <c r="D2853" s="106"/>
      <c r="E2853" s="52"/>
    </row>
    <row r="2854" spans="1:5" s="103" customFormat="1" ht="13.2" hidden="1" outlineLevel="1" x14ac:dyDescent="0.25">
      <c r="A2854" s="106" t="s">
        <v>5726</v>
      </c>
      <c r="B2854" s="106" t="s">
        <v>5727</v>
      </c>
      <c r="C2854" s="106"/>
      <c r="D2854" s="106"/>
      <c r="E2854" s="52"/>
    </row>
    <row r="2855" spans="1:5" s="103" customFormat="1" ht="13.2" hidden="1" outlineLevel="1" x14ac:dyDescent="0.25">
      <c r="A2855" s="106" t="s">
        <v>5728</v>
      </c>
      <c r="B2855" s="106" t="s">
        <v>5729</v>
      </c>
      <c r="C2855" s="106"/>
      <c r="D2855" s="106"/>
      <c r="E2855" s="52"/>
    </row>
    <row r="2856" spans="1:5" s="103" customFormat="1" ht="13.2" hidden="1" outlineLevel="1" x14ac:dyDescent="0.25">
      <c r="A2856" s="106" t="s">
        <v>5730</v>
      </c>
      <c r="B2856" s="106" t="s">
        <v>5731</v>
      </c>
      <c r="C2856" s="106"/>
      <c r="D2856" s="106"/>
      <c r="E2856" s="52"/>
    </row>
    <row r="2857" spans="1:5" s="103" customFormat="1" ht="13.2" hidden="1" outlineLevel="1" x14ac:dyDescent="0.25">
      <c r="A2857" s="106" t="s">
        <v>5732</v>
      </c>
      <c r="B2857" s="106" t="s">
        <v>5733</v>
      </c>
      <c r="C2857" s="106"/>
      <c r="D2857" s="106"/>
      <c r="E2857" s="52"/>
    </row>
    <row r="2858" spans="1:5" s="103" customFormat="1" ht="13.2" hidden="1" outlineLevel="1" x14ac:dyDescent="0.25">
      <c r="A2858" s="106" t="s">
        <v>5734</v>
      </c>
      <c r="B2858" s="106" t="s">
        <v>5735</v>
      </c>
      <c r="C2858" s="106"/>
      <c r="D2858" s="106"/>
      <c r="E2858" s="52"/>
    </row>
    <row r="2859" spans="1:5" s="103" customFormat="1" ht="13.2" hidden="1" outlineLevel="1" x14ac:dyDescent="0.25">
      <c r="A2859" s="106" t="s">
        <v>5736</v>
      </c>
      <c r="B2859" s="106" t="s">
        <v>5737</v>
      </c>
      <c r="C2859" s="106"/>
      <c r="D2859" s="106"/>
      <c r="E2859" s="52"/>
    </row>
    <row r="2860" spans="1:5" s="103" customFormat="1" ht="13.2" hidden="1" outlineLevel="1" x14ac:dyDescent="0.25">
      <c r="A2860" s="106" t="s">
        <v>5738</v>
      </c>
      <c r="B2860" s="106" t="s">
        <v>5739</v>
      </c>
      <c r="C2860" s="106"/>
      <c r="D2860" s="106"/>
      <c r="E2860" s="52"/>
    </row>
    <row r="2861" spans="1:5" s="103" customFormat="1" ht="13.2" hidden="1" outlineLevel="1" x14ac:dyDescent="0.25">
      <c r="A2861" s="106" t="s">
        <v>5740</v>
      </c>
      <c r="B2861" s="106" t="s">
        <v>5741</v>
      </c>
      <c r="C2861" s="106"/>
      <c r="D2861" s="106"/>
      <c r="E2861" s="52"/>
    </row>
    <row r="2862" spans="1:5" s="103" customFormat="1" ht="13.2" hidden="1" outlineLevel="1" x14ac:dyDescent="0.25">
      <c r="A2862" s="106" t="s">
        <v>5742</v>
      </c>
      <c r="B2862" s="106" t="s">
        <v>5743</v>
      </c>
      <c r="C2862" s="106"/>
      <c r="D2862" s="106"/>
      <c r="E2862" s="52"/>
    </row>
    <row r="2863" spans="1:5" s="103" customFormat="1" ht="13.2" hidden="1" outlineLevel="1" x14ac:dyDescent="0.25">
      <c r="A2863" s="106" t="s">
        <v>5744</v>
      </c>
      <c r="B2863" s="106" t="s">
        <v>5745</v>
      </c>
      <c r="C2863" s="106"/>
      <c r="D2863" s="106"/>
      <c r="E2863" s="52"/>
    </row>
    <row r="2864" spans="1:5" s="103" customFormat="1" ht="13.2" hidden="1" outlineLevel="1" x14ac:dyDescent="0.25">
      <c r="A2864" s="106" t="s">
        <v>5746</v>
      </c>
      <c r="B2864" s="106" t="s">
        <v>5747</v>
      </c>
      <c r="C2864" s="106"/>
      <c r="D2864" s="106"/>
      <c r="E2864" s="52"/>
    </row>
    <row r="2865" spans="1:5" s="103" customFormat="1" ht="13.2" hidden="1" outlineLevel="1" x14ac:dyDescent="0.25">
      <c r="A2865" s="106" t="s">
        <v>5748</v>
      </c>
      <c r="B2865" s="106" t="s">
        <v>5749</v>
      </c>
      <c r="C2865" s="106"/>
      <c r="D2865" s="106"/>
      <c r="E2865" s="52"/>
    </row>
    <row r="2866" spans="1:5" s="103" customFormat="1" ht="13.2" hidden="1" outlineLevel="1" x14ac:dyDescent="0.25">
      <c r="A2866" s="106" t="s">
        <v>5750</v>
      </c>
      <c r="B2866" s="106" t="s">
        <v>5751</v>
      </c>
      <c r="C2866" s="106"/>
      <c r="D2866" s="106"/>
      <c r="E2866" s="52"/>
    </row>
    <row r="2867" spans="1:5" s="103" customFormat="1" ht="13.2" hidden="1" outlineLevel="1" x14ac:dyDescent="0.25">
      <c r="A2867" s="106" t="s">
        <v>5752</v>
      </c>
      <c r="B2867" s="106" t="s">
        <v>5753</v>
      </c>
      <c r="C2867" s="106"/>
      <c r="D2867" s="106"/>
      <c r="E2867" s="52"/>
    </row>
    <row r="2868" spans="1:5" s="103" customFormat="1" ht="13.2" hidden="1" outlineLevel="1" x14ac:dyDescent="0.25">
      <c r="A2868" s="106" t="s">
        <v>5754</v>
      </c>
      <c r="B2868" s="106" t="s">
        <v>5755</v>
      </c>
      <c r="C2868" s="106"/>
      <c r="D2868" s="106"/>
      <c r="E2868" s="52"/>
    </row>
    <row r="2869" spans="1:5" s="103" customFormat="1" ht="13.2" hidden="1" outlineLevel="1" x14ac:dyDescent="0.25">
      <c r="A2869" s="106" t="s">
        <v>5756</v>
      </c>
      <c r="B2869" s="106" t="s">
        <v>5757</v>
      </c>
      <c r="C2869" s="106"/>
      <c r="D2869" s="106"/>
      <c r="E2869" s="52"/>
    </row>
    <row r="2870" spans="1:5" s="103" customFormat="1" ht="13.2" hidden="1" outlineLevel="1" x14ac:dyDescent="0.25">
      <c r="A2870" s="106" t="s">
        <v>5758</v>
      </c>
      <c r="B2870" s="106" t="s">
        <v>5759</v>
      </c>
      <c r="C2870" s="106"/>
      <c r="D2870" s="106"/>
      <c r="E2870" s="52"/>
    </row>
    <row r="2871" spans="1:5" s="103" customFormat="1" ht="13.2" hidden="1" outlineLevel="1" x14ac:dyDescent="0.25">
      <c r="A2871" s="106" t="s">
        <v>5760</v>
      </c>
      <c r="B2871" s="106" t="s">
        <v>5761</v>
      </c>
      <c r="C2871" s="106"/>
      <c r="D2871" s="106"/>
      <c r="E2871" s="52"/>
    </row>
    <row r="2872" spans="1:5" s="103" customFormat="1" ht="13.2" hidden="1" outlineLevel="1" x14ac:dyDescent="0.25">
      <c r="A2872" s="106" t="s">
        <v>5762</v>
      </c>
      <c r="B2872" s="106" t="s">
        <v>5763</v>
      </c>
      <c r="C2872" s="106"/>
      <c r="D2872" s="106"/>
      <c r="E2872" s="52"/>
    </row>
    <row r="2873" spans="1:5" s="103" customFormat="1" ht="13.2" hidden="1" outlineLevel="1" x14ac:dyDescent="0.25">
      <c r="A2873" s="106" t="s">
        <v>5764</v>
      </c>
      <c r="B2873" s="106" t="s">
        <v>5765</v>
      </c>
      <c r="C2873" s="106"/>
      <c r="D2873" s="106"/>
      <c r="E2873" s="52"/>
    </row>
    <row r="2874" spans="1:5" s="103" customFormat="1" ht="13.2" hidden="1" outlineLevel="1" x14ac:dyDescent="0.25">
      <c r="A2874" s="106" t="s">
        <v>5766</v>
      </c>
      <c r="B2874" s="106" t="s">
        <v>5767</v>
      </c>
      <c r="C2874" s="106"/>
      <c r="D2874" s="106"/>
      <c r="E2874" s="52"/>
    </row>
    <row r="2875" spans="1:5" s="103" customFormat="1" ht="13.2" hidden="1" outlineLevel="1" x14ac:dyDescent="0.25">
      <c r="A2875" s="106" t="s">
        <v>5768</v>
      </c>
      <c r="B2875" s="106" t="s">
        <v>5769</v>
      </c>
      <c r="C2875" s="106"/>
      <c r="D2875" s="106"/>
      <c r="E2875" s="52"/>
    </row>
    <row r="2876" spans="1:5" s="103" customFormat="1" ht="13.2" hidden="1" outlineLevel="1" x14ac:dyDescent="0.25">
      <c r="A2876" s="106" t="s">
        <v>5770</v>
      </c>
      <c r="B2876" s="106" t="s">
        <v>5771</v>
      </c>
      <c r="C2876" s="106"/>
      <c r="D2876" s="106"/>
      <c r="E2876" s="52"/>
    </row>
    <row r="2877" spans="1:5" s="103" customFormat="1" ht="13.2" hidden="1" outlineLevel="1" x14ac:dyDescent="0.25">
      <c r="A2877" s="106" t="s">
        <v>5772</v>
      </c>
      <c r="B2877" s="106" t="s">
        <v>5773</v>
      </c>
      <c r="C2877" s="106"/>
      <c r="D2877" s="106"/>
      <c r="E2877" s="52"/>
    </row>
    <row r="2878" spans="1:5" s="103" customFormat="1" ht="13.2" hidden="1" outlineLevel="1" x14ac:dyDescent="0.25">
      <c r="A2878" s="106" t="s">
        <v>5774</v>
      </c>
      <c r="B2878" s="106" t="s">
        <v>5775</v>
      </c>
      <c r="C2878" s="106"/>
      <c r="D2878" s="106"/>
      <c r="E2878" s="52"/>
    </row>
    <row r="2879" spans="1:5" s="103" customFormat="1" ht="13.2" hidden="1" outlineLevel="1" x14ac:dyDescent="0.25">
      <c r="A2879" s="106" t="s">
        <v>5776</v>
      </c>
      <c r="B2879" s="106" t="s">
        <v>5777</v>
      </c>
      <c r="C2879" s="106"/>
      <c r="D2879" s="106"/>
      <c r="E2879" s="52"/>
    </row>
    <row r="2880" spans="1:5" s="103" customFormat="1" ht="13.2" hidden="1" outlineLevel="1" x14ac:dyDescent="0.25">
      <c r="A2880" s="106" t="s">
        <v>5778</v>
      </c>
      <c r="B2880" s="106" t="s">
        <v>5779</v>
      </c>
      <c r="C2880" s="106"/>
      <c r="D2880" s="106"/>
      <c r="E2880" s="52"/>
    </row>
    <row r="2881" spans="1:5" s="103" customFormat="1" ht="13.2" hidden="1" outlineLevel="1" x14ac:dyDescent="0.25">
      <c r="A2881" s="106" t="s">
        <v>5780</v>
      </c>
      <c r="B2881" s="106" t="s">
        <v>5781</v>
      </c>
      <c r="C2881" s="106"/>
      <c r="D2881" s="106"/>
      <c r="E2881" s="52"/>
    </row>
    <row r="2882" spans="1:5" s="103" customFormat="1" ht="13.2" hidden="1" outlineLevel="1" x14ac:dyDescent="0.25">
      <c r="A2882" s="106" t="s">
        <v>5782</v>
      </c>
      <c r="B2882" s="106" t="s">
        <v>5783</v>
      </c>
      <c r="C2882" s="106"/>
      <c r="D2882" s="106"/>
      <c r="E2882" s="52"/>
    </row>
    <row r="2883" spans="1:5" s="103" customFormat="1" ht="13.2" hidden="1" outlineLevel="1" x14ac:dyDescent="0.25">
      <c r="A2883" s="106" t="s">
        <v>5784</v>
      </c>
      <c r="B2883" s="106" t="s">
        <v>5785</v>
      </c>
      <c r="C2883" s="106"/>
      <c r="D2883" s="106"/>
      <c r="E2883" s="52"/>
    </row>
    <row r="2884" spans="1:5" s="103" customFormat="1" ht="13.2" hidden="1" outlineLevel="1" x14ac:dyDescent="0.25">
      <c r="A2884" s="106" t="s">
        <v>5786</v>
      </c>
      <c r="B2884" s="106" t="s">
        <v>5787</v>
      </c>
      <c r="C2884" s="106"/>
      <c r="D2884" s="106"/>
      <c r="E2884" s="52"/>
    </row>
    <row r="2885" spans="1:5" s="103" customFormat="1" ht="13.2" hidden="1" outlineLevel="1" x14ac:dyDescent="0.25">
      <c r="A2885" s="106" t="s">
        <v>5788</v>
      </c>
      <c r="B2885" s="106" t="s">
        <v>5789</v>
      </c>
      <c r="C2885" s="106"/>
      <c r="D2885" s="106"/>
      <c r="E2885" s="52"/>
    </row>
    <row r="2886" spans="1:5" s="103" customFormat="1" ht="13.2" hidden="1" outlineLevel="1" x14ac:dyDescent="0.25">
      <c r="A2886" s="106" t="s">
        <v>5790</v>
      </c>
      <c r="B2886" s="106" t="s">
        <v>5791</v>
      </c>
      <c r="C2886" s="106"/>
      <c r="D2886" s="106"/>
      <c r="E2886" s="52"/>
    </row>
    <row r="2887" spans="1:5" s="103" customFormat="1" ht="13.2" hidden="1" outlineLevel="1" x14ac:dyDescent="0.25">
      <c r="A2887" s="106" t="s">
        <v>5792</v>
      </c>
      <c r="B2887" s="106" t="s">
        <v>5793</v>
      </c>
      <c r="C2887" s="106"/>
      <c r="D2887" s="106"/>
      <c r="E2887" s="52"/>
    </row>
    <row r="2888" spans="1:5" s="103" customFormat="1" ht="13.2" hidden="1" outlineLevel="1" x14ac:dyDescent="0.25">
      <c r="A2888" s="106" t="s">
        <v>5794</v>
      </c>
      <c r="B2888" s="106" t="s">
        <v>5795</v>
      </c>
      <c r="C2888" s="106"/>
      <c r="D2888" s="106"/>
      <c r="E2888" s="52"/>
    </row>
    <row r="2889" spans="1:5" s="103" customFormat="1" ht="13.2" hidden="1" outlineLevel="1" x14ac:dyDescent="0.25">
      <c r="A2889" s="106" t="s">
        <v>5796</v>
      </c>
      <c r="B2889" s="106" t="s">
        <v>5797</v>
      </c>
      <c r="C2889" s="106"/>
      <c r="D2889" s="106"/>
      <c r="E2889" s="52"/>
    </row>
    <row r="2890" spans="1:5" s="103" customFormat="1" ht="13.2" hidden="1" outlineLevel="1" x14ac:dyDescent="0.25">
      <c r="A2890" s="106" t="s">
        <v>5798</v>
      </c>
      <c r="B2890" s="106" t="s">
        <v>5799</v>
      </c>
      <c r="C2890" s="106"/>
      <c r="D2890" s="106"/>
      <c r="E2890" s="52"/>
    </row>
    <row r="2891" spans="1:5" s="103" customFormat="1" ht="13.2" hidden="1" outlineLevel="1" x14ac:dyDescent="0.25">
      <c r="A2891" s="106" t="s">
        <v>5800</v>
      </c>
      <c r="B2891" s="106" t="s">
        <v>5801</v>
      </c>
      <c r="C2891" s="106"/>
      <c r="D2891" s="106"/>
      <c r="E2891" s="52"/>
    </row>
    <row r="2892" spans="1:5" s="103" customFormat="1" ht="13.2" hidden="1" outlineLevel="1" x14ac:dyDescent="0.25">
      <c r="A2892" s="106" t="s">
        <v>5802</v>
      </c>
      <c r="B2892" s="106" t="s">
        <v>5803</v>
      </c>
      <c r="C2892" s="106"/>
      <c r="D2892" s="106"/>
      <c r="E2892" s="52"/>
    </row>
    <row r="2893" spans="1:5" s="103" customFormat="1" ht="13.2" hidden="1" outlineLevel="1" x14ac:dyDescent="0.25">
      <c r="A2893" s="106" t="s">
        <v>5804</v>
      </c>
      <c r="B2893" s="106" t="s">
        <v>5805</v>
      </c>
      <c r="C2893" s="106"/>
      <c r="D2893" s="106"/>
      <c r="E2893" s="52"/>
    </row>
    <row r="2894" spans="1:5" s="103" customFormat="1" ht="13.2" hidden="1" outlineLevel="1" x14ac:dyDescent="0.25">
      <c r="A2894" s="106" t="s">
        <v>5806</v>
      </c>
      <c r="B2894" s="106" t="s">
        <v>5807</v>
      </c>
      <c r="C2894" s="106"/>
      <c r="D2894" s="106"/>
      <c r="E2894" s="52"/>
    </row>
    <row r="2895" spans="1:5" s="103" customFormat="1" ht="13.2" hidden="1" outlineLevel="1" x14ac:dyDescent="0.25">
      <c r="A2895" s="106" t="s">
        <v>5808</v>
      </c>
      <c r="B2895" s="106" t="s">
        <v>5809</v>
      </c>
      <c r="C2895" s="106"/>
      <c r="D2895" s="106"/>
      <c r="E2895" s="52"/>
    </row>
    <row r="2896" spans="1:5" s="103" customFormat="1" ht="13.2" hidden="1" outlineLevel="1" x14ac:dyDescent="0.25">
      <c r="A2896" s="106" t="s">
        <v>5810</v>
      </c>
      <c r="B2896" s="106" t="s">
        <v>5811</v>
      </c>
      <c r="C2896" s="106"/>
      <c r="D2896" s="106"/>
      <c r="E2896" s="52"/>
    </row>
    <row r="2897" spans="1:5" s="103" customFormat="1" ht="13.2" hidden="1" outlineLevel="1" x14ac:dyDescent="0.25">
      <c r="A2897" s="106" t="s">
        <v>5812</v>
      </c>
      <c r="B2897" s="106" t="s">
        <v>5813</v>
      </c>
      <c r="C2897" s="106"/>
      <c r="D2897" s="106"/>
      <c r="E2897" s="52"/>
    </row>
    <row r="2898" spans="1:5" s="103" customFormat="1" ht="13.2" hidden="1" outlineLevel="1" x14ac:dyDescent="0.25">
      <c r="A2898" s="106" t="s">
        <v>5814</v>
      </c>
      <c r="B2898" s="106" t="s">
        <v>5815</v>
      </c>
      <c r="C2898" s="106"/>
      <c r="D2898" s="106"/>
      <c r="E2898" s="52"/>
    </row>
    <row r="2899" spans="1:5" s="103" customFormat="1" ht="13.2" hidden="1" outlineLevel="1" x14ac:dyDescent="0.25">
      <c r="A2899" s="106" t="s">
        <v>5816</v>
      </c>
      <c r="B2899" s="106" t="s">
        <v>5817</v>
      </c>
      <c r="C2899" s="106"/>
      <c r="D2899" s="106"/>
      <c r="E2899" s="52"/>
    </row>
    <row r="2900" spans="1:5" s="103" customFormat="1" ht="13.2" hidden="1" outlineLevel="1" x14ac:dyDescent="0.25">
      <c r="A2900" s="106" t="s">
        <v>5818</v>
      </c>
      <c r="B2900" s="106" t="s">
        <v>5819</v>
      </c>
      <c r="C2900" s="106"/>
      <c r="D2900" s="106"/>
      <c r="E2900" s="52"/>
    </row>
    <row r="2901" spans="1:5" s="103" customFormat="1" ht="13.2" hidden="1" outlineLevel="1" x14ac:dyDescent="0.25">
      <c r="A2901" s="106" t="s">
        <v>5820</v>
      </c>
      <c r="B2901" s="106" t="s">
        <v>5821</v>
      </c>
      <c r="C2901" s="106"/>
      <c r="D2901" s="106"/>
      <c r="E2901" s="52"/>
    </row>
    <row r="2902" spans="1:5" s="103" customFormat="1" ht="13.2" hidden="1" outlineLevel="1" x14ac:dyDescent="0.25">
      <c r="A2902" s="106" t="s">
        <v>5822</v>
      </c>
      <c r="B2902" s="106" t="s">
        <v>5823</v>
      </c>
      <c r="C2902" s="106"/>
      <c r="D2902" s="106"/>
      <c r="E2902" s="52"/>
    </row>
    <row r="2903" spans="1:5" s="103" customFormat="1" ht="13.2" hidden="1" outlineLevel="1" x14ac:dyDescent="0.25">
      <c r="A2903" s="106" t="s">
        <v>5824</v>
      </c>
      <c r="B2903" s="106" t="s">
        <v>5825</v>
      </c>
      <c r="C2903" s="106"/>
      <c r="D2903" s="106"/>
      <c r="E2903" s="52"/>
    </row>
    <row r="2904" spans="1:5" s="103" customFormat="1" ht="13.2" hidden="1" outlineLevel="1" x14ac:dyDescent="0.25">
      <c r="A2904" s="106" t="s">
        <v>5826</v>
      </c>
      <c r="B2904" s="106" t="s">
        <v>5827</v>
      </c>
      <c r="C2904" s="106"/>
      <c r="D2904" s="106"/>
      <c r="E2904" s="52"/>
    </row>
    <row r="2905" spans="1:5" s="103" customFormat="1" ht="13.2" hidden="1" outlineLevel="1" x14ac:dyDescent="0.25">
      <c r="A2905" s="106" t="s">
        <v>5828</v>
      </c>
      <c r="B2905" s="106" t="s">
        <v>5829</v>
      </c>
      <c r="C2905" s="106"/>
      <c r="D2905" s="106"/>
      <c r="E2905" s="52"/>
    </row>
    <row r="2906" spans="1:5" s="103" customFormat="1" ht="13.2" hidden="1" outlineLevel="1" x14ac:dyDescent="0.25">
      <c r="A2906" s="106" t="s">
        <v>5830</v>
      </c>
      <c r="B2906" s="106" t="s">
        <v>5831</v>
      </c>
      <c r="C2906" s="106"/>
      <c r="D2906" s="106"/>
      <c r="E2906" s="52"/>
    </row>
    <row r="2907" spans="1:5" s="103" customFormat="1" ht="13.2" hidden="1" outlineLevel="1" x14ac:dyDescent="0.25">
      <c r="A2907" s="106" t="s">
        <v>5832</v>
      </c>
      <c r="B2907" s="106" t="s">
        <v>5833</v>
      </c>
      <c r="C2907" s="106"/>
      <c r="D2907" s="106"/>
      <c r="E2907" s="52"/>
    </row>
    <row r="2908" spans="1:5" s="103" customFormat="1" ht="13.2" hidden="1" outlineLevel="1" x14ac:dyDescent="0.25">
      <c r="A2908" s="106" t="s">
        <v>5834</v>
      </c>
      <c r="B2908" s="106" t="s">
        <v>5835</v>
      </c>
      <c r="C2908" s="106"/>
      <c r="D2908" s="106"/>
      <c r="E2908" s="52"/>
    </row>
    <row r="2909" spans="1:5" s="103" customFormat="1" ht="13.2" hidden="1" outlineLevel="1" x14ac:dyDescent="0.25">
      <c r="A2909" s="106" t="s">
        <v>5836</v>
      </c>
      <c r="B2909" s="106" t="s">
        <v>5837</v>
      </c>
      <c r="C2909" s="106"/>
      <c r="D2909" s="106"/>
      <c r="E2909" s="52"/>
    </row>
    <row r="2910" spans="1:5" s="103" customFormat="1" ht="13.2" hidden="1" outlineLevel="1" x14ac:dyDescent="0.25">
      <c r="A2910" s="106" t="s">
        <v>5838</v>
      </c>
      <c r="B2910" s="106" t="s">
        <v>5839</v>
      </c>
      <c r="C2910" s="106"/>
      <c r="D2910" s="106"/>
      <c r="E2910" s="52"/>
    </row>
    <row r="2911" spans="1:5" s="103" customFormat="1" ht="13.2" hidden="1" outlineLevel="1" x14ac:dyDescent="0.25">
      <c r="A2911" s="106" t="s">
        <v>5840</v>
      </c>
      <c r="B2911" s="106" t="s">
        <v>5841</v>
      </c>
      <c r="C2911" s="106"/>
      <c r="D2911" s="106"/>
      <c r="E2911" s="52"/>
    </row>
    <row r="2912" spans="1:5" s="103" customFormat="1" ht="13.2" hidden="1" outlineLevel="1" x14ac:dyDescent="0.25">
      <c r="A2912" s="106" t="s">
        <v>5842</v>
      </c>
      <c r="B2912" s="106" t="s">
        <v>5843</v>
      </c>
      <c r="C2912" s="106"/>
      <c r="D2912" s="106"/>
      <c r="E2912" s="52"/>
    </row>
    <row r="2913" spans="1:5" s="103" customFormat="1" ht="13.2" hidden="1" outlineLevel="1" x14ac:dyDescent="0.25">
      <c r="A2913" s="106" t="s">
        <v>5844</v>
      </c>
      <c r="B2913" s="106" t="s">
        <v>5845</v>
      </c>
      <c r="C2913" s="106"/>
      <c r="D2913" s="106"/>
      <c r="E2913" s="52"/>
    </row>
    <row r="2914" spans="1:5" s="103" customFormat="1" ht="13.2" hidden="1" outlineLevel="1" x14ac:dyDescent="0.25">
      <c r="A2914" s="106" t="s">
        <v>5846</v>
      </c>
      <c r="B2914" s="106" t="s">
        <v>5847</v>
      </c>
      <c r="C2914" s="106"/>
      <c r="D2914" s="106"/>
      <c r="E2914" s="52"/>
    </row>
    <row r="2915" spans="1:5" s="103" customFormat="1" ht="13.2" hidden="1" outlineLevel="1" x14ac:dyDescent="0.25">
      <c r="A2915" s="106" t="s">
        <v>5848</v>
      </c>
      <c r="B2915" s="106" t="s">
        <v>5849</v>
      </c>
      <c r="C2915" s="106"/>
      <c r="D2915" s="106"/>
      <c r="E2915" s="52"/>
    </row>
    <row r="2916" spans="1:5" s="103" customFormat="1" ht="13.2" hidden="1" outlineLevel="1" x14ac:dyDescent="0.25">
      <c r="A2916" s="106" t="s">
        <v>5850</v>
      </c>
      <c r="B2916" s="106" t="s">
        <v>5851</v>
      </c>
      <c r="C2916" s="106"/>
      <c r="D2916" s="106"/>
      <c r="E2916" s="52"/>
    </row>
    <row r="2917" spans="1:5" s="103" customFormat="1" ht="13.2" hidden="1" outlineLevel="1" x14ac:dyDescent="0.25">
      <c r="A2917" s="106" t="s">
        <v>5852</v>
      </c>
      <c r="B2917" s="106" t="s">
        <v>5853</v>
      </c>
      <c r="C2917" s="106"/>
      <c r="D2917" s="106"/>
      <c r="E2917" s="52"/>
    </row>
    <row r="2918" spans="1:5" s="103" customFormat="1" ht="13.2" hidden="1" outlineLevel="1" x14ac:dyDescent="0.25">
      <c r="A2918" s="106" t="s">
        <v>5854</v>
      </c>
      <c r="B2918" s="106" t="s">
        <v>5855</v>
      </c>
      <c r="C2918" s="106"/>
      <c r="D2918" s="106"/>
      <c r="E2918" s="52"/>
    </row>
    <row r="2919" spans="1:5" s="103" customFormat="1" ht="13.2" hidden="1" outlineLevel="1" x14ac:dyDescent="0.25">
      <c r="A2919" s="106" t="s">
        <v>5856</v>
      </c>
      <c r="B2919" s="106" t="s">
        <v>5857</v>
      </c>
      <c r="C2919" s="106"/>
      <c r="D2919" s="106"/>
      <c r="E2919" s="52"/>
    </row>
    <row r="2920" spans="1:5" s="103" customFormat="1" ht="13.2" hidden="1" outlineLevel="1" x14ac:dyDescent="0.25">
      <c r="A2920" s="106" t="s">
        <v>5858</v>
      </c>
      <c r="B2920" s="106" t="s">
        <v>5859</v>
      </c>
      <c r="C2920" s="106"/>
      <c r="D2920" s="106"/>
      <c r="E2920" s="52"/>
    </row>
    <row r="2921" spans="1:5" s="103" customFormat="1" ht="13.2" hidden="1" outlineLevel="1" x14ac:dyDescent="0.25">
      <c r="A2921" s="106" t="s">
        <v>5860</v>
      </c>
      <c r="B2921" s="106" t="s">
        <v>5861</v>
      </c>
      <c r="C2921" s="106"/>
      <c r="D2921" s="106"/>
      <c r="E2921" s="52"/>
    </row>
    <row r="2922" spans="1:5" s="103" customFormat="1" ht="13.2" hidden="1" outlineLevel="1" x14ac:dyDescent="0.25">
      <c r="A2922" s="106" t="s">
        <v>5862</v>
      </c>
      <c r="B2922" s="106" t="s">
        <v>5863</v>
      </c>
      <c r="C2922" s="106"/>
      <c r="D2922" s="106"/>
      <c r="E2922" s="52"/>
    </row>
    <row r="2923" spans="1:5" s="103" customFormat="1" ht="13.2" hidden="1" outlineLevel="1" x14ac:dyDescent="0.25">
      <c r="A2923" s="106" t="s">
        <v>5864</v>
      </c>
      <c r="B2923" s="106" t="s">
        <v>5865</v>
      </c>
      <c r="C2923" s="106"/>
      <c r="D2923" s="106"/>
      <c r="E2923" s="52"/>
    </row>
    <row r="2924" spans="1:5" s="103" customFormat="1" ht="13.2" hidden="1" outlineLevel="1" x14ac:dyDescent="0.25">
      <c r="A2924" s="106" t="s">
        <v>5866</v>
      </c>
      <c r="B2924" s="106" t="s">
        <v>5867</v>
      </c>
      <c r="C2924" s="106"/>
      <c r="D2924" s="106"/>
      <c r="E2924" s="52"/>
    </row>
    <row r="2925" spans="1:5" s="103" customFormat="1" ht="13.2" hidden="1" outlineLevel="1" x14ac:dyDescent="0.25">
      <c r="A2925" s="106" t="s">
        <v>5868</v>
      </c>
      <c r="B2925" s="106" t="s">
        <v>5869</v>
      </c>
      <c r="C2925" s="106"/>
      <c r="D2925" s="106"/>
      <c r="E2925" s="52"/>
    </row>
    <row r="2926" spans="1:5" s="103" customFormat="1" ht="13.2" hidden="1" outlineLevel="1" x14ac:dyDescent="0.25">
      <c r="A2926" s="106" t="s">
        <v>5870</v>
      </c>
      <c r="B2926" s="106" t="s">
        <v>5871</v>
      </c>
      <c r="C2926" s="106"/>
      <c r="D2926" s="106"/>
      <c r="E2926" s="52"/>
    </row>
    <row r="2927" spans="1:5" s="103" customFormat="1" ht="13.2" hidden="1" outlineLevel="1" x14ac:dyDescent="0.25">
      <c r="A2927" s="106" t="s">
        <v>5872</v>
      </c>
      <c r="B2927" s="106" t="s">
        <v>5873</v>
      </c>
      <c r="C2927" s="106"/>
      <c r="D2927" s="106"/>
      <c r="E2927" s="52"/>
    </row>
    <row r="2928" spans="1:5" s="103" customFormat="1" ht="13.2" hidden="1" outlineLevel="1" x14ac:dyDescent="0.25">
      <c r="A2928" s="106" t="s">
        <v>5874</v>
      </c>
      <c r="B2928" s="106" t="s">
        <v>5875</v>
      </c>
      <c r="C2928" s="106"/>
      <c r="D2928" s="106"/>
      <c r="E2928" s="52"/>
    </row>
    <row r="2929" spans="1:5" s="103" customFormat="1" ht="13.2" hidden="1" outlineLevel="1" x14ac:dyDescent="0.25">
      <c r="A2929" s="106" t="s">
        <v>5876</v>
      </c>
      <c r="B2929" s="106" t="s">
        <v>5877</v>
      </c>
      <c r="C2929" s="106"/>
      <c r="D2929" s="106"/>
      <c r="E2929" s="52"/>
    </row>
    <row r="2930" spans="1:5" s="103" customFormat="1" ht="13.2" hidden="1" outlineLevel="1" x14ac:dyDescent="0.25">
      <c r="A2930" s="106" t="s">
        <v>5878</v>
      </c>
      <c r="B2930" s="106" t="s">
        <v>5879</v>
      </c>
      <c r="C2930" s="106"/>
      <c r="D2930" s="106"/>
      <c r="E2930" s="52"/>
    </row>
    <row r="2931" spans="1:5" s="103" customFormat="1" ht="13.2" hidden="1" outlineLevel="1" x14ac:dyDescent="0.25">
      <c r="A2931" s="106" t="s">
        <v>5880</v>
      </c>
      <c r="B2931" s="106" t="s">
        <v>5881</v>
      </c>
      <c r="C2931" s="106"/>
      <c r="D2931" s="106"/>
      <c r="E2931" s="52"/>
    </row>
    <row r="2932" spans="1:5" s="103" customFormat="1" ht="13.2" hidden="1" outlineLevel="1" x14ac:dyDescent="0.25">
      <c r="A2932" s="106" t="s">
        <v>5882</v>
      </c>
      <c r="B2932" s="106" t="s">
        <v>5883</v>
      </c>
      <c r="C2932" s="106"/>
      <c r="D2932" s="106"/>
      <c r="E2932" s="52"/>
    </row>
    <row r="2933" spans="1:5" s="103" customFormat="1" ht="13.2" hidden="1" outlineLevel="1" x14ac:dyDescent="0.25">
      <c r="A2933" s="106" t="s">
        <v>5884</v>
      </c>
      <c r="B2933" s="106" t="s">
        <v>5885</v>
      </c>
      <c r="C2933" s="106"/>
      <c r="D2933" s="106"/>
      <c r="E2933" s="52"/>
    </row>
    <row r="2934" spans="1:5" s="103" customFormat="1" ht="13.2" hidden="1" outlineLevel="1" x14ac:dyDescent="0.25">
      <c r="A2934" s="106" t="s">
        <v>5886</v>
      </c>
      <c r="B2934" s="106" t="s">
        <v>5887</v>
      </c>
      <c r="C2934" s="106"/>
      <c r="D2934" s="106"/>
      <c r="E2934" s="52"/>
    </row>
    <row r="2935" spans="1:5" s="103" customFormat="1" ht="13.2" hidden="1" outlineLevel="1" x14ac:dyDescent="0.25">
      <c r="A2935" s="106" t="s">
        <v>5888</v>
      </c>
      <c r="B2935" s="106" t="s">
        <v>5889</v>
      </c>
      <c r="C2935" s="106"/>
      <c r="D2935" s="106"/>
      <c r="E2935" s="52"/>
    </row>
    <row r="2936" spans="1:5" s="103" customFormat="1" ht="13.2" hidden="1" outlineLevel="1" x14ac:dyDescent="0.25">
      <c r="A2936" s="106" t="s">
        <v>5890</v>
      </c>
      <c r="B2936" s="106" t="s">
        <v>5891</v>
      </c>
      <c r="C2936" s="106"/>
      <c r="D2936" s="106"/>
      <c r="E2936" s="52"/>
    </row>
    <row r="2937" spans="1:5" s="103" customFormat="1" ht="13.2" hidden="1" outlineLevel="1" x14ac:dyDescent="0.25">
      <c r="A2937" s="106" t="s">
        <v>5892</v>
      </c>
      <c r="B2937" s="106" t="s">
        <v>5893</v>
      </c>
      <c r="C2937" s="106"/>
      <c r="D2937" s="106"/>
      <c r="E2937" s="52"/>
    </row>
    <row r="2938" spans="1:5" s="103" customFormat="1" ht="13.2" hidden="1" outlineLevel="1" x14ac:dyDescent="0.25">
      <c r="A2938" s="106" t="s">
        <v>5894</v>
      </c>
      <c r="B2938" s="106" t="s">
        <v>5895</v>
      </c>
      <c r="C2938" s="106"/>
      <c r="D2938" s="106"/>
      <c r="E2938" s="52"/>
    </row>
    <row r="2939" spans="1:5" s="103" customFormat="1" ht="13.2" hidden="1" outlineLevel="1" x14ac:dyDescent="0.25">
      <c r="A2939" s="106" t="s">
        <v>5896</v>
      </c>
      <c r="B2939" s="106" t="s">
        <v>5897</v>
      </c>
      <c r="C2939" s="106"/>
      <c r="D2939" s="106"/>
      <c r="E2939" s="52"/>
    </row>
    <row r="2940" spans="1:5" s="103" customFormat="1" ht="13.2" hidden="1" outlineLevel="1" x14ac:dyDescent="0.25">
      <c r="A2940" s="106" t="s">
        <v>5898</v>
      </c>
      <c r="B2940" s="106" t="s">
        <v>5899</v>
      </c>
      <c r="C2940" s="106"/>
      <c r="D2940" s="106"/>
      <c r="E2940" s="52"/>
    </row>
    <row r="2941" spans="1:5" s="103" customFormat="1" ht="13.2" hidden="1" outlineLevel="1" x14ac:dyDescent="0.25">
      <c r="A2941" s="106" t="s">
        <v>5900</v>
      </c>
      <c r="B2941" s="106" t="s">
        <v>5901</v>
      </c>
      <c r="C2941" s="106"/>
      <c r="D2941" s="106"/>
      <c r="E2941" s="52"/>
    </row>
    <row r="2942" spans="1:5" s="103" customFormat="1" ht="13.2" hidden="1" outlineLevel="1" x14ac:dyDescent="0.25">
      <c r="A2942" s="106" t="s">
        <v>5902</v>
      </c>
      <c r="B2942" s="106" t="s">
        <v>5903</v>
      </c>
      <c r="C2942" s="106"/>
      <c r="D2942" s="106"/>
      <c r="E2942" s="52"/>
    </row>
    <row r="2943" spans="1:5" s="103" customFormat="1" ht="13.2" hidden="1" outlineLevel="1" x14ac:dyDescent="0.25">
      <c r="A2943" s="106" t="s">
        <v>5904</v>
      </c>
      <c r="B2943" s="106" t="s">
        <v>5905</v>
      </c>
      <c r="C2943" s="106"/>
      <c r="D2943" s="106"/>
      <c r="E2943" s="52"/>
    </row>
    <row r="2944" spans="1:5" s="103" customFormat="1" ht="13.2" hidden="1" outlineLevel="1" x14ac:dyDescent="0.25">
      <c r="A2944" s="106" t="s">
        <v>5906</v>
      </c>
      <c r="B2944" s="106" t="s">
        <v>5907</v>
      </c>
      <c r="C2944" s="106"/>
      <c r="D2944" s="106"/>
      <c r="E2944" s="52"/>
    </row>
    <row r="2945" spans="1:5" s="103" customFormat="1" ht="13.2" hidden="1" outlineLevel="1" x14ac:dyDescent="0.25">
      <c r="A2945" s="106" t="s">
        <v>5908</v>
      </c>
      <c r="B2945" s="106" t="s">
        <v>5909</v>
      </c>
      <c r="C2945" s="106"/>
      <c r="D2945" s="106"/>
      <c r="E2945" s="52"/>
    </row>
    <row r="2946" spans="1:5" s="103" customFormat="1" ht="13.2" hidden="1" outlineLevel="1" x14ac:dyDescent="0.25">
      <c r="A2946" s="106" t="s">
        <v>5910</v>
      </c>
      <c r="B2946" s="106" t="s">
        <v>5911</v>
      </c>
      <c r="C2946" s="106"/>
      <c r="D2946" s="106"/>
      <c r="E2946" s="52"/>
    </row>
    <row r="2947" spans="1:5" s="103" customFormat="1" ht="13.2" hidden="1" outlineLevel="1" x14ac:dyDescent="0.25">
      <c r="A2947" s="106" t="s">
        <v>5912</v>
      </c>
      <c r="B2947" s="106" t="s">
        <v>5913</v>
      </c>
      <c r="C2947" s="106"/>
      <c r="D2947" s="106"/>
      <c r="E2947" s="52"/>
    </row>
    <row r="2948" spans="1:5" s="103" customFormat="1" ht="13.2" hidden="1" outlineLevel="1" x14ac:dyDescent="0.25">
      <c r="A2948" s="106" t="s">
        <v>5914</v>
      </c>
      <c r="B2948" s="106" t="s">
        <v>5915</v>
      </c>
      <c r="C2948" s="106"/>
      <c r="D2948" s="106"/>
      <c r="E2948" s="52"/>
    </row>
    <row r="2949" spans="1:5" s="103" customFormat="1" ht="13.2" hidden="1" outlineLevel="1" x14ac:dyDescent="0.25">
      <c r="A2949" s="106" t="s">
        <v>5916</v>
      </c>
      <c r="B2949" s="106" t="s">
        <v>5917</v>
      </c>
      <c r="C2949" s="106"/>
      <c r="D2949" s="106"/>
      <c r="E2949" s="52"/>
    </row>
    <row r="2950" spans="1:5" s="103" customFormat="1" ht="13.2" hidden="1" outlineLevel="1" x14ac:dyDescent="0.25">
      <c r="A2950" s="106" t="s">
        <v>5918</v>
      </c>
      <c r="B2950" s="106" t="s">
        <v>5919</v>
      </c>
      <c r="C2950" s="106"/>
      <c r="D2950" s="106"/>
      <c r="E2950" s="52"/>
    </row>
    <row r="2951" spans="1:5" s="103" customFormat="1" ht="13.2" hidden="1" outlineLevel="1" x14ac:dyDescent="0.25">
      <c r="A2951" s="106" t="s">
        <v>5920</v>
      </c>
      <c r="B2951" s="106" t="s">
        <v>5921</v>
      </c>
      <c r="C2951" s="106"/>
      <c r="D2951" s="106"/>
      <c r="E2951" s="52"/>
    </row>
    <row r="2952" spans="1:5" s="103" customFormat="1" ht="13.2" hidden="1" outlineLevel="1" x14ac:dyDescent="0.25">
      <c r="A2952" s="106" t="s">
        <v>5922</v>
      </c>
      <c r="B2952" s="106" t="s">
        <v>5923</v>
      </c>
      <c r="C2952" s="106"/>
      <c r="D2952" s="106"/>
      <c r="E2952" s="52"/>
    </row>
    <row r="2953" spans="1:5" s="103" customFormat="1" ht="13.2" hidden="1" outlineLevel="1" x14ac:dyDescent="0.25">
      <c r="A2953" s="106" t="s">
        <v>5924</v>
      </c>
      <c r="B2953" s="106" t="s">
        <v>5925</v>
      </c>
      <c r="C2953" s="106"/>
      <c r="D2953" s="106"/>
      <c r="E2953" s="52"/>
    </row>
    <row r="2954" spans="1:5" s="103" customFormat="1" ht="13.2" hidden="1" outlineLevel="1" x14ac:dyDescent="0.25">
      <c r="A2954" s="106" t="s">
        <v>5926</v>
      </c>
      <c r="B2954" s="106" t="s">
        <v>5927</v>
      </c>
      <c r="C2954" s="106"/>
      <c r="D2954" s="106"/>
      <c r="E2954" s="52"/>
    </row>
    <row r="2955" spans="1:5" s="103" customFormat="1" ht="13.2" hidden="1" outlineLevel="1" x14ac:dyDescent="0.25">
      <c r="A2955" s="106" t="s">
        <v>5928</v>
      </c>
      <c r="B2955" s="106" t="s">
        <v>5929</v>
      </c>
      <c r="C2955" s="106"/>
      <c r="D2955" s="106"/>
      <c r="E2955" s="52"/>
    </row>
    <row r="2956" spans="1:5" s="103" customFormat="1" ht="13.2" hidden="1" outlineLevel="1" x14ac:dyDescent="0.25">
      <c r="A2956" s="106" t="s">
        <v>5930</v>
      </c>
      <c r="B2956" s="106" t="s">
        <v>5931</v>
      </c>
      <c r="C2956" s="106"/>
      <c r="D2956" s="106"/>
      <c r="E2956" s="52"/>
    </row>
    <row r="2957" spans="1:5" s="103" customFormat="1" ht="13.2" hidden="1" outlineLevel="1" x14ac:dyDescent="0.25">
      <c r="A2957" s="106" t="s">
        <v>5932</v>
      </c>
      <c r="B2957" s="106" t="s">
        <v>5933</v>
      </c>
      <c r="C2957" s="106"/>
      <c r="D2957" s="106"/>
      <c r="E2957" s="52"/>
    </row>
    <row r="2958" spans="1:5" s="103" customFormat="1" ht="13.2" hidden="1" outlineLevel="1" x14ac:dyDescent="0.25">
      <c r="A2958" s="106" t="s">
        <v>5934</v>
      </c>
      <c r="B2958" s="106" t="s">
        <v>5935</v>
      </c>
      <c r="C2958" s="106"/>
      <c r="D2958" s="106"/>
      <c r="E2958" s="52"/>
    </row>
    <row r="2959" spans="1:5" s="103" customFormat="1" ht="13.2" hidden="1" outlineLevel="1" x14ac:dyDescent="0.25">
      <c r="A2959" s="106" t="s">
        <v>5936</v>
      </c>
      <c r="B2959" s="106" t="s">
        <v>5937</v>
      </c>
      <c r="C2959" s="106"/>
      <c r="D2959" s="106"/>
      <c r="E2959" s="52"/>
    </row>
    <row r="2960" spans="1:5" s="103" customFormat="1" ht="13.2" hidden="1" outlineLevel="1" x14ac:dyDescent="0.25">
      <c r="A2960" s="106" t="s">
        <v>5938</v>
      </c>
      <c r="B2960" s="106" t="s">
        <v>5939</v>
      </c>
      <c r="C2960" s="106"/>
      <c r="D2960" s="106"/>
      <c r="E2960" s="52"/>
    </row>
    <row r="2961" spans="1:5" s="103" customFormat="1" ht="13.2" hidden="1" outlineLevel="1" x14ac:dyDescent="0.25">
      <c r="A2961" s="106" t="s">
        <v>5940</v>
      </c>
      <c r="B2961" s="106" t="s">
        <v>5941</v>
      </c>
      <c r="C2961" s="106"/>
      <c r="D2961" s="106"/>
      <c r="E2961" s="52"/>
    </row>
    <row r="2962" spans="1:5" s="103" customFormat="1" ht="13.2" hidden="1" outlineLevel="1" x14ac:dyDescent="0.25">
      <c r="A2962" s="106" t="s">
        <v>5942</v>
      </c>
      <c r="B2962" s="106" t="s">
        <v>5943</v>
      </c>
      <c r="C2962" s="106"/>
      <c r="D2962" s="106"/>
      <c r="E2962" s="52"/>
    </row>
    <row r="2963" spans="1:5" s="103" customFormat="1" ht="13.2" hidden="1" outlineLevel="1" x14ac:dyDescent="0.25">
      <c r="A2963" s="106" t="s">
        <v>5944</v>
      </c>
      <c r="B2963" s="106" t="s">
        <v>5945</v>
      </c>
      <c r="C2963" s="106"/>
      <c r="D2963" s="106"/>
      <c r="E2963" s="52"/>
    </row>
    <row r="2964" spans="1:5" s="103" customFormat="1" ht="13.2" hidden="1" outlineLevel="1" x14ac:dyDescent="0.25">
      <c r="A2964" s="106" t="s">
        <v>5946</v>
      </c>
      <c r="B2964" s="106" t="s">
        <v>5947</v>
      </c>
      <c r="C2964" s="106"/>
      <c r="D2964" s="106"/>
      <c r="E2964" s="52"/>
    </row>
    <row r="2965" spans="1:5" s="103" customFormat="1" ht="13.2" hidden="1" outlineLevel="1" x14ac:dyDescent="0.25">
      <c r="A2965" s="106" t="s">
        <v>5948</v>
      </c>
      <c r="B2965" s="106" t="s">
        <v>5949</v>
      </c>
      <c r="C2965" s="106"/>
      <c r="D2965" s="106"/>
      <c r="E2965" s="52"/>
    </row>
    <row r="2966" spans="1:5" s="103" customFormat="1" ht="13.2" hidden="1" outlineLevel="1" x14ac:dyDescent="0.25">
      <c r="A2966" s="106" t="s">
        <v>5950</v>
      </c>
      <c r="B2966" s="106" t="s">
        <v>5951</v>
      </c>
      <c r="C2966" s="106"/>
      <c r="D2966" s="106"/>
      <c r="E2966" s="52"/>
    </row>
    <row r="2967" spans="1:5" s="103" customFormat="1" ht="13.2" hidden="1" outlineLevel="1" x14ac:dyDescent="0.25">
      <c r="A2967" s="106" t="s">
        <v>5952</v>
      </c>
      <c r="B2967" s="106" t="s">
        <v>5953</v>
      </c>
      <c r="C2967" s="106"/>
      <c r="D2967" s="106"/>
      <c r="E2967" s="52"/>
    </row>
    <row r="2968" spans="1:5" s="103" customFormat="1" ht="13.2" hidden="1" outlineLevel="1" x14ac:dyDescent="0.25">
      <c r="A2968" s="106" t="s">
        <v>5954</v>
      </c>
      <c r="B2968" s="106" t="s">
        <v>5955</v>
      </c>
      <c r="C2968" s="106"/>
      <c r="D2968" s="106"/>
      <c r="E2968" s="52"/>
    </row>
    <row r="2969" spans="1:5" s="103" customFormat="1" ht="13.2" hidden="1" outlineLevel="1" x14ac:dyDescent="0.25">
      <c r="A2969" s="106" t="s">
        <v>5956</v>
      </c>
      <c r="B2969" s="106" t="s">
        <v>5957</v>
      </c>
      <c r="C2969" s="106"/>
      <c r="D2969" s="106"/>
      <c r="E2969" s="52"/>
    </row>
    <row r="2970" spans="1:5" s="103" customFormat="1" ht="13.2" hidden="1" outlineLevel="1" x14ac:dyDescent="0.25">
      <c r="A2970" s="106" t="s">
        <v>5958</v>
      </c>
      <c r="B2970" s="106" t="s">
        <v>5959</v>
      </c>
      <c r="C2970" s="106"/>
      <c r="D2970" s="106"/>
      <c r="E2970" s="52"/>
    </row>
    <row r="2971" spans="1:5" s="103" customFormat="1" ht="13.2" hidden="1" outlineLevel="1" x14ac:dyDescent="0.25">
      <c r="A2971" s="106" t="s">
        <v>5960</v>
      </c>
      <c r="B2971" s="106" t="s">
        <v>5961</v>
      </c>
      <c r="C2971" s="106"/>
      <c r="D2971" s="106"/>
      <c r="E2971" s="52"/>
    </row>
    <row r="2972" spans="1:5" s="103" customFormat="1" ht="13.2" hidden="1" outlineLevel="1" x14ac:dyDescent="0.25">
      <c r="A2972" s="106" t="s">
        <v>5962</v>
      </c>
      <c r="B2972" s="106" t="s">
        <v>5963</v>
      </c>
      <c r="C2972" s="106"/>
      <c r="D2972" s="106"/>
      <c r="E2972" s="52"/>
    </row>
    <row r="2973" spans="1:5" s="103" customFormat="1" ht="13.2" hidden="1" outlineLevel="1" x14ac:dyDescent="0.25">
      <c r="A2973" s="106" t="s">
        <v>5964</v>
      </c>
      <c r="B2973" s="106" t="s">
        <v>5965</v>
      </c>
      <c r="C2973" s="106"/>
      <c r="D2973" s="106"/>
      <c r="E2973" s="52"/>
    </row>
    <row r="2974" spans="1:5" s="103" customFormat="1" ht="13.2" hidden="1" outlineLevel="1" x14ac:dyDescent="0.25">
      <c r="A2974" s="106" t="s">
        <v>5966</v>
      </c>
      <c r="B2974" s="106" t="s">
        <v>5967</v>
      </c>
      <c r="C2974" s="106"/>
      <c r="D2974" s="106"/>
      <c r="E2974" s="52"/>
    </row>
    <row r="2975" spans="1:5" s="103" customFormat="1" ht="13.2" hidden="1" outlineLevel="1" x14ac:dyDescent="0.25">
      <c r="A2975" s="106" t="s">
        <v>5968</v>
      </c>
      <c r="B2975" s="106" t="s">
        <v>5969</v>
      </c>
      <c r="C2975" s="106"/>
      <c r="D2975" s="106"/>
      <c r="E2975" s="52"/>
    </row>
    <row r="2976" spans="1:5" s="103" customFormat="1" ht="13.2" hidden="1" outlineLevel="1" x14ac:dyDescent="0.25">
      <c r="A2976" s="106" t="s">
        <v>5970</v>
      </c>
      <c r="B2976" s="106" t="s">
        <v>5971</v>
      </c>
      <c r="C2976" s="106"/>
      <c r="D2976" s="106"/>
      <c r="E2976" s="52"/>
    </row>
    <row r="2977" spans="1:5" s="103" customFormat="1" ht="13.2" hidden="1" outlineLevel="1" x14ac:dyDescent="0.25">
      <c r="A2977" s="106" t="s">
        <v>5972</v>
      </c>
      <c r="B2977" s="106" t="s">
        <v>5973</v>
      </c>
      <c r="C2977" s="106"/>
      <c r="D2977" s="106"/>
      <c r="E2977" s="52"/>
    </row>
    <row r="2978" spans="1:5" s="103" customFormat="1" ht="13.2" hidden="1" outlineLevel="1" x14ac:dyDescent="0.25">
      <c r="A2978" s="106" t="s">
        <v>5974</v>
      </c>
      <c r="B2978" s="106" t="s">
        <v>5975</v>
      </c>
      <c r="C2978" s="106"/>
      <c r="D2978" s="106"/>
      <c r="E2978" s="52"/>
    </row>
    <row r="2979" spans="1:5" s="103" customFormat="1" ht="13.2" hidden="1" outlineLevel="1" x14ac:dyDescent="0.25">
      <c r="A2979" s="106" t="s">
        <v>5976</v>
      </c>
      <c r="B2979" s="106" t="s">
        <v>5977</v>
      </c>
      <c r="C2979" s="106"/>
      <c r="D2979" s="106"/>
      <c r="E2979" s="52"/>
    </row>
    <row r="2980" spans="1:5" s="103" customFormat="1" ht="13.2" hidden="1" outlineLevel="1" x14ac:dyDescent="0.25">
      <c r="A2980" s="106" t="s">
        <v>5978</v>
      </c>
      <c r="B2980" s="106" t="s">
        <v>5979</v>
      </c>
      <c r="C2980" s="106"/>
      <c r="D2980" s="106"/>
      <c r="E2980" s="52"/>
    </row>
    <row r="2981" spans="1:5" s="103" customFormat="1" ht="13.2" hidden="1" outlineLevel="1" x14ac:dyDescent="0.25">
      <c r="A2981" s="106" t="s">
        <v>5980</v>
      </c>
      <c r="B2981" s="106" t="s">
        <v>5981</v>
      </c>
      <c r="C2981" s="106"/>
      <c r="D2981" s="106"/>
      <c r="E2981" s="52"/>
    </row>
    <row r="2982" spans="1:5" s="103" customFormat="1" ht="13.2" hidden="1" outlineLevel="1" x14ac:dyDescent="0.25">
      <c r="A2982" s="106" t="s">
        <v>5982</v>
      </c>
      <c r="B2982" s="106" t="s">
        <v>5983</v>
      </c>
      <c r="C2982" s="106"/>
      <c r="D2982" s="106"/>
      <c r="E2982" s="52"/>
    </row>
    <row r="2983" spans="1:5" s="103" customFormat="1" ht="13.2" hidden="1" outlineLevel="1" x14ac:dyDescent="0.25">
      <c r="A2983" s="106" t="s">
        <v>5984</v>
      </c>
      <c r="B2983" s="106" t="s">
        <v>5985</v>
      </c>
      <c r="C2983" s="106"/>
      <c r="D2983" s="106"/>
      <c r="E2983" s="52"/>
    </row>
    <row r="2984" spans="1:5" s="103" customFormat="1" ht="13.2" hidden="1" outlineLevel="1" x14ac:dyDescent="0.25">
      <c r="A2984" s="106" t="s">
        <v>5986</v>
      </c>
      <c r="B2984" s="106" t="s">
        <v>5987</v>
      </c>
      <c r="C2984" s="106"/>
      <c r="D2984" s="106"/>
      <c r="E2984" s="52"/>
    </row>
    <row r="2985" spans="1:5" s="103" customFormat="1" ht="13.2" hidden="1" outlineLevel="1" x14ac:dyDescent="0.25">
      <c r="A2985" s="106" t="s">
        <v>5988</v>
      </c>
      <c r="B2985" s="106" t="s">
        <v>5989</v>
      </c>
      <c r="C2985" s="106"/>
      <c r="D2985" s="106"/>
      <c r="E2985" s="52"/>
    </row>
    <row r="2986" spans="1:5" s="103" customFormat="1" ht="13.2" hidden="1" outlineLevel="1" x14ac:dyDescent="0.25">
      <c r="A2986" s="106" t="s">
        <v>5990</v>
      </c>
      <c r="B2986" s="106" t="s">
        <v>5991</v>
      </c>
      <c r="C2986" s="106"/>
      <c r="D2986" s="106"/>
      <c r="E2986" s="52"/>
    </row>
    <row r="2987" spans="1:5" s="103" customFormat="1" ht="13.2" hidden="1" outlineLevel="1" x14ac:dyDescent="0.25">
      <c r="A2987" s="106" t="s">
        <v>5992</v>
      </c>
      <c r="B2987" s="106" t="s">
        <v>5993</v>
      </c>
      <c r="C2987" s="106"/>
      <c r="D2987" s="106"/>
      <c r="E2987" s="52"/>
    </row>
    <row r="2988" spans="1:5" s="103" customFormat="1" ht="13.2" hidden="1" outlineLevel="1" x14ac:dyDescent="0.25">
      <c r="A2988" s="106" t="s">
        <v>5994</v>
      </c>
      <c r="B2988" s="106" t="s">
        <v>5995</v>
      </c>
      <c r="C2988" s="106"/>
      <c r="D2988" s="106"/>
      <c r="E2988" s="52"/>
    </row>
    <row r="2989" spans="1:5" s="103" customFormat="1" ht="13.2" hidden="1" outlineLevel="1" x14ac:dyDescent="0.25">
      <c r="A2989" s="106" t="s">
        <v>5996</v>
      </c>
      <c r="B2989" s="106" t="s">
        <v>5997</v>
      </c>
      <c r="C2989" s="106"/>
      <c r="D2989" s="106"/>
      <c r="E2989" s="52"/>
    </row>
    <row r="2990" spans="1:5" s="103" customFormat="1" ht="13.2" hidden="1" outlineLevel="1" x14ac:dyDescent="0.25">
      <c r="A2990" s="106" t="s">
        <v>5998</v>
      </c>
      <c r="B2990" s="106" t="s">
        <v>5999</v>
      </c>
      <c r="C2990" s="106"/>
      <c r="D2990" s="106"/>
      <c r="E2990" s="52"/>
    </row>
    <row r="2991" spans="1:5" s="103" customFormat="1" ht="13.2" hidden="1" outlineLevel="1" x14ac:dyDescent="0.25">
      <c r="A2991" s="106" t="s">
        <v>6000</v>
      </c>
      <c r="B2991" s="106" t="s">
        <v>6001</v>
      </c>
      <c r="C2991" s="106"/>
      <c r="D2991" s="106"/>
      <c r="E2991" s="52"/>
    </row>
    <row r="2992" spans="1:5" s="103" customFormat="1" ht="13.2" collapsed="1" x14ac:dyDescent="0.25">
      <c r="A2992" s="104" t="s">
        <v>6002</v>
      </c>
      <c r="B2992" s="105" t="s">
        <v>6003</v>
      </c>
      <c r="C2992" s="105"/>
      <c r="D2992" s="105"/>
      <c r="E2992" s="51"/>
    </row>
    <row r="2993" spans="1:5" s="103" customFormat="1" ht="13.2" hidden="1" outlineLevel="1" x14ac:dyDescent="0.25">
      <c r="A2993" s="106" t="s">
        <v>6004</v>
      </c>
      <c r="B2993" s="106" t="s">
        <v>6005</v>
      </c>
      <c r="C2993" s="106"/>
      <c r="D2993" s="106"/>
      <c r="E2993" s="52"/>
    </row>
    <row r="2994" spans="1:5" s="103" customFormat="1" ht="13.2" hidden="1" outlineLevel="1" x14ac:dyDescent="0.25">
      <c r="A2994" s="106" t="s">
        <v>6006</v>
      </c>
      <c r="B2994" s="106" t="s">
        <v>6007</v>
      </c>
      <c r="C2994" s="106"/>
      <c r="D2994" s="106"/>
      <c r="E2994" s="52"/>
    </row>
    <row r="2995" spans="1:5" s="103" customFormat="1" ht="13.2" hidden="1" outlineLevel="1" x14ac:dyDescent="0.25">
      <c r="A2995" s="106" t="s">
        <v>6008</v>
      </c>
      <c r="B2995" s="106" t="s">
        <v>6009</v>
      </c>
      <c r="C2995" s="106"/>
      <c r="D2995" s="106"/>
      <c r="E2995" s="52"/>
    </row>
    <row r="2996" spans="1:5" s="103" customFormat="1" ht="13.2" hidden="1" outlineLevel="1" x14ac:dyDescent="0.25">
      <c r="A2996" s="106" t="s">
        <v>6010</v>
      </c>
      <c r="B2996" s="106" t="s">
        <v>6011</v>
      </c>
      <c r="C2996" s="106"/>
      <c r="D2996" s="106"/>
      <c r="E2996" s="52"/>
    </row>
    <row r="2997" spans="1:5" s="103" customFormat="1" ht="13.2" hidden="1" outlineLevel="1" x14ac:dyDescent="0.25">
      <c r="A2997" s="106" t="s">
        <v>6012</v>
      </c>
      <c r="B2997" s="106" t="s">
        <v>6013</v>
      </c>
      <c r="C2997" s="106"/>
      <c r="D2997" s="106"/>
      <c r="E2997" s="52"/>
    </row>
    <row r="2998" spans="1:5" s="103" customFormat="1" ht="13.2" hidden="1" outlineLevel="1" x14ac:dyDescent="0.25">
      <c r="A2998" s="106" t="s">
        <v>6014</v>
      </c>
      <c r="B2998" s="106" t="s">
        <v>6015</v>
      </c>
      <c r="C2998" s="106"/>
      <c r="D2998" s="106"/>
      <c r="E2998" s="52"/>
    </row>
    <row r="2999" spans="1:5" s="103" customFormat="1" ht="13.2" hidden="1" outlineLevel="1" x14ac:dyDescent="0.25">
      <c r="A2999" s="106" t="s">
        <v>6016</v>
      </c>
      <c r="B2999" s="106" t="s">
        <v>6017</v>
      </c>
      <c r="C2999" s="106"/>
      <c r="D2999" s="106"/>
      <c r="E2999" s="52"/>
    </row>
    <row r="3000" spans="1:5" s="103" customFormat="1" ht="13.2" hidden="1" outlineLevel="1" x14ac:dyDescent="0.25">
      <c r="A3000" s="106" t="s">
        <v>6018</v>
      </c>
      <c r="B3000" s="106" t="s">
        <v>6019</v>
      </c>
      <c r="C3000" s="106"/>
      <c r="D3000" s="106"/>
      <c r="E3000" s="52"/>
    </row>
    <row r="3001" spans="1:5" s="103" customFormat="1" ht="13.2" hidden="1" outlineLevel="1" x14ac:dyDescent="0.25">
      <c r="A3001" s="106" t="s">
        <v>6020</v>
      </c>
      <c r="B3001" s="106" t="s">
        <v>6021</v>
      </c>
      <c r="C3001" s="106"/>
      <c r="D3001" s="106"/>
      <c r="E3001" s="52"/>
    </row>
    <row r="3002" spans="1:5" s="103" customFormat="1" ht="13.2" hidden="1" outlineLevel="1" x14ac:dyDescent="0.25">
      <c r="A3002" s="106" t="s">
        <v>6022</v>
      </c>
      <c r="B3002" s="106" t="s">
        <v>6023</v>
      </c>
      <c r="C3002" s="106"/>
      <c r="D3002" s="106"/>
      <c r="E3002" s="52"/>
    </row>
    <row r="3003" spans="1:5" s="103" customFormat="1" ht="13.2" hidden="1" outlineLevel="1" x14ac:dyDescent="0.25">
      <c r="A3003" s="106" t="s">
        <v>6024</v>
      </c>
      <c r="B3003" s="106" t="s">
        <v>6025</v>
      </c>
      <c r="C3003" s="106"/>
      <c r="D3003" s="106"/>
      <c r="E3003" s="52"/>
    </row>
    <row r="3004" spans="1:5" s="103" customFormat="1" ht="13.2" hidden="1" outlineLevel="1" x14ac:dyDescent="0.25">
      <c r="A3004" s="106" t="s">
        <v>6026</v>
      </c>
      <c r="B3004" s="106" t="s">
        <v>6027</v>
      </c>
      <c r="C3004" s="106"/>
      <c r="D3004" s="106"/>
      <c r="E3004" s="52"/>
    </row>
    <row r="3005" spans="1:5" s="103" customFormat="1" ht="13.2" hidden="1" outlineLevel="1" x14ac:dyDescent="0.25">
      <c r="A3005" s="106" t="s">
        <v>6028</v>
      </c>
      <c r="B3005" s="106" t="s">
        <v>6029</v>
      </c>
      <c r="C3005" s="106"/>
      <c r="D3005" s="106"/>
      <c r="E3005" s="52"/>
    </row>
    <row r="3006" spans="1:5" s="103" customFormat="1" ht="13.2" hidden="1" outlineLevel="1" x14ac:dyDescent="0.25">
      <c r="A3006" s="106" t="s">
        <v>6030</v>
      </c>
      <c r="B3006" s="106" t="s">
        <v>6031</v>
      </c>
      <c r="C3006" s="106"/>
      <c r="D3006" s="106"/>
      <c r="E3006" s="52"/>
    </row>
    <row r="3007" spans="1:5" s="103" customFormat="1" ht="13.2" hidden="1" outlineLevel="1" x14ac:dyDescent="0.25">
      <c r="A3007" s="106" t="s">
        <v>6032</v>
      </c>
      <c r="B3007" s="106" t="s">
        <v>6033</v>
      </c>
      <c r="C3007" s="106"/>
      <c r="D3007" s="106"/>
      <c r="E3007" s="52"/>
    </row>
    <row r="3008" spans="1:5" s="103" customFormat="1" ht="13.2" hidden="1" outlineLevel="1" x14ac:dyDescent="0.25">
      <c r="A3008" s="106" t="s">
        <v>6034</v>
      </c>
      <c r="B3008" s="106" t="s">
        <v>6035</v>
      </c>
      <c r="C3008" s="106"/>
      <c r="D3008" s="106"/>
      <c r="E3008" s="52"/>
    </row>
    <row r="3009" spans="1:5" s="103" customFormat="1" ht="13.2" hidden="1" outlineLevel="1" x14ac:dyDescent="0.25">
      <c r="A3009" s="106" t="s">
        <v>6036</v>
      </c>
      <c r="B3009" s="106" t="s">
        <v>6037</v>
      </c>
      <c r="C3009" s="106"/>
      <c r="D3009" s="106"/>
      <c r="E3009" s="52"/>
    </row>
    <row r="3010" spans="1:5" s="103" customFormat="1" ht="13.2" hidden="1" outlineLevel="1" x14ac:dyDescent="0.25">
      <c r="A3010" s="106" t="s">
        <v>6038</v>
      </c>
      <c r="B3010" s="106" t="s">
        <v>6039</v>
      </c>
      <c r="C3010" s="106"/>
      <c r="D3010" s="106"/>
      <c r="E3010" s="52"/>
    </row>
    <row r="3011" spans="1:5" s="103" customFormat="1" ht="13.2" hidden="1" outlineLevel="1" x14ac:dyDescent="0.25">
      <c r="A3011" s="106" t="s">
        <v>6040</v>
      </c>
      <c r="B3011" s="106" t="s">
        <v>6041</v>
      </c>
      <c r="C3011" s="106"/>
      <c r="D3011" s="106"/>
      <c r="E3011" s="52"/>
    </row>
    <row r="3012" spans="1:5" s="103" customFormat="1" ht="13.2" hidden="1" outlineLevel="1" x14ac:dyDescent="0.25">
      <c r="A3012" s="106" t="s">
        <v>6042</v>
      </c>
      <c r="B3012" s="106" t="s">
        <v>6043</v>
      </c>
      <c r="C3012" s="106"/>
      <c r="D3012" s="106"/>
      <c r="E3012" s="52"/>
    </row>
    <row r="3013" spans="1:5" s="103" customFormat="1" ht="13.2" hidden="1" outlineLevel="1" x14ac:dyDescent="0.25">
      <c r="A3013" s="106" t="s">
        <v>6044</v>
      </c>
      <c r="B3013" s="106" t="s">
        <v>6045</v>
      </c>
      <c r="C3013" s="106"/>
      <c r="D3013" s="106"/>
      <c r="E3013" s="52"/>
    </row>
    <row r="3014" spans="1:5" s="103" customFormat="1" ht="13.2" hidden="1" outlineLevel="1" x14ac:dyDescent="0.25">
      <c r="A3014" s="106" t="s">
        <v>6046</v>
      </c>
      <c r="B3014" s="106" t="s">
        <v>6047</v>
      </c>
      <c r="C3014" s="106"/>
      <c r="D3014" s="106"/>
      <c r="E3014" s="52"/>
    </row>
    <row r="3015" spans="1:5" s="103" customFormat="1" ht="13.2" hidden="1" outlineLevel="1" x14ac:dyDescent="0.25">
      <c r="A3015" s="106" t="s">
        <v>6048</v>
      </c>
      <c r="B3015" s="106" t="s">
        <v>6049</v>
      </c>
      <c r="C3015" s="106"/>
      <c r="D3015" s="106"/>
      <c r="E3015" s="52"/>
    </row>
    <row r="3016" spans="1:5" s="103" customFormat="1" ht="13.2" hidden="1" outlineLevel="1" x14ac:dyDescent="0.25">
      <c r="A3016" s="106" t="s">
        <v>6050</v>
      </c>
      <c r="B3016" s="106" t="s">
        <v>6051</v>
      </c>
      <c r="C3016" s="106"/>
      <c r="D3016" s="106"/>
      <c r="E3016" s="52"/>
    </row>
    <row r="3017" spans="1:5" s="103" customFormat="1" ht="13.2" hidden="1" outlineLevel="1" x14ac:dyDescent="0.25">
      <c r="A3017" s="106" t="s">
        <v>6052</v>
      </c>
      <c r="B3017" s="106" t="s">
        <v>6053</v>
      </c>
      <c r="C3017" s="106"/>
      <c r="D3017" s="106"/>
      <c r="E3017" s="52"/>
    </row>
    <row r="3018" spans="1:5" s="103" customFormat="1" ht="13.2" hidden="1" outlineLevel="1" x14ac:dyDescent="0.25">
      <c r="A3018" s="106" t="s">
        <v>6054</v>
      </c>
      <c r="B3018" s="106" t="s">
        <v>6055</v>
      </c>
      <c r="C3018" s="106"/>
      <c r="D3018" s="106"/>
      <c r="E3018" s="52"/>
    </row>
    <row r="3019" spans="1:5" s="103" customFormat="1" ht="13.2" hidden="1" outlineLevel="1" x14ac:dyDescent="0.25">
      <c r="A3019" s="106" t="s">
        <v>6056</v>
      </c>
      <c r="B3019" s="106" t="s">
        <v>6057</v>
      </c>
      <c r="C3019" s="106"/>
      <c r="D3019" s="106"/>
      <c r="E3019" s="52"/>
    </row>
    <row r="3020" spans="1:5" s="103" customFormat="1" ht="13.2" hidden="1" outlineLevel="1" x14ac:dyDescent="0.25">
      <c r="A3020" s="106" t="s">
        <v>6058</v>
      </c>
      <c r="B3020" s="106" t="s">
        <v>6059</v>
      </c>
      <c r="C3020" s="106"/>
      <c r="D3020" s="106"/>
      <c r="E3020" s="52"/>
    </row>
    <row r="3021" spans="1:5" s="103" customFormat="1" ht="13.2" hidden="1" outlineLevel="1" x14ac:dyDescent="0.25">
      <c r="A3021" s="106" t="s">
        <v>6060</v>
      </c>
      <c r="B3021" s="106" t="s">
        <v>6061</v>
      </c>
      <c r="C3021" s="106"/>
      <c r="D3021" s="106"/>
      <c r="E3021" s="52"/>
    </row>
    <row r="3022" spans="1:5" s="103" customFormat="1" ht="13.2" hidden="1" outlineLevel="1" x14ac:dyDescent="0.25">
      <c r="A3022" s="106" t="s">
        <v>6062</v>
      </c>
      <c r="B3022" s="106" t="s">
        <v>6063</v>
      </c>
      <c r="C3022" s="106"/>
      <c r="D3022" s="106"/>
      <c r="E3022" s="52"/>
    </row>
    <row r="3023" spans="1:5" s="103" customFormat="1" ht="13.2" hidden="1" outlineLevel="1" x14ac:dyDescent="0.25">
      <c r="A3023" s="106" t="s">
        <v>6064</v>
      </c>
      <c r="B3023" s="106" t="s">
        <v>6065</v>
      </c>
      <c r="C3023" s="106"/>
      <c r="D3023" s="106"/>
      <c r="E3023" s="52"/>
    </row>
    <row r="3024" spans="1:5" s="103" customFormat="1" ht="13.2" hidden="1" outlineLevel="1" x14ac:dyDescent="0.25">
      <c r="A3024" s="106" t="s">
        <v>6066</v>
      </c>
      <c r="B3024" s="106" t="s">
        <v>6067</v>
      </c>
      <c r="C3024" s="106"/>
      <c r="D3024" s="106"/>
      <c r="E3024" s="52"/>
    </row>
    <row r="3025" spans="1:5" s="103" customFormat="1" ht="13.2" hidden="1" outlineLevel="1" x14ac:dyDescent="0.25">
      <c r="A3025" s="106" t="s">
        <v>6068</v>
      </c>
      <c r="B3025" s="106" t="s">
        <v>6069</v>
      </c>
      <c r="C3025" s="106"/>
      <c r="D3025" s="106"/>
      <c r="E3025" s="52"/>
    </row>
    <row r="3026" spans="1:5" s="103" customFormat="1" ht="13.2" hidden="1" outlineLevel="1" x14ac:dyDescent="0.25">
      <c r="A3026" s="106" t="s">
        <v>6070</v>
      </c>
      <c r="B3026" s="106" t="s">
        <v>6071</v>
      </c>
      <c r="C3026" s="106"/>
      <c r="D3026" s="106"/>
      <c r="E3026" s="52"/>
    </row>
    <row r="3027" spans="1:5" s="103" customFormat="1" ht="13.2" hidden="1" outlineLevel="1" x14ac:dyDescent="0.25">
      <c r="A3027" s="106" t="s">
        <v>6072</v>
      </c>
      <c r="B3027" s="106" t="s">
        <v>6073</v>
      </c>
      <c r="C3027" s="106"/>
      <c r="D3027" s="106"/>
      <c r="E3027" s="52"/>
    </row>
    <row r="3028" spans="1:5" s="103" customFormat="1" ht="13.2" hidden="1" outlineLevel="1" x14ac:dyDescent="0.25">
      <c r="A3028" s="106" t="s">
        <v>6074</v>
      </c>
      <c r="B3028" s="106" t="s">
        <v>6075</v>
      </c>
      <c r="C3028" s="106"/>
      <c r="D3028" s="106"/>
      <c r="E3028" s="52"/>
    </row>
    <row r="3029" spans="1:5" s="103" customFormat="1" ht="13.2" hidden="1" outlineLevel="1" x14ac:dyDescent="0.25">
      <c r="A3029" s="106" t="s">
        <v>6076</v>
      </c>
      <c r="B3029" s="106" t="s">
        <v>6077</v>
      </c>
      <c r="C3029" s="106"/>
      <c r="D3029" s="106"/>
      <c r="E3029" s="52"/>
    </row>
    <row r="3030" spans="1:5" s="103" customFormat="1" ht="13.2" hidden="1" outlineLevel="1" x14ac:dyDescent="0.25">
      <c r="A3030" s="106" t="s">
        <v>6078</v>
      </c>
      <c r="B3030" s="106" t="s">
        <v>6079</v>
      </c>
      <c r="C3030" s="106"/>
      <c r="D3030" s="106"/>
      <c r="E3030" s="52"/>
    </row>
    <row r="3031" spans="1:5" s="103" customFormat="1" ht="13.2" hidden="1" outlineLevel="1" x14ac:dyDescent="0.25">
      <c r="A3031" s="106" t="s">
        <v>6080</v>
      </c>
      <c r="B3031" s="106" t="s">
        <v>6081</v>
      </c>
      <c r="C3031" s="106"/>
      <c r="D3031" s="106"/>
      <c r="E3031" s="52"/>
    </row>
    <row r="3032" spans="1:5" s="103" customFormat="1" ht="13.2" hidden="1" outlineLevel="1" x14ac:dyDescent="0.25">
      <c r="A3032" s="106" t="s">
        <v>6082</v>
      </c>
      <c r="B3032" s="106" t="s">
        <v>6083</v>
      </c>
      <c r="C3032" s="106"/>
      <c r="D3032" s="106"/>
      <c r="E3032" s="52"/>
    </row>
    <row r="3033" spans="1:5" s="103" customFormat="1" ht="13.2" hidden="1" outlineLevel="1" x14ac:dyDescent="0.25">
      <c r="A3033" s="106" t="s">
        <v>6084</v>
      </c>
      <c r="B3033" s="106" t="s">
        <v>6085</v>
      </c>
      <c r="C3033" s="106"/>
      <c r="D3033" s="106"/>
      <c r="E3033" s="52"/>
    </row>
    <row r="3034" spans="1:5" s="103" customFormat="1" ht="13.2" hidden="1" outlineLevel="1" x14ac:dyDescent="0.25">
      <c r="A3034" s="106" t="s">
        <v>6086</v>
      </c>
      <c r="B3034" s="106" t="s">
        <v>6087</v>
      </c>
      <c r="C3034" s="106"/>
      <c r="D3034" s="106"/>
      <c r="E3034" s="52"/>
    </row>
    <row r="3035" spans="1:5" s="103" customFormat="1" ht="13.2" hidden="1" outlineLevel="1" x14ac:dyDescent="0.25">
      <c r="A3035" s="106" t="s">
        <v>6088</v>
      </c>
      <c r="B3035" s="106" t="s">
        <v>6089</v>
      </c>
      <c r="C3035" s="106"/>
      <c r="D3035" s="106"/>
      <c r="E3035" s="52"/>
    </row>
    <row r="3036" spans="1:5" s="103" customFormat="1" ht="13.2" hidden="1" outlineLevel="1" x14ac:dyDescent="0.25">
      <c r="A3036" s="106" t="s">
        <v>6090</v>
      </c>
      <c r="B3036" s="106" t="s">
        <v>6091</v>
      </c>
      <c r="C3036" s="106"/>
      <c r="D3036" s="106"/>
      <c r="E3036" s="52"/>
    </row>
    <row r="3037" spans="1:5" s="103" customFormat="1" ht="13.2" hidden="1" outlineLevel="1" x14ac:dyDescent="0.25">
      <c r="A3037" s="106" t="s">
        <v>6092</v>
      </c>
      <c r="B3037" s="106" t="s">
        <v>6093</v>
      </c>
      <c r="C3037" s="106"/>
      <c r="D3037" s="106"/>
      <c r="E3037" s="52"/>
    </row>
    <row r="3038" spans="1:5" s="103" customFormat="1" ht="13.2" hidden="1" outlineLevel="1" x14ac:dyDescent="0.25">
      <c r="A3038" s="106" t="s">
        <v>6094</v>
      </c>
      <c r="B3038" s="106" t="s">
        <v>6095</v>
      </c>
      <c r="C3038" s="106"/>
      <c r="D3038" s="106"/>
      <c r="E3038" s="52"/>
    </row>
    <row r="3039" spans="1:5" s="103" customFormat="1" ht="13.2" hidden="1" outlineLevel="1" x14ac:dyDescent="0.25">
      <c r="A3039" s="106" t="s">
        <v>6096</v>
      </c>
      <c r="B3039" s="106" t="s">
        <v>6097</v>
      </c>
      <c r="C3039" s="106"/>
      <c r="D3039" s="106"/>
      <c r="E3039" s="52"/>
    </row>
    <row r="3040" spans="1:5" s="103" customFormat="1" ht="13.2" hidden="1" outlineLevel="1" x14ac:dyDescent="0.25">
      <c r="A3040" s="106" t="s">
        <v>6098</v>
      </c>
      <c r="B3040" s="106" t="s">
        <v>6099</v>
      </c>
      <c r="C3040" s="106"/>
      <c r="D3040" s="106"/>
      <c r="E3040" s="52"/>
    </row>
    <row r="3041" spans="1:5" s="103" customFormat="1" ht="13.2" hidden="1" outlineLevel="1" x14ac:dyDescent="0.25">
      <c r="A3041" s="106" t="s">
        <v>6100</v>
      </c>
      <c r="B3041" s="106" t="s">
        <v>6101</v>
      </c>
      <c r="C3041" s="106"/>
      <c r="D3041" s="106"/>
      <c r="E3041" s="52"/>
    </row>
    <row r="3042" spans="1:5" s="103" customFormat="1" ht="13.2" hidden="1" outlineLevel="1" x14ac:dyDescent="0.25">
      <c r="A3042" s="106" t="s">
        <v>6102</v>
      </c>
      <c r="B3042" s="106" t="s">
        <v>6103</v>
      </c>
      <c r="C3042" s="106"/>
      <c r="D3042" s="106"/>
      <c r="E3042" s="52"/>
    </row>
    <row r="3043" spans="1:5" s="103" customFormat="1" ht="13.2" hidden="1" outlineLevel="1" x14ac:dyDescent="0.25">
      <c r="A3043" s="106" t="s">
        <v>6104</v>
      </c>
      <c r="B3043" s="106" t="s">
        <v>6105</v>
      </c>
      <c r="C3043" s="106"/>
      <c r="D3043" s="106"/>
      <c r="E3043" s="52"/>
    </row>
    <row r="3044" spans="1:5" s="103" customFormat="1" ht="13.2" hidden="1" outlineLevel="1" x14ac:dyDescent="0.25">
      <c r="A3044" s="106" t="s">
        <v>6106</v>
      </c>
      <c r="B3044" s="106" t="s">
        <v>6107</v>
      </c>
      <c r="C3044" s="106"/>
      <c r="D3044" s="106"/>
      <c r="E3044" s="52"/>
    </row>
    <row r="3045" spans="1:5" s="103" customFormat="1" ht="13.2" hidden="1" outlineLevel="1" x14ac:dyDescent="0.25">
      <c r="A3045" s="106" t="s">
        <v>6108</v>
      </c>
      <c r="B3045" s="106" t="s">
        <v>6109</v>
      </c>
      <c r="C3045" s="106"/>
      <c r="D3045" s="106"/>
      <c r="E3045" s="52"/>
    </row>
    <row r="3046" spans="1:5" s="103" customFormat="1" ht="13.2" hidden="1" outlineLevel="1" x14ac:dyDescent="0.25">
      <c r="A3046" s="106" t="s">
        <v>6110</v>
      </c>
      <c r="B3046" s="106" t="s">
        <v>6111</v>
      </c>
      <c r="C3046" s="106"/>
      <c r="D3046" s="106"/>
      <c r="E3046" s="52"/>
    </row>
    <row r="3047" spans="1:5" s="103" customFormat="1" ht="13.2" hidden="1" outlineLevel="1" x14ac:dyDescent="0.25">
      <c r="A3047" s="106" t="s">
        <v>6112</v>
      </c>
      <c r="B3047" s="106" t="s">
        <v>6113</v>
      </c>
      <c r="C3047" s="106"/>
      <c r="D3047" s="106"/>
      <c r="E3047" s="52"/>
    </row>
    <row r="3048" spans="1:5" s="103" customFormat="1" ht="13.2" hidden="1" outlineLevel="1" x14ac:dyDescent="0.25">
      <c r="A3048" s="106" t="s">
        <v>6114</v>
      </c>
      <c r="B3048" s="106" t="s">
        <v>6115</v>
      </c>
      <c r="C3048" s="106"/>
      <c r="D3048" s="106"/>
      <c r="E3048" s="52"/>
    </row>
    <row r="3049" spans="1:5" s="103" customFormat="1" ht="13.2" hidden="1" outlineLevel="1" x14ac:dyDescent="0.25">
      <c r="A3049" s="106" t="s">
        <v>6116</v>
      </c>
      <c r="B3049" s="106" t="s">
        <v>6117</v>
      </c>
      <c r="C3049" s="106"/>
      <c r="D3049" s="106"/>
      <c r="E3049" s="52"/>
    </row>
    <row r="3050" spans="1:5" s="103" customFormat="1" ht="13.2" hidden="1" outlineLevel="1" x14ac:dyDescent="0.25">
      <c r="A3050" s="106" t="s">
        <v>6118</v>
      </c>
      <c r="B3050" s="106" t="s">
        <v>6119</v>
      </c>
      <c r="C3050" s="106"/>
      <c r="D3050" s="106"/>
      <c r="E3050" s="52"/>
    </row>
    <row r="3051" spans="1:5" s="103" customFormat="1" ht="13.2" hidden="1" outlineLevel="1" x14ac:dyDescent="0.25">
      <c r="A3051" s="106" t="s">
        <v>6120</v>
      </c>
      <c r="B3051" s="106" t="s">
        <v>6121</v>
      </c>
      <c r="C3051" s="106"/>
      <c r="D3051" s="106"/>
      <c r="E3051" s="52"/>
    </row>
    <row r="3052" spans="1:5" s="103" customFormat="1" ht="13.2" hidden="1" outlineLevel="1" x14ac:dyDescent="0.25">
      <c r="A3052" s="106" t="s">
        <v>6122</v>
      </c>
      <c r="B3052" s="106" t="s">
        <v>6123</v>
      </c>
      <c r="C3052" s="106"/>
      <c r="D3052" s="106"/>
      <c r="E3052" s="52"/>
    </row>
    <row r="3053" spans="1:5" s="103" customFormat="1" ht="13.2" hidden="1" outlineLevel="1" x14ac:dyDescent="0.25">
      <c r="A3053" s="106" t="s">
        <v>6124</v>
      </c>
      <c r="B3053" s="106" t="s">
        <v>6125</v>
      </c>
      <c r="C3053" s="106"/>
      <c r="D3053" s="106"/>
      <c r="E3053" s="52"/>
    </row>
    <row r="3054" spans="1:5" s="103" customFormat="1" ht="13.2" hidden="1" outlineLevel="1" x14ac:dyDescent="0.25">
      <c r="A3054" s="106" t="s">
        <v>6126</v>
      </c>
      <c r="B3054" s="106" t="s">
        <v>6127</v>
      </c>
      <c r="C3054" s="106"/>
      <c r="D3054" s="106"/>
      <c r="E3054" s="52"/>
    </row>
    <row r="3055" spans="1:5" s="103" customFormat="1" ht="13.2" hidden="1" outlineLevel="1" x14ac:dyDescent="0.25">
      <c r="A3055" s="106" t="s">
        <v>6128</v>
      </c>
      <c r="B3055" s="106" t="s">
        <v>6129</v>
      </c>
      <c r="C3055" s="106"/>
      <c r="D3055" s="106"/>
      <c r="E3055" s="52"/>
    </row>
    <row r="3056" spans="1:5" s="103" customFormat="1" ht="13.2" hidden="1" outlineLevel="1" x14ac:dyDescent="0.25">
      <c r="A3056" s="106" t="s">
        <v>6130</v>
      </c>
      <c r="B3056" s="106" t="s">
        <v>6131</v>
      </c>
      <c r="C3056" s="106"/>
      <c r="D3056" s="106"/>
      <c r="E3056" s="52"/>
    </row>
    <row r="3057" spans="1:5" s="103" customFormat="1" ht="13.2" hidden="1" outlineLevel="1" x14ac:dyDescent="0.25">
      <c r="A3057" s="106" t="s">
        <v>6132</v>
      </c>
      <c r="B3057" s="106" t="s">
        <v>6133</v>
      </c>
      <c r="C3057" s="106"/>
      <c r="D3057" s="106"/>
      <c r="E3057" s="52"/>
    </row>
    <row r="3058" spans="1:5" s="103" customFormat="1" ht="13.2" hidden="1" outlineLevel="1" x14ac:dyDescent="0.25">
      <c r="A3058" s="106" t="s">
        <v>6134</v>
      </c>
      <c r="B3058" s="106" t="s">
        <v>6135</v>
      </c>
      <c r="C3058" s="106"/>
      <c r="D3058" s="106"/>
      <c r="E3058" s="52"/>
    </row>
    <row r="3059" spans="1:5" s="103" customFormat="1" ht="13.2" hidden="1" outlineLevel="1" x14ac:dyDescent="0.25">
      <c r="A3059" s="106" t="s">
        <v>6136</v>
      </c>
      <c r="B3059" s="106" t="s">
        <v>6137</v>
      </c>
      <c r="C3059" s="106"/>
      <c r="D3059" s="106"/>
      <c r="E3059" s="52"/>
    </row>
    <row r="3060" spans="1:5" s="103" customFormat="1" ht="13.2" hidden="1" outlineLevel="1" x14ac:dyDescent="0.25">
      <c r="A3060" s="106" t="s">
        <v>6138</v>
      </c>
      <c r="B3060" s="106" t="s">
        <v>6139</v>
      </c>
      <c r="C3060" s="106"/>
      <c r="D3060" s="106"/>
      <c r="E3060" s="52"/>
    </row>
    <row r="3061" spans="1:5" s="103" customFormat="1" ht="13.2" hidden="1" outlineLevel="1" x14ac:dyDescent="0.25">
      <c r="A3061" s="106" t="s">
        <v>6140</v>
      </c>
      <c r="B3061" s="106" t="s">
        <v>6141</v>
      </c>
      <c r="C3061" s="106"/>
      <c r="D3061" s="106"/>
      <c r="E3061" s="52"/>
    </row>
    <row r="3062" spans="1:5" s="103" customFormat="1" ht="13.2" hidden="1" outlineLevel="1" x14ac:dyDescent="0.25">
      <c r="A3062" s="106" t="s">
        <v>6142</v>
      </c>
      <c r="B3062" s="106" t="s">
        <v>6143</v>
      </c>
      <c r="C3062" s="106"/>
      <c r="D3062" s="106"/>
      <c r="E3062" s="52"/>
    </row>
    <row r="3063" spans="1:5" s="103" customFormat="1" ht="13.2" hidden="1" outlineLevel="1" x14ac:dyDescent="0.25">
      <c r="A3063" s="106" t="s">
        <v>6144</v>
      </c>
      <c r="B3063" s="106" t="s">
        <v>6145</v>
      </c>
      <c r="C3063" s="106"/>
      <c r="D3063" s="106"/>
      <c r="E3063" s="52"/>
    </row>
    <row r="3064" spans="1:5" s="103" customFormat="1" ht="13.2" hidden="1" outlineLevel="1" x14ac:dyDescent="0.25">
      <c r="A3064" s="106" t="s">
        <v>6146</v>
      </c>
      <c r="B3064" s="106" t="s">
        <v>6147</v>
      </c>
      <c r="C3064" s="106"/>
      <c r="D3064" s="106"/>
      <c r="E3064" s="52"/>
    </row>
    <row r="3065" spans="1:5" s="103" customFormat="1" ht="13.2" hidden="1" outlineLevel="1" x14ac:dyDescent="0.25">
      <c r="A3065" s="106" t="s">
        <v>6148</v>
      </c>
      <c r="B3065" s="106" t="s">
        <v>6149</v>
      </c>
      <c r="C3065" s="106"/>
      <c r="D3065" s="106"/>
      <c r="E3065" s="52"/>
    </row>
    <row r="3066" spans="1:5" s="103" customFormat="1" ht="13.2" hidden="1" outlineLevel="1" x14ac:dyDescent="0.25">
      <c r="A3066" s="106" t="s">
        <v>6150</v>
      </c>
      <c r="B3066" s="106" t="s">
        <v>6151</v>
      </c>
      <c r="C3066" s="106"/>
      <c r="D3066" s="106"/>
      <c r="E3066" s="52"/>
    </row>
    <row r="3067" spans="1:5" s="103" customFormat="1" ht="13.2" hidden="1" outlineLevel="1" x14ac:dyDescent="0.25">
      <c r="A3067" s="106" t="s">
        <v>6152</v>
      </c>
      <c r="B3067" s="106" t="s">
        <v>6153</v>
      </c>
      <c r="C3067" s="106"/>
      <c r="D3067" s="106"/>
      <c r="E3067" s="52"/>
    </row>
    <row r="3068" spans="1:5" s="103" customFormat="1" ht="13.2" hidden="1" outlineLevel="1" x14ac:dyDescent="0.25">
      <c r="A3068" s="106" t="s">
        <v>6154</v>
      </c>
      <c r="B3068" s="106" t="s">
        <v>6155</v>
      </c>
      <c r="C3068" s="106"/>
      <c r="D3068" s="106"/>
      <c r="E3068" s="52"/>
    </row>
    <row r="3069" spans="1:5" s="103" customFormat="1" ht="13.2" hidden="1" outlineLevel="1" x14ac:dyDescent="0.25">
      <c r="A3069" s="106" t="s">
        <v>6156</v>
      </c>
      <c r="B3069" s="106" t="s">
        <v>6157</v>
      </c>
      <c r="C3069" s="106"/>
      <c r="D3069" s="106"/>
      <c r="E3069" s="52"/>
    </row>
    <row r="3070" spans="1:5" s="103" customFormat="1" ht="13.2" hidden="1" outlineLevel="1" x14ac:dyDescent="0.25">
      <c r="A3070" s="106" t="s">
        <v>6158</v>
      </c>
      <c r="B3070" s="106" t="s">
        <v>6159</v>
      </c>
      <c r="C3070" s="106"/>
      <c r="D3070" s="106"/>
      <c r="E3070" s="52"/>
    </row>
    <row r="3071" spans="1:5" s="103" customFormat="1" ht="13.2" hidden="1" outlineLevel="1" x14ac:dyDescent="0.25">
      <c r="A3071" s="106" t="s">
        <v>6160</v>
      </c>
      <c r="B3071" s="106" t="s">
        <v>6161</v>
      </c>
      <c r="C3071" s="106"/>
      <c r="D3071" s="106"/>
      <c r="E3071" s="52"/>
    </row>
    <row r="3072" spans="1:5" s="103" customFormat="1" ht="13.2" hidden="1" outlineLevel="1" x14ac:dyDescent="0.25">
      <c r="A3072" s="106" t="s">
        <v>6162</v>
      </c>
      <c r="B3072" s="106" t="s">
        <v>6163</v>
      </c>
      <c r="C3072" s="106"/>
      <c r="D3072" s="106"/>
      <c r="E3072" s="52"/>
    </row>
    <row r="3073" spans="1:5" s="103" customFormat="1" ht="13.2" hidden="1" outlineLevel="1" x14ac:dyDescent="0.25">
      <c r="A3073" s="106" t="s">
        <v>6164</v>
      </c>
      <c r="B3073" s="106" t="s">
        <v>6165</v>
      </c>
      <c r="C3073" s="106"/>
      <c r="D3073" s="106"/>
      <c r="E3073" s="52"/>
    </row>
    <row r="3074" spans="1:5" s="103" customFormat="1" ht="13.2" hidden="1" outlineLevel="1" x14ac:dyDescent="0.25">
      <c r="A3074" s="106" t="s">
        <v>6166</v>
      </c>
      <c r="B3074" s="106" t="s">
        <v>6167</v>
      </c>
      <c r="C3074" s="106"/>
      <c r="D3074" s="106"/>
      <c r="E3074" s="52"/>
    </row>
    <row r="3075" spans="1:5" s="103" customFormat="1" ht="13.2" hidden="1" outlineLevel="1" x14ac:dyDescent="0.25">
      <c r="A3075" s="106" t="s">
        <v>6168</v>
      </c>
      <c r="B3075" s="106" t="s">
        <v>6169</v>
      </c>
      <c r="C3075" s="106"/>
      <c r="D3075" s="106"/>
      <c r="E3075" s="52"/>
    </row>
    <row r="3076" spans="1:5" s="103" customFormat="1" ht="13.2" hidden="1" outlineLevel="1" x14ac:dyDescent="0.25">
      <c r="A3076" s="106" t="s">
        <v>6170</v>
      </c>
      <c r="B3076" s="106" t="s">
        <v>6171</v>
      </c>
      <c r="C3076" s="106"/>
      <c r="D3076" s="106"/>
      <c r="E3076" s="52"/>
    </row>
    <row r="3077" spans="1:5" s="103" customFormat="1" ht="13.2" hidden="1" outlineLevel="1" x14ac:dyDescent="0.25">
      <c r="A3077" s="106" t="s">
        <v>6172</v>
      </c>
      <c r="B3077" s="106" t="s">
        <v>6173</v>
      </c>
      <c r="C3077" s="106"/>
      <c r="D3077" s="106"/>
      <c r="E3077" s="52"/>
    </row>
    <row r="3078" spans="1:5" s="103" customFormat="1" ht="13.2" hidden="1" outlineLevel="1" x14ac:dyDescent="0.25">
      <c r="A3078" s="106" t="s">
        <v>6174</v>
      </c>
      <c r="B3078" s="106" t="s">
        <v>6175</v>
      </c>
      <c r="C3078" s="106"/>
      <c r="D3078" s="106"/>
      <c r="E3078" s="52"/>
    </row>
    <row r="3079" spans="1:5" s="103" customFormat="1" ht="13.2" hidden="1" outlineLevel="1" x14ac:dyDescent="0.25">
      <c r="A3079" s="106" t="s">
        <v>6176</v>
      </c>
      <c r="B3079" s="106" t="s">
        <v>6177</v>
      </c>
      <c r="C3079" s="106"/>
      <c r="D3079" s="106"/>
      <c r="E3079" s="52"/>
    </row>
    <row r="3080" spans="1:5" s="103" customFormat="1" ht="13.2" hidden="1" outlineLevel="1" x14ac:dyDescent="0.25">
      <c r="A3080" s="106" t="s">
        <v>6178</v>
      </c>
      <c r="B3080" s="106" t="s">
        <v>6179</v>
      </c>
      <c r="C3080" s="106"/>
      <c r="D3080" s="106"/>
      <c r="E3080" s="52"/>
    </row>
    <row r="3081" spans="1:5" s="103" customFormat="1" ht="13.2" hidden="1" outlineLevel="1" x14ac:dyDescent="0.25">
      <c r="A3081" s="106" t="s">
        <v>6180</v>
      </c>
      <c r="B3081" s="106" t="s">
        <v>6181</v>
      </c>
      <c r="C3081" s="106"/>
      <c r="D3081" s="106"/>
      <c r="E3081" s="52"/>
    </row>
    <row r="3082" spans="1:5" s="103" customFormat="1" ht="13.2" hidden="1" outlineLevel="1" x14ac:dyDescent="0.25">
      <c r="A3082" s="106" t="s">
        <v>6182</v>
      </c>
      <c r="B3082" s="106" t="s">
        <v>6183</v>
      </c>
      <c r="C3082" s="106"/>
      <c r="D3082" s="106"/>
      <c r="E3082" s="52"/>
    </row>
    <row r="3083" spans="1:5" s="103" customFormat="1" ht="13.2" hidden="1" outlineLevel="1" x14ac:dyDescent="0.25">
      <c r="A3083" s="106" t="s">
        <v>6184</v>
      </c>
      <c r="B3083" s="106" t="s">
        <v>6185</v>
      </c>
      <c r="C3083" s="106"/>
      <c r="D3083" s="106"/>
      <c r="E3083" s="52"/>
    </row>
    <row r="3084" spans="1:5" s="103" customFormat="1" ht="13.2" hidden="1" outlineLevel="1" x14ac:dyDescent="0.25">
      <c r="A3084" s="106" t="s">
        <v>6186</v>
      </c>
      <c r="B3084" s="106" t="s">
        <v>6187</v>
      </c>
      <c r="C3084" s="106"/>
      <c r="D3084" s="106"/>
      <c r="E3084" s="52"/>
    </row>
    <row r="3085" spans="1:5" s="103" customFormat="1" ht="13.2" hidden="1" outlineLevel="1" x14ac:dyDescent="0.25">
      <c r="A3085" s="106" t="s">
        <v>6188</v>
      </c>
      <c r="B3085" s="106" t="s">
        <v>6189</v>
      </c>
      <c r="C3085" s="106"/>
      <c r="D3085" s="106"/>
      <c r="E3085" s="52"/>
    </row>
    <row r="3086" spans="1:5" s="103" customFormat="1" ht="13.2" hidden="1" outlineLevel="1" x14ac:dyDescent="0.25">
      <c r="A3086" s="106" t="s">
        <v>6190</v>
      </c>
      <c r="B3086" s="106" t="s">
        <v>6191</v>
      </c>
      <c r="C3086" s="106"/>
      <c r="D3086" s="106"/>
      <c r="E3086" s="52"/>
    </row>
    <row r="3087" spans="1:5" s="103" customFormat="1" ht="13.2" hidden="1" outlineLevel="1" x14ac:dyDescent="0.25">
      <c r="A3087" s="106" t="s">
        <v>6192</v>
      </c>
      <c r="B3087" s="106" t="s">
        <v>6193</v>
      </c>
      <c r="C3087" s="106"/>
      <c r="D3087" s="106"/>
      <c r="E3087" s="52"/>
    </row>
    <row r="3088" spans="1:5" s="103" customFormat="1" ht="13.2" hidden="1" outlineLevel="1" x14ac:dyDescent="0.25">
      <c r="A3088" s="106" t="s">
        <v>6194</v>
      </c>
      <c r="B3088" s="106" t="s">
        <v>6195</v>
      </c>
      <c r="C3088" s="106"/>
      <c r="D3088" s="106"/>
      <c r="E3088" s="52"/>
    </row>
    <row r="3089" spans="1:5" s="103" customFormat="1" ht="13.2" hidden="1" outlineLevel="1" x14ac:dyDescent="0.25">
      <c r="A3089" s="106" t="s">
        <v>6196</v>
      </c>
      <c r="B3089" s="106" t="s">
        <v>6197</v>
      </c>
      <c r="C3089" s="106"/>
      <c r="D3089" s="106"/>
      <c r="E3089" s="52"/>
    </row>
    <row r="3090" spans="1:5" s="103" customFormat="1" ht="13.2" hidden="1" outlineLevel="1" x14ac:dyDescent="0.25">
      <c r="A3090" s="106" t="s">
        <v>6198</v>
      </c>
      <c r="B3090" s="106" t="s">
        <v>6199</v>
      </c>
      <c r="C3090" s="106"/>
      <c r="D3090" s="106"/>
      <c r="E3090" s="52"/>
    </row>
    <row r="3091" spans="1:5" s="103" customFormat="1" ht="13.2" hidden="1" outlineLevel="1" x14ac:dyDescent="0.25">
      <c r="A3091" s="106" t="s">
        <v>6200</v>
      </c>
      <c r="B3091" s="106" t="s">
        <v>6201</v>
      </c>
      <c r="C3091" s="106"/>
      <c r="D3091" s="106"/>
      <c r="E3091" s="52"/>
    </row>
    <row r="3092" spans="1:5" s="103" customFormat="1" ht="13.2" hidden="1" outlineLevel="1" x14ac:dyDescent="0.25">
      <c r="A3092" s="106" t="s">
        <v>6202</v>
      </c>
      <c r="B3092" s="106" t="s">
        <v>6203</v>
      </c>
      <c r="C3092" s="106"/>
      <c r="D3092" s="106"/>
      <c r="E3092" s="52"/>
    </row>
    <row r="3093" spans="1:5" s="103" customFormat="1" ht="13.2" hidden="1" outlineLevel="1" x14ac:dyDescent="0.25">
      <c r="A3093" s="106" t="s">
        <v>6204</v>
      </c>
      <c r="B3093" s="106" t="s">
        <v>6205</v>
      </c>
      <c r="C3093" s="106"/>
      <c r="D3093" s="106"/>
      <c r="E3093" s="52"/>
    </row>
    <row r="3094" spans="1:5" s="103" customFormat="1" ht="13.2" hidden="1" outlineLevel="1" x14ac:dyDescent="0.25">
      <c r="A3094" s="106" t="s">
        <v>6206</v>
      </c>
      <c r="B3094" s="106" t="s">
        <v>6207</v>
      </c>
      <c r="C3094" s="106"/>
      <c r="D3094" s="106"/>
      <c r="E3094" s="52"/>
    </row>
    <row r="3095" spans="1:5" s="103" customFormat="1" ht="13.2" hidden="1" outlineLevel="1" x14ac:dyDescent="0.25">
      <c r="A3095" s="106" t="s">
        <v>6208</v>
      </c>
      <c r="B3095" s="106" t="s">
        <v>6209</v>
      </c>
      <c r="C3095" s="106"/>
      <c r="D3095" s="106"/>
      <c r="E3095" s="52"/>
    </row>
    <row r="3096" spans="1:5" s="103" customFormat="1" ht="13.2" hidden="1" outlineLevel="1" x14ac:dyDescent="0.25">
      <c r="A3096" s="106" t="s">
        <v>6210</v>
      </c>
      <c r="B3096" s="106" t="s">
        <v>6211</v>
      </c>
      <c r="C3096" s="106"/>
      <c r="D3096" s="106"/>
      <c r="E3096" s="52"/>
    </row>
    <row r="3097" spans="1:5" s="103" customFormat="1" ht="13.2" hidden="1" outlineLevel="1" x14ac:dyDescent="0.25">
      <c r="A3097" s="106" t="s">
        <v>6212</v>
      </c>
      <c r="B3097" s="106" t="s">
        <v>6213</v>
      </c>
      <c r="C3097" s="106"/>
      <c r="D3097" s="106"/>
      <c r="E3097" s="52"/>
    </row>
    <row r="3098" spans="1:5" s="103" customFormat="1" ht="13.2" hidden="1" outlineLevel="1" x14ac:dyDescent="0.25">
      <c r="A3098" s="106" t="s">
        <v>6214</v>
      </c>
      <c r="B3098" s="106" t="s">
        <v>6215</v>
      </c>
      <c r="C3098" s="106"/>
      <c r="D3098" s="106"/>
      <c r="E3098" s="52"/>
    </row>
    <row r="3099" spans="1:5" s="103" customFormat="1" ht="13.2" hidden="1" outlineLevel="1" x14ac:dyDescent="0.25">
      <c r="A3099" s="106" t="s">
        <v>6216</v>
      </c>
      <c r="B3099" s="106" t="s">
        <v>6217</v>
      </c>
      <c r="C3099" s="106"/>
      <c r="D3099" s="106"/>
      <c r="E3099" s="52"/>
    </row>
    <row r="3100" spans="1:5" s="103" customFormat="1" ht="13.2" collapsed="1" x14ac:dyDescent="0.25">
      <c r="A3100" s="104" t="s">
        <v>6218</v>
      </c>
      <c r="B3100" s="105" t="s">
        <v>6219</v>
      </c>
      <c r="C3100" s="105"/>
      <c r="D3100" s="105"/>
      <c r="E3100" s="51"/>
    </row>
    <row r="3101" spans="1:5" s="103" customFormat="1" ht="13.2" hidden="1" outlineLevel="1" x14ac:dyDescent="0.25">
      <c r="A3101" s="106" t="s">
        <v>6220</v>
      </c>
      <c r="B3101" s="106" t="s">
        <v>6221</v>
      </c>
      <c r="C3101" s="106"/>
      <c r="D3101" s="106"/>
      <c r="E3101" s="52"/>
    </row>
    <row r="3102" spans="1:5" s="103" customFormat="1" ht="13.2" hidden="1" outlineLevel="1" x14ac:dyDescent="0.25">
      <c r="A3102" s="106" t="s">
        <v>6222</v>
      </c>
      <c r="B3102" s="106" t="s">
        <v>6223</v>
      </c>
      <c r="C3102" s="106"/>
      <c r="D3102" s="106"/>
      <c r="E3102" s="52"/>
    </row>
    <row r="3103" spans="1:5" s="103" customFormat="1" ht="13.2" hidden="1" outlineLevel="1" x14ac:dyDescent="0.25">
      <c r="A3103" s="106" t="s">
        <v>6224</v>
      </c>
      <c r="B3103" s="106" t="s">
        <v>6225</v>
      </c>
      <c r="C3103" s="106"/>
      <c r="D3103" s="106"/>
      <c r="E3103" s="52"/>
    </row>
    <row r="3104" spans="1:5" s="103" customFormat="1" ht="13.2" hidden="1" outlineLevel="1" x14ac:dyDescent="0.25">
      <c r="A3104" s="106" t="s">
        <v>6226</v>
      </c>
      <c r="B3104" s="106" t="s">
        <v>6227</v>
      </c>
      <c r="C3104" s="106"/>
      <c r="D3104" s="106"/>
      <c r="E3104" s="52"/>
    </row>
    <row r="3105" spans="1:5" s="103" customFormat="1" ht="13.2" hidden="1" outlineLevel="1" x14ac:dyDescent="0.25">
      <c r="A3105" s="106" t="s">
        <v>6228</v>
      </c>
      <c r="B3105" s="106" t="s">
        <v>6229</v>
      </c>
      <c r="C3105" s="106"/>
      <c r="D3105" s="106"/>
      <c r="E3105" s="52"/>
    </row>
    <row r="3106" spans="1:5" s="103" customFormat="1" ht="13.2" hidden="1" outlineLevel="1" x14ac:dyDescent="0.25">
      <c r="A3106" s="106" t="s">
        <v>6230</v>
      </c>
      <c r="B3106" s="106" t="s">
        <v>6231</v>
      </c>
      <c r="C3106" s="106"/>
      <c r="D3106" s="106"/>
      <c r="E3106" s="52"/>
    </row>
    <row r="3107" spans="1:5" s="103" customFormat="1" ht="13.2" hidden="1" outlineLevel="1" x14ac:dyDescent="0.25">
      <c r="A3107" s="106" t="s">
        <v>6232</v>
      </c>
      <c r="B3107" s="106" t="s">
        <v>6233</v>
      </c>
      <c r="C3107" s="106"/>
      <c r="D3107" s="106"/>
      <c r="E3107" s="52"/>
    </row>
    <row r="3108" spans="1:5" s="103" customFormat="1" ht="13.2" hidden="1" outlineLevel="1" x14ac:dyDescent="0.25">
      <c r="A3108" s="106" t="s">
        <v>6234</v>
      </c>
      <c r="B3108" s="106" t="s">
        <v>6235</v>
      </c>
      <c r="C3108" s="106"/>
      <c r="D3108" s="106"/>
      <c r="E3108" s="52"/>
    </row>
    <row r="3109" spans="1:5" s="103" customFormat="1" ht="13.2" hidden="1" outlineLevel="1" x14ac:dyDescent="0.25">
      <c r="A3109" s="106" t="s">
        <v>6236</v>
      </c>
      <c r="B3109" s="106" t="s">
        <v>6237</v>
      </c>
      <c r="C3109" s="106"/>
      <c r="D3109" s="106"/>
      <c r="E3109" s="52"/>
    </row>
    <row r="3110" spans="1:5" s="103" customFormat="1" ht="13.2" hidden="1" outlineLevel="1" x14ac:dyDescent="0.25">
      <c r="A3110" s="106" t="s">
        <v>6238</v>
      </c>
      <c r="B3110" s="106" t="s">
        <v>6239</v>
      </c>
      <c r="C3110" s="106"/>
      <c r="D3110" s="106"/>
      <c r="E3110" s="52"/>
    </row>
    <row r="3111" spans="1:5" s="103" customFormat="1" ht="13.2" hidden="1" outlineLevel="1" x14ac:dyDescent="0.25">
      <c r="A3111" s="106" t="s">
        <v>6240</v>
      </c>
      <c r="B3111" s="106" t="s">
        <v>6241</v>
      </c>
      <c r="C3111" s="106"/>
      <c r="D3111" s="106"/>
      <c r="E3111" s="52"/>
    </row>
    <row r="3112" spans="1:5" s="103" customFormat="1" ht="13.2" hidden="1" outlineLevel="1" x14ac:dyDescent="0.25">
      <c r="A3112" s="106" t="s">
        <v>6242</v>
      </c>
      <c r="B3112" s="106" t="s">
        <v>6243</v>
      </c>
      <c r="C3112" s="106"/>
      <c r="D3112" s="106"/>
      <c r="E3112" s="52"/>
    </row>
    <row r="3113" spans="1:5" s="103" customFormat="1" ht="13.2" hidden="1" outlineLevel="1" x14ac:dyDescent="0.25">
      <c r="A3113" s="106" t="s">
        <v>6244</v>
      </c>
      <c r="B3113" s="106" t="s">
        <v>6245</v>
      </c>
      <c r="C3113" s="106"/>
      <c r="D3113" s="106"/>
      <c r="E3113" s="52"/>
    </row>
    <row r="3114" spans="1:5" s="103" customFormat="1" ht="13.2" hidden="1" outlineLevel="1" x14ac:dyDescent="0.25">
      <c r="A3114" s="106" t="s">
        <v>6246</v>
      </c>
      <c r="B3114" s="106" t="s">
        <v>6247</v>
      </c>
      <c r="C3114" s="106"/>
      <c r="D3114" s="106"/>
      <c r="E3114" s="52"/>
    </row>
    <row r="3115" spans="1:5" s="103" customFormat="1" ht="13.2" hidden="1" outlineLevel="1" x14ac:dyDescent="0.25">
      <c r="A3115" s="106" t="s">
        <v>6248</v>
      </c>
      <c r="B3115" s="106" t="s">
        <v>6249</v>
      </c>
      <c r="C3115" s="106"/>
      <c r="D3115" s="106"/>
      <c r="E3115" s="52"/>
    </row>
    <row r="3116" spans="1:5" s="103" customFormat="1" ht="13.2" hidden="1" outlineLevel="1" x14ac:dyDescent="0.25">
      <c r="A3116" s="106" t="s">
        <v>6250</v>
      </c>
      <c r="B3116" s="106" t="s">
        <v>6251</v>
      </c>
      <c r="C3116" s="106"/>
      <c r="D3116" s="106"/>
      <c r="E3116" s="52"/>
    </row>
    <row r="3117" spans="1:5" s="103" customFormat="1" ht="13.2" hidden="1" outlineLevel="1" x14ac:dyDescent="0.25">
      <c r="A3117" s="106" t="s">
        <v>6252</v>
      </c>
      <c r="B3117" s="106" t="s">
        <v>6253</v>
      </c>
      <c r="C3117" s="106"/>
      <c r="D3117" s="106"/>
      <c r="E3117" s="52"/>
    </row>
    <row r="3118" spans="1:5" s="103" customFormat="1" ht="13.2" hidden="1" outlineLevel="1" x14ac:dyDescent="0.25">
      <c r="A3118" s="106" t="s">
        <v>6254</v>
      </c>
      <c r="B3118" s="106" t="s">
        <v>6255</v>
      </c>
      <c r="C3118" s="106"/>
      <c r="D3118" s="106"/>
      <c r="E3118" s="52"/>
    </row>
    <row r="3119" spans="1:5" s="103" customFormat="1" ht="13.2" hidden="1" outlineLevel="1" x14ac:dyDescent="0.25">
      <c r="A3119" s="106" t="s">
        <v>6256</v>
      </c>
      <c r="B3119" s="106" t="s">
        <v>6257</v>
      </c>
      <c r="C3119" s="106"/>
      <c r="D3119" s="106"/>
      <c r="E3119" s="52"/>
    </row>
    <row r="3120" spans="1:5" s="103" customFormat="1" ht="13.2" hidden="1" outlineLevel="1" x14ac:dyDescent="0.25">
      <c r="A3120" s="106" t="s">
        <v>6258</v>
      </c>
      <c r="B3120" s="106" t="s">
        <v>6259</v>
      </c>
      <c r="C3120" s="106"/>
      <c r="D3120" s="106"/>
      <c r="E3120" s="52"/>
    </row>
    <row r="3121" spans="1:5" s="103" customFormat="1" ht="13.2" hidden="1" outlineLevel="1" x14ac:dyDescent="0.25">
      <c r="A3121" s="106" t="s">
        <v>6260</v>
      </c>
      <c r="B3121" s="106" t="s">
        <v>6261</v>
      </c>
      <c r="C3121" s="106"/>
      <c r="D3121" s="106"/>
      <c r="E3121" s="52"/>
    </row>
    <row r="3122" spans="1:5" s="103" customFormat="1" ht="13.2" hidden="1" outlineLevel="1" x14ac:dyDescent="0.25">
      <c r="A3122" s="106" t="s">
        <v>6262</v>
      </c>
      <c r="B3122" s="106" t="s">
        <v>6263</v>
      </c>
      <c r="C3122" s="106"/>
      <c r="D3122" s="106"/>
      <c r="E3122" s="52"/>
    </row>
    <row r="3123" spans="1:5" s="103" customFormat="1" ht="13.2" hidden="1" outlineLevel="1" x14ac:dyDescent="0.25">
      <c r="A3123" s="106" t="s">
        <v>6264</v>
      </c>
      <c r="B3123" s="106" t="s">
        <v>6265</v>
      </c>
      <c r="C3123" s="106"/>
      <c r="D3123" s="106"/>
      <c r="E3123" s="52"/>
    </row>
    <row r="3124" spans="1:5" s="103" customFormat="1" ht="13.2" hidden="1" outlineLevel="1" x14ac:dyDescent="0.25">
      <c r="A3124" s="106" t="s">
        <v>6266</v>
      </c>
      <c r="B3124" s="106" t="s">
        <v>6267</v>
      </c>
      <c r="C3124" s="106"/>
      <c r="D3124" s="106"/>
      <c r="E3124" s="52"/>
    </row>
    <row r="3125" spans="1:5" s="103" customFormat="1" ht="13.2" hidden="1" outlineLevel="1" x14ac:dyDescent="0.25">
      <c r="A3125" s="106" t="s">
        <v>6268</v>
      </c>
      <c r="B3125" s="106" t="s">
        <v>6269</v>
      </c>
      <c r="C3125" s="106"/>
      <c r="D3125" s="106"/>
      <c r="E3125" s="52"/>
    </row>
    <row r="3126" spans="1:5" s="103" customFormat="1" ht="13.2" hidden="1" outlineLevel="1" x14ac:dyDescent="0.25">
      <c r="A3126" s="106" t="s">
        <v>6270</v>
      </c>
      <c r="B3126" s="106" t="s">
        <v>6271</v>
      </c>
      <c r="C3126" s="106"/>
      <c r="D3126" s="106"/>
      <c r="E3126" s="52"/>
    </row>
    <row r="3127" spans="1:5" s="103" customFormat="1" ht="13.2" hidden="1" outlineLevel="1" x14ac:dyDescent="0.25">
      <c r="A3127" s="106" t="s">
        <v>6272</v>
      </c>
      <c r="B3127" s="106" t="s">
        <v>6273</v>
      </c>
      <c r="C3127" s="106"/>
      <c r="D3127" s="106"/>
      <c r="E3127" s="52"/>
    </row>
    <row r="3128" spans="1:5" s="103" customFormat="1" ht="13.2" hidden="1" outlineLevel="1" x14ac:dyDescent="0.25">
      <c r="A3128" s="106" t="s">
        <v>6274</v>
      </c>
      <c r="B3128" s="106" t="s">
        <v>6275</v>
      </c>
      <c r="C3128" s="106"/>
      <c r="D3128" s="106"/>
      <c r="E3128" s="52"/>
    </row>
    <row r="3129" spans="1:5" s="103" customFormat="1" ht="13.2" hidden="1" outlineLevel="1" x14ac:dyDescent="0.25">
      <c r="A3129" s="106" t="s">
        <v>6276</v>
      </c>
      <c r="B3129" s="106" t="s">
        <v>6277</v>
      </c>
      <c r="C3129" s="106"/>
      <c r="D3129" s="106"/>
      <c r="E3129" s="52"/>
    </row>
    <row r="3130" spans="1:5" s="103" customFormat="1" ht="13.2" hidden="1" outlineLevel="1" x14ac:dyDescent="0.25">
      <c r="A3130" s="106" t="s">
        <v>6278</v>
      </c>
      <c r="B3130" s="106" t="s">
        <v>6279</v>
      </c>
      <c r="C3130" s="106"/>
      <c r="D3130" s="106"/>
      <c r="E3130" s="52"/>
    </row>
    <row r="3131" spans="1:5" s="103" customFormat="1" ht="13.2" hidden="1" outlineLevel="1" x14ac:dyDescent="0.25">
      <c r="A3131" s="106" t="s">
        <v>6280</v>
      </c>
      <c r="B3131" s="106" t="s">
        <v>6281</v>
      </c>
      <c r="C3131" s="106"/>
      <c r="D3131" s="106"/>
      <c r="E3131" s="52"/>
    </row>
    <row r="3132" spans="1:5" s="103" customFormat="1" ht="13.2" hidden="1" outlineLevel="1" x14ac:dyDescent="0.25">
      <c r="A3132" s="106" t="s">
        <v>6282</v>
      </c>
      <c r="B3132" s="106" t="s">
        <v>6283</v>
      </c>
      <c r="C3132" s="106"/>
      <c r="D3132" s="106"/>
      <c r="E3132" s="52"/>
    </row>
    <row r="3133" spans="1:5" s="103" customFormat="1" ht="13.2" hidden="1" outlineLevel="1" x14ac:dyDescent="0.25">
      <c r="A3133" s="106" t="s">
        <v>6284</v>
      </c>
      <c r="B3133" s="106" t="s">
        <v>6285</v>
      </c>
      <c r="C3133" s="106"/>
      <c r="D3133" s="106"/>
      <c r="E3133" s="52"/>
    </row>
    <row r="3134" spans="1:5" s="103" customFormat="1" ht="13.2" hidden="1" outlineLevel="1" x14ac:dyDescent="0.25">
      <c r="A3134" s="106" t="s">
        <v>6286</v>
      </c>
      <c r="B3134" s="106" t="s">
        <v>6287</v>
      </c>
      <c r="C3134" s="106"/>
      <c r="D3134" s="106"/>
      <c r="E3134" s="52"/>
    </row>
    <row r="3135" spans="1:5" s="103" customFormat="1" ht="13.2" hidden="1" outlineLevel="1" x14ac:dyDescent="0.25">
      <c r="A3135" s="106" t="s">
        <v>6288</v>
      </c>
      <c r="B3135" s="106" t="s">
        <v>6289</v>
      </c>
      <c r="C3135" s="106"/>
      <c r="D3135" s="106"/>
      <c r="E3135" s="52"/>
    </row>
    <row r="3136" spans="1:5" s="103" customFormat="1" ht="13.2" hidden="1" outlineLevel="1" x14ac:dyDescent="0.25">
      <c r="A3136" s="106" t="s">
        <v>6290</v>
      </c>
      <c r="B3136" s="106" t="s">
        <v>6291</v>
      </c>
      <c r="C3136" s="106"/>
      <c r="D3136" s="106"/>
      <c r="E3136" s="52"/>
    </row>
    <row r="3137" spans="1:5" s="103" customFormat="1" ht="13.2" hidden="1" outlineLevel="1" x14ac:dyDescent="0.25">
      <c r="A3137" s="106" t="s">
        <v>6292</v>
      </c>
      <c r="B3137" s="106" t="s">
        <v>6293</v>
      </c>
      <c r="C3137" s="106"/>
      <c r="D3137" s="106"/>
      <c r="E3137" s="52"/>
    </row>
    <row r="3138" spans="1:5" s="103" customFormat="1" ht="13.2" hidden="1" outlineLevel="1" x14ac:dyDescent="0.25">
      <c r="A3138" s="106" t="s">
        <v>6294</v>
      </c>
      <c r="B3138" s="106" t="s">
        <v>6295</v>
      </c>
      <c r="C3138" s="106"/>
      <c r="D3138" s="106"/>
      <c r="E3138" s="52"/>
    </row>
    <row r="3139" spans="1:5" s="103" customFormat="1" ht="13.2" hidden="1" outlineLevel="1" x14ac:dyDescent="0.25">
      <c r="A3139" s="106" t="s">
        <v>6296</v>
      </c>
      <c r="B3139" s="106" t="s">
        <v>6297</v>
      </c>
      <c r="C3139" s="106"/>
      <c r="D3139" s="106"/>
      <c r="E3139" s="52"/>
    </row>
    <row r="3140" spans="1:5" s="103" customFormat="1" ht="13.2" hidden="1" outlineLevel="1" x14ac:dyDescent="0.25">
      <c r="A3140" s="106" t="s">
        <v>6298</v>
      </c>
      <c r="B3140" s="106" t="s">
        <v>6299</v>
      </c>
      <c r="C3140" s="106"/>
      <c r="D3140" s="106"/>
      <c r="E3140" s="52"/>
    </row>
    <row r="3141" spans="1:5" s="103" customFormat="1" ht="13.2" hidden="1" outlineLevel="1" x14ac:dyDescent="0.25">
      <c r="A3141" s="106" t="s">
        <v>6300</v>
      </c>
      <c r="B3141" s="106" t="s">
        <v>6301</v>
      </c>
      <c r="C3141" s="106"/>
      <c r="D3141" s="106"/>
      <c r="E3141" s="52"/>
    </row>
    <row r="3142" spans="1:5" s="103" customFormat="1" ht="13.2" hidden="1" outlineLevel="1" x14ac:dyDescent="0.25">
      <c r="A3142" s="106" t="s">
        <v>6302</v>
      </c>
      <c r="B3142" s="106" t="s">
        <v>6303</v>
      </c>
      <c r="C3142" s="106"/>
      <c r="D3142" s="106"/>
      <c r="E3142" s="52"/>
    </row>
    <row r="3143" spans="1:5" s="103" customFormat="1" ht="13.2" hidden="1" outlineLevel="1" x14ac:dyDescent="0.25">
      <c r="A3143" s="106" t="s">
        <v>6304</v>
      </c>
      <c r="B3143" s="106" t="s">
        <v>6305</v>
      </c>
      <c r="C3143" s="106"/>
      <c r="D3143" s="106"/>
      <c r="E3143" s="52"/>
    </row>
    <row r="3144" spans="1:5" s="103" customFormat="1" ht="13.2" hidden="1" outlineLevel="1" x14ac:dyDescent="0.25">
      <c r="A3144" s="106" t="s">
        <v>6306</v>
      </c>
      <c r="B3144" s="106" t="s">
        <v>6307</v>
      </c>
      <c r="C3144" s="106"/>
      <c r="D3144" s="106"/>
      <c r="E3144" s="52"/>
    </row>
    <row r="3145" spans="1:5" s="103" customFormat="1" ht="13.2" hidden="1" outlineLevel="1" x14ac:dyDescent="0.25">
      <c r="A3145" s="106" t="s">
        <v>6308</v>
      </c>
      <c r="B3145" s="106" t="s">
        <v>6309</v>
      </c>
      <c r="C3145" s="106"/>
      <c r="D3145" s="106"/>
      <c r="E3145" s="52"/>
    </row>
    <row r="3146" spans="1:5" s="103" customFormat="1" ht="13.2" hidden="1" outlineLevel="1" x14ac:dyDescent="0.25">
      <c r="A3146" s="106" t="s">
        <v>6310</v>
      </c>
      <c r="B3146" s="106" t="s">
        <v>6311</v>
      </c>
      <c r="C3146" s="106"/>
      <c r="D3146" s="106"/>
      <c r="E3146" s="52"/>
    </row>
    <row r="3147" spans="1:5" s="103" customFormat="1" ht="13.2" hidden="1" outlineLevel="1" x14ac:dyDescent="0.25">
      <c r="A3147" s="106" t="s">
        <v>6312</v>
      </c>
      <c r="B3147" s="106" t="s">
        <v>6313</v>
      </c>
      <c r="C3147" s="106"/>
      <c r="D3147" s="106"/>
      <c r="E3147" s="52"/>
    </row>
    <row r="3148" spans="1:5" s="103" customFormat="1" ht="13.2" hidden="1" outlineLevel="1" x14ac:dyDescent="0.25">
      <c r="A3148" s="106" t="s">
        <v>6314</v>
      </c>
      <c r="B3148" s="106" t="s">
        <v>6315</v>
      </c>
      <c r="C3148" s="106"/>
      <c r="D3148" s="106"/>
      <c r="E3148" s="52"/>
    </row>
    <row r="3149" spans="1:5" s="103" customFormat="1" ht="13.2" hidden="1" outlineLevel="1" x14ac:dyDescent="0.25">
      <c r="A3149" s="106" t="s">
        <v>6316</v>
      </c>
      <c r="B3149" s="106" t="s">
        <v>6317</v>
      </c>
      <c r="C3149" s="106"/>
      <c r="D3149" s="106"/>
      <c r="E3149" s="52"/>
    </row>
    <row r="3150" spans="1:5" s="103" customFormat="1" ht="13.2" hidden="1" outlineLevel="1" x14ac:dyDescent="0.25">
      <c r="A3150" s="106" t="s">
        <v>6318</v>
      </c>
      <c r="B3150" s="106" t="s">
        <v>6319</v>
      </c>
      <c r="C3150" s="106"/>
      <c r="D3150" s="106"/>
      <c r="E3150" s="52"/>
    </row>
    <row r="3151" spans="1:5" s="103" customFormat="1" ht="13.2" hidden="1" outlineLevel="1" x14ac:dyDescent="0.25">
      <c r="A3151" s="106" t="s">
        <v>6320</v>
      </c>
      <c r="B3151" s="106" t="s">
        <v>6321</v>
      </c>
      <c r="C3151" s="106"/>
      <c r="D3151" s="106"/>
      <c r="E3151" s="52"/>
    </row>
    <row r="3152" spans="1:5" s="103" customFormat="1" ht="13.2" hidden="1" outlineLevel="1" x14ac:dyDescent="0.25">
      <c r="A3152" s="106" t="s">
        <v>6322</v>
      </c>
      <c r="B3152" s="106" t="s">
        <v>6323</v>
      </c>
      <c r="C3152" s="106"/>
      <c r="D3152" s="106"/>
      <c r="E3152" s="52"/>
    </row>
    <row r="3153" spans="1:5" s="103" customFormat="1" ht="13.2" hidden="1" outlineLevel="1" x14ac:dyDescent="0.25">
      <c r="A3153" s="106" t="s">
        <v>6324</v>
      </c>
      <c r="B3153" s="106" t="s">
        <v>6325</v>
      </c>
      <c r="C3153" s="106"/>
      <c r="D3153" s="106"/>
      <c r="E3153" s="52"/>
    </row>
    <row r="3154" spans="1:5" s="103" customFormat="1" ht="13.2" hidden="1" outlineLevel="1" x14ac:dyDescent="0.25">
      <c r="A3154" s="106" t="s">
        <v>6326</v>
      </c>
      <c r="B3154" s="106" t="s">
        <v>6327</v>
      </c>
      <c r="C3154" s="106"/>
      <c r="D3154" s="106"/>
      <c r="E3154" s="52"/>
    </row>
    <row r="3155" spans="1:5" s="103" customFormat="1" ht="13.2" hidden="1" outlineLevel="1" x14ac:dyDescent="0.25">
      <c r="A3155" s="106" t="s">
        <v>6328</v>
      </c>
      <c r="B3155" s="106" t="s">
        <v>6329</v>
      </c>
      <c r="C3155" s="106"/>
      <c r="D3155" s="106"/>
      <c r="E3155" s="52"/>
    </row>
    <row r="3156" spans="1:5" s="103" customFormat="1" ht="13.2" hidden="1" outlineLevel="1" x14ac:dyDescent="0.25">
      <c r="A3156" s="106" t="s">
        <v>6330</v>
      </c>
      <c r="B3156" s="106" t="s">
        <v>6331</v>
      </c>
      <c r="C3156" s="106"/>
      <c r="D3156" s="106"/>
      <c r="E3156" s="52"/>
    </row>
    <row r="3157" spans="1:5" s="103" customFormat="1" ht="13.2" hidden="1" outlineLevel="1" x14ac:dyDescent="0.25">
      <c r="A3157" s="106" t="s">
        <v>6332</v>
      </c>
      <c r="B3157" s="106" t="s">
        <v>6333</v>
      </c>
      <c r="C3157" s="106"/>
      <c r="D3157" s="106"/>
      <c r="E3157" s="52"/>
    </row>
    <row r="3158" spans="1:5" s="103" customFormat="1" ht="13.2" hidden="1" outlineLevel="1" x14ac:dyDescent="0.25">
      <c r="A3158" s="106" t="s">
        <v>6334</v>
      </c>
      <c r="B3158" s="106" t="s">
        <v>6335</v>
      </c>
      <c r="C3158" s="106"/>
      <c r="D3158" s="106"/>
      <c r="E3158" s="52"/>
    </row>
    <row r="3159" spans="1:5" s="103" customFormat="1" ht="13.2" hidden="1" outlineLevel="1" x14ac:dyDescent="0.25">
      <c r="A3159" s="106" t="s">
        <v>6336</v>
      </c>
      <c r="B3159" s="106" t="s">
        <v>6337</v>
      </c>
      <c r="C3159" s="106"/>
      <c r="D3159" s="106"/>
      <c r="E3159" s="52"/>
    </row>
    <row r="3160" spans="1:5" s="103" customFormat="1" ht="13.2" hidden="1" outlineLevel="1" x14ac:dyDescent="0.25">
      <c r="A3160" s="106" t="s">
        <v>6338</v>
      </c>
      <c r="B3160" s="106" t="s">
        <v>6339</v>
      </c>
      <c r="C3160" s="106"/>
      <c r="D3160" s="106"/>
      <c r="E3160" s="52"/>
    </row>
    <row r="3161" spans="1:5" s="103" customFormat="1" ht="13.2" hidden="1" outlineLevel="1" x14ac:dyDescent="0.25">
      <c r="A3161" s="106" t="s">
        <v>6340</v>
      </c>
      <c r="B3161" s="106" t="s">
        <v>6341</v>
      </c>
      <c r="C3161" s="106"/>
      <c r="D3161" s="106"/>
      <c r="E3161" s="52"/>
    </row>
    <row r="3162" spans="1:5" s="103" customFormat="1" ht="13.2" hidden="1" outlineLevel="1" x14ac:dyDescent="0.25">
      <c r="A3162" s="106" t="s">
        <v>6342</v>
      </c>
      <c r="B3162" s="106" t="s">
        <v>6343</v>
      </c>
      <c r="C3162" s="106"/>
      <c r="D3162" s="106"/>
      <c r="E3162" s="52"/>
    </row>
    <row r="3163" spans="1:5" s="103" customFormat="1" ht="13.2" hidden="1" outlineLevel="1" x14ac:dyDescent="0.25">
      <c r="A3163" s="106" t="s">
        <v>6344</v>
      </c>
      <c r="B3163" s="106" t="s">
        <v>6345</v>
      </c>
      <c r="C3163" s="106"/>
      <c r="D3163" s="106"/>
      <c r="E3163" s="52"/>
    </row>
    <row r="3164" spans="1:5" s="103" customFormat="1" ht="13.2" hidden="1" outlineLevel="1" x14ac:dyDescent="0.25">
      <c r="A3164" s="106" t="s">
        <v>6346</v>
      </c>
      <c r="B3164" s="106" t="s">
        <v>6347</v>
      </c>
      <c r="C3164" s="106"/>
      <c r="D3164" s="106"/>
      <c r="E3164" s="52"/>
    </row>
    <row r="3165" spans="1:5" s="103" customFormat="1" ht="13.2" hidden="1" outlineLevel="1" x14ac:dyDescent="0.25">
      <c r="A3165" s="106" t="s">
        <v>6348</v>
      </c>
      <c r="B3165" s="106" t="s">
        <v>6349</v>
      </c>
      <c r="C3165" s="106"/>
      <c r="D3165" s="106"/>
      <c r="E3165" s="52"/>
    </row>
    <row r="3166" spans="1:5" s="103" customFormat="1" ht="13.2" hidden="1" outlineLevel="1" x14ac:dyDescent="0.25">
      <c r="A3166" s="106" t="s">
        <v>6350</v>
      </c>
      <c r="B3166" s="106" t="s">
        <v>6351</v>
      </c>
      <c r="C3166" s="106"/>
      <c r="D3166" s="106"/>
      <c r="E3166" s="52"/>
    </row>
    <row r="3167" spans="1:5" s="103" customFormat="1" ht="13.2" hidden="1" outlineLevel="1" x14ac:dyDescent="0.25">
      <c r="A3167" s="106" t="s">
        <v>6352</v>
      </c>
      <c r="B3167" s="106" t="s">
        <v>6353</v>
      </c>
      <c r="C3167" s="106"/>
      <c r="D3167" s="106"/>
      <c r="E3167" s="52"/>
    </row>
    <row r="3168" spans="1:5" s="103" customFormat="1" ht="13.2" hidden="1" outlineLevel="1" x14ac:dyDescent="0.25">
      <c r="A3168" s="106" t="s">
        <v>6354</v>
      </c>
      <c r="B3168" s="106" t="s">
        <v>6355</v>
      </c>
      <c r="C3168" s="106"/>
      <c r="D3168" s="106"/>
      <c r="E3168" s="52"/>
    </row>
    <row r="3169" spans="1:5" s="103" customFormat="1" ht="13.2" hidden="1" outlineLevel="1" x14ac:dyDescent="0.25">
      <c r="A3169" s="106" t="s">
        <v>6356</v>
      </c>
      <c r="B3169" s="106" t="s">
        <v>6357</v>
      </c>
      <c r="C3169" s="106"/>
      <c r="D3169" s="106"/>
      <c r="E3169" s="52"/>
    </row>
    <row r="3170" spans="1:5" s="103" customFormat="1" ht="13.2" hidden="1" outlineLevel="1" x14ac:dyDescent="0.25">
      <c r="A3170" s="106" t="s">
        <v>6358</v>
      </c>
      <c r="B3170" s="106" t="s">
        <v>6359</v>
      </c>
      <c r="C3170" s="106"/>
      <c r="D3170" s="106"/>
      <c r="E3170" s="52"/>
    </row>
    <row r="3171" spans="1:5" s="103" customFormat="1" ht="13.2" hidden="1" outlineLevel="1" x14ac:dyDescent="0.25">
      <c r="A3171" s="106" t="s">
        <v>6360</v>
      </c>
      <c r="B3171" s="106" t="s">
        <v>6361</v>
      </c>
      <c r="C3171" s="106"/>
      <c r="D3171" s="106"/>
      <c r="E3171" s="52"/>
    </row>
    <row r="3172" spans="1:5" s="103" customFormat="1" ht="13.2" hidden="1" outlineLevel="1" x14ac:dyDescent="0.25">
      <c r="A3172" s="106" t="s">
        <v>6362</v>
      </c>
      <c r="B3172" s="106" t="s">
        <v>6363</v>
      </c>
      <c r="C3172" s="106"/>
      <c r="D3172" s="106"/>
      <c r="E3172" s="52"/>
    </row>
    <row r="3173" spans="1:5" s="103" customFormat="1" ht="13.2" collapsed="1" x14ac:dyDescent="0.25">
      <c r="A3173" s="104" t="s">
        <v>6364</v>
      </c>
      <c r="B3173" s="105" t="s">
        <v>6365</v>
      </c>
      <c r="C3173" s="105"/>
      <c r="D3173" s="105"/>
      <c r="E3173" s="51"/>
    </row>
    <row r="3174" spans="1:5" s="103" customFormat="1" ht="13.2" hidden="1" outlineLevel="1" x14ac:dyDescent="0.25">
      <c r="A3174" s="106" t="s">
        <v>6366</v>
      </c>
      <c r="B3174" s="106" t="s">
        <v>6367</v>
      </c>
      <c r="C3174" s="106"/>
      <c r="D3174" s="106"/>
      <c r="E3174" s="52"/>
    </row>
    <row r="3175" spans="1:5" s="103" customFormat="1" ht="13.2" hidden="1" outlineLevel="1" x14ac:dyDescent="0.25">
      <c r="A3175" s="106" t="s">
        <v>6368</v>
      </c>
      <c r="B3175" s="106" t="s">
        <v>6369</v>
      </c>
      <c r="C3175" s="106"/>
      <c r="D3175" s="106"/>
      <c r="E3175" s="52"/>
    </row>
    <row r="3176" spans="1:5" s="103" customFormat="1" ht="13.2" hidden="1" outlineLevel="1" x14ac:dyDescent="0.25">
      <c r="A3176" s="106" t="s">
        <v>6370</v>
      </c>
      <c r="B3176" s="106" t="s">
        <v>6371</v>
      </c>
      <c r="C3176" s="106"/>
      <c r="D3176" s="106"/>
      <c r="E3176" s="52"/>
    </row>
    <row r="3177" spans="1:5" s="103" customFormat="1" ht="13.2" hidden="1" outlineLevel="1" x14ac:dyDescent="0.25">
      <c r="A3177" s="106" t="s">
        <v>6372</v>
      </c>
      <c r="B3177" s="106" t="s">
        <v>6373</v>
      </c>
      <c r="C3177" s="106"/>
      <c r="D3177" s="106"/>
      <c r="E3177" s="52"/>
    </row>
    <row r="3178" spans="1:5" s="103" customFormat="1" ht="13.2" hidden="1" outlineLevel="1" x14ac:dyDescent="0.25">
      <c r="A3178" s="106" t="s">
        <v>6374</v>
      </c>
      <c r="B3178" s="106" t="s">
        <v>6375</v>
      </c>
      <c r="C3178" s="106"/>
      <c r="D3178" s="106"/>
      <c r="E3178" s="52"/>
    </row>
    <row r="3179" spans="1:5" s="103" customFormat="1" ht="13.2" hidden="1" outlineLevel="1" x14ac:dyDescent="0.25">
      <c r="A3179" s="106" t="s">
        <v>6376</v>
      </c>
      <c r="B3179" s="106" t="s">
        <v>6377</v>
      </c>
      <c r="C3179" s="106"/>
      <c r="D3179" s="106"/>
      <c r="E3179" s="52"/>
    </row>
    <row r="3180" spans="1:5" s="103" customFormat="1" ht="13.2" hidden="1" outlineLevel="1" x14ac:dyDescent="0.25">
      <c r="A3180" s="106" t="s">
        <v>6378</v>
      </c>
      <c r="B3180" s="106" t="s">
        <v>6379</v>
      </c>
      <c r="C3180" s="106"/>
      <c r="D3180" s="106"/>
      <c r="E3180" s="52"/>
    </row>
    <row r="3181" spans="1:5" s="103" customFormat="1" ht="13.2" hidden="1" outlineLevel="1" x14ac:dyDescent="0.25">
      <c r="A3181" s="106" t="s">
        <v>6380</v>
      </c>
      <c r="B3181" s="106" t="s">
        <v>6381</v>
      </c>
      <c r="C3181" s="106"/>
      <c r="D3181" s="106"/>
      <c r="E3181" s="52"/>
    </row>
    <row r="3182" spans="1:5" s="103" customFormat="1" ht="13.2" hidden="1" outlineLevel="1" x14ac:dyDescent="0.25">
      <c r="A3182" s="106" t="s">
        <v>6382</v>
      </c>
      <c r="B3182" s="106" t="s">
        <v>6383</v>
      </c>
      <c r="C3182" s="106"/>
      <c r="D3182" s="106"/>
      <c r="E3182" s="52"/>
    </row>
    <row r="3183" spans="1:5" s="103" customFormat="1" ht="13.2" hidden="1" outlineLevel="1" x14ac:dyDescent="0.25">
      <c r="A3183" s="106" t="s">
        <v>6384</v>
      </c>
      <c r="B3183" s="106" t="s">
        <v>6385</v>
      </c>
      <c r="C3183" s="106"/>
      <c r="D3183" s="106"/>
      <c r="E3183" s="52"/>
    </row>
    <row r="3184" spans="1:5" s="103" customFormat="1" ht="13.2" hidden="1" outlineLevel="1" x14ac:dyDescent="0.25">
      <c r="A3184" s="106" t="s">
        <v>6386</v>
      </c>
      <c r="B3184" s="106" t="s">
        <v>6387</v>
      </c>
      <c r="C3184" s="106"/>
      <c r="D3184" s="106"/>
      <c r="E3184" s="52"/>
    </row>
    <row r="3185" spans="1:5" s="103" customFormat="1" ht="13.2" hidden="1" outlineLevel="1" x14ac:dyDescent="0.25">
      <c r="A3185" s="106" t="s">
        <v>6388</v>
      </c>
      <c r="B3185" s="106" t="s">
        <v>6389</v>
      </c>
      <c r="C3185" s="106"/>
      <c r="D3185" s="106"/>
      <c r="E3185" s="52"/>
    </row>
    <row r="3186" spans="1:5" s="103" customFormat="1" ht="13.2" hidden="1" outlineLevel="1" x14ac:dyDescent="0.25">
      <c r="A3186" s="106" t="s">
        <v>6390</v>
      </c>
      <c r="B3186" s="106" t="s">
        <v>6391</v>
      </c>
      <c r="C3186" s="106"/>
      <c r="D3186" s="106"/>
      <c r="E3186" s="52"/>
    </row>
    <row r="3187" spans="1:5" s="103" customFormat="1" ht="13.2" hidden="1" outlineLevel="1" x14ac:dyDescent="0.25">
      <c r="A3187" s="106" t="s">
        <v>6392</v>
      </c>
      <c r="B3187" s="106" t="s">
        <v>6393</v>
      </c>
      <c r="C3187" s="106"/>
      <c r="D3187" s="106"/>
      <c r="E3187" s="52"/>
    </row>
    <row r="3188" spans="1:5" s="103" customFormat="1" ht="13.2" hidden="1" outlineLevel="1" x14ac:dyDescent="0.25">
      <c r="A3188" s="106" t="s">
        <v>6394</v>
      </c>
      <c r="B3188" s="106" t="s">
        <v>6395</v>
      </c>
      <c r="C3188" s="106"/>
      <c r="D3188" s="106"/>
      <c r="E3188" s="52"/>
    </row>
    <row r="3189" spans="1:5" s="103" customFormat="1" ht="13.2" hidden="1" outlineLevel="1" x14ac:dyDescent="0.25">
      <c r="A3189" s="106" t="s">
        <v>6396</v>
      </c>
      <c r="B3189" s="106" t="s">
        <v>6397</v>
      </c>
      <c r="C3189" s="106"/>
      <c r="D3189" s="106"/>
      <c r="E3189" s="52"/>
    </row>
    <row r="3190" spans="1:5" s="103" customFormat="1" ht="13.2" hidden="1" outlineLevel="1" x14ac:dyDescent="0.25">
      <c r="A3190" s="106" t="s">
        <v>6398</v>
      </c>
      <c r="B3190" s="106" t="s">
        <v>6399</v>
      </c>
      <c r="C3190" s="106"/>
      <c r="D3190" s="106"/>
      <c r="E3190" s="52"/>
    </row>
    <row r="3191" spans="1:5" s="103" customFormat="1" ht="13.2" hidden="1" outlineLevel="1" x14ac:dyDescent="0.25">
      <c r="A3191" s="106" t="s">
        <v>6400</v>
      </c>
      <c r="B3191" s="106" t="s">
        <v>6401</v>
      </c>
      <c r="C3191" s="106"/>
      <c r="D3191" s="106"/>
      <c r="E3191" s="52"/>
    </row>
    <row r="3192" spans="1:5" s="103" customFormat="1" ht="13.2" hidden="1" outlineLevel="1" x14ac:dyDescent="0.25">
      <c r="A3192" s="106" t="s">
        <v>6402</v>
      </c>
      <c r="B3192" s="106" t="s">
        <v>6403</v>
      </c>
      <c r="C3192" s="106"/>
      <c r="D3192" s="106"/>
      <c r="E3192" s="52"/>
    </row>
    <row r="3193" spans="1:5" s="103" customFormat="1" ht="13.2" hidden="1" outlineLevel="1" x14ac:dyDescent="0.25">
      <c r="A3193" s="106" t="s">
        <v>6404</v>
      </c>
      <c r="B3193" s="106" t="s">
        <v>6405</v>
      </c>
      <c r="C3193" s="106"/>
      <c r="D3193" s="106"/>
      <c r="E3193" s="52"/>
    </row>
    <row r="3194" spans="1:5" s="103" customFormat="1" ht="13.2" hidden="1" outlineLevel="1" x14ac:dyDescent="0.25">
      <c r="A3194" s="106" t="s">
        <v>6406</v>
      </c>
      <c r="B3194" s="106" t="s">
        <v>6407</v>
      </c>
      <c r="C3194" s="106"/>
      <c r="D3194" s="106"/>
      <c r="E3194" s="52"/>
    </row>
    <row r="3195" spans="1:5" s="103" customFormat="1" ht="13.2" hidden="1" outlineLevel="1" x14ac:dyDescent="0.25">
      <c r="A3195" s="106" t="s">
        <v>6408</v>
      </c>
      <c r="B3195" s="106" t="s">
        <v>6409</v>
      </c>
      <c r="C3195" s="106"/>
      <c r="D3195" s="106"/>
      <c r="E3195" s="52"/>
    </row>
    <row r="3196" spans="1:5" s="103" customFormat="1" ht="13.2" hidden="1" outlineLevel="1" x14ac:dyDescent="0.25">
      <c r="A3196" s="106" t="s">
        <v>6410</v>
      </c>
      <c r="B3196" s="106" t="s">
        <v>6411</v>
      </c>
      <c r="C3196" s="106"/>
      <c r="D3196" s="106"/>
      <c r="E3196" s="52"/>
    </row>
    <row r="3197" spans="1:5" s="103" customFormat="1" ht="13.2" hidden="1" outlineLevel="1" x14ac:dyDescent="0.25">
      <c r="A3197" s="106" t="s">
        <v>6412</v>
      </c>
      <c r="B3197" s="106" t="s">
        <v>6413</v>
      </c>
      <c r="C3197" s="106"/>
      <c r="D3197" s="106"/>
      <c r="E3197" s="52"/>
    </row>
    <row r="3198" spans="1:5" s="103" customFormat="1" ht="13.2" hidden="1" outlineLevel="1" x14ac:dyDescent="0.25">
      <c r="A3198" s="106" t="s">
        <v>6414</v>
      </c>
      <c r="B3198" s="106" t="s">
        <v>6415</v>
      </c>
      <c r="C3198" s="106"/>
      <c r="D3198" s="106"/>
      <c r="E3198" s="52"/>
    </row>
    <row r="3199" spans="1:5" s="103" customFormat="1" ht="13.2" hidden="1" outlineLevel="1" x14ac:dyDescent="0.25">
      <c r="A3199" s="106" t="s">
        <v>6416</v>
      </c>
      <c r="B3199" s="106" t="s">
        <v>6417</v>
      </c>
      <c r="C3199" s="106"/>
      <c r="D3199" s="106"/>
      <c r="E3199" s="52"/>
    </row>
    <row r="3200" spans="1:5" s="103" customFormat="1" ht="13.2" hidden="1" outlineLevel="1" x14ac:dyDescent="0.25">
      <c r="A3200" s="106" t="s">
        <v>6418</v>
      </c>
      <c r="B3200" s="106" t="s">
        <v>6419</v>
      </c>
      <c r="C3200" s="106"/>
      <c r="D3200" s="106"/>
      <c r="E3200" s="52"/>
    </row>
    <row r="3201" spans="1:5" s="103" customFormat="1" ht="13.2" hidden="1" outlineLevel="1" x14ac:dyDescent="0.25">
      <c r="A3201" s="106" t="s">
        <v>6420</v>
      </c>
      <c r="B3201" s="106" t="s">
        <v>6421</v>
      </c>
      <c r="C3201" s="106"/>
      <c r="D3201" s="106"/>
      <c r="E3201" s="52"/>
    </row>
    <row r="3202" spans="1:5" s="103" customFormat="1" ht="13.2" hidden="1" outlineLevel="1" x14ac:dyDescent="0.25">
      <c r="A3202" s="106" t="s">
        <v>6422</v>
      </c>
      <c r="B3202" s="106" t="s">
        <v>6423</v>
      </c>
      <c r="C3202" s="106"/>
      <c r="D3202" s="106"/>
      <c r="E3202" s="52"/>
    </row>
    <row r="3203" spans="1:5" s="103" customFormat="1" ht="13.2" hidden="1" outlineLevel="1" x14ac:dyDescent="0.25">
      <c r="A3203" s="106" t="s">
        <v>6424</v>
      </c>
      <c r="B3203" s="106" t="s">
        <v>6425</v>
      </c>
      <c r="C3203" s="106"/>
      <c r="D3203" s="106"/>
      <c r="E3203" s="52"/>
    </row>
    <row r="3204" spans="1:5" s="103" customFormat="1" ht="13.2" hidden="1" outlineLevel="1" x14ac:dyDescent="0.25">
      <c r="A3204" s="106" t="s">
        <v>6426</v>
      </c>
      <c r="B3204" s="106" t="s">
        <v>6427</v>
      </c>
      <c r="C3204" s="106"/>
      <c r="D3204" s="106"/>
      <c r="E3204" s="52"/>
    </row>
    <row r="3205" spans="1:5" s="103" customFormat="1" ht="13.2" hidden="1" outlineLevel="1" x14ac:dyDescent="0.25">
      <c r="A3205" s="106" t="s">
        <v>6428</v>
      </c>
      <c r="B3205" s="106" t="s">
        <v>6429</v>
      </c>
      <c r="C3205" s="106"/>
      <c r="D3205" s="106"/>
      <c r="E3205" s="52"/>
    </row>
    <row r="3206" spans="1:5" s="103" customFormat="1" ht="13.2" hidden="1" outlineLevel="1" x14ac:dyDescent="0.25">
      <c r="A3206" s="106" t="s">
        <v>6430</v>
      </c>
      <c r="B3206" s="106" t="s">
        <v>6431</v>
      </c>
      <c r="C3206" s="106"/>
      <c r="D3206" s="106"/>
      <c r="E3206" s="52"/>
    </row>
    <row r="3207" spans="1:5" s="103" customFormat="1" ht="13.2" hidden="1" outlineLevel="1" x14ac:dyDescent="0.25">
      <c r="A3207" s="106" t="s">
        <v>6432</v>
      </c>
      <c r="B3207" s="106" t="s">
        <v>6433</v>
      </c>
      <c r="C3207" s="106"/>
      <c r="D3207" s="106"/>
      <c r="E3207" s="52"/>
    </row>
    <row r="3208" spans="1:5" s="103" customFormat="1" ht="13.2" hidden="1" outlineLevel="1" x14ac:dyDescent="0.25">
      <c r="A3208" s="106" t="s">
        <v>6434</v>
      </c>
      <c r="B3208" s="106" t="s">
        <v>6435</v>
      </c>
      <c r="C3208" s="106"/>
      <c r="D3208" s="106"/>
      <c r="E3208" s="52"/>
    </row>
    <row r="3209" spans="1:5" s="103" customFormat="1" ht="13.2" hidden="1" outlineLevel="1" x14ac:dyDescent="0.25">
      <c r="A3209" s="106" t="s">
        <v>6436</v>
      </c>
      <c r="B3209" s="106" t="s">
        <v>6437</v>
      </c>
      <c r="C3209" s="106"/>
      <c r="D3209" s="106"/>
      <c r="E3209" s="52"/>
    </row>
    <row r="3210" spans="1:5" s="103" customFormat="1" ht="13.2" hidden="1" outlineLevel="1" x14ac:dyDescent="0.25">
      <c r="A3210" s="106" t="s">
        <v>6438</v>
      </c>
      <c r="B3210" s="106" t="s">
        <v>6439</v>
      </c>
      <c r="C3210" s="106"/>
      <c r="D3210" s="106"/>
      <c r="E3210" s="52"/>
    </row>
    <row r="3211" spans="1:5" s="103" customFormat="1" ht="13.2" hidden="1" outlineLevel="1" x14ac:dyDescent="0.25">
      <c r="A3211" s="106" t="s">
        <v>6440</v>
      </c>
      <c r="B3211" s="106" t="s">
        <v>6441</v>
      </c>
      <c r="C3211" s="106"/>
      <c r="D3211" s="106"/>
      <c r="E3211" s="52"/>
    </row>
    <row r="3212" spans="1:5" s="103" customFormat="1" ht="13.2" hidden="1" outlineLevel="1" x14ac:dyDescent="0.25">
      <c r="A3212" s="106" t="s">
        <v>6442</v>
      </c>
      <c r="B3212" s="106" t="s">
        <v>6443</v>
      </c>
      <c r="C3212" s="106"/>
      <c r="D3212" s="106"/>
      <c r="E3212" s="52"/>
    </row>
    <row r="3213" spans="1:5" s="103" customFormat="1" ht="13.2" hidden="1" outlineLevel="1" x14ac:dyDescent="0.25">
      <c r="A3213" s="106" t="s">
        <v>6444</v>
      </c>
      <c r="B3213" s="106" t="s">
        <v>6445</v>
      </c>
      <c r="C3213" s="106"/>
      <c r="D3213" s="106"/>
      <c r="E3213" s="52"/>
    </row>
    <row r="3214" spans="1:5" s="103" customFormat="1" ht="13.2" hidden="1" outlineLevel="1" x14ac:dyDescent="0.25">
      <c r="A3214" s="106" t="s">
        <v>6446</v>
      </c>
      <c r="B3214" s="106" t="s">
        <v>6447</v>
      </c>
      <c r="C3214" s="106"/>
      <c r="D3214" s="106"/>
      <c r="E3214" s="52"/>
    </row>
    <row r="3215" spans="1:5" s="103" customFormat="1" ht="13.2" hidden="1" outlineLevel="1" x14ac:dyDescent="0.25">
      <c r="A3215" s="106" t="s">
        <v>6448</v>
      </c>
      <c r="B3215" s="106" t="s">
        <v>6449</v>
      </c>
      <c r="C3215" s="106"/>
      <c r="D3215" s="106"/>
      <c r="E3215" s="52"/>
    </row>
    <row r="3216" spans="1:5" s="103" customFormat="1" ht="13.2" hidden="1" outlineLevel="1" x14ac:dyDescent="0.25">
      <c r="A3216" s="106" t="s">
        <v>6450</v>
      </c>
      <c r="B3216" s="106" t="s">
        <v>6451</v>
      </c>
      <c r="C3216" s="106"/>
      <c r="D3216" s="106"/>
      <c r="E3216" s="52"/>
    </row>
    <row r="3217" spans="1:5" s="103" customFormat="1" ht="13.2" hidden="1" outlineLevel="1" x14ac:dyDescent="0.25">
      <c r="A3217" s="106" t="s">
        <v>6452</v>
      </c>
      <c r="B3217" s="106" t="s">
        <v>6453</v>
      </c>
      <c r="C3217" s="106"/>
      <c r="D3217" s="106"/>
      <c r="E3217" s="52"/>
    </row>
    <row r="3218" spans="1:5" s="103" customFormat="1" ht="13.2" hidden="1" outlineLevel="1" x14ac:dyDescent="0.25">
      <c r="A3218" s="106" t="s">
        <v>6454</v>
      </c>
      <c r="B3218" s="106" t="s">
        <v>6455</v>
      </c>
      <c r="C3218" s="106"/>
      <c r="D3218" s="106"/>
      <c r="E3218" s="52"/>
    </row>
    <row r="3219" spans="1:5" s="103" customFormat="1" ht="13.2" hidden="1" outlineLevel="1" x14ac:dyDescent="0.25">
      <c r="A3219" s="106" t="s">
        <v>6456</v>
      </c>
      <c r="B3219" s="106" t="s">
        <v>6457</v>
      </c>
      <c r="C3219" s="106"/>
      <c r="D3219" s="106"/>
      <c r="E3219" s="52"/>
    </row>
    <row r="3220" spans="1:5" s="103" customFormat="1" ht="13.2" hidden="1" outlineLevel="1" x14ac:dyDescent="0.25">
      <c r="A3220" s="106" t="s">
        <v>6458</v>
      </c>
      <c r="B3220" s="106" t="s">
        <v>6459</v>
      </c>
      <c r="C3220" s="106"/>
      <c r="D3220" s="106"/>
      <c r="E3220" s="52"/>
    </row>
    <row r="3221" spans="1:5" s="103" customFormat="1" ht="13.2" hidden="1" outlineLevel="1" x14ac:dyDescent="0.25">
      <c r="A3221" s="106" t="s">
        <v>6460</v>
      </c>
      <c r="B3221" s="106" t="s">
        <v>6461</v>
      </c>
      <c r="C3221" s="106"/>
      <c r="D3221" s="106"/>
      <c r="E3221" s="52"/>
    </row>
    <row r="3222" spans="1:5" s="103" customFormat="1" ht="13.2" hidden="1" outlineLevel="1" x14ac:dyDescent="0.25">
      <c r="A3222" s="106" t="s">
        <v>6462</v>
      </c>
      <c r="B3222" s="106" t="s">
        <v>6463</v>
      </c>
      <c r="C3222" s="106"/>
      <c r="D3222" s="106"/>
      <c r="E3222" s="52"/>
    </row>
    <row r="3223" spans="1:5" s="103" customFormat="1" ht="13.2" hidden="1" outlineLevel="1" x14ac:dyDescent="0.25">
      <c r="A3223" s="106" t="s">
        <v>6464</v>
      </c>
      <c r="B3223" s="106" t="s">
        <v>6465</v>
      </c>
      <c r="C3223" s="106"/>
      <c r="D3223" s="106"/>
      <c r="E3223" s="52"/>
    </row>
    <row r="3224" spans="1:5" s="103" customFormat="1" ht="13.2" hidden="1" outlineLevel="1" x14ac:dyDescent="0.25">
      <c r="A3224" s="106" t="s">
        <v>6466</v>
      </c>
      <c r="B3224" s="106" t="s">
        <v>6467</v>
      </c>
      <c r="C3224" s="106"/>
      <c r="D3224" s="106"/>
      <c r="E3224" s="52"/>
    </row>
    <row r="3225" spans="1:5" s="103" customFormat="1" ht="13.2" hidden="1" outlineLevel="1" x14ac:dyDescent="0.25">
      <c r="A3225" s="106" t="s">
        <v>6468</v>
      </c>
      <c r="B3225" s="106" t="s">
        <v>6469</v>
      </c>
      <c r="C3225" s="106"/>
      <c r="D3225" s="106"/>
      <c r="E3225" s="52"/>
    </row>
    <row r="3226" spans="1:5" s="103" customFormat="1" ht="13.2" hidden="1" outlineLevel="1" x14ac:dyDescent="0.25">
      <c r="A3226" s="106" t="s">
        <v>6470</v>
      </c>
      <c r="B3226" s="106" t="s">
        <v>6471</v>
      </c>
      <c r="C3226" s="106"/>
      <c r="D3226" s="106"/>
      <c r="E3226" s="52"/>
    </row>
    <row r="3227" spans="1:5" s="103" customFormat="1" ht="13.2" hidden="1" outlineLevel="1" x14ac:dyDescent="0.25">
      <c r="A3227" s="106" t="s">
        <v>6472</v>
      </c>
      <c r="B3227" s="106" t="s">
        <v>6473</v>
      </c>
      <c r="C3227" s="106"/>
      <c r="D3227" s="106"/>
      <c r="E3227" s="52"/>
    </row>
    <row r="3228" spans="1:5" s="103" customFormat="1" ht="13.2" hidden="1" outlineLevel="1" x14ac:dyDescent="0.25">
      <c r="A3228" s="106" t="s">
        <v>6474</v>
      </c>
      <c r="B3228" s="106" t="s">
        <v>6475</v>
      </c>
      <c r="C3228" s="106"/>
      <c r="D3228" s="106"/>
      <c r="E3228" s="52"/>
    </row>
    <row r="3229" spans="1:5" s="103" customFormat="1" ht="13.2" hidden="1" outlineLevel="1" x14ac:dyDescent="0.25">
      <c r="A3229" s="106" t="s">
        <v>6476</v>
      </c>
      <c r="B3229" s="106" t="s">
        <v>6477</v>
      </c>
      <c r="C3229" s="106"/>
      <c r="D3229" s="106"/>
      <c r="E3229" s="52"/>
    </row>
    <row r="3230" spans="1:5" s="103" customFormat="1" ht="13.2" hidden="1" outlineLevel="1" x14ac:dyDescent="0.25">
      <c r="A3230" s="106" t="s">
        <v>6478</v>
      </c>
      <c r="B3230" s="106" t="s">
        <v>6479</v>
      </c>
      <c r="C3230" s="106"/>
      <c r="D3230" s="106"/>
      <c r="E3230" s="52"/>
    </row>
    <row r="3231" spans="1:5" s="103" customFormat="1" ht="13.2" hidden="1" outlineLevel="1" x14ac:dyDescent="0.25">
      <c r="A3231" s="106" t="s">
        <v>6480</v>
      </c>
      <c r="B3231" s="106" t="s">
        <v>6481</v>
      </c>
      <c r="C3231" s="106"/>
      <c r="D3231" s="106"/>
      <c r="E3231" s="52"/>
    </row>
    <row r="3232" spans="1:5" s="103" customFormat="1" ht="13.2" hidden="1" outlineLevel="1" x14ac:dyDescent="0.25">
      <c r="A3232" s="106" t="s">
        <v>6482</v>
      </c>
      <c r="B3232" s="106" t="s">
        <v>6483</v>
      </c>
      <c r="C3232" s="106"/>
      <c r="D3232" s="106"/>
      <c r="E3232" s="52"/>
    </row>
    <row r="3233" spans="1:5" s="103" customFormat="1" ht="13.2" hidden="1" outlineLevel="1" x14ac:dyDescent="0.25">
      <c r="A3233" s="106" t="s">
        <v>6484</v>
      </c>
      <c r="B3233" s="106" t="s">
        <v>6485</v>
      </c>
      <c r="C3233" s="106"/>
      <c r="D3233" s="106"/>
      <c r="E3233" s="52"/>
    </row>
    <row r="3234" spans="1:5" s="103" customFormat="1" ht="13.2" hidden="1" outlineLevel="1" x14ac:dyDescent="0.25">
      <c r="A3234" s="106" t="s">
        <v>6486</v>
      </c>
      <c r="B3234" s="106" t="s">
        <v>6487</v>
      </c>
      <c r="C3234" s="106"/>
      <c r="D3234" s="106"/>
      <c r="E3234" s="52"/>
    </row>
    <row r="3235" spans="1:5" s="103" customFormat="1" ht="13.2" hidden="1" outlineLevel="1" x14ac:dyDescent="0.25">
      <c r="A3235" s="106" t="s">
        <v>6488</v>
      </c>
      <c r="B3235" s="106" t="s">
        <v>6489</v>
      </c>
      <c r="C3235" s="106"/>
      <c r="D3235" s="106"/>
      <c r="E3235" s="52"/>
    </row>
    <row r="3236" spans="1:5" s="103" customFormat="1" ht="13.2" hidden="1" outlineLevel="1" x14ac:dyDescent="0.25">
      <c r="A3236" s="106" t="s">
        <v>6490</v>
      </c>
      <c r="B3236" s="106" t="s">
        <v>6491</v>
      </c>
      <c r="C3236" s="106"/>
      <c r="D3236" s="106"/>
      <c r="E3236" s="52"/>
    </row>
    <row r="3237" spans="1:5" s="103" customFormat="1" ht="13.2" hidden="1" outlineLevel="1" x14ac:dyDescent="0.25">
      <c r="A3237" s="106" t="s">
        <v>6492</v>
      </c>
      <c r="B3237" s="106" t="s">
        <v>6493</v>
      </c>
      <c r="C3237" s="106"/>
      <c r="D3237" s="106"/>
      <c r="E3237" s="52"/>
    </row>
    <row r="3238" spans="1:5" s="103" customFormat="1" ht="13.2" hidden="1" outlineLevel="1" x14ac:dyDescent="0.25">
      <c r="A3238" s="106" t="s">
        <v>6494</v>
      </c>
      <c r="B3238" s="106" t="s">
        <v>6495</v>
      </c>
      <c r="C3238" s="106"/>
      <c r="D3238" s="106"/>
      <c r="E3238" s="52"/>
    </row>
    <row r="3239" spans="1:5" s="103" customFormat="1" ht="13.2" hidden="1" outlineLevel="1" x14ac:dyDescent="0.25">
      <c r="A3239" s="106" t="s">
        <v>6496</v>
      </c>
      <c r="B3239" s="106" t="s">
        <v>6497</v>
      </c>
      <c r="C3239" s="106"/>
      <c r="D3239" s="106"/>
      <c r="E3239" s="52"/>
    </row>
    <row r="3240" spans="1:5" s="103" customFormat="1" ht="13.2" hidden="1" outlineLevel="1" x14ac:dyDescent="0.25">
      <c r="A3240" s="106" t="s">
        <v>6498</v>
      </c>
      <c r="B3240" s="106" t="s">
        <v>6499</v>
      </c>
      <c r="C3240" s="106"/>
      <c r="D3240" s="106"/>
      <c r="E3240" s="52"/>
    </row>
    <row r="3241" spans="1:5" s="103" customFormat="1" ht="13.2" hidden="1" outlineLevel="1" x14ac:dyDescent="0.25">
      <c r="A3241" s="106" t="s">
        <v>6500</v>
      </c>
      <c r="B3241" s="106" t="s">
        <v>6501</v>
      </c>
      <c r="C3241" s="106"/>
      <c r="D3241" s="106"/>
      <c r="E3241" s="52"/>
    </row>
    <row r="3242" spans="1:5" s="103" customFormat="1" ht="13.2" hidden="1" outlineLevel="1" x14ac:dyDescent="0.25">
      <c r="A3242" s="106" t="s">
        <v>6502</v>
      </c>
      <c r="B3242" s="106" t="s">
        <v>6503</v>
      </c>
      <c r="C3242" s="106"/>
      <c r="D3242" s="106"/>
      <c r="E3242" s="52"/>
    </row>
    <row r="3243" spans="1:5" s="103" customFormat="1" ht="13.2" hidden="1" outlineLevel="1" x14ac:dyDescent="0.25">
      <c r="A3243" s="106" t="s">
        <v>6504</v>
      </c>
      <c r="B3243" s="106" t="s">
        <v>6505</v>
      </c>
      <c r="C3243" s="106"/>
      <c r="D3243" s="106"/>
      <c r="E3243" s="52"/>
    </row>
    <row r="3244" spans="1:5" s="103" customFormat="1" ht="13.2" hidden="1" outlineLevel="1" x14ac:dyDescent="0.25">
      <c r="A3244" s="106" t="s">
        <v>6506</v>
      </c>
      <c r="B3244" s="106" t="s">
        <v>6507</v>
      </c>
      <c r="C3244" s="106"/>
      <c r="D3244" s="106"/>
      <c r="E3244" s="52"/>
    </row>
    <row r="3245" spans="1:5" s="103" customFormat="1" ht="13.2" hidden="1" outlineLevel="1" x14ac:dyDescent="0.25">
      <c r="A3245" s="106" t="s">
        <v>6508</v>
      </c>
      <c r="B3245" s="106" t="s">
        <v>6509</v>
      </c>
      <c r="C3245" s="106"/>
      <c r="D3245" s="106"/>
      <c r="E3245" s="52"/>
    </row>
    <row r="3246" spans="1:5" s="103" customFormat="1" ht="13.2" hidden="1" outlineLevel="1" x14ac:dyDescent="0.25">
      <c r="A3246" s="106" t="s">
        <v>6510</v>
      </c>
      <c r="B3246" s="106" t="s">
        <v>6511</v>
      </c>
      <c r="C3246" s="106"/>
      <c r="D3246" s="106"/>
      <c r="E3246" s="52"/>
    </row>
    <row r="3247" spans="1:5" s="103" customFormat="1" ht="13.2" hidden="1" outlineLevel="1" x14ac:dyDescent="0.25">
      <c r="A3247" s="106" t="s">
        <v>6512</v>
      </c>
      <c r="B3247" s="106" t="s">
        <v>6513</v>
      </c>
      <c r="C3247" s="106"/>
      <c r="D3247" s="106"/>
      <c r="E3247" s="52"/>
    </row>
    <row r="3248" spans="1:5" s="103" customFormat="1" ht="13.2" hidden="1" outlineLevel="1" x14ac:dyDescent="0.25">
      <c r="A3248" s="106" t="s">
        <v>6514</v>
      </c>
      <c r="B3248" s="106" t="s">
        <v>6515</v>
      </c>
      <c r="C3248" s="106"/>
      <c r="D3248" s="106"/>
      <c r="E3248" s="52"/>
    </row>
    <row r="3249" spans="1:5" s="103" customFormat="1" ht="13.2" hidden="1" outlineLevel="1" x14ac:dyDescent="0.25">
      <c r="A3249" s="106" t="s">
        <v>6516</v>
      </c>
      <c r="B3249" s="106" t="s">
        <v>6517</v>
      </c>
      <c r="C3249" s="106"/>
      <c r="D3249" s="106"/>
      <c r="E3249" s="52"/>
    </row>
    <row r="3250" spans="1:5" s="103" customFormat="1" ht="13.2" hidden="1" outlineLevel="1" x14ac:dyDescent="0.25">
      <c r="A3250" s="106" t="s">
        <v>6518</v>
      </c>
      <c r="B3250" s="106" t="s">
        <v>6519</v>
      </c>
      <c r="C3250" s="106"/>
      <c r="D3250" s="106"/>
      <c r="E3250" s="52"/>
    </row>
    <row r="3251" spans="1:5" s="103" customFormat="1" ht="13.2" hidden="1" outlineLevel="1" x14ac:dyDescent="0.25">
      <c r="A3251" s="106" t="s">
        <v>6520</v>
      </c>
      <c r="B3251" s="106" t="s">
        <v>6521</v>
      </c>
      <c r="C3251" s="106"/>
      <c r="D3251" s="106"/>
      <c r="E3251" s="52"/>
    </row>
    <row r="3252" spans="1:5" s="103" customFormat="1" ht="13.2" hidden="1" outlineLevel="1" x14ac:dyDescent="0.25">
      <c r="A3252" s="106" t="s">
        <v>6522</v>
      </c>
      <c r="B3252" s="106" t="s">
        <v>6523</v>
      </c>
      <c r="C3252" s="106"/>
      <c r="D3252" s="106"/>
      <c r="E3252" s="52"/>
    </row>
    <row r="3253" spans="1:5" s="103" customFormat="1" ht="13.2" hidden="1" outlineLevel="1" x14ac:dyDescent="0.25">
      <c r="A3253" s="106" t="s">
        <v>6524</v>
      </c>
      <c r="B3253" s="106" t="s">
        <v>6525</v>
      </c>
      <c r="C3253" s="106"/>
      <c r="D3253" s="106"/>
      <c r="E3253" s="52"/>
    </row>
    <row r="3254" spans="1:5" s="103" customFormat="1" ht="13.2" hidden="1" outlineLevel="1" x14ac:dyDescent="0.25">
      <c r="A3254" s="106" t="s">
        <v>6526</v>
      </c>
      <c r="B3254" s="106" t="s">
        <v>6527</v>
      </c>
      <c r="C3254" s="106"/>
      <c r="D3254" s="106"/>
      <c r="E3254" s="52"/>
    </row>
    <row r="3255" spans="1:5" s="103" customFormat="1" ht="13.2" hidden="1" outlineLevel="1" x14ac:dyDescent="0.25">
      <c r="A3255" s="106" t="s">
        <v>6528</v>
      </c>
      <c r="B3255" s="106" t="s">
        <v>6529</v>
      </c>
      <c r="C3255" s="106"/>
      <c r="D3255" s="106"/>
      <c r="E3255" s="52"/>
    </row>
    <row r="3256" spans="1:5" s="103" customFormat="1" ht="13.2" hidden="1" outlineLevel="1" x14ac:dyDescent="0.25">
      <c r="A3256" s="106" t="s">
        <v>6530</v>
      </c>
      <c r="B3256" s="106" t="s">
        <v>6531</v>
      </c>
      <c r="C3256" s="106"/>
      <c r="D3256" s="106"/>
      <c r="E3256" s="52"/>
    </row>
    <row r="3257" spans="1:5" s="103" customFormat="1" ht="13.2" hidden="1" outlineLevel="1" x14ac:dyDescent="0.25">
      <c r="A3257" s="106" t="s">
        <v>6532</v>
      </c>
      <c r="B3257" s="106" t="s">
        <v>6533</v>
      </c>
      <c r="C3257" s="106"/>
      <c r="D3257" s="106"/>
      <c r="E3257" s="52"/>
    </row>
    <row r="3258" spans="1:5" s="103" customFormat="1" ht="13.2" hidden="1" outlineLevel="1" x14ac:dyDescent="0.25">
      <c r="A3258" s="106" t="s">
        <v>6534</v>
      </c>
      <c r="B3258" s="106" t="s">
        <v>6535</v>
      </c>
      <c r="C3258" s="106"/>
      <c r="D3258" s="106"/>
      <c r="E3258" s="52"/>
    </row>
    <row r="3259" spans="1:5" s="103" customFormat="1" ht="13.2" hidden="1" outlineLevel="1" x14ac:dyDescent="0.25">
      <c r="A3259" s="106" t="s">
        <v>6536</v>
      </c>
      <c r="B3259" s="106" t="s">
        <v>6537</v>
      </c>
      <c r="C3259" s="106"/>
      <c r="D3259" s="106"/>
      <c r="E3259" s="52"/>
    </row>
    <row r="3260" spans="1:5" s="103" customFormat="1" ht="13.2" hidden="1" outlineLevel="1" x14ac:dyDescent="0.25">
      <c r="A3260" s="106" t="s">
        <v>6538</v>
      </c>
      <c r="B3260" s="106" t="s">
        <v>6539</v>
      </c>
      <c r="C3260" s="106"/>
      <c r="D3260" s="106"/>
      <c r="E3260" s="52"/>
    </row>
    <row r="3261" spans="1:5" s="103" customFormat="1" ht="13.2" hidden="1" outlineLevel="1" x14ac:dyDescent="0.25">
      <c r="A3261" s="106" t="s">
        <v>6540</v>
      </c>
      <c r="B3261" s="106" t="s">
        <v>6541</v>
      </c>
      <c r="C3261" s="106"/>
      <c r="D3261" s="106"/>
      <c r="E3261" s="52"/>
    </row>
    <row r="3262" spans="1:5" s="103" customFormat="1" ht="13.2" hidden="1" outlineLevel="1" x14ac:dyDescent="0.25">
      <c r="A3262" s="106" t="s">
        <v>6542</v>
      </c>
      <c r="B3262" s="106" t="s">
        <v>6543</v>
      </c>
      <c r="C3262" s="106"/>
      <c r="D3262" s="106"/>
      <c r="E3262" s="52"/>
    </row>
    <row r="3263" spans="1:5" s="103" customFormat="1" ht="13.2" hidden="1" outlineLevel="1" x14ac:dyDescent="0.25">
      <c r="A3263" s="106" t="s">
        <v>6544</v>
      </c>
      <c r="B3263" s="106" t="s">
        <v>6545</v>
      </c>
      <c r="C3263" s="106"/>
      <c r="D3263" s="106"/>
      <c r="E3263" s="52"/>
    </row>
    <row r="3264" spans="1:5" s="103" customFormat="1" ht="13.2" hidden="1" outlineLevel="1" x14ac:dyDescent="0.25">
      <c r="A3264" s="106" t="s">
        <v>6546</v>
      </c>
      <c r="B3264" s="106" t="s">
        <v>6547</v>
      </c>
      <c r="C3264" s="106"/>
      <c r="D3264" s="106"/>
      <c r="E3264" s="52"/>
    </row>
    <row r="3265" spans="1:5" s="103" customFormat="1" ht="13.2" hidden="1" outlineLevel="1" x14ac:dyDescent="0.25">
      <c r="A3265" s="106" t="s">
        <v>6548</v>
      </c>
      <c r="B3265" s="106" t="s">
        <v>6549</v>
      </c>
      <c r="C3265" s="106"/>
      <c r="D3265" s="106"/>
      <c r="E3265" s="52"/>
    </row>
    <row r="3266" spans="1:5" s="103" customFormat="1" ht="13.2" hidden="1" outlineLevel="1" x14ac:dyDescent="0.25">
      <c r="A3266" s="106" t="s">
        <v>6550</v>
      </c>
      <c r="B3266" s="106" t="s">
        <v>6551</v>
      </c>
      <c r="C3266" s="106"/>
      <c r="D3266" s="106"/>
      <c r="E3266" s="52"/>
    </row>
    <row r="3267" spans="1:5" s="103" customFormat="1" ht="13.2" hidden="1" outlineLevel="1" x14ac:dyDescent="0.25">
      <c r="A3267" s="106" t="s">
        <v>6552</v>
      </c>
      <c r="B3267" s="106" t="s">
        <v>6553</v>
      </c>
      <c r="C3267" s="106"/>
      <c r="D3267" s="106"/>
      <c r="E3267" s="52"/>
    </row>
    <row r="3268" spans="1:5" s="103" customFormat="1" ht="13.2" hidden="1" outlineLevel="1" x14ac:dyDescent="0.25">
      <c r="A3268" s="106" t="s">
        <v>6554</v>
      </c>
      <c r="B3268" s="106" t="s">
        <v>6555</v>
      </c>
      <c r="C3268" s="106"/>
      <c r="D3268" s="106"/>
      <c r="E3268" s="52"/>
    </row>
    <row r="3269" spans="1:5" s="103" customFormat="1" ht="13.2" hidden="1" outlineLevel="1" x14ac:dyDescent="0.25">
      <c r="A3269" s="106" t="s">
        <v>6556</v>
      </c>
      <c r="B3269" s="106" t="s">
        <v>6557</v>
      </c>
      <c r="C3269" s="106"/>
      <c r="D3269" s="106"/>
      <c r="E3269" s="52"/>
    </row>
    <row r="3270" spans="1:5" s="103" customFormat="1" ht="13.2" hidden="1" outlineLevel="1" x14ac:dyDescent="0.25">
      <c r="A3270" s="106" t="s">
        <v>6558</v>
      </c>
      <c r="B3270" s="106" t="s">
        <v>6559</v>
      </c>
      <c r="C3270" s="106"/>
      <c r="D3270" s="106"/>
      <c r="E3270" s="52"/>
    </row>
    <row r="3271" spans="1:5" s="103" customFormat="1" ht="13.2" hidden="1" outlineLevel="1" x14ac:dyDescent="0.25">
      <c r="A3271" s="106" t="s">
        <v>6560</v>
      </c>
      <c r="B3271" s="106" t="s">
        <v>6561</v>
      </c>
      <c r="C3271" s="106"/>
      <c r="D3271" s="106"/>
      <c r="E3271" s="52"/>
    </row>
    <row r="3272" spans="1:5" s="103" customFormat="1" ht="13.2" hidden="1" outlineLevel="1" x14ac:dyDescent="0.25">
      <c r="A3272" s="106" t="s">
        <v>6562</v>
      </c>
      <c r="B3272" s="106" t="s">
        <v>6563</v>
      </c>
      <c r="C3272" s="106"/>
      <c r="D3272" s="106"/>
      <c r="E3272" s="52"/>
    </row>
    <row r="3273" spans="1:5" s="103" customFormat="1" ht="13.2" hidden="1" outlineLevel="1" x14ac:dyDescent="0.25">
      <c r="A3273" s="106" t="s">
        <v>6564</v>
      </c>
      <c r="B3273" s="106" t="s">
        <v>6565</v>
      </c>
      <c r="C3273" s="106"/>
      <c r="D3273" s="106"/>
      <c r="E3273" s="52"/>
    </row>
    <row r="3274" spans="1:5" s="103" customFormat="1" ht="13.2" hidden="1" outlineLevel="1" x14ac:dyDescent="0.25">
      <c r="A3274" s="106" t="s">
        <v>6566</v>
      </c>
      <c r="B3274" s="106" t="s">
        <v>6567</v>
      </c>
      <c r="C3274" s="106"/>
      <c r="D3274" s="106"/>
      <c r="E3274" s="52"/>
    </row>
    <row r="3275" spans="1:5" s="103" customFormat="1" ht="13.2" hidden="1" outlineLevel="1" x14ac:dyDescent="0.25">
      <c r="A3275" s="106" t="s">
        <v>6568</v>
      </c>
      <c r="B3275" s="106" t="s">
        <v>6569</v>
      </c>
      <c r="C3275" s="106"/>
      <c r="D3275" s="106"/>
      <c r="E3275" s="52"/>
    </row>
    <row r="3276" spans="1:5" s="103" customFormat="1" ht="13.2" hidden="1" outlineLevel="1" x14ac:dyDescent="0.25">
      <c r="A3276" s="106" t="s">
        <v>6570</v>
      </c>
      <c r="B3276" s="106" t="s">
        <v>6571</v>
      </c>
      <c r="C3276" s="106"/>
      <c r="D3276" s="106"/>
      <c r="E3276" s="52"/>
    </row>
    <row r="3277" spans="1:5" s="103" customFormat="1" ht="13.2" hidden="1" outlineLevel="1" x14ac:dyDescent="0.25">
      <c r="A3277" s="106" t="s">
        <v>6572</v>
      </c>
      <c r="B3277" s="106" t="s">
        <v>6573</v>
      </c>
      <c r="C3277" s="106"/>
      <c r="D3277" s="106"/>
      <c r="E3277" s="52"/>
    </row>
    <row r="3278" spans="1:5" s="103" customFormat="1" ht="13.2" hidden="1" outlineLevel="1" x14ac:dyDescent="0.25">
      <c r="A3278" s="106" t="s">
        <v>6574</v>
      </c>
      <c r="B3278" s="106" t="s">
        <v>6575</v>
      </c>
      <c r="C3278" s="106"/>
      <c r="D3278" s="106"/>
      <c r="E3278" s="52"/>
    </row>
    <row r="3279" spans="1:5" s="103" customFormat="1" ht="13.2" hidden="1" outlineLevel="1" x14ac:dyDescent="0.25">
      <c r="A3279" s="106" t="s">
        <v>6576</v>
      </c>
      <c r="B3279" s="106" t="s">
        <v>6577</v>
      </c>
      <c r="C3279" s="106"/>
      <c r="D3279" s="106"/>
      <c r="E3279" s="52"/>
    </row>
    <row r="3280" spans="1:5" s="103" customFormat="1" ht="13.2" hidden="1" outlineLevel="1" x14ac:dyDescent="0.25">
      <c r="A3280" s="106" t="s">
        <v>6578</v>
      </c>
      <c r="B3280" s="106" t="s">
        <v>6579</v>
      </c>
      <c r="C3280" s="106"/>
      <c r="D3280" s="106"/>
      <c r="E3280" s="52"/>
    </row>
    <row r="3281" spans="1:5" s="103" customFormat="1" ht="13.2" hidden="1" outlineLevel="1" x14ac:dyDescent="0.25">
      <c r="A3281" s="106" t="s">
        <v>6580</v>
      </c>
      <c r="B3281" s="106" t="s">
        <v>6581</v>
      </c>
      <c r="C3281" s="106"/>
      <c r="D3281" s="106"/>
      <c r="E3281" s="52"/>
    </row>
    <row r="3282" spans="1:5" s="103" customFormat="1" ht="13.2" hidden="1" outlineLevel="1" x14ac:dyDescent="0.25">
      <c r="A3282" s="106" t="s">
        <v>6582</v>
      </c>
      <c r="B3282" s="106" t="s">
        <v>6583</v>
      </c>
      <c r="C3282" s="106"/>
      <c r="D3282" s="106"/>
      <c r="E3282" s="52"/>
    </row>
    <row r="3283" spans="1:5" s="103" customFormat="1" ht="13.2" hidden="1" outlineLevel="1" x14ac:dyDescent="0.25">
      <c r="A3283" s="106" t="s">
        <v>6584</v>
      </c>
      <c r="B3283" s="106" t="s">
        <v>6585</v>
      </c>
      <c r="C3283" s="106"/>
      <c r="D3283" s="106"/>
      <c r="E3283" s="52"/>
    </row>
    <row r="3284" spans="1:5" s="103" customFormat="1" ht="13.2" hidden="1" outlineLevel="1" x14ac:dyDescent="0.25">
      <c r="A3284" s="106" t="s">
        <v>6586</v>
      </c>
      <c r="B3284" s="106" t="s">
        <v>6587</v>
      </c>
      <c r="C3284" s="106"/>
      <c r="D3284" s="106"/>
      <c r="E3284" s="52"/>
    </row>
    <row r="3285" spans="1:5" s="103" customFormat="1" ht="13.2" hidden="1" outlineLevel="1" x14ac:dyDescent="0.25">
      <c r="A3285" s="106" t="s">
        <v>6588</v>
      </c>
      <c r="B3285" s="106" t="s">
        <v>6589</v>
      </c>
      <c r="C3285" s="106"/>
      <c r="D3285" s="106"/>
      <c r="E3285" s="52"/>
    </row>
    <row r="3286" spans="1:5" s="103" customFormat="1" ht="13.2" hidden="1" outlineLevel="1" x14ac:dyDescent="0.25">
      <c r="A3286" s="106" t="s">
        <v>6590</v>
      </c>
      <c r="B3286" s="106" t="s">
        <v>6591</v>
      </c>
      <c r="C3286" s="106"/>
      <c r="D3286" s="106"/>
      <c r="E3286" s="52"/>
    </row>
    <row r="3287" spans="1:5" s="103" customFormat="1" ht="13.2" hidden="1" outlineLevel="1" x14ac:dyDescent="0.25">
      <c r="A3287" s="106" t="s">
        <v>6592</v>
      </c>
      <c r="B3287" s="106" t="s">
        <v>6593</v>
      </c>
      <c r="C3287" s="106"/>
      <c r="D3287" s="106"/>
      <c r="E3287" s="52"/>
    </row>
    <row r="3288" spans="1:5" s="103" customFormat="1" ht="13.2" hidden="1" outlineLevel="1" x14ac:dyDescent="0.25">
      <c r="A3288" s="106" t="s">
        <v>6594</v>
      </c>
      <c r="B3288" s="106" t="s">
        <v>6595</v>
      </c>
      <c r="C3288" s="106"/>
      <c r="D3288" s="106"/>
      <c r="E3288" s="52"/>
    </row>
    <row r="3289" spans="1:5" s="103" customFormat="1" ht="13.2" hidden="1" outlineLevel="1" x14ac:dyDescent="0.25">
      <c r="A3289" s="106" t="s">
        <v>6596</v>
      </c>
      <c r="B3289" s="106" t="s">
        <v>6597</v>
      </c>
      <c r="C3289" s="106"/>
      <c r="D3289" s="106"/>
      <c r="E3289" s="52"/>
    </row>
    <row r="3290" spans="1:5" s="103" customFormat="1" ht="13.2" hidden="1" outlineLevel="1" x14ac:dyDescent="0.25">
      <c r="A3290" s="106" t="s">
        <v>6598</v>
      </c>
      <c r="B3290" s="106" t="s">
        <v>6599</v>
      </c>
      <c r="C3290" s="106"/>
      <c r="D3290" s="106"/>
      <c r="E3290" s="52"/>
    </row>
    <row r="3291" spans="1:5" s="103" customFormat="1" ht="13.2" hidden="1" outlineLevel="1" x14ac:dyDescent="0.25">
      <c r="A3291" s="106" t="s">
        <v>6600</v>
      </c>
      <c r="B3291" s="106" t="s">
        <v>6601</v>
      </c>
      <c r="C3291" s="106"/>
      <c r="D3291" s="106"/>
      <c r="E3291" s="52"/>
    </row>
    <row r="3292" spans="1:5" s="103" customFormat="1" ht="13.2" hidden="1" outlineLevel="1" x14ac:dyDescent="0.25">
      <c r="A3292" s="106" t="s">
        <v>6602</v>
      </c>
      <c r="B3292" s="106" t="s">
        <v>6603</v>
      </c>
      <c r="C3292" s="106"/>
      <c r="D3292" s="106"/>
      <c r="E3292" s="52"/>
    </row>
    <row r="3293" spans="1:5" s="103" customFormat="1" ht="13.2" hidden="1" outlineLevel="1" x14ac:dyDescent="0.25">
      <c r="A3293" s="106" t="s">
        <v>6604</v>
      </c>
      <c r="B3293" s="106" t="s">
        <v>6605</v>
      </c>
      <c r="C3293" s="106"/>
      <c r="D3293" s="106"/>
      <c r="E3293" s="52"/>
    </row>
    <row r="3294" spans="1:5" s="103" customFormat="1" ht="13.2" hidden="1" outlineLevel="1" x14ac:dyDescent="0.25">
      <c r="A3294" s="106" t="s">
        <v>6606</v>
      </c>
      <c r="B3294" s="106" t="s">
        <v>6607</v>
      </c>
      <c r="C3294" s="106"/>
      <c r="D3294" s="106"/>
      <c r="E3294" s="52"/>
    </row>
    <row r="3295" spans="1:5" s="103" customFormat="1" ht="13.2" hidden="1" outlineLevel="1" x14ac:dyDescent="0.25">
      <c r="A3295" s="106" t="s">
        <v>6608</v>
      </c>
      <c r="B3295" s="106" t="s">
        <v>6609</v>
      </c>
      <c r="C3295" s="106"/>
      <c r="D3295" s="106"/>
      <c r="E3295" s="52"/>
    </row>
    <row r="3296" spans="1:5" s="103" customFormat="1" ht="13.2" hidden="1" outlineLevel="1" x14ac:dyDescent="0.25">
      <c r="A3296" s="106" t="s">
        <v>6610</v>
      </c>
      <c r="B3296" s="106" t="s">
        <v>6611</v>
      </c>
      <c r="C3296" s="106"/>
      <c r="D3296" s="106"/>
      <c r="E3296" s="52"/>
    </row>
    <row r="3297" spans="1:5" s="103" customFormat="1" ht="13.2" hidden="1" outlineLevel="1" x14ac:dyDescent="0.25">
      <c r="A3297" s="106" t="s">
        <v>6612</v>
      </c>
      <c r="B3297" s="106" t="s">
        <v>6613</v>
      </c>
      <c r="C3297" s="106"/>
      <c r="D3297" s="106"/>
      <c r="E3297" s="52"/>
    </row>
    <row r="3298" spans="1:5" s="103" customFormat="1" ht="13.2" hidden="1" outlineLevel="1" x14ac:dyDescent="0.25">
      <c r="A3298" s="106" t="s">
        <v>6614</v>
      </c>
      <c r="B3298" s="106" t="s">
        <v>6615</v>
      </c>
      <c r="C3298" s="106"/>
      <c r="D3298" s="106"/>
      <c r="E3298" s="52"/>
    </row>
    <row r="3299" spans="1:5" s="103" customFormat="1" ht="13.2" hidden="1" outlineLevel="1" x14ac:dyDescent="0.25">
      <c r="A3299" s="106" t="s">
        <v>6616</v>
      </c>
      <c r="B3299" s="106" t="s">
        <v>6615</v>
      </c>
      <c r="C3299" s="106"/>
      <c r="D3299" s="106"/>
      <c r="E3299" s="52"/>
    </row>
    <row r="3300" spans="1:5" s="103" customFormat="1" ht="13.2" hidden="1" outlineLevel="1" x14ac:dyDescent="0.25">
      <c r="A3300" s="106" t="s">
        <v>6617</v>
      </c>
      <c r="B3300" s="106" t="s">
        <v>6618</v>
      </c>
      <c r="C3300" s="106"/>
      <c r="D3300" s="106"/>
      <c r="E3300" s="52"/>
    </row>
    <row r="3301" spans="1:5" s="103" customFormat="1" ht="13.2" hidden="1" outlineLevel="1" x14ac:dyDescent="0.25">
      <c r="A3301" s="106" t="s">
        <v>6619</v>
      </c>
      <c r="B3301" s="106" t="s">
        <v>6620</v>
      </c>
      <c r="C3301" s="106"/>
      <c r="D3301" s="106"/>
      <c r="E3301" s="52"/>
    </row>
    <row r="3302" spans="1:5" s="103" customFormat="1" ht="13.2" hidden="1" outlineLevel="1" x14ac:dyDescent="0.25">
      <c r="A3302" s="106" t="s">
        <v>6621</v>
      </c>
      <c r="B3302" s="106" t="s">
        <v>6622</v>
      </c>
      <c r="C3302" s="106"/>
      <c r="D3302" s="106"/>
      <c r="E3302" s="52"/>
    </row>
    <row r="3303" spans="1:5" s="103" customFormat="1" ht="13.2" hidden="1" outlineLevel="1" x14ac:dyDescent="0.25">
      <c r="A3303" s="106" t="s">
        <v>6623</v>
      </c>
      <c r="B3303" s="106" t="s">
        <v>6624</v>
      </c>
      <c r="C3303" s="106"/>
      <c r="D3303" s="106"/>
      <c r="E3303" s="52"/>
    </row>
    <row r="3304" spans="1:5" s="103" customFormat="1" ht="13.2" hidden="1" outlineLevel="1" x14ac:dyDescent="0.25">
      <c r="A3304" s="106" t="s">
        <v>6625</v>
      </c>
      <c r="B3304" s="106" t="s">
        <v>6626</v>
      </c>
      <c r="C3304" s="106"/>
      <c r="D3304" s="106"/>
      <c r="E3304" s="52"/>
    </row>
    <row r="3305" spans="1:5" s="103" customFormat="1" ht="13.2" hidden="1" outlineLevel="1" x14ac:dyDescent="0.25">
      <c r="A3305" s="106" t="s">
        <v>6627</v>
      </c>
      <c r="B3305" s="106" t="s">
        <v>6628</v>
      </c>
      <c r="C3305" s="106"/>
      <c r="D3305" s="106"/>
      <c r="E3305" s="52"/>
    </row>
    <row r="3306" spans="1:5" s="103" customFormat="1" ht="13.2" hidden="1" outlineLevel="1" x14ac:dyDescent="0.25">
      <c r="A3306" s="106" t="s">
        <v>6629</v>
      </c>
      <c r="B3306" s="106" t="s">
        <v>6630</v>
      </c>
      <c r="C3306" s="106"/>
      <c r="D3306" s="106"/>
      <c r="E3306" s="52"/>
    </row>
    <row r="3307" spans="1:5" s="103" customFormat="1" ht="13.2" hidden="1" outlineLevel="1" x14ac:dyDescent="0.25">
      <c r="A3307" s="106" t="s">
        <v>6631</v>
      </c>
      <c r="B3307" s="106" t="s">
        <v>6632</v>
      </c>
      <c r="C3307" s="106"/>
      <c r="D3307" s="106"/>
      <c r="E3307" s="52"/>
    </row>
    <row r="3308" spans="1:5" s="103" customFormat="1" ht="13.2" hidden="1" outlineLevel="1" x14ac:dyDescent="0.25">
      <c r="A3308" s="106" t="s">
        <v>6633</v>
      </c>
      <c r="B3308" s="106" t="s">
        <v>6634</v>
      </c>
      <c r="C3308" s="106"/>
      <c r="D3308" s="106"/>
      <c r="E3308" s="52"/>
    </row>
    <row r="3309" spans="1:5" s="103" customFormat="1" ht="13.2" hidden="1" outlineLevel="1" x14ac:dyDescent="0.25">
      <c r="A3309" s="106" t="s">
        <v>6635</v>
      </c>
      <c r="B3309" s="106" t="s">
        <v>6636</v>
      </c>
      <c r="C3309" s="106"/>
      <c r="D3309" s="106"/>
      <c r="E3309" s="52"/>
    </row>
    <row r="3310" spans="1:5" s="103" customFormat="1" ht="13.2" hidden="1" outlineLevel="1" x14ac:dyDescent="0.25">
      <c r="A3310" s="106" t="s">
        <v>6637</v>
      </c>
      <c r="B3310" s="106" t="s">
        <v>6638</v>
      </c>
      <c r="C3310" s="106"/>
      <c r="D3310" s="106"/>
      <c r="E3310" s="52"/>
    </row>
    <row r="3311" spans="1:5" s="103" customFormat="1" ht="13.2" hidden="1" outlineLevel="1" x14ac:dyDescent="0.25">
      <c r="A3311" s="106" t="s">
        <v>6639</v>
      </c>
      <c r="B3311" s="106" t="s">
        <v>6640</v>
      </c>
      <c r="C3311" s="106"/>
      <c r="D3311" s="106"/>
      <c r="E3311" s="52"/>
    </row>
    <row r="3312" spans="1:5" s="103" customFormat="1" ht="13.2" hidden="1" outlineLevel="1" x14ac:dyDescent="0.25">
      <c r="A3312" s="106" t="s">
        <v>6641</v>
      </c>
      <c r="B3312" s="106" t="s">
        <v>6642</v>
      </c>
      <c r="C3312" s="106"/>
      <c r="D3312" s="106"/>
      <c r="E3312" s="52"/>
    </row>
    <row r="3313" spans="1:5" s="103" customFormat="1" ht="13.2" hidden="1" outlineLevel="1" x14ac:dyDescent="0.25">
      <c r="A3313" s="106" t="s">
        <v>6643</v>
      </c>
      <c r="B3313" s="106" t="s">
        <v>6644</v>
      </c>
      <c r="C3313" s="106"/>
      <c r="D3313" s="106"/>
      <c r="E3313" s="52"/>
    </row>
    <row r="3314" spans="1:5" s="103" customFormat="1" ht="13.2" hidden="1" outlineLevel="1" x14ac:dyDescent="0.25">
      <c r="A3314" s="106" t="s">
        <v>6645</v>
      </c>
      <c r="B3314" s="106" t="s">
        <v>6646</v>
      </c>
      <c r="C3314" s="106"/>
      <c r="D3314" s="106"/>
      <c r="E3314" s="52"/>
    </row>
    <row r="3315" spans="1:5" s="103" customFormat="1" ht="13.2" hidden="1" outlineLevel="1" x14ac:dyDescent="0.25">
      <c r="A3315" s="106" t="s">
        <v>6647</v>
      </c>
      <c r="B3315" s="106" t="s">
        <v>6648</v>
      </c>
      <c r="C3315" s="106"/>
      <c r="D3315" s="106"/>
      <c r="E3315" s="52"/>
    </row>
    <row r="3316" spans="1:5" s="103" customFormat="1" ht="13.2" hidden="1" outlineLevel="1" x14ac:dyDescent="0.25">
      <c r="A3316" s="106" t="s">
        <v>6649</v>
      </c>
      <c r="B3316" s="106" t="s">
        <v>6650</v>
      </c>
      <c r="C3316" s="106"/>
      <c r="D3316" s="106"/>
      <c r="E3316" s="52"/>
    </row>
    <row r="3317" spans="1:5" s="103" customFormat="1" ht="13.2" hidden="1" outlineLevel="1" x14ac:dyDescent="0.25">
      <c r="A3317" s="106" t="s">
        <v>6651</v>
      </c>
      <c r="B3317" s="106" t="s">
        <v>6652</v>
      </c>
      <c r="C3317" s="106"/>
      <c r="D3317" s="106"/>
      <c r="E3317" s="52"/>
    </row>
    <row r="3318" spans="1:5" s="103" customFormat="1" ht="13.2" hidden="1" outlineLevel="1" x14ac:dyDescent="0.25">
      <c r="A3318" s="106" t="s">
        <v>6653</v>
      </c>
      <c r="B3318" s="106" t="s">
        <v>6654</v>
      </c>
      <c r="C3318" s="106"/>
      <c r="D3318" s="106"/>
      <c r="E3318" s="52"/>
    </row>
    <row r="3319" spans="1:5" s="103" customFormat="1" ht="13.2" hidden="1" outlineLevel="1" x14ac:dyDescent="0.25">
      <c r="A3319" s="106" t="s">
        <v>6655</v>
      </c>
      <c r="B3319" s="106" t="s">
        <v>6656</v>
      </c>
      <c r="C3319" s="106"/>
      <c r="D3319" s="106"/>
      <c r="E3319" s="52"/>
    </row>
    <row r="3320" spans="1:5" s="103" customFormat="1" ht="13.2" hidden="1" outlineLevel="1" x14ac:dyDescent="0.25">
      <c r="A3320" s="106" t="s">
        <v>6657</v>
      </c>
      <c r="B3320" s="106" t="s">
        <v>6658</v>
      </c>
      <c r="C3320" s="106"/>
      <c r="D3320" s="106"/>
      <c r="E3320" s="52"/>
    </row>
    <row r="3321" spans="1:5" s="103" customFormat="1" ht="13.2" hidden="1" outlineLevel="1" x14ac:dyDescent="0.25">
      <c r="A3321" s="106" t="s">
        <v>6659</v>
      </c>
      <c r="B3321" s="106" t="s">
        <v>6660</v>
      </c>
      <c r="C3321" s="106"/>
      <c r="D3321" s="106"/>
      <c r="E3321" s="52"/>
    </row>
    <row r="3322" spans="1:5" s="103" customFormat="1" ht="13.2" hidden="1" outlineLevel="1" x14ac:dyDescent="0.25">
      <c r="A3322" s="106" t="s">
        <v>6661</v>
      </c>
      <c r="B3322" s="106" t="s">
        <v>6662</v>
      </c>
      <c r="C3322" s="106"/>
      <c r="D3322" s="106"/>
      <c r="E3322" s="52"/>
    </row>
    <row r="3323" spans="1:5" s="103" customFormat="1" ht="13.2" hidden="1" outlineLevel="1" x14ac:dyDescent="0.25">
      <c r="A3323" s="106" t="s">
        <v>6663</v>
      </c>
      <c r="B3323" s="106" t="s">
        <v>6664</v>
      </c>
      <c r="C3323" s="106"/>
      <c r="D3323" s="106"/>
      <c r="E3323" s="52"/>
    </row>
    <row r="3324" spans="1:5" s="103" customFormat="1" ht="13.2" hidden="1" outlineLevel="1" x14ac:dyDescent="0.25">
      <c r="A3324" s="106" t="s">
        <v>6665</v>
      </c>
      <c r="B3324" s="106" t="s">
        <v>6666</v>
      </c>
      <c r="C3324" s="106"/>
      <c r="D3324" s="106"/>
      <c r="E3324" s="52"/>
    </row>
    <row r="3325" spans="1:5" s="103" customFormat="1" ht="13.2" hidden="1" outlineLevel="1" x14ac:dyDescent="0.25">
      <c r="A3325" s="106" t="s">
        <v>6667</v>
      </c>
      <c r="B3325" s="106" t="s">
        <v>6668</v>
      </c>
      <c r="C3325" s="106"/>
      <c r="D3325" s="106"/>
      <c r="E3325" s="52"/>
    </row>
    <row r="3326" spans="1:5" s="103" customFormat="1" ht="13.2" hidden="1" outlineLevel="1" x14ac:dyDescent="0.25">
      <c r="A3326" s="106" t="s">
        <v>6669</v>
      </c>
      <c r="B3326" s="106" t="s">
        <v>6670</v>
      </c>
      <c r="C3326" s="106"/>
      <c r="D3326" s="106"/>
      <c r="E3326" s="52"/>
    </row>
    <row r="3327" spans="1:5" s="103" customFormat="1" ht="13.2" hidden="1" outlineLevel="1" x14ac:dyDescent="0.25">
      <c r="A3327" s="106" t="s">
        <v>6671</v>
      </c>
      <c r="B3327" s="106" t="s">
        <v>6672</v>
      </c>
      <c r="C3327" s="106"/>
      <c r="D3327" s="106"/>
      <c r="E3327" s="52"/>
    </row>
    <row r="3328" spans="1:5" s="103" customFormat="1" ht="13.2" hidden="1" outlineLevel="1" x14ac:dyDescent="0.25">
      <c r="A3328" s="106" t="s">
        <v>6673</v>
      </c>
      <c r="B3328" s="106" t="s">
        <v>6674</v>
      </c>
      <c r="C3328" s="106"/>
      <c r="D3328" s="106"/>
      <c r="E3328" s="52"/>
    </row>
    <row r="3329" spans="1:5" s="103" customFormat="1" ht="13.2" hidden="1" outlineLevel="1" x14ac:dyDescent="0.25">
      <c r="A3329" s="106" t="s">
        <v>6675</v>
      </c>
      <c r="B3329" s="106" t="s">
        <v>6676</v>
      </c>
      <c r="C3329" s="106"/>
      <c r="D3329" s="106"/>
      <c r="E3329" s="52"/>
    </row>
    <row r="3330" spans="1:5" s="103" customFormat="1" ht="13.2" hidden="1" outlineLevel="1" x14ac:dyDescent="0.25">
      <c r="A3330" s="106" t="s">
        <v>6677</v>
      </c>
      <c r="B3330" s="106" t="s">
        <v>6678</v>
      </c>
      <c r="C3330" s="106"/>
      <c r="D3330" s="106"/>
      <c r="E3330" s="52"/>
    </row>
    <row r="3331" spans="1:5" s="103" customFormat="1" ht="13.2" hidden="1" outlineLevel="1" x14ac:dyDescent="0.25">
      <c r="A3331" s="106" t="s">
        <v>6679</v>
      </c>
      <c r="B3331" s="106" t="s">
        <v>6680</v>
      </c>
      <c r="C3331" s="106"/>
      <c r="D3331" s="106"/>
      <c r="E3331" s="52"/>
    </row>
    <row r="3332" spans="1:5" s="103" customFormat="1" ht="13.2" hidden="1" outlineLevel="1" x14ac:dyDescent="0.25">
      <c r="A3332" s="106" t="s">
        <v>6681</v>
      </c>
      <c r="B3332" s="106" t="s">
        <v>6682</v>
      </c>
      <c r="C3332" s="106"/>
      <c r="D3332" s="106"/>
      <c r="E3332" s="52"/>
    </row>
    <row r="3333" spans="1:5" s="103" customFormat="1" ht="13.2" hidden="1" outlineLevel="1" x14ac:dyDescent="0.25">
      <c r="A3333" s="106" t="s">
        <v>6683</v>
      </c>
      <c r="B3333" s="106" t="s">
        <v>6684</v>
      </c>
      <c r="C3333" s="106"/>
      <c r="D3333" s="106"/>
      <c r="E3333" s="52"/>
    </row>
    <row r="3334" spans="1:5" s="103" customFormat="1" ht="13.2" hidden="1" outlineLevel="1" x14ac:dyDescent="0.25">
      <c r="A3334" s="106" t="s">
        <v>6685</v>
      </c>
      <c r="B3334" s="106" t="s">
        <v>6686</v>
      </c>
      <c r="C3334" s="106"/>
      <c r="D3334" s="106"/>
      <c r="E3334" s="52"/>
    </row>
    <row r="3335" spans="1:5" s="103" customFormat="1" ht="13.2" hidden="1" outlineLevel="1" x14ac:dyDescent="0.25">
      <c r="A3335" s="106" t="s">
        <v>6687</v>
      </c>
      <c r="B3335" s="106" t="s">
        <v>6688</v>
      </c>
      <c r="C3335" s="106"/>
      <c r="D3335" s="106"/>
      <c r="E3335" s="52"/>
    </row>
    <row r="3336" spans="1:5" s="103" customFormat="1" ht="13.2" hidden="1" outlineLevel="1" x14ac:dyDescent="0.25">
      <c r="A3336" s="106" t="s">
        <v>6689</v>
      </c>
      <c r="B3336" s="106" t="s">
        <v>6690</v>
      </c>
      <c r="C3336" s="106"/>
      <c r="D3336" s="106"/>
      <c r="E3336" s="52"/>
    </row>
    <row r="3337" spans="1:5" s="103" customFormat="1" ht="13.2" hidden="1" outlineLevel="1" x14ac:dyDescent="0.25">
      <c r="A3337" s="106" t="s">
        <v>6691</v>
      </c>
      <c r="B3337" s="106" t="s">
        <v>6692</v>
      </c>
      <c r="C3337" s="106"/>
      <c r="D3337" s="106"/>
      <c r="E3337" s="52"/>
    </row>
    <row r="3338" spans="1:5" s="103" customFormat="1" ht="13.2" hidden="1" outlineLevel="1" x14ac:dyDescent="0.25">
      <c r="A3338" s="106" t="s">
        <v>6693</v>
      </c>
      <c r="B3338" s="106" t="s">
        <v>6694</v>
      </c>
      <c r="C3338" s="106"/>
      <c r="D3338" s="106"/>
      <c r="E3338" s="52"/>
    </row>
    <row r="3339" spans="1:5" s="103" customFormat="1" ht="13.2" hidden="1" outlineLevel="1" x14ac:dyDescent="0.25">
      <c r="A3339" s="106" t="s">
        <v>6695</v>
      </c>
      <c r="B3339" s="106" t="s">
        <v>6696</v>
      </c>
      <c r="C3339" s="106"/>
      <c r="D3339" s="106"/>
      <c r="E3339" s="52"/>
    </row>
    <row r="3340" spans="1:5" s="103" customFormat="1" ht="13.2" hidden="1" outlineLevel="1" x14ac:dyDescent="0.25">
      <c r="A3340" s="106" t="s">
        <v>6697</v>
      </c>
      <c r="B3340" s="106" t="s">
        <v>6698</v>
      </c>
      <c r="C3340" s="106"/>
      <c r="D3340" s="106"/>
      <c r="E3340" s="52"/>
    </row>
    <row r="3341" spans="1:5" s="103" customFormat="1" ht="13.2" hidden="1" outlineLevel="1" x14ac:dyDescent="0.25">
      <c r="A3341" s="106" t="s">
        <v>6699</v>
      </c>
      <c r="B3341" s="106" t="s">
        <v>6700</v>
      </c>
      <c r="C3341" s="106"/>
      <c r="D3341" s="106"/>
      <c r="E3341" s="52"/>
    </row>
    <row r="3342" spans="1:5" s="103" customFormat="1" ht="13.2" hidden="1" outlineLevel="1" x14ac:dyDescent="0.25">
      <c r="A3342" s="106" t="s">
        <v>6701</v>
      </c>
      <c r="B3342" s="106" t="s">
        <v>6702</v>
      </c>
      <c r="C3342" s="106"/>
      <c r="D3342" s="106"/>
      <c r="E3342" s="52"/>
    </row>
    <row r="3343" spans="1:5" s="103" customFormat="1" ht="13.2" hidden="1" outlineLevel="1" x14ac:dyDescent="0.25">
      <c r="A3343" s="106" t="s">
        <v>6703</v>
      </c>
      <c r="B3343" s="106" t="s">
        <v>6704</v>
      </c>
      <c r="C3343" s="106"/>
      <c r="D3343" s="106"/>
      <c r="E3343" s="52"/>
    </row>
    <row r="3344" spans="1:5" s="103" customFormat="1" ht="13.2" hidden="1" outlineLevel="1" x14ac:dyDescent="0.25">
      <c r="A3344" s="106" t="s">
        <v>6705</v>
      </c>
      <c r="B3344" s="106" t="s">
        <v>6706</v>
      </c>
      <c r="C3344" s="106"/>
      <c r="D3344" s="106"/>
      <c r="E3344" s="52"/>
    </row>
    <row r="3345" spans="1:5" s="103" customFormat="1" ht="13.2" hidden="1" outlineLevel="1" x14ac:dyDescent="0.25">
      <c r="A3345" s="106" t="s">
        <v>6707</v>
      </c>
      <c r="B3345" s="106" t="s">
        <v>6708</v>
      </c>
      <c r="C3345" s="106"/>
      <c r="D3345" s="106"/>
      <c r="E3345" s="52"/>
    </row>
    <row r="3346" spans="1:5" s="103" customFormat="1" ht="13.2" hidden="1" outlineLevel="1" x14ac:dyDescent="0.25">
      <c r="A3346" s="106" t="s">
        <v>6709</v>
      </c>
      <c r="B3346" s="106" t="s">
        <v>6710</v>
      </c>
      <c r="C3346" s="106"/>
      <c r="D3346" s="106"/>
      <c r="E3346" s="52"/>
    </row>
    <row r="3347" spans="1:5" s="103" customFormat="1" ht="13.2" hidden="1" outlineLevel="1" x14ac:dyDescent="0.25">
      <c r="A3347" s="106" t="s">
        <v>6711</v>
      </c>
      <c r="B3347" s="106" t="s">
        <v>6712</v>
      </c>
      <c r="C3347" s="106"/>
      <c r="D3347" s="106"/>
      <c r="E3347" s="52"/>
    </row>
    <row r="3348" spans="1:5" s="103" customFormat="1" ht="13.2" hidden="1" outlineLevel="1" x14ac:dyDescent="0.25">
      <c r="A3348" s="106" t="s">
        <v>6713</v>
      </c>
      <c r="B3348" s="106" t="s">
        <v>6714</v>
      </c>
      <c r="C3348" s="106"/>
      <c r="D3348" s="106"/>
      <c r="E3348" s="52"/>
    </row>
    <row r="3349" spans="1:5" s="103" customFormat="1" ht="13.2" hidden="1" outlineLevel="1" x14ac:dyDescent="0.25">
      <c r="A3349" s="106" t="s">
        <v>6715</v>
      </c>
      <c r="B3349" s="106" t="s">
        <v>6716</v>
      </c>
      <c r="C3349" s="106"/>
      <c r="D3349" s="106"/>
      <c r="E3349" s="52"/>
    </row>
    <row r="3350" spans="1:5" s="103" customFormat="1" ht="13.2" hidden="1" outlineLevel="1" x14ac:dyDescent="0.25">
      <c r="A3350" s="106" t="s">
        <v>6717</v>
      </c>
      <c r="B3350" s="106" t="s">
        <v>6718</v>
      </c>
      <c r="C3350" s="106"/>
      <c r="D3350" s="106"/>
      <c r="E3350" s="52"/>
    </row>
    <row r="3351" spans="1:5" s="103" customFormat="1" ht="13.2" hidden="1" outlineLevel="1" x14ac:dyDescent="0.25">
      <c r="A3351" s="106" t="s">
        <v>6719</v>
      </c>
      <c r="B3351" s="106" t="s">
        <v>6720</v>
      </c>
      <c r="C3351" s="106"/>
      <c r="D3351" s="106"/>
      <c r="E3351" s="52"/>
    </row>
    <row r="3352" spans="1:5" s="103" customFormat="1" ht="13.2" hidden="1" outlineLevel="1" x14ac:dyDescent="0.25">
      <c r="A3352" s="106" t="s">
        <v>6721</v>
      </c>
      <c r="B3352" s="106" t="s">
        <v>6722</v>
      </c>
      <c r="C3352" s="106"/>
      <c r="D3352" s="106"/>
      <c r="E3352" s="52"/>
    </row>
    <row r="3353" spans="1:5" s="103" customFormat="1" ht="13.2" hidden="1" outlineLevel="1" x14ac:dyDescent="0.25">
      <c r="A3353" s="106" t="s">
        <v>6723</v>
      </c>
      <c r="B3353" s="106" t="s">
        <v>6724</v>
      </c>
      <c r="C3353" s="106"/>
      <c r="D3353" s="106"/>
      <c r="E3353" s="52"/>
    </row>
    <row r="3354" spans="1:5" s="103" customFormat="1" ht="13.2" hidden="1" outlineLevel="1" x14ac:dyDescent="0.25">
      <c r="A3354" s="106" t="s">
        <v>6725</v>
      </c>
      <c r="B3354" s="106" t="s">
        <v>6726</v>
      </c>
      <c r="C3354" s="106"/>
      <c r="D3354" s="106"/>
      <c r="E3354" s="52"/>
    </row>
    <row r="3355" spans="1:5" s="103" customFormat="1" ht="13.2" hidden="1" outlineLevel="1" x14ac:dyDescent="0.25">
      <c r="A3355" s="106" t="s">
        <v>6727</v>
      </c>
      <c r="B3355" s="106" t="s">
        <v>6728</v>
      </c>
      <c r="C3355" s="106"/>
      <c r="D3355" s="106"/>
      <c r="E3355" s="52"/>
    </row>
    <row r="3356" spans="1:5" s="103" customFormat="1" ht="13.2" hidden="1" outlineLevel="1" x14ac:dyDescent="0.25">
      <c r="A3356" s="106" t="s">
        <v>6729</v>
      </c>
      <c r="B3356" s="106" t="s">
        <v>6730</v>
      </c>
      <c r="C3356" s="106"/>
      <c r="D3356" s="106"/>
      <c r="E3356" s="52"/>
    </row>
    <row r="3357" spans="1:5" s="103" customFormat="1" ht="13.2" hidden="1" outlineLevel="1" x14ac:dyDescent="0.25">
      <c r="A3357" s="106" t="s">
        <v>6731</v>
      </c>
      <c r="B3357" s="106" t="s">
        <v>6732</v>
      </c>
      <c r="C3357" s="106"/>
      <c r="D3357" s="106"/>
      <c r="E3357" s="52"/>
    </row>
    <row r="3358" spans="1:5" s="103" customFormat="1" ht="13.2" hidden="1" outlineLevel="1" x14ac:dyDescent="0.25">
      <c r="A3358" s="106" t="s">
        <v>6733</v>
      </c>
      <c r="B3358" s="106" t="s">
        <v>6734</v>
      </c>
      <c r="C3358" s="106"/>
      <c r="D3358" s="106"/>
      <c r="E3358" s="52"/>
    </row>
    <row r="3359" spans="1:5" s="103" customFormat="1" ht="13.2" hidden="1" outlineLevel="1" x14ac:dyDescent="0.25">
      <c r="A3359" s="106" t="s">
        <v>6735</v>
      </c>
      <c r="B3359" s="106" t="s">
        <v>6736</v>
      </c>
      <c r="C3359" s="106"/>
      <c r="D3359" s="106"/>
      <c r="E3359" s="52"/>
    </row>
    <row r="3360" spans="1:5" s="103" customFormat="1" ht="13.2" hidden="1" outlineLevel="1" x14ac:dyDescent="0.25">
      <c r="A3360" s="106" t="s">
        <v>6737</v>
      </c>
      <c r="B3360" s="106" t="s">
        <v>6738</v>
      </c>
      <c r="C3360" s="106"/>
      <c r="D3360" s="106"/>
      <c r="E3360" s="52"/>
    </row>
    <row r="3361" spans="1:5" s="103" customFormat="1" ht="13.2" hidden="1" outlineLevel="1" x14ac:dyDescent="0.25">
      <c r="A3361" s="106" t="s">
        <v>6739</v>
      </c>
      <c r="B3361" s="106" t="s">
        <v>6740</v>
      </c>
      <c r="C3361" s="106"/>
      <c r="D3361" s="106"/>
      <c r="E3361" s="52"/>
    </row>
    <row r="3362" spans="1:5" s="103" customFormat="1" ht="13.2" hidden="1" outlineLevel="1" x14ac:dyDescent="0.25">
      <c r="A3362" s="106" t="s">
        <v>6741</v>
      </c>
      <c r="B3362" s="106" t="s">
        <v>6742</v>
      </c>
      <c r="C3362" s="106"/>
      <c r="D3362" s="106"/>
      <c r="E3362" s="52"/>
    </row>
    <row r="3363" spans="1:5" s="103" customFormat="1" ht="13.2" hidden="1" outlineLevel="1" x14ac:dyDescent="0.25">
      <c r="A3363" s="106" t="s">
        <v>6743</v>
      </c>
      <c r="B3363" s="106" t="s">
        <v>6744</v>
      </c>
      <c r="C3363" s="106"/>
      <c r="D3363" s="106"/>
      <c r="E3363" s="52"/>
    </row>
    <row r="3364" spans="1:5" s="103" customFormat="1" ht="13.2" hidden="1" outlineLevel="1" x14ac:dyDescent="0.25">
      <c r="A3364" s="106" t="s">
        <v>6745</v>
      </c>
      <c r="B3364" s="106" t="s">
        <v>6746</v>
      </c>
      <c r="C3364" s="106"/>
      <c r="D3364" s="106"/>
      <c r="E3364" s="52"/>
    </row>
    <row r="3365" spans="1:5" s="103" customFormat="1" ht="13.2" hidden="1" outlineLevel="1" x14ac:dyDescent="0.25">
      <c r="A3365" s="106" t="s">
        <v>6747</v>
      </c>
      <c r="B3365" s="106" t="s">
        <v>6748</v>
      </c>
      <c r="C3365" s="106"/>
      <c r="D3365" s="106"/>
      <c r="E3365" s="52"/>
    </row>
    <row r="3366" spans="1:5" s="103" customFormat="1" ht="13.2" hidden="1" outlineLevel="1" x14ac:dyDescent="0.25">
      <c r="A3366" s="106" t="s">
        <v>6749</v>
      </c>
      <c r="B3366" s="106" t="s">
        <v>6750</v>
      </c>
      <c r="C3366" s="106"/>
      <c r="D3366" s="106"/>
      <c r="E3366" s="52"/>
    </row>
    <row r="3367" spans="1:5" s="103" customFormat="1" ht="13.2" hidden="1" outlineLevel="1" x14ac:dyDescent="0.25">
      <c r="A3367" s="106" t="s">
        <v>6751</v>
      </c>
      <c r="B3367" s="106" t="s">
        <v>6752</v>
      </c>
      <c r="C3367" s="106"/>
      <c r="D3367" s="106"/>
      <c r="E3367" s="52"/>
    </row>
    <row r="3368" spans="1:5" s="103" customFormat="1" ht="13.2" hidden="1" outlineLevel="1" x14ac:dyDescent="0.25">
      <c r="A3368" s="106" t="s">
        <v>6753</v>
      </c>
      <c r="B3368" s="106" t="s">
        <v>6754</v>
      </c>
      <c r="C3368" s="106"/>
      <c r="D3368" s="106"/>
      <c r="E3368" s="52"/>
    </row>
    <row r="3369" spans="1:5" s="103" customFormat="1" ht="13.2" hidden="1" outlineLevel="1" x14ac:dyDescent="0.25">
      <c r="A3369" s="106" t="s">
        <v>6755</v>
      </c>
      <c r="B3369" s="106" t="s">
        <v>6756</v>
      </c>
      <c r="C3369" s="106"/>
      <c r="D3369" s="106"/>
      <c r="E3369" s="52"/>
    </row>
    <row r="3370" spans="1:5" s="103" customFormat="1" ht="13.2" hidden="1" outlineLevel="1" x14ac:dyDescent="0.25">
      <c r="A3370" s="106" t="s">
        <v>6757</v>
      </c>
      <c r="B3370" s="106" t="s">
        <v>6758</v>
      </c>
      <c r="C3370" s="106"/>
      <c r="D3370" s="106"/>
      <c r="E3370" s="52"/>
    </row>
    <row r="3371" spans="1:5" s="103" customFormat="1" ht="13.2" hidden="1" outlineLevel="1" x14ac:dyDescent="0.25">
      <c r="A3371" s="106" t="s">
        <v>6759</v>
      </c>
      <c r="B3371" s="106" t="s">
        <v>6760</v>
      </c>
      <c r="C3371" s="106"/>
      <c r="D3371" s="106"/>
      <c r="E3371" s="52"/>
    </row>
    <row r="3372" spans="1:5" s="103" customFormat="1" ht="13.2" hidden="1" outlineLevel="1" x14ac:dyDescent="0.25">
      <c r="A3372" s="106" t="s">
        <v>6761</v>
      </c>
      <c r="B3372" s="106" t="s">
        <v>6762</v>
      </c>
      <c r="C3372" s="106"/>
      <c r="D3372" s="106"/>
      <c r="E3372" s="52"/>
    </row>
    <row r="3373" spans="1:5" s="103" customFormat="1" ht="13.2" hidden="1" outlineLevel="1" x14ac:dyDescent="0.25">
      <c r="A3373" s="106" t="s">
        <v>6763</v>
      </c>
      <c r="B3373" s="106" t="s">
        <v>6764</v>
      </c>
      <c r="C3373" s="106"/>
      <c r="D3373" s="106"/>
      <c r="E3373" s="52"/>
    </row>
    <row r="3374" spans="1:5" s="103" customFormat="1" ht="13.2" hidden="1" outlineLevel="1" x14ac:dyDescent="0.25">
      <c r="A3374" s="106" t="s">
        <v>6765</v>
      </c>
      <c r="B3374" s="106" t="s">
        <v>6766</v>
      </c>
      <c r="C3374" s="106"/>
      <c r="D3374" s="106"/>
      <c r="E3374" s="52"/>
    </row>
    <row r="3375" spans="1:5" s="103" customFormat="1" ht="13.2" hidden="1" outlineLevel="1" x14ac:dyDescent="0.25">
      <c r="A3375" s="106" t="s">
        <v>6767</v>
      </c>
      <c r="B3375" s="106" t="s">
        <v>6768</v>
      </c>
      <c r="C3375" s="106"/>
      <c r="D3375" s="106"/>
      <c r="E3375" s="52"/>
    </row>
    <row r="3376" spans="1:5" s="103" customFormat="1" ht="13.2" hidden="1" outlineLevel="1" x14ac:dyDescent="0.25">
      <c r="A3376" s="106" t="s">
        <v>6769</v>
      </c>
      <c r="B3376" s="106" t="s">
        <v>6770</v>
      </c>
      <c r="C3376" s="106"/>
      <c r="D3376" s="106"/>
      <c r="E3376" s="52"/>
    </row>
    <row r="3377" spans="1:5" s="103" customFormat="1" ht="13.2" hidden="1" outlineLevel="1" x14ac:dyDescent="0.25">
      <c r="A3377" s="106" t="s">
        <v>6771</v>
      </c>
      <c r="B3377" s="106" t="s">
        <v>6772</v>
      </c>
      <c r="C3377" s="106"/>
      <c r="D3377" s="106"/>
      <c r="E3377" s="52"/>
    </row>
    <row r="3378" spans="1:5" s="103" customFormat="1" ht="13.2" hidden="1" outlineLevel="1" x14ac:dyDescent="0.25">
      <c r="A3378" s="106" t="s">
        <v>6773</v>
      </c>
      <c r="B3378" s="106" t="s">
        <v>6774</v>
      </c>
      <c r="C3378" s="106"/>
      <c r="D3378" s="106"/>
      <c r="E3378" s="52"/>
    </row>
    <row r="3379" spans="1:5" s="103" customFormat="1" ht="13.2" hidden="1" outlineLevel="1" x14ac:dyDescent="0.25">
      <c r="A3379" s="106" t="s">
        <v>6775</v>
      </c>
      <c r="B3379" s="106" t="s">
        <v>6776</v>
      </c>
      <c r="C3379" s="106"/>
      <c r="D3379" s="106"/>
      <c r="E3379" s="52"/>
    </row>
    <row r="3380" spans="1:5" s="103" customFormat="1" ht="13.2" hidden="1" outlineLevel="1" x14ac:dyDescent="0.25">
      <c r="A3380" s="106" t="s">
        <v>6777</v>
      </c>
      <c r="B3380" s="106" t="s">
        <v>6778</v>
      </c>
      <c r="C3380" s="106"/>
      <c r="D3380" s="106"/>
      <c r="E3380" s="52"/>
    </row>
    <row r="3381" spans="1:5" s="103" customFormat="1" ht="13.2" hidden="1" outlineLevel="1" x14ac:dyDescent="0.25">
      <c r="A3381" s="106" t="s">
        <v>6779</v>
      </c>
      <c r="B3381" s="106" t="s">
        <v>6780</v>
      </c>
      <c r="C3381" s="106"/>
      <c r="D3381" s="106"/>
      <c r="E3381" s="52"/>
    </row>
    <row r="3382" spans="1:5" s="103" customFormat="1" ht="13.2" hidden="1" outlineLevel="1" x14ac:dyDescent="0.25">
      <c r="A3382" s="106" t="s">
        <v>6781</v>
      </c>
      <c r="B3382" s="106" t="s">
        <v>6782</v>
      </c>
      <c r="C3382" s="106"/>
      <c r="D3382" s="106"/>
      <c r="E3382" s="52"/>
    </row>
    <row r="3383" spans="1:5" s="103" customFormat="1" ht="13.2" hidden="1" outlineLevel="1" x14ac:dyDescent="0.25">
      <c r="A3383" s="106" t="s">
        <v>6783</v>
      </c>
      <c r="B3383" s="106" t="s">
        <v>6784</v>
      </c>
      <c r="C3383" s="106"/>
      <c r="D3383" s="106"/>
      <c r="E3383" s="52"/>
    </row>
    <row r="3384" spans="1:5" s="103" customFormat="1" ht="13.2" hidden="1" outlineLevel="1" x14ac:dyDescent="0.25">
      <c r="A3384" s="106" t="s">
        <v>6785</v>
      </c>
      <c r="B3384" s="106" t="s">
        <v>6786</v>
      </c>
      <c r="C3384" s="106"/>
      <c r="D3384" s="106"/>
      <c r="E3384" s="52"/>
    </row>
    <row r="3385" spans="1:5" s="103" customFormat="1" ht="13.2" hidden="1" outlineLevel="1" x14ac:dyDescent="0.25">
      <c r="A3385" s="106" t="s">
        <v>6787</v>
      </c>
      <c r="B3385" s="106" t="s">
        <v>6788</v>
      </c>
      <c r="C3385" s="106"/>
      <c r="D3385" s="106"/>
      <c r="E3385" s="52"/>
    </row>
    <row r="3386" spans="1:5" s="103" customFormat="1" ht="13.2" hidden="1" outlineLevel="1" x14ac:dyDescent="0.25">
      <c r="A3386" s="106" t="s">
        <v>6789</v>
      </c>
      <c r="B3386" s="106" t="s">
        <v>6790</v>
      </c>
      <c r="C3386" s="106"/>
      <c r="D3386" s="106"/>
      <c r="E3386" s="52"/>
    </row>
    <row r="3387" spans="1:5" s="103" customFormat="1" ht="13.2" hidden="1" outlineLevel="1" x14ac:dyDescent="0.25">
      <c r="A3387" s="106" t="s">
        <v>6791</v>
      </c>
      <c r="B3387" s="106" t="s">
        <v>6792</v>
      </c>
      <c r="C3387" s="106"/>
      <c r="D3387" s="106"/>
      <c r="E3387" s="52"/>
    </row>
    <row r="3388" spans="1:5" s="103" customFormat="1" ht="13.2" hidden="1" outlineLevel="1" x14ac:dyDescent="0.25">
      <c r="A3388" s="106" t="s">
        <v>6793</v>
      </c>
      <c r="B3388" s="106" t="s">
        <v>6794</v>
      </c>
      <c r="C3388" s="106"/>
      <c r="D3388" s="106"/>
      <c r="E3388" s="52"/>
    </row>
    <row r="3389" spans="1:5" s="103" customFormat="1" ht="13.2" hidden="1" outlineLevel="1" x14ac:dyDescent="0.25">
      <c r="A3389" s="106" t="s">
        <v>6795</v>
      </c>
      <c r="B3389" s="106" t="s">
        <v>6796</v>
      </c>
      <c r="C3389" s="106"/>
      <c r="D3389" s="106"/>
      <c r="E3389" s="52"/>
    </row>
    <row r="3390" spans="1:5" s="103" customFormat="1" ht="13.2" hidden="1" outlineLevel="1" x14ac:dyDescent="0.25">
      <c r="A3390" s="106" t="s">
        <v>6797</v>
      </c>
      <c r="B3390" s="106" t="s">
        <v>6798</v>
      </c>
      <c r="C3390" s="106"/>
      <c r="D3390" s="106"/>
      <c r="E3390" s="52"/>
    </row>
    <row r="3391" spans="1:5" s="103" customFormat="1" ht="13.2" hidden="1" outlineLevel="1" x14ac:dyDescent="0.25">
      <c r="A3391" s="106" t="s">
        <v>6799</v>
      </c>
      <c r="B3391" s="106" t="s">
        <v>6800</v>
      </c>
      <c r="C3391" s="106"/>
      <c r="D3391" s="106"/>
      <c r="E3391" s="52"/>
    </row>
    <row r="3392" spans="1:5" s="103" customFormat="1" ht="13.2" hidden="1" outlineLevel="1" x14ac:dyDescent="0.25">
      <c r="A3392" s="106" t="s">
        <v>6801</v>
      </c>
      <c r="B3392" s="106" t="s">
        <v>6802</v>
      </c>
      <c r="C3392" s="106"/>
      <c r="D3392" s="106"/>
      <c r="E3392" s="52"/>
    </row>
    <row r="3393" spans="1:5" s="103" customFormat="1" ht="13.2" hidden="1" outlineLevel="1" x14ac:dyDescent="0.25">
      <c r="A3393" s="106" t="s">
        <v>6803</v>
      </c>
      <c r="B3393" s="106" t="s">
        <v>6804</v>
      </c>
      <c r="C3393" s="106"/>
      <c r="D3393" s="106"/>
      <c r="E3393" s="52"/>
    </row>
    <row r="3394" spans="1:5" s="103" customFormat="1" ht="13.2" hidden="1" outlineLevel="1" x14ac:dyDescent="0.25">
      <c r="A3394" s="106" t="s">
        <v>6805</v>
      </c>
      <c r="B3394" s="106" t="s">
        <v>6806</v>
      </c>
      <c r="C3394" s="106"/>
      <c r="D3394" s="106"/>
      <c r="E3394" s="52"/>
    </row>
    <row r="3395" spans="1:5" s="103" customFormat="1" ht="13.2" hidden="1" outlineLevel="1" x14ac:dyDescent="0.25">
      <c r="A3395" s="106" t="s">
        <v>6807</v>
      </c>
      <c r="B3395" s="106" t="s">
        <v>6808</v>
      </c>
      <c r="C3395" s="106"/>
      <c r="D3395" s="106"/>
      <c r="E3395" s="52"/>
    </row>
    <row r="3396" spans="1:5" s="103" customFormat="1" ht="13.2" hidden="1" outlineLevel="1" x14ac:dyDescent="0.25">
      <c r="A3396" s="106" t="s">
        <v>6809</v>
      </c>
      <c r="B3396" s="106" t="s">
        <v>6810</v>
      </c>
      <c r="C3396" s="106"/>
      <c r="D3396" s="106"/>
      <c r="E3396" s="52"/>
    </row>
    <row r="3397" spans="1:5" s="103" customFormat="1" ht="13.2" hidden="1" outlineLevel="1" x14ac:dyDescent="0.25">
      <c r="A3397" s="106" t="s">
        <v>6811</v>
      </c>
      <c r="B3397" s="106" t="s">
        <v>6812</v>
      </c>
      <c r="C3397" s="106"/>
      <c r="D3397" s="106"/>
      <c r="E3397" s="52"/>
    </row>
    <row r="3398" spans="1:5" s="103" customFormat="1" ht="13.2" hidden="1" outlineLevel="1" x14ac:dyDescent="0.25">
      <c r="A3398" s="106" t="s">
        <v>6813</v>
      </c>
      <c r="B3398" s="106" t="s">
        <v>6814</v>
      </c>
      <c r="C3398" s="106"/>
      <c r="D3398" s="106"/>
      <c r="E3398" s="52"/>
    </row>
    <row r="3399" spans="1:5" s="103" customFormat="1" ht="13.2" hidden="1" outlineLevel="1" x14ac:dyDescent="0.25">
      <c r="A3399" s="106" t="s">
        <v>6815</v>
      </c>
      <c r="B3399" s="106" t="s">
        <v>6816</v>
      </c>
      <c r="C3399" s="106"/>
      <c r="D3399" s="106"/>
      <c r="E3399" s="52"/>
    </row>
    <row r="3400" spans="1:5" s="103" customFormat="1" ht="13.2" hidden="1" outlineLevel="1" x14ac:dyDescent="0.25">
      <c r="A3400" s="106" t="s">
        <v>6817</v>
      </c>
      <c r="B3400" s="106" t="s">
        <v>6818</v>
      </c>
      <c r="C3400" s="106"/>
      <c r="D3400" s="106"/>
      <c r="E3400" s="52"/>
    </row>
    <row r="3401" spans="1:5" s="103" customFormat="1" ht="13.2" hidden="1" outlineLevel="1" x14ac:dyDescent="0.25">
      <c r="A3401" s="106" t="s">
        <v>6819</v>
      </c>
      <c r="B3401" s="106" t="s">
        <v>6820</v>
      </c>
      <c r="C3401" s="106"/>
      <c r="D3401" s="106"/>
      <c r="E3401" s="52"/>
    </row>
    <row r="3402" spans="1:5" s="103" customFormat="1" ht="13.2" hidden="1" outlineLevel="1" x14ac:dyDescent="0.25">
      <c r="A3402" s="106" t="s">
        <v>6821</v>
      </c>
      <c r="B3402" s="106" t="s">
        <v>6822</v>
      </c>
      <c r="C3402" s="106"/>
      <c r="D3402" s="106"/>
      <c r="E3402" s="52"/>
    </row>
    <row r="3403" spans="1:5" s="103" customFormat="1" ht="13.2" hidden="1" outlineLevel="1" x14ac:dyDescent="0.25">
      <c r="A3403" s="106" t="s">
        <v>6823</v>
      </c>
      <c r="B3403" s="106" t="s">
        <v>6824</v>
      </c>
      <c r="C3403" s="106"/>
      <c r="D3403" s="106"/>
      <c r="E3403" s="52"/>
    </row>
    <row r="3404" spans="1:5" s="103" customFormat="1" ht="13.2" hidden="1" outlineLevel="1" x14ac:dyDescent="0.25">
      <c r="A3404" s="106" t="s">
        <v>6825</v>
      </c>
      <c r="B3404" s="106" t="s">
        <v>6826</v>
      </c>
      <c r="C3404" s="106"/>
      <c r="D3404" s="106"/>
      <c r="E3404" s="52"/>
    </row>
    <row r="3405" spans="1:5" s="103" customFormat="1" ht="13.2" hidden="1" outlineLevel="1" x14ac:dyDescent="0.25">
      <c r="A3405" s="106" t="s">
        <v>6827</v>
      </c>
      <c r="B3405" s="106" t="s">
        <v>6828</v>
      </c>
      <c r="C3405" s="106"/>
      <c r="D3405" s="106"/>
      <c r="E3405" s="52"/>
    </row>
    <row r="3406" spans="1:5" s="103" customFormat="1" ht="13.2" hidden="1" outlineLevel="1" x14ac:dyDescent="0.25">
      <c r="A3406" s="106" t="s">
        <v>6829</v>
      </c>
      <c r="B3406" s="106" t="s">
        <v>6830</v>
      </c>
      <c r="C3406" s="106"/>
      <c r="D3406" s="106"/>
      <c r="E3406" s="52"/>
    </row>
    <row r="3407" spans="1:5" s="103" customFormat="1" ht="13.2" hidden="1" outlineLevel="1" x14ac:dyDescent="0.25">
      <c r="A3407" s="106" t="s">
        <v>6831</v>
      </c>
      <c r="B3407" s="106" t="s">
        <v>6832</v>
      </c>
      <c r="C3407" s="106"/>
      <c r="D3407" s="106"/>
      <c r="E3407" s="52"/>
    </row>
    <row r="3408" spans="1:5" s="103" customFormat="1" ht="13.2" hidden="1" outlineLevel="1" x14ac:dyDescent="0.25">
      <c r="A3408" s="106" t="s">
        <v>6833</v>
      </c>
      <c r="B3408" s="106" t="s">
        <v>6834</v>
      </c>
      <c r="C3408" s="106"/>
      <c r="D3408" s="106"/>
      <c r="E3408" s="52"/>
    </row>
    <row r="3409" spans="1:5" s="103" customFormat="1" ht="13.2" hidden="1" outlineLevel="1" x14ac:dyDescent="0.25">
      <c r="A3409" s="106" t="s">
        <v>6835</v>
      </c>
      <c r="B3409" s="106" t="s">
        <v>6836</v>
      </c>
      <c r="C3409" s="106"/>
      <c r="D3409" s="106"/>
      <c r="E3409" s="52"/>
    </row>
    <row r="3410" spans="1:5" s="103" customFormat="1" ht="13.2" hidden="1" outlineLevel="1" x14ac:dyDescent="0.25">
      <c r="A3410" s="106" t="s">
        <v>6837</v>
      </c>
      <c r="B3410" s="106" t="s">
        <v>6838</v>
      </c>
      <c r="C3410" s="106"/>
      <c r="D3410" s="106"/>
      <c r="E3410" s="52"/>
    </row>
    <row r="3411" spans="1:5" s="103" customFormat="1" ht="13.2" hidden="1" outlineLevel="1" x14ac:dyDescent="0.25">
      <c r="A3411" s="106" t="s">
        <v>6839</v>
      </c>
      <c r="B3411" s="106" t="s">
        <v>6840</v>
      </c>
      <c r="C3411" s="106"/>
      <c r="D3411" s="106"/>
      <c r="E3411" s="52"/>
    </row>
    <row r="3412" spans="1:5" s="103" customFormat="1" ht="13.2" hidden="1" outlineLevel="1" x14ac:dyDescent="0.25">
      <c r="A3412" s="106" t="s">
        <v>6841</v>
      </c>
      <c r="B3412" s="106" t="s">
        <v>6842</v>
      </c>
      <c r="C3412" s="106"/>
      <c r="D3412" s="106"/>
      <c r="E3412" s="52"/>
    </row>
    <row r="3413" spans="1:5" s="103" customFormat="1" ht="13.2" hidden="1" outlineLevel="1" x14ac:dyDescent="0.25">
      <c r="A3413" s="106" t="s">
        <v>6843</v>
      </c>
      <c r="B3413" s="106" t="s">
        <v>6844</v>
      </c>
      <c r="C3413" s="106"/>
      <c r="D3413" s="106"/>
      <c r="E3413" s="52"/>
    </row>
    <row r="3414" spans="1:5" s="103" customFormat="1" ht="13.2" hidden="1" outlineLevel="1" x14ac:dyDescent="0.25">
      <c r="A3414" s="106" t="s">
        <v>6845</v>
      </c>
      <c r="B3414" s="106" t="s">
        <v>6846</v>
      </c>
      <c r="C3414" s="106"/>
      <c r="D3414" s="106"/>
      <c r="E3414" s="52"/>
    </row>
    <row r="3415" spans="1:5" s="103" customFormat="1" ht="13.2" hidden="1" outlineLevel="1" x14ac:dyDescent="0.25">
      <c r="A3415" s="106" t="s">
        <v>6847</v>
      </c>
      <c r="B3415" s="106" t="s">
        <v>6848</v>
      </c>
      <c r="C3415" s="106"/>
      <c r="D3415" s="106"/>
      <c r="E3415" s="52"/>
    </row>
    <row r="3416" spans="1:5" s="103" customFormat="1" ht="13.2" hidden="1" outlineLevel="1" x14ac:dyDescent="0.25">
      <c r="A3416" s="106" t="s">
        <v>6849</v>
      </c>
      <c r="B3416" s="106" t="s">
        <v>6850</v>
      </c>
      <c r="C3416" s="106"/>
      <c r="D3416" s="106"/>
      <c r="E3416" s="52"/>
    </row>
    <row r="3417" spans="1:5" s="103" customFormat="1" ht="13.2" hidden="1" outlineLevel="1" x14ac:dyDescent="0.25">
      <c r="A3417" s="106" t="s">
        <v>6851</v>
      </c>
      <c r="B3417" s="106" t="s">
        <v>6852</v>
      </c>
      <c r="C3417" s="106"/>
      <c r="D3417" s="106"/>
      <c r="E3417" s="52"/>
    </row>
    <row r="3418" spans="1:5" s="103" customFormat="1" ht="13.2" hidden="1" outlineLevel="1" x14ac:dyDescent="0.25">
      <c r="A3418" s="106" t="s">
        <v>6853</v>
      </c>
      <c r="B3418" s="106" t="s">
        <v>6854</v>
      </c>
      <c r="C3418" s="106"/>
      <c r="D3418" s="106"/>
      <c r="E3418" s="52"/>
    </row>
    <row r="3419" spans="1:5" s="103" customFormat="1" ht="13.2" hidden="1" outlineLevel="1" x14ac:dyDescent="0.25">
      <c r="A3419" s="106" t="s">
        <v>6855</v>
      </c>
      <c r="B3419" s="106" t="s">
        <v>6856</v>
      </c>
      <c r="C3419" s="106"/>
      <c r="D3419" s="106"/>
      <c r="E3419" s="52"/>
    </row>
    <row r="3420" spans="1:5" s="103" customFormat="1" ht="13.2" hidden="1" outlineLevel="1" x14ac:dyDescent="0.25">
      <c r="A3420" s="106" t="s">
        <v>6857</v>
      </c>
      <c r="B3420" s="106" t="s">
        <v>6858</v>
      </c>
      <c r="C3420" s="106"/>
      <c r="D3420" s="106"/>
      <c r="E3420" s="52"/>
    </row>
    <row r="3421" spans="1:5" s="103" customFormat="1" ht="13.2" hidden="1" outlineLevel="1" x14ac:dyDescent="0.25">
      <c r="A3421" s="106" t="s">
        <v>6859</v>
      </c>
      <c r="B3421" s="106" t="s">
        <v>6860</v>
      </c>
      <c r="C3421" s="106"/>
      <c r="D3421" s="106"/>
      <c r="E3421" s="52"/>
    </row>
    <row r="3422" spans="1:5" s="103" customFormat="1" ht="13.2" hidden="1" outlineLevel="1" x14ac:dyDescent="0.25">
      <c r="A3422" s="106" t="s">
        <v>6861</v>
      </c>
      <c r="B3422" s="106" t="s">
        <v>6862</v>
      </c>
      <c r="C3422" s="106"/>
      <c r="D3422" s="106"/>
      <c r="E3422" s="52"/>
    </row>
    <row r="3423" spans="1:5" s="103" customFormat="1" ht="13.2" hidden="1" outlineLevel="1" x14ac:dyDescent="0.25">
      <c r="A3423" s="106" t="s">
        <v>6863</v>
      </c>
      <c r="B3423" s="106" t="s">
        <v>6864</v>
      </c>
      <c r="C3423" s="106"/>
      <c r="D3423" s="106"/>
      <c r="E3423" s="52"/>
    </row>
    <row r="3424" spans="1:5" s="103" customFormat="1" ht="13.2" hidden="1" outlineLevel="1" x14ac:dyDescent="0.25">
      <c r="A3424" s="106" t="s">
        <v>6865</v>
      </c>
      <c r="B3424" s="106" t="s">
        <v>6866</v>
      </c>
      <c r="C3424" s="106"/>
      <c r="D3424" s="106"/>
      <c r="E3424" s="52"/>
    </row>
    <row r="3425" spans="1:5" s="103" customFormat="1" ht="13.2" hidden="1" outlineLevel="1" x14ac:dyDescent="0.25">
      <c r="A3425" s="106" t="s">
        <v>6867</v>
      </c>
      <c r="B3425" s="106" t="s">
        <v>6868</v>
      </c>
      <c r="C3425" s="106"/>
      <c r="D3425" s="106"/>
      <c r="E3425" s="52"/>
    </row>
    <row r="3426" spans="1:5" s="103" customFormat="1" ht="13.2" hidden="1" outlineLevel="1" x14ac:dyDescent="0.25">
      <c r="A3426" s="106" t="s">
        <v>6869</v>
      </c>
      <c r="B3426" s="106" t="s">
        <v>6870</v>
      </c>
      <c r="C3426" s="106"/>
      <c r="D3426" s="106"/>
      <c r="E3426" s="52"/>
    </row>
    <row r="3427" spans="1:5" s="103" customFormat="1" ht="13.2" hidden="1" outlineLevel="1" x14ac:dyDescent="0.25">
      <c r="A3427" s="106" t="s">
        <v>6871</v>
      </c>
      <c r="B3427" s="106" t="s">
        <v>6872</v>
      </c>
      <c r="C3427" s="106"/>
      <c r="D3427" s="106"/>
      <c r="E3427" s="52"/>
    </row>
    <row r="3428" spans="1:5" s="103" customFormat="1" ht="13.2" hidden="1" outlineLevel="1" x14ac:dyDescent="0.25">
      <c r="A3428" s="106" t="s">
        <v>6873</v>
      </c>
      <c r="B3428" s="106" t="s">
        <v>6874</v>
      </c>
      <c r="C3428" s="106"/>
      <c r="D3428" s="106"/>
      <c r="E3428" s="52"/>
    </row>
    <row r="3429" spans="1:5" s="103" customFormat="1" ht="13.2" hidden="1" outlineLevel="1" x14ac:dyDescent="0.25">
      <c r="A3429" s="106" t="s">
        <v>6875</v>
      </c>
      <c r="B3429" s="106" t="s">
        <v>6876</v>
      </c>
      <c r="C3429" s="106"/>
      <c r="D3429" s="106"/>
      <c r="E3429" s="52"/>
    </row>
    <row r="3430" spans="1:5" s="103" customFormat="1" ht="13.2" hidden="1" outlineLevel="1" x14ac:dyDescent="0.25">
      <c r="A3430" s="106" t="s">
        <v>6877</v>
      </c>
      <c r="B3430" s="106" t="s">
        <v>6878</v>
      </c>
      <c r="C3430" s="106"/>
      <c r="D3430" s="106"/>
      <c r="E3430" s="52"/>
    </row>
    <row r="3431" spans="1:5" s="103" customFormat="1" ht="13.2" hidden="1" outlineLevel="1" x14ac:dyDescent="0.25">
      <c r="A3431" s="106" t="s">
        <v>6879</v>
      </c>
      <c r="B3431" s="106" t="s">
        <v>6880</v>
      </c>
      <c r="C3431" s="106"/>
      <c r="D3431" s="106"/>
      <c r="E3431" s="52"/>
    </row>
    <row r="3432" spans="1:5" s="103" customFormat="1" ht="13.2" hidden="1" outlineLevel="1" x14ac:dyDescent="0.25">
      <c r="A3432" s="106" t="s">
        <v>6881</v>
      </c>
      <c r="B3432" s="106" t="s">
        <v>6882</v>
      </c>
      <c r="C3432" s="106"/>
      <c r="D3432" s="106"/>
      <c r="E3432" s="52"/>
    </row>
    <row r="3433" spans="1:5" s="103" customFormat="1" ht="13.2" hidden="1" outlineLevel="1" x14ac:dyDescent="0.25">
      <c r="A3433" s="106" t="s">
        <v>6883</v>
      </c>
      <c r="B3433" s="106" t="s">
        <v>6884</v>
      </c>
      <c r="C3433" s="106"/>
      <c r="D3433" s="106"/>
      <c r="E3433" s="52"/>
    </row>
    <row r="3434" spans="1:5" s="103" customFormat="1" ht="13.2" hidden="1" outlineLevel="1" x14ac:dyDescent="0.25">
      <c r="A3434" s="106" t="s">
        <v>6885</v>
      </c>
      <c r="B3434" s="106" t="s">
        <v>6886</v>
      </c>
      <c r="C3434" s="106"/>
      <c r="D3434" s="106"/>
      <c r="E3434" s="52"/>
    </row>
    <row r="3435" spans="1:5" s="103" customFormat="1" ht="13.2" hidden="1" outlineLevel="1" x14ac:dyDescent="0.25">
      <c r="A3435" s="106" t="s">
        <v>6887</v>
      </c>
      <c r="B3435" s="106" t="s">
        <v>6888</v>
      </c>
      <c r="C3435" s="106"/>
      <c r="D3435" s="106"/>
      <c r="E3435" s="52"/>
    </row>
    <row r="3436" spans="1:5" s="103" customFormat="1" ht="13.2" hidden="1" outlineLevel="1" x14ac:dyDescent="0.25">
      <c r="A3436" s="106" t="s">
        <v>6889</v>
      </c>
      <c r="B3436" s="106" t="s">
        <v>6890</v>
      </c>
      <c r="C3436" s="106"/>
      <c r="D3436" s="106"/>
      <c r="E3436" s="52"/>
    </row>
    <row r="3437" spans="1:5" s="103" customFormat="1" ht="13.2" hidden="1" outlineLevel="1" x14ac:dyDescent="0.25">
      <c r="A3437" s="106" t="s">
        <v>6891</v>
      </c>
      <c r="B3437" s="106" t="s">
        <v>6892</v>
      </c>
      <c r="C3437" s="106"/>
      <c r="D3437" s="106"/>
      <c r="E3437" s="52"/>
    </row>
    <row r="3438" spans="1:5" s="103" customFormat="1" ht="13.2" hidden="1" outlineLevel="1" x14ac:dyDescent="0.25">
      <c r="A3438" s="106" t="s">
        <v>6893</v>
      </c>
      <c r="B3438" s="106" t="s">
        <v>6894</v>
      </c>
      <c r="C3438" s="106"/>
      <c r="D3438" s="106"/>
      <c r="E3438" s="52"/>
    </row>
    <row r="3439" spans="1:5" s="103" customFormat="1" ht="13.2" hidden="1" outlineLevel="1" x14ac:dyDescent="0.25">
      <c r="A3439" s="106" t="s">
        <v>6895</v>
      </c>
      <c r="B3439" s="106" t="s">
        <v>6896</v>
      </c>
      <c r="C3439" s="106"/>
      <c r="D3439" s="106"/>
      <c r="E3439" s="52"/>
    </row>
    <row r="3440" spans="1:5" s="103" customFormat="1" ht="13.2" hidden="1" outlineLevel="1" x14ac:dyDescent="0.25">
      <c r="A3440" s="106" t="s">
        <v>6897</v>
      </c>
      <c r="B3440" s="106" t="s">
        <v>6898</v>
      </c>
      <c r="C3440" s="106"/>
      <c r="D3440" s="106"/>
      <c r="E3440" s="52"/>
    </row>
    <row r="3441" spans="1:5" s="103" customFormat="1" ht="13.2" hidden="1" outlineLevel="1" x14ac:dyDescent="0.25">
      <c r="A3441" s="106" t="s">
        <v>6899</v>
      </c>
      <c r="B3441" s="106" t="s">
        <v>6900</v>
      </c>
      <c r="C3441" s="106"/>
      <c r="D3441" s="106"/>
      <c r="E3441" s="52"/>
    </row>
    <row r="3442" spans="1:5" s="103" customFormat="1" ht="13.2" hidden="1" outlineLevel="1" x14ac:dyDescent="0.25">
      <c r="A3442" s="106" t="s">
        <v>6901</v>
      </c>
      <c r="B3442" s="106" t="s">
        <v>6902</v>
      </c>
      <c r="C3442" s="106"/>
      <c r="D3442" s="106"/>
      <c r="E3442" s="52"/>
    </row>
    <row r="3443" spans="1:5" s="103" customFormat="1" ht="13.2" hidden="1" outlineLevel="1" x14ac:dyDescent="0.25">
      <c r="A3443" s="106" t="s">
        <v>6903</v>
      </c>
      <c r="B3443" s="106" t="s">
        <v>6904</v>
      </c>
      <c r="C3443" s="106"/>
      <c r="D3443" s="106"/>
      <c r="E3443" s="52"/>
    </row>
    <row r="3444" spans="1:5" s="103" customFormat="1" ht="13.2" hidden="1" outlineLevel="1" x14ac:dyDescent="0.25">
      <c r="A3444" s="106" t="s">
        <v>6905</v>
      </c>
      <c r="B3444" s="106" t="s">
        <v>6906</v>
      </c>
      <c r="C3444" s="106"/>
      <c r="D3444" s="106"/>
      <c r="E3444" s="52"/>
    </row>
    <row r="3445" spans="1:5" s="103" customFormat="1" ht="26.4" collapsed="1" x14ac:dyDescent="0.25">
      <c r="A3445" s="104" t="s">
        <v>6907</v>
      </c>
      <c r="B3445" s="107" t="s">
        <v>6908</v>
      </c>
      <c r="C3445" s="105"/>
      <c r="D3445" s="105"/>
      <c r="E3445" s="51"/>
    </row>
    <row r="3446" spans="1:5" s="103" customFormat="1" ht="13.2" hidden="1" outlineLevel="1" x14ac:dyDescent="0.25">
      <c r="A3446" s="106" t="s">
        <v>6909</v>
      </c>
      <c r="B3446" s="106" t="s">
        <v>6910</v>
      </c>
      <c r="C3446" s="106"/>
      <c r="D3446" s="106"/>
      <c r="E3446" s="52"/>
    </row>
    <row r="3447" spans="1:5" s="103" customFormat="1" ht="13.2" hidden="1" outlineLevel="1" x14ac:dyDescent="0.25">
      <c r="A3447" s="106" t="s">
        <v>6911</v>
      </c>
      <c r="B3447" s="106" t="s">
        <v>6912</v>
      </c>
      <c r="C3447" s="106"/>
      <c r="D3447" s="106"/>
      <c r="E3447" s="52"/>
    </row>
    <row r="3448" spans="1:5" s="103" customFormat="1" ht="13.2" hidden="1" outlineLevel="1" x14ac:dyDescent="0.25">
      <c r="A3448" s="106" t="s">
        <v>6913</v>
      </c>
      <c r="B3448" s="106" t="s">
        <v>6914</v>
      </c>
      <c r="C3448" s="106"/>
      <c r="D3448" s="106"/>
      <c r="E3448" s="52"/>
    </row>
    <row r="3449" spans="1:5" s="103" customFormat="1" ht="13.2" hidden="1" outlineLevel="1" x14ac:dyDescent="0.25">
      <c r="A3449" s="106" t="s">
        <v>6915</v>
      </c>
      <c r="B3449" s="106" t="s">
        <v>6916</v>
      </c>
      <c r="C3449" s="106"/>
      <c r="D3449" s="106"/>
      <c r="E3449" s="52"/>
    </row>
    <row r="3450" spans="1:5" s="103" customFormat="1" ht="13.2" hidden="1" outlineLevel="1" x14ac:dyDescent="0.25">
      <c r="A3450" s="106" t="s">
        <v>6917</v>
      </c>
      <c r="B3450" s="106" t="s">
        <v>6918</v>
      </c>
      <c r="C3450" s="106"/>
      <c r="D3450" s="106"/>
      <c r="E3450" s="52"/>
    </row>
    <row r="3451" spans="1:5" s="103" customFormat="1" ht="13.2" hidden="1" outlineLevel="1" x14ac:dyDescent="0.25">
      <c r="A3451" s="106" t="s">
        <v>6919</v>
      </c>
      <c r="B3451" s="106" t="s">
        <v>6920</v>
      </c>
      <c r="C3451" s="106"/>
      <c r="D3451" s="106"/>
      <c r="E3451" s="52"/>
    </row>
    <row r="3452" spans="1:5" s="103" customFormat="1" ht="13.2" hidden="1" outlineLevel="1" x14ac:dyDescent="0.25">
      <c r="A3452" s="106" t="s">
        <v>6921</v>
      </c>
      <c r="B3452" s="106" t="s">
        <v>6922</v>
      </c>
      <c r="C3452" s="106"/>
      <c r="D3452" s="106"/>
      <c r="E3452" s="52"/>
    </row>
    <row r="3453" spans="1:5" s="103" customFormat="1" ht="13.2" hidden="1" outlineLevel="1" x14ac:dyDescent="0.25">
      <c r="A3453" s="106" t="s">
        <v>6923</v>
      </c>
      <c r="B3453" s="106" t="s">
        <v>6924</v>
      </c>
      <c r="C3453" s="106"/>
      <c r="D3453" s="106"/>
      <c r="E3453" s="52"/>
    </row>
    <row r="3454" spans="1:5" s="103" customFormat="1" ht="13.2" hidden="1" outlineLevel="1" x14ac:dyDescent="0.25">
      <c r="A3454" s="106" t="s">
        <v>6925</v>
      </c>
      <c r="B3454" s="106" t="s">
        <v>6926</v>
      </c>
      <c r="C3454" s="106"/>
      <c r="D3454" s="106"/>
      <c r="E3454" s="52"/>
    </row>
    <row r="3455" spans="1:5" s="103" customFormat="1" ht="13.2" hidden="1" outlineLevel="1" x14ac:dyDescent="0.25">
      <c r="A3455" s="106" t="s">
        <v>6927</v>
      </c>
      <c r="B3455" s="106" t="s">
        <v>6928</v>
      </c>
      <c r="C3455" s="106"/>
      <c r="D3455" s="106"/>
      <c r="E3455" s="52"/>
    </row>
    <row r="3456" spans="1:5" s="103" customFormat="1" ht="13.2" hidden="1" outlineLevel="1" x14ac:dyDescent="0.25">
      <c r="A3456" s="106" t="s">
        <v>6929</v>
      </c>
      <c r="B3456" s="106" t="s">
        <v>6930</v>
      </c>
      <c r="C3456" s="106"/>
      <c r="D3456" s="106"/>
      <c r="E3456" s="52"/>
    </row>
    <row r="3457" spans="1:5" s="103" customFormat="1" ht="13.2" hidden="1" outlineLevel="1" x14ac:dyDescent="0.25">
      <c r="A3457" s="106" t="s">
        <v>6931</v>
      </c>
      <c r="B3457" s="106" t="s">
        <v>6932</v>
      </c>
      <c r="C3457" s="106"/>
      <c r="D3457" s="106"/>
      <c r="E3457" s="52"/>
    </row>
    <row r="3458" spans="1:5" s="103" customFormat="1" ht="13.2" hidden="1" outlineLevel="1" x14ac:dyDescent="0.25">
      <c r="A3458" s="106" t="s">
        <v>6933</v>
      </c>
      <c r="B3458" s="106" t="s">
        <v>6934</v>
      </c>
      <c r="C3458" s="106"/>
      <c r="D3458" s="106"/>
      <c r="E3458" s="52"/>
    </row>
    <row r="3459" spans="1:5" s="103" customFormat="1" ht="13.2" hidden="1" outlineLevel="1" x14ac:dyDescent="0.25">
      <c r="A3459" s="106" t="s">
        <v>6935</v>
      </c>
      <c r="B3459" s="106" t="s">
        <v>6936</v>
      </c>
      <c r="C3459" s="106"/>
      <c r="D3459" s="106"/>
      <c r="E3459" s="52"/>
    </row>
    <row r="3460" spans="1:5" s="103" customFormat="1" ht="13.2" hidden="1" outlineLevel="1" x14ac:dyDescent="0.25">
      <c r="A3460" s="106" t="s">
        <v>6937</v>
      </c>
      <c r="B3460" s="106" t="s">
        <v>6938</v>
      </c>
      <c r="C3460" s="106"/>
      <c r="D3460" s="106"/>
      <c r="E3460" s="52"/>
    </row>
    <row r="3461" spans="1:5" s="103" customFormat="1" ht="13.2" hidden="1" outlineLevel="1" x14ac:dyDescent="0.25">
      <c r="A3461" s="106" t="s">
        <v>6939</v>
      </c>
      <c r="B3461" s="106" t="s">
        <v>6940</v>
      </c>
      <c r="C3461" s="106"/>
      <c r="D3461" s="106"/>
      <c r="E3461" s="52"/>
    </row>
    <row r="3462" spans="1:5" s="103" customFormat="1" ht="13.2" hidden="1" outlineLevel="1" x14ac:dyDescent="0.25">
      <c r="A3462" s="106" t="s">
        <v>6941</v>
      </c>
      <c r="B3462" s="106" t="s">
        <v>6942</v>
      </c>
      <c r="C3462" s="106"/>
      <c r="D3462" s="106"/>
      <c r="E3462" s="52"/>
    </row>
    <row r="3463" spans="1:5" s="103" customFormat="1" ht="13.2" hidden="1" outlineLevel="1" x14ac:dyDescent="0.25">
      <c r="A3463" s="106" t="s">
        <v>6943</v>
      </c>
      <c r="B3463" s="106" t="s">
        <v>6944</v>
      </c>
      <c r="C3463" s="106"/>
      <c r="D3463" s="106"/>
      <c r="E3463" s="52"/>
    </row>
    <row r="3464" spans="1:5" s="103" customFormat="1" ht="13.2" hidden="1" outlineLevel="1" x14ac:dyDescent="0.25">
      <c r="A3464" s="106" t="s">
        <v>6945</v>
      </c>
      <c r="B3464" s="106" t="s">
        <v>6946</v>
      </c>
      <c r="C3464" s="106"/>
      <c r="D3464" s="106"/>
      <c r="E3464" s="52"/>
    </row>
    <row r="3465" spans="1:5" s="103" customFormat="1" ht="13.2" hidden="1" outlineLevel="1" x14ac:dyDescent="0.25">
      <c r="A3465" s="106" t="s">
        <v>6947</v>
      </c>
      <c r="B3465" s="106" t="s">
        <v>6948</v>
      </c>
      <c r="C3465" s="106"/>
      <c r="D3465" s="106"/>
      <c r="E3465" s="52"/>
    </row>
    <row r="3466" spans="1:5" s="103" customFormat="1" ht="13.2" hidden="1" outlineLevel="1" x14ac:dyDescent="0.25">
      <c r="A3466" s="106" t="s">
        <v>6949</v>
      </c>
      <c r="B3466" s="106" t="s">
        <v>6950</v>
      </c>
      <c r="C3466" s="106"/>
      <c r="D3466" s="106"/>
      <c r="E3466" s="52"/>
    </row>
    <row r="3467" spans="1:5" s="103" customFormat="1" ht="13.2" hidden="1" outlineLevel="1" x14ac:dyDescent="0.25">
      <c r="A3467" s="106" t="s">
        <v>6951</v>
      </c>
      <c r="B3467" s="106" t="s">
        <v>6952</v>
      </c>
      <c r="C3467" s="106"/>
      <c r="D3467" s="106"/>
      <c r="E3467" s="52"/>
    </row>
    <row r="3468" spans="1:5" s="103" customFormat="1" ht="13.2" hidden="1" outlineLevel="1" x14ac:dyDescent="0.25">
      <c r="A3468" s="106" t="s">
        <v>6953</v>
      </c>
      <c r="B3468" s="106" t="s">
        <v>6954</v>
      </c>
      <c r="C3468" s="106"/>
      <c r="D3468" s="106"/>
      <c r="E3468" s="52"/>
    </row>
    <row r="3469" spans="1:5" s="103" customFormat="1" ht="13.2" hidden="1" outlineLevel="1" x14ac:dyDescent="0.25">
      <c r="A3469" s="106" t="s">
        <v>6955</v>
      </c>
      <c r="B3469" s="106" t="s">
        <v>6956</v>
      </c>
      <c r="C3469" s="106"/>
      <c r="D3469" s="106"/>
      <c r="E3469" s="52"/>
    </row>
    <row r="3470" spans="1:5" s="103" customFormat="1" ht="13.2" hidden="1" outlineLevel="1" x14ac:dyDescent="0.25">
      <c r="A3470" s="106" t="s">
        <v>6957</v>
      </c>
      <c r="B3470" s="106" t="s">
        <v>6958</v>
      </c>
      <c r="C3470" s="106"/>
      <c r="D3470" s="106"/>
      <c r="E3470" s="52"/>
    </row>
    <row r="3471" spans="1:5" s="103" customFormat="1" ht="13.2" hidden="1" outlineLevel="1" x14ac:dyDescent="0.25">
      <c r="A3471" s="106" t="s">
        <v>6959</v>
      </c>
      <c r="B3471" s="106" t="s">
        <v>6960</v>
      </c>
      <c r="C3471" s="106"/>
      <c r="D3471" s="106"/>
      <c r="E3471" s="52"/>
    </row>
    <row r="3472" spans="1:5" s="103" customFormat="1" ht="13.2" hidden="1" outlineLevel="1" x14ac:dyDescent="0.25">
      <c r="A3472" s="106" t="s">
        <v>6961</v>
      </c>
      <c r="B3472" s="106" t="s">
        <v>6962</v>
      </c>
      <c r="C3472" s="106"/>
      <c r="D3472" s="106"/>
      <c r="E3472" s="52"/>
    </row>
    <row r="3473" spans="1:5" s="103" customFormat="1" ht="13.2" hidden="1" outlineLevel="1" x14ac:dyDescent="0.25">
      <c r="A3473" s="106" t="s">
        <v>6963</v>
      </c>
      <c r="B3473" s="106" t="s">
        <v>6964</v>
      </c>
      <c r="C3473" s="106"/>
      <c r="D3473" s="106"/>
      <c r="E3473" s="52"/>
    </row>
    <row r="3474" spans="1:5" s="103" customFormat="1" ht="13.2" hidden="1" outlineLevel="1" x14ac:dyDescent="0.25">
      <c r="A3474" s="106" t="s">
        <v>6965</v>
      </c>
      <c r="B3474" s="106" t="s">
        <v>6966</v>
      </c>
      <c r="C3474" s="106"/>
      <c r="D3474" s="106"/>
      <c r="E3474" s="52"/>
    </row>
    <row r="3475" spans="1:5" s="103" customFormat="1" ht="13.2" hidden="1" outlineLevel="1" x14ac:dyDescent="0.25">
      <c r="A3475" s="106" t="s">
        <v>6967</v>
      </c>
      <c r="B3475" s="106" t="s">
        <v>6968</v>
      </c>
      <c r="C3475" s="106"/>
      <c r="D3475" s="106"/>
      <c r="E3475" s="52"/>
    </row>
    <row r="3476" spans="1:5" s="103" customFormat="1" ht="13.2" hidden="1" outlineLevel="1" x14ac:dyDescent="0.25">
      <c r="A3476" s="106" t="s">
        <v>6969</v>
      </c>
      <c r="B3476" s="106" t="s">
        <v>6970</v>
      </c>
      <c r="C3476" s="106"/>
      <c r="D3476" s="106"/>
      <c r="E3476" s="52"/>
    </row>
    <row r="3477" spans="1:5" s="103" customFormat="1" ht="13.2" hidden="1" outlineLevel="1" x14ac:dyDescent="0.25">
      <c r="A3477" s="106" t="s">
        <v>6971</v>
      </c>
      <c r="B3477" s="106" t="s">
        <v>6972</v>
      </c>
      <c r="C3477" s="106"/>
      <c r="D3477" s="106"/>
      <c r="E3477" s="52"/>
    </row>
    <row r="3478" spans="1:5" s="103" customFormat="1" ht="13.2" hidden="1" outlineLevel="1" x14ac:dyDescent="0.25">
      <c r="A3478" s="106" t="s">
        <v>6973</v>
      </c>
      <c r="B3478" s="106" t="s">
        <v>6974</v>
      </c>
      <c r="C3478" s="106"/>
      <c r="D3478" s="106"/>
      <c r="E3478" s="52"/>
    </row>
    <row r="3479" spans="1:5" s="103" customFormat="1" ht="13.2" hidden="1" outlineLevel="1" x14ac:dyDescent="0.25">
      <c r="A3479" s="106" t="s">
        <v>6975</v>
      </c>
      <c r="B3479" s="106" t="s">
        <v>6976</v>
      </c>
      <c r="C3479" s="106"/>
      <c r="D3479" s="106"/>
      <c r="E3479" s="52"/>
    </row>
    <row r="3480" spans="1:5" s="103" customFormat="1" ht="13.2" hidden="1" outlineLevel="1" x14ac:dyDescent="0.25">
      <c r="A3480" s="106" t="s">
        <v>6977</v>
      </c>
      <c r="B3480" s="106" t="s">
        <v>6978</v>
      </c>
      <c r="C3480" s="106"/>
      <c r="D3480" s="106"/>
      <c r="E3480" s="52"/>
    </row>
    <row r="3481" spans="1:5" s="103" customFormat="1" ht="13.2" hidden="1" outlineLevel="1" x14ac:dyDescent="0.25">
      <c r="A3481" s="106" t="s">
        <v>6979</v>
      </c>
      <c r="B3481" s="106" t="s">
        <v>6980</v>
      </c>
      <c r="C3481" s="106"/>
      <c r="D3481" s="106"/>
      <c r="E3481" s="52"/>
    </row>
    <row r="3482" spans="1:5" s="103" customFormat="1" ht="13.2" hidden="1" outlineLevel="1" x14ac:dyDescent="0.25">
      <c r="A3482" s="106" t="s">
        <v>6981</v>
      </c>
      <c r="B3482" s="106" t="s">
        <v>6982</v>
      </c>
      <c r="C3482" s="106"/>
      <c r="D3482" s="106"/>
      <c r="E3482" s="52"/>
    </row>
    <row r="3483" spans="1:5" s="103" customFormat="1" ht="13.2" hidden="1" outlineLevel="1" x14ac:dyDescent="0.25">
      <c r="A3483" s="106" t="s">
        <v>6983</v>
      </c>
      <c r="B3483" s="106" t="s">
        <v>6984</v>
      </c>
      <c r="C3483" s="106"/>
      <c r="D3483" s="106"/>
      <c r="E3483" s="52"/>
    </row>
    <row r="3484" spans="1:5" s="103" customFormat="1" ht="13.2" hidden="1" outlineLevel="1" x14ac:dyDescent="0.25">
      <c r="A3484" s="106" t="s">
        <v>6985</v>
      </c>
      <c r="B3484" s="106" t="s">
        <v>6986</v>
      </c>
      <c r="C3484" s="106"/>
      <c r="D3484" s="106"/>
      <c r="E3484" s="52"/>
    </row>
    <row r="3485" spans="1:5" s="103" customFormat="1" ht="13.2" hidden="1" outlineLevel="1" x14ac:dyDescent="0.25">
      <c r="A3485" s="106" t="s">
        <v>6987</v>
      </c>
      <c r="B3485" s="106" t="s">
        <v>6988</v>
      </c>
      <c r="C3485" s="106"/>
      <c r="D3485" s="106"/>
      <c r="E3485" s="52"/>
    </row>
    <row r="3486" spans="1:5" s="103" customFormat="1" ht="13.2" hidden="1" outlineLevel="1" x14ac:dyDescent="0.25">
      <c r="A3486" s="106" t="s">
        <v>6989</v>
      </c>
      <c r="B3486" s="106" t="s">
        <v>6990</v>
      </c>
      <c r="C3486" s="106"/>
      <c r="D3486" s="106"/>
      <c r="E3486" s="52"/>
    </row>
    <row r="3487" spans="1:5" s="103" customFormat="1" ht="13.2" hidden="1" outlineLevel="1" x14ac:dyDescent="0.25">
      <c r="A3487" s="106" t="s">
        <v>6991</v>
      </c>
      <c r="B3487" s="106" t="s">
        <v>6992</v>
      </c>
      <c r="C3487" s="106"/>
      <c r="D3487" s="106"/>
      <c r="E3487" s="52"/>
    </row>
    <row r="3488" spans="1:5" s="103" customFormat="1" ht="13.2" hidden="1" outlineLevel="1" x14ac:dyDescent="0.25">
      <c r="A3488" s="106" t="s">
        <v>6993</v>
      </c>
      <c r="B3488" s="106" t="s">
        <v>6994</v>
      </c>
      <c r="C3488" s="106"/>
      <c r="D3488" s="106"/>
      <c r="E3488" s="52"/>
    </row>
    <row r="3489" spans="1:5" s="103" customFormat="1" ht="13.2" hidden="1" outlineLevel="1" x14ac:dyDescent="0.25">
      <c r="A3489" s="106" t="s">
        <v>6995</v>
      </c>
      <c r="B3489" s="106" t="s">
        <v>6996</v>
      </c>
      <c r="C3489" s="106"/>
      <c r="D3489" s="106"/>
      <c r="E3489" s="52"/>
    </row>
    <row r="3490" spans="1:5" s="103" customFormat="1" ht="13.2" hidden="1" outlineLevel="1" x14ac:dyDescent="0.25">
      <c r="A3490" s="106" t="s">
        <v>6997</v>
      </c>
      <c r="B3490" s="106" t="s">
        <v>6998</v>
      </c>
      <c r="C3490" s="106"/>
      <c r="D3490" s="106"/>
      <c r="E3490" s="52"/>
    </row>
    <row r="3491" spans="1:5" s="103" customFormat="1" ht="13.2" hidden="1" outlineLevel="1" x14ac:dyDescent="0.25">
      <c r="A3491" s="106" t="s">
        <v>6999</v>
      </c>
      <c r="B3491" s="106" t="s">
        <v>7000</v>
      </c>
      <c r="C3491" s="106"/>
      <c r="D3491" s="106"/>
      <c r="E3491" s="52"/>
    </row>
    <row r="3492" spans="1:5" s="103" customFormat="1" ht="13.2" hidden="1" outlineLevel="1" x14ac:dyDescent="0.25">
      <c r="A3492" s="106" t="s">
        <v>7001</v>
      </c>
      <c r="B3492" s="106" t="s">
        <v>7002</v>
      </c>
      <c r="C3492" s="106"/>
      <c r="D3492" s="106"/>
      <c r="E3492" s="52"/>
    </row>
    <row r="3493" spans="1:5" s="103" customFormat="1" ht="13.2" hidden="1" outlineLevel="1" x14ac:dyDescent="0.25">
      <c r="A3493" s="106" t="s">
        <v>7003</v>
      </c>
      <c r="B3493" s="106" t="s">
        <v>7004</v>
      </c>
      <c r="C3493" s="106"/>
      <c r="D3493" s="106"/>
      <c r="E3493" s="52"/>
    </row>
    <row r="3494" spans="1:5" s="103" customFormat="1" ht="13.2" hidden="1" outlineLevel="1" x14ac:dyDescent="0.25">
      <c r="A3494" s="106" t="s">
        <v>7005</v>
      </c>
      <c r="B3494" s="106" t="s">
        <v>7006</v>
      </c>
      <c r="C3494" s="106"/>
      <c r="D3494" s="106"/>
      <c r="E3494" s="52"/>
    </row>
    <row r="3495" spans="1:5" s="103" customFormat="1" ht="13.2" hidden="1" outlineLevel="1" x14ac:dyDescent="0.25">
      <c r="A3495" s="106" t="s">
        <v>7007</v>
      </c>
      <c r="B3495" s="106" t="s">
        <v>7008</v>
      </c>
      <c r="C3495" s="106"/>
      <c r="D3495" s="106"/>
      <c r="E3495" s="52"/>
    </row>
    <row r="3496" spans="1:5" s="103" customFormat="1" ht="13.2" hidden="1" outlineLevel="1" x14ac:dyDescent="0.25">
      <c r="A3496" s="106" t="s">
        <v>7009</v>
      </c>
      <c r="B3496" s="106" t="s">
        <v>7010</v>
      </c>
      <c r="C3496" s="106"/>
      <c r="D3496" s="106"/>
      <c r="E3496" s="52"/>
    </row>
    <row r="3497" spans="1:5" s="103" customFormat="1" ht="13.2" hidden="1" outlineLevel="1" x14ac:dyDescent="0.25">
      <c r="A3497" s="106" t="s">
        <v>7011</v>
      </c>
      <c r="B3497" s="106" t="s">
        <v>7012</v>
      </c>
      <c r="C3497" s="106"/>
      <c r="D3497" s="106"/>
      <c r="E3497" s="52"/>
    </row>
    <row r="3498" spans="1:5" s="103" customFormat="1" ht="13.2" hidden="1" outlineLevel="1" x14ac:dyDescent="0.25">
      <c r="A3498" s="106" t="s">
        <v>7013</v>
      </c>
      <c r="B3498" s="106" t="s">
        <v>7014</v>
      </c>
      <c r="C3498" s="106"/>
      <c r="D3498" s="106"/>
      <c r="E3498" s="52"/>
    </row>
    <row r="3499" spans="1:5" s="103" customFormat="1" ht="13.2" hidden="1" outlineLevel="1" x14ac:dyDescent="0.25">
      <c r="A3499" s="106" t="s">
        <v>7015</v>
      </c>
      <c r="B3499" s="106" t="s">
        <v>7016</v>
      </c>
      <c r="C3499" s="106"/>
      <c r="D3499" s="106"/>
      <c r="E3499" s="52"/>
    </row>
    <row r="3500" spans="1:5" s="103" customFormat="1" ht="13.2" hidden="1" outlineLevel="1" x14ac:dyDescent="0.25">
      <c r="A3500" s="106" t="s">
        <v>7017</v>
      </c>
      <c r="B3500" s="106" t="s">
        <v>7018</v>
      </c>
      <c r="C3500" s="106"/>
      <c r="D3500" s="106"/>
      <c r="E3500" s="52"/>
    </row>
    <row r="3501" spans="1:5" s="103" customFormat="1" ht="13.2" hidden="1" outlineLevel="1" x14ac:dyDescent="0.25">
      <c r="A3501" s="106" t="s">
        <v>7019</v>
      </c>
      <c r="B3501" s="106" t="s">
        <v>7020</v>
      </c>
      <c r="C3501" s="106"/>
      <c r="D3501" s="106"/>
      <c r="E3501" s="52"/>
    </row>
    <row r="3502" spans="1:5" s="103" customFormat="1" ht="13.2" hidden="1" outlineLevel="1" x14ac:dyDescent="0.25">
      <c r="A3502" s="106" t="s">
        <v>7021</v>
      </c>
      <c r="B3502" s="106" t="s">
        <v>7022</v>
      </c>
      <c r="C3502" s="106"/>
      <c r="D3502" s="106"/>
      <c r="E3502" s="52"/>
    </row>
    <row r="3503" spans="1:5" s="103" customFormat="1" ht="13.2" hidden="1" outlineLevel="1" x14ac:dyDescent="0.25">
      <c r="A3503" s="106" t="s">
        <v>7023</v>
      </c>
      <c r="B3503" s="106" t="s">
        <v>7024</v>
      </c>
      <c r="C3503" s="106"/>
      <c r="D3503" s="106"/>
      <c r="E3503" s="52"/>
    </row>
    <row r="3504" spans="1:5" s="103" customFormat="1" ht="13.2" hidden="1" outlineLevel="1" x14ac:dyDescent="0.25">
      <c r="A3504" s="106" t="s">
        <v>7025</v>
      </c>
      <c r="B3504" s="106" t="s">
        <v>7026</v>
      </c>
      <c r="C3504" s="106"/>
      <c r="D3504" s="106"/>
      <c r="E3504" s="52"/>
    </row>
    <row r="3505" spans="1:5" s="103" customFormat="1" ht="13.2" hidden="1" outlineLevel="1" x14ac:dyDescent="0.25">
      <c r="A3505" s="106" t="s">
        <v>7027</v>
      </c>
      <c r="B3505" s="106" t="s">
        <v>7028</v>
      </c>
      <c r="C3505" s="106"/>
      <c r="D3505" s="106"/>
      <c r="E3505" s="52"/>
    </row>
    <row r="3506" spans="1:5" s="103" customFormat="1" ht="13.2" hidden="1" outlineLevel="1" x14ac:dyDescent="0.25">
      <c r="A3506" s="106" t="s">
        <v>7029</v>
      </c>
      <c r="B3506" s="106" t="s">
        <v>7030</v>
      </c>
      <c r="C3506" s="106"/>
      <c r="D3506" s="106"/>
      <c r="E3506" s="52"/>
    </row>
    <row r="3507" spans="1:5" s="103" customFormat="1" ht="13.2" hidden="1" outlineLevel="1" x14ac:dyDescent="0.25">
      <c r="A3507" s="106" t="s">
        <v>7031</v>
      </c>
      <c r="B3507" s="106" t="s">
        <v>7032</v>
      </c>
      <c r="C3507" s="106"/>
      <c r="D3507" s="106"/>
      <c r="E3507" s="52"/>
    </row>
    <row r="3508" spans="1:5" s="103" customFormat="1" ht="13.2" hidden="1" outlineLevel="1" x14ac:dyDescent="0.25">
      <c r="A3508" s="106" t="s">
        <v>7033</v>
      </c>
      <c r="B3508" s="106" t="s">
        <v>7034</v>
      </c>
      <c r="C3508" s="106"/>
      <c r="D3508" s="106"/>
      <c r="E3508" s="52"/>
    </row>
    <row r="3509" spans="1:5" s="103" customFormat="1" ht="13.2" hidden="1" outlineLevel="1" x14ac:dyDescent="0.25">
      <c r="A3509" s="106" t="s">
        <v>7035</v>
      </c>
      <c r="B3509" s="106" t="s">
        <v>7036</v>
      </c>
      <c r="C3509" s="106"/>
      <c r="D3509" s="106"/>
      <c r="E3509" s="52"/>
    </row>
    <row r="3510" spans="1:5" s="103" customFormat="1" ht="13.2" hidden="1" outlineLevel="1" x14ac:dyDescent="0.25">
      <c r="A3510" s="106" t="s">
        <v>7037</v>
      </c>
      <c r="B3510" s="106" t="s">
        <v>7038</v>
      </c>
      <c r="C3510" s="106"/>
      <c r="D3510" s="106"/>
      <c r="E3510" s="52"/>
    </row>
    <row r="3511" spans="1:5" s="103" customFormat="1" ht="13.2" hidden="1" outlineLevel="1" x14ac:dyDescent="0.25">
      <c r="A3511" s="106" t="s">
        <v>7039</v>
      </c>
      <c r="B3511" s="106" t="s">
        <v>7040</v>
      </c>
      <c r="C3511" s="106"/>
      <c r="D3511" s="106"/>
      <c r="E3511" s="52"/>
    </row>
    <row r="3512" spans="1:5" s="103" customFormat="1" ht="13.2" hidden="1" outlineLevel="1" x14ac:dyDescent="0.25">
      <c r="A3512" s="106" t="s">
        <v>7041</v>
      </c>
      <c r="B3512" s="106" t="s">
        <v>7042</v>
      </c>
      <c r="C3512" s="106"/>
      <c r="D3512" s="106"/>
      <c r="E3512" s="52"/>
    </row>
    <row r="3513" spans="1:5" s="103" customFormat="1" ht="13.2" hidden="1" outlineLevel="1" x14ac:dyDescent="0.25">
      <c r="A3513" s="106" t="s">
        <v>7043</v>
      </c>
      <c r="B3513" s="106" t="s">
        <v>7044</v>
      </c>
      <c r="C3513" s="106"/>
      <c r="D3513" s="106"/>
      <c r="E3513" s="52"/>
    </row>
    <row r="3514" spans="1:5" s="103" customFormat="1" ht="13.2" hidden="1" outlineLevel="1" x14ac:dyDescent="0.25">
      <c r="A3514" s="106" t="s">
        <v>7045</v>
      </c>
      <c r="B3514" s="106" t="s">
        <v>7046</v>
      </c>
      <c r="C3514" s="106"/>
      <c r="D3514" s="106"/>
      <c r="E3514" s="52"/>
    </row>
    <row r="3515" spans="1:5" s="103" customFormat="1" ht="13.2" hidden="1" outlineLevel="1" x14ac:dyDescent="0.25">
      <c r="A3515" s="106" t="s">
        <v>7047</v>
      </c>
      <c r="B3515" s="106" t="s">
        <v>7048</v>
      </c>
      <c r="C3515" s="106"/>
      <c r="D3515" s="106"/>
      <c r="E3515" s="52"/>
    </row>
    <row r="3516" spans="1:5" s="103" customFormat="1" ht="13.2" hidden="1" outlineLevel="1" x14ac:dyDescent="0.25">
      <c r="A3516" s="106" t="s">
        <v>7049</v>
      </c>
      <c r="B3516" s="106" t="s">
        <v>7050</v>
      </c>
      <c r="C3516" s="106"/>
      <c r="D3516" s="106"/>
      <c r="E3516" s="52"/>
    </row>
    <row r="3517" spans="1:5" s="103" customFormat="1" ht="13.2" hidden="1" outlineLevel="1" x14ac:dyDescent="0.25">
      <c r="A3517" s="106" t="s">
        <v>7051</v>
      </c>
      <c r="B3517" s="106" t="s">
        <v>7052</v>
      </c>
      <c r="C3517" s="106"/>
      <c r="D3517" s="106"/>
      <c r="E3517" s="52"/>
    </row>
    <row r="3518" spans="1:5" s="103" customFormat="1" ht="13.2" hidden="1" outlineLevel="1" x14ac:dyDescent="0.25">
      <c r="A3518" s="106" t="s">
        <v>7053</v>
      </c>
      <c r="B3518" s="106" t="s">
        <v>7054</v>
      </c>
      <c r="C3518" s="106"/>
      <c r="D3518" s="106"/>
      <c r="E3518" s="52"/>
    </row>
    <row r="3519" spans="1:5" s="103" customFormat="1" ht="13.2" hidden="1" outlineLevel="1" x14ac:dyDescent="0.25">
      <c r="A3519" s="106" t="s">
        <v>7055</v>
      </c>
      <c r="B3519" s="106" t="s">
        <v>7056</v>
      </c>
      <c r="C3519" s="106"/>
      <c r="D3519" s="106"/>
      <c r="E3519" s="52"/>
    </row>
    <row r="3520" spans="1:5" s="103" customFormat="1" ht="13.2" hidden="1" outlineLevel="1" x14ac:dyDescent="0.25">
      <c r="A3520" s="106" t="s">
        <v>7057</v>
      </c>
      <c r="B3520" s="106" t="s">
        <v>7058</v>
      </c>
      <c r="C3520" s="106"/>
      <c r="D3520" s="106"/>
      <c r="E3520" s="52"/>
    </row>
    <row r="3521" spans="1:5" s="103" customFormat="1" ht="13.2" hidden="1" outlineLevel="1" x14ac:dyDescent="0.25">
      <c r="A3521" s="106" t="s">
        <v>7059</v>
      </c>
      <c r="B3521" s="106" t="s">
        <v>7060</v>
      </c>
      <c r="C3521" s="106"/>
      <c r="D3521" s="106"/>
      <c r="E3521" s="52"/>
    </row>
    <row r="3522" spans="1:5" s="103" customFormat="1" ht="13.2" hidden="1" outlineLevel="1" x14ac:dyDescent="0.25">
      <c r="A3522" s="106" t="s">
        <v>7061</v>
      </c>
      <c r="B3522" s="106" t="s">
        <v>7062</v>
      </c>
      <c r="C3522" s="106"/>
      <c r="D3522" s="106"/>
      <c r="E3522" s="52"/>
    </row>
    <row r="3523" spans="1:5" s="103" customFormat="1" ht="13.2" hidden="1" outlineLevel="1" x14ac:dyDescent="0.25">
      <c r="A3523" s="106" t="s">
        <v>7063</v>
      </c>
      <c r="B3523" s="106" t="s">
        <v>7064</v>
      </c>
      <c r="C3523" s="106"/>
      <c r="D3523" s="106"/>
      <c r="E3523" s="52"/>
    </row>
    <row r="3524" spans="1:5" s="103" customFormat="1" ht="13.2" hidden="1" outlineLevel="1" x14ac:dyDescent="0.25">
      <c r="A3524" s="106" t="s">
        <v>7065</v>
      </c>
      <c r="B3524" s="106" t="s">
        <v>7066</v>
      </c>
      <c r="C3524" s="106"/>
      <c r="D3524" s="106"/>
      <c r="E3524" s="52"/>
    </row>
    <row r="3525" spans="1:5" s="103" customFormat="1" ht="13.2" hidden="1" outlineLevel="1" x14ac:dyDescent="0.25">
      <c r="A3525" s="106" t="s">
        <v>7067</v>
      </c>
      <c r="B3525" s="106" t="s">
        <v>7068</v>
      </c>
      <c r="C3525" s="106"/>
      <c r="D3525" s="106"/>
      <c r="E3525" s="52"/>
    </row>
    <row r="3526" spans="1:5" s="103" customFormat="1" ht="13.2" hidden="1" outlineLevel="1" x14ac:dyDescent="0.25">
      <c r="A3526" s="106" t="s">
        <v>7069</v>
      </c>
      <c r="B3526" s="106" t="s">
        <v>7070</v>
      </c>
      <c r="C3526" s="106"/>
      <c r="D3526" s="106"/>
      <c r="E3526" s="52"/>
    </row>
    <row r="3527" spans="1:5" s="103" customFormat="1" ht="13.2" hidden="1" outlineLevel="1" x14ac:dyDescent="0.25">
      <c r="A3527" s="106" t="s">
        <v>7071</v>
      </c>
      <c r="B3527" s="106" t="s">
        <v>7072</v>
      </c>
      <c r="C3527" s="106"/>
      <c r="D3527" s="106"/>
      <c r="E3527" s="52"/>
    </row>
    <row r="3528" spans="1:5" s="103" customFormat="1" ht="13.2" hidden="1" outlineLevel="1" x14ac:dyDescent="0.25">
      <c r="A3528" s="106" t="s">
        <v>7073</v>
      </c>
      <c r="B3528" s="106" t="s">
        <v>7074</v>
      </c>
      <c r="C3528" s="106"/>
      <c r="D3528" s="106"/>
      <c r="E3528" s="52"/>
    </row>
    <row r="3529" spans="1:5" s="103" customFormat="1" ht="13.2" hidden="1" outlineLevel="1" x14ac:dyDescent="0.25">
      <c r="A3529" s="106" t="s">
        <v>7075</v>
      </c>
      <c r="B3529" s="106" t="s">
        <v>7076</v>
      </c>
      <c r="C3529" s="106"/>
      <c r="D3529" s="106"/>
      <c r="E3529" s="52"/>
    </row>
    <row r="3530" spans="1:5" s="103" customFormat="1" ht="13.2" hidden="1" outlineLevel="1" x14ac:dyDescent="0.25">
      <c r="A3530" s="106" t="s">
        <v>7077</v>
      </c>
      <c r="B3530" s="106" t="s">
        <v>7078</v>
      </c>
      <c r="C3530" s="106"/>
      <c r="D3530" s="106"/>
      <c r="E3530" s="52"/>
    </row>
    <row r="3531" spans="1:5" s="103" customFormat="1" ht="13.2" hidden="1" outlineLevel="1" x14ac:dyDescent="0.25">
      <c r="A3531" s="106" t="s">
        <v>7079</v>
      </c>
      <c r="B3531" s="106" t="s">
        <v>7080</v>
      </c>
      <c r="C3531" s="106"/>
      <c r="D3531" s="106"/>
      <c r="E3531" s="52"/>
    </row>
    <row r="3532" spans="1:5" s="103" customFormat="1" ht="13.2" hidden="1" outlineLevel="1" x14ac:dyDescent="0.25">
      <c r="A3532" s="106" t="s">
        <v>7081</v>
      </c>
      <c r="B3532" s="106" t="s">
        <v>7082</v>
      </c>
      <c r="C3532" s="106"/>
      <c r="D3532" s="106"/>
      <c r="E3532" s="52"/>
    </row>
    <row r="3533" spans="1:5" s="103" customFormat="1" ht="13.2" hidden="1" outlineLevel="1" x14ac:dyDescent="0.25">
      <c r="A3533" s="106" t="s">
        <v>7083</v>
      </c>
      <c r="B3533" s="106" t="s">
        <v>7084</v>
      </c>
      <c r="C3533" s="106"/>
      <c r="D3533" s="106"/>
      <c r="E3533" s="52"/>
    </row>
    <row r="3534" spans="1:5" s="103" customFormat="1" ht="13.2" hidden="1" outlineLevel="1" x14ac:dyDescent="0.25">
      <c r="A3534" s="106" t="s">
        <v>7085</v>
      </c>
      <c r="B3534" s="106" t="s">
        <v>7086</v>
      </c>
      <c r="C3534" s="106"/>
      <c r="D3534" s="106"/>
      <c r="E3534" s="52"/>
    </row>
    <row r="3535" spans="1:5" s="103" customFormat="1" ht="13.2" hidden="1" outlineLevel="1" x14ac:dyDescent="0.25">
      <c r="A3535" s="106" t="s">
        <v>7087</v>
      </c>
      <c r="B3535" s="106" t="s">
        <v>7088</v>
      </c>
      <c r="C3535" s="106"/>
      <c r="D3535" s="106"/>
      <c r="E3535" s="52"/>
    </row>
    <row r="3536" spans="1:5" s="103" customFormat="1" ht="13.2" hidden="1" outlineLevel="1" x14ac:dyDescent="0.25">
      <c r="A3536" s="106" t="s">
        <v>7089</v>
      </c>
      <c r="B3536" s="106" t="s">
        <v>7090</v>
      </c>
      <c r="C3536" s="106"/>
      <c r="D3536" s="106"/>
      <c r="E3536" s="52"/>
    </row>
    <row r="3537" spans="1:5" s="103" customFormat="1" ht="13.2" hidden="1" outlineLevel="1" x14ac:dyDescent="0.25">
      <c r="A3537" s="106" t="s">
        <v>7091</v>
      </c>
      <c r="B3537" s="106" t="s">
        <v>7092</v>
      </c>
      <c r="C3537" s="106"/>
      <c r="D3537" s="106"/>
      <c r="E3537" s="52"/>
    </row>
    <row r="3538" spans="1:5" s="103" customFormat="1" ht="13.2" hidden="1" outlineLevel="1" x14ac:dyDescent="0.25">
      <c r="A3538" s="106" t="s">
        <v>7093</v>
      </c>
      <c r="B3538" s="106" t="s">
        <v>7094</v>
      </c>
      <c r="C3538" s="106"/>
      <c r="D3538" s="106"/>
      <c r="E3538" s="52"/>
    </row>
    <row r="3539" spans="1:5" s="103" customFormat="1" ht="13.2" hidden="1" outlineLevel="1" x14ac:dyDescent="0.25">
      <c r="A3539" s="106" t="s">
        <v>7095</v>
      </c>
      <c r="B3539" s="106" t="s">
        <v>7096</v>
      </c>
      <c r="C3539" s="106"/>
      <c r="D3539" s="106"/>
      <c r="E3539" s="52"/>
    </row>
    <row r="3540" spans="1:5" s="103" customFormat="1" ht="13.2" hidden="1" outlineLevel="1" x14ac:dyDescent="0.25">
      <c r="A3540" s="106" t="s">
        <v>7097</v>
      </c>
      <c r="B3540" s="106" t="s">
        <v>7098</v>
      </c>
      <c r="C3540" s="106"/>
      <c r="D3540" s="106"/>
      <c r="E3540" s="52"/>
    </row>
    <row r="3541" spans="1:5" s="103" customFormat="1" ht="13.2" hidden="1" outlineLevel="1" x14ac:dyDescent="0.25">
      <c r="A3541" s="106" t="s">
        <v>7099</v>
      </c>
      <c r="B3541" s="106" t="s">
        <v>7100</v>
      </c>
      <c r="C3541" s="106"/>
      <c r="D3541" s="106"/>
      <c r="E3541" s="52"/>
    </row>
    <row r="3542" spans="1:5" s="103" customFormat="1" ht="13.2" hidden="1" outlineLevel="1" x14ac:dyDescent="0.25">
      <c r="A3542" s="106" t="s">
        <v>7101</v>
      </c>
      <c r="B3542" s="106" t="s">
        <v>7102</v>
      </c>
      <c r="C3542" s="106"/>
      <c r="D3542" s="106"/>
      <c r="E3542" s="52"/>
    </row>
    <row r="3543" spans="1:5" s="103" customFormat="1" ht="13.2" hidden="1" outlineLevel="1" x14ac:dyDescent="0.25">
      <c r="A3543" s="106" t="s">
        <v>7103</v>
      </c>
      <c r="B3543" s="106" t="s">
        <v>7104</v>
      </c>
      <c r="C3543" s="106"/>
      <c r="D3543" s="106"/>
      <c r="E3543" s="52"/>
    </row>
    <row r="3544" spans="1:5" s="103" customFormat="1" ht="13.2" hidden="1" outlineLevel="1" x14ac:dyDescent="0.25">
      <c r="A3544" s="106" t="s">
        <v>7105</v>
      </c>
      <c r="B3544" s="106" t="s">
        <v>7106</v>
      </c>
      <c r="C3544" s="106"/>
      <c r="D3544" s="106"/>
      <c r="E3544" s="52"/>
    </row>
    <row r="3545" spans="1:5" s="103" customFormat="1" ht="13.2" hidden="1" outlineLevel="1" x14ac:dyDescent="0.25">
      <c r="A3545" s="106" t="s">
        <v>7107</v>
      </c>
      <c r="B3545" s="106" t="s">
        <v>7108</v>
      </c>
      <c r="C3545" s="106"/>
      <c r="D3545" s="106"/>
      <c r="E3545" s="52"/>
    </row>
    <row r="3546" spans="1:5" s="103" customFormat="1" ht="13.2" hidden="1" outlineLevel="1" x14ac:dyDescent="0.25">
      <c r="A3546" s="106" t="s">
        <v>7109</v>
      </c>
      <c r="B3546" s="106" t="s">
        <v>7110</v>
      </c>
      <c r="C3546" s="106"/>
      <c r="D3546" s="106"/>
      <c r="E3546" s="52"/>
    </row>
    <row r="3547" spans="1:5" s="103" customFormat="1" ht="13.2" hidden="1" outlineLevel="1" x14ac:dyDescent="0.25">
      <c r="A3547" s="106" t="s">
        <v>7111</v>
      </c>
      <c r="B3547" s="106" t="s">
        <v>7112</v>
      </c>
      <c r="C3547" s="106"/>
      <c r="D3547" s="106"/>
      <c r="E3547" s="52"/>
    </row>
    <row r="3548" spans="1:5" s="103" customFormat="1" ht="13.2" hidden="1" outlineLevel="1" x14ac:dyDescent="0.25">
      <c r="A3548" s="106" t="s">
        <v>7113</v>
      </c>
      <c r="B3548" s="106" t="s">
        <v>7114</v>
      </c>
      <c r="C3548" s="106"/>
      <c r="D3548" s="106"/>
      <c r="E3548" s="52"/>
    </row>
    <row r="3549" spans="1:5" s="103" customFormat="1" ht="13.2" hidden="1" outlineLevel="1" x14ac:dyDescent="0.25">
      <c r="A3549" s="106" t="s">
        <v>7115</v>
      </c>
      <c r="B3549" s="106" t="s">
        <v>7116</v>
      </c>
      <c r="C3549" s="106"/>
      <c r="D3549" s="106"/>
      <c r="E3549" s="52"/>
    </row>
    <row r="3550" spans="1:5" s="103" customFormat="1" ht="13.2" hidden="1" outlineLevel="1" x14ac:dyDescent="0.25">
      <c r="A3550" s="106" t="s">
        <v>7117</v>
      </c>
      <c r="B3550" s="106" t="s">
        <v>7118</v>
      </c>
      <c r="C3550" s="106"/>
      <c r="D3550" s="106"/>
      <c r="E3550" s="52"/>
    </row>
    <row r="3551" spans="1:5" s="103" customFormat="1" ht="13.2" hidden="1" outlineLevel="1" x14ac:dyDescent="0.25">
      <c r="A3551" s="106" t="s">
        <v>7119</v>
      </c>
      <c r="B3551" s="106" t="s">
        <v>7120</v>
      </c>
      <c r="C3551" s="106"/>
      <c r="D3551" s="106"/>
      <c r="E3551" s="52"/>
    </row>
    <row r="3552" spans="1:5" s="103" customFormat="1" ht="13.2" hidden="1" outlineLevel="1" x14ac:dyDescent="0.25">
      <c r="A3552" s="106" t="s">
        <v>7121</v>
      </c>
      <c r="B3552" s="106" t="s">
        <v>7122</v>
      </c>
      <c r="C3552" s="106"/>
      <c r="D3552" s="106"/>
      <c r="E3552" s="52"/>
    </row>
    <row r="3553" spans="1:5" s="103" customFormat="1" ht="13.2" hidden="1" outlineLevel="1" x14ac:dyDescent="0.25">
      <c r="A3553" s="106" t="s">
        <v>7123</v>
      </c>
      <c r="B3553" s="106" t="s">
        <v>7124</v>
      </c>
      <c r="C3553" s="106"/>
      <c r="D3553" s="106"/>
      <c r="E3553" s="52"/>
    </row>
    <row r="3554" spans="1:5" s="103" customFormat="1" ht="13.2" hidden="1" outlineLevel="1" x14ac:dyDescent="0.25">
      <c r="A3554" s="106" t="s">
        <v>7125</v>
      </c>
      <c r="B3554" s="106" t="s">
        <v>7126</v>
      </c>
      <c r="C3554" s="106"/>
      <c r="D3554" s="106"/>
      <c r="E3554" s="52"/>
    </row>
    <row r="3555" spans="1:5" s="103" customFormat="1" ht="13.2" hidden="1" outlineLevel="1" x14ac:dyDescent="0.25">
      <c r="A3555" s="106" t="s">
        <v>7127</v>
      </c>
      <c r="B3555" s="106" t="s">
        <v>7128</v>
      </c>
      <c r="C3555" s="106"/>
      <c r="D3555" s="106"/>
      <c r="E3555" s="52"/>
    </row>
    <row r="3556" spans="1:5" s="103" customFormat="1" ht="13.2" hidden="1" outlineLevel="1" x14ac:dyDescent="0.25">
      <c r="A3556" s="106" t="s">
        <v>7129</v>
      </c>
      <c r="B3556" s="106" t="s">
        <v>7130</v>
      </c>
      <c r="C3556" s="106"/>
      <c r="D3556" s="106"/>
      <c r="E3556" s="52"/>
    </row>
    <row r="3557" spans="1:5" s="103" customFormat="1" ht="13.2" hidden="1" outlineLevel="1" x14ac:dyDescent="0.25">
      <c r="A3557" s="106" t="s">
        <v>7131</v>
      </c>
      <c r="B3557" s="106" t="s">
        <v>7132</v>
      </c>
      <c r="C3557" s="106"/>
      <c r="D3557" s="106"/>
      <c r="E3557" s="52"/>
    </row>
    <row r="3558" spans="1:5" s="103" customFormat="1" ht="13.2" hidden="1" outlineLevel="1" x14ac:dyDescent="0.25">
      <c r="A3558" s="106" t="s">
        <v>7133</v>
      </c>
      <c r="B3558" s="106" t="s">
        <v>7134</v>
      </c>
      <c r="C3558" s="106"/>
      <c r="D3558" s="106"/>
      <c r="E3558" s="52"/>
    </row>
    <row r="3559" spans="1:5" s="103" customFormat="1" ht="13.2" hidden="1" outlineLevel="1" x14ac:dyDescent="0.25">
      <c r="A3559" s="106" t="s">
        <v>7135</v>
      </c>
      <c r="B3559" s="106" t="s">
        <v>7136</v>
      </c>
      <c r="C3559" s="106"/>
      <c r="D3559" s="106"/>
      <c r="E3559" s="52"/>
    </row>
    <row r="3560" spans="1:5" s="103" customFormat="1" ht="13.2" hidden="1" outlineLevel="1" x14ac:dyDescent="0.25">
      <c r="A3560" s="106" t="s">
        <v>7137</v>
      </c>
      <c r="B3560" s="106" t="s">
        <v>7138</v>
      </c>
      <c r="C3560" s="106"/>
      <c r="D3560" s="106"/>
      <c r="E3560" s="52"/>
    </row>
    <row r="3561" spans="1:5" s="103" customFormat="1" ht="13.2" hidden="1" outlineLevel="1" x14ac:dyDescent="0.25">
      <c r="A3561" s="106" t="s">
        <v>7139</v>
      </c>
      <c r="B3561" s="106" t="s">
        <v>7140</v>
      </c>
      <c r="C3561" s="106"/>
      <c r="D3561" s="106"/>
      <c r="E3561" s="52"/>
    </row>
    <row r="3562" spans="1:5" s="103" customFormat="1" ht="13.2" hidden="1" outlineLevel="1" x14ac:dyDescent="0.25">
      <c r="A3562" s="106" t="s">
        <v>7141</v>
      </c>
      <c r="B3562" s="106" t="s">
        <v>7142</v>
      </c>
      <c r="C3562" s="106"/>
      <c r="D3562" s="106"/>
      <c r="E3562" s="52"/>
    </row>
    <row r="3563" spans="1:5" s="103" customFormat="1" ht="13.2" hidden="1" outlineLevel="1" x14ac:dyDescent="0.25">
      <c r="A3563" s="106" t="s">
        <v>7143</v>
      </c>
      <c r="B3563" s="106" t="s">
        <v>7144</v>
      </c>
      <c r="C3563" s="106"/>
      <c r="D3563" s="106"/>
      <c r="E3563" s="52"/>
    </row>
    <row r="3564" spans="1:5" s="103" customFormat="1" ht="13.2" hidden="1" outlineLevel="1" x14ac:dyDescent="0.25">
      <c r="A3564" s="106" t="s">
        <v>7145</v>
      </c>
      <c r="B3564" s="106" t="s">
        <v>7146</v>
      </c>
      <c r="C3564" s="106"/>
      <c r="D3564" s="106"/>
      <c r="E3564" s="52"/>
    </row>
    <row r="3565" spans="1:5" s="103" customFormat="1" ht="13.2" hidden="1" outlineLevel="1" x14ac:dyDescent="0.25">
      <c r="A3565" s="106" t="s">
        <v>7147</v>
      </c>
      <c r="B3565" s="106" t="s">
        <v>7148</v>
      </c>
      <c r="C3565" s="106"/>
      <c r="D3565" s="106"/>
      <c r="E3565" s="52"/>
    </row>
    <row r="3566" spans="1:5" s="103" customFormat="1" ht="13.2" hidden="1" outlineLevel="1" x14ac:dyDescent="0.25">
      <c r="A3566" s="106" t="s">
        <v>7149</v>
      </c>
      <c r="B3566" s="106" t="s">
        <v>7150</v>
      </c>
      <c r="C3566" s="106"/>
      <c r="D3566" s="106"/>
      <c r="E3566" s="52"/>
    </row>
    <row r="3567" spans="1:5" s="103" customFormat="1" ht="13.2" hidden="1" outlineLevel="1" x14ac:dyDescent="0.25">
      <c r="A3567" s="106" t="s">
        <v>7151</v>
      </c>
      <c r="B3567" s="106" t="s">
        <v>7152</v>
      </c>
      <c r="C3567" s="106"/>
      <c r="D3567" s="106"/>
      <c r="E3567" s="52"/>
    </row>
    <row r="3568" spans="1:5" s="103" customFormat="1" ht="13.2" hidden="1" outlineLevel="1" x14ac:dyDescent="0.25">
      <c r="A3568" s="106" t="s">
        <v>7153</v>
      </c>
      <c r="B3568" s="106" t="s">
        <v>7154</v>
      </c>
      <c r="C3568" s="106"/>
      <c r="D3568" s="106"/>
      <c r="E3568" s="52"/>
    </row>
    <row r="3569" spans="1:5" s="103" customFormat="1" ht="13.2" hidden="1" outlineLevel="1" x14ac:dyDescent="0.25">
      <c r="A3569" s="106" t="s">
        <v>7155</v>
      </c>
      <c r="B3569" s="106" t="s">
        <v>7156</v>
      </c>
      <c r="C3569" s="106"/>
      <c r="D3569" s="106"/>
      <c r="E3569" s="52"/>
    </row>
    <row r="3570" spans="1:5" s="103" customFormat="1" ht="13.2" hidden="1" outlineLevel="1" x14ac:dyDescent="0.25">
      <c r="A3570" s="106" t="s">
        <v>7157</v>
      </c>
      <c r="B3570" s="106" t="s">
        <v>7158</v>
      </c>
      <c r="C3570" s="106"/>
      <c r="D3570" s="106"/>
      <c r="E3570" s="52"/>
    </row>
    <row r="3571" spans="1:5" s="103" customFormat="1" ht="13.2" hidden="1" outlineLevel="1" x14ac:dyDescent="0.25">
      <c r="A3571" s="106" t="s">
        <v>7159</v>
      </c>
      <c r="B3571" s="106" t="s">
        <v>7160</v>
      </c>
      <c r="C3571" s="106"/>
      <c r="D3571" s="106"/>
      <c r="E3571" s="52"/>
    </row>
    <row r="3572" spans="1:5" s="103" customFormat="1" ht="13.2" hidden="1" outlineLevel="1" x14ac:dyDescent="0.25">
      <c r="A3572" s="106" t="s">
        <v>7161</v>
      </c>
      <c r="B3572" s="106" t="s">
        <v>7162</v>
      </c>
      <c r="C3572" s="106"/>
      <c r="D3572" s="106"/>
      <c r="E3572" s="52"/>
    </row>
    <row r="3573" spans="1:5" s="103" customFormat="1" ht="13.2" hidden="1" outlineLevel="1" x14ac:dyDescent="0.25">
      <c r="A3573" s="106" t="s">
        <v>7163</v>
      </c>
      <c r="B3573" s="106" t="s">
        <v>7164</v>
      </c>
      <c r="C3573" s="106"/>
      <c r="D3573" s="106"/>
      <c r="E3573" s="52"/>
    </row>
    <row r="3574" spans="1:5" s="103" customFormat="1" ht="13.2" hidden="1" outlineLevel="1" x14ac:dyDescent="0.25">
      <c r="A3574" s="106" t="s">
        <v>7165</v>
      </c>
      <c r="B3574" s="106" t="s">
        <v>7166</v>
      </c>
      <c r="C3574" s="106"/>
      <c r="D3574" s="106"/>
      <c r="E3574" s="52"/>
    </row>
    <row r="3575" spans="1:5" s="103" customFormat="1" ht="13.2" hidden="1" outlineLevel="1" x14ac:dyDescent="0.25">
      <c r="A3575" s="106" t="s">
        <v>7167</v>
      </c>
      <c r="B3575" s="106" t="s">
        <v>7168</v>
      </c>
      <c r="C3575" s="106"/>
      <c r="D3575" s="106"/>
      <c r="E3575" s="52"/>
    </row>
    <row r="3576" spans="1:5" s="103" customFormat="1" ht="13.2" hidden="1" outlineLevel="1" x14ac:dyDescent="0.25">
      <c r="A3576" s="106" t="s">
        <v>7169</v>
      </c>
      <c r="B3576" s="106" t="s">
        <v>7170</v>
      </c>
      <c r="C3576" s="106"/>
      <c r="D3576" s="106"/>
      <c r="E3576" s="52"/>
    </row>
    <row r="3577" spans="1:5" s="103" customFormat="1" ht="13.2" hidden="1" outlineLevel="1" x14ac:dyDescent="0.25">
      <c r="A3577" s="106" t="s">
        <v>7171</v>
      </c>
      <c r="B3577" s="106" t="s">
        <v>7172</v>
      </c>
      <c r="C3577" s="106"/>
      <c r="D3577" s="106"/>
      <c r="E3577" s="52"/>
    </row>
    <row r="3578" spans="1:5" s="103" customFormat="1" ht="13.2" hidden="1" outlineLevel="1" x14ac:dyDescent="0.25">
      <c r="A3578" s="106" t="s">
        <v>7173</v>
      </c>
      <c r="B3578" s="106" t="s">
        <v>7174</v>
      </c>
      <c r="C3578" s="106"/>
      <c r="D3578" s="106"/>
      <c r="E3578" s="52"/>
    </row>
    <row r="3579" spans="1:5" s="103" customFormat="1" ht="13.2" hidden="1" outlineLevel="1" x14ac:dyDescent="0.25">
      <c r="A3579" s="106" t="s">
        <v>7175</v>
      </c>
      <c r="B3579" s="106" t="s">
        <v>7176</v>
      </c>
      <c r="C3579" s="106"/>
      <c r="D3579" s="106"/>
      <c r="E3579" s="52"/>
    </row>
    <row r="3580" spans="1:5" s="103" customFormat="1" ht="13.2" hidden="1" outlineLevel="1" x14ac:dyDescent="0.25">
      <c r="A3580" s="106" t="s">
        <v>7177</v>
      </c>
      <c r="B3580" s="106" t="s">
        <v>7178</v>
      </c>
      <c r="C3580" s="106"/>
      <c r="D3580" s="106"/>
      <c r="E3580" s="52"/>
    </row>
    <row r="3581" spans="1:5" s="103" customFormat="1" ht="13.2" hidden="1" outlineLevel="1" x14ac:dyDescent="0.25">
      <c r="A3581" s="106" t="s">
        <v>7179</v>
      </c>
      <c r="B3581" s="106" t="s">
        <v>7180</v>
      </c>
      <c r="C3581" s="106"/>
      <c r="D3581" s="106"/>
      <c r="E3581" s="52"/>
    </row>
    <row r="3582" spans="1:5" s="103" customFormat="1" ht="13.2" hidden="1" outlineLevel="1" x14ac:dyDescent="0.25">
      <c r="A3582" s="106" t="s">
        <v>7181</v>
      </c>
      <c r="B3582" s="106" t="s">
        <v>7182</v>
      </c>
      <c r="C3582" s="106"/>
      <c r="D3582" s="106"/>
      <c r="E3582" s="52"/>
    </row>
    <row r="3583" spans="1:5" s="103" customFormat="1" ht="13.2" hidden="1" outlineLevel="1" x14ac:dyDescent="0.25">
      <c r="A3583" s="106" t="s">
        <v>7183</v>
      </c>
      <c r="B3583" s="106" t="s">
        <v>7184</v>
      </c>
      <c r="C3583" s="106"/>
      <c r="D3583" s="106"/>
      <c r="E3583" s="52"/>
    </row>
    <row r="3584" spans="1:5" s="103" customFormat="1" ht="13.2" hidden="1" outlineLevel="1" x14ac:dyDescent="0.25">
      <c r="A3584" s="106" t="s">
        <v>7185</v>
      </c>
      <c r="B3584" s="106" t="s">
        <v>7186</v>
      </c>
      <c r="C3584" s="106"/>
      <c r="D3584" s="106"/>
      <c r="E3584" s="52"/>
    </row>
    <row r="3585" spans="1:5" s="103" customFormat="1" ht="13.2" hidden="1" outlineLevel="1" x14ac:dyDescent="0.25">
      <c r="A3585" s="106" t="s">
        <v>7187</v>
      </c>
      <c r="B3585" s="106" t="s">
        <v>7188</v>
      </c>
      <c r="C3585" s="106"/>
      <c r="D3585" s="106"/>
      <c r="E3585" s="52"/>
    </row>
    <row r="3586" spans="1:5" s="103" customFormat="1" ht="13.2" hidden="1" outlineLevel="1" x14ac:dyDescent="0.25">
      <c r="A3586" s="106" t="s">
        <v>7189</v>
      </c>
      <c r="B3586" s="106" t="s">
        <v>7190</v>
      </c>
      <c r="C3586" s="106"/>
      <c r="D3586" s="106"/>
      <c r="E3586" s="52"/>
    </row>
    <row r="3587" spans="1:5" s="103" customFormat="1" ht="13.2" hidden="1" outlineLevel="1" x14ac:dyDescent="0.25">
      <c r="A3587" s="106" t="s">
        <v>7191</v>
      </c>
      <c r="B3587" s="106" t="s">
        <v>7192</v>
      </c>
      <c r="C3587" s="106"/>
      <c r="D3587" s="106"/>
      <c r="E3587" s="52"/>
    </row>
    <row r="3588" spans="1:5" s="103" customFormat="1" ht="13.2" hidden="1" outlineLevel="1" x14ac:dyDescent="0.25">
      <c r="A3588" s="106" t="s">
        <v>7193</v>
      </c>
      <c r="B3588" s="106" t="s">
        <v>7194</v>
      </c>
      <c r="C3588" s="106"/>
      <c r="D3588" s="106"/>
      <c r="E3588" s="52"/>
    </row>
    <row r="3589" spans="1:5" s="103" customFormat="1" ht="13.2" hidden="1" outlineLevel="1" x14ac:dyDescent="0.25">
      <c r="A3589" s="106" t="s">
        <v>7195</v>
      </c>
      <c r="B3589" s="106" t="s">
        <v>7196</v>
      </c>
      <c r="C3589" s="106"/>
      <c r="D3589" s="106"/>
      <c r="E3589" s="52"/>
    </row>
    <row r="3590" spans="1:5" s="103" customFormat="1" ht="13.2" hidden="1" outlineLevel="1" x14ac:dyDescent="0.25">
      <c r="A3590" s="106" t="s">
        <v>7197</v>
      </c>
      <c r="B3590" s="106" t="s">
        <v>7198</v>
      </c>
      <c r="C3590" s="106"/>
      <c r="D3590" s="106"/>
      <c r="E3590" s="52"/>
    </row>
    <row r="3591" spans="1:5" s="103" customFormat="1" ht="13.2" hidden="1" outlineLevel="1" x14ac:dyDescent="0.25">
      <c r="A3591" s="106" t="s">
        <v>7199</v>
      </c>
      <c r="B3591" s="106" t="s">
        <v>7200</v>
      </c>
      <c r="C3591" s="106"/>
      <c r="D3591" s="106"/>
      <c r="E3591" s="52"/>
    </row>
    <row r="3592" spans="1:5" s="103" customFormat="1" ht="13.2" hidden="1" outlineLevel="1" x14ac:dyDescent="0.25">
      <c r="A3592" s="106" t="s">
        <v>7201</v>
      </c>
      <c r="B3592" s="106" t="s">
        <v>7202</v>
      </c>
      <c r="C3592" s="106"/>
      <c r="D3592" s="106"/>
      <c r="E3592" s="52"/>
    </row>
    <row r="3593" spans="1:5" s="103" customFormat="1" ht="13.2" hidden="1" outlineLevel="1" x14ac:dyDescent="0.25">
      <c r="A3593" s="106" t="s">
        <v>7203</v>
      </c>
      <c r="B3593" s="106" t="s">
        <v>7204</v>
      </c>
      <c r="C3593" s="106"/>
      <c r="D3593" s="106"/>
      <c r="E3593" s="52"/>
    </row>
    <row r="3594" spans="1:5" s="103" customFormat="1" ht="13.2" hidden="1" outlineLevel="1" x14ac:dyDescent="0.25">
      <c r="A3594" s="106" t="s">
        <v>7205</v>
      </c>
      <c r="B3594" s="106" t="s">
        <v>7206</v>
      </c>
      <c r="C3594" s="106"/>
      <c r="D3594" s="106"/>
      <c r="E3594" s="52"/>
    </row>
    <row r="3595" spans="1:5" s="103" customFormat="1" ht="13.2" hidden="1" outlineLevel="1" x14ac:dyDescent="0.25">
      <c r="A3595" s="106" t="s">
        <v>7207</v>
      </c>
      <c r="B3595" s="106" t="s">
        <v>7208</v>
      </c>
      <c r="C3595" s="106"/>
      <c r="D3595" s="106"/>
      <c r="E3595" s="52"/>
    </row>
    <row r="3596" spans="1:5" s="103" customFormat="1" ht="13.2" hidden="1" outlineLevel="1" x14ac:dyDescent="0.25">
      <c r="A3596" s="106" t="s">
        <v>7209</v>
      </c>
      <c r="B3596" s="106" t="s">
        <v>7210</v>
      </c>
      <c r="C3596" s="106"/>
      <c r="D3596" s="106"/>
      <c r="E3596" s="52"/>
    </row>
    <row r="3597" spans="1:5" s="103" customFormat="1" ht="13.2" hidden="1" outlineLevel="1" x14ac:dyDescent="0.25">
      <c r="A3597" s="106" t="s">
        <v>7211</v>
      </c>
      <c r="B3597" s="106" t="s">
        <v>7212</v>
      </c>
      <c r="C3597" s="106"/>
      <c r="D3597" s="106"/>
      <c r="E3597" s="52"/>
    </row>
    <row r="3598" spans="1:5" s="103" customFormat="1" ht="13.2" hidden="1" outlineLevel="1" x14ac:dyDescent="0.25">
      <c r="A3598" s="106" t="s">
        <v>7213</v>
      </c>
      <c r="B3598" s="106" t="s">
        <v>7214</v>
      </c>
      <c r="C3598" s="106"/>
      <c r="D3598" s="106"/>
      <c r="E3598" s="52"/>
    </row>
    <row r="3599" spans="1:5" s="103" customFormat="1" ht="13.2" hidden="1" outlineLevel="1" x14ac:dyDescent="0.25">
      <c r="A3599" s="106" t="s">
        <v>7215</v>
      </c>
      <c r="B3599" s="106" t="s">
        <v>7216</v>
      </c>
      <c r="C3599" s="106"/>
      <c r="D3599" s="106"/>
      <c r="E3599" s="52"/>
    </row>
    <row r="3600" spans="1:5" s="103" customFormat="1" ht="13.2" hidden="1" outlineLevel="1" x14ac:dyDescent="0.25">
      <c r="A3600" s="106" t="s">
        <v>7217</v>
      </c>
      <c r="B3600" s="106" t="s">
        <v>7218</v>
      </c>
      <c r="C3600" s="106"/>
      <c r="D3600" s="106"/>
      <c r="E3600" s="52"/>
    </row>
    <row r="3601" spans="1:5" s="103" customFormat="1" ht="13.2" hidden="1" outlineLevel="1" x14ac:dyDescent="0.25">
      <c r="A3601" s="106" t="s">
        <v>7219</v>
      </c>
      <c r="B3601" s="106" t="s">
        <v>7220</v>
      </c>
      <c r="C3601" s="106"/>
      <c r="D3601" s="106"/>
      <c r="E3601" s="52"/>
    </row>
    <row r="3602" spans="1:5" s="103" customFormat="1" ht="13.2" hidden="1" outlineLevel="1" x14ac:dyDescent="0.25">
      <c r="A3602" s="106" t="s">
        <v>7221</v>
      </c>
      <c r="B3602" s="106" t="s">
        <v>7222</v>
      </c>
      <c r="C3602" s="106"/>
      <c r="D3602" s="106"/>
      <c r="E3602" s="52"/>
    </row>
    <row r="3603" spans="1:5" s="103" customFormat="1" ht="13.2" hidden="1" outlineLevel="1" x14ac:dyDescent="0.25">
      <c r="A3603" s="106" t="s">
        <v>7223</v>
      </c>
      <c r="B3603" s="106" t="s">
        <v>7224</v>
      </c>
      <c r="C3603" s="106"/>
      <c r="D3603" s="106"/>
      <c r="E3603" s="52"/>
    </row>
    <row r="3604" spans="1:5" s="103" customFormat="1" ht="13.2" hidden="1" outlineLevel="1" x14ac:dyDescent="0.25">
      <c r="A3604" s="106" t="s">
        <v>7225</v>
      </c>
      <c r="B3604" s="106" t="s">
        <v>7226</v>
      </c>
      <c r="C3604" s="106"/>
      <c r="D3604" s="106"/>
      <c r="E3604" s="52"/>
    </row>
    <row r="3605" spans="1:5" s="103" customFormat="1" ht="13.2" hidden="1" outlineLevel="1" x14ac:dyDescent="0.25">
      <c r="A3605" s="106" t="s">
        <v>7227</v>
      </c>
      <c r="B3605" s="106" t="s">
        <v>7228</v>
      </c>
      <c r="C3605" s="106"/>
      <c r="D3605" s="106"/>
      <c r="E3605" s="52"/>
    </row>
    <row r="3606" spans="1:5" s="103" customFormat="1" ht="13.2" hidden="1" outlineLevel="1" x14ac:dyDescent="0.25">
      <c r="A3606" s="106" t="s">
        <v>7229</v>
      </c>
      <c r="B3606" s="106" t="s">
        <v>7230</v>
      </c>
      <c r="C3606" s="106"/>
      <c r="D3606" s="106"/>
      <c r="E3606" s="52"/>
    </row>
    <row r="3607" spans="1:5" s="103" customFormat="1" ht="13.2" hidden="1" outlineLevel="1" x14ac:dyDescent="0.25">
      <c r="A3607" s="106" t="s">
        <v>7231</v>
      </c>
      <c r="B3607" s="106" t="s">
        <v>7232</v>
      </c>
      <c r="C3607" s="106"/>
      <c r="D3607" s="106"/>
      <c r="E3607" s="52"/>
    </row>
    <row r="3608" spans="1:5" s="103" customFormat="1" ht="13.2" hidden="1" outlineLevel="1" x14ac:dyDescent="0.25">
      <c r="A3608" s="106" t="s">
        <v>7233</v>
      </c>
      <c r="B3608" s="106" t="s">
        <v>7234</v>
      </c>
      <c r="C3608" s="106"/>
      <c r="D3608" s="106"/>
      <c r="E3608" s="52"/>
    </row>
    <row r="3609" spans="1:5" s="103" customFormat="1" ht="13.2" hidden="1" outlineLevel="1" x14ac:dyDescent="0.25">
      <c r="A3609" s="106" t="s">
        <v>7235</v>
      </c>
      <c r="B3609" s="106" t="s">
        <v>7236</v>
      </c>
      <c r="C3609" s="106"/>
      <c r="D3609" s="106"/>
      <c r="E3609" s="52"/>
    </row>
    <row r="3610" spans="1:5" s="103" customFormat="1" ht="13.2" hidden="1" outlineLevel="1" x14ac:dyDescent="0.25">
      <c r="A3610" s="106" t="s">
        <v>7237</v>
      </c>
      <c r="B3610" s="106" t="s">
        <v>7238</v>
      </c>
      <c r="C3610" s="106"/>
      <c r="D3610" s="106"/>
      <c r="E3610" s="52"/>
    </row>
    <row r="3611" spans="1:5" s="103" customFormat="1" ht="13.2" hidden="1" outlineLevel="1" x14ac:dyDescent="0.25">
      <c r="A3611" s="106" t="s">
        <v>7239</v>
      </c>
      <c r="B3611" s="106" t="s">
        <v>7240</v>
      </c>
      <c r="C3611" s="106"/>
      <c r="D3611" s="106"/>
      <c r="E3611" s="52"/>
    </row>
    <row r="3612" spans="1:5" s="103" customFormat="1" ht="13.2" hidden="1" outlineLevel="1" x14ac:dyDescent="0.25">
      <c r="A3612" s="106" t="s">
        <v>7241</v>
      </c>
      <c r="B3612" s="106" t="s">
        <v>7242</v>
      </c>
      <c r="C3612" s="106"/>
      <c r="D3612" s="106"/>
      <c r="E3612" s="52"/>
    </row>
    <row r="3613" spans="1:5" s="103" customFormat="1" ht="13.2" hidden="1" outlineLevel="1" x14ac:dyDescent="0.25">
      <c r="A3613" s="106" t="s">
        <v>7243</v>
      </c>
      <c r="B3613" s="106" t="s">
        <v>7244</v>
      </c>
      <c r="C3613" s="106"/>
      <c r="D3613" s="106"/>
      <c r="E3613" s="52"/>
    </row>
    <row r="3614" spans="1:5" s="103" customFormat="1" ht="13.2" hidden="1" outlineLevel="1" x14ac:dyDescent="0.25">
      <c r="A3614" s="106" t="s">
        <v>7245</v>
      </c>
      <c r="B3614" s="106" t="s">
        <v>7246</v>
      </c>
      <c r="C3614" s="106"/>
      <c r="D3614" s="106"/>
      <c r="E3614" s="52"/>
    </row>
    <row r="3615" spans="1:5" s="103" customFormat="1" ht="13.2" hidden="1" outlineLevel="1" x14ac:dyDescent="0.25">
      <c r="A3615" s="106" t="s">
        <v>7247</v>
      </c>
      <c r="B3615" s="106" t="s">
        <v>7248</v>
      </c>
      <c r="C3615" s="106"/>
      <c r="D3615" s="106"/>
      <c r="E3615" s="52"/>
    </row>
    <row r="3616" spans="1:5" s="103" customFormat="1" ht="13.2" hidden="1" outlineLevel="1" x14ac:dyDescent="0.25">
      <c r="A3616" s="106" t="s">
        <v>7249</v>
      </c>
      <c r="B3616" s="106" t="s">
        <v>7250</v>
      </c>
      <c r="C3616" s="106"/>
      <c r="D3616" s="106"/>
      <c r="E3616" s="52"/>
    </row>
    <row r="3617" spans="1:5" s="103" customFormat="1" ht="13.2" hidden="1" outlineLevel="1" x14ac:dyDescent="0.25">
      <c r="A3617" s="106" t="s">
        <v>7251</v>
      </c>
      <c r="B3617" s="106" t="s">
        <v>7252</v>
      </c>
      <c r="C3617" s="106"/>
      <c r="D3617" s="106"/>
      <c r="E3617" s="52"/>
    </row>
    <row r="3618" spans="1:5" s="103" customFormat="1" ht="13.2" hidden="1" outlineLevel="1" x14ac:dyDescent="0.25">
      <c r="A3618" s="106" t="s">
        <v>7253</v>
      </c>
      <c r="B3618" s="106" t="s">
        <v>7254</v>
      </c>
      <c r="C3618" s="106"/>
      <c r="D3618" s="106"/>
      <c r="E3618" s="52"/>
    </row>
    <row r="3619" spans="1:5" s="103" customFormat="1" ht="13.2" hidden="1" outlineLevel="1" x14ac:dyDescent="0.25">
      <c r="A3619" s="106" t="s">
        <v>7255</v>
      </c>
      <c r="B3619" s="106" t="s">
        <v>7256</v>
      </c>
      <c r="C3619" s="106"/>
      <c r="D3619" s="106"/>
      <c r="E3619" s="52"/>
    </row>
    <row r="3620" spans="1:5" s="103" customFormat="1" ht="13.2" hidden="1" outlineLevel="1" x14ac:dyDescent="0.25">
      <c r="A3620" s="106" t="s">
        <v>7257</v>
      </c>
      <c r="B3620" s="106" t="s">
        <v>7258</v>
      </c>
      <c r="C3620" s="106"/>
      <c r="D3620" s="106"/>
      <c r="E3620" s="52"/>
    </row>
    <row r="3621" spans="1:5" s="103" customFormat="1" ht="13.2" hidden="1" outlineLevel="1" x14ac:dyDescent="0.25">
      <c r="A3621" s="106" t="s">
        <v>7259</v>
      </c>
      <c r="B3621" s="106" t="s">
        <v>7260</v>
      </c>
      <c r="C3621" s="106"/>
      <c r="D3621" s="106"/>
      <c r="E3621" s="52"/>
    </row>
    <row r="3622" spans="1:5" s="103" customFormat="1" ht="13.2" hidden="1" outlineLevel="1" x14ac:dyDescent="0.25">
      <c r="A3622" s="106" t="s">
        <v>7261</v>
      </c>
      <c r="B3622" s="106" t="s">
        <v>7262</v>
      </c>
      <c r="C3622" s="106"/>
      <c r="D3622" s="106"/>
      <c r="E3622" s="52"/>
    </row>
    <row r="3623" spans="1:5" s="103" customFormat="1" ht="13.2" hidden="1" outlineLevel="1" x14ac:dyDescent="0.25">
      <c r="A3623" s="106" t="s">
        <v>7263</v>
      </c>
      <c r="B3623" s="106" t="s">
        <v>7264</v>
      </c>
      <c r="C3623" s="106"/>
      <c r="D3623" s="106"/>
      <c r="E3623" s="52"/>
    </row>
    <row r="3624" spans="1:5" s="103" customFormat="1" ht="13.2" hidden="1" outlineLevel="1" x14ac:dyDescent="0.25">
      <c r="A3624" s="106" t="s">
        <v>7265</v>
      </c>
      <c r="B3624" s="106" t="s">
        <v>7266</v>
      </c>
      <c r="C3624" s="106"/>
      <c r="D3624" s="106"/>
      <c r="E3624" s="52"/>
    </row>
    <row r="3625" spans="1:5" s="103" customFormat="1" ht="13.2" hidden="1" outlineLevel="1" x14ac:dyDescent="0.25">
      <c r="A3625" s="106" t="s">
        <v>7267</v>
      </c>
      <c r="B3625" s="106" t="s">
        <v>7268</v>
      </c>
      <c r="C3625" s="106"/>
      <c r="D3625" s="106"/>
      <c r="E3625" s="52"/>
    </row>
    <row r="3626" spans="1:5" s="103" customFormat="1" ht="13.2" hidden="1" outlineLevel="1" x14ac:dyDescent="0.25">
      <c r="A3626" s="106" t="s">
        <v>7269</v>
      </c>
      <c r="B3626" s="106" t="s">
        <v>7270</v>
      </c>
      <c r="C3626" s="106"/>
      <c r="D3626" s="106"/>
      <c r="E3626" s="52"/>
    </row>
    <row r="3627" spans="1:5" s="103" customFormat="1" ht="13.2" hidden="1" outlineLevel="1" x14ac:dyDescent="0.25">
      <c r="A3627" s="106" t="s">
        <v>7271</v>
      </c>
      <c r="B3627" s="106" t="s">
        <v>7272</v>
      </c>
      <c r="C3627" s="106"/>
      <c r="D3627" s="106"/>
      <c r="E3627" s="52"/>
    </row>
    <row r="3628" spans="1:5" s="103" customFormat="1" ht="13.2" hidden="1" outlineLevel="1" x14ac:dyDescent="0.25">
      <c r="A3628" s="106" t="s">
        <v>7273</v>
      </c>
      <c r="B3628" s="106" t="s">
        <v>7274</v>
      </c>
      <c r="C3628" s="106"/>
      <c r="D3628" s="106"/>
      <c r="E3628" s="52"/>
    </row>
    <row r="3629" spans="1:5" s="103" customFormat="1" ht="13.2" hidden="1" outlineLevel="1" x14ac:dyDescent="0.25">
      <c r="A3629" s="106" t="s">
        <v>7275</v>
      </c>
      <c r="B3629" s="106" t="s">
        <v>7276</v>
      </c>
      <c r="C3629" s="106"/>
      <c r="D3629" s="106"/>
      <c r="E3629" s="52"/>
    </row>
    <row r="3630" spans="1:5" s="103" customFormat="1" ht="13.2" hidden="1" outlineLevel="1" x14ac:dyDescent="0.25">
      <c r="A3630" s="106" t="s">
        <v>7277</v>
      </c>
      <c r="B3630" s="106" t="s">
        <v>7278</v>
      </c>
      <c r="C3630" s="106"/>
      <c r="D3630" s="106"/>
      <c r="E3630" s="52"/>
    </row>
    <row r="3631" spans="1:5" s="103" customFormat="1" ht="13.2" hidden="1" outlineLevel="1" x14ac:dyDescent="0.25">
      <c r="A3631" s="106" t="s">
        <v>7279</v>
      </c>
      <c r="B3631" s="106" t="s">
        <v>7280</v>
      </c>
      <c r="C3631" s="106"/>
      <c r="D3631" s="106"/>
      <c r="E3631" s="52"/>
    </row>
    <row r="3632" spans="1:5" s="103" customFormat="1" ht="13.2" hidden="1" outlineLevel="1" x14ac:dyDescent="0.25">
      <c r="A3632" s="106" t="s">
        <v>7281</v>
      </c>
      <c r="B3632" s="106" t="s">
        <v>7282</v>
      </c>
      <c r="C3632" s="106"/>
      <c r="D3632" s="106"/>
      <c r="E3632" s="52"/>
    </row>
    <row r="3633" spans="1:5" s="103" customFormat="1" ht="13.2" hidden="1" outlineLevel="1" x14ac:dyDescent="0.25">
      <c r="A3633" s="106" t="s">
        <v>7283</v>
      </c>
      <c r="B3633" s="106" t="s">
        <v>7284</v>
      </c>
      <c r="C3633" s="106"/>
      <c r="D3633" s="106"/>
      <c r="E3633" s="52"/>
    </row>
    <row r="3634" spans="1:5" s="103" customFormat="1" ht="13.2" hidden="1" outlineLevel="1" x14ac:dyDescent="0.25">
      <c r="A3634" s="106" t="s">
        <v>7285</v>
      </c>
      <c r="B3634" s="106" t="s">
        <v>7286</v>
      </c>
      <c r="C3634" s="106"/>
      <c r="D3634" s="106"/>
      <c r="E3634" s="52"/>
    </row>
    <row r="3635" spans="1:5" s="103" customFormat="1" ht="13.2" hidden="1" outlineLevel="1" x14ac:dyDescent="0.25">
      <c r="A3635" s="106" t="s">
        <v>7287</v>
      </c>
      <c r="B3635" s="106" t="s">
        <v>7288</v>
      </c>
      <c r="C3635" s="106"/>
      <c r="D3635" s="106"/>
      <c r="E3635" s="52"/>
    </row>
    <row r="3636" spans="1:5" s="103" customFormat="1" ht="13.2" hidden="1" outlineLevel="1" x14ac:dyDescent="0.25">
      <c r="A3636" s="106" t="s">
        <v>7289</v>
      </c>
      <c r="B3636" s="106" t="s">
        <v>7290</v>
      </c>
      <c r="C3636" s="106"/>
      <c r="D3636" s="106"/>
      <c r="E3636" s="52"/>
    </row>
    <row r="3637" spans="1:5" s="103" customFormat="1" ht="13.2" hidden="1" outlineLevel="1" x14ac:dyDescent="0.25">
      <c r="A3637" s="106" t="s">
        <v>7291</v>
      </c>
      <c r="B3637" s="106" t="s">
        <v>7292</v>
      </c>
      <c r="C3637" s="106"/>
      <c r="D3637" s="106"/>
      <c r="E3637" s="52"/>
    </row>
    <row r="3638" spans="1:5" s="103" customFormat="1" ht="13.2" hidden="1" outlineLevel="1" x14ac:dyDescent="0.25">
      <c r="A3638" s="106" t="s">
        <v>7293</v>
      </c>
      <c r="B3638" s="106" t="s">
        <v>7294</v>
      </c>
      <c r="C3638" s="106"/>
      <c r="D3638" s="106"/>
      <c r="E3638" s="52"/>
    </row>
    <row r="3639" spans="1:5" s="103" customFormat="1" ht="13.2" hidden="1" outlineLevel="1" x14ac:dyDescent="0.25">
      <c r="A3639" s="106" t="s">
        <v>7295</v>
      </c>
      <c r="B3639" s="106" t="s">
        <v>7296</v>
      </c>
      <c r="C3639" s="106"/>
      <c r="D3639" s="106"/>
      <c r="E3639" s="52"/>
    </row>
    <row r="3640" spans="1:5" s="103" customFormat="1" ht="13.2" hidden="1" outlineLevel="1" x14ac:dyDescent="0.25">
      <c r="A3640" s="106" t="s">
        <v>7297</v>
      </c>
      <c r="B3640" s="106" t="s">
        <v>7298</v>
      </c>
      <c r="C3640" s="106"/>
      <c r="D3640" s="106"/>
      <c r="E3640" s="52"/>
    </row>
    <row r="3641" spans="1:5" s="103" customFormat="1" ht="13.2" hidden="1" outlineLevel="1" x14ac:dyDescent="0.25">
      <c r="A3641" s="106" t="s">
        <v>7299</v>
      </c>
      <c r="B3641" s="106" t="s">
        <v>7300</v>
      </c>
      <c r="C3641" s="106"/>
      <c r="D3641" s="106"/>
      <c r="E3641" s="52"/>
    </row>
    <row r="3642" spans="1:5" s="103" customFormat="1" ht="13.2" hidden="1" outlineLevel="1" x14ac:dyDescent="0.25">
      <c r="A3642" s="106" t="s">
        <v>7301</v>
      </c>
      <c r="B3642" s="106" t="s">
        <v>7302</v>
      </c>
      <c r="C3642" s="106"/>
      <c r="D3642" s="106"/>
      <c r="E3642" s="52"/>
    </row>
    <row r="3643" spans="1:5" s="103" customFormat="1" ht="13.2" hidden="1" outlineLevel="1" x14ac:dyDescent="0.25">
      <c r="A3643" s="106" t="s">
        <v>7303</v>
      </c>
      <c r="B3643" s="106" t="s">
        <v>7304</v>
      </c>
      <c r="C3643" s="106"/>
      <c r="D3643" s="106"/>
      <c r="E3643" s="52"/>
    </row>
    <row r="3644" spans="1:5" s="103" customFormat="1" ht="13.2" hidden="1" outlineLevel="1" x14ac:dyDescent="0.25">
      <c r="A3644" s="106" t="s">
        <v>7305</v>
      </c>
      <c r="B3644" s="106" t="s">
        <v>7306</v>
      </c>
      <c r="C3644" s="106"/>
      <c r="D3644" s="106"/>
      <c r="E3644" s="52"/>
    </row>
    <row r="3645" spans="1:5" s="103" customFormat="1" ht="13.2" hidden="1" outlineLevel="1" x14ac:dyDescent="0.25">
      <c r="A3645" s="106" t="s">
        <v>7307</v>
      </c>
      <c r="B3645" s="106" t="s">
        <v>7308</v>
      </c>
      <c r="C3645" s="106"/>
      <c r="D3645" s="106"/>
      <c r="E3645" s="52"/>
    </row>
    <row r="3646" spans="1:5" s="103" customFormat="1" ht="13.2" hidden="1" outlineLevel="1" x14ac:dyDescent="0.25">
      <c r="A3646" s="106" t="s">
        <v>7309</v>
      </c>
      <c r="B3646" s="106" t="s">
        <v>7310</v>
      </c>
      <c r="C3646" s="106"/>
      <c r="D3646" s="106"/>
      <c r="E3646" s="52"/>
    </row>
    <row r="3647" spans="1:5" s="103" customFormat="1" ht="13.2" hidden="1" outlineLevel="1" x14ac:dyDescent="0.25">
      <c r="A3647" s="106" t="s">
        <v>7311</v>
      </c>
      <c r="B3647" s="106" t="s">
        <v>7312</v>
      </c>
      <c r="C3647" s="106"/>
      <c r="D3647" s="106"/>
      <c r="E3647" s="52"/>
    </row>
    <row r="3648" spans="1:5" s="103" customFormat="1" ht="13.2" hidden="1" outlineLevel="1" x14ac:dyDescent="0.25">
      <c r="A3648" s="106" t="s">
        <v>7313</v>
      </c>
      <c r="B3648" s="106" t="s">
        <v>7314</v>
      </c>
      <c r="C3648" s="106"/>
      <c r="D3648" s="106"/>
      <c r="E3648" s="52"/>
    </row>
    <row r="3649" spans="1:5" s="103" customFormat="1" ht="13.2" hidden="1" outlineLevel="1" x14ac:dyDescent="0.25">
      <c r="A3649" s="106" t="s">
        <v>7315</v>
      </c>
      <c r="B3649" s="106" t="s">
        <v>7316</v>
      </c>
      <c r="C3649" s="106"/>
      <c r="D3649" s="106"/>
      <c r="E3649" s="52"/>
    </row>
    <row r="3650" spans="1:5" s="103" customFormat="1" ht="13.2" hidden="1" outlineLevel="1" x14ac:dyDescent="0.25">
      <c r="A3650" s="106" t="s">
        <v>7317</v>
      </c>
      <c r="B3650" s="106" t="s">
        <v>7318</v>
      </c>
      <c r="C3650" s="106"/>
      <c r="D3650" s="106"/>
      <c r="E3650" s="52"/>
    </row>
    <row r="3651" spans="1:5" s="103" customFormat="1" ht="13.2" hidden="1" outlineLevel="1" x14ac:dyDescent="0.25">
      <c r="A3651" s="106" t="s">
        <v>7319</v>
      </c>
      <c r="B3651" s="106" t="s">
        <v>7320</v>
      </c>
      <c r="C3651" s="106"/>
      <c r="D3651" s="106"/>
      <c r="E3651" s="52"/>
    </row>
    <row r="3652" spans="1:5" s="103" customFormat="1" ht="13.2" hidden="1" outlineLevel="1" x14ac:dyDescent="0.25">
      <c r="A3652" s="106" t="s">
        <v>7321</v>
      </c>
      <c r="B3652" s="106" t="s">
        <v>7322</v>
      </c>
      <c r="C3652" s="106"/>
      <c r="D3652" s="106"/>
      <c r="E3652" s="52"/>
    </row>
    <row r="3653" spans="1:5" s="103" customFormat="1" ht="13.2" hidden="1" outlineLevel="1" x14ac:dyDescent="0.25">
      <c r="A3653" s="106" t="s">
        <v>7323</v>
      </c>
      <c r="B3653" s="106" t="s">
        <v>7324</v>
      </c>
      <c r="C3653" s="106"/>
      <c r="D3653" s="106"/>
      <c r="E3653" s="52"/>
    </row>
    <row r="3654" spans="1:5" s="103" customFormat="1" ht="13.2" hidden="1" outlineLevel="1" x14ac:dyDescent="0.25">
      <c r="A3654" s="106" t="s">
        <v>7325</v>
      </c>
      <c r="B3654" s="106" t="s">
        <v>7326</v>
      </c>
      <c r="C3654" s="106"/>
      <c r="D3654" s="106"/>
      <c r="E3654" s="52"/>
    </row>
    <row r="3655" spans="1:5" s="103" customFormat="1" ht="13.2" hidden="1" outlineLevel="1" x14ac:dyDescent="0.25">
      <c r="A3655" s="106" t="s">
        <v>7327</v>
      </c>
      <c r="B3655" s="106" t="s">
        <v>7328</v>
      </c>
      <c r="C3655" s="106"/>
      <c r="D3655" s="106"/>
      <c r="E3655" s="52"/>
    </row>
    <row r="3656" spans="1:5" s="103" customFormat="1" ht="13.2" hidden="1" outlineLevel="1" x14ac:dyDescent="0.25">
      <c r="A3656" s="106" t="s">
        <v>7329</v>
      </c>
      <c r="B3656" s="106" t="s">
        <v>7330</v>
      </c>
      <c r="C3656" s="106"/>
      <c r="D3656" s="106"/>
      <c r="E3656" s="52"/>
    </row>
    <row r="3657" spans="1:5" s="103" customFormat="1" ht="13.2" hidden="1" outlineLevel="1" x14ac:dyDescent="0.25">
      <c r="A3657" s="106" t="s">
        <v>7331</v>
      </c>
      <c r="B3657" s="106" t="s">
        <v>7332</v>
      </c>
      <c r="C3657" s="106"/>
      <c r="D3657" s="106"/>
      <c r="E3657" s="52"/>
    </row>
    <row r="3658" spans="1:5" s="103" customFormat="1" ht="13.2" hidden="1" outlineLevel="1" x14ac:dyDescent="0.25">
      <c r="A3658" s="106" t="s">
        <v>7333</v>
      </c>
      <c r="B3658" s="106" t="s">
        <v>7334</v>
      </c>
      <c r="C3658" s="106"/>
      <c r="D3658" s="106"/>
      <c r="E3658" s="52"/>
    </row>
    <row r="3659" spans="1:5" s="103" customFormat="1" ht="13.2" hidden="1" outlineLevel="1" x14ac:dyDescent="0.25">
      <c r="A3659" s="106" t="s">
        <v>7335</v>
      </c>
      <c r="B3659" s="106" t="s">
        <v>7336</v>
      </c>
      <c r="C3659" s="106"/>
      <c r="D3659" s="106"/>
      <c r="E3659" s="52"/>
    </row>
    <row r="3660" spans="1:5" s="103" customFormat="1" ht="13.2" hidden="1" outlineLevel="1" x14ac:dyDescent="0.25">
      <c r="A3660" s="106" t="s">
        <v>7337</v>
      </c>
      <c r="B3660" s="106" t="s">
        <v>7338</v>
      </c>
      <c r="C3660" s="106"/>
      <c r="D3660" s="106"/>
      <c r="E3660" s="52"/>
    </row>
    <row r="3661" spans="1:5" s="103" customFormat="1" ht="13.2" hidden="1" outlineLevel="1" x14ac:dyDescent="0.25">
      <c r="A3661" s="106" t="s">
        <v>7339</v>
      </c>
      <c r="B3661" s="106" t="s">
        <v>7340</v>
      </c>
      <c r="C3661" s="106"/>
      <c r="D3661" s="106"/>
      <c r="E3661" s="52"/>
    </row>
    <row r="3662" spans="1:5" s="103" customFormat="1" ht="13.2" hidden="1" outlineLevel="1" x14ac:dyDescent="0.25">
      <c r="A3662" s="106" t="s">
        <v>7341</v>
      </c>
      <c r="B3662" s="106" t="s">
        <v>7342</v>
      </c>
      <c r="C3662" s="106"/>
      <c r="D3662" s="106"/>
      <c r="E3662" s="52"/>
    </row>
    <row r="3663" spans="1:5" s="103" customFormat="1" ht="13.2" hidden="1" outlineLevel="1" x14ac:dyDescent="0.25">
      <c r="A3663" s="106" t="s">
        <v>7343</v>
      </c>
      <c r="B3663" s="106" t="s">
        <v>7344</v>
      </c>
      <c r="C3663" s="106"/>
      <c r="D3663" s="106"/>
      <c r="E3663" s="52"/>
    </row>
    <row r="3664" spans="1:5" s="103" customFormat="1" ht="13.2" hidden="1" outlineLevel="1" x14ac:dyDescent="0.25">
      <c r="A3664" s="106" t="s">
        <v>7345</v>
      </c>
      <c r="B3664" s="106" t="s">
        <v>7346</v>
      </c>
      <c r="C3664" s="106"/>
      <c r="D3664" s="106"/>
      <c r="E3664" s="52"/>
    </row>
    <row r="3665" spans="1:5" s="103" customFormat="1" ht="13.2" hidden="1" outlineLevel="1" x14ac:dyDescent="0.25">
      <c r="A3665" s="106" t="s">
        <v>7347</v>
      </c>
      <c r="B3665" s="106" t="s">
        <v>7348</v>
      </c>
      <c r="C3665" s="106"/>
      <c r="D3665" s="106"/>
      <c r="E3665" s="52"/>
    </row>
    <row r="3666" spans="1:5" s="103" customFormat="1" ht="13.2" hidden="1" outlineLevel="1" x14ac:dyDescent="0.25">
      <c r="A3666" s="106" t="s">
        <v>7349</v>
      </c>
      <c r="B3666" s="106" t="s">
        <v>7350</v>
      </c>
      <c r="C3666" s="106"/>
      <c r="D3666" s="106"/>
      <c r="E3666" s="52"/>
    </row>
    <row r="3667" spans="1:5" s="103" customFormat="1" ht="13.2" hidden="1" outlineLevel="1" x14ac:dyDescent="0.25">
      <c r="A3667" s="106" t="s">
        <v>7351</v>
      </c>
      <c r="B3667" s="106" t="s">
        <v>7352</v>
      </c>
      <c r="C3667" s="106"/>
      <c r="D3667" s="106"/>
      <c r="E3667" s="52"/>
    </row>
    <row r="3668" spans="1:5" s="103" customFormat="1" ht="13.2" hidden="1" outlineLevel="1" x14ac:dyDescent="0.25">
      <c r="A3668" s="106" t="s">
        <v>7353</v>
      </c>
      <c r="B3668" s="106" t="s">
        <v>7354</v>
      </c>
      <c r="C3668" s="106"/>
      <c r="D3668" s="106"/>
      <c r="E3668" s="52"/>
    </row>
    <row r="3669" spans="1:5" s="103" customFormat="1" ht="13.2" hidden="1" outlineLevel="1" x14ac:dyDescent="0.25">
      <c r="A3669" s="106" t="s">
        <v>7355</v>
      </c>
      <c r="B3669" s="106" t="s">
        <v>7356</v>
      </c>
      <c r="C3669" s="106"/>
      <c r="D3669" s="106"/>
      <c r="E3669" s="52"/>
    </row>
    <row r="3670" spans="1:5" s="103" customFormat="1" ht="13.2" hidden="1" outlineLevel="1" x14ac:dyDescent="0.25">
      <c r="A3670" s="106" t="s">
        <v>7357</v>
      </c>
      <c r="B3670" s="106" t="s">
        <v>7358</v>
      </c>
      <c r="C3670" s="106"/>
      <c r="D3670" s="106"/>
      <c r="E3670" s="52"/>
    </row>
    <row r="3671" spans="1:5" s="103" customFormat="1" ht="13.2" hidden="1" outlineLevel="1" x14ac:dyDescent="0.25">
      <c r="A3671" s="106" t="s">
        <v>7359</v>
      </c>
      <c r="B3671" s="106" t="s">
        <v>7360</v>
      </c>
      <c r="C3671" s="106"/>
      <c r="D3671" s="106"/>
      <c r="E3671" s="52"/>
    </row>
    <row r="3672" spans="1:5" s="103" customFormat="1" ht="13.2" hidden="1" outlineLevel="1" x14ac:dyDescent="0.25">
      <c r="A3672" s="106" t="s">
        <v>7361</v>
      </c>
      <c r="B3672" s="106" t="s">
        <v>7362</v>
      </c>
      <c r="C3672" s="106"/>
      <c r="D3672" s="106"/>
      <c r="E3672" s="52"/>
    </row>
    <row r="3673" spans="1:5" s="103" customFormat="1" ht="13.2" hidden="1" outlineLevel="1" x14ac:dyDescent="0.25">
      <c r="A3673" s="106" t="s">
        <v>7363</v>
      </c>
      <c r="B3673" s="106" t="s">
        <v>7364</v>
      </c>
      <c r="C3673" s="106"/>
      <c r="D3673" s="106"/>
      <c r="E3673" s="52"/>
    </row>
    <row r="3674" spans="1:5" s="103" customFormat="1" ht="13.2" hidden="1" outlineLevel="1" x14ac:dyDescent="0.25">
      <c r="A3674" s="106" t="s">
        <v>7365</v>
      </c>
      <c r="B3674" s="106" t="s">
        <v>7366</v>
      </c>
      <c r="C3674" s="106"/>
      <c r="D3674" s="106"/>
      <c r="E3674" s="52"/>
    </row>
    <row r="3675" spans="1:5" s="103" customFormat="1" ht="13.2" hidden="1" outlineLevel="1" x14ac:dyDescent="0.25">
      <c r="A3675" s="106" t="s">
        <v>7367</v>
      </c>
      <c r="B3675" s="106" t="s">
        <v>7368</v>
      </c>
      <c r="C3675" s="106"/>
      <c r="D3675" s="106"/>
      <c r="E3675" s="52"/>
    </row>
    <row r="3676" spans="1:5" s="103" customFormat="1" ht="13.2" hidden="1" outlineLevel="1" x14ac:dyDescent="0.25">
      <c r="A3676" s="106" t="s">
        <v>7369</v>
      </c>
      <c r="B3676" s="106" t="s">
        <v>7370</v>
      </c>
      <c r="C3676" s="106"/>
      <c r="D3676" s="106"/>
      <c r="E3676" s="52"/>
    </row>
    <row r="3677" spans="1:5" s="103" customFormat="1" ht="13.2" hidden="1" outlineLevel="1" x14ac:dyDescent="0.25">
      <c r="A3677" s="106" t="s">
        <v>7371</v>
      </c>
      <c r="B3677" s="106" t="s">
        <v>7372</v>
      </c>
      <c r="C3677" s="106"/>
      <c r="D3677" s="106"/>
      <c r="E3677" s="52"/>
    </row>
    <row r="3678" spans="1:5" s="103" customFormat="1" ht="13.2" hidden="1" outlineLevel="1" x14ac:dyDescent="0.25">
      <c r="A3678" s="106" t="s">
        <v>7373</v>
      </c>
      <c r="B3678" s="106" t="s">
        <v>7374</v>
      </c>
      <c r="C3678" s="106"/>
      <c r="D3678" s="106"/>
      <c r="E3678" s="52"/>
    </row>
    <row r="3679" spans="1:5" s="103" customFormat="1" ht="13.2" hidden="1" outlineLevel="1" x14ac:dyDescent="0.25">
      <c r="A3679" s="106" t="s">
        <v>7375</v>
      </c>
      <c r="B3679" s="106" t="s">
        <v>7376</v>
      </c>
      <c r="C3679" s="106"/>
      <c r="D3679" s="106"/>
      <c r="E3679" s="52"/>
    </row>
    <row r="3680" spans="1:5" s="103" customFormat="1" ht="13.2" hidden="1" outlineLevel="1" x14ac:dyDescent="0.25">
      <c r="A3680" s="106" t="s">
        <v>7377</v>
      </c>
      <c r="B3680" s="106" t="s">
        <v>7378</v>
      </c>
      <c r="C3680" s="106"/>
      <c r="D3680" s="106"/>
      <c r="E3680" s="52"/>
    </row>
    <row r="3681" spans="1:5" s="103" customFormat="1" ht="13.2" hidden="1" outlineLevel="1" x14ac:dyDescent="0.25">
      <c r="A3681" s="106" t="s">
        <v>7379</v>
      </c>
      <c r="B3681" s="106" t="s">
        <v>7380</v>
      </c>
      <c r="C3681" s="106"/>
      <c r="D3681" s="106"/>
      <c r="E3681" s="52"/>
    </row>
    <row r="3682" spans="1:5" s="103" customFormat="1" ht="13.2" hidden="1" outlineLevel="1" x14ac:dyDescent="0.25">
      <c r="A3682" s="106" t="s">
        <v>7381</v>
      </c>
      <c r="B3682" s="106" t="s">
        <v>7382</v>
      </c>
      <c r="C3682" s="106"/>
      <c r="D3682" s="106"/>
      <c r="E3682" s="52"/>
    </row>
    <row r="3683" spans="1:5" s="103" customFormat="1" ht="13.2" hidden="1" outlineLevel="1" x14ac:dyDescent="0.25">
      <c r="A3683" s="106" t="s">
        <v>7383</v>
      </c>
      <c r="B3683" s="106" t="s">
        <v>7384</v>
      </c>
      <c r="C3683" s="106"/>
      <c r="D3683" s="106"/>
      <c r="E3683" s="52"/>
    </row>
    <row r="3684" spans="1:5" s="103" customFormat="1" ht="13.2" hidden="1" outlineLevel="1" x14ac:dyDescent="0.25">
      <c r="A3684" s="106" t="s">
        <v>7385</v>
      </c>
      <c r="B3684" s="106" t="s">
        <v>7386</v>
      </c>
      <c r="C3684" s="106"/>
      <c r="D3684" s="106"/>
      <c r="E3684" s="52"/>
    </row>
    <row r="3685" spans="1:5" s="103" customFormat="1" ht="13.2" hidden="1" outlineLevel="1" x14ac:dyDescent="0.25">
      <c r="A3685" s="106" t="s">
        <v>7387</v>
      </c>
      <c r="B3685" s="106" t="s">
        <v>7388</v>
      </c>
      <c r="C3685" s="106"/>
      <c r="D3685" s="106"/>
      <c r="E3685" s="52"/>
    </row>
    <row r="3686" spans="1:5" s="103" customFormat="1" ht="13.2" hidden="1" outlineLevel="1" x14ac:dyDescent="0.25">
      <c r="A3686" s="106" t="s">
        <v>7389</v>
      </c>
      <c r="B3686" s="106" t="s">
        <v>7390</v>
      </c>
      <c r="C3686" s="106"/>
      <c r="D3686" s="106"/>
      <c r="E3686" s="52"/>
    </row>
    <row r="3687" spans="1:5" s="103" customFormat="1" ht="13.2" hidden="1" outlineLevel="1" x14ac:dyDescent="0.25">
      <c r="A3687" s="106" t="s">
        <v>7391</v>
      </c>
      <c r="B3687" s="106" t="s">
        <v>7392</v>
      </c>
      <c r="C3687" s="106"/>
      <c r="D3687" s="106"/>
      <c r="E3687" s="52"/>
    </row>
    <row r="3688" spans="1:5" s="103" customFormat="1" ht="13.2" hidden="1" outlineLevel="1" x14ac:dyDescent="0.25">
      <c r="A3688" s="106" t="s">
        <v>7393</v>
      </c>
      <c r="B3688" s="106" t="s">
        <v>7394</v>
      </c>
      <c r="C3688" s="106"/>
      <c r="D3688" s="106"/>
      <c r="E3688" s="52"/>
    </row>
    <row r="3689" spans="1:5" s="103" customFormat="1" ht="13.2" hidden="1" outlineLevel="1" x14ac:dyDescent="0.25">
      <c r="A3689" s="106" t="s">
        <v>7395</v>
      </c>
      <c r="B3689" s="106" t="s">
        <v>7396</v>
      </c>
      <c r="C3689" s="106"/>
      <c r="D3689" s="106"/>
      <c r="E3689" s="52"/>
    </row>
    <row r="3690" spans="1:5" s="103" customFormat="1" ht="13.2" hidden="1" outlineLevel="1" x14ac:dyDescent="0.25">
      <c r="A3690" s="106" t="s">
        <v>7397</v>
      </c>
      <c r="B3690" s="106" t="s">
        <v>7398</v>
      </c>
      <c r="C3690" s="106"/>
      <c r="D3690" s="106"/>
      <c r="E3690" s="52"/>
    </row>
    <row r="3691" spans="1:5" s="103" customFormat="1" ht="13.2" hidden="1" outlineLevel="1" x14ac:dyDescent="0.25">
      <c r="A3691" s="106" t="s">
        <v>7399</v>
      </c>
      <c r="B3691" s="106" t="s">
        <v>7400</v>
      </c>
      <c r="C3691" s="106"/>
      <c r="D3691" s="106"/>
      <c r="E3691" s="52"/>
    </row>
    <row r="3692" spans="1:5" s="103" customFormat="1" ht="13.2" hidden="1" outlineLevel="1" x14ac:dyDescent="0.25">
      <c r="A3692" s="106" t="s">
        <v>7401</v>
      </c>
      <c r="B3692" s="106" t="s">
        <v>7402</v>
      </c>
      <c r="C3692" s="106"/>
      <c r="D3692" s="106"/>
      <c r="E3692" s="52"/>
    </row>
    <row r="3693" spans="1:5" s="103" customFormat="1" ht="13.2" hidden="1" outlineLevel="1" x14ac:dyDescent="0.25">
      <c r="A3693" s="106" t="s">
        <v>7403</v>
      </c>
      <c r="B3693" s="106" t="s">
        <v>7404</v>
      </c>
      <c r="C3693" s="106"/>
      <c r="D3693" s="106"/>
      <c r="E3693" s="52"/>
    </row>
    <row r="3694" spans="1:5" s="103" customFormat="1" ht="13.2" hidden="1" outlineLevel="1" x14ac:dyDescent="0.25">
      <c r="A3694" s="106" t="s">
        <v>7405</v>
      </c>
      <c r="B3694" s="106" t="s">
        <v>7406</v>
      </c>
      <c r="C3694" s="106"/>
      <c r="D3694" s="106"/>
      <c r="E3694" s="52"/>
    </row>
    <row r="3695" spans="1:5" s="103" customFormat="1" ht="13.2" hidden="1" outlineLevel="1" x14ac:dyDescent="0.25">
      <c r="A3695" s="106" t="s">
        <v>7407</v>
      </c>
      <c r="B3695" s="106" t="s">
        <v>7408</v>
      </c>
      <c r="C3695" s="106"/>
      <c r="D3695" s="106"/>
      <c r="E3695" s="52"/>
    </row>
    <row r="3696" spans="1:5" s="103" customFormat="1" ht="13.2" hidden="1" outlineLevel="1" x14ac:dyDescent="0.25">
      <c r="A3696" s="106" t="s">
        <v>7409</v>
      </c>
      <c r="B3696" s="106" t="s">
        <v>7410</v>
      </c>
      <c r="C3696" s="106"/>
      <c r="D3696" s="106"/>
      <c r="E3696" s="52"/>
    </row>
    <row r="3697" spans="1:5" s="103" customFormat="1" ht="13.2" hidden="1" outlineLevel="1" x14ac:dyDescent="0.25">
      <c r="A3697" s="106" t="s">
        <v>7411</v>
      </c>
      <c r="B3697" s="106" t="s">
        <v>7412</v>
      </c>
      <c r="C3697" s="106"/>
      <c r="D3697" s="106"/>
      <c r="E3697" s="52"/>
    </row>
    <row r="3698" spans="1:5" s="103" customFormat="1" ht="13.2" hidden="1" outlineLevel="1" x14ac:dyDescent="0.25">
      <c r="A3698" s="106" t="s">
        <v>7413</v>
      </c>
      <c r="B3698" s="106" t="s">
        <v>7414</v>
      </c>
      <c r="C3698" s="106"/>
      <c r="D3698" s="106"/>
      <c r="E3698" s="52"/>
    </row>
    <row r="3699" spans="1:5" s="103" customFormat="1" ht="13.2" hidden="1" outlineLevel="1" x14ac:dyDescent="0.25">
      <c r="A3699" s="106" t="s">
        <v>7415</v>
      </c>
      <c r="B3699" s="106" t="s">
        <v>7416</v>
      </c>
      <c r="C3699" s="106"/>
      <c r="D3699" s="106"/>
      <c r="E3699" s="52"/>
    </row>
    <row r="3700" spans="1:5" s="103" customFormat="1" ht="13.2" hidden="1" outlineLevel="1" x14ac:dyDescent="0.25">
      <c r="A3700" s="106" t="s">
        <v>7417</v>
      </c>
      <c r="B3700" s="106" t="s">
        <v>7418</v>
      </c>
      <c r="C3700" s="106"/>
      <c r="D3700" s="106"/>
      <c r="E3700" s="52"/>
    </row>
    <row r="3701" spans="1:5" s="103" customFormat="1" ht="13.2" hidden="1" outlineLevel="1" x14ac:dyDescent="0.25">
      <c r="A3701" s="106" t="s">
        <v>7419</v>
      </c>
      <c r="B3701" s="106" t="s">
        <v>7420</v>
      </c>
      <c r="C3701" s="106"/>
      <c r="D3701" s="106"/>
      <c r="E3701" s="52"/>
    </row>
    <row r="3702" spans="1:5" s="103" customFormat="1" ht="13.2" hidden="1" outlineLevel="1" x14ac:dyDescent="0.25">
      <c r="A3702" s="106" t="s">
        <v>7421</v>
      </c>
      <c r="B3702" s="106" t="s">
        <v>7422</v>
      </c>
      <c r="C3702" s="106"/>
      <c r="D3702" s="106"/>
      <c r="E3702" s="52"/>
    </row>
    <row r="3703" spans="1:5" s="103" customFormat="1" ht="13.2" hidden="1" outlineLevel="1" x14ac:dyDescent="0.25">
      <c r="A3703" s="106" t="s">
        <v>7423</v>
      </c>
      <c r="B3703" s="106" t="s">
        <v>7424</v>
      </c>
      <c r="C3703" s="106"/>
      <c r="D3703" s="106"/>
      <c r="E3703" s="52"/>
    </row>
    <row r="3704" spans="1:5" s="103" customFormat="1" ht="13.2" hidden="1" outlineLevel="1" x14ac:dyDescent="0.25">
      <c r="A3704" s="106" t="s">
        <v>7425</v>
      </c>
      <c r="B3704" s="106" t="s">
        <v>7426</v>
      </c>
      <c r="C3704" s="106"/>
      <c r="D3704" s="106"/>
      <c r="E3704" s="52"/>
    </row>
    <row r="3705" spans="1:5" s="103" customFormat="1" ht="13.2" hidden="1" outlineLevel="1" x14ac:dyDescent="0.25">
      <c r="A3705" s="106" t="s">
        <v>7427</v>
      </c>
      <c r="B3705" s="106" t="s">
        <v>7428</v>
      </c>
      <c r="C3705" s="106"/>
      <c r="D3705" s="106"/>
      <c r="E3705" s="52"/>
    </row>
    <row r="3706" spans="1:5" s="103" customFormat="1" ht="13.2" hidden="1" outlineLevel="1" x14ac:dyDescent="0.25">
      <c r="A3706" s="106" t="s">
        <v>7429</v>
      </c>
      <c r="B3706" s="106" t="s">
        <v>7430</v>
      </c>
      <c r="C3706" s="106"/>
      <c r="D3706" s="106"/>
      <c r="E3706" s="52"/>
    </row>
    <row r="3707" spans="1:5" s="103" customFormat="1" ht="13.2" hidden="1" outlineLevel="1" x14ac:dyDescent="0.25">
      <c r="A3707" s="106" t="s">
        <v>7431</v>
      </c>
      <c r="B3707" s="106" t="s">
        <v>7432</v>
      </c>
      <c r="C3707" s="106"/>
      <c r="D3707" s="106"/>
      <c r="E3707" s="52"/>
    </row>
    <row r="3708" spans="1:5" s="103" customFormat="1" ht="13.2" hidden="1" outlineLevel="1" x14ac:dyDescent="0.25">
      <c r="A3708" s="106" t="s">
        <v>7433</v>
      </c>
      <c r="B3708" s="106" t="s">
        <v>7434</v>
      </c>
      <c r="C3708" s="106"/>
      <c r="D3708" s="106"/>
      <c r="E3708" s="52"/>
    </row>
    <row r="3709" spans="1:5" s="103" customFormat="1" ht="13.2" hidden="1" outlineLevel="1" x14ac:dyDescent="0.25">
      <c r="A3709" s="106" t="s">
        <v>7435</v>
      </c>
      <c r="B3709" s="106" t="s">
        <v>7436</v>
      </c>
      <c r="C3709" s="106"/>
      <c r="D3709" s="106"/>
      <c r="E3709" s="52"/>
    </row>
    <row r="3710" spans="1:5" s="103" customFormat="1" ht="13.2" hidden="1" outlineLevel="1" x14ac:dyDescent="0.25">
      <c r="A3710" s="106" t="s">
        <v>7437</v>
      </c>
      <c r="B3710" s="106" t="s">
        <v>7438</v>
      </c>
      <c r="C3710" s="106"/>
      <c r="D3710" s="106"/>
      <c r="E3710" s="52"/>
    </row>
    <row r="3711" spans="1:5" s="103" customFormat="1" ht="13.2" hidden="1" outlineLevel="1" x14ac:dyDescent="0.25">
      <c r="A3711" s="106" t="s">
        <v>7439</v>
      </c>
      <c r="B3711" s="106" t="s">
        <v>7440</v>
      </c>
      <c r="C3711" s="106"/>
      <c r="D3711" s="106"/>
      <c r="E3711" s="52"/>
    </row>
    <row r="3712" spans="1:5" s="103" customFormat="1" ht="13.2" hidden="1" outlineLevel="1" x14ac:dyDescent="0.25">
      <c r="A3712" s="106" t="s">
        <v>7441</v>
      </c>
      <c r="B3712" s="106" t="s">
        <v>7442</v>
      </c>
      <c r="C3712" s="106"/>
      <c r="D3712" s="106"/>
      <c r="E3712" s="52"/>
    </row>
    <row r="3713" spans="1:5" s="103" customFormat="1" ht="13.2" hidden="1" outlineLevel="1" x14ac:dyDescent="0.25">
      <c r="A3713" s="106" t="s">
        <v>7443</v>
      </c>
      <c r="B3713" s="106" t="s">
        <v>7444</v>
      </c>
      <c r="C3713" s="106"/>
      <c r="D3713" s="106"/>
      <c r="E3713" s="52"/>
    </row>
    <row r="3714" spans="1:5" s="103" customFormat="1" ht="13.2" hidden="1" outlineLevel="1" x14ac:dyDescent="0.25">
      <c r="A3714" s="106" t="s">
        <v>7445</v>
      </c>
      <c r="B3714" s="106" t="s">
        <v>7446</v>
      </c>
      <c r="C3714" s="106"/>
      <c r="D3714" s="106"/>
      <c r="E3714" s="52"/>
    </row>
    <row r="3715" spans="1:5" s="103" customFormat="1" ht="13.2" hidden="1" outlineLevel="1" x14ac:dyDescent="0.25">
      <c r="A3715" s="106" t="s">
        <v>7447</v>
      </c>
      <c r="B3715" s="106" t="s">
        <v>7448</v>
      </c>
      <c r="C3715" s="106"/>
      <c r="D3715" s="106"/>
      <c r="E3715" s="52"/>
    </row>
    <row r="3716" spans="1:5" s="103" customFormat="1" ht="13.2" hidden="1" outlineLevel="1" x14ac:dyDescent="0.25">
      <c r="A3716" s="106" t="s">
        <v>7449</v>
      </c>
      <c r="B3716" s="106" t="s">
        <v>7450</v>
      </c>
      <c r="C3716" s="106"/>
      <c r="D3716" s="106"/>
      <c r="E3716" s="52"/>
    </row>
    <row r="3717" spans="1:5" s="103" customFormat="1" ht="13.2" hidden="1" outlineLevel="1" x14ac:dyDescent="0.25">
      <c r="A3717" s="106" t="s">
        <v>7451</v>
      </c>
      <c r="B3717" s="106" t="s">
        <v>7452</v>
      </c>
      <c r="C3717" s="106"/>
      <c r="D3717" s="106"/>
      <c r="E3717" s="52"/>
    </row>
    <row r="3718" spans="1:5" s="103" customFormat="1" ht="13.2" hidden="1" outlineLevel="1" x14ac:dyDescent="0.25">
      <c r="A3718" s="106" t="s">
        <v>7453</v>
      </c>
      <c r="B3718" s="106" t="s">
        <v>7454</v>
      </c>
      <c r="C3718" s="106"/>
      <c r="D3718" s="106"/>
      <c r="E3718" s="52"/>
    </row>
    <row r="3719" spans="1:5" s="103" customFormat="1" ht="13.2" hidden="1" outlineLevel="1" x14ac:dyDescent="0.25">
      <c r="A3719" s="106" t="s">
        <v>7455</v>
      </c>
      <c r="B3719" s="106" t="s">
        <v>7456</v>
      </c>
      <c r="C3719" s="106"/>
      <c r="D3719" s="106"/>
      <c r="E3719" s="52"/>
    </row>
    <row r="3720" spans="1:5" s="103" customFormat="1" ht="13.2" hidden="1" outlineLevel="1" x14ac:dyDescent="0.25">
      <c r="A3720" s="106" t="s">
        <v>7457</v>
      </c>
      <c r="B3720" s="106" t="s">
        <v>7458</v>
      </c>
      <c r="C3720" s="106"/>
      <c r="D3720" s="106"/>
      <c r="E3720" s="52"/>
    </row>
    <row r="3721" spans="1:5" s="103" customFormat="1" ht="13.2" hidden="1" outlineLevel="1" x14ac:dyDescent="0.25">
      <c r="A3721" s="106" t="s">
        <v>7459</v>
      </c>
      <c r="B3721" s="106" t="s">
        <v>7460</v>
      </c>
      <c r="C3721" s="106"/>
      <c r="D3721" s="106"/>
      <c r="E3721" s="52"/>
    </row>
    <row r="3722" spans="1:5" s="103" customFormat="1" ht="13.2" hidden="1" outlineLevel="1" x14ac:dyDescent="0.25">
      <c r="A3722" s="106" t="s">
        <v>7461</v>
      </c>
      <c r="B3722" s="106" t="s">
        <v>7462</v>
      </c>
      <c r="C3722" s="106"/>
      <c r="D3722" s="106"/>
      <c r="E3722" s="52"/>
    </row>
    <row r="3723" spans="1:5" s="103" customFormat="1" ht="13.2" hidden="1" outlineLevel="1" x14ac:dyDescent="0.25">
      <c r="A3723" s="106" t="s">
        <v>7463</v>
      </c>
      <c r="B3723" s="106" t="s">
        <v>7464</v>
      </c>
      <c r="C3723" s="106"/>
      <c r="D3723" s="106"/>
      <c r="E3723" s="52"/>
    </row>
    <row r="3724" spans="1:5" s="103" customFormat="1" ht="13.2" hidden="1" outlineLevel="1" x14ac:dyDescent="0.25">
      <c r="A3724" s="106" t="s">
        <v>7465</v>
      </c>
      <c r="B3724" s="106" t="s">
        <v>7466</v>
      </c>
      <c r="C3724" s="106"/>
      <c r="D3724" s="106"/>
      <c r="E3724" s="52"/>
    </row>
    <row r="3725" spans="1:5" s="103" customFormat="1" ht="13.2" hidden="1" outlineLevel="1" x14ac:dyDescent="0.25">
      <c r="A3725" s="106" t="s">
        <v>7467</v>
      </c>
      <c r="B3725" s="106" t="s">
        <v>7468</v>
      </c>
      <c r="C3725" s="106"/>
      <c r="D3725" s="106"/>
      <c r="E3725" s="52"/>
    </row>
    <row r="3726" spans="1:5" s="103" customFormat="1" ht="13.2" hidden="1" outlineLevel="1" x14ac:dyDescent="0.25">
      <c r="A3726" s="106" t="s">
        <v>7469</v>
      </c>
      <c r="B3726" s="106" t="s">
        <v>7470</v>
      </c>
      <c r="C3726" s="106"/>
      <c r="D3726" s="106"/>
      <c r="E3726" s="52"/>
    </row>
    <row r="3727" spans="1:5" s="103" customFormat="1" ht="13.2" hidden="1" outlineLevel="1" x14ac:dyDescent="0.25">
      <c r="A3727" s="106" t="s">
        <v>7471</v>
      </c>
      <c r="B3727" s="106" t="s">
        <v>7472</v>
      </c>
      <c r="C3727" s="106"/>
      <c r="D3727" s="106"/>
      <c r="E3727" s="52"/>
    </row>
    <row r="3728" spans="1:5" s="103" customFormat="1" ht="13.2" hidden="1" outlineLevel="1" x14ac:dyDescent="0.25">
      <c r="A3728" s="106" t="s">
        <v>7473</v>
      </c>
      <c r="B3728" s="106" t="s">
        <v>7474</v>
      </c>
      <c r="C3728" s="106"/>
      <c r="D3728" s="106"/>
      <c r="E3728" s="52"/>
    </row>
    <row r="3729" spans="1:5" s="103" customFormat="1" ht="13.2" hidden="1" outlineLevel="1" x14ac:dyDescent="0.25">
      <c r="A3729" s="106" t="s">
        <v>7475</v>
      </c>
      <c r="B3729" s="106" t="s">
        <v>7476</v>
      </c>
      <c r="C3729" s="106"/>
      <c r="D3729" s="106"/>
      <c r="E3729" s="52"/>
    </row>
    <row r="3730" spans="1:5" s="103" customFormat="1" ht="13.2" hidden="1" outlineLevel="1" x14ac:dyDescent="0.25">
      <c r="A3730" s="106" t="s">
        <v>7477</v>
      </c>
      <c r="B3730" s="106" t="s">
        <v>7478</v>
      </c>
      <c r="C3730" s="106"/>
      <c r="D3730" s="106"/>
      <c r="E3730" s="52"/>
    </row>
    <row r="3731" spans="1:5" s="103" customFormat="1" ht="13.2" hidden="1" outlineLevel="1" x14ac:dyDescent="0.25">
      <c r="A3731" s="106" t="s">
        <v>7479</v>
      </c>
      <c r="B3731" s="106" t="s">
        <v>7480</v>
      </c>
      <c r="C3731" s="106"/>
      <c r="D3731" s="106"/>
      <c r="E3731" s="52"/>
    </row>
    <row r="3732" spans="1:5" s="103" customFormat="1" ht="13.2" hidden="1" outlineLevel="1" x14ac:dyDescent="0.25">
      <c r="A3732" s="106" t="s">
        <v>7481</v>
      </c>
      <c r="B3732" s="106" t="s">
        <v>7482</v>
      </c>
      <c r="C3732" s="106"/>
      <c r="D3732" s="106"/>
      <c r="E3732" s="52"/>
    </row>
    <row r="3733" spans="1:5" s="103" customFormat="1" ht="13.2" hidden="1" outlineLevel="1" x14ac:dyDescent="0.25">
      <c r="A3733" s="106" t="s">
        <v>7483</v>
      </c>
      <c r="B3733" s="106" t="s">
        <v>7484</v>
      </c>
      <c r="C3733" s="106"/>
      <c r="D3733" s="106"/>
      <c r="E3733" s="52"/>
    </row>
    <row r="3734" spans="1:5" s="103" customFormat="1" ht="13.2" hidden="1" outlineLevel="1" x14ac:dyDescent="0.25">
      <c r="A3734" s="106" t="s">
        <v>7485</v>
      </c>
      <c r="B3734" s="106" t="s">
        <v>7486</v>
      </c>
      <c r="C3734" s="106"/>
      <c r="D3734" s="106"/>
      <c r="E3734" s="52"/>
    </row>
    <row r="3735" spans="1:5" s="103" customFormat="1" ht="13.2" hidden="1" outlineLevel="1" x14ac:dyDescent="0.25">
      <c r="A3735" s="106" t="s">
        <v>7487</v>
      </c>
      <c r="B3735" s="106" t="s">
        <v>7488</v>
      </c>
      <c r="C3735" s="106"/>
      <c r="D3735" s="106"/>
      <c r="E3735" s="52"/>
    </row>
    <row r="3736" spans="1:5" s="103" customFormat="1" ht="13.2" hidden="1" outlineLevel="1" x14ac:dyDescent="0.25">
      <c r="A3736" s="106" t="s">
        <v>7489</v>
      </c>
      <c r="B3736" s="106" t="s">
        <v>7490</v>
      </c>
      <c r="C3736" s="106"/>
      <c r="D3736" s="106"/>
      <c r="E3736" s="52"/>
    </row>
    <row r="3737" spans="1:5" s="103" customFormat="1" ht="13.2" hidden="1" outlineLevel="1" x14ac:dyDescent="0.25">
      <c r="A3737" s="106" t="s">
        <v>7491</v>
      </c>
      <c r="B3737" s="106" t="s">
        <v>7492</v>
      </c>
      <c r="C3737" s="106"/>
      <c r="D3737" s="106"/>
      <c r="E3737" s="52"/>
    </row>
    <row r="3738" spans="1:5" s="103" customFormat="1" ht="13.2" hidden="1" outlineLevel="1" x14ac:dyDescent="0.25">
      <c r="A3738" s="106" t="s">
        <v>7493</v>
      </c>
      <c r="B3738" s="106" t="s">
        <v>7494</v>
      </c>
      <c r="C3738" s="106"/>
      <c r="D3738" s="106"/>
      <c r="E3738" s="52"/>
    </row>
    <row r="3739" spans="1:5" s="103" customFormat="1" ht="13.2" hidden="1" outlineLevel="1" x14ac:dyDescent="0.25">
      <c r="A3739" s="106" t="s">
        <v>7495</v>
      </c>
      <c r="B3739" s="106" t="s">
        <v>7496</v>
      </c>
      <c r="C3739" s="106"/>
      <c r="D3739" s="106"/>
      <c r="E3739" s="52"/>
    </row>
    <row r="3740" spans="1:5" s="103" customFormat="1" ht="13.2" hidden="1" outlineLevel="1" x14ac:dyDescent="0.25">
      <c r="A3740" s="106" t="s">
        <v>7497</v>
      </c>
      <c r="B3740" s="106" t="s">
        <v>7498</v>
      </c>
      <c r="C3740" s="106"/>
      <c r="D3740" s="106"/>
      <c r="E3740" s="52"/>
    </row>
    <row r="3741" spans="1:5" s="103" customFormat="1" ht="13.2" hidden="1" outlineLevel="1" x14ac:dyDescent="0.25">
      <c r="A3741" s="106" t="s">
        <v>7499</v>
      </c>
      <c r="B3741" s="106" t="s">
        <v>7500</v>
      </c>
      <c r="C3741" s="106"/>
      <c r="D3741" s="106"/>
      <c r="E3741" s="52"/>
    </row>
    <row r="3742" spans="1:5" s="103" customFormat="1" ht="13.2" hidden="1" outlineLevel="1" x14ac:dyDescent="0.25">
      <c r="A3742" s="106" t="s">
        <v>7501</v>
      </c>
      <c r="B3742" s="106" t="s">
        <v>7502</v>
      </c>
      <c r="C3742" s="106"/>
      <c r="D3742" s="106"/>
      <c r="E3742" s="52"/>
    </row>
    <row r="3743" spans="1:5" s="103" customFormat="1" ht="13.2" hidden="1" outlineLevel="1" x14ac:dyDescent="0.25">
      <c r="A3743" s="106" t="s">
        <v>7503</v>
      </c>
      <c r="B3743" s="106" t="s">
        <v>7504</v>
      </c>
      <c r="C3743" s="106"/>
      <c r="D3743" s="106"/>
      <c r="E3743" s="52"/>
    </row>
    <row r="3744" spans="1:5" s="103" customFormat="1" ht="13.2" hidden="1" outlineLevel="1" x14ac:dyDescent="0.25">
      <c r="A3744" s="106" t="s">
        <v>7505</v>
      </c>
      <c r="B3744" s="106" t="s">
        <v>7506</v>
      </c>
      <c r="C3744" s="106"/>
      <c r="D3744" s="106"/>
      <c r="E3744" s="52"/>
    </row>
    <row r="3745" spans="1:5" s="103" customFormat="1" ht="13.2" hidden="1" outlineLevel="1" x14ac:dyDescent="0.25">
      <c r="A3745" s="106" t="s">
        <v>7507</v>
      </c>
      <c r="B3745" s="106" t="s">
        <v>7508</v>
      </c>
      <c r="C3745" s="106"/>
      <c r="D3745" s="106"/>
      <c r="E3745" s="52"/>
    </row>
    <row r="3746" spans="1:5" s="103" customFormat="1" ht="13.2" hidden="1" outlineLevel="1" x14ac:dyDescent="0.25">
      <c r="A3746" s="106" t="s">
        <v>7509</v>
      </c>
      <c r="B3746" s="106" t="s">
        <v>7510</v>
      </c>
      <c r="C3746" s="106"/>
      <c r="D3746" s="106"/>
      <c r="E3746" s="52"/>
    </row>
    <row r="3747" spans="1:5" s="103" customFormat="1" ht="13.2" hidden="1" outlineLevel="1" x14ac:dyDescent="0.25">
      <c r="A3747" s="106" t="s">
        <v>7511</v>
      </c>
      <c r="B3747" s="106" t="s">
        <v>7512</v>
      </c>
      <c r="C3747" s="106"/>
      <c r="D3747" s="106"/>
      <c r="E3747" s="52"/>
    </row>
    <row r="3748" spans="1:5" s="103" customFormat="1" ht="13.2" hidden="1" outlineLevel="1" x14ac:dyDescent="0.25">
      <c r="A3748" s="106" t="s">
        <v>7513</v>
      </c>
      <c r="B3748" s="106" t="s">
        <v>7514</v>
      </c>
      <c r="C3748" s="106"/>
      <c r="D3748" s="106"/>
      <c r="E3748" s="52"/>
    </row>
    <row r="3749" spans="1:5" s="103" customFormat="1" ht="13.2" hidden="1" outlineLevel="1" x14ac:dyDescent="0.25">
      <c r="A3749" s="106" t="s">
        <v>7515</v>
      </c>
      <c r="B3749" s="106" t="s">
        <v>7516</v>
      </c>
      <c r="C3749" s="106"/>
      <c r="D3749" s="106"/>
      <c r="E3749" s="52"/>
    </row>
    <row r="3750" spans="1:5" s="103" customFormat="1" ht="13.2" hidden="1" outlineLevel="1" x14ac:dyDescent="0.25">
      <c r="A3750" s="106" t="s">
        <v>7517</v>
      </c>
      <c r="B3750" s="106" t="s">
        <v>7518</v>
      </c>
      <c r="C3750" s="106"/>
      <c r="D3750" s="106"/>
      <c r="E3750" s="52"/>
    </row>
    <row r="3751" spans="1:5" s="103" customFormat="1" ht="13.2" hidden="1" outlineLevel="1" x14ac:dyDescent="0.25">
      <c r="A3751" s="106" t="s">
        <v>7519</v>
      </c>
      <c r="B3751" s="106" t="s">
        <v>7520</v>
      </c>
      <c r="C3751" s="106"/>
      <c r="D3751" s="106"/>
      <c r="E3751" s="52"/>
    </row>
    <row r="3752" spans="1:5" s="103" customFormat="1" ht="13.2" hidden="1" outlineLevel="1" x14ac:dyDescent="0.25">
      <c r="A3752" s="106" t="s">
        <v>7521</v>
      </c>
      <c r="B3752" s="106" t="s">
        <v>7522</v>
      </c>
      <c r="C3752" s="106"/>
      <c r="D3752" s="106"/>
      <c r="E3752" s="52"/>
    </row>
    <row r="3753" spans="1:5" s="103" customFormat="1" ht="13.2" hidden="1" outlineLevel="1" x14ac:dyDescent="0.25">
      <c r="A3753" s="106" t="s">
        <v>7523</v>
      </c>
      <c r="B3753" s="106" t="s">
        <v>7524</v>
      </c>
      <c r="C3753" s="106"/>
      <c r="D3753" s="106"/>
      <c r="E3753" s="52"/>
    </row>
    <row r="3754" spans="1:5" s="103" customFormat="1" ht="13.2" hidden="1" outlineLevel="1" x14ac:dyDescent="0.25">
      <c r="A3754" s="106" t="s">
        <v>7525</v>
      </c>
      <c r="B3754" s="106" t="s">
        <v>7526</v>
      </c>
      <c r="C3754" s="106"/>
      <c r="D3754" s="106"/>
      <c r="E3754" s="52"/>
    </row>
    <row r="3755" spans="1:5" s="103" customFormat="1" ht="13.2" hidden="1" outlineLevel="1" x14ac:dyDescent="0.25">
      <c r="A3755" s="106" t="s">
        <v>7527</v>
      </c>
      <c r="B3755" s="106" t="s">
        <v>7528</v>
      </c>
      <c r="C3755" s="106"/>
      <c r="D3755" s="106"/>
      <c r="E3755" s="52"/>
    </row>
    <row r="3756" spans="1:5" s="103" customFormat="1" ht="13.2" hidden="1" outlineLevel="1" x14ac:dyDescent="0.25">
      <c r="A3756" s="106" t="s">
        <v>7529</v>
      </c>
      <c r="B3756" s="106" t="s">
        <v>7530</v>
      </c>
      <c r="C3756" s="106"/>
      <c r="D3756" s="106"/>
      <c r="E3756" s="52"/>
    </row>
    <row r="3757" spans="1:5" s="103" customFormat="1" ht="13.2" hidden="1" outlineLevel="1" x14ac:dyDescent="0.25">
      <c r="A3757" s="106" t="s">
        <v>7531</v>
      </c>
      <c r="B3757" s="106" t="s">
        <v>7532</v>
      </c>
      <c r="C3757" s="106"/>
      <c r="D3757" s="106"/>
      <c r="E3757" s="52"/>
    </row>
    <row r="3758" spans="1:5" s="103" customFormat="1" ht="13.2" hidden="1" outlineLevel="1" x14ac:dyDescent="0.25">
      <c r="A3758" s="106" t="s">
        <v>7533</v>
      </c>
      <c r="B3758" s="106" t="s">
        <v>7534</v>
      </c>
      <c r="C3758" s="106"/>
      <c r="D3758" s="106"/>
      <c r="E3758" s="52"/>
    </row>
    <row r="3759" spans="1:5" s="103" customFormat="1" ht="13.2" hidden="1" outlineLevel="1" x14ac:dyDescent="0.25">
      <c r="A3759" s="106" t="s">
        <v>7535</v>
      </c>
      <c r="B3759" s="106" t="s">
        <v>7536</v>
      </c>
      <c r="C3759" s="106"/>
      <c r="D3759" s="106"/>
      <c r="E3759" s="52"/>
    </row>
    <row r="3760" spans="1:5" s="103" customFormat="1" ht="13.2" hidden="1" outlineLevel="1" x14ac:dyDescent="0.25">
      <c r="A3760" s="106" t="s">
        <v>7537</v>
      </c>
      <c r="B3760" s="106" t="s">
        <v>7538</v>
      </c>
      <c r="C3760" s="106"/>
      <c r="D3760" s="106"/>
      <c r="E3760" s="52"/>
    </row>
    <row r="3761" spans="1:5" s="103" customFormat="1" ht="13.2" hidden="1" outlineLevel="1" x14ac:dyDescent="0.25">
      <c r="A3761" s="106" t="s">
        <v>7539</v>
      </c>
      <c r="B3761" s="106" t="s">
        <v>7540</v>
      </c>
      <c r="C3761" s="106"/>
      <c r="D3761" s="106"/>
      <c r="E3761" s="52"/>
    </row>
    <row r="3762" spans="1:5" s="103" customFormat="1" ht="13.2" hidden="1" outlineLevel="1" x14ac:dyDescent="0.25">
      <c r="A3762" s="106" t="s">
        <v>7541</v>
      </c>
      <c r="B3762" s="106" t="s">
        <v>7542</v>
      </c>
      <c r="C3762" s="106"/>
      <c r="D3762" s="106"/>
      <c r="E3762" s="52"/>
    </row>
    <row r="3763" spans="1:5" s="103" customFormat="1" ht="13.2" hidden="1" outlineLevel="1" x14ac:dyDescent="0.25">
      <c r="A3763" s="106" t="s">
        <v>7543</v>
      </c>
      <c r="B3763" s="106" t="s">
        <v>7544</v>
      </c>
      <c r="C3763" s="106"/>
      <c r="D3763" s="106"/>
      <c r="E3763" s="52"/>
    </row>
    <row r="3764" spans="1:5" s="103" customFormat="1" ht="13.2" hidden="1" outlineLevel="1" x14ac:dyDescent="0.25">
      <c r="A3764" s="106" t="s">
        <v>7545</v>
      </c>
      <c r="B3764" s="106" t="s">
        <v>7546</v>
      </c>
      <c r="C3764" s="106"/>
      <c r="D3764" s="106"/>
      <c r="E3764" s="52"/>
    </row>
    <row r="3765" spans="1:5" s="103" customFormat="1" ht="13.2" hidden="1" outlineLevel="1" x14ac:dyDescent="0.25">
      <c r="A3765" s="106" t="s">
        <v>7547</v>
      </c>
      <c r="B3765" s="106" t="s">
        <v>7548</v>
      </c>
      <c r="C3765" s="106"/>
      <c r="D3765" s="106"/>
      <c r="E3765" s="52"/>
    </row>
    <row r="3766" spans="1:5" s="103" customFormat="1" ht="13.2" hidden="1" outlineLevel="1" x14ac:dyDescent="0.25">
      <c r="A3766" s="106" t="s">
        <v>7549</v>
      </c>
      <c r="B3766" s="106" t="s">
        <v>7550</v>
      </c>
      <c r="C3766" s="106"/>
      <c r="D3766" s="106"/>
      <c r="E3766" s="52"/>
    </row>
    <row r="3767" spans="1:5" s="103" customFormat="1" ht="13.2" hidden="1" outlineLevel="1" x14ac:dyDescent="0.25">
      <c r="A3767" s="106" t="s">
        <v>7551</v>
      </c>
      <c r="B3767" s="106" t="s">
        <v>7552</v>
      </c>
      <c r="C3767" s="106"/>
      <c r="D3767" s="106"/>
      <c r="E3767" s="52"/>
    </row>
    <row r="3768" spans="1:5" s="103" customFormat="1" ht="13.2" hidden="1" outlineLevel="1" x14ac:dyDescent="0.25">
      <c r="A3768" s="106" t="s">
        <v>7553</v>
      </c>
      <c r="B3768" s="106" t="s">
        <v>7554</v>
      </c>
      <c r="C3768" s="106"/>
      <c r="D3768" s="106"/>
      <c r="E3768" s="52"/>
    </row>
    <row r="3769" spans="1:5" s="103" customFormat="1" ht="13.2" hidden="1" outlineLevel="1" x14ac:dyDescent="0.25">
      <c r="A3769" s="106" t="s">
        <v>7555</v>
      </c>
      <c r="B3769" s="106" t="s">
        <v>7556</v>
      </c>
      <c r="C3769" s="106"/>
      <c r="D3769" s="106"/>
      <c r="E3769" s="52"/>
    </row>
    <row r="3770" spans="1:5" s="103" customFormat="1" ht="13.2" hidden="1" outlineLevel="1" x14ac:dyDescent="0.25">
      <c r="A3770" s="106" t="s">
        <v>7557</v>
      </c>
      <c r="B3770" s="106" t="s">
        <v>7558</v>
      </c>
      <c r="C3770" s="106"/>
      <c r="D3770" s="106"/>
      <c r="E3770" s="52"/>
    </row>
    <row r="3771" spans="1:5" s="103" customFormat="1" ht="13.2" hidden="1" outlineLevel="1" x14ac:dyDescent="0.25">
      <c r="A3771" s="106" t="s">
        <v>7559</v>
      </c>
      <c r="B3771" s="106" t="s">
        <v>7560</v>
      </c>
      <c r="C3771" s="106"/>
      <c r="D3771" s="106"/>
      <c r="E3771" s="52"/>
    </row>
    <row r="3772" spans="1:5" s="103" customFormat="1" ht="13.2" hidden="1" outlineLevel="1" x14ac:dyDescent="0.25">
      <c r="A3772" s="106" t="s">
        <v>7561</v>
      </c>
      <c r="B3772" s="106" t="s">
        <v>7562</v>
      </c>
      <c r="C3772" s="106"/>
      <c r="D3772" s="106"/>
      <c r="E3772" s="52"/>
    </row>
    <row r="3773" spans="1:5" s="103" customFormat="1" ht="13.2" hidden="1" outlineLevel="1" x14ac:dyDescent="0.25">
      <c r="A3773" s="106" t="s">
        <v>7563</v>
      </c>
      <c r="B3773" s="106" t="s">
        <v>7564</v>
      </c>
      <c r="C3773" s="106"/>
      <c r="D3773" s="106"/>
      <c r="E3773" s="52"/>
    </row>
    <row r="3774" spans="1:5" s="103" customFormat="1" ht="13.2" hidden="1" outlineLevel="1" x14ac:dyDescent="0.25">
      <c r="A3774" s="106" t="s">
        <v>7565</v>
      </c>
      <c r="B3774" s="106" t="s">
        <v>7566</v>
      </c>
      <c r="C3774" s="106"/>
      <c r="D3774" s="106"/>
      <c r="E3774" s="52"/>
    </row>
    <row r="3775" spans="1:5" s="103" customFormat="1" ht="13.2" hidden="1" outlineLevel="1" x14ac:dyDescent="0.25">
      <c r="A3775" s="106" t="s">
        <v>7567</v>
      </c>
      <c r="B3775" s="106" t="s">
        <v>7568</v>
      </c>
      <c r="C3775" s="106"/>
      <c r="D3775" s="106"/>
      <c r="E3775" s="52"/>
    </row>
    <row r="3776" spans="1:5" s="103" customFormat="1" ht="13.2" hidden="1" outlineLevel="1" x14ac:dyDescent="0.25">
      <c r="A3776" s="106" t="s">
        <v>7569</v>
      </c>
      <c r="B3776" s="106" t="s">
        <v>7570</v>
      </c>
      <c r="C3776" s="106"/>
      <c r="D3776" s="106"/>
      <c r="E3776" s="52"/>
    </row>
    <row r="3777" spans="1:5" s="103" customFormat="1" ht="13.2" hidden="1" outlineLevel="1" x14ac:dyDescent="0.25">
      <c r="A3777" s="106" t="s">
        <v>7571</v>
      </c>
      <c r="B3777" s="106" t="s">
        <v>7572</v>
      </c>
      <c r="C3777" s="106"/>
      <c r="D3777" s="106"/>
      <c r="E3777" s="52"/>
    </row>
    <row r="3778" spans="1:5" s="103" customFormat="1" ht="13.2" hidden="1" outlineLevel="1" x14ac:dyDescent="0.25">
      <c r="A3778" s="106" t="s">
        <v>7573</v>
      </c>
      <c r="B3778" s="106" t="s">
        <v>7574</v>
      </c>
      <c r="C3778" s="106"/>
      <c r="D3778" s="106"/>
      <c r="E3778" s="52"/>
    </row>
    <row r="3779" spans="1:5" s="103" customFormat="1" ht="13.2" hidden="1" outlineLevel="1" x14ac:dyDescent="0.25">
      <c r="A3779" s="106" t="s">
        <v>7575</v>
      </c>
      <c r="B3779" s="106" t="s">
        <v>7576</v>
      </c>
      <c r="C3779" s="106"/>
      <c r="D3779" s="106"/>
      <c r="E3779" s="52"/>
    </row>
    <row r="3780" spans="1:5" s="103" customFormat="1" ht="13.2" hidden="1" outlineLevel="1" x14ac:dyDescent="0.25">
      <c r="A3780" s="106" t="s">
        <v>7577</v>
      </c>
      <c r="B3780" s="106" t="s">
        <v>7578</v>
      </c>
      <c r="C3780" s="106"/>
      <c r="D3780" s="106"/>
      <c r="E3780" s="52"/>
    </row>
    <row r="3781" spans="1:5" s="103" customFormat="1" ht="13.2" hidden="1" outlineLevel="1" x14ac:dyDescent="0.25">
      <c r="A3781" s="106" t="s">
        <v>7579</v>
      </c>
      <c r="B3781" s="106" t="s">
        <v>7580</v>
      </c>
      <c r="C3781" s="106"/>
      <c r="D3781" s="106"/>
      <c r="E3781" s="52"/>
    </row>
    <row r="3782" spans="1:5" s="103" customFormat="1" ht="13.2" hidden="1" outlineLevel="1" x14ac:dyDescent="0.25">
      <c r="A3782" s="106" t="s">
        <v>7581</v>
      </c>
      <c r="B3782" s="106" t="s">
        <v>7582</v>
      </c>
      <c r="C3782" s="106"/>
      <c r="D3782" s="106"/>
      <c r="E3782" s="52"/>
    </row>
    <row r="3783" spans="1:5" s="103" customFormat="1" ht="13.2" hidden="1" outlineLevel="1" x14ac:dyDescent="0.25">
      <c r="A3783" s="106" t="s">
        <v>7583</v>
      </c>
      <c r="B3783" s="106" t="s">
        <v>7584</v>
      </c>
      <c r="C3783" s="106"/>
      <c r="D3783" s="106"/>
      <c r="E3783" s="52"/>
    </row>
    <row r="3784" spans="1:5" s="103" customFormat="1" ht="13.2" hidden="1" outlineLevel="1" x14ac:dyDescent="0.25">
      <c r="A3784" s="106" t="s">
        <v>7585</v>
      </c>
      <c r="B3784" s="106" t="s">
        <v>7586</v>
      </c>
      <c r="C3784" s="106"/>
      <c r="D3784" s="106"/>
      <c r="E3784" s="52"/>
    </row>
    <row r="3785" spans="1:5" s="103" customFormat="1" ht="13.2" hidden="1" outlineLevel="1" x14ac:dyDescent="0.25">
      <c r="A3785" s="106" t="s">
        <v>7587</v>
      </c>
      <c r="B3785" s="106" t="s">
        <v>7588</v>
      </c>
      <c r="C3785" s="106"/>
      <c r="D3785" s="106"/>
      <c r="E3785" s="52"/>
    </row>
    <row r="3786" spans="1:5" s="103" customFormat="1" ht="13.2" hidden="1" outlineLevel="1" x14ac:dyDescent="0.25">
      <c r="A3786" s="106" t="s">
        <v>7589</v>
      </c>
      <c r="B3786" s="106" t="s">
        <v>7590</v>
      </c>
      <c r="C3786" s="106"/>
      <c r="D3786" s="106"/>
      <c r="E3786" s="52"/>
    </row>
    <row r="3787" spans="1:5" s="103" customFormat="1" ht="13.2" hidden="1" outlineLevel="1" x14ac:dyDescent="0.25">
      <c r="A3787" s="106" t="s">
        <v>7591</v>
      </c>
      <c r="B3787" s="106" t="s">
        <v>7592</v>
      </c>
      <c r="C3787" s="106"/>
      <c r="D3787" s="106"/>
      <c r="E3787" s="52"/>
    </row>
    <row r="3788" spans="1:5" s="103" customFormat="1" ht="13.2" hidden="1" outlineLevel="1" x14ac:dyDescent="0.25">
      <c r="A3788" s="106" t="s">
        <v>7593</v>
      </c>
      <c r="B3788" s="106" t="s">
        <v>7594</v>
      </c>
      <c r="C3788" s="106"/>
      <c r="D3788" s="106"/>
      <c r="E3788" s="52"/>
    </row>
    <row r="3789" spans="1:5" s="103" customFormat="1" ht="13.2" hidden="1" outlineLevel="1" x14ac:dyDescent="0.25">
      <c r="A3789" s="106" t="s">
        <v>7595</v>
      </c>
      <c r="B3789" s="106" t="s">
        <v>7596</v>
      </c>
      <c r="C3789" s="106"/>
      <c r="D3789" s="106"/>
      <c r="E3789" s="52"/>
    </row>
    <row r="3790" spans="1:5" s="103" customFormat="1" ht="13.2" hidden="1" outlineLevel="1" x14ac:dyDescent="0.25">
      <c r="A3790" s="106" t="s">
        <v>7597</v>
      </c>
      <c r="B3790" s="106" t="s">
        <v>7598</v>
      </c>
      <c r="C3790" s="106"/>
      <c r="D3790" s="106"/>
      <c r="E3790" s="52"/>
    </row>
    <row r="3791" spans="1:5" s="103" customFormat="1" ht="13.2" hidden="1" outlineLevel="1" x14ac:dyDescent="0.25">
      <c r="A3791" s="106" t="s">
        <v>7599</v>
      </c>
      <c r="B3791" s="106" t="s">
        <v>7600</v>
      </c>
      <c r="C3791" s="106"/>
      <c r="D3791" s="106"/>
      <c r="E3791" s="52"/>
    </row>
    <row r="3792" spans="1:5" s="103" customFormat="1" ht="13.2" hidden="1" outlineLevel="1" x14ac:dyDescent="0.25">
      <c r="A3792" s="106" t="s">
        <v>7601</v>
      </c>
      <c r="B3792" s="106" t="s">
        <v>7602</v>
      </c>
      <c r="C3792" s="106"/>
      <c r="D3792" s="106"/>
      <c r="E3792" s="52"/>
    </row>
    <row r="3793" spans="1:5" s="103" customFormat="1" ht="13.2" hidden="1" outlineLevel="1" x14ac:dyDescent="0.25">
      <c r="A3793" s="106" t="s">
        <v>7603</v>
      </c>
      <c r="B3793" s="106" t="s">
        <v>7604</v>
      </c>
      <c r="C3793" s="106"/>
      <c r="D3793" s="106"/>
      <c r="E3793" s="52"/>
    </row>
    <row r="3794" spans="1:5" s="103" customFormat="1" ht="13.2" hidden="1" outlineLevel="1" x14ac:dyDescent="0.25">
      <c r="A3794" s="106" t="s">
        <v>7605</v>
      </c>
      <c r="B3794" s="106" t="s">
        <v>7606</v>
      </c>
      <c r="C3794" s="106"/>
      <c r="D3794" s="106"/>
      <c r="E3794" s="52"/>
    </row>
    <row r="3795" spans="1:5" s="103" customFormat="1" ht="13.2" hidden="1" outlineLevel="1" x14ac:dyDescent="0.25">
      <c r="A3795" s="106" t="s">
        <v>14392</v>
      </c>
      <c r="B3795" s="106" t="s">
        <v>14407</v>
      </c>
      <c r="C3795" s="106"/>
      <c r="D3795" s="106"/>
      <c r="E3795" s="52"/>
    </row>
    <row r="3796" spans="1:5" s="103" customFormat="1" ht="13.2" hidden="1" outlineLevel="1" x14ac:dyDescent="0.25">
      <c r="A3796" s="106" t="s">
        <v>7607</v>
      </c>
      <c r="B3796" s="106" t="s">
        <v>7608</v>
      </c>
      <c r="C3796" s="106"/>
      <c r="D3796" s="106"/>
      <c r="E3796" s="52"/>
    </row>
    <row r="3797" spans="1:5" s="103" customFormat="1" ht="13.2" hidden="1" outlineLevel="1" x14ac:dyDescent="0.25">
      <c r="A3797" s="106" t="s">
        <v>7609</v>
      </c>
      <c r="B3797" s="106" t="s">
        <v>7610</v>
      </c>
      <c r="C3797" s="106"/>
      <c r="D3797" s="106"/>
      <c r="E3797" s="52"/>
    </row>
    <row r="3798" spans="1:5" s="103" customFormat="1" ht="13.2" hidden="1" outlineLevel="1" x14ac:dyDescent="0.25">
      <c r="A3798" s="106" t="s">
        <v>7611</v>
      </c>
      <c r="B3798" s="106" t="s">
        <v>7372</v>
      </c>
      <c r="C3798" s="106"/>
      <c r="D3798" s="106"/>
      <c r="E3798" s="52"/>
    </row>
    <row r="3799" spans="1:5" s="103" customFormat="1" ht="13.2" hidden="1" outlineLevel="1" x14ac:dyDescent="0.25">
      <c r="A3799" s="106" t="s">
        <v>7612</v>
      </c>
      <c r="B3799" s="106" t="s">
        <v>7613</v>
      </c>
      <c r="C3799" s="106"/>
      <c r="D3799" s="106"/>
      <c r="E3799" s="52"/>
    </row>
    <row r="3800" spans="1:5" s="103" customFormat="1" ht="13.2" hidden="1" outlineLevel="1" x14ac:dyDescent="0.25">
      <c r="A3800" s="106" t="s">
        <v>7614</v>
      </c>
      <c r="B3800" s="106" t="s">
        <v>7615</v>
      </c>
      <c r="C3800" s="106"/>
      <c r="D3800" s="106"/>
      <c r="E3800" s="52"/>
    </row>
    <row r="3801" spans="1:5" s="103" customFormat="1" ht="13.2" hidden="1" outlineLevel="1" x14ac:dyDescent="0.25">
      <c r="A3801" s="106" t="s">
        <v>7616</v>
      </c>
      <c r="B3801" s="106" t="s">
        <v>7617</v>
      </c>
      <c r="C3801" s="106"/>
      <c r="D3801" s="106"/>
      <c r="E3801" s="52"/>
    </row>
    <row r="3802" spans="1:5" s="103" customFormat="1" ht="13.2" hidden="1" outlineLevel="1" x14ac:dyDescent="0.25">
      <c r="A3802" s="106" t="s">
        <v>7618</v>
      </c>
      <c r="B3802" s="106" t="s">
        <v>7619</v>
      </c>
      <c r="C3802" s="106"/>
      <c r="D3802" s="106"/>
      <c r="E3802" s="52"/>
    </row>
    <row r="3803" spans="1:5" s="103" customFormat="1" ht="13.2" hidden="1" outlineLevel="1" x14ac:dyDescent="0.25">
      <c r="A3803" s="106" t="s">
        <v>7620</v>
      </c>
      <c r="B3803" s="106" t="s">
        <v>7621</v>
      </c>
      <c r="C3803" s="106"/>
      <c r="D3803" s="106"/>
      <c r="E3803" s="52"/>
    </row>
    <row r="3804" spans="1:5" s="103" customFormat="1" ht="13.2" hidden="1" outlineLevel="1" x14ac:dyDescent="0.25">
      <c r="A3804" s="106" t="s">
        <v>7622</v>
      </c>
      <c r="B3804" s="106" t="s">
        <v>7623</v>
      </c>
      <c r="C3804" s="106"/>
      <c r="D3804" s="106"/>
      <c r="E3804" s="52"/>
    </row>
    <row r="3805" spans="1:5" s="103" customFormat="1" ht="13.2" hidden="1" outlineLevel="1" x14ac:dyDescent="0.25">
      <c r="A3805" s="106" t="s">
        <v>7624</v>
      </c>
      <c r="B3805" s="106" t="s">
        <v>7625</v>
      </c>
      <c r="C3805" s="106"/>
      <c r="D3805" s="106"/>
      <c r="E3805" s="52"/>
    </row>
    <row r="3806" spans="1:5" s="103" customFormat="1" ht="13.2" hidden="1" outlineLevel="1" x14ac:dyDescent="0.25">
      <c r="A3806" s="106" t="s">
        <v>7626</v>
      </c>
      <c r="B3806" s="106" t="s">
        <v>7627</v>
      </c>
      <c r="C3806" s="106"/>
      <c r="D3806" s="106"/>
      <c r="E3806" s="52"/>
    </row>
    <row r="3807" spans="1:5" s="103" customFormat="1" ht="13.2" hidden="1" outlineLevel="1" x14ac:dyDescent="0.25">
      <c r="A3807" s="106" t="s">
        <v>7628</v>
      </c>
      <c r="B3807" s="106" t="s">
        <v>7629</v>
      </c>
      <c r="C3807" s="106"/>
      <c r="D3807" s="106"/>
      <c r="E3807" s="52"/>
    </row>
    <row r="3808" spans="1:5" s="103" customFormat="1" ht="13.2" hidden="1" outlineLevel="1" x14ac:dyDescent="0.25">
      <c r="A3808" s="106" t="s">
        <v>7630</v>
      </c>
      <c r="B3808" s="106" t="s">
        <v>7631</v>
      </c>
      <c r="C3808" s="106"/>
      <c r="D3808" s="106"/>
      <c r="E3808" s="52"/>
    </row>
    <row r="3809" spans="1:5" s="103" customFormat="1" ht="13.2" hidden="1" outlineLevel="1" x14ac:dyDescent="0.25">
      <c r="A3809" s="106" t="s">
        <v>7632</v>
      </c>
      <c r="B3809" s="106" t="s">
        <v>7633</v>
      </c>
      <c r="C3809" s="106"/>
      <c r="D3809" s="106"/>
      <c r="E3809" s="52"/>
    </row>
    <row r="3810" spans="1:5" s="103" customFormat="1" ht="13.2" hidden="1" outlineLevel="1" x14ac:dyDescent="0.25">
      <c r="A3810" s="106" t="s">
        <v>7634</v>
      </c>
      <c r="B3810" s="106" t="s">
        <v>7635</v>
      </c>
      <c r="C3810" s="106"/>
      <c r="D3810" s="106"/>
      <c r="E3810" s="52"/>
    </row>
    <row r="3811" spans="1:5" s="103" customFormat="1" ht="13.2" hidden="1" outlineLevel="1" x14ac:dyDescent="0.25">
      <c r="A3811" s="106" t="s">
        <v>7636</v>
      </c>
      <c r="B3811" s="106" t="s">
        <v>7637</v>
      </c>
      <c r="C3811" s="106"/>
      <c r="D3811" s="106"/>
      <c r="E3811" s="52"/>
    </row>
    <row r="3812" spans="1:5" s="103" customFormat="1" ht="13.2" hidden="1" outlineLevel="1" x14ac:dyDescent="0.25">
      <c r="A3812" s="106" t="s">
        <v>7638</v>
      </c>
      <c r="B3812" s="106" t="s">
        <v>7639</v>
      </c>
      <c r="C3812" s="106"/>
      <c r="D3812" s="106"/>
      <c r="E3812" s="52"/>
    </row>
    <row r="3813" spans="1:5" s="103" customFormat="1" ht="13.2" hidden="1" outlineLevel="1" x14ac:dyDescent="0.25">
      <c r="A3813" s="106" t="s">
        <v>7640</v>
      </c>
      <c r="B3813" s="106" t="s">
        <v>7641</v>
      </c>
      <c r="C3813" s="106"/>
      <c r="D3813" s="106"/>
      <c r="E3813" s="52"/>
    </row>
    <row r="3814" spans="1:5" s="103" customFormat="1" ht="13.2" collapsed="1" x14ac:dyDescent="0.25">
      <c r="A3814" s="104" t="s">
        <v>7642</v>
      </c>
      <c r="B3814" s="105" t="s">
        <v>7643</v>
      </c>
      <c r="C3814" s="105"/>
      <c r="D3814" s="105"/>
      <c r="E3814" s="51"/>
    </row>
    <row r="3815" spans="1:5" s="103" customFormat="1" ht="13.2" hidden="1" outlineLevel="1" x14ac:dyDescent="0.25">
      <c r="A3815" s="106" t="s">
        <v>7644</v>
      </c>
      <c r="B3815" s="106" t="s">
        <v>7645</v>
      </c>
      <c r="C3815" s="106"/>
      <c r="D3815" s="106"/>
      <c r="E3815" s="52"/>
    </row>
    <row r="3816" spans="1:5" s="103" customFormat="1" ht="13.2" hidden="1" outlineLevel="1" x14ac:dyDescent="0.25">
      <c r="A3816" s="106" t="s">
        <v>7646</v>
      </c>
      <c r="B3816" s="106" t="s">
        <v>7647</v>
      </c>
      <c r="C3816" s="106"/>
      <c r="D3816" s="106"/>
      <c r="E3816" s="52"/>
    </row>
    <row r="3817" spans="1:5" s="103" customFormat="1" ht="13.2" hidden="1" outlineLevel="1" x14ac:dyDescent="0.25">
      <c r="A3817" s="106" t="s">
        <v>7648</v>
      </c>
      <c r="B3817" s="106" t="s">
        <v>7649</v>
      </c>
      <c r="C3817" s="106"/>
      <c r="D3817" s="106"/>
      <c r="E3817" s="52"/>
    </row>
    <row r="3818" spans="1:5" s="103" customFormat="1" ht="13.2" hidden="1" outlineLevel="1" x14ac:dyDescent="0.25">
      <c r="A3818" s="106" t="s">
        <v>7650</v>
      </c>
      <c r="B3818" s="106" t="s">
        <v>7651</v>
      </c>
      <c r="C3818" s="106"/>
      <c r="D3818" s="106"/>
      <c r="E3818" s="52"/>
    </row>
    <row r="3819" spans="1:5" s="103" customFormat="1" ht="13.2" hidden="1" outlineLevel="1" x14ac:dyDescent="0.25">
      <c r="A3819" s="106" t="s">
        <v>7652</v>
      </c>
      <c r="B3819" s="106" t="s">
        <v>7653</v>
      </c>
      <c r="C3819" s="106"/>
      <c r="D3819" s="106"/>
      <c r="E3819" s="52"/>
    </row>
    <row r="3820" spans="1:5" s="103" customFormat="1" ht="13.2" hidden="1" outlineLevel="1" x14ac:dyDescent="0.25">
      <c r="A3820" s="106" t="s">
        <v>7654</v>
      </c>
      <c r="B3820" s="106" t="s">
        <v>7655</v>
      </c>
      <c r="C3820" s="106"/>
      <c r="D3820" s="106"/>
      <c r="E3820" s="52"/>
    </row>
    <row r="3821" spans="1:5" s="103" customFormat="1" ht="13.2" hidden="1" outlineLevel="1" x14ac:dyDescent="0.25">
      <c r="A3821" s="106" t="s">
        <v>7656</v>
      </c>
      <c r="B3821" s="106" t="s">
        <v>7657</v>
      </c>
      <c r="C3821" s="106"/>
      <c r="D3821" s="106"/>
      <c r="E3821" s="52"/>
    </row>
    <row r="3822" spans="1:5" s="103" customFormat="1" ht="13.2" hidden="1" outlineLevel="1" x14ac:dyDescent="0.25">
      <c r="A3822" s="106" t="s">
        <v>7658</v>
      </c>
      <c r="B3822" s="106" t="s">
        <v>7659</v>
      </c>
      <c r="C3822" s="106"/>
      <c r="D3822" s="106"/>
      <c r="E3822" s="52"/>
    </row>
    <row r="3823" spans="1:5" s="103" customFormat="1" ht="13.2" hidden="1" outlineLevel="1" x14ac:dyDescent="0.25">
      <c r="A3823" s="106" t="s">
        <v>7660</v>
      </c>
      <c r="B3823" s="106" t="s">
        <v>7661</v>
      </c>
      <c r="C3823" s="106"/>
      <c r="D3823" s="106"/>
      <c r="E3823" s="52"/>
    </row>
    <row r="3824" spans="1:5" s="103" customFormat="1" ht="13.2" hidden="1" outlineLevel="1" x14ac:dyDescent="0.25">
      <c r="A3824" s="106" t="s">
        <v>7662</v>
      </c>
      <c r="B3824" s="106" t="s">
        <v>7663</v>
      </c>
      <c r="C3824" s="106"/>
      <c r="D3824" s="106"/>
      <c r="E3824" s="52"/>
    </row>
    <row r="3825" spans="1:5" s="103" customFormat="1" ht="13.2" hidden="1" outlineLevel="1" x14ac:dyDescent="0.25">
      <c r="A3825" s="106" t="s">
        <v>7664</v>
      </c>
      <c r="B3825" s="106" t="s">
        <v>7665</v>
      </c>
      <c r="C3825" s="106"/>
      <c r="D3825" s="106"/>
      <c r="E3825" s="52"/>
    </row>
    <row r="3826" spans="1:5" s="103" customFormat="1" ht="13.2" hidden="1" outlineLevel="1" x14ac:dyDescent="0.25">
      <c r="A3826" s="106" t="s">
        <v>7666</v>
      </c>
      <c r="B3826" s="106" t="s">
        <v>7667</v>
      </c>
      <c r="C3826" s="106"/>
      <c r="D3826" s="106"/>
      <c r="E3826" s="52"/>
    </row>
    <row r="3827" spans="1:5" s="103" customFormat="1" ht="13.2" hidden="1" outlineLevel="1" x14ac:dyDescent="0.25">
      <c r="A3827" s="106" t="s">
        <v>7668</v>
      </c>
      <c r="B3827" s="106" t="s">
        <v>7669</v>
      </c>
      <c r="C3827" s="106"/>
      <c r="D3827" s="106"/>
      <c r="E3827" s="52"/>
    </row>
    <row r="3828" spans="1:5" s="103" customFormat="1" ht="13.2" hidden="1" outlineLevel="1" x14ac:dyDescent="0.25">
      <c r="A3828" s="106" t="s">
        <v>7670</v>
      </c>
      <c r="B3828" s="106" t="s">
        <v>7671</v>
      </c>
      <c r="C3828" s="106"/>
      <c r="D3828" s="106"/>
      <c r="E3828" s="52"/>
    </row>
    <row r="3829" spans="1:5" s="103" customFormat="1" ht="13.2" hidden="1" outlineLevel="1" x14ac:dyDescent="0.25">
      <c r="A3829" s="106" t="s">
        <v>7672</v>
      </c>
      <c r="B3829" s="106" t="s">
        <v>7673</v>
      </c>
      <c r="C3829" s="106"/>
      <c r="D3829" s="106"/>
      <c r="E3829" s="52"/>
    </row>
    <row r="3830" spans="1:5" s="103" customFormat="1" ht="13.2" hidden="1" outlineLevel="1" x14ac:dyDescent="0.25">
      <c r="A3830" s="106" t="s">
        <v>7674</v>
      </c>
      <c r="B3830" s="106" t="s">
        <v>7675</v>
      </c>
      <c r="C3830" s="106"/>
      <c r="D3830" s="106"/>
      <c r="E3830" s="52"/>
    </row>
    <row r="3831" spans="1:5" s="103" customFormat="1" ht="13.2" hidden="1" outlineLevel="1" x14ac:dyDescent="0.25">
      <c r="A3831" s="106" t="s">
        <v>7676</v>
      </c>
      <c r="B3831" s="106" t="s">
        <v>7677</v>
      </c>
      <c r="C3831" s="106"/>
      <c r="D3831" s="106"/>
      <c r="E3831" s="52"/>
    </row>
    <row r="3832" spans="1:5" s="103" customFormat="1" ht="13.2" hidden="1" outlineLevel="1" x14ac:dyDescent="0.25">
      <c r="A3832" s="106" t="s">
        <v>7678</v>
      </c>
      <c r="B3832" s="106" t="s">
        <v>7679</v>
      </c>
      <c r="C3832" s="106"/>
      <c r="D3832" s="106"/>
      <c r="E3832" s="52"/>
    </row>
    <row r="3833" spans="1:5" s="103" customFormat="1" ht="13.2" hidden="1" outlineLevel="1" x14ac:dyDescent="0.25">
      <c r="A3833" s="106" t="s">
        <v>7680</v>
      </c>
      <c r="B3833" s="106" t="s">
        <v>7681</v>
      </c>
      <c r="C3833" s="106"/>
      <c r="D3833" s="106"/>
      <c r="E3833" s="52"/>
    </row>
    <row r="3834" spans="1:5" s="103" customFormat="1" ht="13.2" hidden="1" outlineLevel="1" x14ac:dyDescent="0.25">
      <c r="A3834" s="106" t="s">
        <v>7682</v>
      </c>
      <c r="B3834" s="106" t="s">
        <v>7683</v>
      </c>
      <c r="C3834" s="106"/>
      <c r="D3834" s="106"/>
      <c r="E3834" s="52"/>
    </row>
    <row r="3835" spans="1:5" s="103" customFormat="1" ht="13.2" hidden="1" outlineLevel="1" x14ac:dyDescent="0.25">
      <c r="A3835" s="106" t="s">
        <v>7684</v>
      </c>
      <c r="B3835" s="106" t="s">
        <v>7685</v>
      </c>
      <c r="C3835" s="106"/>
      <c r="D3835" s="106"/>
      <c r="E3835" s="52"/>
    </row>
    <row r="3836" spans="1:5" s="103" customFormat="1" ht="13.2" hidden="1" outlineLevel="1" x14ac:dyDescent="0.25">
      <c r="A3836" s="106" t="s">
        <v>7686</v>
      </c>
      <c r="B3836" s="106" t="s">
        <v>7687</v>
      </c>
      <c r="C3836" s="106"/>
      <c r="D3836" s="106"/>
      <c r="E3836" s="52"/>
    </row>
    <row r="3837" spans="1:5" s="103" customFormat="1" ht="13.2" hidden="1" outlineLevel="1" x14ac:dyDescent="0.25">
      <c r="A3837" s="106" t="s">
        <v>7688</v>
      </c>
      <c r="B3837" s="106" t="s">
        <v>7689</v>
      </c>
      <c r="C3837" s="106"/>
      <c r="D3837" s="106"/>
      <c r="E3837" s="52"/>
    </row>
    <row r="3838" spans="1:5" s="103" customFormat="1" ht="13.2" hidden="1" outlineLevel="1" x14ac:dyDescent="0.25">
      <c r="A3838" s="106" t="s">
        <v>7690</v>
      </c>
      <c r="B3838" s="106" t="s">
        <v>7691</v>
      </c>
      <c r="C3838" s="106"/>
      <c r="D3838" s="106"/>
      <c r="E3838" s="52"/>
    </row>
    <row r="3839" spans="1:5" s="103" customFormat="1" ht="13.2" hidden="1" outlineLevel="1" x14ac:dyDescent="0.25">
      <c r="A3839" s="106" t="s">
        <v>7692</v>
      </c>
      <c r="B3839" s="106" t="s">
        <v>7693</v>
      </c>
      <c r="C3839" s="106"/>
      <c r="D3839" s="106"/>
      <c r="E3839" s="52"/>
    </row>
    <row r="3840" spans="1:5" s="103" customFormat="1" ht="13.2" hidden="1" outlineLevel="1" x14ac:dyDescent="0.25">
      <c r="A3840" s="106" t="s">
        <v>7694</v>
      </c>
      <c r="B3840" s="106" t="s">
        <v>7695</v>
      </c>
      <c r="C3840" s="106"/>
      <c r="D3840" s="106"/>
      <c r="E3840" s="52"/>
    </row>
    <row r="3841" spans="1:5" s="103" customFormat="1" ht="13.2" hidden="1" outlineLevel="1" x14ac:dyDescent="0.25">
      <c r="A3841" s="106" t="s">
        <v>7696</v>
      </c>
      <c r="B3841" s="106" t="s">
        <v>7697</v>
      </c>
      <c r="C3841" s="106"/>
      <c r="D3841" s="106"/>
      <c r="E3841" s="52"/>
    </row>
    <row r="3842" spans="1:5" s="103" customFormat="1" ht="13.2" hidden="1" outlineLevel="1" x14ac:dyDescent="0.25">
      <c r="A3842" s="106" t="s">
        <v>7698</v>
      </c>
      <c r="B3842" s="106" t="s">
        <v>7699</v>
      </c>
      <c r="C3842" s="106"/>
      <c r="D3842" s="106"/>
      <c r="E3842" s="52"/>
    </row>
    <row r="3843" spans="1:5" s="103" customFormat="1" ht="13.2" hidden="1" outlineLevel="1" x14ac:dyDescent="0.25">
      <c r="A3843" s="106" t="s">
        <v>7700</v>
      </c>
      <c r="B3843" s="106" t="s">
        <v>7701</v>
      </c>
      <c r="C3843" s="106"/>
      <c r="D3843" s="106"/>
      <c r="E3843" s="52"/>
    </row>
    <row r="3844" spans="1:5" s="103" customFormat="1" ht="13.2" hidden="1" outlineLevel="1" x14ac:dyDescent="0.25">
      <c r="A3844" s="106" t="s">
        <v>7702</v>
      </c>
      <c r="B3844" s="106" t="s">
        <v>7703</v>
      </c>
      <c r="C3844" s="106"/>
      <c r="D3844" s="106"/>
      <c r="E3844" s="52"/>
    </row>
    <row r="3845" spans="1:5" s="103" customFormat="1" ht="13.2" hidden="1" outlineLevel="1" x14ac:dyDescent="0.25">
      <c r="A3845" s="106" t="s">
        <v>7704</v>
      </c>
      <c r="B3845" s="106" t="s">
        <v>7705</v>
      </c>
      <c r="C3845" s="106"/>
      <c r="D3845" s="106"/>
      <c r="E3845" s="52"/>
    </row>
    <row r="3846" spans="1:5" s="103" customFormat="1" ht="13.2" hidden="1" outlineLevel="1" x14ac:dyDescent="0.25">
      <c r="A3846" s="106" t="s">
        <v>7706</v>
      </c>
      <c r="B3846" s="106" t="s">
        <v>7707</v>
      </c>
      <c r="C3846" s="106"/>
      <c r="D3846" s="106"/>
      <c r="E3846" s="52"/>
    </row>
    <row r="3847" spans="1:5" s="103" customFormat="1" ht="13.2" hidden="1" outlineLevel="1" x14ac:dyDescent="0.25">
      <c r="A3847" s="106" t="s">
        <v>7708</v>
      </c>
      <c r="B3847" s="106" t="s">
        <v>7709</v>
      </c>
      <c r="C3847" s="106"/>
      <c r="D3847" s="106"/>
      <c r="E3847" s="52"/>
    </row>
    <row r="3848" spans="1:5" s="103" customFormat="1" ht="13.2" hidden="1" outlineLevel="1" x14ac:dyDescent="0.25">
      <c r="A3848" s="106" t="s">
        <v>7710</v>
      </c>
      <c r="B3848" s="106" t="s">
        <v>7711</v>
      </c>
      <c r="C3848" s="106"/>
      <c r="D3848" s="106"/>
      <c r="E3848" s="52"/>
    </row>
    <row r="3849" spans="1:5" s="103" customFormat="1" ht="13.2" hidden="1" outlineLevel="1" x14ac:dyDescent="0.25">
      <c r="A3849" s="106" t="s">
        <v>7712</v>
      </c>
      <c r="B3849" s="106" t="s">
        <v>7713</v>
      </c>
      <c r="C3849" s="106"/>
      <c r="D3849" s="106"/>
      <c r="E3849" s="52"/>
    </row>
    <row r="3850" spans="1:5" s="103" customFormat="1" ht="13.2" hidden="1" outlineLevel="1" x14ac:dyDescent="0.25">
      <c r="A3850" s="106" t="s">
        <v>7714</v>
      </c>
      <c r="B3850" s="106" t="s">
        <v>7715</v>
      </c>
      <c r="C3850" s="106"/>
      <c r="D3850" s="106"/>
      <c r="E3850" s="52"/>
    </row>
    <row r="3851" spans="1:5" s="103" customFormat="1" ht="13.2" hidden="1" outlineLevel="1" x14ac:dyDescent="0.25">
      <c r="A3851" s="106" t="s">
        <v>7716</v>
      </c>
      <c r="B3851" s="106" t="s">
        <v>7717</v>
      </c>
      <c r="C3851" s="106"/>
      <c r="D3851" s="106"/>
      <c r="E3851" s="52"/>
    </row>
    <row r="3852" spans="1:5" s="103" customFormat="1" ht="13.2" hidden="1" outlineLevel="1" x14ac:dyDescent="0.25">
      <c r="A3852" s="106" t="s">
        <v>7718</v>
      </c>
      <c r="B3852" s="106" t="s">
        <v>7719</v>
      </c>
      <c r="C3852" s="106"/>
      <c r="D3852" s="106"/>
      <c r="E3852" s="52"/>
    </row>
    <row r="3853" spans="1:5" s="103" customFormat="1" ht="13.2" hidden="1" outlineLevel="1" x14ac:dyDescent="0.25">
      <c r="A3853" s="106" t="s">
        <v>7720</v>
      </c>
      <c r="B3853" s="106" t="s">
        <v>7721</v>
      </c>
      <c r="C3853" s="106"/>
      <c r="D3853" s="106"/>
      <c r="E3853" s="52"/>
    </row>
    <row r="3854" spans="1:5" s="103" customFormat="1" ht="13.2" hidden="1" outlineLevel="1" x14ac:dyDescent="0.25">
      <c r="A3854" s="106" t="s">
        <v>7722</v>
      </c>
      <c r="B3854" s="106" t="s">
        <v>7723</v>
      </c>
      <c r="C3854" s="106"/>
      <c r="D3854" s="106"/>
      <c r="E3854" s="52"/>
    </row>
    <row r="3855" spans="1:5" s="103" customFormat="1" ht="13.2" hidden="1" outlineLevel="1" x14ac:dyDescent="0.25">
      <c r="A3855" s="106" t="s">
        <v>7724</v>
      </c>
      <c r="B3855" s="106" t="s">
        <v>7725</v>
      </c>
      <c r="C3855" s="106"/>
      <c r="D3855" s="106"/>
      <c r="E3855" s="52"/>
    </row>
    <row r="3856" spans="1:5" s="103" customFormat="1" ht="13.2" hidden="1" outlineLevel="1" x14ac:dyDescent="0.25">
      <c r="A3856" s="106" t="s">
        <v>7726</v>
      </c>
      <c r="B3856" s="106" t="s">
        <v>7727</v>
      </c>
      <c r="C3856" s="106"/>
      <c r="D3856" s="106"/>
      <c r="E3856" s="52"/>
    </row>
    <row r="3857" spans="1:5" s="103" customFormat="1" ht="13.2" hidden="1" outlineLevel="1" x14ac:dyDescent="0.25">
      <c r="A3857" s="106" t="s">
        <v>7728</v>
      </c>
      <c r="B3857" s="106" t="s">
        <v>7729</v>
      </c>
      <c r="C3857" s="106"/>
      <c r="D3857" s="106"/>
      <c r="E3857" s="52"/>
    </row>
    <row r="3858" spans="1:5" s="103" customFormat="1" ht="13.2" hidden="1" outlineLevel="1" x14ac:dyDescent="0.25">
      <c r="A3858" s="106" t="s">
        <v>7730</v>
      </c>
      <c r="B3858" s="106" t="s">
        <v>7731</v>
      </c>
      <c r="C3858" s="106"/>
      <c r="D3858" s="106"/>
      <c r="E3858" s="52"/>
    </row>
    <row r="3859" spans="1:5" s="103" customFormat="1" ht="13.2" hidden="1" outlineLevel="1" x14ac:dyDescent="0.25">
      <c r="A3859" s="106" t="s">
        <v>7732</v>
      </c>
      <c r="B3859" s="106" t="s">
        <v>7733</v>
      </c>
      <c r="C3859" s="106"/>
      <c r="D3859" s="106"/>
      <c r="E3859" s="52"/>
    </row>
    <row r="3860" spans="1:5" s="103" customFormat="1" ht="13.2" hidden="1" outlineLevel="1" x14ac:dyDescent="0.25">
      <c r="A3860" s="106" t="s">
        <v>7734</v>
      </c>
      <c r="B3860" s="106" t="s">
        <v>7735</v>
      </c>
      <c r="C3860" s="106"/>
      <c r="D3860" s="106"/>
      <c r="E3860" s="52"/>
    </row>
    <row r="3861" spans="1:5" s="103" customFormat="1" ht="13.2" hidden="1" outlineLevel="1" x14ac:dyDescent="0.25">
      <c r="A3861" s="106" t="s">
        <v>7736</v>
      </c>
      <c r="B3861" s="106" t="s">
        <v>7737</v>
      </c>
      <c r="C3861" s="106"/>
      <c r="D3861" s="106"/>
      <c r="E3861" s="52"/>
    </row>
    <row r="3862" spans="1:5" s="103" customFormat="1" ht="13.2" hidden="1" outlineLevel="1" x14ac:dyDescent="0.25">
      <c r="A3862" s="106" t="s">
        <v>7738</v>
      </c>
      <c r="B3862" s="106" t="s">
        <v>7739</v>
      </c>
      <c r="C3862" s="106"/>
      <c r="D3862" s="106"/>
      <c r="E3862" s="52"/>
    </row>
    <row r="3863" spans="1:5" s="103" customFormat="1" ht="13.2" hidden="1" outlineLevel="1" x14ac:dyDescent="0.25">
      <c r="A3863" s="106" t="s">
        <v>7740</v>
      </c>
      <c r="B3863" s="106" t="s">
        <v>7741</v>
      </c>
      <c r="C3863" s="106"/>
      <c r="D3863" s="106"/>
      <c r="E3863" s="52"/>
    </row>
    <row r="3864" spans="1:5" s="103" customFormat="1" ht="13.2" hidden="1" outlineLevel="1" x14ac:dyDescent="0.25">
      <c r="A3864" s="106" t="s">
        <v>7742</v>
      </c>
      <c r="B3864" s="106" t="s">
        <v>7743</v>
      </c>
      <c r="C3864" s="106"/>
      <c r="D3864" s="106"/>
      <c r="E3864" s="52"/>
    </row>
    <row r="3865" spans="1:5" s="103" customFormat="1" ht="13.2" hidden="1" outlineLevel="1" x14ac:dyDescent="0.25">
      <c r="A3865" s="106" t="s">
        <v>7744</v>
      </c>
      <c r="B3865" s="106" t="s">
        <v>7745</v>
      </c>
      <c r="C3865" s="106"/>
      <c r="D3865" s="106"/>
      <c r="E3865" s="52"/>
    </row>
    <row r="3866" spans="1:5" s="103" customFormat="1" ht="13.2" hidden="1" outlineLevel="1" x14ac:dyDescent="0.25">
      <c r="A3866" s="106" t="s">
        <v>7746</v>
      </c>
      <c r="B3866" s="106" t="s">
        <v>7747</v>
      </c>
      <c r="C3866" s="106"/>
      <c r="D3866" s="106"/>
      <c r="E3866" s="52"/>
    </row>
    <row r="3867" spans="1:5" s="103" customFormat="1" ht="13.2" hidden="1" outlineLevel="1" x14ac:dyDescent="0.25">
      <c r="A3867" s="106" t="s">
        <v>7748</v>
      </c>
      <c r="B3867" s="106" t="s">
        <v>7749</v>
      </c>
      <c r="C3867" s="106"/>
      <c r="D3867" s="106"/>
      <c r="E3867" s="52"/>
    </row>
    <row r="3868" spans="1:5" s="103" customFormat="1" ht="13.2" hidden="1" outlineLevel="1" x14ac:dyDescent="0.25">
      <c r="A3868" s="106" t="s">
        <v>7750</v>
      </c>
      <c r="B3868" s="106" t="s">
        <v>7751</v>
      </c>
      <c r="C3868" s="106"/>
      <c r="D3868" s="106"/>
      <c r="E3868" s="52"/>
    </row>
    <row r="3869" spans="1:5" s="103" customFormat="1" ht="13.2" hidden="1" outlineLevel="1" x14ac:dyDescent="0.25">
      <c r="A3869" s="106" t="s">
        <v>7752</v>
      </c>
      <c r="B3869" s="106" t="s">
        <v>7753</v>
      </c>
      <c r="C3869" s="106"/>
      <c r="D3869" s="106"/>
      <c r="E3869" s="52"/>
    </row>
    <row r="3870" spans="1:5" s="103" customFormat="1" ht="13.2" hidden="1" outlineLevel="1" x14ac:dyDescent="0.25">
      <c r="A3870" s="106" t="s">
        <v>7754</v>
      </c>
      <c r="B3870" s="106" t="s">
        <v>7755</v>
      </c>
      <c r="C3870" s="106"/>
      <c r="D3870" s="106"/>
      <c r="E3870" s="52"/>
    </row>
    <row r="3871" spans="1:5" s="103" customFormat="1" ht="13.2" hidden="1" outlineLevel="1" x14ac:dyDescent="0.25">
      <c r="A3871" s="106" t="s">
        <v>7756</v>
      </c>
      <c r="B3871" s="106" t="s">
        <v>7757</v>
      </c>
      <c r="C3871" s="106"/>
      <c r="D3871" s="106"/>
      <c r="E3871" s="52"/>
    </row>
    <row r="3872" spans="1:5" s="103" customFormat="1" ht="13.2" hidden="1" outlineLevel="1" x14ac:dyDescent="0.25">
      <c r="A3872" s="106" t="s">
        <v>7758</v>
      </c>
      <c r="B3872" s="106" t="s">
        <v>7759</v>
      </c>
      <c r="C3872" s="106"/>
      <c r="D3872" s="106"/>
      <c r="E3872" s="52"/>
    </row>
    <row r="3873" spans="1:5" s="103" customFormat="1" ht="13.2" hidden="1" outlineLevel="1" x14ac:dyDescent="0.25">
      <c r="A3873" s="106" t="s">
        <v>7760</v>
      </c>
      <c r="B3873" s="106" t="s">
        <v>7761</v>
      </c>
      <c r="C3873" s="106"/>
      <c r="D3873" s="106"/>
      <c r="E3873" s="52"/>
    </row>
    <row r="3874" spans="1:5" s="103" customFormat="1" ht="13.2" hidden="1" outlineLevel="1" x14ac:dyDescent="0.25">
      <c r="A3874" s="106" t="s">
        <v>7762</v>
      </c>
      <c r="B3874" s="106" t="s">
        <v>7763</v>
      </c>
      <c r="C3874" s="106"/>
      <c r="D3874" s="106"/>
      <c r="E3874" s="52"/>
    </row>
    <row r="3875" spans="1:5" s="103" customFormat="1" ht="13.2" hidden="1" outlineLevel="1" x14ac:dyDescent="0.25">
      <c r="A3875" s="106" t="s">
        <v>7764</v>
      </c>
      <c r="B3875" s="106" t="s">
        <v>7765</v>
      </c>
      <c r="C3875" s="106"/>
      <c r="D3875" s="106"/>
      <c r="E3875" s="52"/>
    </row>
    <row r="3876" spans="1:5" s="103" customFormat="1" ht="13.2" hidden="1" outlineLevel="1" x14ac:dyDescent="0.25">
      <c r="A3876" s="106" t="s">
        <v>7766</v>
      </c>
      <c r="B3876" s="106" t="s">
        <v>7767</v>
      </c>
      <c r="C3876" s="106"/>
      <c r="D3876" s="106"/>
      <c r="E3876" s="52"/>
    </row>
    <row r="3877" spans="1:5" s="103" customFormat="1" ht="13.2" hidden="1" outlineLevel="1" x14ac:dyDescent="0.25">
      <c r="A3877" s="106" t="s">
        <v>7768</v>
      </c>
      <c r="B3877" s="106" t="s">
        <v>7769</v>
      </c>
      <c r="C3877" s="106"/>
      <c r="D3877" s="106"/>
      <c r="E3877" s="52"/>
    </row>
    <row r="3878" spans="1:5" s="103" customFormat="1" ht="13.2" hidden="1" outlineLevel="1" x14ac:dyDescent="0.25">
      <c r="A3878" s="106" t="s">
        <v>7770</v>
      </c>
      <c r="B3878" s="106" t="s">
        <v>7771</v>
      </c>
      <c r="C3878" s="106"/>
      <c r="D3878" s="106"/>
      <c r="E3878" s="52"/>
    </row>
    <row r="3879" spans="1:5" s="103" customFormat="1" ht="13.2" hidden="1" outlineLevel="1" x14ac:dyDescent="0.25">
      <c r="A3879" s="106" t="s">
        <v>7772</v>
      </c>
      <c r="B3879" s="106" t="s">
        <v>7773</v>
      </c>
      <c r="C3879" s="106"/>
      <c r="D3879" s="106"/>
      <c r="E3879" s="52"/>
    </row>
    <row r="3880" spans="1:5" s="103" customFormat="1" ht="13.2" hidden="1" outlineLevel="1" x14ac:dyDescent="0.25">
      <c r="A3880" s="106" t="s">
        <v>7774</v>
      </c>
      <c r="B3880" s="106" t="s">
        <v>7775</v>
      </c>
      <c r="C3880" s="106"/>
      <c r="D3880" s="106"/>
      <c r="E3880" s="52"/>
    </row>
    <row r="3881" spans="1:5" s="103" customFormat="1" ht="13.2" hidden="1" outlineLevel="1" x14ac:dyDescent="0.25">
      <c r="A3881" s="106" t="s">
        <v>7776</v>
      </c>
      <c r="B3881" s="106" t="s">
        <v>7777</v>
      </c>
      <c r="C3881" s="106"/>
      <c r="D3881" s="106"/>
      <c r="E3881" s="52"/>
    </row>
    <row r="3882" spans="1:5" s="103" customFormat="1" ht="13.2" hidden="1" outlineLevel="1" x14ac:dyDescent="0.25">
      <c r="A3882" s="106" t="s">
        <v>7778</v>
      </c>
      <c r="B3882" s="106" t="s">
        <v>7779</v>
      </c>
      <c r="C3882" s="106"/>
      <c r="D3882" s="106"/>
      <c r="E3882" s="52"/>
    </row>
    <row r="3883" spans="1:5" s="103" customFormat="1" ht="13.2" hidden="1" outlineLevel="1" x14ac:dyDescent="0.25">
      <c r="A3883" s="106" t="s">
        <v>7780</v>
      </c>
      <c r="B3883" s="106" t="s">
        <v>7781</v>
      </c>
      <c r="C3883" s="106"/>
      <c r="D3883" s="106"/>
      <c r="E3883" s="52"/>
    </row>
    <row r="3884" spans="1:5" s="103" customFormat="1" ht="13.2" hidden="1" outlineLevel="1" x14ac:dyDescent="0.25">
      <c r="A3884" s="106" t="s">
        <v>7782</v>
      </c>
      <c r="B3884" s="106" t="s">
        <v>7783</v>
      </c>
      <c r="C3884" s="106"/>
      <c r="D3884" s="106"/>
      <c r="E3884" s="52"/>
    </row>
    <row r="3885" spans="1:5" s="103" customFormat="1" ht="13.2" hidden="1" outlineLevel="1" x14ac:dyDescent="0.25">
      <c r="A3885" s="106" t="s">
        <v>7784</v>
      </c>
      <c r="B3885" s="106" t="s">
        <v>7785</v>
      </c>
      <c r="C3885" s="106"/>
      <c r="D3885" s="106"/>
      <c r="E3885" s="52"/>
    </row>
    <row r="3886" spans="1:5" s="103" customFormat="1" ht="13.2" hidden="1" outlineLevel="1" x14ac:dyDescent="0.25">
      <c r="A3886" s="106" t="s">
        <v>7786</v>
      </c>
      <c r="B3886" s="106" t="s">
        <v>7787</v>
      </c>
      <c r="C3886" s="106"/>
      <c r="D3886" s="106"/>
      <c r="E3886" s="52"/>
    </row>
    <row r="3887" spans="1:5" s="103" customFormat="1" ht="13.2" hidden="1" outlineLevel="1" x14ac:dyDescent="0.25">
      <c r="A3887" s="106" t="s">
        <v>7788</v>
      </c>
      <c r="B3887" s="106" t="s">
        <v>7789</v>
      </c>
      <c r="C3887" s="106"/>
      <c r="D3887" s="106"/>
      <c r="E3887" s="52"/>
    </row>
    <row r="3888" spans="1:5" s="103" customFormat="1" ht="13.2" hidden="1" outlineLevel="1" x14ac:dyDescent="0.25">
      <c r="A3888" s="106" t="s">
        <v>7790</v>
      </c>
      <c r="B3888" s="106" t="s">
        <v>7791</v>
      </c>
      <c r="C3888" s="106"/>
      <c r="D3888" s="106"/>
      <c r="E3888" s="52"/>
    </row>
    <row r="3889" spans="1:5" s="103" customFormat="1" ht="13.2" hidden="1" outlineLevel="1" x14ac:dyDescent="0.25">
      <c r="A3889" s="106" t="s">
        <v>7792</v>
      </c>
      <c r="B3889" s="106" t="s">
        <v>7793</v>
      </c>
      <c r="C3889" s="106"/>
      <c r="D3889" s="106"/>
      <c r="E3889" s="52"/>
    </row>
    <row r="3890" spans="1:5" s="103" customFormat="1" ht="13.2" hidden="1" outlineLevel="1" x14ac:dyDescent="0.25">
      <c r="A3890" s="106" t="s">
        <v>7794</v>
      </c>
      <c r="B3890" s="106" t="s">
        <v>7795</v>
      </c>
      <c r="C3890" s="106"/>
      <c r="D3890" s="106"/>
      <c r="E3890" s="52"/>
    </row>
    <row r="3891" spans="1:5" s="103" customFormat="1" ht="13.2" hidden="1" outlineLevel="1" x14ac:dyDescent="0.25">
      <c r="A3891" s="106" t="s">
        <v>7796</v>
      </c>
      <c r="B3891" s="106" t="s">
        <v>7797</v>
      </c>
      <c r="C3891" s="106"/>
      <c r="D3891" s="106"/>
      <c r="E3891" s="52"/>
    </row>
    <row r="3892" spans="1:5" s="103" customFormat="1" ht="13.2" hidden="1" outlineLevel="1" x14ac:dyDescent="0.25">
      <c r="A3892" s="106" t="s">
        <v>7798</v>
      </c>
      <c r="B3892" s="106" t="s">
        <v>7799</v>
      </c>
      <c r="C3892" s="106"/>
      <c r="D3892" s="106"/>
      <c r="E3892" s="52"/>
    </row>
    <row r="3893" spans="1:5" s="103" customFormat="1" ht="13.2" hidden="1" outlineLevel="1" x14ac:dyDescent="0.25">
      <c r="A3893" s="106" t="s">
        <v>7800</v>
      </c>
      <c r="B3893" s="106" t="s">
        <v>7801</v>
      </c>
      <c r="C3893" s="106"/>
      <c r="D3893" s="106"/>
      <c r="E3893" s="52"/>
    </row>
    <row r="3894" spans="1:5" s="103" customFormat="1" ht="13.2" hidden="1" outlineLevel="1" x14ac:dyDescent="0.25">
      <c r="A3894" s="106" t="s">
        <v>7802</v>
      </c>
      <c r="B3894" s="106" t="s">
        <v>7803</v>
      </c>
      <c r="C3894" s="106"/>
      <c r="D3894" s="106"/>
      <c r="E3894" s="52"/>
    </row>
    <row r="3895" spans="1:5" s="103" customFormat="1" ht="13.2" hidden="1" outlineLevel="1" x14ac:dyDescent="0.25">
      <c r="A3895" s="106" t="s">
        <v>7804</v>
      </c>
      <c r="B3895" s="106" t="s">
        <v>7805</v>
      </c>
      <c r="C3895" s="106"/>
      <c r="D3895" s="106"/>
      <c r="E3895" s="52"/>
    </row>
    <row r="3896" spans="1:5" s="103" customFormat="1" ht="13.2" hidden="1" outlineLevel="1" x14ac:dyDescent="0.25">
      <c r="A3896" s="106" t="s">
        <v>7806</v>
      </c>
      <c r="B3896" s="106" t="s">
        <v>7807</v>
      </c>
      <c r="C3896" s="106"/>
      <c r="D3896" s="106"/>
      <c r="E3896" s="52"/>
    </row>
    <row r="3897" spans="1:5" s="103" customFormat="1" ht="13.2" hidden="1" outlineLevel="1" x14ac:dyDescent="0.25">
      <c r="A3897" s="106" t="s">
        <v>7808</v>
      </c>
      <c r="B3897" s="106" t="s">
        <v>7809</v>
      </c>
      <c r="C3897" s="106"/>
      <c r="D3897" s="106"/>
      <c r="E3897" s="52"/>
    </row>
    <row r="3898" spans="1:5" s="103" customFormat="1" ht="13.2" collapsed="1" x14ac:dyDescent="0.25">
      <c r="A3898" s="104" t="s">
        <v>7810</v>
      </c>
      <c r="B3898" s="105" t="s">
        <v>7811</v>
      </c>
      <c r="C3898" s="105"/>
      <c r="D3898" s="105"/>
      <c r="E3898" s="51"/>
    </row>
    <row r="3899" spans="1:5" s="103" customFormat="1" ht="13.2" hidden="1" outlineLevel="1" x14ac:dyDescent="0.25">
      <c r="A3899" s="106" t="s">
        <v>7812</v>
      </c>
      <c r="B3899" s="106" t="s">
        <v>7813</v>
      </c>
      <c r="C3899" s="106"/>
      <c r="D3899" s="106"/>
      <c r="E3899" s="52"/>
    </row>
    <row r="3900" spans="1:5" s="103" customFormat="1" ht="13.2" hidden="1" outlineLevel="1" x14ac:dyDescent="0.25">
      <c r="A3900" s="106" t="s">
        <v>7814</v>
      </c>
      <c r="B3900" s="106" t="s">
        <v>7815</v>
      </c>
      <c r="C3900" s="106"/>
      <c r="D3900" s="106"/>
      <c r="E3900" s="52"/>
    </row>
    <row r="3901" spans="1:5" s="103" customFormat="1" ht="13.2" hidden="1" outlineLevel="1" x14ac:dyDescent="0.25">
      <c r="A3901" s="106" t="s">
        <v>7816</v>
      </c>
      <c r="B3901" s="106" t="s">
        <v>7817</v>
      </c>
      <c r="C3901" s="106"/>
      <c r="D3901" s="106"/>
      <c r="E3901" s="52"/>
    </row>
    <row r="3902" spans="1:5" s="103" customFormat="1" ht="13.2" hidden="1" outlineLevel="1" x14ac:dyDescent="0.25">
      <c r="A3902" s="106" t="s">
        <v>7818</v>
      </c>
      <c r="B3902" s="106" t="s">
        <v>7819</v>
      </c>
      <c r="C3902" s="106"/>
      <c r="D3902" s="106"/>
      <c r="E3902" s="52"/>
    </row>
    <row r="3903" spans="1:5" s="103" customFormat="1" ht="13.2" hidden="1" outlineLevel="1" x14ac:dyDescent="0.25">
      <c r="A3903" s="106" t="s">
        <v>7820</v>
      </c>
      <c r="B3903" s="106" t="s">
        <v>7821</v>
      </c>
      <c r="C3903" s="106"/>
      <c r="D3903" s="106"/>
      <c r="E3903" s="52"/>
    </row>
    <row r="3904" spans="1:5" s="103" customFormat="1" ht="13.2" hidden="1" outlineLevel="1" x14ac:dyDescent="0.25">
      <c r="A3904" s="106" t="s">
        <v>7822</v>
      </c>
      <c r="B3904" s="106" t="s">
        <v>7823</v>
      </c>
      <c r="C3904" s="106"/>
      <c r="D3904" s="106"/>
      <c r="E3904" s="52"/>
    </row>
    <row r="3905" spans="1:5" s="103" customFormat="1" ht="13.2" hidden="1" outlineLevel="1" x14ac:dyDescent="0.25">
      <c r="A3905" s="106" t="s">
        <v>7824</v>
      </c>
      <c r="B3905" s="106" t="s">
        <v>7825</v>
      </c>
      <c r="C3905" s="106"/>
      <c r="D3905" s="106"/>
      <c r="E3905" s="52"/>
    </row>
    <row r="3906" spans="1:5" s="103" customFormat="1" ht="13.2" hidden="1" outlineLevel="1" x14ac:dyDescent="0.25">
      <c r="A3906" s="106" t="s">
        <v>7826</v>
      </c>
      <c r="B3906" s="106" t="s">
        <v>7827</v>
      </c>
      <c r="C3906" s="106"/>
      <c r="D3906" s="106"/>
      <c r="E3906" s="52"/>
    </row>
    <row r="3907" spans="1:5" s="103" customFormat="1" ht="13.2" hidden="1" outlineLevel="1" x14ac:dyDescent="0.25">
      <c r="A3907" s="106" t="s">
        <v>7828</v>
      </c>
      <c r="B3907" s="106" t="s">
        <v>7829</v>
      </c>
      <c r="C3907" s="106"/>
      <c r="D3907" s="106"/>
      <c r="E3907" s="52"/>
    </row>
    <row r="3908" spans="1:5" s="103" customFormat="1" ht="13.2" hidden="1" outlineLevel="1" x14ac:dyDescent="0.25">
      <c r="A3908" s="106" t="s">
        <v>7830</v>
      </c>
      <c r="B3908" s="106" t="s">
        <v>7831</v>
      </c>
      <c r="C3908" s="106"/>
      <c r="D3908" s="106"/>
      <c r="E3908" s="52"/>
    </row>
    <row r="3909" spans="1:5" s="103" customFormat="1" ht="13.2" hidden="1" outlineLevel="1" x14ac:dyDescent="0.25">
      <c r="A3909" s="106" t="s">
        <v>7832</v>
      </c>
      <c r="B3909" s="106" t="s">
        <v>7833</v>
      </c>
      <c r="C3909" s="106"/>
      <c r="D3909" s="106"/>
      <c r="E3909" s="52"/>
    </row>
    <row r="3910" spans="1:5" s="103" customFormat="1" ht="13.2" hidden="1" outlineLevel="1" x14ac:dyDescent="0.25">
      <c r="A3910" s="106" t="s">
        <v>7834</v>
      </c>
      <c r="B3910" s="106" t="s">
        <v>7835</v>
      </c>
      <c r="C3910" s="106"/>
      <c r="D3910" s="106"/>
      <c r="E3910" s="52"/>
    </row>
    <row r="3911" spans="1:5" s="103" customFormat="1" ht="13.2" hidden="1" outlineLevel="1" x14ac:dyDescent="0.25">
      <c r="A3911" s="106" t="s">
        <v>7836</v>
      </c>
      <c r="B3911" s="106" t="s">
        <v>7837</v>
      </c>
      <c r="C3911" s="106"/>
      <c r="D3911" s="106"/>
      <c r="E3911" s="52"/>
    </row>
    <row r="3912" spans="1:5" s="103" customFormat="1" ht="13.2" hidden="1" outlineLevel="1" x14ac:dyDescent="0.25">
      <c r="A3912" s="106" t="s">
        <v>7838</v>
      </c>
      <c r="B3912" s="106" t="s">
        <v>7839</v>
      </c>
      <c r="C3912" s="106"/>
      <c r="D3912" s="106"/>
      <c r="E3912" s="52"/>
    </row>
    <row r="3913" spans="1:5" s="103" customFormat="1" ht="13.2" hidden="1" outlineLevel="1" x14ac:dyDescent="0.25">
      <c r="A3913" s="106" t="s">
        <v>7840</v>
      </c>
      <c r="B3913" s="106" t="s">
        <v>7841</v>
      </c>
      <c r="C3913" s="106"/>
      <c r="D3913" s="106"/>
      <c r="E3913" s="52"/>
    </row>
    <row r="3914" spans="1:5" s="103" customFormat="1" ht="13.2" hidden="1" outlineLevel="1" x14ac:dyDescent="0.25">
      <c r="A3914" s="106" t="s">
        <v>7842</v>
      </c>
      <c r="B3914" s="106" t="s">
        <v>7843</v>
      </c>
      <c r="C3914" s="106"/>
      <c r="D3914" s="106"/>
      <c r="E3914" s="52"/>
    </row>
    <row r="3915" spans="1:5" s="103" customFormat="1" ht="13.2" hidden="1" outlineLevel="1" x14ac:dyDescent="0.25">
      <c r="A3915" s="106" t="s">
        <v>7844</v>
      </c>
      <c r="B3915" s="106" t="s">
        <v>7845</v>
      </c>
      <c r="C3915" s="106"/>
      <c r="D3915" s="106"/>
      <c r="E3915" s="52"/>
    </row>
    <row r="3916" spans="1:5" s="103" customFormat="1" ht="13.2" hidden="1" outlineLevel="1" x14ac:dyDescent="0.25">
      <c r="A3916" s="106" t="s">
        <v>7846</v>
      </c>
      <c r="B3916" s="106" t="s">
        <v>7847</v>
      </c>
      <c r="C3916" s="106"/>
      <c r="D3916" s="106"/>
      <c r="E3916" s="52"/>
    </row>
    <row r="3917" spans="1:5" s="103" customFormat="1" ht="13.2" hidden="1" outlineLevel="1" x14ac:dyDescent="0.25">
      <c r="A3917" s="106" t="s">
        <v>7848</v>
      </c>
      <c r="B3917" s="106" t="s">
        <v>7849</v>
      </c>
      <c r="C3917" s="106"/>
      <c r="D3917" s="106"/>
      <c r="E3917" s="52"/>
    </row>
    <row r="3918" spans="1:5" s="103" customFormat="1" ht="13.2" hidden="1" outlineLevel="1" x14ac:dyDescent="0.25">
      <c r="A3918" s="106" t="s">
        <v>7850</v>
      </c>
      <c r="B3918" s="106" t="s">
        <v>7851</v>
      </c>
      <c r="C3918" s="106"/>
      <c r="D3918" s="106"/>
      <c r="E3918" s="52"/>
    </row>
    <row r="3919" spans="1:5" s="103" customFormat="1" ht="13.2" hidden="1" outlineLevel="1" x14ac:dyDescent="0.25">
      <c r="A3919" s="106" t="s">
        <v>7852</v>
      </c>
      <c r="B3919" s="106" t="s">
        <v>7853</v>
      </c>
      <c r="C3919" s="106"/>
      <c r="D3919" s="106"/>
      <c r="E3919" s="52"/>
    </row>
    <row r="3920" spans="1:5" s="103" customFormat="1" ht="13.2" hidden="1" outlineLevel="1" x14ac:dyDescent="0.25">
      <c r="A3920" s="106" t="s">
        <v>7854</v>
      </c>
      <c r="B3920" s="106" t="s">
        <v>7855</v>
      </c>
      <c r="C3920" s="106"/>
      <c r="D3920" s="106"/>
      <c r="E3920" s="52"/>
    </row>
    <row r="3921" spans="1:5" s="103" customFormat="1" ht="13.2" hidden="1" outlineLevel="1" x14ac:dyDescent="0.25">
      <c r="A3921" s="106" t="s">
        <v>7856</v>
      </c>
      <c r="B3921" s="106" t="s">
        <v>7857</v>
      </c>
      <c r="C3921" s="106"/>
      <c r="D3921" s="106"/>
      <c r="E3921" s="52"/>
    </row>
    <row r="3922" spans="1:5" s="103" customFormat="1" ht="13.2" hidden="1" outlineLevel="1" x14ac:dyDescent="0.25">
      <c r="A3922" s="106" t="s">
        <v>7858</v>
      </c>
      <c r="B3922" s="106" t="s">
        <v>7859</v>
      </c>
      <c r="C3922" s="106"/>
      <c r="D3922" s="106"/>
      <c r="E3922" s="52"/>
    </row>
    <row r="3923" spans="1:5" s="103" customFormat="1" ht="13.2" hidden="1" outlineLevel="1" x14ac:dyDescent="0.25">
      <c r="A3923" s="106" t="s">
        <v>7860</v>
      </c>
      <c r="B3923" s="106" t="s">
        <v>7861</v>
      </c>
      <c r="C3923" s="106"/>
      <c r="D3923" s="106"/>
      <c r="E3923" s="52"/>
    </row>
    <row r="3924" spans="1:5" s="103" customFormat="1" ht="13.2" hidden="1" outlineLevel="1" x14ac:dyDescent="0.25">
      <c r="A3924" s="106" t="s">
        <v>7862</v>
      </c>
      <c r="B3924" s="106" t="s">
        <v>7863</v>
      </c>
      <c r="C3924" s="106"/>
      <c r="D3924" s="106"/>
      <c r="E3924" s="52"/>
    </row>
    <row r="3925" spans="1:5" s="103" customFormat="1" ht="13.2" hidden="1" outlineLevel="1" x14ac:dyDescent="0.25">
      <c r="A3925" s="106" t="s">
        <v>7864</v>
      </c>
      <c r="B3925" s="106" t="s">
        <v>7865</v>
      </c>
      <c r="C3925" s="106"/>
      <c r="D3925" s="106"/>
      <c r="E3925" s="52"/>
    </row>
    <row r="3926" spans="1:5" s="103" customFormat="1" ht="13.2" hidden="1" outlineLevel="1" x14ac:dyDescent="0.25">
      <c r="A3926" s="106" t="s">
        <v>7866</v>
      </c>
      <c r="B3926" s="106" t="s">
        <v>7867</v>
      </c>
      <c r="C3926" s="106"/>
      <c r="D3926" s="106"/>
      <c r="E3926" s="52"/>
    </row>
    <row r="3927" spans="1:5" s="103" customFormat="1" ht="13.2" hidden="1" outlineLevel="1" x14ac:dyDescent="0.25">
      <c r="A3927" s="106" t="s">
        <v>7868</v>
      </c>
      <c r="B3927" s="106" t="s">
        <v>7869</v>
      </c>
      <c r="C3927" s="106"/>
      <c r="D3927" s="106"/>
      <c r="E3927" s="52"/>
    </row>
    <row r="3928" spans="1:5" s="103" customFormat="1" ht="13.2" hidden="1" outlineLevel="1" x14ac:dyDescent="0.25">
      <c r="A3928" s="106" t="s">
        <v>7870</v>
      </c>
      <c r="B3928" s="106" t="s">
        <v>7871</v>
      </c>
      <c r="C3928" s="106"/>
      <c r="D3928" s="106"/>
      <c r="E3928" s="52"/>
    </row>
    <row r="3929" spans="1:5" s="103" customFormat="1" ht="13.2" hidden="1" outlineLevel="1" x14ac:dyDescent="0.25">
      <c r="A3929" s="106" t="s">
        <v>7872</v>
      </c>
      <c r="B3929" s="106" t="s">
        <v>7873</v>
      </c>
      <c r="C3929" s="106"/>
      <c r="D3929" s="106"/>
      <c r="E3929" s="52"/>
    </row>
    <row r="3930" spans="1:5" s="103" customFormat="1" ht="13.2" hidden="1" outlineLevel="1" x14ac:dyDescent="0.25">
      <c r="A3930" s="106" t="s">
        <v>7874</v>
      </c>
      <c r="B3930" s="106" t="s">
        <v>7875</v>
      </c>
      <c r="C3930" s="106"/>
      <c r="D3930" s="106"/>
      <c r="E3930" s="52"/>
    </row>
    <row r="3931" spans="1:5" s="103" customFormat="1" ht="13.2" hidden="1" outlineLevel="1" x14ac:dyDescent="0.25">
      <c r="A3931" s="106" t="s">
        <v>7876</v>
      </c>
      <c r="B3931" s="106" t="s">
        <v>7877</v>
      </c>
      <c r="C3931" s="106"/>
      <c r="D3931" s="106"/>
      <c r="E3931" s="52"/>
    </row>
    <row r="3932" spans="1:5" s="103" customFormat="1" ht="13.2" hidden="1" outlineLevel="1" x14ac:dyDescent="0.25">
      <c r="A3932" s="106" t="s">
        <v>7878</v>
      </c>
      <c r="B3932" s="106" t="s">
        <v>7879</v>
      </c>
      <c r="C3932" s="106"/>
      <c r="D3932" s="106"/>
      <c r="E3932" s="52"/>
    </row>
    <row r="3933" spans="1:5" s="103" customFormat="1" ht="13.2" hidden="1" outlineLevel="1" x14ac:dyDescent="0.25">
      <c r="A3933" s="106" t="s">
        <v>7880</v>
      </c>
      <c r="B3933" s="106" t="s">
        <v>7881</v>
      </c>
      <c r="C3933" s="106"/>
      <c r="D3933" s="106"/>
      <c r="E3933" s="52"/>
    </row>
    <row r="3934" spans="1:5" s="103" customFormat="1" ht="13.2" hidden="1" outlineLevel="1" x14ac:dyDescent="0.25">
      <c r="A3934" s="106" t="s">
        <v>7882</v>
      </c>
      <c r="B3934" s="106" t="s">
        <v>7883</v>
      </c>
      <c r="C3934" s="106"/>
      <c r="D3934" s="106"/>
      <c r="E3934" s="52"/>
    </row>
    <row r="3935" spans="1:5" s="103" customFormat="1" ht="13.2" hidden="1" outlineLevel="1" x14ac:dyDescent="0.25">
      <c r="A3935" s="106" t="s">
        <v>7884</v>
      </c>
      <c r="B3935" s="106" t="s">
        <v>7885</v>
      </c>
      <c r="C3935" s="106"/>
      <c r="D3935" s="106"/>
      <c r="E3935" s="52"/>
    </row>
    <row r="3936" spans="1:5" s="103" customFormat="1" ht="13.2" hidden="1" outlineLevel="1" x14ac:dyDescent="0.25">
      <c r="A3936" s="106" t="s">
        <v>7886</v>
      </c>
      <c r="B3936" s="106" t="s">
        <v>7887</v>
      </c>
      <c r="C3936" s="106"/>
      <c r="D3936" s="106"/>
      <c r="E3936" s="52"/>
    </row>
    <row r="3937" spans="1:5" s="103" customFormat="1" ht="13.2" hidden="1" outlineLevel="1" x14ac:dyDescent="0.25">
      <c r="A3937" s="106" t="s">
        <v>7888</v>
      </c>
      <c r="B3937" s="106" t="s">
        <v>7889</v>
      </c>
      <c r="C3937" s="106"/>
      <c r="D3937" s="106"/>
      <c r="E3937" s="52"/>
    </row>
    <row r="3938" spans="1:5" s="103" customFormat="1" ht="13.2" hidden="1" outlineLevel="1" x14ac:dyDescent="0.25">
      <c r="A3938" s="106" t="s">
        <v>7890</v>
      </c>
      <c r="B3938" s="106" t="s">
        <v>7891</v>
      </c>
      <c r="C3938" s="106"/>
      <c r="D3938" s="106"/>
      <c r="E3938" s="52"/>
    </row>
    <row r="3939" spans="1:5" s="103" customFormat="1" ht="13.2" hidden="1" outlineLevel="1" x14ac:dyDescent="0.25">
      <c r="A3939" s="106" t="s">
        <v>7892</v>
      </c>
      <c r="B3939" s="106" t="s">
        <v>7893</v>
      </c>
      <c r="C3939" s="106"/>
      <c r="D3939" s="106"/>
      <c r="E3939" s="52"/>
    </row>
    <row r="3940" spans="1:5" s="103" customFormat="1" ht="13.2" hidden="1" outlineLevel="1" x14ac:dyDescent="0.25">
      <c r="A3940" s="106" t="s">
        <v>7894</v>
      </c>
      <c r="B3940" s="106" t="s">
        <v>7895</v>
      </c>
      <c r="C3940" s="106"/>
      <c r="D3940" s="106"/>
      <c r="E3940" s="52"/>
    </row>
    <row r="3941" spans="1:5" s="103" customFormat="1" ht="13.2" hidden="1" outlineLevel="1" x14ac:dyDescent="0.25">
      <c r="A3941" s="106" t="s">
        <v>7896</v>
      </c>
      <c r="B3941" s="106" t="s">
        <v>7897</v>
      </c>
      <c r="C3941" s="106"/>
      <c r="D3941" s="106"/>
      <c r="E3941" s="52"/>
    </row>
    <row r="3942" spans="1:5" s="103" customFormat="1" ht="13.2" hidden="1" outlineLevel="1" x14ac:dyDescent="0.25">
      <c r="A3942" s="106" t="s">
        <v>7898</v>
      </c>
      <c r="B3942" s="106" t="s">
        <v>7899</v>
      </c>
      <c r="C3942" s="106"/>
      <c r="D3942" s="106"/>
      <c r="E3942" s="52"/>
    </row>
    <row r="3943" spans="1:5" s="103" customFormat="1" ht="13.2" hidden="1" outlineLevel="1" x14ac:dyDescent="0.25">
      <c r="A3943" s="106" t="s">
        <v>7900</v>
      </c>
      <c r="B3943" s="106" t="s">
        <v>7901</v>
      </c>
      <c r="C3943" s="106"/>
      <c r="D3943" s="106"/>
      <c r="E3943" s="52"/>
    </row>
    <row r="3944" spans="1:5" s="103" customFormat="1" ht="13.2" hidden="1" outlineLevel="1" x14ac:dyDescent="0.25">
      <c r="A3944" s="106" t="s">
        <v>7902</v>
      </c>
      <c r="B3944" s="106" t="s">
        <v>7903</v>
      </c>
      <c r="C3944" s="106"/>
      <c r="D3944" s="106"/>
      <c r="E3944" s="52"/>
    </row>
    <row r="3945" spans="1:5" s="103" customFormat="1" ht="13.2" hidden="1" outlineLevel="1" x14ac:dyDescent="0.25">
      <c r="A3945" s="106" t="s">
        <v>7904</v>
      </c>
      <c r="B3945" s="106" t="s">
        <v>7905</v>
      </c>
      <c r="C3945" s="106"/>
      <c r="D3945" s="106"/>
      <c r="E3945" s="52"/>
    </row>
    <row r="3946" spans="1:5" s="103" customFormat="1" ht="13.2" hidden="1" outlineLevel="1" x14ac:dyDescent="0.25">
      <c r="A3946" s="106" t="s">
        <v>7906</v>
      </c>
      <c r="B3946" s="106" t="s">
        <v>7907</v>
      </c>
      <c r="C3946" s="106"/>
      <c r="D3946" s="106"/>
      <c r="E3946" s="52"/>
    </row>
    <row r="3947" spans="1:5" s="103" customFormat="1" ht="13.2" hidden="1" outlineLevel="1" x14ac:dyDescent="0.25">
      <c r="A3947" s="106" t="s">
        <v>7908</v>
      </c>
      <c r="B3947" s="106" t="s">
        <v>7909</v>
      </c>
      <c r="C3947" s="106"/>
      <c r="D3947" s="106"/>
      <c r="E3947" s="52"/>
    </row>
    <row r="3948" spans="1:5" s="103" customFormat="1" ht="13.2" hidden="1" outlineLevel="1" x14ac:dyDescent="0.25">
      <c r="A3948" s="106" t="s">
        <v>7910</v>
      </c>
      <c r="B3948" s="106" t="s">
        <v>7911</v>
      </c>
      <c r="C3948" s="106"/>
      <c r="D3948" s="106"/>
      <c r="E3948" s="52"/>
    </row>
    <row r="3949" spans="1:5" s="103" customFormat="1" ht="13.2" hidden="1" outlineLevel="1" x14ac:dyDescent="0.25">
      <c r="A3949" s="106" t="s">
        <v>7912</v>
      </c>
      <c r="B3949" s="106" t="s">
        <v>7913</v>
      </c>
      <c r="C3949" s="106"/>
      <c r="D3949" s="106"/>
      <c r="E3949" s="52"/>
    </row>
    <row r="3950" spans="1:5" s="103" customFormat="1" ht="13.2" hidden="1" outlineLevel="1" x14ac:dyDescent="0.25">
      <c r="A3950" s="106" t="s">
        <v>7914</v>
      </c>
      <c r="B3950" s="106" t="s">
        <v>7915</v>
      </c>
      <c r="C3950" s="106"/>
      <c r="D3950" s="106"/>
      <c r="E3950" s="52"/>
    </row>
    <row r="3951" spans="1:5" s="103" customFormat="1" ht="13.2" hidden="1" outlineLevel="1" x14ac:dyDescent="0.25">
      <c r="A3951" s="106" t="s">
        <v>7916</v>
      </c>
      <c r="B3951" s="106" t="s">
        <v>7917</v>
      </c>
      <c r="C3951" s="106"/>
      <c r="D3951" s="106"/>
      <c r="E3951" s="52"/>
    </row>
    <row r="3952" spans="1:5" s="103" customFormat="1" ht="13.2" hidden="1" outlineLevel="1" x14ac:dyDescent="0.25">
      <c r="A3952" s="106" t="s">
        <v>7918</v>
      </c>
      <c r="B3952" s="106" t="s">
        <v>7919</v>
      </c>
      <c r="C3952" s="106"/>
      <c r="D3952" s="106"/>
      <c r="E3952" s="52"/>
    </row>
    <row r="3953" spans="1:5" s="103" customFormat="1" ht="13.2" hidden="1" outlineLevel="1" x14ac:dyDescent="0.25">
      <c r="A3953" s="106" t="s">
        <v>7920</v>
      </c>
      <c r="B3953" s="106" t="s">
        <v>7921</v>
      </c>
      <c r="C3953" s="106"/>
      <c r="D3953" s="106"/>
      <c r="E3953" s="52"/>
    </row>
    <row r="3954" spans="1:5" s="103" customFormat="1" ht="13.2" hidden="1" outlineLevel="1" x14ac:dyDescent="0.25">
      <c r="A3954" s="106" t="s">
        <v>7922</v>
      </c>
      <c r="B3954" s="106" t="s">
        <v>7923</v>
      </c>
      <c r="C3954" s="106"/>
      <c r="D3954" s="106"/>
      <c r="E3954" s="52"/>
    </row>
    <row r="3955" spans="1:5" s="103" customFormat="1" ht="13.2" hidden="1" outlineLevel="1" x14ac:dyDescent="0.25">
      <c r="A3955" s="106" t="s">
        <v>7924</v>
      </c>
      <c r="B3955" s="106" t="s">
        <v>7925</v>
      </c>
      <c r="C3955" s="106"/>
      <c r="D3955" s="106"/>
      <c r="E3955" s="52"/>
    </row>
    <row r="3956" spans="1:5" s="103" customFormat="1" ht="13.2" hidden="1" outlineLevel="1" x14ac:dyDescent="0.25">
      <c r="A3956" s="106" t="s">
        <v>7926</v>
      </c>
      <c r="B3956" s="106" t="s">
        <v>7927</v>
      </c>
      <c r="C3956" s="106"/>
      <c r="D3956" s="106"/>
      <c r="E3956" s="52"/>
    </row>
    <row r="3957" spans="1:5" s="103" customFormat="1" ht="13.2" hidden="1" outlineLevel="1" x14ac:dyDescent="0.25">
      <c r="A3957" s="106" t="s">
        <v>7928</v>
      </c>
      <c r="B3957" s="106" t="s">
        <v>7929</v>
      </c>
      <c r="C3957" s="106"/>
      <c r="D3957" s="106"/>
      <c r="E3957" s="52"/>
    </row>
    <row r="3958" spans="1:5" s="103" customFormat="1" ht="13.2" hidden="1" outlineLevel="1" x14ac:dyDescent="0.25">
      <c r="A3958" s="106" t="s">
        <v>7930</v>
      </c>
      <c r="B3958" s="106" t="s">
        <v>7931</v>
      </c>
      <c r="C3958" s="106"/>
      <c r="D3958" s="106"/>
      <c r="E3958" s="52"/>
    </row>
    <row r="3959" spans="1:5" s="103" customFormat="1" ht="13.2" hidden="1" outlineLevel="1" x14ac:dyDescent="0.25">
      <c r="A3959" s="106" t="s">
        <v>7932</v>
      </c>
      <c r="B3959" s="106" t="s">
        <v>7933</v>
      </c>
      <c r="C3959" s="106"/>
      <c r="D3959" s="106"/>
      <c r="E3959" s="52"/>
    </row>
    <row r="3960" spans="1:5" s="103" customFormat="1" ht="13.2" hidden="1" outlineLevel="1" x14ac:dyDescent="0.25">
      <c r="A3960" s="106" t="s">
        <v>7934</v>
      </c>
      <c r="B3960" s="106" t="s">
        <v>7935</v>
      </c>
      <c r="C3960" s="106"/>
      <c r="D3960" s="106"/>
      <c r="E3960" s="52"/>
    </row>
    <row r="3961" spans="1:5" s="103" customFormat="1" ht="13.2" hidden="1" outlineLevel="1" x14ac:dyDescent="0.25">
      <c r="A3961" s="106" t="s">
        <v>7936</v>
      </c>
      <c r="B3961" s="106" t="s">
        <v>7937</v>
      </c>
      <c r="C3961" s="106"/>
      <c r="D3961" s="106"/>
      <c r="E3961" s="52"/>
    </row>
    <row r="3962" spans="1:5" s="103" customFormat="1" ht="13.2" hidden="1" outlineLevel="1" x14ac:dyDescent="0.25">
      <c r="A3962" s="106" t="s">
        <v>7938</v>
      </c>
      <c r="B3962" s="106" t="s">
        <v>7939</v>
      </c>
      <c r="C3962" s="106"/>
      <c r="D3962" s="106"/>
      <c r="E3962" s="52"/>
    </row>
    <row r="3963" spans="1:5" s="103" customFormat="1" ht="13.2" hidden="1" outlineLevel="1" x14ac:dyDescent="0.25">
      <c r="A3963" s="106" t="s">
        <v>7940</v>
      </c>
      <c r="B3963" s="106" t="s">
        <v>7941</v>
      </c>
      <c r="C3963" s="106"/>
      <c r="D3963" s="106"/>
      <c r="E3963" s="52"/>
    </row>
    <row r="3964" spans="1:5" s="103" customFormat="1" ht="13.2" hidden="1" outlineLevel="1" x14ac:dyDescent="0.25">
      <c r="A3964" s="106" t="s">
        <v>7942</v>
      </c>
      <c r="B3964" s="106" t="s">
        <v>7943</v>
      </c>
      <c r="C3964" s="106"/>
      <c r="D3964" s="106"/>
      <c r="E3964" s="52"/>
    </row>
    <row r="3965" spans="1:5" s="103" customFormat="1" ht="13.2" hidden="1" outlineLevel="1" x14ac:dyDescent="0.25">
      <c r="A3965" s="106" t="s">
        <v>7944</v>
      </c>
      <c r="B3965" s="106" t="s">
        <v>7945</v>
      </c>
      <c r="C3965" s="106"/>
      <c r="D3965" s="106"/>
      <c r="E3965" s="52"/>
    </row>
    <row r="3966" spans="1:5" s="103" customFormat="1" ht="13.2" hidden="1" outlineLevel="1" x14ac:dyDescent="0.25">
      <c r="A3966" s="106" t="s">
        <v>7946</v>
      </c>
      <c r="B3966" s="106" t="s">
        <v>7947</v>
      </c>
      <c r="C3966" s="106"/>
      <c r="D3966" s="106"/>
      <c r="E3966" s="52"/>
    </row>
    <row r="3967" spans="1:5" s="103" customFormat="1" ht="13.2" hidden="1" outlineLevel="1" x14ac:dyDescent="0.25">
      <c r="A3967" s="106" t="s">
        <v>7948</v>
      </c>
      <c r="B3967" s="106" t="s">
        <v>7949</v>
      </c>
      <c r="C3967" s="106"/>
      <c r="D3967" s="106"/>
      <c r="E3967" s="52"/>
    </row>
    <row r="3968" spans="1:5" s="103" customFormat="1" ht="13.2" hidden="1" outlineLevel="1" x14ac:dyDescent="0.25">
      <c r="A3968" s="106" t="s">
        <v>7950</v>
      </c>
      <c r="B3968" s="106" t="s">
        <v>7951</v>
      </c>
      <c r="C3968" s="106"/>
      <c r="D3968" s="106"/>
      <c r="E3968" s="52"/>
    </row>
    <row r="3969" spans="1:5" s="103" customFormat="1" ht="13.2" hidden="1" outlineLevel="1" x14ac:dyDescent="0.25">
      <c r="A3969" s="106" t="s">
        <v>7952</v>
      </c>
      <c r="B3969" s="106" t="s">
        <v>7953</v>
      </c>
      <c r="C3969" s="106"/>
      <c r="D3969" s="106"/>
      <c r="E3969" s="52"/>
    </row>
    <row r="3970" spans="1:5" s="103" customFormat="1" ht="13.2" hidden="1" outlineLevel="1" x14ac:dyDescent="0.25">
      <c r="A3970" s="106" t="s">
        <v>7954</v>
      </c>
      <c r="B3970" s="106" t="s">
        <v>7955</v>
      </c>
      <c r="C3970" s="106"/>
      <c r="D3970" s="106"/>
      <c r="E3970" s="52"/>
    </row>
    <row r="3971" spans="1:5" s="103" customFormat="1" ht="13.2" hidden="1" outlineLevel="1" x14ac:dyDescent="0.25">
      <c r="A3971" s="106" t="s">
        <v>7956</v>
      </c>
      <c r="B3971" s="106" t="s">
        <v>7957</v>
      </c>
      <c r="C3971" s="106"/>
      <c r="D3971" s="106"/>
      <c r="E3971" s="52"/>
    </row>
    <row r="3972" spans="1:5" s="103" customFormat="1" ht="13.2" hidden="1" outlineLevel="1" x14ac:dyDescent="0.25">
      <c r="A3972" s="106" t="s">
        <v>7958</v>
      </c>
      <c r="B3972" s="106" t="s">
        <v>7959</v>
      </c>
      <c r="C3972" s="106"/>
      <c r="D3972" s="106"/>
      <c r="E3972" s="52"/>
    </row>
    <row r="3973" spans="1:5" s="103" customFormat="1" ht="13.2" hidden="1" outlineLevel="1" x14ac:dyDescent="0.25">
      <c r="A3973" s="106" t="s">
        <v>7960</v>
      </c>
      <c r="B3973" s="106" t="s">
        <v>7961</v>
      </c>
      <c r="C3973" s="106"/>
      <c r="D3973" s="106"/>
      <c r="E3973" s="52"/>
    </row>
    <row r="3974" spans="1:5" s="103" customFormat="1" ht="13.2" hidden="1" outlineLevel="1" x14ac:dyDescent="0.25">
      <c r="A3974" s="106" t="s">
        <v>7962</v>
      </c>
      <c r="B3974" s="106" t="s">
        <v>7963</v>
      </c>
      <c r="C3974" s="106"/>
      <c r="D3974" s="106"/>
      <c r="E3974" s="52"/>
    </row>
    <row r="3975" spans="1:5" s="103" customFormat="1" ht="13.2" hidden="1" outlineLevel="1" x14ac:dyDescent="0.25">
      <c r="A3975" s="106" t="s">
        <v>7964</v>
      </c>
      <c r="B3975" s="106" t="s">
        <v>7965</v>
      </c>
      <c r="C3975" s="106"/>
      <c r="D3975" s="106"/>
      <c r="E3975" s="52"/>
    </row>
    <row r="3976" spans="1:5" s="103" customFormat="1" ht="13.2" hidden="1" outlineLevel="1" x14ac:dyDescent="0.25">
      <c r="A3976" s="106" t="s">
        <v>7966</v>
      </c>
      <c r="B3976" s="106" t="s">
        <v>7967</v>
      </c>
      <c r="C3976" s="106"/>
      <c r="D3976" s="106"/>
      <c r="E3976" s="52"/>
    </row>
    <row r="3977" spans="1:5" s="103" customFormat="1" ht="13.2" hidden="1" outlineLevel="1" x14ac:dyDescent="0.25">
      <c r="A3977" s="106" t="s">
        <v>7968</v>
      </c>
      <c r="B3977" s="106" t="s">
        <v>7969</v>
      </c>
      <c r="C3977" s="106"/>
      <c r="D3977" s="106"/>
      <c r="E3977" s="52"/>
    </row>
    <row r="3978" spans="1:5" s="103" customFormat="1" ht="13.2" hidden="1" outlineLevel="1" x14ac:dyDescent="0.25">
      <c r="A3978" s="106" t="s">
        <v>7970</v>
      </c>
      <c r="B3978" s="106" t="s">
        <v>7971</v>
      </c>
      <c r="C3978" s="106"/>
      <c r="D3978" s="106"/>
      <c r="E3978" s="52"/>
    </row>
    <row r="3979" spans="1:5" s="103" customFormat="1" ht="13.2" hidden="1" outlineLevel="1" x14ac:dyDescent="0.25">
      <c r="A3979" s="106" t="s">
        <v>7972</v>
      </c>
      <c r="B3979" s="106" t="s">
        <v>7973</v>
      </c>
      <c r="C3979" s="106"/>
      <c r="D3979" s="106"/>
      <c r="E3979" s="52"/>
    </row>
    <row r="3980" spans="1:5" s="103" customFormat="1" ht="13.2" hidden="1" outlineLevel="1" x14ac:dyDescent="0.25">
      <c r="A3980" s="106" t="s">
        <v>7974</v>
      </c>
      <c r="B3980" s="106" t="s">
        <v>7975</v>
      </c>
      <c r="C3980" s="106"/>
      <c r="D3980" s="106"/>
      <c r="E3980" s="52"/>
    </row>
    <row r="3981" spans="1:5" s="103" customFormat="1" ht="13.2" hidden="1" outlineLevel="1" x14ac:dyDescent="0.25">
      <c r="A3981" s="106" t="s">
        <v>7976</v>
      </c>
      <c r="B3981" s="106" t="s">
        <v>7977</v>
      </c>
      <c r="C3981" s="106"/>
      <c r="D3981" s="106"/>
      <c r="E3981" s="52"/>
    </row>
    <row r="3982" spans="1:5" s="103" customFormat="1" ht="13.2" hidden="1" outlineLevel="1" x14ac:dyDescent="0.25">
      <c r="A3982" s="106" t="s">
        <v>7978</v>
      </c>
      <c r="B3982" s="106" t="s">
        <v>7979</v>
      </c>
      <c r="C3982" s="106"/>
      <c r="D3982" s="106"/>
      <c r="E3982" s="52"/>
    </row>
    <row r="3983" spans="1:5" s="103" customFormat="1" ht="13.2" hidden="1" outlineLevel="1" x14ac:dyDescent="0.25">
      <c r="A3983" s="106" t="s">
        <v>7980</v>
      </c>
      <c r="B3983" s="106" t="s">
        <v>7981</v>
      </c>
      <c r="C3983" s="106"/>
      <c r="D3983" s="106"/>
      <c r="E3983" s="52"/>
    </row>
    <row r="3984" spans="1:5" s="103" customFormat="1" ht="13.2" hidden="1" outlineLevel="1" x14ac:dyDescent="0.25">
      <c r="A3984" s="106" t="s">
        <v>7982</v>
      </c>
      <c r="B3984" s="106" t="s">
        <v>7983</v>
      </c>
      <c r="C3984" s="106"/>
      <c r="D3984" s="106"/>
      <c r="E3984" s="52"/>
    </row>
    <row r="3985" spans="1:5" s="103" customFormat="1" ht="13.2" hidden="1" outlineLevel="1" x14ac:dyDescent="0.25">
      <c r="A3985" s="106" t="s">
        <v>7984</v>
      </c>
      <c r="B3985" s="106" t="s">
        <v>7985</v>
      </c>
      <c r="C3985" s="106"/>
      <c r="D3985" s="106"/>
      <c r="E3985" s="52"/>
    </row>
    <row r="3986" spans="1:5" s="103" customFormat="1" ht="13.2" hidden="1" outlineLevel="1" x14ac:dyDescent="0.25">
      <c r="A3986" s="106" t="s">
        <v>7986</v>
      </c>
      <c r="B3986" s="106" t="s">
        <v>7987</v>
      </c>
      <c r="C3986" s="106"/>
      <c r="D3986" s="106"/>
      <c r="E3986" s="52"/>
    </row>
    <row r="3987" spans="1:5" s="103" customFormat="1" ht="13.2" hidden="1" outlineLevel="1" x14ac:dyDescent="0.25">
      <c r="A3987" s="106" t="s">
        <v>7988</v>
      </c>
      <c r="B3987" s="106" t="s">
        <v>7989</v>
      </c>
      <c r="C3987" s="106"/>
      <c r="D3987" s="106"/>
      <c r="E3987" s="52"/>
    </row>
    <row r="3988" spans="1:5" s="103" customFormat="1" ht="13.2" hidden="1" outlineLevel="1" x14ac:dyDescent="0.25">
      <c r="A3988" s="106" t="s">
        <v>7990</v>
      </c>
      <c r="B3988" s="106" t="s">
        <v>7991</v>
      </c>
      <c r="C3988" s="106"/>
      <c r="D3988" s="106"/>
      <c r="E3988" s="52"/>
    </row>
    <row r="3989" spans="1:5" s="103" customFormat="1" ht="13.2" hidden="1" outlineLevel="1" x14ac:dyDescent="0.25">
      <c r="A3989" s="106" t="s">
        <v>7992</v>
      </c>
      <c r="B3989" s="106" t="s">
        <v>7993</v>
      </c>
      <c r="C3989" s="106"/>
      <c r="D3989" s="106"/>
      <c r="E3989" s="52"/>
    </row>
    <row r="3990" spans="1:5" s="103" customFormat="1" ht="13.2" hidden="1" outlineLevel="1" x14ac:dyDescent="0.25">
      <c r="A3990" s="106" t="s">
        <v>7994</v>
      </c>
      <c r="B3990" s="106" t="s">
        <v>7995</v>
      </c>
      <c r="C3990" s="106"/>
      <c r="D3990" s="106"/>
      <c r="E3990" s="52"/>
    </row>
    <row r="3991" spans="1:5" s="103" customFormat="1" ht="13.2" hidden="1" outlineLevel="1" x14ac:dyDescent="0.25">
      <c r="A3991" s="106" t="s">
        <v>7996</v>
      </c>
      <c r="B3991" s="106" t="s">
        <v>7997</v>
      </c>
      <c r="C3991" s="106"/>
      <c r="D3991" s="106"/>
      <c r="E3991" s="52"/>
    </row>
    <row r="3992" spans="1:5" s="103" customFormat="1" ht="13.2" hidden="1" outlineLevel="1" x14ac:dyDescent="0.25">
      <c r="A3992" s="106" t="s">
        <v>7998</v>
      </c>
      <c r="B3992" s="106" t="s">
        <v>7999</v>
      </c>
      <c r="C3992" s="106"/>
      <c r="D3992" s="106"/>
      <c r="E3992" s="52"/>
    </row>
    <row r="3993" spans="1:5" s="103" customFormat="1" ht="13.2" hidden="1" outlineLevel="1" x14ac:dyDescent="0.25">
      <c r="A3993" s="106" t="s">
        <v>8000</v>
      </c>
      <c r="B3993" s="106" t="s">
        <v>8001</v>
      </c>
      <c r="C3993" s="106"/>
      <c r="D3993" s="106"/>
      <c r="E3993" s="52"/>
    </row>
    <row r="3994" spans="1:5" s="103" customFormat="1" ht="13.2" hidden="1" outlineLevel="1" x14ac:dyDescent="0.25">
      <c r="A3994" s="106" t="s">
        <v>8002</v>
      </c>
      <c r="B3994" s="106" t="s">
        <v>8003</v>
      </c>
      <c r="C3994" s="106"/>
      <c r="D3994" s="106"/>
      <c r="E3994" s="52"/>
    </row>
    <row r="3995" spans="1:5" s="103" customFormat="1" ht="13.2" hidden="1" outlineLevel="1" x14ac:dyDescent="0.25">
      <c r="A3995" s="106" t="s">
        <v>8004</v>
      </c>
      <c r="B3995" s="106" t="s">
        <v>8005</v>
      </c>
      <c r="C3995" s="106"/>
      <c r="D3995" s="106"/>
      <c r="E3995" s="52"/>
    </row>
    <row r="3996" spans="1:5" s="103" customFormat="1" ht="13.2" hidden="1" outlineLevel="1" x14ac:dyDescent="0.25">
      <c r="A3996" s="106" t="s">
        <v>8006</v>
      </c>
      <c r="B3996" s="106" t="s">
        <v>8007</v>
      </c>
      <c r="C3996" s="106"/>
      <c r="D3996" s="106"/>
      <c r="E3996" s="52"/>
    </row>
    <row r="3997" spans="1:5" s="103" customFormat="1" ht="13.2" hidden="1" outlineLevel="1" x14ac:dyDescent="0.25">
      <c r="A3997" s="106" t="s">
        <v>8008</v>
      </c>
      <c r="B3997" s="106" t="s">
        <v>8009</v>
      </c>
      <c r="C3997" s="106"/>
      <c r="D3997" s="106"/>
      <c r="E3997" s="52"/>
    </row>
    <row r="3998" spans="1:5" s="103" customFormat="1" ht="13.2" hidden="1" outlineLevel="1" x14ac:dyDescent="0.25">
      <c r="A3998" s="106" t="s">
        <v>8010</v>
      </c>
      <c r="B3998" s="106" t="s">
        <v>8011</v>
      </c>
      <c r="C3998" s="106"/>
      <c r="D3998" s="106"/>
      <c r="E3998" s="52"/>
    </row>
    <row r="3999" spans="1:5" s="103" customFormat="1" ht="13.2" hidden="1" outlineLevel="1" x14ac:dyDescent="0.25">
      <c r="A3999" s="106" t="s">
        <v>8012</v>
      </c>
      <c r="B3999" s="106" t="s">
        <v>8013</v>
      </c>
      <c r="C3999" s="106"/>
      <c r="D3999" s="106"/>
      <c r="E3999" s="52"/>
    </row>
    <row r="4000" spans="1:5" s="103" customFormat="1" ht="13.2" hidden="1" outlineLevel="1" x14ac:dyDescent="0.25">
      <c r="A4000" s="106" t="s">
        <v>8014</v>
      </c>
      <c r="B4000" s="106" t="s">
        <v>8015</v>
      </c>
      <c r="C4000" s="106"/>
      <c r="D4000" s="106"/>
      <c r="E4000" s="52"/>
    </row>
    <row r="4001" spans="1:5" s="103" customFormat="1" ht="13.2" hidden="1" outlineLevel="1" x14ac:dyDescent="0.25">
      <c r="A4001" s="106" t="s">
        <v>8016</v>
      </c>
      <c r="B4001" s="106" t="s">
        <v>8017</v>
      </c>
      <c r="C4001" s="106"/>
      <c r="D4001" s="106"/>
      <c r="E4001" s="52"/>
    </row>
    <row r="4002" spans="1:5" s="103" customFormat="1" ht="13.2" hidden="1" outlineLevel="1" x14ac:dyDescent="0.25">
      <c r="A4002" s="106" t="s">
        <v>8018</v>
      </c>
      <c r="B4002" s="106" t="s">
        <v>8019</v>
      </c>
      <c r="C4002" s="106"/>
      <c r="D4002" s="106"/>
      <c r="E4002" s="52"/>
    </row>
    <row r="4003" spans="1:5" s="103" customFormat="1" ht="13.2" hidden="1" outlineLevel="1" x14ac:dyDescent="0.25">
      <c r="A4003" s="106" t="s">
        <v>8020</v>
      </c>
      <c r="B4003" s="106" t="s">
        <v>8021</v>
      </c>
      <c r="C4003" s="106"/>
      <c r="D4003" s="106"/>
      <c r="E4003" s="52"/>
    </row>
    <row r="4004" spans="1:5" s="103" customFormat="1" ht="13.2" hidden="1" outlineLevel="1" x14ac:dyDescent="0.25">
      <c r="A4004" s="106" t="s">
        <v>8022</v>
      </c>
      <c r="B4004" s="106" t="s">
        <v>8023</v>
      </c>
      <c r="C4004" s="106"/>
      <c r="D4004" s="106"/>
      <c r="E4004" s="52"/>
    </row>
    <row r="4005" spans="1:5" s="103" customFormat="1" ht="13.2" hidden="1" outlineLevel="1" x14ac:dyDescent="0.25">
      <c r="A4005" s="106" t="s">
        <v>8024</v>
      </c>
      <c r="B4005" s="106" t="s">
        <v>8025</v>
      </c>
      <c r="C4005" s="106"/>
      <c r="D4005" s="106"/>
      <c r="E4005" s="52"/>
    </row>
    <row r="4006" spans="1:5" s="103" customFormat="1" ht="13.2" hidden="1" outlineLevel="1" x14ac:dyDescent="0.25">
      <c r="A4006" s="106" t="s">
        <v>8026</v>
      </c>
      <c r="B4006" s="106" t="s">
        <v>8027</v>
      </c>
      <c r="C4006" s="106"/>
      <c r="D4006" s="106"/>
      <c r="E4006" s="52"/>
    </row>
    <row r="4007" spans="1:5" s="103" customFormat="1" ht="13.2" hidden="1" outlineLevel="1" x14ac:dyDescent="0.25">
      <c r="A4007" s="106" t="s">
        <v>8028</v>
      </c>
      <c r="B4007" s="106" t="s">
        <v>8029</v>
      </c>
      <c r="C4007" s="106"/>
      <c r="D4007" s="106"/>
      <c r="E4007" s="52"/>
    </row>
    <row r="4008" spans="1:5" s="103" customFormat="1" ht="13.2" hidden="1" outlineLevel="1" x14ac:dyDescent="0.25">
      <c r="A4008" s="106" t="s">
        <v>8030</v>
      </c>
      <c r="B4008" s="106" t="s">
        <v>8031</v>
      </c>
      <c r="C4008" s="106"/>
      <c r="D4008" s="106"/>
      <c r="E4008" s="52"/>
    </row>
    <row r="4009" spans="1:5" s="103" customFormat="1" ht="13.2" hidden="1" outlineLevel="1" x14ac:dyDescent="0.25">
      <c r="A4009" s="106" t="s">
        <v>8032</v>
      </c>
      <c r="B4009" s="106" t="s">
        <v>8033</v>
      </c>
      <c r="C4009" s="106"/>
      <c r="D4009" s="106"/>
      <c r="E4009" s="52"/>
    </row>
    <row r="4010" spans="1:5" s="103" customFormat="1" ht="13.2" hidden="1" outlineLevel="1" x14ac:dyDescent="0.25">
      <c r="A4010" s="106" t="s">
        <v>8034</v>
      </c>
      <c r="B4010" s="106" t="s">
        <v>8035</v>
      </c>
      <c r="C4010" s="106"/>
      <c r="D4010" s="106"/>
      <c r="E4010" s="52"/>
    </row>
    <row r="4011" spans="1:5" s="103" customFormat="1" ht="13.2" hidden="1" outlineLevel="1" x14ac:dyDescent="0.25">
      <c r="A4011" s="106" t="s">
        <v>8036</v>
      </c>
      <c r="B4011" s="106" t="s">
        <v>8037</v>
      </c>
      <c r="C4011" s="106"/>
      <c r="D4011" s="106"/>
      <c r="E4011" s="52"/>
    </row>
    <row r="4012" spans="1:5" s="103" customFormat="1" ht="13.2" hidden="1" outlineLevel="1" x14ac:dyDescent="0.25">
      <c r="A4012" s="106" t="s">
        <v>8038</v>
      </c>
      <c r="B4012" s="106" t="s">
        <v>8039</v>
      </c>
      <c r="C4012" s="106"/>
      <c r="D4012" s="106"/>
      <c r="E4012" s="52"/>
    </row>
    <row r="4013" spans="1:5" s="103" customFormat="1" ht="13.2" hidden="1" outlineLevel="1" x14ac:dyDescent="0.25">
      <c r="A4013" s="106" t="s">
        <v>8040</v>
      </c>
      <c r="B4013" s="106" t="s">
        <v>8041</v>
      </c>
      <c r="C4013" s="106"/>
      <c r="D4013" s="106"/>
      <c r="E4013" s="52"/>
    </row>
    <row r="4014" spans="1:5" s="103" customFormat="1" ht="13.2" hidden="1" outlineLevel="1" x14ac:dyDescent="0.25">
      <c r="A4014" s="106" t="s">
        <v>8042</v>
      </c>
      <c r="B4014" s="106" t="s">
        <v>8043</v>
      </c>
      <c r="C4014" s="106"/>
      <c r="D4014" s="106"/>
      <c r="E4014" s="52"/>
    </row>
    <row r="4015" spans="1:5" s="103" customFormat="1" ht="13.2" hidden="1" outlineLevel="1" x14ac:dyDescent="0.25">
      <c r="A4015" s="106" t="s">
        <v>8044</v>
      </c>
      <c r="B4015" s="106" t="s">
        <v>8045</v>
      </c>
      <c r="C4015" s="106"/>
      <c r="D4015" s="106"/>
      <c r="E4015" s="52"/>
    </row>
    <row r="4016" spans="1:5" s="103" customFormat="1" ht="13.2" hidden="1" outlineLevel="1" x14ac:dyDescent="0.25">
      <c r="A4016" s="106" t="s">
        <v>8046</v>
      </c>
      <c r="B4016" s="106" t="s">
        <v>8047</v>
      </c>
      <c r="C4016" s="106"/>
      <c r="D4016" s="106"/>
      <c r="E4016" s="52"/>
    </row>
    <row r="4017" spans="1:5" s="103" customFormat="1" ht="13.2" hidden="1" outlineLevel="1" x14ac:dyDescent="0.25">
      <c r="A4017" s="106" t="s">
        <v>8048</v>
      </c>
      <c r="B4017" s="106" t="s">
        <v>8049</v>
      </c>
      <c r="C4017" s="106"/>
      <c r="D4017" s="106"/>
      <c r="E4017" s="52"/>
    </row>
    <row r="4018" spans="1:5" s="103" customFormat="1" ht="13.2" hidden="1" outlineLevel="1" x14ac:dyDescent="0.25">
      <c r="A4018" s="106" t="s">
        <v>8050</v>
      </c>
      <c r="B4018" s="106" t="s">
        <v>8051</v>
      </c>
      <c r="C4018" s="106"/>
      <c r="D4018" s="106"/>
      <c r="E4018" s="52"/>
    </row>
    <row r="4019" spans="1:5" s="103" customFormat="1" ht="13.2" hidden="1" outlineLevel="1" x14ac:dyDescent="0.25">
      <c r="A4019" s="106" t="s">
        <v>8052</v>
      </c>
      <c r="B4019" s="106" t="s">
        <v>8053</v>
      </c>
      <c r="C4019" s="106"/>
      <c r="D4019" s="106"/>
      <c r="E4019" s="52"/>
    </row>
    <row r="4020" spans="1:5" s="103" customFormat="1" ht="13.2" hidden="1" outlineLevel="1" x14ac:dyDescent="0.25">
      <c r="A4020" s="106" t="s">
        <v>8054</v>
      </c>
      <c r="B4020" s="106" t="s">
        <v>8055</v>
      </c>
      <c r="C4020" s="106"/>
      <c r="D4020" s="106"/>
      <c r="E4020" s="52"/>
    </row>
    <row r="4021" spans="1:5" s="103" customFormat="1" ht="13.2" hidden="1" outlineLevel="1" x14ac:dyDescent="0.25">
      <c r="A4021" s="106" t="s">
        <v>8056</v>
      </c>
      <c r="B4021" s="106" t="s">
        <v>8057</v>
      </c>
      <c r="C4021" s="106"/>
      <c r="D4021" s="106"/>
      <c r="E4021" s="52"/>
    </row>
    <row r="4022" spans="1:5" s="103" customFormat="1" ht="13.2" hidden="1" outlineLevel="1" x14ac:dyDescent="0.25">
      <c r="A4022" s="106" t="s">
        <v>8058</v>
      </c>
      <c r="B4022" s="106" t="s">
        <v>8059</v>
      </c>
      <c r="C4022" s="106"/>
      <c r="D4022" s="106"/>
      <c r="E4022" s="52"/>
    </row>
    <row r="4023" spans="1:5" s="103" customFormat="1" ht="13.2" hidden="1" outlineLevel="1" x14ac:dyDescent="0.25">
      <c r="A4023" s="106" t="s">
        <v>8060</v>
      </c>
      <c r="B4023" s="106" t="s">
        <v>8061</v>
      </c>
      <c r="C4023" s="106"/>
      <c r="D4023" s="106"/>
      <c r="E4023" s="52"/>
    </row>
    <row r="4024" spans="1:5" s="103" customFormat="1" ht="13.2" hidden="1" outlineLevel="1" x14ac:dyDescent="0.25">
      <c r="A4024" s="106" t="s">
        <v>8062</v>
      </c>
      <c r="B4024" s="106" t="s">
        <v>8063</v>
      </c>
      <c r="C4024" s="106"/>
      <c r="D4024" s="106"/>
      <c r="E4024" s="52"/>
    </row>
    <row r="4025" spans="1:5" s="103" customFormat="1" ht="13.2" hidden="1" outlineLevel="1" x14ac:dyDescent="0.25">
      <c r="A4025" s="106" t="s">
        <v>8064</v>
      </c>
      <c r="B4025" s="106" t="s">
        <v>8065</v>
      </c>
      <c r="C4025" s="106"/>
      <c r="D4025" s="106"/>
      <c r="E4025" s="52"/>
    </row>
    <row r="4026" spans="1:5" s="103" customFormat="1" ht="13.2" hidden="1" outlineLevel="1" x14ac:dyDescent="0.25">
      <c r="A4026" s="106" t="s">
        <v>8066</v>
      </c>
      <c r="B4026" s="106" t="s">
        <v>8067</v>
      </c>
      <c r="C4026" s="106"/>
      <c r="D4026" s="106"/>
      <c r="E4026" s="52"/>
    </row>
    <row r="4027" spans="1:5" s="103" customFormat="1" ht="13.2" hidden="1" outlineLevel="1" x14ac:dyDescent="0.25">
      <c r="A4027" s="106" t="s">
        <v>8068</v>
      </c>
      <c r="B4027" s="106" t="s">
        <v>8069</v>
      </c>
      <c r="C4027" s="106"/>
      <c r="D4027" s="106"/>
      <c r="E4027" s="52"/>
    </row>
    <row r="4028" spans="1:5" s="103" customFormat="1" ht="13.2" hidden="1" outlineLevel="1" x14ac:dyDescent="0.25">
      <c r="A4028" s="106" t="s">
        <v>8070</v>
      </c>
      <c r="B4028" s="106" t="s">
        <v>8071</v>
      </c>
      <c r="C4028" s="106"/>
      <c r="D4028" s="106"/>
      <c r="E4028" s="52"/>
    </row>
    <row r="4029" spans="1:5" s="103" customFormat="1" ht="13.2" hidden="1" outlineLevel="1" x14ac:dyDescent="0.25">
      <c r="A4029" s="106" t="s">
        <v>8072</v>
      </c>
      <c r="B4029" s="106" t="s">
        <v>8073</v>
      </c>
      <c r="C4029" s="106"/>
      <c r="D4029" s="106"/>
      <c r="E4029" s="52"/>
    </row>
    <row r="4030" spans="1:5" s="103" customFormat="1" ht="13.2" hidden="1" outlineLevel="1" x14ac:dyDescent="0.25">
      <c r="A4030" s="106" t="s">
        <v>8074</v>
      </c>
      <c r="B4030" s="106" t="s">
        <v>8075</v>
      </c>
      <c r="C4030" s="106"/>
      <c r="D4030" s="106"/>
      <c r="E4030" s="52"/>
    </row>
    <row r="4031" spans="1:5" s="103" customFormat="1" ht="13.2" hidden="1" outlineLevel="1" x14ac:dyDescent="0.25">
      <c r="A4031" s="106" t="s">
        <v>8076</v>
      </c>
      <c r="B4031" s="106" t="s">
        <v>8077</v>
      </c>
      <c r="C4031" s="106"/>
      <c r="D4031" s="106"/>
      <c r="E4031" s="52"/>
    </row>
    <row r="4032" spans="1:5" s="103" customFormat="1" ht="13.2" hidden="1" outlineLevel="1" x14ac:dyDescent="0.25">
      <c r="A4032" s="106" t="s">
        <v>8078</v>
      </c>
      <c r="B4032" s="106" t="s">
        <v>8079</v>
      </c>
      <c r="C4032" s="106"/>
      <c r="D4032" s="106"/>
      <c r="E4032" s="52"/>
    </row>
    <row r="4033" spans="1:5" s="103" customFormat="1" ht="13.2" hidden="1" outlineLevel="1" x14ac:dyDescent="0.25">
      <c r="A4033" s="106" t="s">
        <v>8080</v>
      </c>
      <c r="B4033" s="106" t="s">
        <v>8081</v>
      </c>
      <c r="C4033" s="106"/>
      <c r="D4033" s="106"/>
      <c r="E4033" s="52"/>
    </row>
    <row r="4034" spans="1:5" s="103" customFormat="1" ht="13.2" hidden="1" outlineLevel="1" x14ac:dyDescent="0.25">
      <c r="A4034" s="106" t="s">
        <v>8082</v>
      </c>
      <c r="B4034" s="106" t="s">
        <v>8083</v>
      </c>
      <c r="C4034" s="106"/>
      <c r="D4034" s="106"/>
      <c r="E4034" s="52"/>
    </row>
    <row r="4035" spans="1:5" s="103" customFormat="1" ht="13.2" hidden="1" outlineLevel="1" x14ac:dyDescent="0.25">
      <c r="A4035" s="106" t="s">
        <v>8084</v>
      </c>
      <c r="B4035" s="106" t="s">
        <v>8085</v>
      </c>
      <c r="C4035" s="106"/>
      <c r="D4035" s="106"/>
      <c r="E4035" s="52"/>
    </row>
    <row r="4036" spans="1:5" s="103" customFormat="1" ht="13.2" hidden="1" outlineLevel="1" x14ac:dyDescent="0.25">
      <c r="A4036" s="106" t="s">
        <v>8086</v>
      </c>
      <c r="B4036" s="106" t="s">
        <v>8087</v>
      </c>
      <c r="C4036" s="106"/>
      <c r="D4036" s="106"/>
      <c r="E4036" s="52"/>
    </row>
    <row r="4037" spans="1:5" s="103" customFormat="1" ht="13.2" hidden="1" outlineLevel="1" x14ac:dyDescent="0.25">
      <c r="A4037" s="106" t="s">
        <v>8088</v>
      </c>
      <c r="B4037" s="106" t="s">
        <v>8089</v>
      </c>
      <c r="C4037" s="106"/>
      <c r="D4037" s="106"/>
      <c r="E4037" s="52"/>
    </row>
    <row r="4038" spans="1:5" s="103" customFormat="1" ht="13.2" hidden="1" outlineLevel="1" x14ac:dyDescent="0.25">
      <c r="A4038" s="106" t="s">
        <v>8090</v>
      </c>
      <c r="B4038" s="106" t="s">
        <v>8091</v>
      </c>
      <c r="C4038" s="106"/>
      <c r="D4038" s="106"/>
      <c r="E4038" s="52"/>
    </row>
    <row r="4039" spans="1:5" s="103" customFormat="1" ht="13.2" hidden="1" outlineLevel="1" x14ac:dyDescent="0.25">
      <c r="A4039" s="106" t="s">
        <v>8092</v>
      </c>
      <c r="B4039" s="106" t="s">
        <v>8093</v>
      </c>
      <c r="C4039" s="106"/>
      <c r="D4039" s="106"/>
      <c r="E4039" s="52"/>
    </row>
    <row r="4040" spans="1:5" s="103" customFormat="1" ht="13.2" hidden="1" outlineLevel="1" x14ac:dyDescent="0.25">
      <c r="A4040" s="106" t="s">
        <v>8094</v>
      </c>
      <c r="B4040" s="106" t="s">
        <v>8095</v>
      </c>
      <c r="C4040" s="106"/>
      <c r="D4040" s="106"/>
      <c r="E4040" s="52"/>
    </row>
    <row r="4041" spans="1:5" s="103" customFormat="1" ht="13.2" hidden="1" outlineLevel="1" x14ac:dyDescent="0.25">
      <c r="A4041" s="106" t="s">
        <v>8096</v>
      </c>
      <c r="B4041" s="106" t="s">
        <v>8097</v>
      </c>
      <c r="C4041" s="106"/>
      <c r="D4041" s="106"/>
      <c r="E4041" s="52"/>
    </row>
    <row r="4042" spans="1:5" s="103" customFormat="1" ht="13.2" hidden="1" outlineLevel="1" x14ac:dyDescent="0.25">
      <c r="A4042" s="106" t="s">
        <v>8098</v>
      </c>
      <c r="B4042" s="106" t="s">
        <v>8099</v>
      </c>
      <c r="C4042" s="106"/>
      <c r="D4042" s="106"/>
      <c r="E4042" s="52"/>
    </row>
    <row r="4043" spans="1:5" s="103" customFormat="1" ht="13.2" hidden="1" outlineLevel="1" x14ac:dyDescent="0.25">
      <c r="A4043" s="106" t="s">
        <v>8100</v>
      </c>
      <c r="B4043" s="106" t="s">
        <v>8101</v>
      </c>
      <c r="C4043" s="106"/>
      <c r="D4043" s="106"/>
      <c r="E4043" s="52"/>
    </row>
    <row r="4044" spans="1:5" s="103" customFormat="1" ht="13.2" hidden="1" outlineLevel="1" x14ac:dyDescent="0.25">
      <c r="A4044" s="106" t="s">
        <v>8102</v>
      </c>
      <c r="B4044" s="106" t="s">
        <v>8103</v>
      </c>
      <c r="C4044" s="106"/>
      <c r="D4044" s="106"/>
      <c r="E4044" s="52"/>
    </row>
    <row r="4045" spans="1:5" s="103" customFormat="1" ht="13.2" hidden="1" outlineLevel="1" x14ac:dyDescent="0.25">
      <c r="A4045" s="106" t="s">
        <v>8104</v>
      </c>
      <c r="B4045" s="106" t="s">
        <v>8105</v>
      </c>
      <c r="C4045" s="106"/>
      <c r="D4045" s="106"/>
      <c r="E4045" s="52"/>
    </row>
    <row r="4046" spans="1:5" s="103" customFormat="1" ht="13.2" hidden="1" outlineLevel="1" x14ac:dyDescent="0.25">
      <c r="A4046" s="106" t="s">
        <v>8106</v>
      </c>
      <c r="B4046" s="106" t="s">
        <v>8107</v>
      </c>
      <c r="C4046" s="106"/>
      <c r="D4046" s="106"/>
      <c r="E4046" s="52"/>
    </row>
    <row r="4047" spans="1:5" s="103" customFormat="1" ht="13.2" hidden="1" outlineLevel="1" x14ac:dyDescent="0.25">
      <c r="A4047" s="106" t="s">
        <v>8108</v>
      </c>
      <c r="B4047" s="106" t="s">
        <v>8109</v>
      </c>
      <c r="C4047" s="106"/>
      <c r="D4047" s="106"/>
      <c r="E4047" s="52"/>
    </row>
    <row r="4048" spans="1:5" s="103" customFormat="1" ht="13.2" hidden="1" outlineLevel="1" x14ac:dyDescent="0.25">
      <c r="A4048" s="106" t="s">
        <v>8110</v>
      </c>
      <c r="B4048" s="106" t="s">
        <v>8111</v>
      </c>
      <c r="C4048" s="106"/>
      <c r="D4048" s="106"/>
      <c r="E4048" s="52"/>
    </row>
    <row r="4049" spans="1:5" s="103" customFormat="1" ht="13.2" hidden="1" outlineLevel="1" x14ac:dyDescent="0.25">
      <c r="A4049" s="106" t="s">
        <v>8112</v>
      </c>
      <c r="B4049" s="106" t="s">
        <v>8113</v>
      </c>
      <c r="C4049" s="106"/>
      <c r="D4049" s="106"/>
      <c r="E4049" s="52"/>
    </row>
    <row r="4050" spans="1:5" s="103" customFormat="1" ht="13.2" hidden="1" outlineLevel="1" x14ac:dyDescent="0.25">
      <c r="A4050" s="106" t="s">
        <v>8114</v>
      </c>
      <c r="B4050" s="106" t="s">
        <v>8115</v>
      </c>
      <c r="C4050" s="106"/>
      <c r="D4050" s="106"/>
      <c r="E4050" s="52"/>
    </row>
    <row r="4051" spans="1:5" s="103" customFormat="1" ht="13.2" hidden="1" outlineLevel="1" x14ac:dyDescent="0.25">
      <c r="A4051" s="106" t="s">
        <v>8116</v>
      </c>
      <c r="B4051" s="106" t="s">
        <v>8117</v>
      </c>
      <c r="C4051" s="106"/>
      <c r="D4051" s="106"/>
      <c r="E4051" s="52"/>
    </row>
    <row r="4052" spans="1:5" s="103" customFormat="1" ht="13.2" hidden="1" outlineLevel="1" x14ac:dyDescent="0.25">
      <c r="A4052" s="106" t="s">
        <v>8118</v>
      </c>
      <c r="B4052" s="106" t="s">
        <v>8119</v>
      </c>
      <c r="C4052" s="106"/>
      <c r="D4052" s="106"/>
      <c r="E4052" s="52"/>
    </row>
    <row r="4053" spans="1:5" s="103" customFormat="1" ht="13.2" hidden="1" outlineLevel="1" x14ac:dyDescent="0.25">
      <c r="A4053" s="106" t="s">
        <v>8120</v>
      </c>
      <c r="B4053" s="106" t="s">
        <v>8121</v>
      </c>
      <c r="C4053" s="106"/>
      <c r="D4053" s="106"/>
      <c r="E4053" s="52"/>
    </row>
    <row r="4054" spans="1:5" s="103" customFormat="1" ht="13.2" hidden="1" outlineLevel="1" x14ac:dyDescent="0.25">
      <c r="A4054" s="106" t="s">
        <v>8122</v>
      </c>
      <c r="B4054" s="106" t="s">
        <v>8123</v>
      </c>
      <c r="C4054" s="106"/>
      <c r="D4054" s="106"/>
      <c r="E4054" s="52"/>
    </row>
    <row r="4055" spans="1:5" s="103" customFormat="1" ht="13.2" hidden="1" outlineLevel="1" x14ac:dyDescent="0.25">
      <c r="A4055" s="106" t="s">
        <v>8124</v>
      </c>
      <c r="B4055" s="106" t="s">
        <v>8125</v>
      </c>
      <c r="C4055" s="106"/>
      <c r="D4055" s="106"/>
      <c r="E4055" s="52"/>
    </row>
    <row r="4056" spans="1:5" s="103" customFormat="1" ht="13.2" hidden="1" outlineLevel="1" x14ac:dyDescent="0.25">
      <c r="A4056" s="106" t="s">
        <v>8126</v>
      </c>
      <c r="B4056" s="106" t="s">
        <v>8127</v>
      </c>
      <c r="C4056" s="106"/>
      <c r="D4056" s="106"/>
      <c r="E4056" s="52"/>
    </row>
    <row r="4057" spans="1:5" s="103" customFormat="1" ht="13.2" hidden="1" outlineLevel="1" x14ac:dyDescent="0.25">
      <c r="A4057" s="106" t="s">
        <v>8128</v>
      </c>
      <c r="B4057" s="106" t="s">
        <v>8129</v>
      </c>
      <c r="C4057" s="106"/>
      <c r="D4057" s="106"/>
      <c r="E4057" s="52"/>
    </row>
    <row r="4058" spans="1:5" s="103" customFormat="1" ht="13.2" hidden="1" outlineLevel="1" x14ac:dyDescent="0.25">
      <c r="A4058" s="106" t="s">
        <v>8130</v>
      </c>
      <c r="B4058" s="106" t="s">
        <v>8131</v>
      </c>
      <c r="C4058" s="106"/>
      <c r="D4058" s="106"/>
      <c r="E4058" s="52"/>
    </row>
    <row r="4059" spans="1:5" s="103" customFormat="1" ht="13.2" hidden="1" outlineLevel="1" x14ac:dyDescent="0.25">
      <c r="A4059" s="106" t="s">
        <v>8132</v>
      </c>
      <c r="B4059" s="106" t="s">
        <v>8133</v>
      </c>
      <c r="C4059" s="106"/>
      <c r="D4059" s="106"/>
      <c r="E4059" s="52"/>
    </row>
    <row r="4060" spans="1:5" s="103" customFormat="1" ht="13.2" hidden="1" outlineLevel="1" x14ac:dyDescent="0.25">
      <c r="A4060" s="106" t="s">
        <v>8134</v>
      </c>
      <c r="B4060" s="106" t="s">
        <v>8135</v>
      </c>
      <c r="C4060" s="106"/>
      <c r="D4060" s="106"/>
      <c r="E4060" s="52"/>
    </row>
    <row r="4061" spans="1:5" s="103" customFormat="1" ht="13.2" hidden="1" outlineLevel="1" x14ac:dyDescent="0.25">
      <c r="A4061" s="106" t="s">
        <v>8136</v>
      </c>
      <c r="B4061" s="106" t="s">
        <v>8137</v>
      </c>
      <c r="C4061" s="106"/>
      <c r="D4061" s="106"/>
      <c r="E4061" s="52"/>
    </row>
    <row r="4062" spans="1:5" s="103" customFormat="1" ht="13.2" hidden="1" outlineLevel="1" x14ac:dyDescent="0.25">
      <c r="A4062" s="106" t="s">
        <v>8138</v>
      </c>
      <c r="B4062" s="106" t="s">
        <v>8139</v>
      </c>
      <c r="C4062" s="106"/>
      <c r="D4062" s="106"/>
      <c r="E4062" s="52"/>
    </row>
    <row r="4063" spans="1:5" s="103" customFormat="1" ht="13.2" hidden="1" outlineLevel="1" x14ac:dyDescent="0.25">
      <c r="A4063" s="106" t="s">
        <v>8140</v>
      </c>
      <c r="B4063" s="106" t="s">
        <v>8141</v>
      </c>
      <c r="C4063" s="106"/>
      <c r="D4063" s="106"/>
      <c r="E4063" s="52"/>
    </row>
    <row r="4064" spans="1:5" s="103" customFormat="1" ht="13.2" hidden="1" outlineLevel="1" x14ac:dyDescent="0.25">
      <c r="A4064" s="106" t="s">
        <v>8142</v>
      </c>
      <c r="B4064" s="106" t="s">
        <v>8143</v>
      </c>
      <c r="C4064" s="106"/>
      <c r="D4064" s="106"/>
      <c r="E4064" s="52"/>
    </row>
    <row r="4065" spans="1:5" s="103" customFormat="1" ht="13.2" hidden="1" outlineLevel="1" x14ac:dyDescent="0.25">
      <c r="A4065" s="106" t="s">
        <v>8144</v>
      </c>
      <c r="B4065" s="106" t="s">
        <v>8145</v>
      </c>
      <c r="C4065" s="106"/>
      <c r="D4065" s="106"/>
      <c r="E4065" s="52"/>
    </row>
    <row r="4066" spans="1:5" s="103" customFormat="1" ht="13.2" hidden="1" outlineLevel="1" x14ac:dyDescent="0.25">
      <c r="A4066" s="106" t="s">
        <v>8146</v>
      </c>
      <c r="B4066" s="106" t="s">
        <v>8147</v>
      </c>
      <c r="C4066" s="106"/>
      <c r="D4066" s="106"/>
      <c r="E4066" s="52"/>
    </row>
    <row r="4067" spans="1:5" s="103" customFormat="1" ht="13.2" hidden="1" outlineLevel="1" x14ac:dyDescent="0.25">
      <c r="A4067" s="106" t="s">
        <v>8148</v>
      </c>
      <c r="B4067" s="106" t="s">
        <v>8149</v>
      </c>
      <c r="C4067" s="106"/>
      <c r="D4067" s="106"/>
      <c r="E4067" s="52"/>
    </row>
    <row r="4068" spans="1:5" s="103" customFormat="1" ht="13.2" hidden="1" outlineLevel="1" x14ac:dyDescent="0.25">
      <c r="A4068" s="106" t="s">
        <v>8150</v>
      </c>
      <c r="B4068" s="106" t="s">
        <v>8151</v>
      </c>
      <c r="C4068" s="106"/>
      <c r="D4068" s="106"/>
      <c r="E4068" s="52"/>
    </row>
    <row r="4069" spans="1:5" s="103" customFormat="1" ht="13.2" hidden="1" outlineLevel="1" x14ac:dyDescent="0.25">
      <c r="A4069" s="106" t="s">
        <v>8152</v>
      </c>
      <c r="B4069" s="106" t="s">
        <v>8153</v>
      </c>
      <c r="C4069" s="106"/>
      <c r="D4069" s="106"/>
      <c r="E4069" s="52"/>
    </row>
    <row r="4070" spans="1:5" s="103" customFormat="1" ht="13.2" hidden="1" outlineLevel="1" x14ac:dyDescent="0.25">
      <c r="A4070" s="106" t="s">
        <v>8154</v>
      </c>
      <c r="B4070" s="106" t="s">
        <v>8155</v>
      </c>
      <c r="C4070" s="106"/>
      <c r="D4070" s="106"/>
      <c r="E4070" s="52"/>
    </row>
    <row r="4071" spans="1:5" s="103" customFormat="1" ht="13.2" hidden="1" outlineLevel="1" x14ac:dyDescent="0.25">
      <c r="A4071" s="106" t="s">
        <v>8156</v>
      </c>
      <c r="B4071" s="106" t="s">
        <v>8157</v>
      </c>
      <c r="C4071" s="106"/>
      <c r="D4071" s="106"/>
      <c r="E4071" s="52"/>
    </row>
    <row r="4072" spans="1:5" s="103" customFormat="1" ht="13.2" hidden="1" outlineLevel="1" x14ac:dyDescent="0.25">
      <c r="A4072" s="106" t="s">
        <v>8158</v>
      </c>
      <c r="B4072" s="106" t="s">
        <v>8159</v>
      </c>
      <c r="C4072" s="106"/>
      <c r="D4072" s="106"/>
      <c r="E4072" s="52"/>
    </row>
    <row r="4073" spans="1:5" s="103" customFormat="1" ht="13.2" hidden="1" outlineLevel="1" x14ac:dyDescent="0.25">
      <c r="A4073" s="106" t="s">
        <v>8160</v>
      </c>
      <c r="B4073" s="106" t="s">
        <v>8161</v>
      </c>
      <c r="C4073" s="106"/>
      <c r="D4073" s="106"/>
      <c r="E4073" s="52"/>
    </row>
    <row r="4074" spans="1:5" s="103" customFormat="1" ht="13.2" hidden="1" outlineLevel="1" x14ac:dyDescent="0.25">
      <c r="A4074" s="106" t="s">
        <v>8162</v>
      </c>
      <c r="B4074" s="106" t="s">
        <v>8163</v>
      </c>
      <c r="C4074" s="106"/>
      <c r="D4074" s="106"/>
      <c r="E4074" s="52"/>
    </row>
    <row r="4075" spans="1:5" s="103" customFormat="1" ht="13.2" hidden="1" outlineLevel="1" x14ac:dyDescent="0.25">
      <c r="A4075" s="106" t="s">
        <v>8164</v>
      </c>
      <c r="B4075" s="106" t="s">
        <v>8165</v>
      </c>
      <c r="C4075" s="106"/>
      <c r="D4075" s="106"/>
      <c r="E4075" s="52"/>
    </row>
    <row r="4076" spans="1:5" s="103" customFormat="1" ht="13.2" hidden="1" outlineLevel="1" x14ac:dyDescent="0.25">
      <c r="A4076" s="106" t="s">
        <v>8166</v>
      </c>
      <c r="B4076" s="106" t="s">
        <v>8167</v>
      </c>
      <c r="C4076" s="106"/>
      <c r="D4076" s="106"/>
      <c r="E4076" s="52"/>
    </row>
    <row r="4077" spans="1:5" s="103" customFormat="1" ht="13.2" hidden="1" outlineLevel="1" x14ac:dyDescent="0.25">
      <c r="A4077" s="106" t="s">
        <v>8168</v>
      </c>
      <c r="B4077" s="106" t="s">
        <v>8169</v>
      </c>
      <c r="C4077" s="106"/>
      <c r="D4077" s="106"/>
      <c r="E4077" s="52"/>
    </row>
    <row r="4078" spans="1:5" s="103" customFormat="1" ht="13.2" hidden="1" outlineLevel="1" x14ac:dyDescent="0.25">
      <c r="A4078" s="106" t="s">
        <v>8170</v>
      </c>
      <c r="B4078" s="106" t="s">
        <v>8171</v>
      </c>
      <c r="C4078" s="106"/>
      <c r="D4078" s="106"/>
      <c r="E4078" s="52"/>
    </row>
    <row r="4079" spans="1:5" s="103" customFormat="1" ht="13.2" hidden="1" outlineLevel="1" x14ac:dyDescent="0.25">
      <c r="A4079" s="106" t="s">
        <v>8172</v>
      </c>
      <c r="B4079" s="106" t="s">
        <v>8173</v>
      </c>
      <c r="C4079" s="106"/>
      <c r="D4079" s="106"/>
      <c r="E4079" s="52"/>
    </row>
    <row r="4080" spans="1:5" s="103" customFormat="1" ht="13.2" hidden="1" outlineLevel="1" x14ac:dyDescent="0.25">
      <c r="A4080" s="106" t="s">
        <v>8174</v>
      </c>
      <c r="B4080" s="106" t="s">
        <v>8175</v>
      </c>
      <c r="C4080" s="106"/>
      <c r="D4080" s="106"/>
      <c r="E4080" s="52"/>
    </row>
    <row r="4081" spans="1:5" s="103" customFormat="1" ht="13.2" hidden="1" outlineLevel="1" x14ac:dyDescent="0.25">
      <c r="A4081" s="106" t="s">
        <v>8176</v>
      </c>
      <c r="B4081" s="106" t="s">
        <v>8177</v>
      </c>
      <c r="C4081" s="106"/>
      <c r="D4081" s="106"/>
      <c r="E4081" s="52"/>
    </row>
    <row r="4082" spans="1:5" s="103" customFormat="1" ht="13.2" hidden="1" outlineLevel="1" x14ac:dyDescent="0.25">
      <c r="A4082" s="106" t="s">
        <v>8178</v>
      </c>
      <c r="B4082" s="106" t="s">
        <v>8179</v>
      </c>
      <c r="C4082" s="106"/>
      <c r="D4082" s="106"/>
      <c r="E4082" s="52"/>
    </row>
    <row r="4083" spans="1:5" s="103" customFormat="1" ht="13.2" hidden="1" outlineLevel="1" x14ac:dyDescent="0.25">
      <c r="A4083" s="106" t="s">
        <v>8180</v>
      </c>
      <c r="B4083" s="106" t="s">
        <v>8181</v>
      </c>
      <c r="C4083" s="106"/>
      <c r="D4083" s="106"/>
      <c r="E4083" s="52"/>
    </row>
    <row r="4084" spans="1:5" s="103" customFormat="1" ht="13.2" hidden="1" outlineLevel="1" x14ac:dyDescent="0.25">
      <c r="A4084" s="106" t="s">
        <v>8182</v>
      </c>
      <c r="B4084" s="106" t="s">
        <v>8183</v>
      </c>
      <c r="C4084" s="106"/>
      <c r="D4084" s="106"/>
      <c r="E4084" s="52"/>
    </row>
    <row r="4085" spans="1:5" s="103" customFormat="1" ht="13.2" hidden="1" outlineLevel="1" x14ac:dyDescent="0.25">
      <c r="A4085" s="106" t="s">
        <v>8184</v>
      </c>
      <c r="B4085" s="106" t="s">
        <v>8185</v>
      </c>
      <c r="C4085" s="106"/>
      <c r="D4085" s="106"/>
      <c r="E4085" s="52"/>
    </row>
    <row r="4086" spans="1:5" s="103" customFormat="1" ht="13.2" hidden="1" outlineLevel="1" x14ac:dyDescent="0.25">
      <c r="A4086" s="106" t="s">
        <v>8186</v>
      </c>
      <c r="B4086" s="106" t="s">
        <v>8187</v>
      </c>
      <c r="C4086" s="106"/>
      <c r="D4086" s="106"/>
      <c r="E4086" s="52"/>
    </row>
    <row r="4087" spans="1:5" s="103" customFormat="1" ht="13.2" hidden="1" outlineLevel="1" x14ac:dyDescent="0.25">
      <c r="A4087" s="106" t="s">
        <v>8188</v>
      </c>
      <c r="B4087" s="106" t="s">
        <v>8189</v>
      </c>
      <c r="C4087" s="106"/>
      <c r="D4087" s="106"/>
      <c r="E4087" s="52"/>
    </row>
    <row r="4088" spans="1:5" s="103" customFormat="1" ht="13.2" hidden="1" outlineLevel="1" x14ac:dyDescent="0.25">
      <c r="A4088" s="106" t="s">
        <v>8190</v>
      </c>
      <c r="B4088" s="106" t="s">
        <v>8191</v>
      </c>
      <c r="C4088" s="106"/>
      <c r="D4088" s="106"/>
      <c r="E4088" s="52"/>
    </row>
    <row r="4089" spans="1:5" s="103" customFormat="1" ht="13.2" hidden="1" outlineLevel="1" x14ac:dyDescent="0.25">
      <c r="A4089" s="106" t="s">
        <v>8192</v>
      </c>
      <c r="B4089" s="106" t="s">
        <v>8193</v>
      </c>
      <c r="C4089" s="106"/>
      <c r="D4089" s="106"/>
      <c r="E4089" s="52"/>
    </row>
    <row r="4090" spans="1:5" s="103" customFormat="1" ht="13.2" hidden="1" outlineLevel="1" x14ac:dyDescent="0.25">
      <c r="A4090" s="106" t="s">
        <v>8194</v>
      </c>
      <c r="B4090" s="106" t="s">
        <v>8195</v>
      </c>
      <c r="C4090" s="106"/>
      <c r="D4090" s="106"/>
      <c r="E4090" s="52"/>
    </row>
    <row r="4091" spans="1:5" s="103" customFormat="1" ht="13.2" hidden="1" outlineLevel="1" x14ac:dyDescent="0.25">
      <c r="A4091" s="106" t="s">
        <v>8196</v>
      </c>
      <c r="B4091" s="106" t="s">
        <v>8197</v>
      </c>
      <c r="C4091" s="106"/>
      <c r="D4091" s="106"/>
      <c r="E4091" s="52"/>
    </row>
    <row r="4092" spans="1:5" s="103" customFormat="1" ht="13.2" hidden="1" outlineLevel="1" x14ac:dyDescent="0.25">
      <c r="A4092" s="106" t="s">
        <v>8198</v>
      </c>
      <c r="B4092" s="106" t="s">
        <v>8199</v>
      </c>
      <c r="C4092" s="106"/>
      <c r="D4092" s="106"/>
      <c r="E4092" s="52"/>
    </row>
    <row r="4093" spans="1:5" s="103" customFormat="1" ht="13.2" hidden="1" outlineLevel="1" x14ac:dyDescent="0.25">
      <c r="A4093" s="106" t="s">
        <v>8200</v>
      </c>
      <c r="B4093" s="106" t="s">
        <v>8201</v>
      </c>
      <c r="C4093" s="106"/>
      <c r="D4093" s="106"/>
      <c r="E4093" s="52"/>
    </row>
    <row r="4094" spans="1:5" s="103" customFormat="1" ht="13.2" hidden="1" outlineLevel="1" x14ac:dyDescent="0.25">
      <c r="A4094" s="106" t="s">
        <v>8202</v>
      </c>
      <c r="B4094" s="106" t="s">
        <v>8203</v>
      </c>
      <c r="C4094" s="106"/>
      <c r="D4094" s="106"/>
      <c r="E4094" s="52"/>
    </row>
    <row r="4095" spans="1:5" s="103" customFormat="1" ht="13.2" hidden="1" outlineLevel="1" x14ac:dyDescent="0.25">
      <c r="A4095" s="106" t="s">
        <v>8204</v>
      </c>
      <c r="B4095" s="106" t="s">
        <v>8205</v>
      </c>
      <c r="C4095" s="106"/>
      <c r="D4095" s="106"/>
      <c r="E4095" s="52"/>
    </row>
    <row r="4096" spans="1:5" s="103" customFormat="1" ht="13.2" hidden="1" outlineLevel="1" x14ac:dyDescent="0.25">
      <c r="A4096" s="106" t="s">
        <v>8206</v>
      </c>
      <c r="B4096" s="106" t="s">
        <v>8207</v>
      </c>
      <c r="C4096" s="106"/>
      <c r="D4096" s="106"/>
      <c r="E4096" s="52"/>
    </row>
    <row r="4097" spans="1:5" s="103" customFormat="1" ht="13.2" hidden="1" outlineLevel="1" x14ac:dyDescent="0.25">
      <c r="A4097" s="106" t="s">
        <v>8208</v>
      </c>
      <c r="B4097" s="106" t="s">
        <v>8209</v>
      </c>
      <c r="C4097" s="106"/>
      <c r="D4097" s="106"/>
      <c r="E4097" s="52"/>
    </row>
    <row r="4098" spans="1:5" s="103" customFormat="1" ht="13.2" hidden="1" outlineLevel="1" x14ac:dyDescent="0.25">
      <c r="A4098" s="106" t="s">
        <v>8210</v>
      </c>
      <c r="B4098" s="106" t="s">
        <v>8211</v>
      </c>
      <c r="C4098" s="106"/>
      <c r="D4098" s="106"/>
      <c r="E4098" s="52"/>
    </row>
    <row r="4099" spans="1:5" s="103" customFormat="1" ht="13.2" hidden="1" outlineLevel="1" x14ac:dyDescent="0.25">
      <c r="A4099" s="106" t="s">
        <v>8212</v>
      </c>
      <c r="B4099" s="106" t="s">
        <v>8213</v>
      </c>
      <c r="C4099" s="106"/>
      <c r="D4099" s="106"/>
      <c r="E4099" s="52"/>
    </row>
    <row r="4100" spans="1:5" s="103" customFormat="1" ht="13.2" collapsed="1" x14ac:dyDescent="0.25">
      <c r="A4100" s="104" t="s">
        <v>8214</v>
      </c>
      <c r="B4100" s="105" t="s">
        <v>8215</v>
      </c>
      <c r="C4100" s="105"/>
      <c r="D4100" s="105"/>
      <c r="E4100" s="51"/>
    </row>
    <row r="4101" spans="1:5" s="103" customFormat="1" ht="13.2" hidden="1" outlineLevel="1" x14ac:dyDescent="0.25">
      <c r="A4101" s="106" t="s">
        <v>8216</v>
      </c>
      <c r="B4101" s="106" t="s">
        <v>8217</v>
      </c>
      <c r="C4101" s="106"/>
      <c r="D4101" s="106"/>
      <c r="E4101" s="52"/>
    </row>
    <row r="4102" spans="1:5" s="103" customFormat="1" ht="13.2" hidden="1" outlineLevel="1" x14ac:dyDescent="0.25">
      <c r="A4102" s="106" t="s">
        <v>8218</v>
      </c>
      <c r="B4102" s="106" t="s">
        <v>8219</v>
      </c>
      <c r="C4102" s="106"/>
      <c r="D4102" s="106"/>
      <c r="E4102" s="52"/>
    </row>
    <row r="4103" spans="1:5" s="103" customFormat="1" ht="13.2" hidden="1" outlineLevel="1" x14ac:dyDescent="0.25">
      <c r="A4103" s="106" t="s">
        <v>8220</v>
      </c>
      <c r="B4103" s="106" t="s">
        <v>8221</v>
      </c>
      <c r="C4103" s="106"/>
      <c r="D4103" s="106"/>
      <c r="E4103" s="52"/>
    </row>
    <row r="4104" spans="1:5" s="103" customFormat="1" ht="13.2" hidden="1" outlineLevel="1" x14ac:dyDescent="0.25">
      <c r="A4104" s="106" t="s">
        <v>8222</v>
      </c>
      <c r="B4104" s="106" t="s">
        <v>8223</v>
      </c>
      <c r="C4104" s="106"/>
      <c r="D4104" s="106"/>
      <c r="E4104" s="52"/>
    </row>
    <row r="4105" spans="1:5" s="103" customFormat="1" ht="13.2" hidden="1" outlineLevel="1" x14ac:dyDescent="0.25">
      <c r="A4105" s="106" t="s">
        <v>8224</v>
      </c>
      <c r="B4105" s="106" t="s">
        <v>8225</v>
      </c>
      <c r="C4105" s="106"/>
      <c r="D4105" s="106"/>
      <c r="E4105" s="52"/>
    </row>
    <row r="4106" spans="1:5" s="103" customFormat="1" ht="13.2" hidden="1" outlineLevel="1" x14ac:dyDescent="0.25">
      <c r="A4106" s="106" t="s">
        <v>8226</v>
      </c>
      <c r="B4106" s="106" t="s">
        <v>8227</v>
      </c>
      <c r="C4106" s="106"/>
      <c r="D4106" s="106"/>
      <c r="E4106" s="52"/>
    </row>
    <row r="4107" spans="1:5" s="103" customFormat="1" ht="13.2" hidden="1" outlineLevel="1" x14ac:dyDescent="0.25">
      <c r="A4107" s="106" t="s">
        <v>8228</v>
      </c>
      <c r="B4107" s="106" t="s">
        <v>8229</v>
      </c>
      <c r="C4107" s="106"/>
      <c r="D4107" s="106"/>
      <c r="E4107" s="52"/>
    </row>
    <row r="4108" spans="1:5" s="103" customFormat="1" ht="13.2" hidden="1" outlineLevel="1" x14ac:dyDescent="0.25">
      <c r="A4108" s="106" t="s">
        <v>8230</v>
      </c>
      <c r="B4108" s="106" t="s">
        <v>8231</v>
      </c>
      <c r="C4108" s="106"/>
      <c r="D4108" s="106"/>
      <c r="E4108" s="52"/>
    </row>
    <row r="4109" spans="1:5" s="103" customFormat="1" ht="13.2" hidden="1" outlineLevel="1" x14ac:dyDescent="0.25">
      <c r="A4109" s="106" t="s">
        <v>8232</v>
      </c>
      <c r="B4109" s="106" t="s">
        <v>8233</v>
      </c>
      <c r="C4109" s="106"/>
      <c r="D4109" s="106"/>
      <c r="E4109" s="52"/>
    </row>
    <row r="4110" spans="1:5" s="103" customFormat="1" ht="13.2" hidden="1" outlineLevel="1" x14ac:dyDescent="0.25">
      <c r="A4110" s="106" t="s">
        <v>8234</v>
      </c>
      <c r="B4110" s="106" t="s">
        <v>8235</v>
      </c>
      <c r="C4110" s="106"/>
      <c r="D4110" s="106"/>
      <c r="E4110" s="52"/>
    </row>
    <row r="4111" spans="1:5" s="103" customFormat="1" ht="13.2" hidden="1" outlineLevel="1" x14ac:dyDescent="0.25">
      <c r="A4111" s="106" t="s">
        <v>8236</v>
      </c>
      <c r="B4111" s="106" t="s">
        <v>8237</v>
      </c>
      <c r="C4111" s="106"/>
      <c r="D4111" s="106"/>
      <c r="E4111" s="52"/>
    </row>
    <row r="4112" spans="1:5" s="103" customFormat="1" ht="13.2" hidden="1" outlineLevel="1" x14ac:dyDescent="0.25">
      <c r="A4112" s="106" t="s">
        <v>8238</v>
      </c>
      <c r="B4112" s="106" t="s">
        <v>8239</v>
      </c>
      <c r="C4112" s="106"/>
      <c r="D4112" s="106"/>
      <c r="E4112" s="52"/>
    </row>
    <row r="4113" spans="1:5" s="103" customFormat="1" ht="13.2" hidden="1" outlineLevel="1" x14ac:dyDescent="0.25">
      <c r="A4113" s="106" t="s">
        <v>8240</v>
      </c>
      <c r="B4113" s="106" t="s">
        <v>8241</v>
      </c>
      <c r="C4113" s="106"/>
      <c r="D4113" s="106"/>
      <c r="E4113" s="52"/>
    </row>
    <row r="4114" spans="1:5" s="103" customFormat="1" ht="13.2" hidden="1" outlineLevel="1" x14ac:dyDescent="0.25">
      <c r="A4114" s="106" t="s">
        <v>8242</v>
      </c>
      <c r="B4114" s="106" t="s">
        <v>8243</v>
      </c>
      <c r="C4114" s="106"/>
      <c r="D4114" s="106"/>
      <c r="E4114" s="52"/>
    </row>
    <row r="4115" spans="1:5" s="103" customFormat="1" ht="13.2" hidden="1" outlineLevel="1" x14ac:dyDescent="0.25">
      <c r="A4115" s="106" t="s">
        <v>8244</v>
      </c>
      <c r="B4115" s="106" t="s">
        <v>8245</v>
      </c>
      <c r="C4115" s="106"/>
      <c r="D4115" s="106"/>
      <c r="E4115" s="52"/>
    </row>
    <row r="4116" spans="1:5" s="103" customFormat="1" ht="13.2" hidden="1" outlineLevel="1" x14ac:dyDescent="0.25">
      <c r="A4116" s="106" t="s">
        <v>8246</v>
      </c>
      <c r="B4116" s="106" t="s">
        <v>8247</v>
      </c>
      <c r="C4116" s="106"/>
      <c r="D4116" s="106"/>
      <c r="E4116" s="52"/>
    </row>
    <row r="4117" spans="1:5" s="103" customFormat="1" ht="13.2" hidden="1" outlineLevel="1" x14ac:dyDescent="0.25">
      <c r="A4117" s="106" t="s">
        <v>8248</v>
      </c>
      <c r="B4117" s="106" t="s">
        <v>8249</v>
      </c>
      <c r="C4117" s="106"/>
      <c r="D4117" s="106"/>
      <c r="E4117" s="52"/>
    </row>
    <row r="4118" spans="1:5" s="103" customFormat="1" ht="13.2" hidden="1" outlineLevel="1" x14ac:dyDescent="0.25">
      <c r="A4118" s="106" t="s">
        <v>8250</v>
      </c>
      <c r="B4118" s="106" t="s">
        <v>8251</v>
      </c>
      <c r="C4118" s="106"/>
      <c r="D4118" s="106"/>
      <c r="E4118" s="52"/>
    </row>
    <row r="4119" spans="1:5" s="103" customFormat="1" ht="13.2" hidden="1" outlineLevel="1" x14ac:dyDescent="0.25">
      <c r="A4119" s="106" t="s">
        <v>8252</v>
      </c>
      <c r="B4119" s="106" t="s">
        <v>8253</v>
      </c>
      <c r="C4119" s="106"/>
      <c r="D4119" s="106"/>
      <c r="E4119" s="52"/>
    </row>
    <row r="4120" spans="1:5" s="103" customFormat="1" ht="13.2" hidden="1" outlineLevel="1" x14ac:dyDescent="0.25">
      <c r="A4120" s="106" t="s">
        <v>8254</v>
      </c>
      <c r="B4120" s="106" t="s">
        <v>8255</v>
      </c>
      <c r="C4120" s="106"/>
      <c r="D4120" s="106"/>
      <c r="E4120" s="52"/>
    </row>
    <row r="4121" spans="1:5" s="103" customFormat="1" ht="13.2" hidden="1" outlineLevel="1" x14ac:dyDescent="0.25">
      <c r="A4121" s="106" t="s">
        <v>8256</v>
      </c>
      <c r="B4121" s="106" t="s">
        <v>8257</v>
      </c>
      <c r="C4121" s="106"/>
      <c r="D4121" s="106"/>
      <c r="E4121" s="52"/>
    </row>
    <row r="4122" spans="1:5" s="103" customFormat="1" ht="13.2" hidden="1" outlineLevel="1" x14ac:dyDescent="0.25">
      <c r="A4122" s="106" t="s">
        <v>8258</v>
      </c>
      <c r="B4122" s="106" t="s">
        <v>8259</v>
      </c>
      <c r="C4122" s="106"/>
      <c r="D4122" s="106"/>
      <c r="E4122" s="52"/>
    </row>
    <row r="4123" spans="1:5" s="103" customFormat="1" ht="13.2" hidden="1" outlineLevel="1" x14ac:dyDescent="0.25">
      <c r="A4123" s="106" t="s">
        <v>8260</v>
      </c>
      <c r="B4123" s="106" t="s">
        <v>8261</v>
      </c>
      <c r="C4123" s="106"/>
      <c r="D4123" s="106"/>
      <c r="E4123" s="52"/>
    </row>
    <row r="4124" spans="1:5" s="103" customFormat="1" ht="13.2" hidden="1" outlineLevel="1" x14ac:dyDescent="0.25">
      <c r="A4124" s="106" t="s">
        <v>8262</v>
      </c>
      <c r="B4124" s="106" t="s">
        <v>8263</v>
      </c>
      <c r="C4124" s="106"/>
      <c r="D4124" s="106"/>
      <c r="E4124" s="52"/>
    </row>
    <row r="4125" spans="1:5" s="103" customFormat="1" ht="13.2" hidden="1" outlineLevel="1" x14ac:dyDescent="0.25">
      <c r="A4125" s="106" t="s">
        <v>8264</v>
      </c>
      <c r="B4125" s="106" t="s">
        <v>8265</v>
      </c>
      <c r="C4125" s="106"/>
      <c r="D4125" s="106"/>
      <c r="E4125" s="52"/>
    </row>
    <row r="4126" spans="1:5" s="103" customFormat="1" ht="13.2" hidden="1" outlineLevel="1" x14ac:dyDescent="0.25">
      <c r="A4126" s="106" t="s">
        <v>8266</v>
      </c>
      <c r="B4126" s="106" t="s">
        <v>8267</v>
      </c>
      <c r="C4126" s="106"/>
      <c r="D4126" s="106"/>
      <c r="E4126" s="52"/>
    </row>
    <row r="4127" spans="1:5" s="103" customFormat="1" ht="13.2" hidden="1" outlineLevel="1" x14ac:dyDescent="0.25">
      <c r="A4127" s="106" t="s">
        <v>8268</v>
      </c>
      <c r="B4127" s="106" t="s">
        <v>8269</v>
      </c>
      <c r="C4127" s="106"/>
      <c r="D4127" s="106"/>
      <c r="E4127" s="52"/>
    </row>
    <row r="4128" spans="1:5" s="103" customFormat="1" ht="13.2" hidden="1" outlineLevel="1" x14ac:dyDescent="0.25">
      <c r="A4128" s="106" t="s">
        <v>8270</v>
      </c>
      <c r="B4128" s="106" t="s">
        <v>8271</v>
      </c>
      <c r="C4128" s="106"/>
      <c r="D4128" s="106"/>
      <c r="E4128" s="52"/>
    </row>
    <row r="4129" spans="1:5" s="103" customFormat="1" ht="13.2" hidden="1" outlineLevel="1" x14ac:dyDescent="0.25">
      <c r="A4129" s="106" t="s">
        <v>8272</v>
      </c>
      <c r="B4129" s="106" t="s">
        <v>8273</v>
      </c>
      <c r="C4129" s="106"/>
      <c r="D4129" s="106"/>
      <c r="E4129" s="52"/>
    </row>
    <row r="4130" spans="1:5" s="103" customFormat="1" ht="13.2" hidden="1" outlineLevel="1" x14ac:dyDescent="0.25">
      <c r="A4130" s="106" t="s">
        <v>8274</v>
      </c>
      <c r="B4130" s="106" t="s">
        <v>8275</v>
      </c>
      <c r="C4130" s="106"/>
      <c r="D4130" s="106"/>
      <c r="E4130" s="52"/>
    </row>
    <row r="4131" spans="1:5" s="103" customFormat="1" ht="13.2" hidden="1" outlineLevel="1" x14ac:dyDescent="0.25">
      <c r="A4131" s="106" t="s">
        <v>8276</v>
      </c>
      <c r="B4131" s="106" t="s">
        <v>8277</v>
      </c>
      <c r="C4131" s="106"/>
      <c r="D4131" s="106"/>
      <c r="E4131" s="52"/>
    </row>
    <row r="4132" spans="1:5" s="103" customFormat="1" ht="13.2" hidden="1" outlineLevel="1" x14ac:dyDescent="0.25">
      <c r="A4132" s="106" t="s">
        <v>8278</v>
      </c>
      <c r="B4132" s="106" t="s">
        <v>8279</v>
      </c>
      <c r="C4132" s="106"/>
      <c r="D4132" s="106"/>
      <c r="E4132" s="52"/>
    </row>
    <row r="4133" spans="1:5" s="103" customFormat="1" ht="13.2" hidden="1" outlineLevel="1" x14ac:dyDescent="0.25">
      <c r="A4133" s="106" t="s">
        <v>8280</v>
      </c>
      <c r="B4133" s="106" t="s">
        <v>8281</v>
      </c>
      <c r="C4133" s="106"/>
      <c r="D4133" s="106"/>
      <c r="E4133" s="52"/>
    </row>
    <row r="4134" spans="1:5" s="103" customFormat="1" ht="13.2" hidden="1" outlineLevel="1" x14ac:dyDescent="0.25">
      <c r="A4134" s="106" t="s">
        <v>8282</v>
      </c>
      <c r="B4134" s="106" t="s">
        <v>8283</v>
      </c>
      <c r="C4134" s="106"/>
      <c r="D4134" s="106"/>
      <c r="E4134" s="52"/>
    </row>
    <row r="4135" spans="1:5" s="103" customFormat="1" ht="13.2" hidden="1" outlineLevel="1" x14ac:dyDescent="0.25">
      <c r="A4135" s="106" t="s">
        <v>8284</v>
      </c>
      <c r="B4135" s="106" t="s">
        <v>8285</v>
      </c>
      <c r="C4135" s="106"/>
      <c r="D4135" s="106"/>
      <c r="E4135" s="52"/>
    </row>
    <row r="4136" spans="1:5" s="103" customFormat="1" ht="13.2" hidden="1" outlineLevel="1" x14ac:dyDescent="0.25">
      <c r="A4136" s="106" t="s">
        <v>8286</v>
      </c>
      <c r="B4136" s="106" t="s">
        <v>8287</v>
      </c>
      <c r="C4136" s="106"/>
      <c r="D4136" s="106"/>
      <c r="E4136" s="52"/>
    </row>
    <row r="4137" spans="1:5" s="103" customFormat="1" ht="13.2" hidden="1" outlineLevel="1" x14ac:dyDescent="0.25">
      <c r="A4137" s="106" t="s">
        <v>8288</v>
      </c>
      <c r="B4137" s="106" t="s">
        <v>8289</v>
      </c>
      <c r="C4137" s="106"/>
      <c r="D4137" s="106"/>
      <c r="E4137" s="52"/>
    </row>
    <row r="4138" spans="1:5" s="103" customFormat="1" ht="13.2" hidden="1" outlineLevel="1" x14ac:dyDescent="0.25">
      <c r="A4138" s="106" t="s">
        <v>8290</v>
      </c>
      <c r="B4138" s="106" t="s">
        <v>8291</v>
      </c>
      <c r="C4138" s="106"/>
      <c r="D4138" s="106"/>
      <c r="E4138" s="52"/>
    </row>
    <row r="4139" spans="1:5" s="103" customFormat="1" ht="13.2" hidden="1" outlineLevel="1" x14ac:dyDescent="0.25">
      <c r="A4139" s="106" t="s">
        <v>8292</v>
      </c>
      <c r="B4139" s="106" t="s">
        <v>8293</v>
      </c>
      <c r="C4139" s="106"/>
      <c r="D4139" s="106"/>
      <c r="E4139" s="52"/>
    </row>
    <row r="4140" spans="1:5" s="103" customFormat="1" ht="13.2" hidden="1" outlineLevel="1" x14ac:dyDescent="0.25">
      <c r="A4140" s="106" t="s">
        <v>8294</v>
      </c>
      <c r="B4140" s="106" t="s">
        <v>8295</v>
      </c>
      <c r="C4140" s="106"/>
      <c r="D4140" s="106"/>
      <c r="E4140" s="52"/>
    </row>
    <row r="4141" spans="1:5" s="103" customFormat="1" ht="13.2" hidden="1" outlineLevel="1" x14ac:dyDescent="0.25">
      <c r="A4141" s="106" t="s">
        <v>8296</v>
      </c>
      <c r="B4141" s="106" t="s">
        <v>8297</v>
      </c>
      <c r="C4141" s="106"/>
      <c r="D4141" s="106"/>
      <c r="E4141" s="52"/>
    </row>
    <row r="4142" spans="1:5" s="103" customFormat="1" ht="13.2" hidden="1" outlineLevel="1" x14ac:dyDescent="0.25">
      <c r="A4142" s="106" t="s">
        <v>8298</v>
      </c>
      <c r="B4142" s="106" t="s">
        <v>8299</v>
      </c>
      <c r="C4142" s="106"/>
      <c r="D4142" s="106"/>
      <c r="E4142" s="52"/>
    </row>
    <row r="4143" spans="1:5" s="103" customFormat="1" ht="13.2" hidden="1" outlineLevel="1" x14ac:dyDescent="0.25">
      <c r="A4143" s="106" t="s">
        <v>8300</v>
      </c>
      <c r="B4143" s="106" t="s">
        <v>8301</v>
      </c>
      <c r="C4143" s="106"/>
      <c r="D4143" s="106"/>
      <c r="E4143" s="52"/>
    </row>
    <row r="4144" spans="1:5" s="103" customFormat="1" ht="13.2" hidden="1" outlineLevel="1" x14ac:dyDescent="0.25">
      <c r="A4144" s="106" t="s">
        <v>8302</v>
      </c>
      <c r="B4144" s="106" t="s">
        <v>8303</v>
      </c>
      <c r="C4144" s="106"/>
      <c r="D4144" s="106"/>
      <c r="E4144" s="52"/>
    </row>
    <row r="4145" spans="1:5" s="103" customFormat="1" ht="13.2" hidden="1" outlineLevel="1" x14ac:dyDescent="0.25">
      <c r="A4145" s="106" t="s">
        <v>8304</v>
      </c>
      <c r="B4145" s="106" t="s">
        <v>8305</v>
      </c>
      <c r="C4145" s="106"/>
      <c r="D4145" s="106"/>
      <c r="E4145" s="52"/>
    </row>
    <row r="4146" spans="1:5" s="103" customFormat="1" ht="13.2" hidden="1" outlineLevel="1" x14ac:dyDescent="0.25">
      <c r="A4146" s="106" t="s">
        <v>8306</v>
      </c>
      <c r="B4146" s="106" t="s">
        <v>8307</v>
      </c>
      <c r="C4146" s="106"/>
      <c r="D4146" s="106"/>
      <c r="E4146" s="52"/>
    </row>
    <row r="4147" spans="1:5" s="103" customFormat="1" ht="13.2" hidden="1" outlineLevel="1" x14ac:dyDescent="0.25">
      <c r="A4147" s="106" t="s">
        <v>8308</v>
      </c>
      <c r="B4147" s="106" t="s">
        <v>8309</v>
      </c>
      <c r="C4147" s="106"/>
      <c r="D4147" s="106"/>
      <c r="E4147" s="52"/>
    </row>
    <row r="4148" spans="1:5" s="103" customFormat="1" ht="13.2" hidden="1" outlineLevel="1" x14ac:dyDescent="0.25">
      <c r="A4148" s="106" t="s">
        <v>8310</v>
      </c>
      <c r="B4148" s="106" t="s">
        <v>8311</v>
      </c>
      <c r="C4148" s="106"/>
      <c r="D4148" s="106"/>
      <c r="E4148" s="52"/>
    </row>
    <row r="4149" spans="1:5" s="103" customFormat="1" ht="13.2" hidden="1" outlineLevel="1" x14ac:dyDescent="0.25">
      <c r="A4149" s="106" t="s">
        <v>8312</v>
      </c>
      <c r="B4149" s="106" t="s">
        <v>8313</v>
      </c>
      <c r="C4149" s="106"/>
      <c r="D4149" s="106"/>
      <c r="E4149" s="52"/>
    </row>
    <row r="4150" spans="1:5" s="103" customFormat="1" ht="13.2" hidden="1" outlineLevel="1" x14ac:dyDescent="0.25">
      <c r="A4150" s="106" t="s">
        <v>8314</v>
      </c>
      <c r="B4150" s="106" t="s">
        <v>8315</v>
      </c>
      <c r="C4150" s="106"/>
      <c r="D4150" s="106"/>
      <c r="E4150" s="52"/>
    </row>
    <row r="4151" spans="1:5" s="103" customFormat="1" ht="13.2" hidden="1" outlineLevel="1" x14ac:dyDescent="0.25">
      <c r="A4151" s="106" t="s">
        <v>8316</v>
      </c>
      <c r="B4151" s="106" t="s">
        <v>8317</v>
      </c>
      <c r="C4151" s="106"/>
      <c r="D4151" s="106"/>
      <c r="E4151" s="52"/>
    </row>
    <row r="4152" spans="1:5" s="103" customFormat="1" ht="13.2" hidden="1" outlineLevel="1" x14ac:dyDescent="0.25">
      <c r="A4152" s="106" t="s">
        <v>8318</v>
      </c>
      <c r="B4152" s="106" t="s">
        <v>8319</v>
      </c>
      <c r="C4152" s="106"/>
      <c r="D4152" s="106"/>
      <c r="E4152" s="52"/>
    </row>
    <row r="4153" spans="1:5" s="103" customFormat="1" ht="13.2" hidden="1" outlineLevel="1" x14ac:dyDescent="0.25">
      <c r="A4153" s="106" t="s">
        <v>8320</v>
      </c>
      <c r="B4153" s="106" t="s">
        <v>8321</v>
      </c>
      <c r="C4153" s="106"/>
      <c r="D4153" s="106"/>
      <c r="E4153" s="52"/>
    </row>
    <row r="4154" spans="1:5" s="103" customFormat="1" ht="13.2" hidden="1" outlineLevel="1" x14ac:dyDescent="0.25">
      <c r="A4154" s="106" t="s">
        <v>8322</v>
      </c>
      <c r="B4154" s="106" t="s">
        <v>8323</v>
      </c>
      <c r="C4154" s="106"/>
      <c r="D4154" s="106"/>
      <c r="E4154" s="52"/>
    </row>
    <row r="4155" spans="1:5" s="103" customFormat="1" ht="13.2" hidden="1" outlineLevel="1" x14ac:dyDescent="0.25">
      <c r="A4155" s="106" t="s">
        <v>8324</v>
      </c>
      <c r="B4155" s="106" t="s">
        <v>8325</v>
      </c>
      <c r="C4155" s="106"/>
      <c r="D4155" s="106"/>
      <c r="E4155" s="52"/>
    </row>
    <row r="4156" spans="1:5" s="103" customFormat="1" ht="13.2" hidden="1" outlineLevel="1" x14ac:dyDescent="0.25">
      <c r="A4156" s="106" t="s">
        <v>8326</v>
      </c>
      <c r="B4156" s="106" t="s">
        <v>8327</v>
      </c>
      <c r="C4156" s="106"/>
      <c r="D4156" s="106"/>
      <c r="E4156" s="52"/>
    </row>
    <row r="4157" spans="1:5" s="103" customFormat="1" ht="13.2" hidden="1" outlineLevel="1" x14ac:dyDescent="0.25">
      <c r="A4157" s="106" t="s">
        <v>8328</v>
      </c>
      <c r="B4157" s="106" t="s">
        <v>8329</v>
      </c>
      <c r="C4157" s="106"/>
      <c r="D4157" s="106"/>
      <c r="E4157" s="52"/>
    </row>
    <row r="4158" spans="1:5" s="103" customFormat="1" ht="13.2" hidden="1" outlineLevel="1" x14ac:dyDescent="0.25">
      <c r="A4158" s="106" t="s">
        <v>8330</v>
      </c>
      <c r="B4158" s="106" t="s">
        <v>8331</v>
      </c>
      <c r="C4158" s="106"/>
      <c r="D4158" s="106"/>
      <c r="E4158" s="52"/>
    </row>
    <row r="4159" spans="1:5" s="103" customFormat="1" ht="13.2" hidden="1" outlineLevel="1" x14ac:dyDescent="0.25">
      <c r="A4159" s="106" t="s">
        <v>8332</v>
      </c>
      <c r="B4159" s="106" t="s">
        <v>8333</v>
      </c>
      <c r="C4159" s="106"/>
      <c r="D4159" s="106"/>
      <c r="E4159" s="52"/>
    </row>
    <row r="4160" spans="1:5" s="103" customFormat="1" ht="13.2" hidden="1" outlineLevel="1" x14ac:dyDescent="0.25">
      <c r="A4160" s="106" t="s">
        <v>8334</v>
      </c>
      <c r="B4160" s="106" t="s">
        <v>8335</v>
      </c>
      <c r="C4160" s="106"/>
      <c r="D4160" s="106"/>
      <c r="E4160" s="52"/>
    </row>
    <row r="4161" spans="1:5" s="103" customFormat="1" ht="13.2" hidden="1" outlineLevel="1" x14ac:dyDescent="0.25">
      <c r="A4161" s="106" t="s">
        <v>8336</v>
      </c>
      <c r="B4161" s="106" t="s">
        <v>8337</v>
      </c>
      <c r="C4161" s="106"/>
      <c r="D4161" s="106"/>
      <c r="E4161" s="52"/>
    </row>
    <row r="4162" spans="1:5" s="103" customFormat="1" ht="13.2" hidden="1" outlineLevel="1" x14ac:dyDescent="0.25">
      <c r="A4162" s="106" t="s">
        <v>8338</v>
      </c>
      <c r="B4162" s="106" t="s">
        <v>8339</v>
      </c>
      <c r="C4162" s="106"/>
      <c r="D4162" s="106"/>
      <c r="E4162" s="52"/>
    </row>
    <row r="4163" spans="1:5" s="103" customFormat="1" ht="13.2" hidden="1" outlineLevel="1" x14ac:dyDescent="0.25">
      <c r="A4163" s="106" t="s">
        <v>8340</v>
      </c>
      <c r="B4163" s="106" t="s">
        <v>8341</v>
      </c>
      <c r="C4163" s="106"/>
      <c r="D4163" s="106"/>
      <c r="E4163" s="52"/>
    </row>
    <row r="4164" spans="1:5" s="103" customFormat="1" ht="13.2" hidden="1" outlineLevel="1" x14ac:dyDescent="0.25">
      <c r="A4164" s="106" t="s">
        <v>8342</v>
      </c>
      <c r="B4164" s="106" t="s">
        <v>8343</v>
      </c>
      <c r="C4164" s="106"/>
      <c r="D4164" s="106"/>
      <c r="E4164" s="52"/>
    </row>
    <row r="4165" spans="1:5" s="103" customFormat="1" ht="13.2" hidden="1" outlineLevel="1" x14ac:dyDescent="0.25">
      <c r="A4165" s="106" t="s">
        <v>8344</v>
      </c>
      <c r="B4165" s="106" t="s">
        <v>8345</v>
      </c>
      <c r="C4165" s="106"/>
      <c r="D4165" s="106"/>
      <c r="E4165" s="52"/>
    </row>
    <row r="4166" spans="1:5" s="103" customFormat="1" ht="13.2" hidden="1" outlineLevel="1" x14ac:dyDescent="0.25">
      <c r="A4166" s="106" t="s">
        <v>8346</v>
      </c>
      <c r="B4166" s="106" t="s">
        <v>8347</v>
      </c>
      <c r="C4166" s="106"/>
      <c r="D4166" s="106"/>
      <c r="E4166" s="52"/>
    </row>
    <row r="4167" spans="1:5" s="103" customFormat="1" ht="13.2" hidden="1" outlineLevel="1" x14ac:dyDescent="0.25">
      <c r="A4167" s="106" t="s">
        <v>8348</v>
      </c>
      <c r="B4167" s="106" t="s">
        <v>8349</v>
      </c>
      <c r="C4167" s="106"/>
      <c r="D4167" s="106"/>
      <c r="E4167" s="52"/>
    </row>
    <row r="4168" spans="1:5" s="103" customFormat="1" ht="13.2" hidden="1" outlineLevel="1" x14ac:dyDescent="0.25">
      <c r="A4168" s="106" t="s">
        <v>8350</v>
      </c>
      <c r="B4168" s="106" t="s">
        <v>8351</v>
      </c>
      <c r="C4168" s="106"/>
      <c r="D4168" s="106"/>
      <c r="E4168" s="52"/>
    </row>
    <row r="4169" spans="1:5" s="103" customFormat="1" ht="13.2" hidden="1" outlineLevel="1" x14ac:dyDescent="0.25">
      <c r="A4169" s="106" t="s">
        <v>8352</v>
      </c>
      <c r="B4169" s="106" t="s">
        <v>8353</v>
      </c>
      <c r="C4169" s="106"/>
      <c r="D4169" s="106"/>
      <c r="E4169" s="52"/>
    </row>
    <row r="4170" spans="1:5" s="103" customFormat="1" ht="13.2" hidden="1" outlineLevel="1" x14ac:dyDescent="0.25">
      <c r="A4170" s="106" t="s">
        <v>8354</v>
      </c>
      <c r="B4170" s="106" t="s">
        <v>8355</v>
      </c>
      <c r="C4170" s="106"/>
      <c r="D4170" s="106"/>
      <c r="E4170" s="52"/>
    </row>
    <row r="4171" spans="1:5" s="103" customFormat="1" ht="13.2" hidden="1" outlineLevel="1" x14ac:dyDescent="0.25">
      <c r="A4171" s="106" t="s">
        <v>8356</v>
      </c>
      <c r="B4171" s="106" t="s">
        <v>8357</v>
      </c>
      <c r="C4171" s="106"/>
      <c r="D4171" s="106"/>
      <c r="E4171" s="52"/>
    </row>
    <row r="4172" spans="1:5" s="103" customFormat="1" ht="13.2" hidden="1" outlineLevel="1" x14ac:dyDescent="0.25">
      <c r="A4172" s="106" t="s">
        <v>8358</v>
      </c>
      <c r="B4172" s="106" t="s">
        <v>8359</v>
      </c>
      <c r="C4172" s="106"/>
      <c r="D4172" s="106"/>
      <c r="E4172" s="52"/>
    </row>
    <row r="4173" spans="1:5" s="103" customFormat="1" ht="13.2" hidden="1" outlineLevel="1" x14ac:dyDescent="0.25">
      <c r="A4173" s="106" t="s">
        <v>8360</v>
      </c>
      <c r="B4173" s="106" t="s">
        <v>8361</v>
      </c>
      <c r="C4173" s="106"/>
      <c r="D4173" s="106"/>
      <c r="E4173" s="52"/>
    </row>
    <row r="4174" spans="1:5" s="103" customFormat="1" ht="13.2" hidden="1" outlineLevel="1" x14ac:dyDescent="0.25">
      <c r="A4174" s="106" t="s">
        <v>8362</v>
      </c>
      <c r="B4174" s="106" t="s">
        <v>8363</v>
      </c>
      <c r="C4174" s="106"/>
      <c r="D4174" s="106"/>
      <c r="E4174" s="52"/>
    </row>
    <row r="4175" spans="1:5" s="103" customFormat="1" ht="13.2" hidden="1" outlineLevel="1" x14ac:dyDescent="0.25">
      <c r="A4175" s="106" t="s">
        <v>8364</v>
      </c>
      <c r="B4175" s="106" t="s">
        <v>8365</v>
      </c>
      <c r="C4175" s="106"/>
      <c r="D4175" s="106"/>
      <c r="E4175" s="52"/>
    </row>
    <row r="4176" spans="1:5" s="103" customFormat="1" ht="13.2" hidden="1" outlineLevel="1" x14ac:dyDescent="0.25">
      <c r="A4176" s="106" t="s">
        <v>8366</v>
      </c>
      <c r="B4176" s="106" t="s">
        <v>8367</v>
      </c>
      <c r="C4176" s="106"/>
      <c r="D4176" s="106"/>
      <c r="E4176" s="52"/>
    </row>
    <row r="4177" spans="1:5" s="103" customFormat="1" ht="13.2" hidden="1" outlineLevel="1" x14ac:dyDescent="0.25">
      <c r="A4177" s="106" t="s">
        <v>8368</v>
      </c>
      <c r="B4177" s="106" t="s">
        <v>8369</v>
      </c>
      <c r="C4177" s="106"/>
      <c r="D4177" s="106"/>
      <c r="E4177" s="52"/>
    </row>
    <row r="4178" spans="1:5" s="103" customFormat="1" ht="13.2" hidden="1" outlineLevel="1" x14ac:dyDescent="0.25">
      <c r="A4178" s="106" t="s">
        <v>8370</v>
      </c>
      <c r="B4178" s="106" t="s">
        <v>8371</v>
      </c>
      <c r="C4178" s="106"/>
      <c r="D4178" s="106"/>
      <c r="E4178" s="52"/>
    </row>
    <row r="4179" spans="1:5" s="103" customFormat="1" ht="13.2" hidden="1" outlineLevel="1" x14ac:dyDescent="0.25">
      <c r="A4179" s="106" t="s">
        <v>8372</v>
      </c>
      <c r="B4179" s="106" t="s">
        <v>8373</v>
      </c>
      <c r="C4179" s="106"/>
      <c r="D4179" s="106"/>
      <c r="E4179" s="52"/>
    </row>
    <row r="4180" spans="1:5" s="103" customFormat="1" ht="13.2" hidden="1" outlineLevel="1" x14ac:dyDescent="0.25">
      <c r="A4180" s="106" t="s">
        <v>8374</v>
      </c>
      <c r="B4180" s="106" t="s">
        <v>8375</v>
      </c>
      <c r="C4180" s="106"/>
      <c r="D4180" s="106"/>
      <c r="E4180" s="52"/>
    </row>
    <row r="4181" spans="1:5" s="103" customFormat="1" ht="13.2" hidden="1" outlineLevel="1" x14ac:dyDescent="0.25">
      <c r="A4181" s="106" t="s">
        <v>8376</v>
      </c>
      <c r="B4181" s="106" t="s">
        <v>8377</v>
      </c>
      <c r="C4181" s="106"/>
      <c r="D4181" s="106"/>
      <c r="E4181" s="52"/>
    </row>
    <row r="4182" spans="1:5" s="103" customFormat="1" ht="13.2" hidden="1" outlineLevel="1" x14ac:dyDescent="0.25">
      <c r="A4182" s="106" t="s">
        <v>8378</v>
      </c>
      <c r="B4182" s="106" t="s">
        <v>8379</v>
      </c>
      <c r="C4182" s="106"/>
      <c r="D4182" s="106"/>
      <c r="E4182" s="52"/>
    </row>
    <row r="4183" spans="1:5" s="103" customFormat="1" ht="13.2" hidden="1" outlineLevel="1" x14ac:dyDescent="0.25">
      <c r="A4183" s="106" t="s">
        <v>8380</v>
      </c>
      <c r="B4183" s="106" t="s">
        <v>4809</v>
      </c>
      <c r="C4183" s="106"/>
      <c r="D4183" s="106"/>
      <c r="E4183" s="52"/>
    </row>
    <row r="4184" spans="1:5" s="103" customFormat="1" ht="13.2" hidden="1" outlineLevel="1" x14ac:dyDescent="0.25">
      <c r="A4184" s="106" t="s">
        <v>8381</v>
      </c>
      <c r="B4184" s="106" t="s">
        <v>8382</v>
      </c>
      <c r="C4184" s="106"/>
      <c r="D4184" s="106"/>
      <c r="E4184" s="52"/>
    </row>
    <row r="4185" spans="1:5" s="103" customFormat="1" ht="13.2" hidden="1" outlineLevel="1" x14ac:dyDescent="0.25">
      <c r="A4185" s="106" t="s">
        <v>8383</v>
      </c>
      <c r="B4185" s="106" t="s">
        <v>8384</v>
      </c>
      <c r="C4185" s="106"/>
      <c r="D4185" s="106"/>
      <c r="E4185" s="52"/>
    </row>
    <row r="4186" spans="1:5" s="103" customFormat="1" ht="13.2" hidden="1" outlineLevel="1" x14ac:dyDescent="0.25">
      <c r="A4186" s="106" t="s">
        <v>8385</v>
      </c>
      <c r="B4186" s="106" t="s">
        <v>8386</v>
      </c>
      <c r="C4186" s="106"/>
      <c r="D4186" s="106"/>
      <c r="E4186" s="52"/>
    </row>
    <row r="4187" spans="1:5" s="103" customFormat="1" ht="13.2" hidden="1" outlineLevel="1" x14ac:dyDescent="0.25">
      <c r="A4187" s="106" t="s">
        <v>8387</v>
      </c>
      <c r="B4187" s="106" t="s">
        <v>8388</v>
      </c>
      <c r="C4187" s="106"/>
      <c r="D4187" s="106"/>
      <c r="E4187" s="52"/>
    </row>
    <row r="4188" spans="1:5" s="103" customFormat="1" ht="13.2" hidden="1" outlineLevel="1" x14ac:dyDescent="0.25">
      <c r="A4188" s="106" t="s">
        <v>8389</v>
      </c>
      <c r="B4188" s="106" t="s">
        <v>8390</v>
      </c>
      <c r="C4188" s="106"/>
      <c r="D4188" s="106"/>
      <c r="E4188" s="52"/>
    </row>
    <row r="4189" spans="1:5" s="103" customFormat="1" ht="13.2" hidden="1" outlineLevel="1" x14ac:dyDescent="0.25">
      <c r="A4189" s="106" t="s">
        <v>8391</v>
      </c>
      <c r="B4189" s="106" t="s">
        <v>8392</v>
      </c>
      <c r="C4189" s="106"/>
      <c r="D4189" s="106"/>
      <c r="E4189" s="52"/>
    </row>
    <row r="4190" spans="1:5" s="103" customFormat="1" ht="13.2" hidden="1" outlineLevel="1" x14ac:dyDescent="0.25">
      <c r="A4190" s="106" t="s">
        <v>8393</v>
      </c>
      <c r="B4190" s="106" t="s">
        <v>8394</v>
      </c>
      <c r="C4190" s="106"/>
      <c r="D4190" s="106"/>
      <c r="E4190" s="52"/>
    </row>
    <row r="4191" spans="1:5" s="103" customFormat="1" ht="13.2" hidden="1" outlineLevel="1" x14ac:dyDescent="0.25">
      <c r="A4191" s="106" t="s">
        <v>8395</v>
      </c>
      <c r="B4191" s="106" t="s">
        <v>8396</v>
      </c>
      <c r="C4191" s="106"/>
      <c r="D4191" s="106"/>
      <c r="E4191" s="52"/>
    </row>
    <row r="4192" spans="1:5" s="103" customFormat="1" ht="13.2" hidden="1" outlineLevel="1" x14ac:dyDescent="0.25">
      <c r="A4192" s="106" t="s">
        <v>8397</v>
      </c>
      <c r="B4192" s="106" t="s">
        <v>8398</v>
      </c>
      <c r="C4192" s="106"/>
      <c r="D4192" s="106"/>
      <c r="E4192" s="52"/>
    </row>
    <row r="4193" spans="1:5" s="103" customFormat="1" ht="13.2" hidden="1" outlineLevel="1" x14ac:dyDescent="0.25">
      <c r="A4193" s="106" t="s">
        <v>8399</v>
      </c>
      <c r="B4193" s="106" t="s">
        <v>8400</v>
      </c>
      <c r="C4193" s="106"/>
      <c r="D4193" s="106"/>
      <c r="E4193" s="52"/>
    </row>
    <row r="4194" spans="1:5" s="103" customFormat="1" ht="13.2" hidden="1" outlineLevel="1" x14ac:dyDescent="0.25">
      <c r="A4194" s="106" t="s">
        <v>8401</v>
      </c>
      <c r="B4194" s="106" t="s">
        <v>8402</v>
      </c>
      <c r="C4194" s="106"/>
      <c r="D4194" s="106"/>
      <c r="E4194" s="52"/>
    </row>
    <row r="4195" spans="1:5" s="103" customFormat="1" ht="13.2" hidden="1" outlineLevel="1" x14ac:dyDescent="0.25">
      <c r="A4195" s="106" t="s">
        <v>8403</v>
      </c>
      <c r="B4195" s="106" t="s">
        <v>8404</v>
      </c>
      <c r="C4195" s="106"/>
      <c r="D4195" s="106"/>
      <c r="E4195" s="52"/>
    </row>
    <row r="4196" spans="1:5" s="103" customFormat="1" ht="13.2" hidden="1" outlineLevel="1" x14ac:dyDescent="0.25">
      <c r="A4196" s="106" t="s">
        <v>8405</v>
      </c>
      <c r="B4196" s="106" t="s">
        <v>8406</v>
      </c>
      <c r="C4196" s="106"/>
      <c r="D4196" s="106"/>
      <c r="E4196" s="52"/>
    </row>
    <row r="4197" spans="1:5" s="103" customFormat="1" ht="13.2" hidden="1" outlineLevel="1" x14ac:dyDescent="0.25">
      <c r="A4197" s="106" t="s">
        <v>8407</v>
      </c>
      <c r="B4197" s="106" t="s">
        <v>8408</v>
      </c>
      <c r="C4197" s="106"/>
      <c r="D4197" s="106"/>
      <c r="E4197" s="52"/>
    </row>
    <row r="4198" spans="1:5" s="103" customFormat="1" ht="13.2" hidden="1" outlineLevel="1" x14ac:dyDescent="0.25">
      <c r="A4198" s="106" t="s">
        <v>8409</v>
      </c>
      <c r="B4198" s="106" t="s">
        <v>8410</v>
      </c>
      <c r="C4198" s="106"/>
      <c r="D4198" s="106"/>
      <c r="E4198" s="52"/>
    </row>
    <row r="4199" spans="1:5" s="103" customFormat="1" ht="13.2" hidden="1" outlineLevel="1" x14ac:dyDescent="0.25">
      <c r="A4199" s="106" t="s">
        <v>8411</v>
      </c>
      <c r="B4199" s="106" t="s">
        <v>8412</v>
      </c>
      <c r="C4199" s="106"/>
      <c r="D4199" s="106"/>
      <c r="E4199" s="52"/>
    </row>
    <row r="4200" spans="1:5" s="103" customFormat="1" ht="13.2" hidden="1" outlineLevel="1" x14ac:dyDescent="0.25">
      <c r="A4200" s="106" t="s">
        <v>8413</v>
      </c>
      <c r="B4200" s="106" t="s">
        <v>8414</v>
      </c>
      <c r="C4200" s="106"/>
      <c r="D4200" s="106"/>
      <c r="E4200" s="52"/>
    </row>
    <row r="4201" spans="1:5" s="103" customFormat="1" ht="13.2" hidden="1" outlineLevel="1" x14ac:dyDescent="0.25">
      <c r="A4201" s="106" t="s">
        <v>8415</v>
      </c>
      <c r="B4201" s="106" t="s">
        <v>8416</v>
      </c>
      <c r="C4201" s="106"/>
      <c r="D4201" s="106"/>
      <c r="E4201" s="52"/>
    </row>
    <row r="4202" spans="1:5" s="103" customFormat="1" ht="13.2" hidden="1" outlineLevel="1" x14ac:dyDescent="0.25">
      <c r="A4202" s="106" t="s">
        <v>8417</v>
      </c>
      <c r="B4202" s="106" t="s">
        <v>8418</v>
      </c>
      <c r="C4202" s="106"/>
      <c r="D4202" s="106"/>
      <c r="E4202" s="52"/>
    </row>
    <row r="4203" spans="1:5" s="103" customFormat="1" ht="13.2" hidden="1" outlineLevel="1" x14ac:dyDescent="0.25">
      <c r="A4203" s="106" t="s">
        <v>8419</v>
      </c>
      <c r="B4203" s="106" t="s">
        <v>8420</v>
      </c>
      <c r="C4203" s="106"/>
      <c r="D4203" s="106"/>
      <c r="E4203" s="52"/>
    </row>
    <row r="4204" spans="1:5" s="103" customFormat="1" ht="13.2" hidden="1" outlineLevel="1" x14ac:dyDescent="0.25">
      <c r="A4204" s="106" t="s">
        <v>8421</v>
      </c>
      <c r="B4204" s="106" t="s">
        <v>8422</v>
      </c>
      <c r="C4204" s="106"/>
      <c r="D4204" s="106"/>
      <c r="E4204" s="52"/>
    </row>
    <row r="4205" spans="1:5" s="103" customFormat="1" ht="13.2" hidden="1" outlineLevel="1" x14ac:dyDescent="0.25">
      <c r="A4205" s="106" t="s">
        <v>8423</v>
      </c>
      <c r="B4205" s="106" t="s">
        <v>8424</v>
      </c>
      <c r="C4205" s="106"/>
      <c r="D4205" s="106"/>
      <c r="E4205" s="52"/>
    </row>
    <row r="4206" spans="1:5" s="103" customFormat="1" ht="13.2" hidden="1" outlineLevel="1" x14ac:dyDescent="0.25">
      <c r="A4206" s="106" t="s">
        <v>8425</v>
      </c>
      <c r="B4206" s="106" t="s">
        <v>8426</v>
      </c>
      <c r="C4206" s="106"/>
      <c r="D4206" s="106"/>
      <c r="E4206" s="52"/>
    </row>
    <row r="4207" spans="1:5" s="103" customFormat="1" ht="13.2" hidden="1" outlineLevel="1" x14ac:dyDescent="0.25">
      <c r="A4207" s="106" t="s">
        <v>8427</v>
      </c>
      <c r="B4207" s="106" t="s">
        <v>8428</v>
      </c>
      <c r="C4207" s="106"/>
      <c r="D4207" s="106"/>
      <c r="E4207" s="52"/>
    </row>
    <row r="4208" spans="1:5" s="103" customFormat="1" ht="13.2" hidden="1" outlineLevel="1" x14ac:dyDescent="0.25">
      <c r="A4208" s="106" t="s">
        <v>8429</v>
      </c>
      <c r="B4208" s="106" t="s">
        <v>8430</v>
      </c>
      <c r="C4208" s="106"/>
      <c r="D4208" s="106"/>
      <c r="E4208" s="52"/>
    </row>
    <row r="4209" spans="1:5" s="103" customFormat="1" ht="13.2" hidden="1" outlineLevel="1" x14ac:dyDescent="0.25">
      <c r="A4209" s="106" t="s">
        <v>8431</v>
      </c>
      <c r="B4209" s="106" t="s">
        <v>8432</v>
      </c>
      <c r="C4209" s="106"/>
      <c r="D4209" s="106"/>
      <c r="E4209" s="52"/>
    </row>
    <row r="4210" spans="1:5" s="103" customFormat="1" ht="13.2" hidden="1" outlineLevel="1" x14ac:dyDescent="0.25">
      <c r="A4210" s="106" t="s">
        <v>8433</v>
      </c>
      <c r="B4210" s="106" t="s">
        <v>8434</v>
      </c>
      <c r="C4210" s="106"/>
      <c r="D4210" s="106"/>
      <c r="E4210" s="52"/>
    </row>
    <row r="4211" spans="1:5" s="103" customFormat="1" ht="13.2" hidden="1" outlineLevel="1" x14ac:dyDescent="0.25">
      <c r="A4211" s="106" t="s">
        <v>8435</v>
      </c>
      <c r="B4211" s="106" t="s">
        <v>8436</v>
      </c>
      <c r="C4211" s="106"/>
      <c r="D4211" s="106"/>
      <c r="E4211" s="52"/>
    </row>
    <row r="4212" spans="1:5" s="103" customFormat="1" ht="13.2" hidden="1" outlineLevel="1" x14ac:dyDescent="0.25">
      <c r="A4212" s="106" t="s">
        <v>8437</v>
      </c>
      <c r="B4212" s="106" t="s">
        <v>8438</v>
      </c>
      <c r="C4212" s="106"/>
      <c r="D4212" s="106"/>
      <c r="E4212" s="52"/>
    </row>
    <row r="4213" spans="1:5" s="103" customFormat="1" ht="13.2" hidden="1" outlineLevel="1" x14ac:dyDescent="0.25">
      <c r="A4213" s="106" t="s">
        <v>8439</v>
      </c>
      <c r="B4213" s="106" t="s">
        <v>8440</v>
      </c>
      <c r="C4213" s="106"/>
      <c r="D4213" s="106"/>
      <c r="E4213" s="52"/>
    </row>
    <row r="4214" spans="1:5" s="103" customFormat="1" ht="13.2" hidden="1" outlineLevel="1" x14ac:dyDescent="0.25">
      <c r="A4214" s="106" t="s">
        <v>8441</v>
      </c>
      <c r="B4214" s="106" t="s">
        <v>8442</v>
      </c>
      <c r="C4214" s="106"/>
      <c r="D4214" s="106"/>
      <c r="E4214" s="52"/>
    </row>
    <row r="4215" spans="1:5" s="103" customFormat="1" ht="13.2" hidden="1" outlineLevel="1" x14ac:dyDescent="0.25">
      <c r="A4215" s="106" t="s">
        <v>8443</v>
      </c>
      <c r="B4215" s="106" t="s">
        <v>8444</v>
      </c>
      <c r="C4215" s="106"/>
      <c r="D4215" s="106"/>
      <c r="E4215" s="52"/>
    </row>
    <row r="4216" spans="1:5" s="103" customFormat="1" ht="13.2" hidden="1" outlineLevel="1" x14ac:dyDescent="0.25">
      <c r="A4216" s="106" t="s">
        <v>8445</v>
      </c>
      <c r="B4216" s="106" t="s">
        <v>8446</v>
      </c>
      <c r="C4216" s="106"/>
      <c r="D4216" s="106"/>
      <c r="E4216" s="52"/>
    </row>
    <row r="4217" spans="1:5" s="103" customFormat="1" ht="13.2" hidden="1" outlineLevel="1" x14ac:dyDescent="0.25">
      <c r="A4217" s="106" t="s">
        <v>8447</v>
      </c>
      <c r="B4217" s="106" t="s">
        <v>8448</v>
      </c>
      <c r="C4217" s="106"/>
      <c r="D4217" s="106"/>
      <c r="E4217" s="52"/>
    </row>
    <row r="4218" spans="1:5" s="103" customFormat="1" ht="13.2" hidden="1" outlineLevel="1" x14ac:dyDescent="0.25">
      <c r="A4218" s="106" t="s">
        <v>8449</v>
      </c>
      <c r="B4218" s="106" t="s">
        <v>8450</v>
      </c>
      <c r="C4218" s="106"/>
      <c r="D4218" s="106"/>
      <c r="E4218" s="52"/>
    </row>
    <row r="4219" spans="1:5" s="103" customFormat="1" ht="13.2" hidden="1" outlineLevel="1" x14ac:dyDescent="0.25">
      <c r="A4219" s="106" t="s">
        <v>8451</v>
      </c>
      <c r="B4219" s="106" t="s">
        <v>8452</v>
      </c>
      <c r="C4219" s="106"/>
      <c r="D4219" s="106"/>
      <c r="E4219" s="52"/>
    </row>
    <row r="4220" spans="1:5" s="103" customFormat="1" ht="13.2" hidden="1" outlineLevel="1" x14ac:dyDescent="0.25">
      <c r="A4220" s="106" t="s">
        <v>8453</v>
      </c>
      <c r="B4220" s="106" t="s">
        <v>8454</v>
      </c>
      <c r="C4220" s="106"/>
      <c r="D4220" s="106"/>
      <c r="E4220" s="52"/>
    </row>
    <row r="4221" spans="1:5" s="103" customFormat="1" ht="13.2" hidden="1" outlineLevel="1" x14ac:dyDescent="0.25">
      <c r="A4221" s="106" t="s">
        <v>8455</v>
      </c>
      <c r="B4221" s="106" t="s">
        <v>8456</v>
      </c>
      <c r="C4221" s="106"/>
      <c r="D4221" s="106"/>
      <c r="E4221" s="52"/>
    </row>
    <row r="4222" spans="1:5" s="103" customFormat="1" ht="13.2" hidden="1" outlineLevel="1" x14ac:dyDescent="0.25">
      <c r="A4222" s="106" t="s">
        <v>8457</v>
      </c>
      <c r="B4222" s="106" t="s">
        <v>8458</v>
      </c>
      <c r="C4222" s="106"/>
      <c r="D4222" s="106"/>
      <c r="E4222" s="52"/>
    </row>
    <row r="4223" spans="1:5" s="103" customFormat="1" ht="13.2" hidden="1" outlineLevel="1" x14ac:dyDescent="0.25">
      <c r="A4223" s="106" t="s">
        <v>8459</v>
      </c>
      <c r="B4223" s="106" t="s">
        <v>8460</v>
      </c>
      <c r="C4223" s="106"/>
      <c r="D4223" s="106"/>
      <c r="E4223" s="52"/>
    </row>
    <row r="4224" spans="1:5" s="103" customFormat="1" ht="13.2" hidden="1" outlineLevel="1" x14ac:dyDescent="0.25">
      <c r="A4224" s="106" t="s">
        <v>8461</v>
      </c>
      <c r="B4224" s="106" t="s">
        <v>8462</v>
      </c>
      <c r="C4224" s="106"/>
      <c r="D4224" s="106"/>
      <c r="E4224" s="52"/>
    </row>
    <row r="4225" spans="1:5" s="103" customFormat="1" ht="13.2" hidden="1" outlineLevel="1" x14ac:dyDescent="0.25">
      <c r="A4225" s="106" t="s">
        <v>8463</v>
      </c>
      <c r="B4225" s="106" t="s">
        <v>8464</v>
      </c>
      <c r="C4225" s="106"/>
      <c r="D4225" s="106"/>
      <c r="E4225" s="52"/>
    </row>
    <row r="4226" spans="1:5" s="103" customFormat="1" ht="13.2" hidden="1" outlineLevel="1" x14ac:dyDescent="0.25">
      <c r="A4226" s="106" t="s">
        <v>8465</v>
      </c>
      <c r="B4226" s="106" t="s">
        <v>8466</v>
      </c>
      <c r="C4226" s="106"/>
      <c r="D4226" s="106"/>
      <c r="E4226" s="52"/>
    </row>
    <row r="4227" spans="1:5" s="103" customFormat="1" ht="13.2" hidden="1" outlineLevel="1" x14ac:dyDescent="0.25">
      <c r="A4227" s="106" t="s">
        <v>8467</v>
      </c>
      <c r="B4227" s="106" t="s">
        <v>8468</v>
      </c>
      <c r="C4227" s="106"/>
      <c r="D4227" s="106"/>
      <c r="E4227" s="52"/>
    </row>
    <row r="4228" spans="1:5" s="103" customFormat="1" ht="13.2" hidden="1" outlineLevel="1" x14ac:dyDescent="0.25">
      <c r="A4228" s="106" t="s">
        <v>8469</v>
      </c>
      <c r="B4228" s="106" t="s">
        <v>8470</v>
      </c>
      <c r="C4228" s="106"/>
      <c r="D4228" s="106"/>
      <c r="E4228" s="52"/>
    </row>
    <row r="4229" spans="1:5" s="103" customFormat="1" ht="13.2" hidden="1" outlineLevel="1" x14ac:dyDescent="0.25">
      <c r="A4229" s="106" t="s">
        <v>8471</v>
      </c>
      <c r="B4229" s="106" t="s">
        <v>8472</v>
      </c>
      <c r="C4229" s="106"/>
      <c r="D4229" s="106"/>
      <c r="E4229" s="52"/>
    </row>
    <row r="4230" spans="1:5" s="103" customFormat="1" ht="13.2" hidden="1" outlineLevel="1" x14ac:dyDescent="0.25">
      <c r="A4230" s="106" t="s">
        <v>8473</v>
      </c>
      <c r="B4230" s="106" t="s">
        <v>8474</v>
      </c>
      <c r="C4230" s="106"/>
      <c r="D4230" s="106"/>
      <c r="E4230" s="52"/>
    </row>
    <row r="4231" spans="1:5" s="103" customFormat="1" ht="13.2" hidden="1" outlineLevel="1" x14ac:dyDescent="0.25">
      <c r="A4231" s="106" t="s">
        <v>8475</v>
      </c>
      <c r="B4231" s="106" t="s">
        <v>8476</v>
      </c>
      <c r="C4231" s="106"/>
      <c r="D4231" s="106"/>
      <c r="E4231" s="52"/>
    </row>
    <row r="4232" spans="1:5" s="103" customFormat="1" ht="13.2" hidden="1" outlineLevel="1" x14ac:dyDescent="0.25">
      <c r="A4232" s="106" t="s">
        <v>8477</v>
      </c>
      <c r="B4232" s="106" t="s">
        <v>8478</v>
      </c>
      <c r="C4232" s="106"/>
      <c r="D4232" s="106"/>
      <c r="E4232" s="52"/>
    </row>
    <row r="4233" spans="1:5" s="103" customFormat="1" ht="13.2" hidden="1" outlineLevel="1" x14ac:dyDescent="0.25">
      <c r="A4233" s="106" t="s">
        <v>8479</v>
      </c>
      <c r="B4233" s="106" t="s">
        <v>8480</v>
      </c>
      <c r="C4233" s="106"/>
      <c r="D4233" s="106"/>
      <c r="E4233" s="52"/>
    </row>
    <row r="4234" spans="1:5" s="103" customFormat="1" ht="13.2" hidden="1" outlineLevel="1" x14ac:dyDescent="0.25">
      <c r="A4234" s="106" t="s">
        <v>8481</v>
      </c>
      <c r="B4234" s="106" t="s">
        <v>8482</v>
      </c>
      <c r="C4234" s="106"/>
      <c r="D4234" s="106"/>
      <c r="E4234" s="52"/>
    </row>
    <row r="4235" spans="1:5" s="103" customFormat="1" ht="13.2" hidden="1" outlineLevel="1" x14ac:dyDescent="0.25">
      <c r="A4235" s="106" t="s">
        <v>8483</v>
      </c>
      <c r="B4235" s="106" t="s">
        <v>8484</v>
      </c>
      <c r="C4235" s="106"/>
      <c r="D4235" s="106"/>
      <c r="E4235" s="52"/>
    </row>
    <row r="4236" spans="1:5" s="103" customFormat="1" ht="13.2" hidden="1" outlineLevel="1" x14ac:dyDescent="0.25">
      <c r="A4236" s="106" t="s">
        <v>8485</v>
      </c>
      <c r="B4236" s="106" t="s">
        <v>8486</v>
      </c>
      <c r="C4236" s="106"/>
      <c r="D4236" s="106"/>
      <c r="E4236" s="52"/>
    </row>
    <row r="4237" spans="1:5" s="103" customFormat="1" ht="13.2" hidden="1" outlineLevel="1" x14ac:dyDescent="0.25">
      <c r="A4237" s="106" t="s">
        <v>8487</v>
      </c>
      <c r="B4237" s="106" t="s">
        <v>8488</v>
      </c>
      <c r="C4237" s="106"/>
      <c r="D4237" s="106"/>
      <c r="E4237" s="52"/>
    </row>
    <row r="4238" spans="1:5" s="103" customFormat="1" ht="13.2" hidden="1" outlineLevel="1" x14ac:dyDescent="0.25">
      <c r="A4238" s="106" t="s">
        <v>8489</v>
      </c>
      <c r="B4238" s="106" t="s">
        <v>8490</v>
      </c>
      <c r="C4238" s="106"/>
      <c r="D4238" s="106"/>
      <c r="E4238" s="52"/>
    </row>
    <row r="4239" spans="1:5" s="103" customFormat="1" ht="13.2" hidden="1" outlineLevel="1" x14ac:dyDescent="0.25">
      <c r="A4239" s="106" t="s">
        <v>8491</v>
      </c>
      <c r="B4239" s="106" t="s">
        <v>8492</v>
      </c>
      <c r="C4239" s="106"/>
      <c r="D4239" s="106"/>
      <c r="E4239" s="52"/>
    </row>
    <row r="4240" spans="1:5" s="103" customFormat="1" ht="13.2" hidden="1" outlineLevel="1" x14ac:dyDescent="0.25">
      <c r="A4240" s="106" t="s">
        <v>8493</v>
      </c>
      <c r="B4240" s="106" t="s">
        <v>8494</v>
      </c>
      <c r="C4240" s="106"/>
      <c r="D4240" s="106"/>
      <c r="E4240" s="52"/>
    </row>
    <row r="4241" spans="1:5" s="103" customFormat="1" ht="13.2" hidden="1" outlineLevel="1" x14ac:dyDescent="0.25">
      <c r="A4241" s="106" t="s">
        <v>8495</v>
      </c>
      <c r="B4241" s="106" t="s">
        <v>8496</v>
      </c>
      <c r="C4241" s="106"/>
      <c r="D4241" s="106"/>
      <c r="E4241" s="52"/>
    </row>
    <row r="4242" spans="1:5" s="103" customFormat="1" ht="13.2" hidden="1" outlineLevel="1" x14ac:dyDescent="0.25">
      <c r="A4242" s="106" t="s">
        <v>8497</v>
      </c>
      <c r="B4242" s="106" t="s">
        <v>8498</v>
      </c>
      <c r="C4242" s="106"/>
      <c r="D4242" s="106"/>
      <c r="E4242" s="52"/>
    </row>
    <row r="4243" spans="1:5" s="103" customFormat="1" ht="13.2" hidden="1" outlineLevel="1" x14ac:dyDescent="0.25">
      <c r="A4243" s="106" t="s">
        <v>8499</v>
      </c>
      <c r="B4243" s="106" t="s">
        <v>8500</v>
      </c>
      <c r="C4243" s="106"/>
      <c r="D4243" s="106"/>
      <c r="E4243" s="52"/>
    </row>
    <row r="4244" spans="1:5" s="103" customFormat="1" ht="13.2" hidden="1" outlineLevel="1" x14ac:dyDescent="0.25">
      <c r="A4244" s="106" t="s">
        <v>8501</v>
      </c>
      <c r="B4244" s="106" t="s">
        <v>8502</v>
      </c>
      <c r="C4244" s="106"/>
      <c r="D4244" s="106"/>
      <c r="E4244" s="52"/>
    </row>
    <row r="4245" spans="1:5" s="103" customFormat="1" ht="13.2" hidden="1" outlineLevel="1" x14ac:dyDescent="0.25">
      <c r="A4245" s="106" t="s">
        <v>8503</v>
      </c>
      <c r="B4245" s="106" t="s">
        <v>8504</v>
      </c>
      <c r="C4245" s="106"/>
      <c r="D4245" s="106"/>
      <c r="E4245" s="52"/>
    </row>
    <row r="4246" spans="1:5" s="103" customFormat="1" ht="13.2" hidden="1" outlineLevel="1" x14ac:dyDescent="0.25">
      <c r="A4246" s="106" t="s">
        <v>8505</v>
      </c>
      <c r="B4246" s="106" t="s">
        <v>8506</v>
      </c>
      <c r="C4246" s="106"/>
      <c r="D4246" s="106"/>
      <c r="E4246" s="52"/>
    </row>
    <row r="4247" spans="1:5" s="103" customFormat="1" ht="13.2" hidden="1" outlineLevel="1" x14ac:dyDescent="0.25">
      <c r="A4247" s="106" t="s">
        <v>8507</v>
      </c>
      <c r="B4247" s="106" t="s">
        <v>8508</v>
      </c>
      <c r="C4247" s="106"/>
      <c r="D4247" s="106"/>
      <c r="E4247" s="52"/>
    </row>
    <row r="4248" spans="1:5" s="103" customFormat="1" ht="13.2" hidden="1" outlineLevel="1" x14ac:dyDescent="0.25">
      <c r="A4248" s="106" t="s">
        <v>8509</v>
      </c>
      <c r="B4248" s="106" t="s">
        <v>8510</v>
      </c>
      <c r="C4248" s="106"/>
      <c r="D4248" s="106"/>
      <c r="E4248" s="52"/>
    </row>
    <row r="4249" spans="1:5" s="103" customFormat="1" ht="13.2" hidden="1" outlineLevel="1" x14ac:dyDescent="0.25">
      <c r="A4249" s="106" t="s">
        <v>8511</v>
      </c>
      <c r="B4249" s="106" t="s">
        <v>8512</v>
      </c>
      <c r="C4249" s="106"/>
      <c r="D4249" s="106"/>
      <c r="E4249" s="52"/>
    </row>
    <row r="4250" spans="1:5" s="103" customFormat="1" ht="13.2" hidden="1" outlineLevel="1" x14ac:dyDescent="0.25">
      <c r="A4250" s="106" t="s">
        <v>8513</v>
      </c>
      <c r="B4250" s="106" t="s">
        <v>8514</v>
      </c>
      <c r="C4250" s="106"/>
      <c r="D4250" s="106"/>
      <c r="E4250" s="52"/>
    </row>
    <row r="4251" spans="1:5" s="103" customFormat="1" ht="13.2" hidden="1" outlineLevel="1" x14ac:dyDescent="0.25">
      <c r="A4251" s="106" t="s">
        <v>8515</v>
      </c>
      <c r="B4251" s="106" t="s">
        <v>8516</v>
      </c>
      <c r="C4251" s="106"/>
      <c r="D4251" s="106"/>
      <c r="E4251" s="52"/>
    </row>
    <row r="4252" spans="1:5" s="103" customFormat="1" ht="13.2" hidden="1" outlineLevel="1" x14ac:dyDescent="0.25">
      <c r="A4252" s="106" t="s">
        <v>8517</v>
      </c>
      <c r="B4252" s="106" t="s">
        <v>8518</v>
      </c>
      <c r="C4252" s="106"/>
      <c r="D4252" s="106"/>
      <c r="E4252" s="52"/>
    </row>
    <row r="4253" spans="1:5" s="103" customFormat="1" ht="13.2" hidden="1" outlineLevel="1" x14ac:dyDescent="0.25">
      <c r="A4253" s="106" t="s">
        <v>8519</v>
      </c>
      <c r="B4253" s="106" t="s">
        <v>8520</v>
      </c>
      <c r="C4253" s="106"/>
      <c r="D4253" s="106"/>
      <c r="E4253" s="52"/>
    </row>
    <row r="4254" spans="1:5" s="103" customFormat="1" ht="13.2" hidden="1" outlineLevel="1" x14ac:dyDescent="0.25">
      <c r="A4254" s="106" t="s">
        <v>8521</v>
      </c>
      <c r="B4254" s="106" t="s">
        <v>8522</v>
      </c>
      <c r="C4254" s="106"/>
      <c r="D4254" s="106"/>
      <c r="E4254" s="52"/>
    </row>
    <row r="4255" spans="1:5" s="103" customFormat="1" ht="13.2" hidden="1" outlineLevel="1" x14ac:dyDescent="0.25">
      <c r="A4255" s="106" t="s">
        <v>8523</v>
      </c>
      <c r="B4255" s="106" t="s">
        <v>8524</v>
      </c>
      <c r="C4255" s="106"/>
      <c r="D4255" s="106"/>
      <c r="E4255" s="52"/>
    </row>
    <row r="4256" spans="1:5" s="103" customFormat="1" ht="13.2" hidden="1" outlineLevel="1" x14ac:dyDescent="0.25">
      <c r="A4256" s="106" t="s">
        <v>8525</v>
      </c>
      <c r="B4256" s="106" t="s">
        <v>8526</v>
      </c>
      <c r="C4256" s="106"/>
      <c r="D4256" s="106"/>
      <c r="E4256" s="52"/>
    </row>
    <row r="4257" spans="1:5" s="103" customFormat="1" ht="13.2" hidden="1" outlineLevel="1" x14ac:dyDescent="0.25">
      <c r="A4257" s="106" t="s">
        <v>8527</v>
      </c>
      <c r="B4257" s="106" t="s">
        <v>8528</v>
      </c>
      <c r="C4257" s="106"/>
      <c r="D4257" s="106"/>
      <c r="E4257" s="52"/>
    </row>
    <row r="4258" spans="1:5" s="103" customFormat="1" ht="13.2" hidden="1" outlineLevel="1" x14ac:dyDescent="0.25">
      <c r="A4258" s="106" t="s">
        <v>8529</v>
      </c>
      <c r="B4258" s="106" t="s">
        <v>8530</v>
      </c>
      <c r="C4258" s="106"/>
      <c r="D4258" s="106"/>
      <c r="E4258" s="52"/>
    </row>
    <row r="4259" spans="1:5" s="103" customFormat="1" ht="13.2" hidden="1" outlineLevel="1" x14ac:dyDescent="0.25">
      <c r="A4259" s="106" t="s">
        <v>8531</v>
      </c>
      <c r="B4259" s="106" t="s">
        <v>8532</v>
      </c>
      <c r="C4259" s="106"/>
      <c r="D4259" s="106"/>
      <c r="E4259" s="52"/>
    </row>
    <row r="4260" spans="1:5" s="103" customFormat="1" ht="13.2" hidden="1" outlineLevel="1" x14ac:dyDescent="0.25">
      <c r="A4260" s="106" t="s">
        <v>8533</v>
      </c>
      <c r="B4260" s="106" t="s">
        <v>8534</v>
      </c>
      <c r="C4260" s="106"/>
      <c r="D4260" s="106"/>
      <c r="E4260" s="52"/>
    </row>
    <row r="4261" spans="1:5" s="103" customFormat="1" ht="13.2" hidden="1" outlineLevel="1" x14ac:dyDescent="0.25">
      <c r="A4261" s="106" t="s">
        <v>8535</v>
      </c>
      <c r="B4261" s="106" t="s">
        <v>8536</v>
      </c>
      <c r="C4261" s="106"/>
      <c r="D4261" s="106"/>
      <c r="E4261" s="52"/>
    </row>
    <row r="4262" spans="1:5" s="103" customFormat="1" ht="13.2" hidden="1" outlineLevel="1" x14ac:dyDescent="0.25">
      <c r="A4262" s="106" t="s">
        <v>8537</v>
      </c>
      <c r="B4262" s="106" t="s">
        <v>8538</v>
      </c>
      <c r="C4262" s="106"/>
      <c r="D4262" s="106"/>
      <c r="E4262" s="52"/>
    </row>
    <row r="4263" spans="1:5" s="103" customFormat="1" ht="13.2" hidden="1" outlineLevel="1" x14ac:dyDescent="0.25">
      <c r="A4263" s="106" t="s">
        <v>8539</v>
      </c>
      <c r="B4263" s="106" t="s">
        <v>8540</v>
      </c>
      <c r="C4263" s="106"/>
      <c r="D4263" s="106"/>
      <c r="E4263" s="52"/>
    </row>
    <row r="4264" spans="1:5" s="103" customFormat="1" ht="13.2" hidden="1" outlineLevel="1" x14ac:dyDescent="0.25">
      <c r="A4264" s="106" t="s">
        <v>8541</v>
      </c>
      <c r="B4264" s="106" t="s">
        <v>8542</v>
      </c>
      <c r="C4264" s="106"/>
      <c r="D4264" s="106"/>
      <c r="E4264" s="52"/>
    </row>
    <row r="4265" spans="1:5" s="103" customFormat="1" ht="13.2" hidden="1" outlineLevel="1" x14ac:dyDescent="0.25">
      <c r="A4265" s="106" t="s">
        <v>8543</v>
      </c>
      <c r="B4265" s="106" t="s">
        <v>8544</v>
      </c>
      <c r="C4265" s="106"/>
      <c r="D4265" s="106"/>
      <c r="E4265" s="52"/>
    </row>
    <row r="4266" spans="1:5" s="103" customFormat="1" ht="13.2" hidden="1" outlineLevel="1" x14ac:dyDescent="0.25">
      <c r="A4266" s="106" t="s">
        <v>8545</v>
      </c>
      <c r="B4266" s="106" t="s">
        <v>8546</v>
      </c>
      <c r="C4266" s="106"/>
      <c r="D4266" s="106"/>
      <c r="E4266" s="52"/>
    </row>
    <row r="4267" spans="1:5" s="103" customFormat="1" ht="13.2" hidden="1" outlineLevel="1" x14ac:dyDescent="0.25">
      <c r="A4267" s="106" t="s">
        <v>8547</v>
      </c>
      <c r="B4267" s="106" t="s">
        <v>8548</v>
      </c>
      <c r="C4267" s="106"/>
      <c r="D4267" s="106"/>
      <c r="E4267" s="52"/>
    </row>
    <row r="4268" spans="1:5" s="103" customFormat="1" ht="13.2" hidden="1" outlineLevel="1" x14ac:dyDescent="0.25">
      <c r="A4268" s="106" t="s">
        <v>8549</v>
      </c>
      <c r="B4268" s="106" t="s">
        <v>8550</v>
      </c>
      <c r="C4268" s="106"/>
      <c r="D4268" s="106"/>
      <c r="E4268" s="52"/>
    </row>
    <row r="4269" spans="1:5" s="103" customFormat="1" ht="13.2" hidden="1" outlineLevel="1" x14ac:dyDescent="0.25">
      <c r="A4269" s="106" t="s">
        <v>8551</v>
      </c>
      <c r="B4269" s="106" t="s">
        <v>8552</v>
      </c>
      <c r="C4269" s="106"/>
      <c r="D4269" s="106"/>
      <c r="E4269" s="52"/>
    </row>
    <row r="4270" spans="1:5" s="103" customFormat="1" ht="13.2" hidden="1" outlineLevel="1" x14ac:dyDescent="0.25">
      <c r="A4270" s="106" t="s">
        <v>8553</v>
      </c>
      <c r="B4270" s="106" t="s">
        <v>8554</v>
      </c>
      <c r="C4270" s="106"/>
      <c r="D4270" s="106"/>
      <c r="E4270" s="52"/>
    </row>
    <row r="4271" spans="1:5" s="103" customFormat="1" ht="13.2" hidden="1" outlineLevel="1" x14ac:dyDescent="0.25">
      <c r="A4271" s="106" t="s">
        <v>8555</v>
      </c>
      <c r="B4271" s="106" t="s">
        <v>8556</v>
      </c>
      <c r="C4271" s="106"/>
      <c r="D4271" s="106"/>
      <c r="E4271" s="52"/>
    </row>
    <row r="4272" spans="1:5" s="103" customFormat="1" ht="13.2" hidden="1" outlineLevel="1" x14ac:dyDescent="0.25">
      <c r="A4272" s="106" t="s">
        <v>8557</v>
      </c>
      <c r="B4272" s="106" t="s">
        <v>8436</v>
      </c>
      <c r="C4272" s="106"/>
      <c r="D4272" s="106"/>
      <c r="E4272" s="52"/>
    </row>
    <row r="4273" spans="1:5" s="103" customFormat="1" ht="13.2" collapsed="1" x14ac:dyDescent="0.25">
      <c r="A4273" s="104" t="s">
        <v>8558</v>
      </c>
      <c r="B4273" s="105" t="s">
        <v>8559</v>
      </c>
      <c r="C4273" s="105"/>
      <c r="D4273" s="105"/>
      <c r="E4273" s="51"/>
    </row>
    <row r="4274" spans="1:5" s="103" customFormat="1" ht="13.2" hidden="1" outlineLevel="1" x14ac:dyDescent="0.25">
      <c r="A4274" s="106" t="s">
        <v>8560</v>
      </c>
      <c r="B4274" s="106" t="s">
        <v>8561</v>
      </c>
      <c r="C4274" s="106"/>
      <c r="D4274" s="106"/>
      <c r="E4274" s="52"/>
    </row>
    <row r="4275" spans="1:5" s="103" customFormat="1" ht="13.2" hidden="1" outlineLevel="1" x14ac:dyDescent="0.25">
      <c r="A4275" s="106" t="s">
        <v>8562</v>
      </c>
      <c r="B4275" s="106" t="s">
        <v>8563</v>
      </c>
      <c r="C4275" s="106"/>
      <c r="D4275" s="106"/>
      <c r="E4275" s="52"/>
    </row>
    <row r="4276" spans="1:5" s="103" customFormat="1" ht="13.2" hidden="1" outlineLevel="1" x14ac:dyDescent="0.25">
      <c r="A4276" s="106" t="s">
        <v>8564</v>
      </c>
      <c r="B4276" s="106" t="s">
        <v>8565</v>
      </c>
      <c r="C4276" s="106"/>
      <c r="D4276" s="106"/>
      <c r="E4276" s="52"/>
    </row>
    <row r="4277" spans="1:5" s="103" customFormat="1" ht="13.2" hidden="1" outlineLevel="1" x14ac:dyDescent="0.25">
      <c r="A4277" s="106" t="s">
        <v>8566</v>
      </c>
      <c r="B4277" s="106" t="s">
        <v>8567</v>
      </c>
      <c r="C4277" s="106"/>
      <c r="D4277" s="106"/>
      <c r="E4277" s="52"/>
    </row>
    <row r="4278" spans="1:5" s="103" customFormat="1" ht="13.2" hidden="1" outlineLevel="1" x14ac:dyDescent="0.25">
      <c r="A4278" s="106" t="s">
        <v>8568</v>
      </c>
      <c r="B4278" s="106" t="s">
        <v>8569</v>
      </c>
      <c r="C4278" s="106"/>
      <c r="D4278" s="106"/>
      <c r="E4278" s="52"/>
    </row>
    <row r="4279" spans="1:5" s="103" customFormat="1" ht="13.2" hidden="1" outlineLevel="1" x14ac:dyDescent="0.25">
      <c r="A4279" s="106" t="s">
        <v>8570</v>
      </c>
      <c r="B4279" s="106" t="s">
        <v>8571</v>
      </c>
      <c r="C4279" s="106"/>
      <c r="D4279" s="106"/>
      <c r="E4279" s="52"/>
    </row>
    <row r="4280" spans="1:5" s="103" customFormat="1" ht="13.2" hidden="1" outlineLevel="1" x14ac:dyDescent="0.25">
      <c r="A4280" s="106" t="s">
        <v>8572</v>
      </c>
      <c r="B4280" s="106" t="s">
        <v>8573</v>
      </c>
      <c r="C4280" s="106"/>
      <c r="D4280" s="106"/>
      <c r="E4280" s="52"/>
    </row>
    <row r="4281" spans="1:5" s="103" customFormat="1" ht="13.2" hidden="1" outlineLevel="1" x14ac:dyDescent="0.25">
      <c r="A4281" s="106" t="s">
        <v>8574</v>
      </c>
      <c r="B4281" s="106" t="s">
        <v>8575</v>
      </c>
      <c r="C4281" s="106"/>
      <c r="D4281" s="106"/>
      <c r="E4281" s="52"/>
    </row>
    <row r="4282" spans="1:5" s="103" customFormat="1" ht="13.2" hidden="1" outlineLevel="1" x14ac:dyDescent="0.25">
      <c r="A4282" s="106" t="s">
        <v>8576</v>
      </c>
      <c r="B4282" s="106" t="s">
        <v>8577</v>
      </c>
      <c r="C4282" s="106"/>
      <c r="D4282" s="106"/>
      <c r="E4282" s="52"/>
    </row>
    <row r="4283" spans="1:5" s="103" customFormat="1" ht="13.2" hidden="1" outlineLevel="1" x14ac:dyDescent="0.25">
      <c r="A4283" s="106" t="s">
        <v>8578</v>
      </c>
      <c r="B4283" s="106" t="s">
        <v>8579</v>
      </c>
      <c r="C4283" s="106"/>
      <c r="D4283" s="106"/>
      <c r="E4283" s="52"/>
    </row>
    <row r="4284" spans="1:5" s="103" customFormat="1" ht="13.2" hidden="1" outlineLevel="1" x14ac:dyDescent="0.25">
      <c r="A4284" s="106" t="s">
        <v>8580</v>
      </c>
      <c r="B4284" s="106" t="s">
        <v>8581</v>
      </c>
      <c r="C4284" s="106"/>
      <c r="D4284" s="106"/>
      <c r="E4284" s="52"/>
    </row>
    <row r="4285" spans="1:5" s="103" customFormat="1" ht="13.2" hidden="1" outlineLevel="1" x14ac:dyDescent="0.25">
      <c r="A4285" s="106" t="s">
        <v>8582</v>
      </c>
      <c r="B4285" s="106" t="s">
        <v>8583</v>
      </c>
      <c r="C4285" s="106"/>
      <c r="D4285" s="106"/>
      <c r="E4285" s="52"/>
    </row>
    <row r="4286" spans="1:5" s="103" customFormat="1" ht="13.2" hidden="1" outlineLevel="1" x14ac:dyDescent="0.25">
      <c r="A4286" s="106" t="s">
        <v>8584</v>
      </c>
      <c r="B4286" s="106" t="s">
        <v>8585</v>
      </c>
      <c r="C4286" s="106"/>
      <c r="D4286" s="106"/>
      <c r="E4286" s="52"/>
    </row>
    <row r="4287" spans="1:5" s="103" customFormat="1" ht="13.2" hidden="1" outlineLevel="1" x14ac:dyDescent="0.25">
      <c r="A4287" s="106" t="s">
        <v>8586</v>
      </c>
      <c r="B4287" s="106" t="s">
        <v>8587</v>
      </c>
      <c r="C4287" s="106"/>
      <c r="D4287" s="106"/>
      <c r="E4287" s="52"/>
    </row>
    <row r="4288" spans="1:5" s="103" customFormat="1" ht="13.2" hidden="1" outlineLevel="1" x14ac:dyDescent="0.25">
      <c r="A4288" s="106" t="s">
        <v>8588</v>
      </c>
      <c r="B4288" s="106" t="s">
        <v>8589</v>
      </c>
      <c r="C4288" s="106"/>
      <c r="D4288" s="106"/>
      <c r="E4288" s="52"/>
    </row>
    <row r="4289" spans="1:5" s="103" customFormat="1" ht="13.2" hidden="1" outlineLevel="1" x14ac:dyDescent="0.25">
      <c r="A4289" s="106" t="s">
        <v>8590</v>
      </c>
      <c r="B4289" s="106" t="s">
        <v>8591</v>
      </c>
      <c r="C4289" s="106"/>
      <c r="D4289" s="106"/>
      <c r="E4289" s="52"/>
    </row>
    <row r="4290" spans="1:5" s="103" customFormat="1" ht="13.2" hidden="1" outlineLevel="1" x14ac:dyDescent="0.25">
      <c r="A4290" s="106" t="s">
        <v>8592</v>
      </c>
      <c r="B4290" s="106" t="s">
        <v>8593</v>
      </c>
      <c r="C4290" s="106"/>
      <c r="D4290" s="106"/>
      <c r="E4290" s="52"/>
    </row>
    <row r="4291" spans="1:5" s="103" customFormat="1" ht="13.2" hidden="1" outlineLevel="1" x14ac:dyDescent="0.25">
      <c r="A4291" s="106" t="s">
        <v>8594</v>
      </c>
      <c r="B4291" s="106" t="s">
        <v>8595</v>
      </c>
      <c r="C4291" s="106"/>
      <c r="D4291" s="106"/>
      <c r="E4291" s="52"/>
    </row>
    <row r="4292" spans="1:5" s="103" customFormat="1" ht="13.2" hidden="1" outlineLevel="1" x14ac:dyDescent="0.25">
      <c r="A4292" s="106" t="s">
        <v>8596</v>
      </c>
      <c r="B4292" s="106" t="s">
        <v>8597</v>
      </c>
      <c r="C4292" s="106"/>
      <c r="D4292" s="106"/>
      <c r="E4292" s="52"/>
    </row>
    <row r="4293" spans="1:5" s="103" customFormat="1" ht="13.2" hidden="1" outlineLevel="1" x14ac:dyDescent="0.25">
      <c r="A4293" s="106" t="s">
        <v>8598</v>
      </c>
      <c r="B4293" s="106" t="s">
        <v>8599</v>
      </c>
      <c r="C4293" s="106"/>
      <c r="D4293" s="106"/>
      <c r="E4293" s="52"/>
    </row>
    <row r="4294" spans="1:5" s="103" customFormat="1" ht="13.2" hidden="1" outlineLevel="1" x14ac:dyDescent="0.25">
      <c r="A4294" s="106" t="s">
        <v>8600</v>
      </c>
      <c r="B4294" s="106" t="s">
        <v>8601</v>
      </c>
      <c r="C4294" s="106"/>
      <c r="D4294" s="106"/>
      <c r="E4294" s="52"/>
    </row>
    <row r="4295" spans="1:5" s="103" customFormat="1" ht="13.2" hidden="1" outlineLevel="1" x14ac:dyDescent="0.25">
      <c r="A4295" s="106" t="s">
        <v>8602</v>
      </c>
      <c r="B4295" s="106" t="s">
        <v>8603</v>
      </c>
      <c r="C4295" s="106"/>
      <c r="D4295" s="106"/>
      <c r="E4295" s="52"/>
    </row>
    <row r="4296" spans="1:5" s="103" customFormat="1" ht="13.2" hidden="1" outlineLevel="1" x14ac:dyDescent="0.25">
      <c r="A4296" s="106" t="s">
        <v>8604</v>
      </c>
      <c r="B4296" s="106" t="s">
        <v>8605</v>
      </c>
      <c r="C4296" s="106"/>
      <c r="D4296" s="106"/>
      <c r="E4296" s="52"/>
    </row>
    <row r="4297" spans="1:5" s="103" customFormat="1" ht="13.2" hidden="1" outlineLevel="1" x14ac:dyDescent="0.25">
      <c r="A4297" s="106" t="s">
        <v>8606</v>
      </c>
      <c r="B4297" s="106" t="s">
        <v>8607</v>
      </c>
      <c r="C4297" s="106"/>
      <c r="D4297" s="106"/>
      <c r="E4297" s="52"/>
    </row>
    <row r="4298" spans="1:5" s="103" customFormat="1" ht="13.2" hidden="1" outlineLevel="1" x14ac:dyDescent="0.25">
      <c r="A4298" s="106" t="s">
        <v>8608</v>
      </c>
      <c r="B4298" s="106" t="s">
        <v>8609</v>
      </c>
      <c r="C4298" s="106"/>
      <c r="D4298" s="106"/>
      <c r="E4298" s="52"/>
    </row>
    <row r="4299" spans="1:5" s="103" customFormat="1" ht="13.2" hidden="1" outlineLevel="1" x14ac:dyDescent="0.25">
      <c r="A4299" s="106" t="s">
        <v>8610</v>
      </c>
      <c r="B4299" s="106" t="s">
        <v>8611</v>
      </c>
      <c r="C4299" s="106"/>
      <c r="D4299" s="106"/>
      <c r="E4299" s="52"/>
    </row>
    <row r="4300" spans="1:5" s="103" customFormat="1" ht="13.2" hidden="1" outlineLevel="1" x14ac:dyDescent="0.25">
      <c r="A4300" s="106" t="s">
        <v>8612</v>
      </c>
      <c r="B4300" s="106" t="s">
        <v>8613</v>
      </c>
      <c r="C4300" s="106"/>
      <c r="D4300" s="106"/>
      <c r="E4300" s="52"/>
    </row>
    <row r="4301" spans="1:5" s="103" customFormat="1" ht="13.2" hidden="1" outlineLevel="1" x14ac:dyDescent="0.25">
      <c r="A4301" s="106" t="s">
        <v>8614</v>
      </c>
      <c r="B4301" s="106" t="s">
        <v>8615</v>
      </c>
      <c r="C4301" s="106"/>
      <c r="D4301" s="106"/>
      <c r="E4301" s="52"/>
    </row>
    <row r="4302" spans="1:5" s="103" customFormat="1" ht="13.2" hidden="1" outlineLevel="1" x14ac:dyDescent="0.25">
      <c r="A4302" s="106" t="s">
        <v>8616</v>
      </c>
      <c r="B4302" s="106" t="s">
        <v>8617</v>
      </c>
      <c r="C4302" s="106"/>
      <c r="D4302" s="106"/>
      <c r="E4302" s="52"/>
    </row>
    <row r="4303" spans="1:5" s="103" customFormat="1" ht="13.2" hidden="1" outlineLevel="1" x14ac:dyDescent="0.25">
      <c r="A4303" s="106" t="s">
        <v>8618</v>
      </c>
      <c r="B4303" s="106" t="s">
        <v>8619</v>
      </c>
      <c r="C4303" s="106"/>
      <c r="D4303" s="106"/>
      <c r="E4303" s="52"/>
    </row>
    <row r="4304" spans="1:5" s="103" customFormat="1" ht="13.2" hidden="1" outlineLevel="1" x14ac:dyDescent="0.25">
      <c r="A4304" s="106" t="s">
        <v>8620</v>
      </c>
      <c r="B4304" s="106" t="s">
        <v>8621</v>
      </c>
      <c r="C4304" s="106"/>
      <c r="D4304" s="106"/>
      <c r="E4304" s="52"/>
    </row>
    <row r="4305" spans="1:5" s="103" customFormat="1" ht="13.2" hidden="1" outlineLevel="1" x14ac:dyDescent="0.25">
      <c r="A4305" s="106" t="s">
        <v>8622</v>
      </c>
      <c r="B4305" s="106" t="s">
        <v>8623</v>
      </c>
      <c r="C4305" s="106"/>
      <c r="D4305" s="106"/>
      <c r="E4305" s="52"/>
    </row>
    <row r="4306" spans="1:5" s="103" customFormat="1" ht="13.2" hidden="1" outlineLevel="1" x14ac:dyDescent="0.25">
      <c r="A4306" s="106" t="s">
        <v>8624</v>
      </c>
      <c r="B4306" s="106" t="s">
        <v>8625</v>
      </c>
      <c r="C4306" s="106"/>
      <c r="D4306" s="106"/>
      <c r="E4306" s="52"/>
    </row>
    <row r="4307" spans="1:5" s="103" customFormat="1" ht="13.2" hidden="1" outlineLevel="1" x14ac:dyDescent="0.25">
      <c r="A4307" s="106" t="s">
        <v>8626</v>
      </c>
      <c r="B4307" s="106" t="s">
        <v>8627</v>
      </c>
      <c r="C4307" s="106"/>
      <c r="D4307" s="106"/>
      <c r="E4307" s="52"/>
    </row>
    <row r="4308" spans="1:5" s="103" customFormat="1" ht="13.2" hidden="1" outlineLevel="1" x14ac:dyDescent="0.25">
      <c r="A4308" s="106" t="s">
        <v>8628</v>
      </c>
      <c r="B4308" s="106" t="s">
        <v>8629</v>
      </c>
      <c r="C4308" s="106"/>
      <c r="D4308" s="106"/>
      <c r="E4308" s="52"/>
    </row>
    <row r="4309" spans="1:5" s="103" customFormat="1" ht="13.2" hidden="1" outlineLevel="1" x14ac:dyDescent="0.25">
      <c r="A4309" s="106" t="s">
        <v>8630</v>
      </c>
      <c r="B4309" s="106" t="s">
        <v>8631</v>
      </c>
      <c r="C4309" s="106"/>
      <c r="D4309" s="106"/>
      <c r="E4309" s="52"/>
    </row>
    <row r="4310" spans="1:5" s="103" customFormat="1" ht="13.2" hidden="1" outlineLevel="1" x14ac:dyDescent="0.25">
      <c r="A4310" s="106" t="s">
        <v>8632</v>
      </c>
      <c r="B4310" s="106" t="s">
        <v>8633</v>
      </c>
      <c r="C4310" s="106"/>
      <c r="D4310" s="106"/>
      <c r="E4310" s="52"/>
    </row>
    <row r="4311" spans="1:5" s="103" customFormat="1" ht="13.2" hidden="1" outlineLevel="1" x14ac:dyDescent="0.25">
      <c r="A4311" s="106" t="s">
        <v>8634</v>
      </c>
      <c r="B4311" s="106" t="s">
        <v>8635</v>
      </c>
      <c r="C4311" s="106"/>
      <c r="D4311" s="106"/>
      <c r="E4311" s="52"/>
    </row>
    <row r="4312" spans="1:5" s="103" customFormat="1" ht="13.2" hidden="1" outlineLevel="1" x14ac:dyDescent="0.25">
      <c r="A4312" s="106" t="s">
        <v>8636</v>
      </c>
      <c r="B4312" s="106" t="s">
        <v>8637</v>
      </c>
      <c r="C4312" s="106"/>
      <c r="D4312" s="106"/>
      <c r="E4312" s="52"/>
    </row>
    <row r="4313" spans="1:5" s="103" customFormat="1" ht="13.2" hidden="1" outlineLevel="1" x14ac:dyDescent="0.25">
      <c r="A4313" s="106" t="s">
        <v>8638</v>
      </c>
      <c r="B4313" s="106" t="s">
        <v>8639</v>
      </c>
      <c r="C4313" s="106"/>
      <c r="D4313" s="106"/>
      <c r="E4313" s="52"/>
    </row>
    <row r="4314" spans="1:5" s="103" customFormat="1" ht="13.2" hidden="1" outlineLevel="1" x14ac:dyDescent="0.25">
      <c r="A4314" s="106" t="s">
        <v>8640</v>
      </c>
      <c r="B4314" s="106" t="s">
        <v>8641</v>
      </c>
      <c r="C4314" s="106"/>
      <c r="D4314" s="106"/>
      <c r="E4314" s="52"/>
    </row>
    <row r="4315" spans="1:5" s="103" customFormat="1" ht="13.2" hidden="1" outlineLevel="1" x14ac:dyDescent="0.25">
      <c r="A4315" s="106" t="s">
        <v>8642</v>
      </c>
      <c r="B4315" s="106" t="s">
        <v>8643</v>
      </c>
      <c r="C4315" s="106"/>
      <c r="D4315" s="106"/>
      <c r="E4315" s="52"/>
    </row>
    <row r="4316" spans="1:5" s="103" customFormat="1" ht="13.2" hidden="1" outlineLevel="1" x14ac:dyDescent="0.25">
      <c r="A4316" s="106" t="s">
        <v>8644</v>
      </c>
      <c r="B4316" s="106" t="s">
        <v>8645</v>
      </c>
      <c r="C4316" s="106"/>
      <c r="D4316" s="106"/>
      <c r="E4316" s="52"/>
    </row>
    <row r="4317" spans="1:5" s="103" customFormat="1" ht="13.2" hidden="1" outlineLevel="1" x14ac:dyDescent="0.25">
      <c r="A4317" s="106" t="s">
        <v>8646</v>
      </c>
      <c r="B4317" s="106" t="s">
        <v>8647</v>
      </c>
      <c r="C4317" s="106"/>
      <c r="D4317" s="106"/>
      <c r="E4317" s="52"/>
    </row>
    <row r="4318" spans="1:5" s="103" customFormat="1" ht="13.2" hidden="1" outlineLevel="1" x14ac:dyDescent="0.25">
      <c r="A4318" s="106" t="s">
        <v>8648</v>
      </c>
      <c r="B4318" s="106" t="s">
        <v>8649</v>
      </c>
      <c r="C4318" s="106"/>
      <c r="D4318" s="106"/>
      <c r="E4318" s="52"/>
    </row>
    <row r="4319" spans="1:5" s="103" customFormat="1" ht="13.2" hidden="1" outlineLevel="1" x14ac:dyDescent="0.25">
      <c r="A4319" s="106" t="s">
        <v>8650</v>
      </c>
      <c r="B4319" s="106" t="s">
        <v>8651</v>
      </c>
      <c r="C4319" s="106"/>
      <c r="D4319" s="106"/>
      <c r="E4319" s="52"/>
    </row>
    <row r="4320" spans="1:5" s="103" customFormat="1" ht="13.2" hidden="1" outlineLevel="1" x14ac:dyDescent="0.25">
      <c r="A4320" s="106" t="s">
        <v>8652</v>
      </c>
      <c r="B4320" s="106" t="s">
        <v>8653</v>
      </c>
      <c r="C4320" s="106"/>
      <c r="D4320" s="106"/>
      <c r="E4320" s="52"/>
    </row>
    <row r="4321" spans="1:5" s="103" customFormat="1" ht="13.2" hidden="1" outlineLevel="1" x14ac:dyDescent="0.25">
      <c r="A4321" s="106" t="s">
        <v>8654</v>
      </c>
      <c r="B4321" s="106" t="s">
        <v>8655</v>
      </c>
      <c r="C4321" s="106"/>
      <c r="D4321" s="106"/>
      <c r="E4321" s="52"/>
    </row>
    <row r="4322" spans="1:5" s="103" customFormat="1" ht="13.2" hidden="1" outlineLevel="1" x14ac:dyDescent="0.25">
      <c r="A4322" s="106" t="s">
        <v>8656</v>
      </c>
      <c r="B4322" s="106" t="s">
        <v>8657</v>
      </c>
      <c r="C4322" s="106"/>
      <c r="D4322" s="106"/>
      <c r="E4322" s="52"/>
    </row>
    <row r="4323" spans="1:5" s="103" customFormat="1" ht="13.2" hidden="1" outlineLevel="1" x14ac:dyDescent="0.25">
      <c r="A4323" s="106" t="s">
        <v>8658</v>
      </c>
      <c r="B4323" s="106" t="s">
        <v>8659</v>
      </c>
      <c r="C4323" s="106"/>
      <c r="D4323" s="106"/>
      <c r="E4323" s="52"/>
    </row>
    <row r="4324" spans="1:5" s="103" customFormat="1" ht="13.2" hidden="1" outlineLevel="1" x14ac:dyDescent="0.25">
      <c r="A4324" s="106" t="s">
        <v>8660</v>
      </c>
      <c r="B4324" s="106" t="s">
        <v>8661</v>
      </c>
      <c r="C4324" s="106"/>
      <c r="D4324" s="106"/>
      <c r="E4324" s="52"/>
    </row>
    <row r="4325" spans="1:5" s="103" customFormat="1" ht="13.2" hidden="1" outlineLevel="1" x14ac:dyDescent="0.25">
      <c r="A4325" s="106" t="s">
        <v>8662</v>
      </c>
      <c r="B4325" s="106" t="s">
        <v>8663</v>
      </c>
      <c r="C4325" s="106"/>
      <c r="D4325" s="106"/>
      <c r="E4325" s="52"/>
    </row>
    <row r="4326" spans="1:5" s="103" customFormat="1" ht="13.2" hidden="1" outlineLevel="1" x14ac:dyDescent="0.25">
      <c r="A4326" s="106" t="s">
        <v>8664</v>
      </c>
      <c r="B4326" s="106" t="s">
        <v>8665</v>
      </c>
      <c r="C4326" s="106"/>
      <c r="D4326" s="106"/>
      <c r="E4326" s="52"/>
    </row>
    <row r="4327" spans="1:5" s="103" customFormat="1" ht="13.2" hidden="1" outlineLevel="1" x14ac:dyDescent="0.25">
      <c r="A4327" s="106" t="s">
        <v>8666</v>
      </c>
      <c r="B4327" s="106" t="s">
        <v>8667</v>
      </c>
      <c r="C4327" s="106"/>
      <c r="D4327" s="106"/>
      <c r="E4327" s="52"/>
    </row>
    <row r="4328" spans="1:5" s="103" customFormat="1" ht="13.2" hidden="1" outlineLevel="1" x14ac:dyDescent="0.25">
      <c r="A4328" s="106" t="s">
        <v>8668</v>
      </c>
      <c r="B4328" s="106" t="s">
        <v>8669</v>
      </c>
      <c r="C4328" s="106"/>
      <c r="D4328" s="106"/>
      <c r="E4328" s="52"/>
    </row>
    <row r="4329" spans="1:5" s="103" customFormat="1" ht="13.2" hidden="1" outlineLevel="1" x14ac:dyDescent="0.25">
      <c r="A4329" s="106" t="s">
        <v>8670</v>
      </c>
      <c r="B4329" s="106" t="s">
        <v>8671</v>
      </c>
      <c r="C4329" s="106"/>
      <c r="D4329" s="106"/>
      <c r="E4329" s="52"/>
    </row>
    <row r="4330" spans="1:5" s="103" customFormat="1" ht="13.2" hidden="1" outlineLevel="1" x14ac:dyDescent="0.25">
      <c r="A4330" s="106" t="s">
        <v>8672</v>
      </c>
      <c r="B4330" s="106" t="s">
        <v>8673</v>
      </c>
      <c r="C4330" s="106"/>
      <c r="D4330" s="106"/>
      <c r="E4330" s="52"/>
    </row>
    <row r="4331" spans="1:5" s="103" customFormat="1" ht="13.2" hidden="1" outlineLevel="1" x14ac:dyDescent="0.25">
      <c r="A4331" s="106" t="s">
        <v>8674</v>
      </c>
      <c r="B4331" s="106" t="s">
        <v>8675</v>
      </c>
      <c r="C4331" s="106"/>
      <c r="D4331" s="106"/>
      <c r="E4331" s="52"/>
    </row>
    <row r="4332" spans="1:5" s="103" customFormat="1" ht="13.2" hidden="1" outlineLevel="1" x14ac:dyDescent="0.25">
      <c r="A4332" s="106" t="s">
        <v>8676</v>
      </c>
      <c r="B4332" s="106" t="s">
        <v>8677</v>
      </c>
      <c r="C4332" s="106"/>
      <c r="D4332" s="106"/>
      <c r="E4332" s="52"/>
    </row>
    <row r="4333" spans="1:5" s="103" customFormat="1" ht="13.2" hidden="1" outlineLevel="1" x14ac:dyDescent="0.25">
      <c r="A4333" s="106" t="s">
        <v>8678</v>
      </c>
      <c r="B4333" s="106" t="s">
        <v>8679</v>
      </c>
      <c r="C4333" s="106"/>
      <c r="D4333" s="106"/>
      <c r="E4333" s="52"/>
    </row>
    <row r="4334" spans="1:5" s="103" customFormat="1" ht="13.2" hidden="1" outlineLevel="1" x14ac:dyDescent="0.25">
      <c r="A4334" s="106" t="s">
        <v>8680</v>
      </c>
      <c r="B4334" s="106" t="s">
        <v>8681</v>
      </c>
      <c r="C4334" s="106"/>
      <c r="D4334" s="106"/>
      <c r="E4334" s="52"/>
    </row>
    <row r="4335" spans="1:5" s="103" customFormat="1" ht="13.2" hidden="1" outlineLevel="1" x14ac:dyDescent="0.25">
      <c r="A4335" s="106" t="s">
        <v>8682</v>
      </c>
      <c r="B4335" s="106" t="s">
        <v>8683</v>
      </c>
      <c r="C4335" s="106"/>
      <c r="D4335" s="106"/>
      <c r="E4335" s="52"/>
    </row>
    <row r="4336" spans="1:5" s="103" customFormat="1" ht="13.2" hidden="1" outlineLevel="1" x14ac:dyDescent="0.25">
      <c r="A4336" s="106" t="s">
        <v>8684</v>
      </c>
      <c r="B4336" s="106" t="s">
        <v>8685</v>
      </c>
      <c r="C4336" s="106"/>
      <c r="D4336" s="106"/>
      <c r="E4336" s="52"/>
    </row>
    <row r="4337" spans="1:5" s="103" customFormat="1" ht="13.2" hidden="1" outlineLevel="1" x14ac:dyDescent="0.25">
      <c r="A4337" s="106" t="s">
        <v>8686</v>
      </c>
      <c r="B4337" s="106" t="s">
        <v>8687</v>
      </c>
      <c r="C4337" s="106"/>
      <c r="D4337" s="106"/>
      <c r="E4337" s="52"/>
    </row>
    <row r="4338" spans="1:5" s="103" customFormat="1" ht="13.2" hidden="1" outlineLevel="1" x14ac:dyDescent="0.25">
      <c r="A4338" s="106" t="s">
        <v>8688</v>
      </c>
      <c r="B4338" s="106" t="s">
        <v>8689</v>
      </c>
      <c r="C4338" s="106"/>
      <c r="D4338" s="106"/>
      <c r="E4338" s="52"/>
    </row>
    <row r="4339" spans="1:5" s="103" customFormat="1" ht="13.2" hidden="1" outlineLevel="1" x14ac:dyDescent="0.25">
      <c r="A4339" s="106" t="s">
        <v>8690</v>
      </c>
      <c r="B4339" s="106" t="s">
        <v>8691</v>
      </c>
      <c r="C4339" s="106"/>
      <c r="D4339" s="106"/>
      <c r="E4339" s="52"/>
    </row>
    <row r="4340" spans="1:5" s="103" customFormat="1" ht="13.2" hidden="1" outlineLevel="1" x14ac:dyDescent="0.25">
      <c r="A4340" s="106" t="s">
        <v>8692</v>
      </c>
      <c r="B4340" s="106" t="s">
        <v>8693</v>
      </c>
      <c r="C4340" s="106"/>
      <c r="D4340" s="106"/>
      <c r="E4340" s="52"/>
    </row>
    <row r="4341" spans="1:5" s="103" customFormat="1" ht="13.2" hidden="1" outlineLevel="1" x14ac:dyDescent="0.25">
      <c r="A4341" s="106" t="s">
        <v>8694</v>
      </c>
      <c r="B4341" s="106" t="s">
        <v>8695</v>
      </c>
      <c r="C4341" s="106"/>
      <c r="D4341" s="106"/>
      <c r="E4341" s="52"/>
    </row>
    <row r="4342" spans="1:5" s="103" customFormat="1" ht="13.2" hidden="1" outlineLevel="1" x14ac:dyDescent="0.25">
      <c r="A4342" s="106" t="s">
        <v>8696</v>
      </c>
      <c r="B4342" s="106" t="s">
        <v>8697</v>
      </c>
      <c r="C4342" s="106"/>
      <c r="D4342" s="106"/>
      <c r="E4342" s="52"/>
    </row>
    <row r="4343" spans="1:5" s="103" customFormat="1" ht="13.2" hidden="1" outlineLevel="1" x14ac:dyDescent="0.25">
      <c r="A4343" s="106" t="s">
        <v>8698</v>
      </c>
      <c r="B4343" s="106" t="s">
        <v>8699</v>
      </c>
      <c r="C4343" s="106"/>
      <c r="D4343" s="106"/>
      <c r="E4343" s="52"/>
    </row>
    <row r="4344" spans="1:5" s="103" customFormat="1" ht="13.2" hidden="1" outlineLevel="1" x14ac:dyDescent="0.25">
      <c r="A4344" s="106" t="s">
        <v>8700</v>
      </c>
      <c r="B4344" s="106" t="s">
        <v>8701</v>
      </c>
      <c r="C4344" s="106"/>
      <c r="D4344" s="106"/>
      <c r="E4344" s="52"/>
    </row>
    <row r="4345" spans="1:5" s="103" customFormat="1" ht="13.2" hidden="1" outlineLevel="1" x14ac:dyDescent="0.25">
      <c r="A4345" s="106" t="s">
        <v>8702</v>
      </c>
      <c r="B4345" s="106" t="s">
        <v>8703</v>
      </c>
      <c r="C4345" s="106"/>
      <c r="D4345" s="106"/>
      <c r="E4345" s="52"/>
    </row>
    <row r="4346" spans="1:5" s="103" customFormat="1" ht="13.2" hidden="1" outlineLevel="1" x14ac:dyDescent="0.25">
      <c r="A4346" s="106" t="s">
        <v>8704</v>
      </c>
      <c r="B4346" s="106" t="s">
        <v>8705</v>
      </c>
      <c r="C4346" s="106"/>
      <c r="D4346" s="106"/>
      <c r="E4346" s="52"/>
    </row>
    <row r="4347" spans="1:5" s="103" customFormat="1" ht="13.2" hidden="1" outlineLevel="1" x14ac:dyDescent="0.25">
      <c r="A4347" s="106" t="s">
        <v>8706</v>
      </c>
      <c r="B4347" s="106" t="s">
        <v>8707</v>
      </c>
      <c r="C4347" s="106"/>
      <c r="D4347" s="106"/>
      <c r="E4347" s="52"/>
    </row>
    <row r="4348" spans="1:5" s="103" customFormat="1" ht="13.2" hidden="1" outlineLevel="1" x14ac:dyDescent="0.25">
      <c r="A4348" s="106" t="s">
        <v>8708</v>
      </c>
      <c r="B4348" s="106" t="s">
        <v>8709</v>
      </c>
      <c r="C4348" s="106"/>
      <c r="D4348" s="106"/>
      <c r="E4348" s="52"/>
    </row>
    <row r="4349" spans="1:5" s="103" customFormat="1" ht="13.2" hidden="1" outlineLevel="1" x14ac:dyDescent="0.25">
      <c r="A4349" s="106" t="s">
        <v>8710</v>
      </c>
      <c r="B4349" s="106" t="s">
        <v>8711</v>
      </c>
      <c r="C4349" s="106"/>
      <c r="D4349" s="106"/>
      <c r="E4349" s="52"/>
    </row>
    <row r="4350" spans="1:5" s="103" customFormat="1" ht="13.2" hidden="1" outlineLevel="1" x14ac:dyDescent="0.25">
      <c r="A4350" s="106" t="s">
        <v>8712</v>
      </c>
      <c r="B4350" s="106" t="s">
        <v>8713</v>
      </c>
      <c r="C4350" s="106"/>
      <c r="D4350" s="106"/>
      <c r="E4350" s="52"/>
    </row>
    <row r="4351" spans="1:5" s="103" customFormat="1" ht="13.2" hidden="1" outlineLevel="1" x14ac:dyDescent="0.25">
      <c r="A4351" s="106" t="s">
        <v>8714</v>
      </c>
      <c r="B4351" s="106" t="s">
        <v>8715</v>
      </c>
      <c r="C4351" s="106"/>
      <c r="D4351" s="106"/>
      <c r="E4351" s="52"/>
    </row>
    <row r="4352" spans="1:5" s="103" customFormat="1" ht="13.2" hidden="1" outlineLevel="1" x14ac:dyDescent="0.25">
      <c r="A4352" s="106" t="s">
        <v>8716</v>
      </c>
      <c r="B4352" s="106" t="s">
        <v>8717</v>
      </c>
      <c r="C4352" s="106"/>
      <c r="D4352" s="106"/>
      <c r="E4352" s="52"/>
    </row>
    <row r="4353" spans="1:5" s="103" customFormat="1" ht="13.2" hidden="1" outlineLevel="1" x14ac:dyDescent="0.25">
      <c r="A4353" s="106" t="s">
        <v>8718</v>
      </c>
      <c r="B4353" s="106" t="s">
        <v>8719</v>
      </c>
      <c r="C4353" s="106"/>
      <c r="D4353" s="106"/>
      <c r="E4353" s="52"/>
    </row>
    <row r="4354" spans="1:5" s="103" customFormat="1" ht="13.2" hidden="1" outlineLevel="1" x14ac:dyDescent="0.25">
      <c r="A4354" s="106" t="s">
        <v>8720</v>
      </c>
      <c r="B4354" s="106" t="s">
        <v>8721</v>
      </c>
      <c r="C4354" s="106"/>
      <c r="D4354" s="106"/>
      <c r="E4354" s="52"/>
    </row>
    <row r="4355" spans="1:5" s="103" customFormat="1" ht="13.2" hidden="1" outlineLevel="1" x14ac:dyDescent="0.25">
      <c r="A4355" s="106" t="s">
        <v>8722</v>
      </c>
      <c r="B4355" s="106" t="s">
        <v>8723</v>
      </c>
      <c r="C4355" s="106"/>
      <c r="D4355" s="106"/>
      <c r="E4355" s="52"/>
    </row>
    <row r="4356" spans="1:5" s="103" customFormat="1" ht="13.2" hidden="1" outlineLevel="1" x14ac:dyDescent="0.25">
      <c r="A4356" s="106" t="s">
        <v>8724</v>
      </c>
      <c r="B4356" s="106" t="s">
        <v>8725</v>
      </c>
      <c r="C4356" s="106"/>
      <c r="D4356" s="106"/>
      <c r="E4356" s="52"/>
    </row>
    <row r="4357" spans="1:5" s="103" customFormat="1" ht="13.2" hidden="1" outlineLevel="1" x14ac:dyDescent="0.25">
      <c r="A4357" s="106" t="s">
        <v>8726</v>
      </c>
      <c r="B4357" s="106" t="s">
        <v>8727</v>
      </c>
      <c r="C4357" s="106"/>
      <c r="D4357" s="106"/>
      <c r="E4357" s="52"/>
    </row>
    <row r="4358" spans="1:5" s="103" customFormat="1" ht="13.2" hidden="1" outlineLevel="1" x14ac:dyDescent="0.25">
      <c r="A4358" s="106" t="s">
        <v>8728</v>
      </c>
      <c r="B4358" s="106" t="s">
        <v>8729</v>
      </c>
      <c r="C4358" s="106"/>
      <c r="D4358" s="106"/>
      <c r="E4358" s="52"/>
    </row>
    <row r="4359" spans="1:5" s="103" customFormat="1" ht="13.2" hidden="1" outlineLevel="1" x14ac:dyDescent="0.25">
      <c r="A4359" s="106" t="s">
        <v>8730</v>
      </c>
      <c r="B4359" s="106" t="s">
        <v>8731</v>
      </c>
      <c r="C4359" s="106"/>
      <c r="D4359" s="106"/>
      <c r="E4359" s="52"/>
    </row>
    <row r="4360" spans="1:5" s="103" customFormat="1" ht="13.2" hidden="1" outlineLevel="1" x14ac:dyDescent="0.25">
      <c r="A4360" s="106" t="s">
        <v>8732</v>
      </c>
      <c r="B4360" s="106" t="s">
        <v>8733</v>
      </c>
      <c r="C4360" s="106"/>
      <c r="D4360" s="106"/>
      <c r="E4360" s="52"/>
    </row>
    <row r="4361" spans="1:5" s="103" customFormat="1" ht="13.2" hidden="1" outlineLevel="1" x14ac:dyDescent="0.25">
      <c r="A4361" s="106" t="s">
        <v>8734</v>
      </c>
      <c r="B4361" s="106" t="s">
        <v>8735</v>
      </c>
      <c r="C4361" s="106"/>
      <c r="D4361" s="106"/>
      <c r="E4361" s="52"/>
    </row>
    <row r="4362" spans="1:5" s="103" customFormat="1" ht="13.2" hidden="1" outlineLevel="1" x14ac:dyDescent="0.25">
      <c r="A4362" s="106" t="s">
        <v>8736</v>
      </c>
      <c r="B4362" s="106" t="s">
        <v>8737</v>
      </c>
      <c r="C4362" s="106"/>
      <c r="D4362" s="106"/>
      <c r="E4362" s="52"/>
    </row>
    <row r="4363" spans="1:5" s="103" customFormat="1" ht="13.2" hidden="1" outlineLevel="1" x14ac:dyDescent="0.25">
      <c r="A4363" s="106" t="s">
        <v>8738</v>
      </c>
      <c r="B4363" s="106" t="s">
        <v>8739</v>
      </c>
      <c r="C4363" s="106"/>
      <c r="D4363" s="106"/>
      <c r="E4363" s="52"/>
    </row>
    <row r="4364" spans="1:5" s="103" customFormat="1" ht="13.2" hidden="1" outlineLevel="1" x14ac:dyDescent="0.25">
      <c r="A4364" s="106" t="s">
        <v>8740</v>
      </c>
      <c r="B4364" s="106" t="s">
        <v>8741</v>
      </c>
      <c r="C4364" s="106"/>
      <c r="D4364" s="106"/>
      <c r="E4364" s="52"/>
    </row>
    <row r="4365" spans="1:5" s="103" customFormat="1" ht="13.2" hidden="1" outlineLevel="1" x14ac:dyDescent="0.25">
      <c r="A4365" s="106" t="s">
        <v>8742</v>
      </c>
      <c r="B4365" s="106" t="s">
        <v>8743</v>
      </c>
      <c r="C4365" s="106"/>
      <c r="D4365" s="106"/>
      <c r="E4365" s="52"/>
    </row>
    <row r="4366" spans="1:5" s="103" customFormat="1" ht="13.2" hidden="1" outlineLevel="1" x14ac:dyDescent="0.25">
      <c r="A4366" s="106" t="s">
        <v>8744</v>
      </c>
      <c r="B4366" s="106" t="s">
        <v>8745</v>
      </c>
      <c r="C4366" s="106"/>
      <c r="D4366" s="106"/>
      <c r="E4366" s="52"/>
    </row>
    <row r="4367" spans="1:5" s="103" customFormat="1" ht="13.2" hidden="1" outlineLevel="1" x14ac:dyDescent="0.25">
      <c r="A4367" s="106" t="s">
        <v>8746</v>
      </c>
      <c r="B4367" s="106" t="s">
        <v>8747</v>
      </c>
      <c r="C4367" s="106"/>
      <c r="D4367" s="106"/>
      <c r="E4367" s="52"/>
    </row>
    <row r="4368" spans="1:5" s="103" customFormat="1" ht="13.2" hidden="1" outlineLevel="1" x14ac:dyDescent="0.25">
      <c r="A4368" s="106" t="s">
        <v>8748</v>
      </c>
      <c r="B4368" s="106" t="s">
        <v>8749</v>
      </c>
      <c r="C4368" s="106"/>
      <c r="D4368" s="106"/>
      <c r="E4368" s="52"/>
    </row>
    <row r="4369" spans="1:5" s="103" customFormat="1" ht="13.2" hidden="1" outlineLevel="1" x14ac:dyDescent="0.25">
      <c r="A4369" s="106" t="s">
        <v>8750</v>
      </c>
      <c r="B4369" s="106" t="s">
        <v>8751</v>
      </c>
      <c r="C4369" s="106"/>
      <c r="D4369" s="106"/>
      <c r="E4369" s="52"/>
    </row>
    <row r="4370" spans="1:5" s="103" customFormat="1" ht="13.2" hidden="1" outlineLevel="1" x14ac:dyDescent="0.25">
      <c r="A4370" s="106" t="s">
        <v>8752</v>
      </c>
      <c r="B4370" s="106" t="s">
        <v>8753</v>
      </c>
      <c r="C4370" s="106"/>
      <c r="D4370" s="106"/>
      <c r="E4370" s="52"/>
    </row>
    <row r="4371" spans="1:5" s="103" customFormat="1" ht="13.2" hidden="1" outlineLevel="1" x14ac:dyDescent="0.25">
      <c r="A4371" s="106" t="s">
        <v>8754</v>
      </c>
      <c r="B4371" s="106" t="s">
        <v>8755</v>
      </c>
      <c r="C4371" s="106"/>
      <c r="D4371" s="106"/>
      <c r="E4371" s="52"/>
    </row>
    <row r="4372" spans="1:5" s="103" customFormat="1" ht="13.2" hidden="1" outlineLevel="1" x14ac:dyDescent="0.25">
      <c r="A4372" s="106" t="s">
        <v>8756</v>
      </c>
      <c r="B4372" s="106" t="s">
        <v>8757</v>
      </c>
      <c r="C4372" s="106"/>
      <c r="D4372" s="106"/>
      <c r="E4372" s="52"/>
    </row>
    <row r="4373" spans="1:5" s="103" customFormat="1" ht="13.2" hidden="1" outlineLevel="1" x14ac:dyDescent="0.25">
      <c r="A4373" s="106" t="s">
        <v>8758</v>
      </c>
      <c r="B4373" s="106" t="s">
        <v>8759</v>
      </c>
      <c r="C4373" s="106"/>
      <c r="D4373" s="106"/>
      <c r="E4373" s="52"/>
    </row>
    <row r="4374" spans="1:5" s="103" customFormat="1" ht="13.2" hidden="1" outlineLevel="1" x14ac:dyDescent="0.25">
      <c r="A4374" s="106" t="s">
        <v>8760</v>
      </c>
      <c r="B4374" s="106" t="s">
        <v>8761</v>
      </c>
      <c r="C4374" s="106"/>
      <c r="D4374" s="106"/>
      <c r="E4374" s="52"/>
    </row>
    <row r="4375" spans="1:5" s="103" customFormat="1" ht="13.2" hidden="1" outlineLevel="1" x14ac:dyDescent="0.25">
      <c r="A4375" s="106" t="s">
        <v>8762</v>
      </c>
      <c r="B4375" s="106" t="s">
        <v>8763</v>
      </c>
      <c r="C4375" s="106"/>
      <c r="D4375" s="106"/>
      <c r="E4375" s="52"/>
    </row>
    <row r="4376" spans="1:5" s="103" customFormat="1" ht="13.2" hidden="1" outlineLevel="1" x14ac:dyDescent="0.25">
      <c r="A4376" s="106" t="s">
        <v>8764</v>
      </c>
      <c r="B4376" s="106" t="s">
        <v>8765</v>
      </c>
      <c r="C4376" s="106"/>
      <c r="D4376" s="106"/>
      <c r="E4376" s="52"/>
    </row>
    <row r="4377" spans="1:5" s="103" customFormat="1" ht="13.2" hidden="1" outlineLevel="1" x14ac:dyDescent="0.25">
      <c r="A4377" s="106" t="s">
        <v>8766</v>
      </c>
      <c r="B4377" s="106" t="s">
        <v>8767</v>
      </c>
      <c r="C4377" s="106"/>
      <c r="D4377" s="106"/>
      <c r="E4377" s="52"/>
    </row>
    <row r="4378" spans="1:5" s="103" customFormat="1" ht="13.2" hidden="1" outlineLevel="1" x14ac:dyDescent="0.25">
      <c r="A4378" s="106" t="s">
        <v>8768</v>
      </c>
      <c r="B4378" s="106" t="s">
        <v>8769</v>
      </c>
      <c r="C4378" s="106"/>
      <c r="D4378" s="106"/>
      <c r="E4378" s="52"/>
    </row>
    <row r="4379" spans="1:5" s="103" customFormat="1" ht="13.2" hidden="1" outlineLevel="1" x14ac:dyDescent="0.25">
      <c r="A4379" s="106" t="s">
        <v>8770</v>
      </c>
      <c r="B4379" s="106" t="s">
        <v>8771</v>
      </c>
      <c r="C4379" s="106"/>
      <c r="D4379" s="106"/>
      <c r="E4379" s="52"/>
    </row>
    <row r="4380" spans="1:5" s="103" customFormat="1" ht="13.2" hidden="1" outlineLevel="1" x14ac:dyDescent="0.25">
      <c r="A4380" s="106" t="s">
        <v>8772</v>
      </c>
      <c r="B4380" s="106" t="s">
        <v>8773</v>
      </c>
      <c r="C4380" s="106"/>
      <c r="D4380" s="106"/>
      <c r="E4380" s="52"/>
    </row>
    <row r="4381" spans="1:5" s="103" customFormat="1" ht="13.2" hidden="1" outlineLevel="1" x14ac:dyDescent="0.25">
      <c r="A4381" s="106" t="s">
        <v>8774</v>
      </c>
      <c r="B4381" s="106" t="s">
        <v>8775</v>
      </c>
      <c r="C4381" s="106"/>
      <c r="D4381" s="106"/>
      <c r="E4381" s="52"/>
    </row>
    <row r="4382" spans="1:5" s="103" customFormat="1" ht="13.2" hidden="1" outlineLevel="1" x14ac:dyDescent="0.25">
      <c r="A4382" s="106" t="s">
        <v>8776</v>
      </c>
      <c r="B4382" s="106" t="s">
        <v>8777</v>
      </c>
      <c r="C4382" s="106"/>
      <c r="D4382" s="106"/>
      <c r="E4382" s="52"/>
    </row>
    <row r="4383" spans="1:5" s="103" customFormat="1" ht="13.2" hidden="1" outlineLevel="1" x14ac:dyDescent="0.25">
      <c r="A4383" s="106" t="s">
        <v>8778</v>
      </c>
      <c r="B4383" s="106" t="s">
        <v>8779</v>
      </c>
      <c r="C4383" s="106"/>
      <c r="D4383" s="106"/>
      <c r="E4383" s="52"/>
    </row>
    <row r="4384" spans="1:5" s="103" customFormat="1" ht="13.2" hidden="1" outlineLevel="1" x14ac:dyDescent="0.25">
      <c r="A4384" s="106" t="s">
        <v>8780</v>
      </c>
      <c r="B4384" s="106" t="s">
        <v>8781</v>
      </c>
      <c r="C4384" s="106"/>
      <c r="D4384" s="106"/>
      <c r="E4384" s="52"/>
    </row>
    <row r="4385" spans="1:5" s="103" customFormat="1" ht="13.2" hidden="1" outlineLevel="1" x14ac:dyDescent="0.25">
      <c r="A4385" s="106" t="s">
        <v>8782</v>
      </c>
      <c r="B4385" s="106" t="s">
        <v>8783</v>
      </c>
      <c r="C4385" s="106"/>
      <c r="D4385" s="106"/>
      <c r="E4385" s="52"/>
    </row>
    <row r="4386" spans="1:5" s="103" customFormat="1" ht="13.2" hidden="1" outlineLevel="1" x14ac:dyDescent="0.25">
      <c r="A4386" s="106" t="s">
        <v>8784</v>
      </c>
      <c r="B4386" s="106" t="s">
        <v>8785</v>
      </c>
      <c r="C4386" s="106"/>
      <c r="D4386" s="106"/>
      <c r="E4386" s="52"/>
    </row>
    <row r="4387" spans="1:5" s="103" customFormat="1" ht="13.2" hidden="1" outlineLevel="1" x14ac:dyDescent="0.25">
      <c r="A4387" s="106" t="s">
        <v>8786</v>
      </c>
      <c r="B4387" s="106" t="s">
        <v>8787</v>
      </c>
      <c r="C4387" s="106"/>
      <c r="D4387" s="106"/>
      <c r="E4387" s="52"/>
    </row>
    <row r="4388" spans="1:5" s="103" customFormat="1" ht="13.2" hidden="1" outlineLevel="1" x14ac:dyDescent="0.25">
      <c r="A4388" s="106" t="s">
        <v>8788</v>
      </c>
      <c r="B4388" s="106" t="s">
        <v>8789</v>
      </c>
      <c r="C4388" s="106"/>
      <c r="D4388" s="106"/>
      <c r="E4388" s="52"/>
    </row>
    <row r="4389" spans="1:5" s="103" customFormat="1" ht="13.2" hidden="1" outlineLevel="1" x14ac:dyDescent="0.25">
      <c r="A4389" s="106" t="s">
        <v>8790</v>
      </c>
      <c r="B4389" s="106" t="s">
        <v>8791</v>
      </c>
      <c r="C4389" s="106"/>
      <c r="D4389" s="106"/>
      <c r="E4389" s="52"/>
    </row>
    <row r="4390" spans="1:5" s="103" customFormat="1" ht="13.2" hidden="1" outlineLevel="1" x14ac:dyDescent="0.25">
      <c r="A4390" s="106" t="s">
        <v>8792</v>
      </c>
      <c r="B4390" s="106" t="s">
        <v>8793</v>
      </c>
      <c r="C4390" s="106"/>
      <c r="D4390" s="106"/>
      <c r="E4390" s="52"/>
    </row>
    <row r="4391" spans="1:5" s="103" customFormat="1" ht="13.2" hidden="1" outlineLevel="1" x14ac:dyDescent="0.25">
      <c r="A4391" s="106" t="s">
        <v>8794</v>
      </c>
      <c r="B4391" s="106" t="s">
        <v>8795</v>
      </c>
      <c r="C4391" s="106"/>
      <c r="D4391" s="106"/>
      <c r="E4391" s="52"/>
    </row>
    <row r="4392" spans="1:5" s="103" customFormat="1" ht="13.2" hidden="1" outlineLevel="1" x14ac:dyDescent="0.25">
      <c r="A4392" s="106" t="s">
        <v>8796</v>
      </c>
      <c r="B4392" s="106" t="s">
        <v>8797</v>
      </c>
      <c r="C4392" s="106"/>
      <c r="D4392" s="106"/>
      <c r="E4392" s="52"/>
    </row>
    <row r="4393" spans="1:5" s="103" customFormat="1" ht="13.2" hidden="1" outlineLevel="1" x14ac:dyDescent="0.25">
      <c r="A4393" s="106" t="s">
        <v>8798</v>
      </c>
      <c r="B4393" s="106" t="s">
        <v>8799</v>
      </c>
      <c r="C4393" s="106"/>
      <c r="D4393" s="106"/>
      <c r="E4393" s="52"/>
    </row>
    <row r="4394" spans="1:5" s="103" customFormat="1" ht="13.2" hidden="1" outlineLevel="1" x14ac:dyDescent="0.25">
      <c r="A4394" s="106" t="s">
        <v>8800</v>
      </c>
      <c r="B4394" s="106" t="s">
        <v>8801</v>
      </c>
      <c r="C4394" s="106"/>
      <c r="D4394" s="106"/>
      <c r="E4394" s="52"/>
    </row>
    <row r="4395" spans="1:5" s="103" customFormat="1" ht="13.2" hidden="1" outlineLevel="1" x14ac:dyDescent="0.25">
      <c r="A4395" s="106" t="s">
        <v>8802</v>
      </c>
      <c r="B4395" s="106" t="s">
        <v>8803</v>
      </c>
      <c r="C4395" s="106"/>
      <c r="D4395" s="106"/>
      <c r="E4395" s="52"/>
    </row>
    <row r="4396" spans="1:5" s="103" customFormat="1" ht="13.2" hidden="1" outlineLevel="1" x14ac:dyDescent="0.25">
      <c r="A4396" s="106" t="s">
        <v>8804</v>
      </c>
      <c r="B4396" s="106" t="s">
        <v>8805</v>
      </c>
      <c r="C4396" s="106"/>
      <c r="D4396" s="106"/>
      <c r="E4396" s="52"/>
    </row>
    <row r="4397" spans="1:5" s="103" customFormat="1" ht="13.2" hidden="1" outlineLevel="1" x14ac:dyDescent="0.25">
      <c r="A4397" s="106" t="s">
        <v>8806</v>
      </c>
      <c r="B4397" s="106" t="s">
        <v>8807</v>
      </c>
      <c r="C4397" s="106"/>
      <c r="D4397" s="106"/>
      <c r="E4397" s="52"/>
    </row>
    <row r="4398" spans="1:5" s="103" customFormat="1" ht="13.2" hidden="1" outlineLevel="1" x14ac:dyDescent="0.25">
      <c r="A4398" s="106" t="s">
        <v>8808</v>
      </c>
      <c r="B4398" s="106" t="s">
        <v>8809</v>
      </c>
      <c r="C4398" s="106"/>
      <c r="D4398" s="106"/>
      <c r="E4398" s="52"/>
    </row>
    <row r="4399" spans="1:5" s="103" customFormat="1" ht="13.2" collapsed="1" x14ac:dyDescent="0.25">
      <c r="A4399" s="104" t="s">
        <v>8810</v>
      </c>
      <c r="B4399" s="105" t="s">
        <v>8811</v>
      </c>
      <c r="C4399" s="105"/>
      <c r="D4399" s="105"/>
      <c r="E4399" s="51"/>
    </row>
    <row r="4400" spans="1:5" s="103" customFormat="1" ht="13.2" hidden="1" outlineLevel="1" x14ac:dyDescent="0.25">
      <c r="A4400" s="106" t="s">
        <v>8812</v>
      </c>
      <c r="B4400" s="106" t="s">
        <v>8813</v>
      </c>
      <c r="C4400" s="106"/>
      <c r="D4400" s="106"/>
      <c r="E4400" s="52"/>
    </row>
    <row r="4401" spans="1:5" s="103" customFormat="1" ht="13.2" hidden="1" outlineLevel="1" x14ac:dyDescent="0.25">
      <c r="A4401" s="106" t="s">
        <v>8814</v>
      </c>
      <c r="B4401" s="106" t="s">
        <v>8815</v>
      </c>
      <c r="C4401" s="106"/>
      <c r="D4401" s="106"/>
      <c r="E4401" s="52"/>
    </row>
    <row r="4402" spans="1:5" s="103" customFormat="1" ht="13.2" hidden="1" outlineLevel="1" x14ac:dyDescent="0.25">
      <c r="A4402" s="106" t="s">
        <v>8816</v>
      </c>
      <c r="B4402" s="106" t="s">
        <v>8817</v>
      </c>
      <c r="C4402" s="106"/>
      <c r="D4402" s="106"/>
      <c r="E4402" s="52"/>
    </row>
    <row r="4403" spans="1:5" s="103" customFormat="1" ht="13.2" hidden="1" outlineLevel="1" x14ac:dyDescent="0.25">
      <c r="A4403" s="106" t="s">
        <v>8818</v>
      </c>
      <c r="B4403" s="106" t="s">
        <v>8819</v>
      </c>
      <c r="C4403" s="106"/>
      <c r="D4403" s="106"/>
      <c r="E4403" s="52"/>
    </row>
    <row r="4404" spans="1:5" s="103" customFormat="1" ht="13.2" hidden="1" outlineLevel="1" x14ac:dyDescent="0.25">
      <c r="A4404" s="106" t="s">
        <v>8820</v>
      </c>
      <c r="B4404" s="106" t="s">
        <v>8821</v>
      </c>
      <c r="C4404" s="106"/>
      <c r="D4404" s="106"/>
      <c r="E4404" s="52"/>
    </row>
    <row r="4405" spans="1:5" s="103" customFormat="1" ht="13.2" hidden="1" outlineLevel="1" x14ac:dyDescent="0.25">
      <c r="A4405" s="106" t="s">
        <v>8822</v>
      </c>
      <c r="B4405" s="106" t="s">
        <v>8823</v>
      </c>
      <c r="C4405" s="106"/>
      <c r="D4405" s="106"/>
      <c r="E4405" s="52"/>
    </row>
    <row r="4406" spans="1:5" s="103" customFormat="1" ht="13.2" hidden="1" outlineLevel="1" x14ac:dyDescent="0.25">
      <c r="A4406" s="106" t="s">
        <v>8824</v>
      </c>
      <c r="B4406" s="106" t="s">
        <v>8825</v>
      </c>
      <c r="C4406" s="106"/>
      <c r="D4406" s="106"/>
      <c r="E4406" s="52"/>
    </row>
    <row r="4407" spans="1:5" s="103" customFormat="1" ht="13.2" hidden="1" outlineLevel="1" x14ac:dyDescent="0.25">
      <c r="A4407" s="106" t="s">
        <v>8826</v>
      </c>
      <c r="B4407" s="106" t="s">
        <v>8827</v>
      </c>
      <c r="C4407" s="106"/>
      <c r="D4407" s="106"/>
      <c r="E4407" s="52"/>
    </row>
    <row r="4408" spans="1:5" s="103" customFormat="1" ht="13.2" hidden="1" outlineLevel="1" x14ac:dyDescent="0.25">
      <c r="A4408" s="106" t="s">
        <v>8828</v>
      </c>
      <c r="B4408" s="106" t="s">
        <v>8829</v>
      </c>
      <c r="C4408" s="106"/>
      <c r="D4408" s="106"/>
      <c r="E4408" s="52"/>
    </row>
    <row r="4409" spans="1:5" s="103" customFormat="1" ht="13.2" hidden="1" outlineLevel="1" x14ac:dyDescent="0.25">
      <c r="A4409" s="106" t="s">
        <v>8830</v>
      </c>
      <c r="B4409" s="106" t="s">
        <v>8831</v>
      </c>
      <c r="C4409" s="106"/>
      <c r="D4409" s="106"/>
      <c r="E4409" s="52"/>
    </row>
    <row r="4410" spans="1:5" s="103" customFormat="1" ht="13.2" hidden="1" outlineLevel="1" x14ac:dyDescent="0.25">
      <c r="A4410" s="106" t="s">
        <v>8832</v>
      </c>
      <c r="B4410" s="106" t="s">
        <v>8833</v>
      </c>
      <c r="C4410" s="106"/>
      <c r="D4410" s="106"/>
      <c r="E4410" s="52"/>
    </row>
    <row r="4411" spans="1:5" s="103" customFormat="1" ht="13.2" hidden="1" outlineLevel="1" x14ac:dyDescent="0.25">
      <c r="A4411" s="106" t="s">
        <v>8834</v>
      </c>
      <c r="B4411" s="106" t="s">
        <v>8835</v>
      </c>
      <c r="C4411" s="106"/>
      <c r="D4411" s="106"/>
      <c r="E4411" s="52"/>
    </row>
    <row r="4412" spans="1:5" s="103" customFormat="1" ht="13.2" hidden="1" outlineLevel="1" x14ac:dyDescent="0.25">
      <c r="A4412" s="106" t="s">
        <v>8836</v>
      </c>
      <c r="B4412" s="106" t="s">
        <v>8837</v>
      </c>
      <c r="C4412" s="106"/>
      <c r="D4412" s="106"/>
      <c r="E4412" s="52"/>
    </row>
    <row r="4413" spans="1:5" s="103" customFormat="1" ht="13.2" hidden="1" outlineLevel="1" x14ac:dyDescent="0.25">
      <c r="A4413" s="106" t="s">
        <v>8838</v>
      </c>
      <c r="B4413" s="106" t="s">
        <v>8839</v>
      </c>
      <c r="C4413" s="106"/>
      <c r="D4413" s="106"/>
      <c r="E4413" s="52"/>
    </row>
    <row r="4414" spans="1:5" s="103" customFormat="1" ht="13.2" hidden="1" outlineLevel="1" x14ac:dyDescent="0.25">
      <c r="A4414" s="106" t="s">
        <v>8840</v>
      </c>
      <c r="B4414" s="106" t="s">
        <v>8841</v>
      </c>
      <c r="C4414" s="106"/>
      <c r="D4414" s="106"/>
      <c r="E4414" s="52"/>
    </row>
    <row r="4415" spans="1:5" s="103" customFormat="1" ht="13.2" hidden="1" outlineLevel="1" x14ac:dyDescent="0.25">
      <c r="A4415" s="106" t="s">
        <v>8842</v>
      </c>
      <c r="B4415" s="106" t="s">
        <v>8843</v>
      </c>
      <c r="C4415" s="106"/>
      <c r="D4415" s="106"/>
      <c r="E4415" s="52"/>
    </row>
    <row r="4416" spans="1:5" s="103" customFormat="1" ht="13.2" hidden="1" outlineLevel="1" x14ac:dyDescent="0.25">
      <c r="A4416" s="106" t="s">
        <v>8844</v>
      </c>
      <c r="B4416" s="106" t="s">
        <v>8845</v>
      </c>
      <c r="C4416" s="106"/>
      <c r="D4416" s="106"/>
      <c r="E4416" s="52"/>
    </row>
    <row r="4417" spans="1:5" s="103" customFormat="1" ht="13.2" hidden="1" outlineLevel="1" x14ac:dyDescent="0.25">
      <c r="A4417" s="106" t="s">
        <v>8846</v>
      </c>
      <c r="B4417" s="106" t="s">
        <v>8847</v>
      </c>
      <c r="C4417" s="106"/>
      <c r="D4417" s="106"/>
      <c r="E4417" s="52"/>
    </row>
    <row r="4418" spans="1:5" s="103" customFormat="1" ht="13.2" hidden="1" outlineLevel="1" x14ac:dyDescent="0.25">
      <c r="A4418" s="106" t="s">
        <v>8848</v>
      </c>
      <c r="B4418" s="106" t="s">
        <v>8849</v>
      </c>
      <c r="C4418" s="106"/>
      <c r="D4418" s="106"/>
      <c r="E4418" s="52"/>
    </row>
    <row r="4419" spans="1:5" s="103" customFormat="1" ht="13.2" hidden="1" outlineLevel="1" x14ac:dyDescent="0.25">
      <c r="A4419" s="106" t="s">
        <v>8850</v>
      </c>
      <c r="B4419" s="106" t="s">
        <v>8851</v>
      </c>
      <c r="C4419" s="106"/>
      <c r="D4419" s="106"/>
      <c r="E4419" s="52"/>
    </row>
    <row r="4420" spans="1:5" s="103" customFormat="1" ht="13.2" hidden="1" outlineLevel="1" x14ac:dyDescent="0.25">
      <c r="A4420" s="106" t="s">
        <v>8852</v>
      </c>
      <c r="B4420" s="106" t="s">
        <v>8853</v>
      </c>
      <c r="C4420" s="106"/>
      <c r="D4420" s="106"/>
      <c r="E4420" s="52"/>
    </row>
    <row r="4421" spans="1:5" s="103" customFormat="1" ht="13.2" hidden="1" outlineLevel="1" x14ac:dyDescent="0.25">
      <c r="A4421" s="106" t="s">
        <v>8854</v>
      </c>
      <c r="B4421" s="106" t="s">
        <v>8855</v>
      </c>
      <c r="C4421" s="106"/>
      <c r="D4421" s="106"/>
      <c r="E4421" s="52"/>
    </row>
    <row r="4422" spans="1:5" s="103" customFormat="1" ht="13.2" hidden="1" outlineLevel="1" x14ac:dyDescent="0.25">
      <c r="A4422" s="106" t="s">
        <v>8856</v>
      </c>
      <c r="B4422" s="106" t="s">
        <v>8857</v>
      </c>
      <c r="C4422" s="106"/>
      <c r="D4422" s="106"/>
      <c r="E4422" s="52"/>
    </row>
    <row r="4423" spans="1:5" s="103" customFormat="1" ht="13.2" hidden="1" outlineLevel="1" x14ac:dyDescent="0.25">
      <c r="A4423" s="106" t="s">
        <v>8858</v>
      </c>
      <c r="B4423" s="106" t="s">
        <v>8859</v>
      </c>
      <c r="C4423" s="106"/>
      <c r="D4423" s="106"/>
      <c r="E4423" s="52"/>
    </row>
    <row r="4424" spans="1:5" s="103" customFormat="1" ht="13.2" hidden="1" outlineLevel="1" x14ac:dyDescent="0.25">
      <c r="A4424" s="106" t="s">
        <v>8860</v>
      </c>
      <c r="B4424" s="106" t="s">
        <v>8861</v>
      </c>
      <c r="C4424" s="106"/>
      <c r="D4424" s="106"/>
      <c r="E4424" s="52"/>
    </row>
    <row r="4425" spans="1:5" s="103" customFormat="1" ht="13.2" hidden="1" outlineLevel="1" x14ac:dyDescent="0.25">
      <c r="A4425" s="106" t="s">
        <v>8862</v>
      </c>
      <c r="B4425" s="106" t="s">
        <v>8863</v>
      </c>
      <c r="C4425" s="106"/>
      <c r="D4425" s="106"/>
      <c r="E4425" s="52"/>
    </row>
    <row r="4426" spans="1:5" s="103" customFormat="1" ht="13.2" hidden="1" outlineLevel="1" x14ac:dyDescent="0.25">
      <c r="A4426" s="106" t="s">
        <v>8864</v>
      </c>
      <c r="B4426" s="106" t="s">
        <v>8865</v>
      </c>
      <c r="C4426" s="106"/>
      <c r="D4426" s="106"/>
      <c r="E4426" s="52"/>
    </row>
    <row r="4427" spans="1:5" s="103" customFormat="1" ht="13.2" hidden="1" outlineLevel="1" x14ac:dyDescent="0.25">
      <c r="A4427" s="106" t="s">
        <v>8866</v>
      </c>
      <c r="B4427" s="106" t="s">
        <v>8867</v>
      </c>
      <c r="C4427" s="106"/>
      <c r="D4427" s="106"/>
      <c r="E4427" s="52"/>
    </row>
    <row r="4428" spans="1:5" s="103" customFormat="1" ht="13.2" hidden="1" outlineLevel="1" x14ac:dyDescent="0.25">
      <c r="A4428" s="106" t="s">
        <v>8868</v>
      </c>
      <c r="B4428" s="106" t="s">
        <v>8869</v>
      </c>
      <c r="C4428" s="106"/>
      <c r="D4428" s="106"/>
      <c r="E4428" s="52"/>
    </row>
    <row r="4429" spans="1:5" s="103" customFormat="1" ht="13.2" hidden="1" outlineLevel="1" x14ac:dyDescent="0.25">
      <c r="A4429" s="106" t="s">
        <v>8870</v>
      </c>
      <c r="B4429" s="106" t="s">
        <v>8871</v>
      </c>
      <c r="C4429" s="106"/>
      <c r="D4429" s="106"/>
      <c r="E4429" s="52"/>
    </row>
    <row r="4430" spans="1:5" s="103" customFormat="1" ht="13.2" hidden="1" outlineLevel="1" x14ac:dyDescent="0.25">
      <c r="A4430" s="106" t="s">
        <v>8872</v>
      </c>
      <c r="B4430" s="106" t="s">
        <v>8873</v>
      </c>
      <c r="C4430" s="106"/>
      <c r="D4430" s="106"/>
      <c r="E4430" s="52"/>
    </row>
    <row r="4431" spans="1:5" s="103" customFormat="1" ht="13.2" hidden="1" outlineLevel="1" x14ac:dyDescent="0.25">
      <c r="A4431" s="106" t="s">
        <v>8874</v>
      </c>
      <c r="B4431" s="106" t="s">
        <v>8875</v>
      </c>
      <c r="C4431" s="106"/>
      <c r="D4431" s="106"/>
      <c r="E4431" s="52"/>
    </row>
    <row r="4432" spans="1:5" s="103" customFormat="1" ht="13.2" hidden="1" outlineLevel="1" x14ac:dyDescent="0.25">
      <c r="A4432" s="106" t="s">
        <v>8876</v>
      </c>
      <c r="B4432" s="106" t="s">
        <v>8877</v>
      </c>
      <c r="C4432" s="106"/>
      <c r="D4432" s="106"/>
      <c r="E4432" s="52"/>
    </row>
    <row r="4433" spans="1:5" s="103" customFormat="1" ht="13.2" hidden="1" outlineLevel="1" x14ac:dyDescent="0.25">
      <c r="A4433" s="106" t="s">
        <v>8878</v>
      </c>
      <c r="B4433" s="106" t="s">
        <v>8879</v>
      </c>
      <c r="C4433" s="106"/>
      <c r="D4433" s="106"/>
      <c r="E4433" s="52"/>
    </row>
    <row r="4434" spans="1:5" s="103" customFormat="1" ht="13.2" hidden="1" outlineLevel="1" x14ac:dyDescent="0.25">
      <c r="A4434" s="106" t="s">
        <v>8880</v>
      </c>
      <c r="B4434" s="106" t="s">
        <v>8881</v>
      </c>
      <c r="C4434" s="106"/>
      <c r="D4434" s="106"/>
      <c r="E4434" s="52"/>
    </row>
    <row r="4435" spans="1:5" s="103" customFormat="1" ht="13.2" hidden="1" outlineLevel="1" x14ac:dyDescent="0.25">
      <c r="A4435" s="106" t="s">
        <v>8882</v>
      </c>
      <c r="B4435" s="106" t="s">
        <v>8883</v>
      </c>
      <c r="C4435" s="106"/>
      <c r="D4435" s="106"/>
      <c r="E4435" s="52"/>
    </row>
    <row r="4436" spans="1:5" s="103" customFormat="1" ht="13.2" hidden="1" outlineLevel="1" x14ac:dyDescent="0.25">
      <c r="A4436" s="106" t="s">
        <v>8884</v>
      </c>
      <c r="B4436" s="106" t="s">
        <v>8885</v>
      </c>
      <c r="C4436" s="106"/>
      <c r="D4436" s="106"/>
      <c r="E4436" s="52"/>
    </row>
    <row r="4437" spans="1:5" s="103" customFormat="1" ht="13.2" hidden="1" outlineLevel="1" x14ac:dyDescent="0.25">
      <c r="A4437" s="106" t="s">
        <v>8886</v>
      </c>
      <c r="B4437" s="106" t="s">
        <v>8887</v>
      </c>
      <c r="C4437" s="106"/>
      <c r="D4437" s="106"/>
      <c r="E4437" s="52"/>
    </row>
    <row r="4438" spans="1:5" s="103" customFormat="1" ht="13.2" hidden="1" outlineLevel="1" x14ac:dyDescent="0.25">
      <c r="A4438" s="106" t="s">
        <v>8888</v>
      </c>
      <c r="B4438" s="106" t="s">
        <v>8889</v>
      </c>
      <c r="C4438" s="106"/>
      <c r="D4438" s="106"/>
      <c r="E4438" s="52"/>
    </row>
    <row r="4439" spans="1:5" s="103" customFormat="1" ht="13.2" hidden="1" outlineLevel="1" x14ac:dyDescent="0.25">
      <c r="A4439" s="106" t="s">
        <v>8890</v>
      </c>
      <c r="B4439" s="106" t="s">
        <v>8891</v>
      </c>
      <c r="C4439" s="106"/>
      <c r="D4439" s="106"/>
      <c r="E4439" s="52"/>
    </row>
    <row r="4440" spans="1:5" s="103" customFormat="1" ht="13.2" hidden="1" outlineLevel="1" x14ac:dyDescent="0.25">
      <c r="A4440" s="106" t="s">
        <v>8892</v>
      </c>
      <c r="B4440" s="106" t="s">
        <v>8893</v>
      </c>
      <c r="C4440" s="106"/>
      <c r="D4440" s="106"/>
      <c r="E4440" s="52"/>
    </row>
    <row r="4441" spans="1:5" s="103" customFormat="1" ht="13.2" hidden="1" outlineLevel="1" x14ac:dyDescent="0.25">
      <c r="A4441" s="106" t="s">
        <v>8894</v>
      </c>
      <c r="B4441" s="106" t="s">
        <v>8895</v>
      </c>
      <c r="C4441" s="106"/>
      <c r="D4441" s="106"/>
      <c r="E4441" s="52"/>
    </row>
    <row r="4442" spans="1:5" s="103" customFormat="1" ht="13.2" hidden="1" outlineLevel="1" x14ac:dyDescent="0.25">
      <c r="A4442" s="106" t="s">
        <v>8896</v>
      </c>
      <c r="B4442" s="106" t="s">
        <v>8897</v>
      </c>
      <c r="C4442" s="106"/>
      <c r="D4442" s="106"/>
      <c r="E4442" s="52"/>
    </row>
    <row r="4443" spans="1:5" s="103" customFormat="1" ht="13.2" hidden="1" outlineLevel="1" x14ac:dyDescent="0.25">
      <c r="A4443" s="106" t="s">
        <v>8898</v>
      </c>
      <c r="B4443" s="106" t="s">
        <v>8899</v>
      </c>
      <c r="C4443" s="106"/>
      <c r="D4443" s="106"/>
      <c r="E4443" s="52"/>
    </row>
    <row r="4444" spans="1:5" s="103" customFormat="1" ht="13.2" hidden="1" outlineLevel="1" x14ac:dyDescent="0.25">
      <c r="A4444" s="106" t="s">
        <v>8900</v>
      </c>
      <c r="B4444" s="106" t="s">
        <v>8901</v>
      </c>
      <c r="C4444" s="106"/>
      <c r="D4444" s="106"/>
      <c r="E4444" s="52"/>
    </row>
    <row r="4445" spans="1:5" s="103" customFormat="1" ht="13.2" hidden="1" outlineLevel="1" x14ac:dyDescent="0.25">
      <c r="A4445" s="106" t="s">
        <v>8902</v>
      </c>
      <c r="B4445" s="106" t="s">
        <v>8903</v>
      </c>
      <c r="C4445" s="106"/>
      <c r="D4445" s="106"/>
      <c r="E4445" s="52"/>
    </row>
    <row r="4446" spans="1:5" s="103" customFormat="1" ht="13.2" hidden="1" outlineLevel="1" x14ac:dyDescent="0.25">
      <c r="A4446" s="106" t="s">
        <v>8904</v>
      </c>
      <c r="B4446" s="106" t="s">
        <v>8905</v>
      </c>
      <c r="C4446" s="106"/>
      <c r="D4446" s="106"/>
      <c r="E4446" s="52"/>
    </row>
    <row r="4447" spans="1:5" s="103" customFormat="1" ht="13.2" hidden="1" outlineLevel="1" x14ac:dyDescent="0.25">
      <c r="A4447" s="106" t="s">
        <v>8906</v>
      </c>
      <c r="B4447" s="106" t="s">
        <v>8907</v>
      </c>
      <c r="C4447" s="106"/>
      <c r="D4447" s="106"/>
      <c r="E4447" s="52"/>
    </row>
    <row r="4448" spans="1:5" s="103" customFormat="1" ht="13.2" hidden="1" outlineLevel="1" x14ac:dyDescent="0.25">
      <c r="A4448" s="106" t="s">
        <v>8908</v>
      </c>
      <c r="B4448" s="106" t="s">
        <v>8909</v>
      </c>
      <c r="C4448" s="106"/>
      <c r="D4448" s="106"/>
      <c r="E4448" s="52"/>
    </row>
    <row r="4449" spans="1:5" s="103" customFormat="1" ht="13.2" hidden="1" outlineLevel="1" x14ac:dyDescent="0.25">
      <c r="A4449" s="106" t="s">
        <v>8910</v>
      </c>
      <c r="B4449" s="106" t="s">
        <v>8911</v>
      </c>
      <c r="C4449" s="106"/>
      <c r="D4449" s="106"/>
      <c r="E4449" s="52"/>
    </row>
    <row r="4450" spans="1:5" s="103" customFormat="1" ht="13.2" hidden="1" outlineLevel="1" x14ac:dyDescent="0.25">
      <c r="A4450" s="106" t="s">
        <v>8912</v>
      </c>
      <c r="B4450" s="106" t="s">
        <v>8913</v>
      </c>
      <c r="C4450" s="106"/>
      <c r="D4450" s="106"/>
      <c r="E4450" s="52"/>
    </row>
    <row r="4451" spans="1:5" s="103" customFormat="1" ht="13.2" hidden="1" outlineLevel="1" x14ac:dyDescent="0.25">
      <c r="A4451" s="106" t="s">
        <v>8914</v>
      </c>
      <c r="B4451" s="106" t="s">
        <v>8915</v>
      </c>
      <c r="C4451" s="106"/>
      <c r="D4451" s="106"/>
      <c r="E4451" s="52"/>
    </row>
    <row r="4452" spans="1:5" s="103" customFormat="1" ht="13.2" hidden="1" outlineLevel="1" x14ac:dyDescent="0.25">
      <c r="A4452" s="106" t="s">
        <v>8916</v>
      </c>
      <c r="B4452" s="106" t="s">
        <v>8917</v>
      </c>
      <c r="C4452" s="106"/>
      <c r="D4452" s="106"/>
      <c r="E4452" s="52"/>
    </row>
    <row r="4453" spans="1:5" s="103" customFormat="1" ht="13.2" hidden="1" outlineLevel="1" x14ac:dyDescent="0.25">
      <c r="A4453" s="106" t="s">
        <v>8918</v>
      </c>
      <c r="B4453" s="106" t="s">
        <v>8919</v>
      </c>
      <c r="C4453" s="106"/>
      <c r="D4453" s="106"/>
      <c r="E4453" s="52"/>
    </row>
    <row r="4454" spans="1:5" s="103" customFormat="1" ht="13.2" hidden="1" outlineLevel="1" x14ac:dyDescent="0.25">
      <c r="A4454" s="106" t="s">
        <v>8920</v>
      </c>
      <c r="B4454" s="106" t="s">
        <v>8921</v>
      </c>
      <c r="C4454" s="106"/>
      <c r="D4454" s="106"/>
      <c r="E4454" s="52"/>
    </row>
    <row r="4455" spans="1:5" s="103" customFormat="1" ht="13.2" hidden="1" outlineLevel="1" x14ac:dyDescent="0.25">
      <c r="A4455" s="106" t="s">
        <v>8922</v>
      </c>
      <c r="B4455" s="106" t="s">
        <v>8923</v>
      </c>
      <c r="C4455" s="106"/>
      <c r="D4455" s="106"/>
      <c r="E4455" s="52"/>
    </row>
    <row r="4456" spans="1:5" s="103" customFormat="1" ht="13.2" hidden="1" outlineLevel="1" x14ac:dyDescent="0.25">
      <c r="A4456" s="106" t="s">
        <v>8924</v>
      </c>
      <c r="B4456" s="106" t="s">
        <v>8925</v>
      </c>
      <c r="C4456" s="106"/>
      <c r="D4456" s="106"/>
      <c r="E4456" s="52"/>
    </row>
    <row r="4457" spans="1:5" s="103" customFormat="1" ht="13.2" hidden="1" outlineLevel="1" x14ac:dyDescent="0.25">
      <c r="A4457" s="106" t="s">
        <v>8926</v>
      </c>
      <c r="B4457" s="106" t="s">
        <v>8927</v>
      </c>
      <c r="C4457" s="106"/>
      <c r="D4457" s="106"/>
      <c r="E4457" s="52"/>
    </row>
    <row r="4458" spans="1:5" s="103" customFormat="1" ht="13.2" hidden="1" outlineLevel="1" x14ac:dyDescent="0.25">
      <c r="A4458" s="106" t="s">
        <v>8928</v>
      </c>
      <c r="B4458" s="106" t="s">
        <v>8929</v>
      </c>
      <c r="C4458" s="106"/>
      <c r="D4458" s="106"/>
      <c r="E4458" s="52"/>
    </row>
    <row r="4459" spans="1:5" s="103" customFormat="1" ht="13.2" hidden="1" outlineLevel="1" x14ac:dyDescent="0.25">
      <c r="A4459" s="106" t="s">
        <v>8930</v>
      </c>
      <c r="B4459" s="106" t="s">
        <v>8931</v>
      </c>
      <c r="C4459" s="106"/>
      <c r="D4459" s="106"/>
      <c r="E4459" s="52"/>
    </row>
    <row r="4460" spans="1:5" s="103" customFormat="1" ht="13.2" hidden="1" outlineLevel="1" x14ac:dyDescent="0.25">
      <c r="A4460" s="106" t="s">
        <v>8932</v>
      </c>
      <c r="B4460" s="106" t="s">
        <v>8933</v>
      </c>
      <c r="C4460" s="106"/>
      <c r="D4460" s="106"/>
      <c r="E4460" s="52"/>
    </row>
    <row r="4461" spans="1:5" s="103" customFormat="1" ht="13.2" hidden="1" outlineLevel="1" x14ac:dyDescent="0.25">
      <c r="A4461" s="106" t="s">
        <v>8934</v>
      </c>
      <c r="B4461" s="106" t="s">
        <v>8935</v>
      </c>
      <c r="C4461" s="106"/>
      <c r="D4461" s="106"/>
      <c r="E4461" s="52"/>
    </row>
    <row r="4462" spans="1:5" s="103" customFormat="1" ht="13.2" hidden="1" outlineLevel="1" x14ac:dyDescent="0.25">
      <c r="A4462" s="106" t="s">
        <v>8936</v>
      </c>
      <c r="B4462" s="106" t="s">
        <v>8937</v>
      </c>
      <c r="C4462" s="106"/>
      <c r="D4462" s="106"/>
      <c r="E4462" s="52"/>
    </row>
    <row r="4463" spans="1:5" s="103" customFormat="1" ht="13.2" hidden="1" outlineLevel="1" x14ac:dyDescent="0.25">
      <c r="A4463" s="106" t="s">
        <v>8938</v>
      </c>
      <c r="B4463" s="106" t="s">
        <v>8939</v>
      </c>
      <c r="C4463" s="106"/>
      <c r="D4463" s="106"/>
      <c r="E4463" s="52"/>
    </row>
    <row r="4464" spans="1:5" s="103" customFormat="1" ht="13.2" hidden="1" outlineLevel="1" x14ac:dyDescent="0.25">
      <c r="A4464" s="106" t="s">
        <v>8940</v>
      </c>
      <c r="B4464" s="106" t="s">
        <v>8941</v>
      </c>
      <c r="C4464" s="106"/>
      <c r="D4464" s="106"/>
      <c r="E4464" s="52"/>
    </row>
    <row r="4465" spans="1:5" s="103" customFormat="1" ht="13.2" hidden="1" outlineLevel="1" x14ac:dyDescent="0.25">
      <c r="A4465" s="106" t="s">
        <v>8942</v>
      </c>
      <c r="B4465" s="106" t="s">
        <v>8943</v>
      </c>
      <c r="C4465" s="106"/>
      <c r="D4465" s="106"/>
      <c r="E4465" s="52"/>
    </row>
    <row r="4466" spans="1:5" s="103" customFormat="1" ht="13.2" hidden="1" outlineLevel="1" x14ac:dyDescent="0.25">
      <c r="A4466" s="106" t="s">
        <v>8944</v>
      </c>
      <c r="B4466" s="106" t="s">
        <v>8945</v>
      </c>
      <c r="C4466" s="106"/>
      <c r="D4466" s="106"/>
      <c r="E4466" s="52"/>
    </row>
    <row r="4467" spans="1:5" s="103" customFormat="1" ht="13.2" hidden="1" outlineLevel="1" x14ac:dyDescent="0.25">
      <c r="A4467" s="106" t="s">
        <v>8946</v>
      </c>
      <c r="B4467" s="106" t="s">
        <v>8947</v>
      </c>
      <c r="C4467" s="106"/>
      <c r="D4467" s="106"/>
      <c r="E4467" s="52"/>
    </row>
    <row r="4468" spans="1:5" s="103" customFormat="1" ht="13.2" hidden="1" outlineLevel="1" x14ac:dyDescent="0.25">
      <c r="A4468" s="106" t="s">
        <v>8948</v>
      </c>
      <c r="B4468" s="106" t="s">
        <v>8949</v>
      </c>
      <c r="C4468" s="106"/>
      <c r="D4468" s="106"/>
      <c r="E4468" s="52"/>
    </row>
    <row r="4469" spans="1:5" s="103" customFormat="1" ht="13.2" hidden="1" outlineLevel="1" x14ac:dyDescent="0.25">
      <c r="A4469" s="106" t="s">
        <v>8950</v>
      </c>
      <c r="B4469" s="106" t="s">
        <v>8951</v>
      </c>
      <c r="C4469" s="106"/>
      <c r="D4469" s="106"/>
      <c r="E4469" s="52"/>
    </row>
    <row r="4470" spans="1:5" s="103" customFormat="1" ht="13.2" hidden="1" outlineLevel="1" x14ac:dyDescent="0.25">
      <c r="A4470" s="106" t="s">
        <v>8952</v>
      </c>
      <c r="B4470" s="106" t="s">
        <v>8953</v>
      </c>
      <c r="C4470" s="106"/>
      <c r="D4470" s="106"/>
      <c r="E4470" s="52"/>
    </row>
    <row r="4471" spans="1:5" s="103" customFormat="1" ht="13.2" hidden="1" outlineLevel="1" x14ac:dyDescent="0.25">
      <c r="A4471" s="106" t="s">
        <v>8954</v>
      </c>
      <c r="B4471" s="106" t="s">
        <v>8955</v>
      </c>
      <c r="C4471" s="106"/>
      <c r="D4471" s="106"/>
      <c r="E4471" s="52"/>
    </row>
    <row r="4472" spans="1:5" s="103" customFormat="1" ht="13.2" hidden="1" outlineLevel="1" x14ac:dyDescent="0.25">
      <c r="A4472" s="106" t="s">
        <v>8956</v>
      </c>
      <c r="B4472" s="106" t="s">
        <v>8957</v>
      </c>
      <c r="C4472" s="106"/>
      <c r="D4472" s="106"/>
      <c r="E4472" s="52"/>
    </row>
    <row r="4473" spans="1:5" s="103" customFormat="1" ht="13.2" hidden="1" outlineLevel="1" x14ac:dyDescent="0.25">
      <c r="A4473" s="106" t="s">
        <v>8958</v>
      </c>
      <c r="B4473" s="106" t="s">
        <v>8959</v>
      </c>
      <c r="C4473" s="106"/>
      <c r="D4473" s="106"/>
      <c r="E4473" s="52"/>
    </row>
    <row r="4474" spans="1:5" s="103" customFormat="1" ht="13.2" hidden="1" outlineLevel="1" x14ac:dyDescent="0.25">
      <c r="A4474" s="106" t="s">
        <v>8960</v>
      </c>
      <c r="B4474" s="106" t="s">
        <v>8961</v>
      </c>
      <c r="C4474" s="106"/>
      <c r="D4474" s="106"/>
      <c r="E4474" s="52"/>
    </row>
    <row r="4475" spans="1:5" s="103" customFormat="1" ht="13.2" hidden="1" outlineLevel="1" x14ac:dyDescent="0.25">
      <c r="A4475" s="106" t="s">
        <v>8962</v>
      </c>
      <c r="B4475" s="106" t="s">
        <v>8963</v>
      </c>
      <c r="C4475" s="106"/>
      <c r="D4475" s="106"/>
      <c r="E4475" s="52"/>
    </row>
    <row r="4476" spans="1:5" s="103" customFormat="1" ht="13.2" hidden="1" outlineLevel="1" x14ac:dyDescent="0.25">
      <c r="A4476" s="106" t="s">
        <v>8964</v>
      </c>
      <c r="B4476" s="106" t="s">
        <v>8965</v>
      </c>
      <c r="C4476" s="106"/>
      <c r="D4476" s="106"/>
      <c r="E4476" s="52"/>
    </row>
    <row r="4477" spans="1:5" s="103" customFormat="1" ht="13.2" hidden="1" outlineLevel="1" x14ac:dyDescent="0.25">
      <c r="A4477" s="106" t="s">
        <v>8966</v>
      </c>
      <c r="B4477" s="106" t="s">
        <v>8967</v>
      </c>
      <c r="C4477" s="106"/>
      <c r="D4477" s="106"/>
      <c r="E4477" s="52"/>
    </row>
    <row r="4478" spans="1:5" s="103" customFormat="1" ht="13.2" hidden="1" outlineLevel="1" x14ac:dyDescent="0.25">
      <c r="A4478" s="106" t="s">
        <v>8968</v>
      </c>
      <c r="B4478" s="106" t="s">
        <v>8969</v>
      </c>
      <c r="C4478" s="106"/>
      <c r="D4478" s="106"/>
      <c r="E4478" s="52"/>
    </row>
    <row r="4479" spans="1:5" s="103" customFormat="1" ht="13.2" hidden="1" outlineLevel="1" x14ac:dyDescent="0.25">
      <c r="A4479" s="106" t="s">
        <v>8970</v>
      </c>
      <c r="B4479" s="106" t="s">
        <v>8971</v>
      </c>
      <c r="C4479" s="106"/>
      <c r="D4479" s="106"/>
      <c r="E4479" s="52"/>
    </row>
    <row r="4480" spans="1:5" s="103" customFormat="1" ht="13.2" hidden="1" outlineLevel="1" x14ac:dyDescent="0.25">
      <c r="A4480" s="106" t="s">
        <v>8972</v>
      </c>
      <c r="B4480" s="106" t="s">
        <v>8973</v>
      </c>
      <c r="C4480" s="106"/>
      <c r="D4480" s="106"/>
      <c r="E4480" s="52"/>
    </row>
    <row r="4481" spans="1:5" s="103" customFormat="1" ht="13.2" hidden="1" outlineLevel="1" x14ac:dyDescent="0.25">
      <c r="A4481" s="106" t="s">
        <v>8974</v>
      </c>
      <c r="B4481" s="106" t="s">
        <v>8975</v>
      </c>
      <c r="C4481" s="106"/>
      <c r="D4481" s="106"/>
      <c r="E4481" s="52"/>
    </row>
    <row r="4482" spans="1:5" s="103" customFormat="1" ht="13.2" hidden="1" outlineLevel="1" x14ac:dyDescent="0.25">
      <c r="A4482" s="106" t="s">
        <v>8976</v>
      </c>
      <c r="B4482" s="106" t="s">
        <v>8977</v>
      </c>
      <c r="C4482" s="106"/>
      <c r="D4482" s="106"/>
      <c r="E4482" s="52"/>
    </row>
    <row r="4483" spans="1:5" s="103" customFormat="1" ht="13.2" hidden="1" outlineLevel="1" x14ac:dyDescent="0.25">
      <c r="A4483" s="106" t="s">
        <v>8978</v>
      </c>
      <c r="B4483" s="106" t="s">
        <v>8979</v>
      </c>
      <c r="C4483" s="106"/>
      <c r="D4483" s="106"/>
      <c r="E4483" s="52"/>
    </row>
    <row r="4484" spans="1:5" s="103" customFormat="1" ht="13.2" hidden="1" outlineLevel="1" x14ac:dyDescent="0.25">
      <c r="A4484" s="106" t="s">
        <v>8980</v>
      </c>
      <c r="B4484" s="106" t="s">
        <v>8981</v>
      </c>
      <c r="C4484" s="106"/>
      <c r="D4484" s="106"/>
      <c r="E4484" s="52"/>
    </row>
    <row r="4485" spans="1:5" s="103" customFormat="1" ht="13.2" hidden="1" outlineLevel="1" x14ac:dyDescent="0.25">
      <c r="A4485" s="106" t="s">
        <v>8982</v>
      </c>
      <c r="B4485" s="106" t="s">
        <v>8983</v>
      </c>
      <c r="C4485" s="106"/>
      <c r="D4485" s="106"/>
      <c r="E4485" s="52"/>
    </row>
    <row r="4486" spans="1:5" s="103" customFormat="1" ht="13.2" hidden="1" outlineLevel="1" x14ac:dyDescent="0.25">
      <c r="A4486" s="106" t="s">
        <v>8984</v>
      </c>
      <c r="B4486" s="106" t="s">
        <v>8985</v>
      </c>
      <c r="C4486" s="106"/>
      <c r="D4486" s="106"/>
      <c r="E4486" s="52"/>
    </row>
    <row r="4487" spans="1:5" s="103" customFormat="1" ht="13.2" hidden="1" outlineLevel="1" x14ac:dyDescent="0.25">
      <c r="A4487" s="106" t="s">
        <v>8986</v>
      </c>
      <c r="B4487" s="106" t="s">
        <v>8987</v>
      </c>
      <c r="C4487" s="106"/>
      <c r="D4487" s="106"/>
      <c r="E4487" s="52"/>
    </row>
    <row r="4488" spans="1:5" s="103" customFormat="1" ht="13.2" hidden="1" outlineLevel="1" x14ac:dyDescent="0.25">
      <c r="A4488" s="106" t="s">
        <v>8988</v>
      </c>
      <c r="B4488" s="106" t="s">
        <v>8989</v>
      </c>
      <c r="C4488" s="106"/>
      <c r="D4488" s="106"/>
      <c r="E4488" s="52"/>
    </row>
    <row r="4489" spans="1:5" s="103" customFormat="1" ht="13.2" hidden="1" outlineLevel="1" x14ac:dyDescent="0.25">
      <c r="A4489" s="106" t="s">
        <v>8990</v>
      </c>
      <c r="B4489" s="106" t="s">
        <v>8991</v>
      </c>
      <c r="C4489" s="106"/>
      <c r="D4489" s="106"/>
      <c r="E4489" s="52"/>
    </row>
    <row r="4490" spans="1:5" s="103" customFormat="1" ht="13.2" hidden="1" outlineLevel="1" x14ac:dyDescent="0.25">
      <c r="A4490" s="106" t="s">
        <v>8992</v>
      </c>
      <c r="B4490" s="106" t="s">
        <v>8993</v>
      </c>
      <c r="C4490" s="106"/>
      <c r="D4490" s="106"/>
      <c r="E4490" s="52"/>
    </row>
    <row r="4491" spans="1:5" s="103" customFormat="1" ht="13.2" hidden="1" outlineLevel="1" x14ac:dyDescent="0.25">
      <c r="A4491" s="106" t="s">
        <v>8994</v>
      </c>
      <c r="B4491" s="106" t="s">
        <v>8995</v>
      </c>
      <c r="C4491" s="106"/>
      <c r="D4491" s="106"/>
      <c r="E4491" s="52"/>
    </row>
    <row r="4492" spans="1:5" s="103" customFormat="1" ht="13.2" hidden="1" outlineLevel="1" x14ac:dyDescent="0.25">
      <c r="A4492" s="106" t="s">
        <v>8996</v>
      </c>
      <c r="B4492" s="106" t="s">
        <v>8997</v>
      </c>
      <c r="C4492" s="106"/>
      <c r="D4492" s="106"/>
      <c r="E4492" s="52"/>
    </row>
    <row r="4493" spans="1:5" s="103" customFormat="1" ht="13.2" hidden="1" outlineLevel="1" x14ac:dyDescent="0.25">
      <c r="A4493" s="106" t="s">
        <v>8998</v>
      </c>
      <c r="B4493" s="106" t="s">
        <v>8999</v>
      </c>
      <c r="C4493" s="106"/>
      <c r="D4493" s="106"/>
      <c r="E4493" s="52"/>
    </row>
    <row r="4494" spans="1:5" s="103" customFormat="1" ht="13.2" hidden="1" outlineLevel="1" x14ac:dyDescent="0.25">
      <c r="A4494" s="106" t="s">
        <v>9000</v>
      </c>
      <c r="B4494" s="106" t="s">
        <v>9001</v>
      </c>
      <c r="C4494" s="106"/>
      <c r="D4494" s="106"/>
      <c r="E4494" s="52"/>
    </row>
    <row r="4495" spans="1:5" s="103" customFormat="1" ht="13.2" hidden="1" outlineLevel="1" x14ac:dyDescent="0.25">
      <c r="A4495" s="106" t="s">
        <v>9002</v>
      </c>
      <c r="B4495" s="106" t="s">
        <v>9003</v>
      </c>
      <c r="C4495" s="106"/>
      <c r="D4495" s="106"/>
      <c r="E4495" s="52"/>
    </row>
    <row r="4496" spans="1:5" s="103" customFormat="1" ht="13.2" hidden="1" outlineLevel="1" x14ac:dyDescent="0.25">
      <c r="A4496" s="106" t="s">
        <v>9004</v>
      </c>
      <c r="B4496" s="106" t="s">
        <v>9005</v>
      </c>
      <c r="C4496" s="106"/>
      <c r="D4496" s="106"/>
      <c r="E4496" s="52"/>
    </row>
    <row r="4497" spans="1:5" s="103" customFormat="1" ht="13.2" hidden="1" outlineLevel="1" x14ac:dyDescent="0.25">
      <c r="A4497" s="106" t="s">
        <v>9006</v>
      </c>
      <c r="B4497" s="106" t="s">
        <v>9007</v>
      </c>
      <c r="C4497" s="106"/>
      <c r="D4497" s="106"/>
      <c r="E4497" s="52"/>
    </row>
    <row r="4498" spans="1:5" s="103" customFormat="1" ht="13.2" hidden="1" outlineLevel="1" x14ac:dyDescent="0.25">
      <c r="A4498" s="106" t="s">
        <v>9008</v>
      </c>
      <c r="B4498" s="106" t="s">
        <v>9009</v>
      </c>
      <c r="C4498" s="106"/>
      <c r="D4498" s="106"/>
      <c r="E4498" s="52"/>
    </row>
    <row r="4499" spans="1:5" s="103" customFormat="1" ht="13.2" hidden="1" outlineLevel="1" x14ac:dyDescent="0.25">
      <c r="A4499" s="106" t="s">
        <v>9010</v>
      </c>
      <c r="B4499" s="106" t="s">
        <v>9011</v>
      </c>
      <c r="C4499" s="106"/>
      <c r="D4499" s="106"/>
      <c r="E4499" s="52"/>
    </row>
    <row r="4500" spans="1:5" s="103" customFormat="1" ht="13.2" hidden="1" outlineLevel="1" x14ac:dyDescent="0.25">
      <c r="A4500" s="106" t="s">
        <v>9012</v>
      </c>
      <c r="B4500" s="106" t="s">
        <v>9013</v>
      </c>
      <c r="C4500" s="106"/>
      <c r="D4500" s="106"/>
      <c r="E4500" s="52"/>
    </row>
    <row r="4501" spans="1:5" s="103" customFormat="1" ht="13.2" hidden="1" outlineLevel="1" x14ac:dyDescent="0.25">
      <c r="A4501" s="106" t="s">
        <v>9014</v>
      </c>
      <c r="B4501" s="106" t="s">
        <v>9015</v>
      </c>
      <c r="C4501" s="106"/>
      <c r="D4501" s="106"/>
      <c r="E4501" s="52"/>
    </row>
    <row r="4502" spans="1:5" s="103" customFormat="1" ht="13.2" hidden="1" outlineLevel="1" x14ac:dyDescent="0.25">
      <c r="A4502" s="106" t="s">
        <v>9016</v>
      </c>
      <c r="B4502" s="106" t="s">
        <v>9017</v>
      </c>
      <c r="C4502" s="106"/>
      <c r="D4502" s="106"/>
      <c r="E4502" s="52"/>
    </row>
    <row r="4503" spans="1:5" s="103" customFormat="1" ht="13.2" hidden="1" outlineLevel="1" x14ac:dyDescent="0.25">
      <c r="A4503" s="106" t="s">
        <v>9018</v>
      </c>
      <c r="B4503" s="106" t="s">
        <v>9019</v>
      </c>
      <c r="C4503" s="106"/>
      <c r="D4503" s="106"/>
      <c r="E4503" s="52"/>
    </row>
    <row r="4504" spans="1:5" s="103" customFormat="1" ht="13.2" hidden="1" outlineLevel="1" x14ac:dyDescent="0.25">
      <c r="A4504" s="106" t="s">
        <v>9020</v>
      </c>
      <c r="B4504" s="106" t="s">
        <v>9021</v>
      </c>
      <c r="C4504" s="106"/>
      <c r="D4504" s="106"/>
      <c r="E4504" s="52"/>
    </row>
    <row r="4505" spans="1:5" s="103" customFormat="1" ht="13.2" hidden="1" outlineLevel="1" x14ac:dyDescent="0.25">
      <c r="A4505" s="106" t="s">
        <v>9022</v>
      </c>
      <c r="B4505" s="106" t="s">
        <v>9023</v>
      </c>
      <c r="C4505" s="106"/>
      <c r="D4505" s="106"/>
      <c r="E4505" s="52"/>
    </row>
    <row r="4506" spans="1:5" s="103" customFormat="1" ht="13.2" hidden="1" outlineLevel="1" x14ac:dyDescent="0.25">
      <c r="A4506" s="106" t="s">
        <v>9024</v>
      </c>
      <c r="B4506" s="106" t="s">
        <v>9025</v>
      </c>
      <c r="C4506" s="106"/>
      <c r="D4506" s="106"/>
      <c r="E4506" s="52"/>
    </row>
    <row r="4507" spans="1:5" s="103" customFormat="1" ht="13.2" hidden="1" outlineLevel="1" x14ac:dyDescent="0.25">
      <c r="A4507" s="106" t="s">
        <v>9026</v>
      </c>
      <c r="B4507" s="106" t="s">
        <v>9027</v>
      </c>
      <c r="C4507" s="106"/>
      <c r="D4507" s="106"/>
      <c r="E4507" s="52"/>
    </row>
    <row r="4508" spans="1:5" s="103" customFormat="1" ht="13.2" hidden="1" outlineLevel="1" x14ac:dyDescent="0.25">
      <c r="A4508" s="106" t="s">
        <v>9028</v>
      </c>
      <c r="B4508" s="106" t="s">
        <v>9029</v>
      </c>
      <c r="C4508" s="106"/>
      <c r="D4508" s="106"/>
      <c r="E4508" s="52"/>
    </row>
    <row r="4509" spans="1:5" s="103" customFormat="1" ht="13.2" hidden="1" outlineLevel="1" x14ac:dyDescent="0.25">
      <c r="A4509" s="106" t="s">
        <v>9030</v>
      </c>
      <c r="B4509" s="106" t="s">
        <v>9031</v>
      </c>
      <c r="C4509" s="106"/>
      <c r="D4509" s="106"/>
      <c r="E4509" s="52"/>
    </row>
    <row r="4510" spans="1:5" s="103" customFormat="1" ht="13.2" hidden="1" outlineLevel="1" x14ac:dyDescent="0.25">
      <c r="A4510" s="106" t="s">
        <v>9032</v>
      </c>
      <c r="B4510" s="106" t="s">
        <v>9033</v>
      </c>
      <c r="C4510" s="106"/>
      <c r="D4510" s="106"/>
      <c r="E4510" s="52"/>
    </row>
    <row r="4511" spans="1:5" s="103" customFormat="1" ht="13.2" hidden="1" outlineLevel="1" x14ac:dyDescent="0.25">
      <c r="A4511" s="106" t="s">
        <v>9034</v>
      </c>
      <c r="B4511" s="106" t="s">
        <v>9035</v>
      </c>
      <c r="C4511" s="106"/>
      <c r="D4511" s="106"/>
      <c r="E4511" s="52"/>
    </row>
    <row r="4512" spans="1:5" s="103" customFormat="1" ht="13.2" hidden="1" outlineLevel="1" x14ac:dyDescent="0.25">
      <c r="A4512" s="106" t="s">
        <v>9036</v>
      </c>
      <c r="B4512" s="106" t="s">
        <v>9037</v>
      </c>
      <c r="C4512" s="106"/>
      <c r="D4512" s="106"/>
      <c r="E4512" s="52"/>
    </row>
    <row r="4513" spans="1:5" s="103" customFormat="1" ht="13.2" hidden="1" outlineLevel="1" x14ac:dyDescent="0.25">
      <c r="A4513" s="106" t="s">
        <v>9038</v>
      </c>
      <c r="B4513" s="106" t="s">
        <v>9039</v>
      </c>
      <c r="C4513" s="106"/>
      <c r="D4513" s="106"/>
      <c r="E4513" s="52"/>
    </row>
    <row r="4514" spans="1:5" s="103" customFormat="1" ht="13.2" hidden="1" outlineLevel="1" x14ac:dyDescent="0.25">
      <c r="A4514" s="106" t="s">
        <v>9040</v>
      </c>
      <c r="B4514" s="106" t="s">
        <v>9041</v>
      </c>
      <c r="C4514" s="106"/>
      <c r="D4514" s="106"/>
      <c r="E4514" s="52"/>
    </row>
    <row r="4515" spans="1:5" s="103" customFormat="1" ht="13.2" hidden="1" outlineLevel="1" x14ac:dyDescent="0.25">
      <c r="A4515" s="106" t="s">
        <v>9042</v>
      </c>
      <c r="B4515" s="106" t="s">
        <v>9043</v>
      </c>
      <c r="C4515" s="106"/>
      <c r="D4515" s="106"/>
      <c r="E4515" s="52"/>
    </row>
    <row r="4516" spans="1:5" s="103" customFormat="1" ht="13.2" hidden="1" outlineLevel="1" x14ac:dyDescent="0.25">
      <c r="A4516" s="106" t="s">
        <v>9044</v>
      </c>
      <c r="B4516" s="106" t="s">
        <v>9045</v>
      </c>
      <c r="C4516" s="106"/>
      <c r="D4516" s="106"/>
      <c r="E4516" s="52"/>
    </row>
    <row r="4517" spans="1:5" s="103" customFormat="1" ht="13.2" hidden="1" outlineLevel="1" x14ac:dyDescent="0.25">
      <c r="A4517" s="106" t="s">
        <v>9046</v>
      </c>
      <c r="B4517" s="106" t="s">
        <v>9047</v>
      </c>
      <c r="C4517" s="106"/>
      <c r="D4517" s="106"/>
      <c r="E4517" s="52"/>
    </row>
    <row r="4518" spans="1:5" s="103" customFormat="1" ht="13.2" hidden="1" outlineLevel="1" x14ac:dyDescent="0.25">
      <c r="A4518" s="106" t="s">
        <v>9048</v>
      </c>
      <c r="B4518" s="106" t="s">
        <v>9049</v>
      </c>
      <c r="C4518" s="106"/>
      <c r="D4518" s="106"/>
      <c r="E4518" s="52"/>
    </row>
    <row r="4519" spans="1:5" s="103" customFormat="1" ht="13.2" hidden="1" outlineLevel="1" x14ac:dyDescent="0.25">
      <c r="A4519" s="106" t="s">
        <v>9050</v>
      </c>
      <c r="B4519" s="106" t="s">
        <v>9051</v>
      </c>
      <c r="C4519" s="106"/>
      <c r="D4519" s="106"/>
      <c r="E4519" s="52"/>
    </row>
    <row r="4520" spans="1:5" s="103" customFormat="1" ht="13.2" hidden="1" outlineLevel="1" x14ac:dyDescent="0.25">
      <c r="A4520" s="106" t="s">
        <v>9052</v>
      </c>
      <c r="B4520" s="106" t="s">
        <v>9053</v>
      </c>
      <c r="C4520" s="106"/>
      <c r="D4520" s="106"/>
      <c r="E4520" s="52"/>
    </row>
    <row r="4521" spans="1:5" s="103" customFormat="1" ht="13.2" hidden="1" outlineLevel="1" x14ac:dyDescent="0.25">
      <c r="A4521" s="106" t="s">
        <v>9054</v>
      </c>
      <c r="B4521" s="106" t="s">
        <v>9055</v>
      </c>
      <c r="C4521" s="106"/>
      <c r="D4521" s="106"/>
      <c r="E4521" s="52"/>
    </row>
    <row r="4522" spans="1:5" s="103" customFormat="1" ht="13.2" hidden="1" outlineLevel="1" x14ac:dyDescent="0.25">
      <c r="A4522" s="106" t="s">
        <v>9056</v>
      </c>
      <c r="B4522" s="106" t="s">
        <v>9057</v>
      </c>
      <c r="C4522" s="106"/>
      <c r="D4522" s="106"/>
      <c r="E4522" s="52"/>
    </row>
    <row r="4523" spans="1:5" s="103" customFormat="1" ht="13.2" hidden="1" outlineLevel="1" x14ac:dyDescent="0.25">
      <c r="A4523" s="106" t="s">
        <v>9058</v>
      </c>
      <c r="B4523" s="106" t="s">
        <v>9059</v>
      </c>
      <c r="C4523" s="106"/>
      <c r="D4523" s="106"/>
      <c r="E4523" s="52"/>
    </row>
    <row r="4524" spans="1:5" s="103" customFormat="1" ht="13.2" hidden="1" outlineLevel="1" x14ac:dyDescent="0.25">
      <c r="A4524" s="106" t="s">
        <v>9060</v>
      </c>
      <c r="B4524" s="106" t="s">
        <v>9061</v>
      </c>
      <c r="C4524" s="106"/>
      <c r="D4524" s="106"/>
      <c r="E4524" s="52"/>
    </row>
    <row r="4525" spans="1:5" s="103" customFormat="1" ht="13.2" hidden="1" outlineLevel="1" x14ac:dyDescent="0.25">
      <c r="A4525" s="106" t="s">
        <v>9062</v>
      </c>
      <c r="B4525" s="106" t="s">
        <v>9063</v>
      </c>
      <c r="C4525" s="106"/>
      <c r="D4525" s="106"/>
      <c r="E4525" s="52"/>
    </row>
    <row r="4526" spans="1:5" s="103" customFormat="1" ht="13.2" hidden="1" outlineLevel="1" x14ac:dyDescent="0.25">
      <c r="A4526" s="106" t="s">
        <v>9064</v>
      </c>
      <c r="B4526" s="106" t="s">
        <v>9065</v>
      </c>
      <c r="C4526" s="106"/>
      <c r="D4526" s="106"/>
      <c r="E4526" s="52"/>
    </row>
    <row r="4527" spans="1:5" s="103" customFormat="1" ht="13.2" hidden="1" outlineLevel="1" x14ac:dyDescent="0.25">
      <c r="A4527" s="106" t="s">
        <v>9066</v>
      </c>
      <c r="B4527" s="106" t="s">
        <v>9067</v>
      </c>
      <c r="C4527" s="106"/>
      <c r="D4527" s="106"/>
      <c r="E4527" s="52"/>
    </row>
    <row r="4528" spans="1:5" s="103" customFormat="1" ht="13.2" hidden="1" outlineLevel="1" x14ac:dyDescent="0.25">
      <c r="A4528" s="106" t="s">
        <v>9068</v>
      </c>
      <c r="B4528" s="106" t="s">
        <v>9069</v>
      </c>
      <c r="C4528" s="106"/>
      <c r="D4528" s="106"/>
      <c r="E4528" s="52"/>
    </row>
    <row r="4529" spans="1:5" s="103" customFormat="1" ht="13.2" hidden="1" outlineLevel="1" x14ac:dyDescent="0.25">
      <c r="A4529" s="106" t="s">
        <v>9070</v>
      </c>
      <c r="B4529" s="106" t="s">
        <v>9071</v>
      </c>
      <c r="C4529" s="106"/>
      <c r="D4529" s="106"/>
      <c r="E4529" s="52"/>
    </row>
    <row r="4530" spans="1:5" s="103" customFormat="1" ht="13.2" hidden="1" outlineLevel="1" x14ac:dyDescent="0.25">
      <c r="A4530" s="106" t="s">
        <v>9072</v>
      </c>
      <c r="B4530" s="106" t="s">
        <v>9073</v>
      </c>
      <c r="C4530" s="106"/>
      <c r="D4530" s="106"/>
      <c r="E4530" s="52"/>
    </row>
    <row r="4531" spans="1:5" s="103" customFormat="1" ht="13.2" hidden="1" outlineLevel="1" x14ac:dyDescent="0.25">
      <c r="A4531" s="106" t="s">
        <v>9074</v>
      </c>
      <c r="B4531" s="106" t="s">
        <v>9075</v>
      </c>
      <c r="C4531" s="106"/>
      <c r="D4531" s="106"/>
      <c r="E4531" s="52"/>
    </row>
    <row r="4532" spans="1:5" s="103" customFormat="1" ht="13.2" hidden="1" outlineLevel="1" x14ac:dyDescent="0.25">
      <c r="A4532" s="106" t="s">
        <v>9076</v>
      </c>
      <c r="B4532" s="106" t="s">
        <v>9077</v>
      </c>
      <c r="C4532" s="106"/>
      <c r="D4532" s="106"/>
      <c r="E4532" s="52"/>
    </row>
    <row r="4533" spans="1:5" s="103" customFormat="1" ht="13.2" hidden="1" outlineLevel="1" x14ac:dyDescent="0.25">
      <c r="A4533" s="106" t="s">
        <v>9078</v>
      </c>
      <c r="B4533" s="106" t="s">
        <v>9079</v>
      </c>
      <c r="C4533" s="106"/>
      <c r="D4533" s="106"/>
      <c r="E4533" s="52"/>
    </row>
    <row r="4534" spans="1:5" s="103" customFormat="1" ht="13.2" hidden="1" outlineLevel="1" x14ac:dyDescent="0.25">
      <c r="A4534" s="106" t="s">
        <v>9080</v>
      </c>
      <c r="B4534" s="106" t="s">
        <v>9081</v>
      </c>
      <c r="C4534" s="106"/>
      <c r="D4534" s="106"/>
      <c r="E4534" s="52"/>
    </row>
    <row r="4535" spans="1:5" s="103" customFormat="1" ht="13.2" hidden="1" outlineLevel="1" x14ac:dyDescent="0.25">
      <c r="A4535" s="106" t="s">
        <v>9082</v>
      </c>
      <c r="B4535" s="106" t="s">
        <v>9083</v>
      </c>
      <c r="C4535" s="106"/>
      <c r="D4535" s="106"/>
      <c r="E4535" s="52"/>
    </row>
    <row r="4536" spans="1:5" s="103" customFormat="1" ht="13.2" hidden="1" outlineLevel="1" x14ac:dyDescent="0.25">
      <c r="A4536" s="106" t="s">
        <v>9084</v>
      </c>
      <c r="B4536" s="106" t="s">
        <v>9085</v>
      </c>
      <c r="C4536" s="106"/>
      <c r="D4536" s="106"/>
      <c r="E4536" s="52"/>
    </row>
    <row r="4537" spans="1:5" s="103" customFormat="1" ht="13.2" hidden="1" outlineLevel="1" x14ac:dyDescent="0.25">
      <c r="A4537" s="106" t="s">
        <v>9086</v>
      </c>
      <c r="B4537" s="106" t="s">
        <v>9087</v>
      </c>
      <c r="C4537" s="106"/>
      <c r="D4537" s="106"/>
      <c r="E4537" s="52"/>
    </row>
    <row r="4538" spans="1:5" s="103" customFormat="1" ht="13.2" hidden="1" outlineLevel="1" x14ac:dyDescent="0.25">
      <c r="A4538" s="106" t="s">
        <v>9088</v>
      </c>
      <c r="B4538" s="106" t="s">
        <v>9089</v>
      </c>
      <c r="C4538" s="106"/>
      <c r="D4538" s="106"/>
      <c r="E4538" s="52"/>
    </row>
    <row r="4539" spans="1:5" s="103" customFormat="1" ht="13.2" hidden="1" outlineLevel="1" x14ac:dyDescent="0.25">
      <c r="A4539" s="106" t="s">
        <v>9090</v>
      </c>
      <c r="B4539" s="106" t="s">
        <v>9091</v>
      </c>
      <c r="C4539" s="106"/>
      <c r="D4539" s="106"/>
      <c r="E4539" s="52"/>
    </row>
    <row r="4540" spans="1:5" s="103" customFormat="1" ht="13.2" hidden="1" outlineLevel="1" x14ac:dyDescent="0.25">
      <c r="A4540" s="106" t="s">
        <v>9092</v>
      </c>
      <c r="B4540" s="106" t="s">
        <v>9093</v>
      </c>
      <c r="C4540" s="106"/>
      <c r="D4540" s="106"/>
      <c r="E4540" s="52"/>
    </row>
    <row r="4541" spans="1:5" s="103" customFormat="1" ht="13.2" hidden="1" outlineLevel="1" x14ac:dyDescent="0.25">
      <c r="A4541" s="106" t="s">
        <v>9094</v>
      </c>
      <c r="B4541" s="106" t="s">
        <v>9095</v>
      </c>
      <c r="C4541" s="106"/>
      <c r="D4541" s="106"/>
      <c r="E4541" s="52"/>
    </row>
    <row r="4542" spans="1:5" s="103" customFormat="1" ht="13.2" hidden="1" outlineLevel="1" x14ac:dyDescent="0.25">
      <c r="A4542" s="106" t="s">
        <v>9096</v>
      </c>
      <c r="B4542" s="106" t="s">
        <v>9097</v>
      </c>
      <c r="C4542" s="106"/>
      <c r="D4542" s="106"/>
      <c r="E4542" s="52"/>
    </row>
    <row r="4543" spans="1:5" s="103" customFormat="1" ht="13.2" hidden="1" outlineLevel="1" x14ac:dyDescent="0.25">
      <c r="A4543" s="106" t="s">
        <v>9098</v>
      </c>
      <c r="B4543" s="106" t="s">
        <v>9099</v>
      </c>
      <c r="C4543" s="106"/>
      <c r="D4543" s="106"/>
      <c r="E4543" s="52"/>
    </row>
    <row r="4544" spans="1:5" s="103" customFormat="1" ht="13.2" hidden="1" outlineLevel="1" x14ac:dyDescent="0.25">
      <c r="A4544" s="106" t="s">
        <v>9100</v>
      </c>
      <c r="B4544" s="106" t="s">
        <v>9101</v>
      </c>
      <c r="C4544" s="106"/>
      <c r="D4544" s="106"/>
      <c r="E4544" s="52"/>
    </row>
    <row r="4545" spans="1:5" s="103" customFormat="1" ht="13.2" hidden="1" outlineLevel="1" x14ac:dyDescent="0.25">
      <c r="A4545" s="106" t="s">
        <v>9102</v>
      </c>
      <c r="B4545" s="106" t="s">
        <v>9103</v>
      </c>
      <c r="C4545" s="106"/>
      <c r="D4545" s="106"/>
      <c r="E4545" s="52"/>
    </row>
    <row r="4546" spans="1:5" s="103" customFormat="1" ht="13.2" hidden="1" outlineLevel="1" x14ac:dyDescent="0.25">
      <c r="A4546" s="106" t="s">
        <v>9104</v>
      </c>
      <c r="B4546" s="106" t="s">
        <v>9105</v>
      </c>
      <c r="C4546" s="106"/>
      <c r="D4546" s="106"/>
      <c r="E4546" s="52"/>
    </row>
    <row r="4547" spans="1:5" s="103" customFormat="1" ht="13.2" hidden="1" outlineLevel="1" x14ac:dyDescent="0.25">
      <c r="A4547" s="106" t="s">
        <v>9106</v>
      </c>
      <c r="B4547" s="106" t="s">
        <v>9107</v>
      </c>
      <c r="C4547" s="106"/>
      <c r="D4547" s="106"/>
      <c r="E4547" s="52"/>
    </row>
    <row r="4548" spans="1:5" s="103" customFormat="1" ht="13.2" hidden="1" outlineLevel="1" x14ac:dyDescent="0.25">
      <c r="A4548" s="106" t="s">
        <v>9108</v>
      </c>
      <c r="B4548" s="106" t="s">
        <v>9109</v>
      </c>
      <c r="C4548" s="106"/>
      <c r="D4548" s="106"/>
      <c r="E4548" s="52"/>
    </row>
    <row r="4549" spans="1:5" s="103" customFormat="1" ht="13.2" hidden="1" outlineLevel="1" x14ac:dyDescent="0.25">
      <c r="A4549" s="106" t="s">
        <v>9110</v>
      </c>
      <c r="B4549" s="106" t="s">
        <v>9111</v>
      </c>
      <c r="C4549" s="106"/>
      <c r="D4549" s="106"/>
      <c r="E4549" s="52"/>
    </row>
    <row r="4550" spans="1:5" s="103" customFormat="1" ht="13.2" hidden="1" outlineLevel="1" x14ac:dyDescent="0.25">
      <c r="A4550" s="106" t="s">
        <v>9112</v>
      </c>
      <c r="B4550" s="106" t="s">
        <v>9113</v>
      </c>
      <c r="C4550" s="106"/>
      <c r="D4550" s="106"/>
      <c r="E4550" s="52"/>
    </row>
    <row r="4551" spans="1:5" s="103" customFormat="1" ht="13.2" hidden="1" outlineLevel="1" x14ac:dyDescent="0.25">
      <c r="A4551" s="106" t="s">
        <v>9114</v>
      </c>
      <c r="B4551" s="106" t="s">
        <v>9115</v>
      </c>
      <c r="C4551" s="106"/>
      <c r="D4551" s="106"/>
      <c r="E4551" s="52"/>
    </row>
    <row r="4552" spans="1:5" s="103" customFormat="1" ht="13.2" hidden="1" outlineLevel="1" x14ac:dyDescent="0.25">
      <c r="A4552" s="106" t="s">
        <v>9116</v>
      </c>
      <c r="B4552" s="106" t="s">
        <v>9117</v>
      </c>
      <c r="C4552" s="106"/>
      <c r="D4552" s="106"/>
      <c r="E4552" s="52"/>
    </row>
    <row r="4553" spans="1:5" s="103" customFormat="1" ht="13.2" hidden="1" outlineLevel="1" x14ac:dyDescent="0.25">
      <c r="A4553" s="106" t="s">
        <v>9118</v>
      </c>
      <c r="B4553" s="106" t="s">
        <v>9119</v>
      </c>
      <c r="C4553" s="106"/>
      <c r="D4553" s="106"/>
      <c r="E4553" s="52"/>
    </row>
    <row r="4554" spans="1:5" s="103" customFormat="1" ht="13.2" hidden="1" outlineLevel="1" x14ac:dyDescent="0.25">
      <c r="A4554" s="106" t="s">
        <v>9120</v>
      </c>
      <c r="B4554" s="106" t="s">
        <v>9121</v>
      </c>
      <c r="C4554" s="106"/>
      <c r="D4554" s="106"/>
      <c r="E4554" s="52"/>
    </row>
    <row r="4555" spans="1:5" s="103" customFormat="1" ht="13.2" hidden="1" outlineLevel="1" x14ac:dyDescent="0.25">
      <c r="A4555" s="106" t="s">
        <v>9122</v>
      </c>
      <c r="B4555" s="106" t="s">
        <v>9123</v>
      </c>
      <c r="C4555" s="106"/>
      <c r="D4555" s="106"/>
      <c r="E4555" s="52"/>
    </row>
    <row r="4556" spans="1:5" s="103" customFormat="1" ht="13.2" hidden="1" outlineLevel="1" x14ac:dyDescent="0.25">
      <c r="A4556" s="106" t="s">
        <v>9124</v>
      </c>
      <c r="B4556" s="106" t="s">
        <v>9125</v>
      </c>
      <c r="C4556" s="106"/>
      <c r="D4556" s="106"/>
      <c r="E4556" s="52"/>
    </row>
    <row r="4557" spans="1:5" s="103" customFormat="1" ht="13.2" hidden="1" outlineLevel="1" x14ac:dyDescent="0.25">
      <c r="A4557" s="106" t="s">
        <v>9126</v>
      </c>
      <c r="B4557" s="106" t="s">
        <v>9127</v>
      </c>
      <c r="C4557" s="106"/>
      <c r="D4557" s="106"/>
      <c r="E4557" s="52"/>
    </row>
    <row r="4558" spans="1:5" s="103" customFormat="1" ht="13.2" hidden="1" outlineLevel="1" x14ac:dyDescent="0.25">
      <c r="A4558" s="106" t="s">
        <v>9128</v>
      </c>
      <c r="B4558" s="106" t="s">
        <v>9129</v>
      </c>
      <c r="C4558" s="106"/>
      <c r="D4558" s="106"/>
      <c r="E4558" s="52"/>
    </row>
    <row r="4559" spans="1:5" s="103" customFormat="1" ht="13.2" hidden="1" outlineLevel="1" x14ac:dyDescent="0.25">
      <c r="A4559" s="106" t="s">
        <v>9130</v>
      </c>
      <c r="B4559" s="106" t="s">
        <v>9131</v>
      </c>
      <c r="C4559" s="106"/>
      <c r="D4559" s="106"/>
      <c r="E4559" s="52"/>
    </row>
    <row r="4560" spans="1:5" s="103" customFormat="1" ht="13.2" hidden="1" outlineLevel="1" x14ac:dyDescent="0.25">
      <c r="A4560" s="106" t="s">
        <v>9132</v>
      </c>
      <c r="B4560" s="106" t="s">
        <v>9133</v>
      </c>
      <c r="C4560" s="106"/>
      <c r="D4560" s="106"/>
      <c r="E4560" s="52"/>
    </row>
    <row r="4561" spans="1:5" s="103" customFormat="1" ht="13.2" hidden="1" outlineLevel="1" x14ac:dyDescent="0.25">
      <c r="A4561" s="106" t="s">
        <v>9134</v>
      </c>
      <c r="B4561" s="106" t="s">
        <v>9135</v>
      </c>
      <c r="C4561" s="106"/>
      <c r="D4561" s="106"/>
      <c r="E4561" s="52"/>
    </row>
    <row r="4562" spans="1:5" s="103" customFormat="1" ht="13.2" hidden="1" outlineLevel="1" x14ac:dyDescent="0.25">
      <c r="A4562" s="106" t="s">
        <v>9136</v>
      </c>
      <c r="B4562" s="106" t="s">
        <v>9137</v>
      </c>
      <c r="C4562" s="106"/>
      <c r="D4562" s="106"/>
      <c r="E4562" s="52"/>
    </row>
    <row r="4563" spans="1:5" s="103" customFormat="1" ht="13.2" hidden="1" outlineLevel="1" x14ac:dyDescent="0.25">
      <c r="A4563" s="106" t="s">
        <v>9138</v>
      </c>
      <c r="B4563" s="106" t="s">
        <v>9139</v>
      </c>
      <c r="C4563" s="106"/>
      <c r="D4563" s="106"/>
      <c r="E4563" s="52"/>
    </row>
    <row r="4564" spans="1:5" s="103" customFormat="1" ht="13.2" hidden="1" outlineLevel="1" x14ac:dyDescent="0.25">
      <c r="A4564" s="106" t="s">
        <v>9140</v>
      </c>
      <c r="B4564" s="106" t="s">
        <v>9141</v>
      </c>
      <c r="C4564" s="106"/>
      <c r="D4564" s="106"/>
      <c r="E4564" s="52"/>
    </row>
    <row r="4565" spans="1:5" s="103" customFormat="1" ht="13.2" hidden="1" outlineLevel="1" x14ac:dyDescent="0.25">
      <c r="A4565" s="106" t="s">
        <v>9142</v>
      </c>
      <c r="B4565" s="106" t="s">
        <v>9143</v>
      </c>
      <c r="C4565" s="106"/>
      <c r="D4565" s="106"/>
      <c r="E4565" s="52"/>
    </row>
    <row r="4566" spans="1:5" s="103" customFormat="1" ht="13.2" hidden="1" outlineLevel="1" x14ac:dyDescent="0.25">
      <c r="A4566" s="106" t="s">
        <v>9144</v>
      </c>
      <c r="B4566" s="106" t="s">
        <v>9145</v>
      </c>
      <c r="C4566" s="106"/>
      <c r="D4566" s="106"/>
      <c r="E4566" s="52"/>
    </row>
    <row r="4567" spans="1:5" s="103" customFormat="1" ht="13.2" hidden="1" outlineLevel="1" x14ac:dyDescent="0.25">
      <c r="A4567" s="106" t="s">
        <v>9146</v>
      </c>
      <c r="B4567" s="106" t="s">
        <v>9147</v>
      </c>
      <c r="C4567" s="106"/>
      <c r="D4567" s="106"/>
      <c r="E4567" s="52"/>
    </row>
    <row r="4568" spans="1:5" s="103" customFormat="1" ht="13.2" hidden="1" outlineLevel="1" x14ac:dyDescent="0.25">
      <c r="A4568" s="106" t="s">
        <v>9148</v>
      </c>
      <c r="B4568" s="106" t="s">
        <v>9149</v>
      </c>
      <c r="C4568" s="106"/>
      <c r="D4568" s="106"/>
      <c r="E4568" s="52"/>
    </row>
    <row r="4569" spans="1:5" s="103" customFormat="1" ht="13.2" hidden="1" outlineLevel="1" x14ac:dyDescent="0.25">
      <c r="A4569" s="106" t="s">
        <v>9150</v>
      </c>
      <c r="B4569" s="106" t="s">
        <v>9151</v>
      </c>
      <c r="C4569" s="106"/>
      <c r="D4569" s="106"/>
      <c r="E4569" s="52"/>
    </row>
    <row r="4570" spans="1:5" s="103" customFormat="1" ht="13.2" hidden="1" outlineLevel="1" x14ac:dyDescent="0.25">
      <c r="A4570" s="106" t="s">
        <v>9152</v>
      </c>
      <c r="B4570" s="106" t="s">
        <v>9153</v>
      </c>
      <c r="C4570" s="106"/>
      <c r="D4570" s="106"/>
      <c r="E4570" s="52"/>
    </row>
    <row r="4571" spans="1:5" s="103" customFormat="1" ht="13.2" hidden="1" outlineLevel="1" x14ac:dyDescent="0.25">
      <c r="A4571" s="106" t="s">
        <v>9154</v>
      </c>
      <c r="B4571" s="106" t="s">
        <v>9155</v>
      </c>
      <c r="C4571" s="106"/>
      <c r="D4571" s="106"/>
      <c r="E4571" s="52"/>
    </row>
    <row r="4572" spans="1:5" s="103" customFormat="1" ht="13.2" hidden="1" outlineLevel="1" x14ac:dyDescent="0.25">
      <c r="A4572" s="106" t="s">
        <v>9156</v>
      </c>
      <c r="B4572" s="106" t="s">
        <v>9157</v>
      </c>
      <c r="C4572" s="106"/>
      <c r="D4572" s="106"/>
      <c r="E4572" s="52"/>
    </row>
    <row r="4573" spans="1:5" s="103" customFormat="1" ht="13.2" hidden="1" outlineLevel="1" x14ac:dyDescent="0.25">
      <c r="A4573" s="106" t="s">
        <v>9158</v>
      </c>
      <c r="B4573" s="106" t="s">
        <v>9159</v>
      </c>
      <c r="C4573" s="106"/>
      <c r="D4573" s="106"/>
      <c r="E4573" s="52"/>
    </row>
    <row r="4574" spans="1:5" s="103" customFormat="1" ht="13.2" hidden="1" outlineLevel="1" x14ac:dyDescent="0.25">
      <c r="A4574" s="106" t="s">
        <v>9160</v>
      </c>
      <c r="B4574" s="106" t="s">
        <v>9161</v>
      </c>
      <c r="C4574" s="106"/>
      <c r="D4574" s="106"/>
      <c r="E4574" s="52"/>
    </row>
    <row r="4575" spans="1:5" s="103" customFormat="1" ht="13.2" hidden="1" outlineLevel="1" x14ac:dyDescent="0.25">
      <c r="A4575" s="106" t="s">
        <v>9162</v>
      </c>
      <c r="B4575" s="106" t="s">
        <v>9163</v>
      </c>
      <c r="C4575" s="106"/>
      <c r="D4575" s="106"/>
      <c r="E4575" s="52"/>
    </row>
    <row r="4576" spans="1:5" s="103" customFormat="1" ht="13.2" hidden="1" outlineLevel="1" x14ac:dyDescent="0.25">
      <c r="A4576" s="106" t="s">
        <v>9164</v>
      </c>
      <c r="B4576" s="106" t="s">
        <v>9165</v>
      </c>
      <c r="C4576" s="106"/>
      <c r="D4576" s="106"/>
      <c r="E4576" s="52"/>
    </row>
    <row r="4577" spans="1:5" s="103" customFormat="1" ht="13.2" hidden="1" outlineLevel="1" x14ac:dyDescent="0.25">
      <c r="A4577" s="106" t="s">
        <v>9166</v>
      </c>
      <c r="B4577" s="106" t="s">
        <v>9167</v>
      </c>
      <c r="C4577" s="106"/>
      <c r="D4577" s="106"/>
      <c r="E4577" s="52"/>
    </row>
    <row r="4578" spans="1:5" s="103" customFormat="1" ht="13.2" hidden="1" outlineLevel="1" x14ac:dyDescent="0.25">
      <c r="A4578" s="106" t="s">
        <v>9168</v>
      </c>
      <c r="B4578" s="106" t="s">
        <v>9169</v>
      </c>
      <c r="C4578" s="106"/>
      <c r="D4578" s="106"/>
      <c r="E4578" s="52"/>
    </row>
    <row r="4579" spans="1:5" s="103" customFormat="1" ht="13.2" hidden="1" outlineLevel="1" x14ac:dyDescent="0.25">
      <c r="A4579" s="106" t="s">
        <v>9170</v>
      </c>
      <c r="B4579" s="106" t="s">
        <v>9171</v>
      </c>
      <c r="C4579" s="106"/>
      <c r="D4579" s="106"/>
      <c r="E4579" s="52"/>
    </row>
    <row r="4580" spans="1:5" s="103" customFormat="1" ht="13.2" hidden="1" outlineLevel="1" x14ac:dyDescent="0.25">
      <c r="A4580" s="106" t="s">
        <v>9172</v>
      </c>
      <c r="B4580" s="106" t="s">
        <v>9173</v>
      </c>
      <c r="C4580" s="106"/>
      <c r="D4580" s="106"/>
      <c r="E4580" s="52"/>
    </row>
    <row r="4581" spans="1:5" s="103" customFormat="1" ht="13.2" hidden="1" outlineLevel="1" x14ac:dyDescent="0.25">
      <c r="A4581" s="106" t="s">
        <v>9174</v>
      </c>
      <c r="B4581" s="106" t="s">
        <v>9175</v>
      </c>
      <c r="C4581" s="106"/>
      <c r="D4581" s="106"/>
      <c r="E4581" s="52"/>
    </row>
    <row r="4582" spans="1:5" s="103" customFormat="1" ht="13.2" hidden="1" outlineLevel="1" x14ac:dyDescent="0.25">
      <c r="A4582" s="106" t="s">
        <v>9176</v>
      </c>
      <c r="B4582" s="106" t="s">
        <v>9177</v>
      </c>
      <c r="C4582" s="106"/>
      <c r="D4582" s="106"/>
      <c r="E4582" s="52"/>
    </row>
    <row r="4583" spans="1:5" s="103" customFormat="1" ht="13.2" hidden="1" outlineLevel="1" x14ac:dyDescent="0.25">
      <c r="A4583" s="106" t="s">
        <v>9178</v>
      </c>
      <c r="B4583" s="106" t="s">
        <v>9179</v>
      </c>
      <c r="C4583" s="106"/>
      <c r="D4583" s="106"/>
      <c r="E4583" s="52"/>
    </row>
    <row r="4584" spans="1:5" s="103" customFormat="1" ht="13.2" hidden="1" outlineLevel="1" x14ac:dyDescent="0.25">
      <c r="A4584" s="106" t="s">
        <v>9180</v>
      </c>
      <c r="B4584" s="106" t="s">
        <v>9181</v>
      </c>
      <c r="C4584" s="106"/>
      <c r="D4584" s="106"/>
      <c r="E4584" s="52"/>
    </row>
    <row r="4585" spans="1:5" s="103" customFormat="1" ht="13.2" hidden="1" outlineLevel="1" x14ac:dyDescent="0.25">
      <c r="A4585" s="106" t="s">
        <v>9182</v>
      </c>
      <c r="B4585" s="106" t="s">
        <v>9183</v>
      </c>
      <c r="C4585" s="106"/>
      <c r="D4585" s="106"/>
      <c r="E4585" s="52"/>
    </row>
    <row r="4586" spans="1:5" s="103" customFormat="1" ht="13.2" hidden="1" outlineLevel="1" x14ac:dyDescent="0.25">
      <c r="A4586" s="106" t="s">
        <v>9184</v>
      </c>
      <c r="B4586" s="106" t="s">
        <v>9185</v>
      </c>
      <c r="C4586" s="106"/>
      <c r="D4586" s="106"/>
      <c r="E4586" s="52"/>
    </row>
    <row r="4587" spans="1:5" s="103" customFormat="1" ht="13.2" hidden="1" outlineLevel="1" x14ac:dyDescent="0.25">
      <c r="A4587" s="106" t="s">
        <v>9186</v>
      </c>
      <c r="B4587" s="106" t="s">
        <v>9187</v>
      </c>
      <c r="C4587" s="106"/>
      <c r="D4587" s="106"/>
      <c r="E4587" s="52"/>
    </row>
    <row r="4588" spans="1:5" s="103" customFormat="1" ht="13.2" hidden="1" outlineLevel="1" x14ac:dyDescent="0.25">
      <c r="A4588" s="106" t="s">
        <v>9188</v>
      </c>
      <c r="B4588" s="106" t="s">
        <v>9189</v>
      </c>
      <c r="C4588" s="106"/>
      <c r="D4588" s="106"/>
      <c r="E4588" s="52"/>
    </row>
    <row r="4589" spans="1:5" s="103" customFormat="1" ht="13.2" hidden="1" outlineLevel="1" x14ac:dyDescent="0.25">
      <c r="A4589" s="106" t="s">
        <v>9190</v>
      </c>
      <c r="B4589" s="106" t="s">
        <v>9191</v>
      </c>
      <c r="C4589" s="106"/>
      <c r="D4589" s="106"/>
      <c r="E4589" s="52"/>
    </row>
    <row r="4590" spans="1:5" s="103" customFormat="1" ht="13.2" hidden="1" outlineLevel="1" x14ac:dyDescent="0.25">
      <c r="A4590" s="106" t="s">
        <v>9192</v>
      </c>
      <c r="B4590" s="106" t="s">
        <v>9193</v>
      </c>
      <c r="C4590" s="106"/>
      <c r="D4590" s="106"/>
      <c r="E4590" s="52"/>
    </row>
    <row r="4591" spans="1:5" s="103" customFormat="1" ht="13.2" hidden="1" outlineLevel="1" x14ac:dyDescent="0.25">
      <c r="A4591" s="106" t="s">
        <v>9194</v>
      </c>
      <c r="B4591" s="106" t="s">
        <v>9195</v>
      </c>
      <c r="C4591" s="106"/>
      <c r="D4591" s="106"/>
      <c r="E4591" s="52"/>
    </row>
    <row r="4592" spans="1:5" s="103" customFormat="1" ht="13.2" hidden="1" outlineLevel="1" x14ac:dyDescent="0.25">
      <c r="A4592" s="106" t="s">
        <v>9196</v>
      </c>
      <c r="B4592" s="106" t="s">
        <v>9197</v>
      </c>
      <c r="C4592" s="106"/>
      <c r="D4592" s="106"/>
      <c r="E4592" s="52"/>
    </row>
    <row r="4593" spans="1:5" s="103" customFormat="1" ht="13.2" hidden="1" outlineLevel="1" x14ac:dyDescent="0.25">
      <c r="A4593" s="106" t="s">
        <v>9198</v>
      </c>
      <c r="B4593" s="106" t="s">
        <v>9199</v>
      </c>
      <c r="C4593" s="106"/>
      <c r="D4593" s="106"/>
      <c r="E4593" s="52"/>
    </row>
    <row r="4594" spans="1:5" s="103" customFormat="1" ht="13.2" hidden="1" outlineLevel="1" x14ac:dyDescent="0.25">
      <c r="A4594" s="106" t="s">
        <v>9200</v>
      </c>
      <c r="B4594" s="106" t="s">
        <v>9201</v>
      </c>
      <c r="C4594" s="106"/>
      <c r="D4594" s="106"/>
      <c r="E4594" s="52"/>
    </row>
    <row r="4595" spans="1:5" s="103" customFormat="1" ht="13.2" hidden="1" outlineLevel="1" x14ac:dyDescent="0.25">
      <c r="A4595" s="106" t="s">
        <v>9202</v>
      </c>
      <c r="B4595" s="106" t="s">
        <v>9203</v>
      </c>
      <c r="C4595" s="106"/>
      <c r="D4595" s="106"/>
      <c r="E4595" s="52"/>
    </row>
    <row r="4596" spans="1:5" s="103" customFormat="1" ht="13.2" hidden="1" outlineLevel="1" x14ac:dyDescent="0.25">
      <c r="A4596" s="106" t="s">
        <v>9204</v>
      </c>
      <c r="B4596" s="106" t="s">
        <v>9205</v>
      </c>
      <c r="C4596" s="106"/>
      <c r="D4596" s="106"/>
      <c r="E4596" s="52"/>
    </row>
    <row r="4597" spans="1:5" s="103" customFormat="1" ht="13.2" hidden="1" outlineLevel="1" x14ac:dyDescent="0.25">
      <c r="A4597" s="106" t="s">
        <v>9206</v>
      </c>
      <c r="B4597" s="106" t="s">
        <v>9207</v>
      </c>
      <c r="C4597" s="106"/>
      <c r="D4597" s="106"/>
      <c r="E4597" s="52"/>
    </row>
    <row r="4598" spans="1:5" s="103" customFormat="1" ht="13.2" hidden="1" outlineLevel="1" x14ac:dyDescent="0.25">
      <c r="A4598" s="106" t="s">
        <v>9208</v>
      </c>
      <c r="B4598" s="106" t="s">
        <v>9209</v>
      </c>
      <c r="C4598" s="106"/>
      <c r="D4598" s="106"/>
      <c r="E4598" s="52"/>
    </row>
    <row r="4599" spans="1:5" s="103" customFormat="1" ht="13.2" hidden="1" outlineLevel="1" x14ac:dyDescent="0.25">
      <c r="A4599" s="106" t="s">
        <v>9210</v>
      </c>
      <c r="B4599" s="106" t="s">
        <v>9211</v>
      </c>
      <c r="C4599" s="106"/>
      <c r="D4599" s="106"/>
      <c r="E4599" s="52"/>
    </row>
    <row r="4600" spans="1:5" s="103" customFormat="1" ht="13.2" hidden="1" outlineLevel="1" x14ac:dyDescent="0.25">
      <c r="A4600" s="106" t="s">
        <v>9212</v>
      </c>
      <c r="B4600" s="106" t="s">
        <v>9213</v>
      </c>
      <c r="C4600" s="106"/>
      <c r="D4600" s="106"/>
      <c r="E4600" s="52"/>
    </row>
    <row r="4601" spans="1:5" s="103" customFormat="1" ht="13.2" hidden="1" outlineLevel="1" x14ac:dyDescent="0.25">
      <c r="A4601" s="106" t="s">
        <v>9214</v>
      </c>
      <c r="B4601" s="106" t="s">
        <v>9215</v>
      </c>
      <c r="C4601" s="106"/>
      <c r="D4601" s="106"/>
      <c r="E4601" s="52"/>
    </row>
    <row r="4602" spans="1:5" s="103" customFormat="1" ht="13.2" hidden="1" outlineLevel="1" x14ac:dyDescent="0.25">
      <c r="A4602" s="106" t="s">
        <v>9216</v>
      </c>
      <c r="B4602" s="106" t="s">
        <v>9217</v>
      </c>
      <c r="C4602" s="106"/>
      <c r="D4602" s="106"/>
      <c r="E4602" s="52"/>
    </row>
    <row r="4603" spans="1:5" s="103" customFormat="1" ht="13.2" hidden="1" outlineLevel="1" x14ac:dyDescent="0.25">
      <c r="A4603" s="106" t="s">
        <v>9218</v>
      </c>
      <c r="B4603" s="106" t="s">
        <v>9219</v>
      </c>
      <c r="C4603" s="106"/>
      <c r="D4603" s="106"/>
      <c r="E4603" s="52"/>
    </row>
    <row r="4604" spans="1:5" s="103" customFormat="1" ht="13.2" hidden="1" outlineLevel="1" x14ac:dyDescent="0.25">
      <c r="A4604" s="106" t="s">
        <v>9220</v>
      </c>
      <c r="B4604" s="106" t="s">
        <v>9221</v>
      </c>
      <c r="C4604" s="106"/>
      <c r="D4604" s="106"/>
      <c r="E4604" s="52"/>
    </row>
    <row r="4605" spans="1:5" s="103" customFormat="1" ht="13.2" hidden="1" outlineLevel="1" x14ac:dyDescent="0.25">
      <c r="A4605" s="106" t="s">
        <v>9222</v>
      </c>
      <c r="B4605" s="106" t="s">
        <v>9223</v>
      </c>
      <c r="C4605" s="106"/>
      <c r="D4605" s="106"/>
      <c r="E4605" s="52"/>
    </row>
    <row r="4606" spans="1:5" s="103" customFormat="1" ht="13.2" hidden="1" outlineLevel="1" x14ac:dyDescent="0.25">
      <c r="A4606" s="106" t="s">
        <v>9224</v>
      </c>
      <c r="B4606" s="106" t="s">
        <v>9225</v>
      </c>
      <c r="C4606" s="106"/>
      <c r="D4606" s="106"/>
      <c r="E4606" s="52"/>
    </row>
    <row r="4607" spans="1:5" s="103" customFormat="1" ht="13.2" hidden="1" outlineLevel="1" x14ac:dyDescent="0.25">
      <c r="A4607" s="106" t="s">
        <v>9226</v>
      </c>
      <c r="B4607" s="106" t="s">
        <v>9227</v>
      </c>
      <c r="C4607" s="106"/>
      <c r="D4607" s="106"/>
      <c r="E4607" s="52"/>
    </row>
    <row r="4608" spans="1:5" s="103" customFormat="1" ht="13.2" hidden="1" outlineLevel="1" x14ac:dyDescent="0.25">
      <c r="A4608" s="106" t="s">
        <v>9228</v>
      </c>
      <c r="B4608" s="106" t="s">
        <v>9229</v>
      </c>
      <c r="C4608" s="106"/>
      <c r="D4608" s="106"/>
      <c r="E4608" s="52"/>
    </row>
    <row r="4609" spans="1:5" s="103" customFormat="1" ht="13.2" hidden="1" outlineLevel="1" x14ac:dyDescent="0.25">
      <c r="A4609" s="106" t="s">
        <v>9230</v>
      </c>
      <c r="B4609" s="106" t="s">
        <v>9231</v>
      </c>
      <c r="C4609" s="106"/>
      <c r="D4609" s="106"/>
      <c r="E4609" s="52"/>
    </row>
    <row r="4610" spans="1:5" s="103" customFormat="1" ht="13.2" hidden="1" outlineLevel="1" x14ac:dyDescent="0.25">
      <c r="A4610" s="106" t="s">
        <v>9232</v>
      </c>
      <c r="B4610" s="106" t="s">
        <v>9233</v>
      </c>
      <c r="C4610" s="106"/>
      <c r="D4610" s="106"/>
      <c r="E4610" s="52"/>
    </row>
    <row r="4611" spans="1:5" s="103" customFormat="1" ht="13.2" hidden="1" outlineLevel="1" x14ac:dyDescent="0.25">
      <c r="A4611" s="106" t="s">
        <v>9234</v>
      </c>
      <c r="B4611" s="106" t="s">
        <v>9235</v>
      </c>
      <c r="C4611" s="106"/>
      <c r="D4611" s="106"/>
      <c r="E4611" s="52"/>
    </row>
    <row r="4612" spans="1:5" s="103" customFormat="1" ht="13.2" hidden="1" outlineLevel="1" x14ac:dyDescent="0.25">
      <c r="A4612" s="106" t="s">
        <v>9236</v>
      </c>
      <c r="B4612" s="106" t="s">
        <v>9237</v>
      </c>
      <c r="C4612" s="106"/>
      <c r="D4612" s="106"/>
      <c r="E4612" s="52"/>
    </row>
    <row r="4613" spans="1:5" s="103" customFormat="1" ht="13.2" hidden="1" outlineLevel="1" x14ac:dyDescent="0.25">
      <c r="A4613" s="106" t="s">
        <v>9238</v>
      </c>
      <c r="B4613" s="106" t="s">
        <v>9239</v>
      </c>
      <c r="C4613" s="106"/>
      <c r="D4613" s="106"/>
      <c r="E4613" s="52"/>
    </row>
    <row r="4614" spans="1:5" s="103" customFormat="1" ht="13.2" hidden="1" outlineLevel="1" x14ac:dyDescent="0.25">
      <c r="A4614" s="106" t="s">
        <v>9240</v>
      </c>
      <c r="B4614" s="106" t="s">
        <v>9241</v>
      </c>
      <c r="C4614" s="106"/>
      <c r="D4614" s="106"/>
      <c r="E4614" s="52"/>
    </row>
    <row r="4615" spans="1:5" s="103" customFormat="1" ht="13.2" hidden="1" outlineLevel="1" x14ac:dyDescent="0.25">
      <c r="A4615" s="106" t="s">
        <v>9242</v>
      </c>
      <c r="B4615" s="106" t="s">
        <v>9243</v>
      </c>
      <c r="C4615" s="106"/>
      <c r="D4615" s="106"/>
      <c r="E4615" s="52"/>
    </row>
    <row r="4616" spans="1:5" s="103" customFormat="1" ht="13.2" hidden="1" outlineLevel="1" x14ac:dyDescent="0.25">
      <c r="A4616" s="106" t="s">
        <v>9244</v>
      </c>
      <c r="B4616" s="106" t="s">
        <v>9245</v>
      </c>
      <c r="C4616" s="106"/>
      <c r="D4616" s="106"/>
      <c r="E4616" s="52"/>
    </row>
    <row r="4617" spans="1:5" s="103" customFormat="1" ht="13.2" hidden="1" outlineLevel="1" x14ac:dyDescent="0.25">
      <c r="A4617" s="106" t="s">
        <v>9246</v>
      </c>
      <c r="B4617" s="106" t="s">
        <v>9247</v>
      </c>
      <c r="C4617" s="106"/>
      <c r="D4617" s="106"/>
      <c r="E4617" s="52"/>
    </row>
    <row r="4618" spans="1:5" s="103" customFormat="1" ht="13.2" hidden="1" outlineLevel="1" x14ac:dyDescent="0.25">
      <c r="A4618" s="106" t="s">
        <v>9248</v>
      </c>
      <c r="B4618" s="106" t="s">
        <v>9249</v>
      </c>
      <c r="C4618" s="106"/>
      <c r="D4618" s="106"/>
      <c r="E4618" s="52"/>
    </row>
    <row r="4619" spans="1:5" s="103" customFormat="1" ht="13.2" hidden="1" outlineLevel="1" x14ac:dyDescent="0.25">
      <c r="A4619" s="106" t="s">
        <v>9250</v>
      </c>
      <c r="B4619" s="106" t="s">
        <v>9251</v>
      </c>
      <c r="C4619" s="106"/>
      <c r="D4619" s="106"/>
      <c r="E4619" s="52"/>
    </row>
    <row r="4620" spans="1:5" s="103" customFormat="1" ht="13.2" hidden="1" outlineLevel="1" x14ac:dyDescent="0.25">
      <c r="A4620" s="106" t="s">
        <v>9252</v>
      </c>
      <c r="B4620" s="106" t="s">
        <v>9253</v>
      </c>
      <c r="C4620" s="106"/>
      <c r="D4620" s="106"/>
      <c r="E4620" s="52"/>
    </row>
    <row r="4621" spans="1:5" s="103" customFormat="1" ht="13.2" hidden="1" outlineLevel="1" x14ac:dyDescent="0.25">
      <c r="A4621" s="106" t="s">
        <v>9254</v>
      </c>
      <c r="B4621" s="106" t="s">
        <v>9255</v>
      </c>
      <c r="C4621" s="106"/>
      <c r="D4621" s="106"/>
      <c r="E4621" s="52"/>
    </row>
    <row r="4622" spans="1:5" s="103" customFormat="1" ht="13.2" hidden="1" outlineLevel="1" x14ac:dyDescent="0.25">
      <c r="A4622" s="106" t="s">
        <v>9256</v>
      </c>
      <c r="B4622" s="106" t="s">
        <v>9257</v>
      </c>
      <c r="C4622" s="106"/>
      <c r="D4622" s="106"/>
      <c r="E4622" s="52"/>
    </row>
    <row r="4623" spans="1:5" s="103" customFormat="1" ht="13.2" hidden="1" outlineLevel="1" x14ac:dyDescent="0.25">
      <c r="A4623" s="106" t="s">
        <v>9258</v>
      </c>
      <c r="B4623" s="106" t="s">
        <v>9259</v>
      </c>
      <c r="C4623" s="106"/>
      <c r="D4623" s="106"/>
      <c r="E4623" s="52"/>
    </row>
    <row r="4624" spans="1:5" s="103" customFormat="1" ht="13.2" hidden="1" outlineLevel="1" x14ac:dyDescent="0.25">
      <c r="A4624" s="106" t="s">
        <v>9260</v>
      </c>
      <c r="B4624" s="106" t="s">
        <v>9261</v>
      </c>
      <c r="C4624" s="106"/>
      <c r="D4624" s="106"/>
      <c r="E4624" s="52"/>
    </row>
    <row r="4625" spans="1:5" s="103" customFormat="1" ht="13.2" hidden="1" outlineLevel="1" x14ac:dyDescent="0.25">
      <c r="A4625" s="106" t="s">
        <v>9262</v>
      </c>
      <c r="B4625" s="106" t="s">
        <v>9263</v>
      </c>
      <c r="C4625" s="106"/>
      <c r="D4625" s="106"/>
      <c r="E4625" s="52"/>
    </row>
    <row r="4626" spans="1:5" s="103" customFormat="1" ht="13.2" hidden="1" outlineLevel="1" x14ac:dyDescent="0.25">
      <c r="A4626" s="106" t="s">
        <v>9264</v>
      </c>
      <c r="B4626" s="106" t="s">
        <v>9265</v>
      </c>
      <c r="C4626" s="106"/>
      <c r="D4626" s="106"/>
      <c r="E4626" s="52"/>
    </row>
    <row r="4627" spans="1:5" s="103" customFormat="1" ht="13.2" hidden="1" outlineLevel="1" x14ac:dyDescent="0.25">
      <c r="A4627" s="106" t="s">
        <v>9266</v>
      </c>
      <c r="B4627" s="106" t="s">
        <v>9267</v>
      </c>
      <c r="C4627" s="106"/>
      <c r="D4627" s="106"/>
      <c r="E4627" s="52"/>
    </row>
    <row r="4628" spans="1:5" s="103" customFormat="1" ht="13.2" hidden="1" outlineLevel="1" x14ac:dyDescent="0.25">
      <c r="A4628" s="106" t="s">
        <v>9268</v>
      </c>
      <c r="B4628" s="106" t="s">
        <v>9269</v>
      </c>
      <c r="C4628" s="106"/>
      <c r="D4628" s="106"/>
      <c r="E4628" s="52"/>
    </row>
    <row r="4629" spans="1:5" s="103" customFormat="1" ht="13.2" hidden="1" outlineLevel="1" x14ac:dyDescent="0.25">
      <c r="A4629" s="106" t="s">
        <v>9270</v>
      </c>
      <c r="B4629" s="106" t="s">
        <v>9271</v>
      </c>
      <c r="C4629" s="106"/>
      <c r="D4629" s="106"/>
      <c r="E4629" s="52"/>
    </row>
    <row r="4630" spans="1:5" s="103" customFormat="1" ht="13.2" hidden="1" outlineLevel="1" x14ac:dyDescent="0.25">
      <c r="A4630" s="106" t="s">
        <v>9272</v>
      </c>
      <c r="B4630" s="106" t="s">
        <v>9273</v>
      </c>
      <c r="C4630" s="106"/>
      <c r="D4630" s="106"/>
      <c r="E4630" s="52"/>
    </row>
    <row r="4631" spans="1:5" s="103" customFormat="1" ht="13.2" hidden="1" outlineLevel="1" x14ac:dyDescent="0.25">
      <c r="A4631" s="106" t="s">
        <v>9274</v>
      </c>
      <c r="B4631" s="106" t="s">
        <v>9275</v>
      </c>
      <c r="C4631" s="106"/>
      <c r="D4631" s="106"/>
      <c r="E4631" s="52"/>
    </row>
    <row r="4632" spans="1:5" s="103" customFormat="1" ht="13.2" hidden="1" outlineLevel="1" x14ac:dyDescent="0.25">
      <c r="A4632" s="106" t="s">
        <v>9276</v>
      </c>
      <c r="B4632" s="106" t="s">
        <v>9277</v>
      </c>
      <c r="C4632" s="106"/>
      <c r="D4632" s="106"/>
      <c r="E4632" s="52"/>
    </row>
    <row r="4633" spans="1:5" s="103" customFormat="1" ht="13.2" hidden="1" outlineLevel="1" x14ac:dyDescent="0.25">
      <c r="A4633" s="106" t="s">
        <v>9278</v>
      </c>
      <c r="B4633" s="106" t="s">
        <v>9279</v>
      </c>
      <c r="C4633" s="106"/>
      <c r="D4633" s="106"/>
      <c r="E4633" s="52"/>
    </row>
    <row r="4634" spans="1:5" s="103" customFormat="1" ht="13.2" hidden="1" outlineLevel="1" x14ac:dyDescent="0.25">
      <c r="A4634" s="106" t="s">
        <v>9280</v>
      </c>
      <c r="B4634" s="106" t="s">
        <v>9281</v>
      </c>
      <c r="C4634" s="106"/>
      <c r="D4634" s="106"/>
      <c r="E4634" s="52"/>
    </row>
    <row r="4635" spans="1:5" s="103" customFormat="1" ht="13.2" hidden="1" outlineLevel="1" x14ac:dyDescent="0.25">
      <c r="A4635" s="106" t="s">
        <v>9282</v>
      </c>
      <c r="B4635" s="106" t="s">
        <v>9283</v>
      </c>
      <c r="C4635" s="106"/>
      <c r="D4635" s="106"/>
      <c r="E4635" s="52"/>
    </row>
    <row r="4636" spans="1:5" s="103" customFormat="1" ht="13.2" hidden="1" outlineLevel="1" x14ac:dyDescent="0.25">
      <c r="A4636" s="106" t="s">
        <v>9284</v>
      </c>
      <c r="B4636" s="106" t="s">
        <v>9285</v>
      </c>
      <c r="C4636" s="106"/>
      <c r="D4636" s="106"/>
      <c r="E4636" s="52"/>
    </row>
    <row r="4637" spans="1:5" s="103" customFormat="1" ht="13.2" hidden="1" outlineLevel="1" x14ac:dyDescent="0.25">
      <c r="A4637" s="106" t="s">
        <v>9286</v>
      </c>
      <c r="B4637" s="106" t="s">
        <v>9287</v>
      </c>
      <c r="C4637" s="106"/>
      <c r="D4637" s="106"/>
      <c r="E4637" s="52"/>
    </row>
    <row r="4638" spans="1:5" s="103" customFormat="1" ht="13.2" hidden="1" outlineLevel="1" x14ac:dyDescent="0.25">
      <c r="A4638" s="106" t="s">
        <v>9288</v>
      </c>
      <c r="B4638" s="106" t="s">
        <v>9289</v>
      </c>
      <c r="C4638" s="106"/>
      <c r="D4638" s="106"/>
      <c r="E4638" s="52"/>
    </row>
    <row r="4639" spans="1:5" s="103" customFormat="1" ht="13.2" hidden="1" outlineLevel="1" x14ac:dyDescent="0.25">
      <c r="A4639" s="106" t="s">
        <v>9290</v>
      </c>
      <c r="B4639" s="106" t="s">
        <v>9291</v>
      </c>
      <c r="C4639" s="106"/>
      <c r="D4639" s="106"/>
      <c r="E4639" s="52"/>
    </row>
    <row r="4640" spans="1:5" s="103" customFormat="1" ht="13.2" hidden="1" outlineLevel="1" x14ac:dyDescent="0.25">
      <c r="A4640" s="106" t="s">
        <v>9292</v>
      </c>
      <c r="B4640" s="106" t="s">
        <v>9293</v>
      </c>
      <c r="C4640" s="106"/>
      <c r="D4640" s="106"/>
      <c r="E4640" s="52"/>
    </row>
    <row r="4641" spans="1:5" s="103" customFormat="1" ht="13.2" hidden="1" outlineLevel="1" x14ac:dyDescent="0.25">
      <c r="A4641" s="106" t="s">
        <v>9294</v>
      </c>
      <c r="B4641" s="106" t="s">
        <v>9295</v>
      </c>
      <c r="C4641" s="106"/>
      <c r="D4641" s="106"/>
      <c r="E4641" s="52"/>
    </row>
    <row r="4642" spans="1:5" s="103" customFormat="1" ht="13.2" hidden="1" outlineLevel="1" x14ac:dyDescent="0.25">
      <c r="A4642" s="106" t="s">
        <v>9296</v>
      </c>
      <c r="B4642" s="106" t="s">
        <v>9297</v>
      </c>
      <c r="C4642" s="106"/>
      <c r="D4642" s="106"/>
      <c r="E4642" s="52"/>
    </row>
    <row r="4643" spans="1:5" s="103" customFormat="1" ht="13.2" hidden="1" outlineLevel="1" x14ac:dyDescent="0.25">
      <c r="A4643" s="106" t="s">
        <v>9298</v>
      </c>
      <c r="B4643" s="106" t="s">
        <v>9299</v>
      </c>
      <c r="C4643" s="106"/>
      <c r="D4643" s="106"/>
      <c r="E4643" s="52"/>
    </row>
    <row r="4644" spans="1:5" s="103" customFormat="1" ht="13.2" hidden="1" outlineLevel="1" x14ac:dyDescent="0.25">
      <c r="A4644" s="106" t="s">
        <v>9300</v>
      </c>
      <c r="B4644" s="106" t="s">
        <v>9301</v>
      </c>
      <c r="C4644" s="106"/>
      <c r="D4644" s="106"/>
      <c r="E4644" s="52"/>
    </row>
    <row r="4645" spans="1:5" s="103" customFormat="1" ht="13.2" hidden="1" outlineLevel="1" x14ac:dyDescent="0.25">
      <c r="A4645" s="106" t="s">
        <v>9302</v>
      </c>
      <c r="B4645" s="106" t="s">
        <v>9303</v>
      </c>
      <c r="C4645" s="106"/>
      <c r="D4645" s="106"/>
      <c r="E4645" s="52"/>
    </row>
    <row r="4646" spans="1:5" s="103" customFormat="1" ht="13.2" hidden="1" outlineLevel="1" x14ac:dyDescent="0.25">
      <c r="A4646" s="106" t="s">
        <v>9304</v>
      </c>
      <c r="B4646" s="106" t="s">
        <v>9305</v>
      </c>
      <c r="C4646" s="106"/>
      <c r="D4646" s="106"/>
      <c r="E4646" s="52"/>
    </row>
    <row r="4647" spans="1:5" s="103" customFormat="1" ht="13.2" hidden="1" outlineLevel="1" x14ac:dyDescent="0.25">
      <c r="A4647" s="106" t="s">
        <v>9306</v>
      </c>
      <c r="B4647" s="106" t="s">
        <v>9307</v>
      </c>
      <c r="C4647" s="106"/>
      <c r="D4647" s="106"/>
      <c r="E4647" s="52"/>
    </row>
    <row r="4648" spans="1:5" s="103" customFormat="1" ht="13.2" hidden="1" outlineLevel="1" x14ac:dyDescent="0.25">
      <c r="A4648" s="106" t="s">
        <v>9308</v>
      </c>
      <c r="B4648" s="106" t="s">
        <v>9309</v>
      </c>
      <c r="C4648" s="106"/>
      <c r="D4648" s="106"/>
      <c r="E4648" s="52"/>
    </row>
    <row r="4649" spans="1:5" s="103" customFormat="1" ht="13.2" hidden="1" outlineLevel="1" x14ac:dyDescent="0.25">
      <c r="A4649" s="106" t="s">
        <v>9310</v>
      </c>
      <c r="B4649" s="106" t="s">
        <v>9311</v>
      </c>
      <c r="C4649" s="106"/>
      <c r="D4649" s="106"/>
      <c r="E4649" s="52"/>
    </row>
    <row r="4650" spans="1:5" s="103" customFormat="1" ht="13.2" hidden="1" outlineLevel="1" x14ac:dyDescent="0.25">
      <c r="A4650" s="106" t="s">
        <v>9312</v>
      </c>
      <c r="B4650" s="106" t="s">
        <v>9313</v>
      </c>
      <c r="C4650" s="106"/>
      <c r="D4650" s="106"/>
      <c r="E4650" s="52"/>
    </row>
    <row r="4651" spans="1:5" s="103" customFormat="1" ht="13.2" hidden="1" outlineLevel="1" x14ac:dyDescent="0.25">
      <c r="A4651" s="106" t="s">
        <v>9314</v>
      </c>
      <c r="B4651" s="106" t="s">
        <v>9315</v>
      </c>
      <c r="C4651" s="106"/>
      <c r="D4651" s="106"/>
      <c r="E4651" s="52"/>
    </row>
    <row r="4652" spans="1:5" s="103" customFormat="1" ht="13.2" hidden="1" outlineLevel="1" x14ac:dyDescent="0.25">
      <c r="A4652" s="106" t="s">
        <v>9316</v>
      </c>
      <c r="B4652" s="106" t="s">
        <v>9317</v>
      </c>
      <c r="C4652" s="106"/>
      <c r="D4652" s="106"/>
      <c r="E4652" s="52"/>
    </row>
    <row r="4653" spans="1:5" s="103" customFormat="1" ht="13.2" hidden="1" outlineLevel="1" x14ac:dyDescent="0.25">
      <c r="A4653" s="106" t="s">
        <v>9318</v>
      </c>
      <c r="B4653" s="106" t="s">
        <v>9319</v>
      </c>
      <c r="C4653" s="106"/>
      <c r="D4653" s="106"/>
      <c r="E4653" s="52"/>
    </row>
    <row r="4654" spans="1:5" s="103" customFormat="1" ht="13.2" hidden="1" outlineLevel="1" x14ac:dyDescent="0.25">
      <c r="A4654" s="106" t="s">
        <v>9320</v>
      </c>
      <c r="B4654" s="106" t="s">
        <v>9321</v>
      </c>
      <c r="C4654" s="106"/>
      <c r="D4654" s="106"/>
      <c r="E4654" s="52"/>
    </row>
    <row r="4655" spans="1:5" s="103" customFormat="1" ht="13.2" hidden="1" outlineLevel="1" x14ac:dyDescent="0.25">
      <c r="A4655" s="106" t="s">
        <v>9322</v>
      </c>
      <c r="B4655" s="106" t="s">
        <v>9323</v>
      </c>
      <c r="C4655" s="106"/>
      <c r="D4655" s="106"/>
      <c r="E4655" s="52"/>
    </row>
    <row r="4656" spans="1:5" s="103" customFormat="1" ht="13.2" hidden="1" outlineLevel="1" x14ac:dyDescent="0.25">
      <c r="A4656" s="106" t="s">
        <v>9324</v>
      </c>
      <c r="B4656" s="106" t="s">
        <v>9325</v>
      </c>
      <c r="C4656" s="106"/>
      <c r="D4656" s="106"/>
      <c r="E4656" s="52"/>
    </row>
    <row r="4657" spans="1:5" s="103" customFormat="1" ht="13.2" hidden="1" outlineLevel="1" x14ac:dyDescent="0.25">
      <c r="A4657" s="106" t="s">
        <v>9326</v>
      </c>
      <c r="B4657" s="106" t="s">
        <v>9327</v>
      </c>
      <c r="C4657" s="106"/>
      <c r="D4657" s="106"/>
      <c r="E4657" s="52"/>
    </row>
    <row r="4658" spans="1:5" s="103" customFormat="1" ht="13.2" hidden="1" outlineLevel="1" x14ac:dyDescent="0.25">
      <c r="A4658" s="106" t="s">
        <v>9328</v>
      </c>
      <c r="B4658" s="106" t="s">
        <v>9329</v>
      </c>
      <c r="C4658" s="106"/>
      <c r="D4658" s="106"/>
      <c r="E4658" s="52"/>
    </row>
    <row r="4659" spans="1:5" s="103" customFormat="1" ht="13.2" hidden="1" outlineLevel="1" x14ac:dyDescent="0.25">
      <c r="A4659" s="106" t="s">
        <v>9330</v>
      </c>
      <c r="B4659" s="106" t="s">
        <v>9331</v>
      </c>
      <c r="C4659" s="106"/>
      <c r="D4659" s="106"/>
      <c r="E4659" s="52"/>
    </row>
    <row r="4660" spans="1:5" s="103" customFormat="1" ht="13.2" hidden="1" outlineLevel="1" x14ac:dyDescent="0.25">
      <c r="A4660" s="106" t="s">
        <v>9332</v>
      </c>
      <c r="B4660" s="106" t="s">
        <v>9333</v>
      </c>
      <c r="C4660" s="106"/>
      <c r="D4660" s="106"/>
      <c r="E4660" s="52"/>
    </row>
    <row r="4661" spans="1:5" s="103" customFormat="1" ht="13.2" hidden="1" outlineLevel="1" x14ac:dyDescent="0.25">
      <c r="A4661" s="106" t="s">
        <v>9334</v>
      </c>
      <c r="B4661" s="106" t="s">
        <v>9335</v>
      </c>
      <c r="C4661" s="106"/>
      <c r="D4661" s="106"/>
      <c r="E4661" s="52"/>
    </row>
    <row r="4662" spans="1:5" s="103" customFormat="1" ht="13.2" hidden="1" outlineLevel="1" x14ac:dyDescent="0.25">
      <c r="A4662" s="106" t="s">
        <v>9336</v>
      </c>
      <c r="B4662" s="106" t="s">
        <v>9337</v>
      </c>
      <c r="C4662" s="106"/>
      <c r="D4662" s="106"/>
      <c r="E4662" s="52"/>
    </row>
    <row r="4663" spans="1:5" s="103" customFormat="1" ht="13.2" hidden="1" outlineLevel="1" x14ac:dyDescent="0.25">
      <c r="A4663" s="106" t="s">
        <v>9338</v>
      </c>
      <c r="B4663" s="106" t="s">
        <v>9339</v>
      </c>
      <c r="C4663" s="106"/>
      <c r="D4663" s="106"/>
      <c r="E4663" s="52"/>
    </row>
    <row r="4664" spans="1:5" s="103" customFormat="1" ht="13.2" hidden="1" outlineLevel="1" x14ac:dyDescent="0.25">
      <c r="A4664" s="106" t="s">
        <v>9340</v>
      </c>
      <c r="B4664" s="106" t="s">
        <v>9341</v>
      </c>
      <c r="C4664" s="106"/>
      <c r="D4664" s="106"/>
      <c r="E4664" s="52"/>
    </row>
    <row r="4665" spans="1:5" s="103" customFormat="1" ht="13.2" hidden="1" outlineLevel="1" x14ac:dyDescent="0.25">
      <c r="A4665" s="106" t="s">
        <v>9342</v>
      </c>
      <c r="B4665" s="106" t="s">
        <v>9343</v>
      </c>
      <c r="C4665" s="106"/>
      <c r="D4665" s="106"/>
      <c r="E4665" s="52"/>
    </row>
    <row r="4666" spans="1:5" s="103" customFormat="1" ht="13.2" hidden="1" outlineLevel="1" x14ac:dyDescent="0.25">
      <c r="A4666" s="106" t="s">
        <v>9344</v>
      </c>
      <c r="B4666" s="106" t="s">
        <v>9345</v>
      </c>
      <c r="C4666" s="106"/>
      <c r="D4666" s="106"/>
      <c r="E4666" s="52"/>
    </row>
    <row r="4667" spans="1:5" s="103" customFormat="1" ht="13.2" hidden="1" outlineLevel="1" x14ac:dyDescent="0.25">
      <c r="A4667" s="106" t="s">
        <v>9346</v>
      </c>
      <c r="B4667" s="106" t="s">
        <v>9347</v>
      </c>
      <c r="C4667" s="106"/>
      <c r="D4667" s="106"/>
      <c r="E4667" s="52"/>
    </row>
    <row r="4668" spans="1:5" s="103" customFormat="1" ht="13.2" hidden="1" outlineLevel="1" x14ac:dyDescent="0.25">
      <c r="A4668" s="106" t="s">
        <v>9348</v>
      </c>
      <c r="B4668" s="106" t="s">
        <v>9349</v>
      </c>
      <c r="C4668" s="106"/>
      <c r="D4668" s="106"/>
      <c r="E4668" s="52"/>
    </row>
    <row r="4669" spans="1:5" s="103" customFormat="1" ht="13.2" hidden="1" outlineLevel="1" x14ac:dyDescent="0.25">
      <c r="A4669" s="106" t="s">
        <v>9350</v>
      </c>
      <c r="B4669" s="106" t="s">
        <v>9351</v>
      </c>
      <c r="C4669" s="106"/>
      <c r="D4669" s="106"/>
      <c r="E4669" s="52"/>
    </row>
    <row r="4670" spans="1:5" s="103" customFormat="1" ht="13.2" hidden="1" outlineLevel="1" x14ac:dyDescent="0.25">
      <c r="A4670" s="106" t="s">
        <v>9352</v>
      </c>
      <c r="B4670" s="106" t="s">
        <v>9353</v>
      </c>
      <c r="C4670" s="106"/>
      <c r="D4670" s="106"/>
      <c r="E4670" s="52"/>
    </row>
    <row r="4671" spans="1:5" s="103" customFormat="1" ht="13.2" hidden="1" outlineLevel="1" x14ac:dyDescent="0.25">
      <c r="A4671" s="106" t="s">
        <v>9354</v>
      </c>
      <c r="B4671" s="106" t="s">
        <v>9355</v>
      </c>
      <c r="C4671" s="106"/>
      <c r="D4671" s="106"/>
      <c r="E4671" s="52"/>
    </row>
    <row r="4672" spans="1:5" s="103" customFormat="1" ht="13.2" hidden="1" outlineLevel="1" x14ac:dyDescent="0.25">
      <c r="A4672" s="106" t="s">
        <v>9356</v>
      </c>
      <c r="B4672" s="106" t="s">
        <v>9357</v>
      </c>
      <c r="C4672" s="106"/>
      <c r="D4672" s="106"/>
      <c r="E4672" s="52"/>
    </row>
    <row r="4673" spans="1:5" s="103" customFormat="1" ht="13.2" hidden="1" outlineLevel="1" x14ac:dyDescent="0.25">
      <c r="A4673" s="106" t="s">
        <v>9358</v>
      </c>
      <c r="B4673" s="106" t="s">
        <v>9359</v>
      </c>
      <c r="C4673" s="106"/>
      <c r="D4673" s="106"/>
      <c r="E4673" s="52"/>
    </row>
    <row r="4674" spans="1:5" s="103" customFormat="1" ht="13.2" hidden="1" outlineLevel="1" x14ac:dyDescent="0.25">
      <c r="A4674" s="106" t="s">
        <v>9360</v>
      </c>
      <c r="B4674" s="106" t="s">
        <v>9361</v>
      </c>
      <c r="C4674" s="106"/>
      <c r="D4674" s="106"/>
      <c r="E4674" s="52"/>
    </row>
    <row r="4675" spans="1:5" s="103" customFormat="1" ht="13.2" hidden="1" outlineLevel="1" x14ac:dyDescent="0.25">
      <c r="A4675" s="106" t="s">
        <v>9362</v>
      </c>
      <c r="B4675" s="106" t="s">
        <v>9363</v>
      </c>
      <c r="C4675" s="106"/>
      <c r="D4675" s="106"/>
      <c r="E4675" s="52"/>
    </row>
    <row r="4676" spans="1:5" s="103" customFormat="1" ht="13.2" hidden="1" outlineLevel="1" x14ac:dyDescent="0.25">
      <c r="A4676" s="106" t="s">
        <v>9364</v>
      </c>
      <c r="B4676" s="106" t="s">
        <v>9365</v>
      </c>
      <c r="C4676" s="106"/>
      <c r="D4676" s="106"/>
      <c r="E4676" s="52"/>
    </row>
    <row r="4677" spans="1:5" s="103" customFormat="1" ht="13.2" hidden="1" outlineLevel="1" x14ac:dyDescent="0.25">
      <c r="A4677" s="106" t="s">
        <v>9366</v>
      </c>
      <c r="B4677" s="106" t="s">
        <v>9367</v>
      </c>
      <c r="C4677" s="106"/>
      <c r="D4677" s="106"/>
      <c r="E4677" s="52"/>
    </row>
    <row r="4678" spans="1:5" s="103" customFormat="1" ht="13.2" hidden="1" outlineLevel="1" x14ac:dyDescent="0.25">
      <c r="A4678" s="106" t="s">
        <v>9368</v>
      </c>
      <c r="B4678" s="106" t="s">
        <v>9369</v>
      </c>
      <c r="C4678" s="106"/>
      <c r="D4678" s="106"/>
      <c r="E4678" s="52"/>
    </row>
    <row r="4679" spans="1:5" s="103" customFormat="1" ht="13.2" hidden="1" outlineLevel="1" x14ac:dyDescent="0.25">
      <c r="A4679" s="106" t="s">
        <v>9370</v>
      </c>
      <c r="B4679" s="106" t="s">
        <v>9371</v>
      </c>
      <c r="C4679" s="106"/>
      <c r="D4679" s="106"/>
      <c r="E4679" s="52"/>
    </row>
    <row r="4680" spans="1:5" s="103" customFormat="1" ht="13.2" hidden="1" outlineLevel="1" x14ac:dyDescent="0.25">
      <c r="A4680" s="106" t="s">
        <v>9372</v>
      </c>
      <c r="B4680" s="106" t="s">
        <v>9373</v>
      </c>
      <c r="C4680" s="106"/>
      <c r="D4680" s="106"/>
      <c r="E4680" s="52"/>
    </row>
    <row r="4681" spans="1:5" s="103" customFormat="1" ht="13.2" hidden="1" outlineLevel="1" x14ac:dyDescent="0.25">
      <c r="A4681" s="106" t="s">
        <v>9374</v>
      </c>
      <c r="B4681" s="106" t="s">
        <v>9375</v>
      </c>
      <c r="C4681" s="106"/>
      <c r="D4681" s="106"/>
      <c r="E4681" s="52"/>
    </row>
    <row r="4682" spans="1:5" s="103" customFormat="1" ht="13.2" hidden="1" outlineLevel="1" x14ac:dyDescent="0.25">
      <c r="A4682" s="106" t="s">
        <v>9376</v>
      </c>
      <c r="B4682" s="106" t="s">
        <v>9377</v>
      </c>
      <c r="C4682" s="106"/>
      <c r="D4682" s="106"/>
      <c r="E4682" s="52"/>
    </row>
    <row r="4683" spans="1:5" s="103" customFormat="1" ht="13.2" hidden="1" outlineLevel="1" x14ac:dyDescent="0.25">
      <c r="A4683" s="106" t="s">
        <v>9378</v>
      </c>
      <c r="B4683" s="106" t="s">
        <v>9379</v>
      </c>
      <c r="C4683" s="106"/>
      <c r="D4683" s="106"/>
      <c r="E4683" s="52"/>
    </row>
    <row r="4684" spans="1:5" s="103" customFormat="1" ht="13.2" hidden="1" outlineLevel="1" x14ac:dyDescent="0.25">
      <c r="A4684" s="106" t="s">
        <v>9380</v>
      </c>
      <c r="B4684" s="106" t="s">
        <v>9381</v>
      </c>
      <c r="C4684" s="106"/>
      <c r="D4684" s="106"/>
      <c r="E4684" s="52"/>
    </row>
    <row r="4685" spans="1:5" s="103" customFormat="1" ht="13.2" hidden="1" outlineLevel="1" x14ac:dyDescent="0.25">
      <c r="A4685" s="106" t="s">
        <v>9382</v>
      </c>
      <c r="B4685" s="106" t="s">
        <v>9383</v>
      </c>
      <c r="C4685" s="106"/>
      <c r="D4685" s="106"/>
      <c r="E4685" s="52"/>
    </row>
    <row r="4686" spans="1:5" s="103" customFormat="1" ht="13.2" hidden="1" outlineLevel="1" x14ac:dyDescent="0.25">
      <c r="A4686" s="106" t="s">
        <v>9384</v>
      </c>
      <c r="B4686" s="106" t="s">
        <v>9385</v>
      </c>
      <c r="C4686" s="106"/>
      <c r="D4686" s="106"/>
      <c r="E4686" s="52"/>
    </row>
    <row r="4687" spans="1:5" s="103" customFormat="1" ht="13.2" hidden="1" outlineLevel="1" x14ac:dyDescent="0.25">
      <c r="A4687" s="106" t="s">
        <v>9386</v>
      </c>
      <c r="B4687" s="106" t="s">
        <v>9387</v>
      </c>
      <c r="C4687" s="106"/>
      <c r="D4687" s="106"/>
      <c r="E4687" s="52"/>
    </row>
    <row r="4688" spans="1:5" s="103" customFormat="1" ht="13.2" hidden="1" outlineLevel="1" x14ac:dyDescent="0.25">
      <c r="A4688" s="106" t="s">
        <v>9388</v>
      </c>
      <c r="B4688" s="106" t="s">
        <v>9389</v>
      </c>
      <c r="C4688" s="106"/>
      <c r="D4688" s="106"/>
      <c r="E4688" s="52"/>
    </row>
    <row r="4689" spans="1:5" s="103" customFormat="1" ht="13.2" hidden="1" outlineLevel="1" x14ac:dyDescent="0.25">
      <c r="A4689" s="106" t="s">
        <v>9390</v>
      </c>
      <c r="B4689" s="106" t="s">
        <v>9391</v>
      </c>
      <c r="C4689" s="106"/>
      <c r="D4689" s="106"/>
      <c r="E4689" s="52"/>
    </row>
    <row r="4690" spans="1:5" s="103" customFormat="1" ht="13.2" hidden="1" outlineLevel="1" x14ac:dyDescent="0.25">
      <c r="A4690" s="106" t="s">
        <v>9392</v>
      </c>
      <c r="B4690" s="106" t="s">
        <v>9393</v>
      </c>
      <c r="C4690" s="106"/>
      <c r="D4690" s="106"/>
      <c r="E4690" s="52"/>
    </row>
    <row r="4691" spans="1:5" s="103" customFormat="1" ht="13.2" collapsed="1" x14ac:dyDescent="0.25">
      <c r="A4691" s="104" t="s">
        <v>9394</v>
      </c>
      <c r="B4691" s="105" t="s">
        <v>9395</v>
      </c>
      <c r="C4691" s="105"/>
      <c r="D4691" s="105"/>
      <c r="E4691" s="51"/>
    </row>
    <row r="4692" spans="1:5" s="103" customFormat="1" ht="13.2" hidden="1" outlineLevel="1" x14ac:dyDescent="0.25">
      <c r="A4692" s="106" t="s">
        <v>9396</v>
      </c>
      <c r="B4692" s="106" t="s">
        <v>9397</v>
      </c>
      <c r="C4692" s="106"/>
      <c r="D4692" s="106"/>
      <c r="E4692" s="52"/>
    </row>
    <row r="4693" spans="1:5" s="103" customFormat="1" ht="13.2" hidden="1" outlineLevel="1" x14ac:dyDescent="0.25">
      <c r="A4693" s="106" t="s">
        <v>9398</v>
      </c>
      <c r="B4693" s="106" t="s">
        <v>9399</v>
      </c>
      <c r="C4693" s="106"/>
      <c r="D4693" s="106"/>
      <c r="E4693" s="52"/>
    </row>
    <row r="4694" spans="1:5" s="103" customFormat="1" ht="13.2" hidden="1" outlineLevel="1" x14ac:dyDescent="0.25">
      <c r="A4694" s="106" t="s">
        <v>9400</v>
      </c>
      <c r="B4694" s="106" t="s">
        <v>9401</v>
      </c>
      <c r="C4694" s="106"/>
      <c r="D4694" s="106"/>
      <c r="E4694" s="52"/>
    </row>
    <row r="4695" spans="1:5" s="103" customFormat="1" ht="13.2" hidden="1" outlineLevel="1" x14ac:dyDescent="0.25">
      <c r="A4695" s="106" t="s">
        <v>9402</v>
      </c>
      <c r="B4695" s="106" t="s">
        <v>9403</v>
      </c>
      <c r="C4695" s="106"/>
      <c r="D4695" s="106"/>
      <c r="E4695" s="52"/>
    </row>
    <row r="4696" spans="1:5" s="103" customFormat="1" ht="13.2" hidden="1" outlineLevel="1" x14ac:dyDescent="0.25">
      <c r="A4696" s="106" t="s">
        <v>9404</v>
      </c>
      <c r="B4696" s="106" t="s">
        <v>9405</v>
      </c>
      <c r="C4696" s="106"/>
      <c r="D4696" s="106"/>
      <c r="E4696" s="52"/>
    </row>
    <row r="4697" spans="1:5" s="103" customFormat="1" ht="13.2" hidden="1" outlineLevel="1" x14ac:dyDescent="0.25">
      <c r="A4697" s="106" t="s">
        <v>9406</v>
      </c>
      <c r="B4697" s="106" t="s">
        <v>9407</v>
      </c>
      <c r="C4697" s="106"/>
      <c r="D4697" s="106"/>
      <c r="E4697" s="52"/>
    </row>
    <row r="4698" spans="1:5" s="103" customFormat="1" ht="13.2" hidden="1" outlineLevel="1" x14ac:dyDescent="0.25">
      <c r="A4698" s="106" t="s">
        <v>9408</v>
      </c>
      <c r="B4698" s="106" t="s">
        <v>9409</v>
      </c>
      <c r="C4698" s="106"/>
      <c r="D4698" s="106"/>
      <c r="E4698" s="52"/>
    </row>
    <row r="4699" spans="1:5" s="103" customFormat="1" ht="13.2" hidden="1" outlineLevel="1" x14ac:dyDescent="0.25">
      <c r="A4699" s="106" t="s">
        <v>9410</v>
      </c>
      <c r="B4699" s="106" t="s">
        <v>9411</v>
      </c>
      <c r="C4699" s="106"/>
      <c r="D4699" s="106"/>
      <c r="E4699" s="52"/>
    </row>
    <row r="4700" spans="1:5" s="103" customFormat="1" ht="13.2" hidden="1" outlineLevel="1" x14ac:dyDescent="0.25">
      <c r="A4700" s="106" t="s">
        <v>9412</v>
      </c>
      <c r="B4700" s="106" t="s">
        <v>9413</v>
      </c>
      <c r="C4700" s="106"/>
      <c r="D4700" s="106"/>
      <c r="E4700" s="52"/>
    </row>
    <row r="4701" spans="1:5" s="103" customFormat="1" ht="13.2" hidden="1" outlineLevel="1" x14ac:dyDescent="0.25">
      <c r="A4701" s="106" t="s">
        <v>9414</v>
      </c>
      <c r="B4701" s="106" t="s">
        <v>9415</v>
      </c>
      <c r="C4701" s="106"/>
      <c r="D4701" s="106"/>
      <c r="E4701" s="52"/>
    </row>
    <row r="4702" spans="1:5" s="103" customFormat="1" ht="13.2" hidden="1" outlineLevel="1" x14ac:dyDescent="0.25">
      <c r="A4702" s="106" t="s">
        <v>9416</v>
      </c>
      <c r="B4702" s="106" t="s">
        <v>9417</v>
      </c>
      <c r="C4702" s="106"/>
      <c r="D4702" s="106"/>
      <c r="E4702" s="52"/>
    </row>
    <row r="4703" spans="1:5" s="103" customFormat="1" ht="13.2" hidden="1" outlineLevel="1" x14ac:dyDescent="0.25">
      <c r="A4703" s="106" t="s">
        <v>9418</v>
      </c>
      <c r="B4703" s="106" t="s">
        <v>9419</v>
      </c>
      <c r="C4703" s="106"/>
      <c r="D4703" s="106"/>
      <c r="E4703" s="52"/>
    </row>
    <row r="4704" spans="1:5" s="103" customFormat="1" ht="13.2" hidden="1" outlineLevel="1" x14ac:dyDescent="0.25">
      <c r="A4704" s="106" t="s">
        <v>9420</v>
      </c>
      <c r="B4704" s="106" t="s">
        <v>9421</v>
      </c>
      <c r="C4704" s="106"/>
      <c r="D4704" s="106"/>
      <c r="E4704" s="52"/>
    </row>
    <row r="4705" spans="1:5" s="103" customFormat="1" ht="13.2" hidden="1" outlineLevel="1" x14ac:dyDescent="0.25">
      <c r="A4705" s="106" t="s">
        <v>9422</v>
      </c>
      <c r="B4705" s="106" t="s">
        <v>9423</v>
      </c>
      <c r="C4705" s="106"/>
      <c r="D4705" s="106"/>
      <c r="E4705" s="52"/>
    </row>
    <row r="4706" spans="1:5" s="103" customFormat="1" ht="13.2" hidden="1" outlineLevel="1" x14ac:dyDescent="0.25">
      <c r="A4706" s="106" t="s">
        <v>9424</v>
      </c>
      <c r="B4706" s="106" t="s">
        <v>9425</v>
      </c>
      <c r="C4706" s="106"/>
      <c r="D4706" s="106"/>
      <c r="E4706" s="52"/>
    </row>
    <row r="4707" spans="1:5" s="103" customFormat="1" ht="13.2" hidden="1" outlineLevel="1" x14ac:dyDescent="0.25">
      <c r="A4707" s="106" t="s">
        <v>9426</v>
      </c>
      <c r="B4707" s="106" t="s">
        <v>9427</v>
      </c>
      <c r="C4707" s="106"/>
      <c r="D4707" s="106"/>
      <c r="E4707" s="52"/>
    </row>
    <row r="4708" spans="1:5" s="103" customFormat="1" ht="13.2" hidden="1" outlineLevel="1" x14ac:dyDescent="0.25">
      <c r="A4708" s="106" t="s">
        <v>9428</v>
      </c>
      <c r="B4708" s="106" t="s">
        <v>9429</v>
      </c>
      <c r="C4708" s="106"/>
      <c r="D4708" s="106"/>
      <c r="E4708" s="52"/>
    </row>
    <row r="4709" spans="1:5" s="103" customFormat="1" ht="13.2" hidden="1" outlineLevel="1" x14ac:dyDescent="0.25">
      <c r="A4709" s="106" t="s">
        <v>9430</v>
      </c>
      <c r="B4709" s="106" t="s">
        <v>9431</v>
      </c>
      <c r="C4709" s="106"/>
      <c r="D4709" s="106"/>
      <c r="E4709" s="52"/>
    </row>
    <row r="4710" spans="1:5" s="103" customFormat="1" ht="13.2" hidden="1" outlineLevel="1" x14ac:dyDescent="0.25">
      <c r="A4710" s="106" t="s">
        <v>9432</v>
      </c>
      <c r="B4710" s="106" t="s">
        <v>9433</v>
      </c>
      <c r="C4710" s="106"/>
      <c r="D4710" s="106"/>
      <c r="E4710" s="52"/>
    </row>
    <row r="4711" spans="1:5" s="103" customFormat="1" ht="13.2" hidden="1" outlineLevel="1" x14ac:dyDescent="0.25">
      <c r="A4711" s="106" t="s">
        <v>9434</v>
      </c>
      <c r="B4711" s="106" t="s">
        <v>9435</v>
      </c>
      <c r="C4711" s="106"/>
      <c r="D4711" s="106"/>
      <c r="E4711" s="52"/>
    </row>
    <row r="4712" spans="1:5" s="103" customFormat="1" ht="13.2" hidden="1" outlineLevel="1" x14ac:dyDescent="0.25">
      <c r="A4712" s="106" t="s">
        <v>9436</v>
      </c>
      <c r="B4712" s="106" t="s">
        <v>9437</v>
      </c>
      <c r="C4712" s="106"/>
      <c r="D4712" s="106"/>
      <c r="E4712" s="52"/>
    </row>
    <row r="4713" spans="1:5" s="103" customFormat="1" ht="13.2" hidden="1" outlineLevel="1" x14ac:dyDescent="0.25">
      <c r="A4713" s="106" t="s">
        <v>9438</v>
      </c>
      <c r="B4713" s="106" t="s">
        <v>9439</v>
      </c>
      <c r="C4713" s="106"/>
      <c r="D4713" s="106"/>
      <c r="E4713" s="52"/>
    </row>
    <row r="4714" spans="1:5" s="103" customFormat="1" ht="13.2" hidden="1" outlineLevel="1" x14ac:dyDescent="0.25">
      <c r="A4714" s="106" t="s">
        <v>9440</v>
      </c>
      <c r="B4714" s="106" t="s">
        <v>9441</v>
      </c>
      <c r="C4714" s="106"/>
      <c r="D4714" s="106"/>
      <c r="E4714" s="52"/>
    </row>
    <row r="4715" spans="1:5" s="103" customFormat="1" ht="13.2" hidden="1" outlineLevel="1" x14ac:dyDescent="0.25">
      <c r="A4715" s="106" t="s">
        <v>9442</v>
      </c>
      <c r="B4715" s="106" t="s">
        <v>9443</v>
      </c>
      <c r="C4715" s="106"/>
      <c r="D4715" s="106"/>
      <c r="E4715" s="52"/>
    </row>
    <row r="4716" spans="1:5" s="103" customFormat="1" ht="13.2" hidden="1" outlineLevel="1" x14ac:dyDescent="0.25">
      <c r="A4716" s="106" t="s">
        <v>9444</v>
      </c>
      <c r="B4716" s="106" t="s">
        <v>9445</v>
      </c>
      <c r="C4716" s="106"/>
      <c r="D4716" s="106"/>
      <c r="E4716" s="52"/>
    </row>
    <row r="4717" spans="1:5" s="103" customFormat="1" ht="13.2" hidden="1" outlineLevel="1" x14ac:dyDescent="0.25">
      <c r="A4717" s="106" t="s">
        <v>9446</v>
      </c>
      <c r="B4717" s="106" t="s">
        <v>9447</v>
      </c>
      <c r="C4717" s="106"/>
      <c r="D4717" s="106"/>
      <c r="E4717" s="52"/>
    </row>
    <row r="4718" spans="1:5" s="103" customFormat="1" ht="13.2" hidden="1" outlineLevel="1" x14ac:dyDescent="0.25">
      <c r="A4718" s="106" t="s">
        <v>9448</v>
      </c>
      <c r="B4718" s="106" t="s">
        <v>9449</v>
      </c>
      <c r="C4718" s="106"/>
      <c r="D4718" s="106"/>
      <c r="E4718" s="52"/>
    </row>
    <row r="4719" spans="1:5" s="103" customFormat="1" ht="13.2" hidden="1" outlineLevel="1" x14ac:dyDescent="0.25">
      <c r="A4719" s="106" t="s">
        <v>9450</v>
      </c>
      <c r="B4719" s="106" t="s">
        <v>9451</v>
      </c>
      <c r="C4719" s="106"/>
      <c r="D4719" s="106"/>
      <c r="E4719" s="52"/>
    </row>
    <row r="4720" spans="1:5" s="103" customFormat="1" ht="13.2" hidden="1" outlineLevel="1" x14ac:dyDescent="0.25">
      <c r="A4720" s="106" t="s">
        <v>9452</v>
      </c>
      <c r="B4720" s="106" t="s">
        <v>9453</v>
      </c>
      <c r="C4720" s="106"/>
      <c r="D4720" s="106"/>
      <c r="E4720" s="52"/>
    </row>
    <row r="4721" spans="1:5" s="103" customFormat="1" ht="13.2" hidden="1" outlineLevel="1" x14ac:dyDescent="0.25">
      <c r="A4721" s="106" t="s">
        <v>9454</v>
      </c>
      <c r="B4721" s="106" t="s">
        <v>9455</v>
      </c>
      <c r="C4721" s="106"/>
      <c r="D4721" s="106"/>
      <c r="E4721" s="52"/>
    </row>
    <row r="4722" spans="1:5" s="103" customFormat="1" ht="13.2" hidden="1" outlineLevel="1" x14ac:dyDescent="0.25">
      <c r="A4722" s="106" t="s">
        <v>9456</v>
      </c>
      <c r="B4722" s="106" t="s">
        <v>9457</v>
      </c>
      <c r="C4722" s="106"/>
      <c r="D4722" s="106"/>
      <c r="E4722" s="52"/>
    </row>
    <row r="4723" spans="1:5" s="103" customFormat="1" ht="13.2" hidden="1" outlineLevel="1" x14ac:dyDescent="0.25">
      <c r="A4723" s="106" t="s">
        <v>9458</v>
      </c>
      <c r="B4723" s="106" t="s">
        <v>9459</v>
      </c>
      <c r="C4723" s="106"/>
      <c r="D4723" s="106"/>
      <c r="E4723" s="52"/>
    </row>
    <row r="4724" spans="1:5" s="103" customFormat="1" ht="13.2" hidden="1" outlineLevel="1" x14ac:dyDescent="0.25">
      <c r="A4724" s="106" t="s">
        <v>9460</v>
      </c>
      <c r="B4724" s="106" t="s">
        <v>9461</v>
      </c>
      <c r="C4724" s="106"/>
      <c r="D4724" s="106"/>
      <c r="E4724" s="52"/>
    </row>
    <row r="4725" spans="1:5" s="103" customFormat="1" ht="13.2" hidden="1" outlineLevel="1" x14ac:dyDescent="0.25">
      <c r="A4725" s="106" t="s">
        <v>9462</v>
      </c>
      <c r="B4725" s="106" t="s">
        <v>9463</v>
      </c>
      <c r="C4725" s="106"/>
      <c r="D4725" s="106"/>
      <c r="E4725" s="52"/>
    </row>
    <row r="4726" spans="1:5" s="103" customFormat="1" ht="13.2" hidden="1" outlineLevel="1" x14ac:dyDescent="0.25">
      <c r="A4726" s="106" t="s">
        <v>9464</v>
      </c>
      <c r="B4726" s="106" t="s">
        <v>9465</v>
      </c>
      <c r="C4726" s="106"/>
      <c r="D4726" s="106"/>
      <c r="E4726" s="52"/>
    </row>
    <row r="4727" spans="1:5" s="103" customFormat="1" ht="13.2" hidden="1" outlineLevel="1" x14ac:dyDescent="0.25">
      <c r="A4727" s="106" t="s">
        <v>9466</v>
      </c>
      <c r="B4727" s="106" t="s">
        <v>9467</v>
      </c>
      <c r="C4727" s="106"/>
      <c r="D4727" s="106"/>
      <c r="E4727" s="52"/>
    </row>
    <row r="4728" spans="1:5" s="103" customFormat="1" ht="13.2" hidden="1" outlineLevel="1" x14ac:dyDescent="0.25">
      <c r="A4728" s="106" t="s">
        <v>9468</v>
      </c>
      <c r="B4728" s="106" t="s">
        <v>9469</v>
      </c>
      <c r="C4728" s="106"/>
      <c r="D4728" s="106"/>
      <c r="E4728" s="52"/>
    </row>
    <row r="4729" spans="1:5" s="103" customFormat="1" ht="13.2" hidden="1" outlineLevel="1" x14ac:dyDescent="0.25">
      <c r="A4729" s="106" t="s">
        <v>9470</v>
      </c>
      <c r="B4729" s="106" t="s">
        <v>9471</v>
      </c>
      <c r="C4729" s="106"/>
      <c r="D4729" s="106"/>
      <c r="E4729" s="52"/>
    </row>
    <row r="4730" spans="1:5" s="103" customFormat="1" ht="13.2" hidden="1" outlineLevel="1" x14ac:dyDescent="0.25">
      <c r="A4730" s="106" t="s">
        <v>9472</v>
      </c>
      <c r="B4730" s="106" t="s">
        <v>9473</v>
      </c>
      <c r="C4730" s="106"/>
      <c r="D4730" s="106"/>
      <c r="E4730" s="52"/>
    </row>
    <row r="4731" spans="1:5" s="103" customFormat="1" ht="13.2" hidden="1" outlineLevel="1" x14ac:dyDescent="0.25">
      <c r="A4731" s="106" t="s">
        <v>9474</v>
      </c>
      <c r="B4731" s="106" t="s">
        <v>9475</v>
      </c>
      <c r="C4731" s="106"/>
      <c r="D4731" s="106"/>
      <c r="E4731" s="52"/>
    </row>
    <row r="4732" spans="1:5" s="103" customFormat="1" ht="13.2" hidden="1" outlineLevel="1" x14ac:dyDescent="0.25">
      <c r="A4732" s="106" t="s">
        <v>9476</v>
      </c>
      <c r="B4732" s="106" t="s">
        <v>9477</v>
      </c>
      <c r="C4732" s="106"/>
      <c r="D4732" s="106"/>
      <c r="E4732" s="52"/>
    </row>
    <row r="4733" spans="1:5" s="103" customFormat="1" ht="13.2" hidden="1" outlineLevel="1" x14ac:dyDescent="0.25">
      <c r="A4733" s="106" t="s">
        <v>9478</v>
      </c>
      <c r="B4733" s="106" t="s">
        <v>9479</v>
      </c>
      <c r="C4733" s="106"/>
      <c r="D4733" s="106"/>
      <c r="E4733" s="52"/>
    </row>
    <row r="4734" spans="1:5" s="103" customFormat="1" ht="13.2" hidden="1" outlineLevel="1" x14ac:dyDescent="0.25">
      <c r="A4734" s="106" t="s">
        <v>9480</v>
      </c>
      <c r="B4734" s="106" t="s">
        <v>9481</v>
      </c>
      <c r="C4734" s="106"/>
      <c r="D4734" s="106"/>
      <c r="E4734" s="52"/>
    </row>
    <row r="4735" spans="1:5" s="103" customFormat="1" ht="13.2" hidden="1" outlineLevel="1" x14ac:dyDescent="0.25">
      <c r="A4735" s="106" t="s">
        <v>9482</v>
      </c>
      <c r="B4735" s="106" t="s">
        <v>9483</v>
      </c>
      <c r="C4735" s="106"/>
      <c r="D4735" s="106"/>
      <c r="E4735" s="52"/>
    </row>
    <row r="4736" spans="1:5" s="103" customFormat="1" ht="13.2" hidden="1" outlineLevel="1" x14ac:dyDescent="0.25">
      <c r="A4736" s="106" t="s">
        <v>9484</v>
      </c>
      <c r="B4736" s="106" t="s">
        <v>9485</v>
      </c>
      <c r="C4736" s="106"/>
      <c r="D4736" s="106"/>
      <c r="E4736" s="52"/>
    </row>
    <row r="4737" spans="1:5" s="103" customFormat="1" ht="13.2" hidden="1" outlineLevel="1" x14ac:dyDescent="0.25">
      <c r="A4737" s="106" t="s">
        <v>9486</v>
      </c>
      <c r="B4737" s="106" t="s">
        <v>9487</v>
      </c>
      <c r="C4737" s="106"/>
      <c r="D4737" s="106"/>
      <c r="E4737" s="52"/>
    </row>
    <row r="4738" spans="1:5" s="103" customFormat="1" ht="13.2" hidden="1" outlineLevel="1" x14ac:dyDescent="0.25">
      <c r="A4738" s="106" t="s">
        <v>9488</v>
      </c>
      <c r="B4738" s="106" t="s">
        <v>9489</v>
      </c>
      <c r="C4738" s="106"/>
      <c r="D4738" s="106"/>
      <c r="E4738" s="52"/>
    </row>
    <row r="4739" spans="1:5" s="103" customFormat="1" ht="13.2" hidden="1" outlineLevel="1" x14ac:dyDescent="0.25">
      <c r="A4739" s="106" t="s">
        <v>9490</v>
      </c>
      <c r="B4739" s="106" t="s">
        <v>9491</v>
      </c>
      <c r="C4739" s="106"/>
      <c r="D4739" s="106"/>
      <c r="E4739" s="52"/>
    </row>
    <row r="4740" spans="1:5" s="103" customFormat="1" ht="13.2" hidden="1" outlineLevel="1" x14ac:dyDescent="0.25">
      <c r="A4740" s="106" t="s">
        <v>9492</v>
      </c>
      <c r="B4740" s="106" t="s">
        <v>9493</v>
      </c>
      <c r="C4740" s="106"/>
      <c r="D4740" s="106"/>
      <c r="E4740" s="52"/>
    </row>
    <row r="4741" spans="1:5" s="103" customFormat="1" ht="13.2" hidden="1" outlineLevel="1" x14ac:dyDescent="0.25">
      <c r="A4741" s="106" t="s">
        <v>9494</v>
      </c>
      <c r="B4741" s="106" t="s">
        <v>9495</v>
      </c>
      <c r="C4741" s="106"/>
      <c r="D4741" s="106"/>
      <c r="E4741" s="52"/>
    </row>
    <row r="4742" spans="1:5" s="103" customFormat="1" ht="13.2" hidden="1" outlineLevel="1" x14ac:dyDescent="0.25">
      <c r="A4742" s="106" t="s">
        <v>9496</v>
      </c>
      <c r="B4742" s="106" t="s">
        <v>9497</v>
      </c>
      <c r="C4742" s="106"/>
      <c r="D4742" s="106"/>
      <c r="E4742" s="52"/>
    </row>
    <row r="4743" spans="1:5" s="103" customFormat="1" ht="13.2" hidden="1" outlineLevel="1" x14ac:dyDescent="0.25">
      <c r="A4743" s="106" t="s">
        <v>9498</v>
      </c>
      <c r="B4743" s="106" t="s">
        <v>9499</v>
      </c>
      <c r="C4743" s="106"/>
      <c r="D4743" s="106"/>
      <c r="E4743" s="52"/>
    </row>
    <row r="4744" spans="1:5" s="103" customFormat="1" ht="13.2" hidden="1" outlineLevel="1" x14ac:dyDescent="0.25">
      <c r="A4744" s="106" t="s">
        <v>9500</v>
      </c>
      <c r="B4744" s="106" t="s">
        <v>9501</v>
      </c>
      <c r="C4744" s="106"/>
      <c r="D4744" s="106"/>
      <c r="E4744" s="52"/>
    </row>
    <row r="4745" spans="1:5" s="103" customFormat="1" ht="13.2" hidden="1" outlineLevel="1" x14ac:dyDescent="0.25">
      <c r="A4745" s="106" t="s">
        <v>9502</v>
      </c>
      <c r="B4745" s="106" t="s">
        <v>9503</v>
      </c>
      <c r="C4745" s="106"/>
      <c r="D4745" s="106"/>
      <c r="E4745" s="52"/>
    </row>
    <row r="4746" spans="1:5" s="103" customFormat="1" ht="13.2" hidden="1" outlineLevel="1" x14ac:dyDescent="0.25">
      <c r="A4746" s="106" t="s">
        <v>9504</v>
      </c>
      <c r="B4746" s="106" t="s">
        <v>9505</v>
      </c>
      <c r="C4746" s="106"/>
      <c r="D4746" s="106"/>
      <c r="E4746" s="52"/>
    </row>
    <row r="4747" spans="1:5" s="103" customFormat="1" ht="13.2" hidden="1" outlineLevel="1" x14ac:dyDescent="0.25">
      <c r="A4747" s="106" t="s">
        <v>9506</v>
      </c>
      <c r="B4747" s="106" t="s">
        <v>9507</v>
      </c>
      <c r="C4747" s="106"/>
      <c r="D4747" s="106"/>
      <c r="E4747" s="52"/>
    </row>
    <row r="4748" spans="1:5" s="103" customFormat="1" ht="13.2" hidden="1" outlineLevel="1" x14ac:dyDescent="0.25">
      <c r="A4748" s="106" t="s">
        <v>9508</v>
      </c>
      <c r="B4748" s="106" t="s">
        <v>9509</v>
      </c>
      <c r="C4748" s="106"/>
      <c r="D4748" s="106"/>
      <c r="E4748" s="52"/>
    </row>
    <row r="4749" spans="1:5" s="103" customFormat="1" ht="13.2" hidden="1" outlineLevel="1" x14ac:dyDescent="0.25">
      <c r="A4749" s="106" t="s">
        <v>9510</v>
      </c>
      <c r="B4749" s="106" t="s">
        <v>9511</v>
      </c>
      <c r="C4749" s="106"/>
      <c r="D4749" s="106"/>
      <c r="E4749" s="52"/>
    </row>
    <row r="4750" spans="1:5" s="103" customFormat="1" ht="13.2" hidden="1" outlineLevel="1" x14ac:dyDescent="0.25">
      <c r="A4750" s="106" t="s">
        <v>9512</v>
      </c>
      <c r="B4750" s="106" t="s">
        <v>9513</v>
      </c>
      <c r="C4750" s="106"/>
      <c r="D4750" s="106"/>
      <c r="E4750" s="52"/>
    </row>
    <row r="4751" spans="1:5" s="103" customFormat="1" ht="13.2" hidden="1" outlineLevel="1" x14ac:dyDescent="0.25">
      <c r="A4751" s="106" t="s">
        <v>9514</v>
      </c>
      <c r="B4751" s="106" t="s">
        <v>9515</v>
      </c>
      <c r="C4751" s="106"/>
      <c r="D4751" s="106"/>
      <c r="E4751" s="52"/>
    </row>
    <row r="4752" spans="1:5" s="103" customFormat="1" ht="13.2" hidden="1" outlineLevel="1" x14ac:dyDescent="0.25">
      <c r="A4752" s="106" t="s">
        <v>9516</v>
      </c>
      <c r="B4752" s="106" t="s">
        <v>9517</v>
      </c>
      <c r="C4752" s="106"/>
      <c r="D4752" s="106"/>
      <c r="E4752" s="52"/>
    </row>
    <row r="4753" spans="1:5" s="103" customFormat="1" ht="13.2" hidden="1" outlineLevel="1" x14ac:dyDescent="0.25">
      <c r="A4753" s="106" t="s">
        <v>9518</v>
      </c>
      <c r="B4753" s="106" t="s">
        <v>9519</v>
      </c>
      <c r="C4753" s="106"/>
      <c r="D4753" s="106"/>
      <c r="E4753" s="52"/>
    </row>
    <row r="4754" spans="1:5" s="103" customFormat="1" ht="13.2" hidden="1" outlineLevel="1" x14ac:dyDescent="0.25">
      <c r="A4754" s="106" t="s">
        <v>9520</v>
      </c>
      <c r="B4754" s="106" t="s">
        <v>9521</v>
      </c>
      <c r="C4754" s="106"/>
      <c r="D4754" s="106"/>
      <c r="E4754" s="52"/>
    </row>
    <row r="4755" spans="1:5" s="103" customFormat="1" ht="13.2" hidden="1" outlineLevel="1" x14ac:dyDescent="0.25">
      <c r="A4755" s="106" t="s">
        <v>9522</v>
      </c>
      <c r="B4755" s="106" t="s">
        <v>9523</v>
      </c>
      <c r="C4755" s="106"/>
      <c r="D4755" s="106"/>
      <c r="E4755" s="52"/>
    </row>
    <row r="4756" spans="1:5" s="103" customFormat="1" ht="13.2" hidden="1" outlineLevel="1" x14ac:dyDescent="0.25">
      <c r="A4756" s="106" t="s">
        <v>9524</v>
      </c>
      <c r="B4756" s="106" t="s">
        <v>9525</v>
      </c>
      <c r="C4756" s="106"/>
      <c r="D4756" s="106"/>
      <c r="E4756" s="52"/>
    </row>
    <row r="4757" spans="1:5" s="103" customFormat="1" ht="13.2" hidden="1" outlineLevel="1" x14ac:dyDescent="0.25">
      <c r="A4757" s="106" t="s">
        <v>9526</v>
      </c>
      <c r="B4757" s="106" t="s">
        <v>9527</v>
      </c>
      <c r="C4757" s="106"/>
      <c r="D4757" s="106"/>
      <c r="E4757" s="52"/>
    </row>
    <row r="4758" spans="1:5" s="103" customFormat="1" ht="13.2" hidden="1" outlineLevel="1" x14ac:dyDescent="0.25">
      <c r="A4758" s="106" t="s">
        <v>9528</v>
      </c>
      <c r="B4758" s="106" t="s">
        <v>9529</v>
      </c>
      <c r="C4758" s="106"/>
      <c r="D4758" s="106"/>
      <c r="E4758" s="52"/>
    </row>
    <row r="4759" spans="1:5" s="103" customFormat="1" ht="13.2" hidden="1" outlineLevel="1" x14ac:dyDescent="0.25">
      <c r="A4759" s="106" t="s">
        <v>9530</v>
      </c>
      <c r="B4759" s="106" t="s">
        <v>9531</v>
      </c>
      <c r="C4759" s="106"/>
      <c r="D4759" s="106"/>
      <c r="E4759" s="52"/>
    </row>
    <row r="4760" spans="1:5" s="103" customFormat="1" ht="13.2" hidden="1" outlineLevel="1" x14ac:dyDescent="0.25">
      <c r="A4760" s="106" t="s">
        <v>9532</v>
      </c>
      <c r="B4760" s="106" t="s">
        <v>9533</v>
      </c>
      <c r="C4760" s="106"/>
      <c r="D4760" s="106"/>
      <c r="E4760" s="52"/>
    </row>
    <row r="4761" spans="1:5" s="103" customFormat="1" ht="13.2" hidden="1" outlineLevel="1" x14ac:dyDescent="0.25">
      <c r="A4761" s="106" t="s">
        <v>9534</v>
      </c>
      <c r="B4761" s="106" t="s">
        <v>9535</v>
      </c>
      <c r="C4761" s="106"/>
      <c r="D4761" s="106"/>
      <c r="E4761" s="52"/>
    </row>
    <row r="4762" spans="1:5" s="103" customFormat="1" ht="13.2" hidden="1" outlineLevel="1" x14ac:dyDescent="0.25">
      <c r="A4762" s="106" t="s">
        <v>9536</v>
      </c>
      <c r="B4762" s="106" t="s">
        <v>9537</v>
      </c>
      <c r="C4762" s="106"/>
      <c r="D4762" s="106"/>
      <c r="E4762" s="52"/>
    </row>
    <row r="4763" spans="1:5" s="103" customFormat="1" ht="13.2" hidden="1" outlineLevel="1" x14ac:dyDescent="0.25">
      <c r="A4763" s="106" t="s">
        <v>9538</v>
      </c>
      <c r="B4763" s="106" t="s">
        <v>9539</v>
      </c>
      <c r="C4763" s="106"/>
      <c r="D4763" s="106"/>
      <c r="E4763" s="52"/>
    </row>
    <row r="4764" spans="1:5" s="103" customFormat="1" ht="13.2" hidden="1" outlineLevel="1" x14ac:dyDescent="0.25">
      <c r="A4764" s="106" t="s">
        <v>9540</v>
      </c>
      <c r="B4764" s="106" t="s">
        <v>9541</v>
      </c>
      <c r="C4764" s="106"/>
      <c r="D4764" s="106"/>
      <c r="E4764" s="52"/>
    </row>
    <row r="4765" spans="1:5" s="103" customFormat="1" ht="13.2" hidden="1" outlineLevel="1" x14ac:dyDescent="0.25">
      <c r="A4765" s="106" t="s">
        <v>9542</v>
      </c>
      <c r="B4765" s="106" t="s">
        <v>9543</v>
      </c>
      <c r="C4765" s="106"/>
      <c r="D4765" s="106"/>
      <c r="E4765" s="52"/>
    </row>
    <row r="4766" spans="1:5" s="103" customFormat="1" ht="13.2" hidden="1" outlineLevel="1" x14ac:dyDescent="0.25">
      <c r="A4766" s="106" t="s">
        <v>9544</v>
      </c>
      <c r="B4766" s="106" t="s">
        <v>9545</v>
      </c>
      <c r="C4766" s="106"/>
      <c r="D4766" s="106"/>
      <c r="E4766" s="52"/>
    </row>
    <row r="4767" spans="1:5" s="103" customFormat="1" ht="13.2" hidden="1" outlineLevel="1" x14ac:dyDescent="0.25">
      <c r="A4767" s="106" t="s">
        <v>9546</v>
      </c>
      <c r="B4767" s="106" t="s">
        <v>9547</v>
      </c>
      <c r="C4767" s="106"/>
      <c r="D4767" s="106"/>
      <c r="E4767" s="52"/>
    </row>
    <row r="4768" spans="1:5" s="103" customFormat="1" ht="13.2" hidden="1" outlineLevel="1" x14ac:dyDescent="0.25">
      <c r="A4768" s="106" t="s">
        <v>9548</v>
      </c>
      <c r="B4768" s="106" t="s">
        <v>9549</v>
      </c>
      <c r="C4768" s="106"/>
      <c r="D4768" s="106"/>
      <c r="E4768" s="52"/>
    </row>
    <row r="4769" spans="1:5" s="103" customFormat="1" ht="13.2" hidden="1" outlineLevel="1" x14ac:dyDescent="0.25">
      <c r="A4769" s="106" t="s">
        <v>9550</v>
      </c>
      <c r="B4769" s="106" t="s">
        <v>9551</v>
      </c>
      <c r="C4769" s="106"/>
      <c r="D4769" s="106"/>
      <c r="E4769" s="52"/>
    </row>
    <row r="4770" spans="1:5" s="103" customFormat="1" ht="13.2" hidden="1" outlineLevel="1" x14ac:dyDescent="0.25">
      <c r="A4770" s="106" t="s">
        <v>9552</v>
      </c>
      <c r="B4770" s="106" t="s">
        <v>9553</v>
      </c>
      <c r="C4770" s="106"/>
      <c r="D4770" s="106"/>
      <c r="E4770" s="52"/>
    </row>
    <row r="4771" spans="1:5" s="103" customFormat="1" ht="13.2" hidden="1" outlineLevel="1" x14ac:dyDescent="0.25">
      <c r="A4771" s="106" t="s">
        <v>9554</v>
      </c>
      <c r="B4771" s="106" t="s">
        <v>9555</v>
      </c>
      <c r="C4771" s="106"/>
      <c r="D4771" s="106"/>
      <c r="E4771" s="52"/>
    </row>
    <row r="4772" spans="1:5" s="103" customFormat="1" ht="13.2" hidden="1" outlineLevel="1" x14ac:dyDescent="0.25">
      <c r="A4772" s="106" t="s">
        <v>9556</v>
      </c>
      <c r="B4772" s="106" t="s">
        <v>9557</v>
      </c>
      <c r="C4772" s="106"/>
      <c r="D4772" s="106"/>
      <c r="E4772" s="52"/>
    </row>
    <row r="4773" spans="1:5" s="103" customFormat="1" ht="13.2" hidden="1" outlineLevel="1" x14ac:dyDescent="0.25">
      <c r="A4773" s="106" t="s">
        <v>9558</v>
      </c>
      <c r="B4773" s="106" t="s">
        <v>9559</v>
      </c>
      <c r="C4773" s="106"/>
      <c r="D4773" s="106"/>
      <c r="E4773" s="52"/>
    </row>
    <row r="4774" spans="1:5" s="103" customFormat="1" ht="13.2" hidden="1" outlineLevel="1" x14ac:dyDescent="0.25">
      <c r="A4774" s="106" t="s">
        <v>9560</v>
      </c>
      <c r="B4774" s="106" t="s">
        <v>9561</v>
      </c>
      <c r="C4774" s="106"/>
      <c r="D4774" s="106"/>
      <c r="E4774" s="52"/>
    </row>
    <row r="4775" spans="1:5" s="103" customFormat="1" ht="13.2" hidden="1" outlineLevel="1" x14ac:dyDescent="0.25">
      <c r="A4775" s="106" t="s">
        <v>9562</v>
      </c>
      <c r="B4775" s="106" t="s">
        <v>9563</v>
      </c>
      <c r="C4775" s="106"/>
      <c r="D4775" s="106"/>
      <c r="E4775" s="52"/>
    </row>
    <row r="4776" spans="1:5" s="103" customFormat="1" ht="13.2" hidden="1" outlineLevel="1" x14ac:dyDescent="0.25">
      <c r="A4776" s="106" t="s">
        <v>9564</v>
      </c>
      <c r="B4776" s="106" t="s">
        <v>9565</v>
      </c>
      <c r="C4776" s="106"/>
      <c r="D4776" s="106"/>
      <c r="E4776" s="52"/>
    </row>
    <row r="4777" spans="1:5" s="103" customFormat="1" ht="13.2" hidden="1" outlineLevel="1" x14ac:dyDescent="0.25">
      <c r="A4777" s="106" t="s">
        <v>9566</v>
      </c>
      <c r="B4777" s="106" t="s">
        <v>9567</v>
      </c>
      <c r="C4777" s="106"/>
      <c r="D4777" s="106"/>
      <c r="E4777" s="52"/>
    </row>
    <row r="4778" spans="1:5" s="103" customFormat="1" ht="13.2" hidden="1" outlineLevel="1" x14ac:dyDescent="0.25">
      <c r="A4778" s="106" t="s">
        <v>9568</v>
      </c>
      <c r="B4778" s="106" t="s">
        <v>9569</v>
      </c>
      <c r="C4778" s="106"/>
      <c r="D4778" s="106"/>
      <c r="E4778" s="52"/>
    </row>
    <row r="4779" spans="1:5" s="103" customFormat="1" ht="13.2" hidden="1" outlineLevel="1" x14ac:dyDescent="0.25">
      <c r="A4779" s="106" t="s">
        <v>9570</v>
      </c>
      <c r="B4779" s="106" t="s">
        <v>9571</v>
      </c>
      <c r="C4779" s="106"/>
      <c r="D4779" s="106"/>
      <c r="E4779" s="52"/>
    </row>
    <row r="4780" spans="1:5" s="103" customFormat="1" ht="13.2" hidden="1" outlineLevel="1" x14ac:dyDescent="0.25">
      <c r="A4780" s="106" t="s">
        <v>9572</v>
      </c>
      <c r="B4780" s="106" t="s">
        <v>9573</v>
      </c>
      <c r="C4780" s="106"/>
      <c r="D4780" s="106"/>
      <c r="E4780" s="52"/>
    </row>
    <row r="4781" spans="1:5" s="103" customFormat="1" ht="13.2" hidden="1" outlineLevel="1" x14ac:dyDescent="0.25">
      <c r="A4781" s="106" t="s">
        <v>9574</v>
      </c>
      <c r="B4781" s="106" t="s">
        <v>9575</v>
      </c>
      <c r="C4781" s="106"/>
      <c r="D4781" s="106"/>
      <c r="E4781" s="52"/>
    </row>
    <row r="4782" spans="1:5" s="103" customFormat="1" ht="13.2" hidden="1" outlineLevel="1" x14ac:dyDescent="0.25">
      <c r="A4782" s="106" t="s">
        <v>9576</v>
      </c>
      <c r="B4782" s="106" t="s">
        <v>9577</v>
      </c>
      <c r="C4782" s="106"/>
      <c r="D4782" s="106"/>
      <c r="E4782" s="52"/>
    </row>
    <row r="4783" spans="1:5" s="103" customFormat="1" ht="13.2" hidden="1" outlineLevel="1" x14ac:dyDescent="0.25">
      <c r="A4783" s="106" t="s">
        <v>9578</v>
      </c>
      <c r="B4783" s="106" t="s">
        <v>9579</v>
      </c>
      <c r="C4783" s="106"/>
      <c r="D4783" s="106"/>
      <c r="E4783" s="52"/>
    </row>
    <row r="4784" spans="1:5" s="103" customFormat="1" ht="13.2" hidden="1" outlineLevel="1" x14ac:dyDescent="0.25">
      <c r="A4784" s="106" t="s">
        <v>9580</v>
      </c>
      <c r="B4784" s="106" t="s">
        <v>9581</v>
      </c>
      <c r="C4784" s="106"/>
      <c r="D4784" s="106"/>
      <c r="E4784" s="52"/>
    </row>
    <row r="4785" spans="1:5" s="103" customFormat="1" ht="13.2" hidden="1" outlineLevel="1" x14ac:dyDescent="0.25">
      <c r="A4785" s="106" t="s">
        <v>9582</v>
      </c>
      <c r="B4785" s="106" t="s">
        <v>9583</v>
      </c>
      <c r="C4785" s="106"/>
      <c r="D4785" s="106"/>
      <c r="E4785" s="52"/>
    </row>
    <row r="4786" spans="1:5" s="103" customFormat="1" ht="13.2" hidden="1" outlineLevel="1" x14ac:dyDescent="0.25">
      <c r="A4786" s="106" t="s">
        <v>9584</v>
      </c>
      <c r="B4786" s="106" t="s">
        <v>9585</v>
      </c>
      <c r="C4786" s="106"/>
      <c r="D4786" s="106"/>
      <c r="E4786" s="52"/>
    </row>
    <row r="4787" spans="1:5" s="103" customFormat="1" ht="13.2" hidden="1" outlineLevel="1" x14ac:dyDescent="0.25">
      <c r="A4787" s="106" t="s">
        <v>9586</v>
      </c>
      <c r="B4787" s="106" t="s">
        <v>9587</v>
      </c>
      <c r="C4787" s="106"/>
      <c r="D4787" s="106"/>
      <c r="E4787" s="52"/>
    </row>
    <row r="4788" spans="1:5" s="103" customFormat="1" ht="13.2" hidden="1" outlineLevel="1" x14ac:dyDescent="0.25">
      <c r="A4788" s="106" t="s">
        <v>9588</v>
      </c>
      <c r="B4788" s="106" t="s">
        <v>9589</v>
      </c>
      <c r="C4788" s="106"/>
      <c r="D4788" s="106"/>
      <c r="E4788" s="52"/>
    </row>
    <row r="4789" spans="1:5" s="103" customFormat="1" ht="13.2" hidden="1" outlineLevel="1" x14ac:dyDescent="0.25">
      <c r="A4789" s="106" t="s">
        <v>9590</v>
      </c>
      <c r="B4789" s="106" t="s">
        <v>9591</v>
      </c>
      <c r="C4789" s="106"/>
      <c r="D4789" s="106"/>
      <c r="E4789" s="52"/>
    </row>
    <row r="4790" spans="1:5" s="103" customFormat="1" ht="13.2" hidden="1" outlineLevel="1" x14ac:dyDescent="0.25">
      <c r="A4790" s="106" t="s">
        <v>9592</v>
      </c>
      <c r="B4790" s="106" t="s">
        <v>9593</v>
      </c>
      <c r="C4790" s="106"/>
      <c r="D4790" s="106"/>
      <c r="E4790" s="52"/>
    </row>
    <row r="4791" spans="1:5" s="103" customFormat="1" ht="13.2" hidden="1" outlineLevel="1" x14ac:dyDescent="0.25">
      <c r="A4791" s="106" t="s">
        <v>9594</v>
      </c>
      <c r="B4791" s="106" t="s">
        <v>9595</v>
      </c>
      <c r="C4791" s="106"/>
      <c r="D4791" s="106"/>
      <c r="E4791" s="52"/>
    </row>
    <row r="4792" spans="1:5" s="103" customFormat="1" ht="13.2" hidden="1" outlineLevel="1" x14ac:dyDescent="0.25">
      <c r="A4792" s="106" t="s">
        <v>9596</v>
      </c>
      <c r="B4792" s="106" t="s">
        <v>9597</v>
      </c>
      <c r="C4792" s="106"/>
      <c r="D4792" s="106"/>
      <c r="E4792" s="52"/>
    </row>
    <row r="4793" spans="1:5" s="103" customFormat="1" ht="13.2" hidden="1" outlineLevel="1" x14ac:dyDescent="0.25">
      <c r="A4793" s="106" t="s">
        <v>9598</v>
      </c>
      <c r="B4793" s="106" t="s">
        <v>9599</v>
      </c>
      <c r="C4793" s="106"/>
      <c r="D4793" s="106"/>
      <c r="E4793" s="52"/>
    </row>
    <row r="4794" spans="1:5" s="103" customFormat="1" ht="13.2" hidden="1" outlineLevel="1" x14ac:dyDescent="0.25">
      <c r="A4794" s="106" t="s">
        <v>9600</v>
      </c>
      <c r="B4794" s="106" t="s">
        <v>9601</v>
      </c>
      <c r="C4794" s="106"/>
      <c r="D4794" s="106"/>
      <c r="E4794" s="52"/>
    </row>
    <row r="4795" spans="1:5" s="103" customFormat="1" ht="13.2" hidden="1" outlineLevel="1" x14ac:dyDescent="0.25">
      <c r="A4795" s="106" t="s">
        <v>9602</v>
      </c>
      <c r="B4795" s="106" t="s">
        <v>9603</v>
      </c>
      <c r="C4795" s="106"/>
      <c r="D4795" s="106"/>
      <c r="E4795" s="52"/>
    </row>
    <row r="4796" spans="1:5" s="103" customFormat="1" ht="13.2" hidden="1" outlineLevel="1" x14ac:dyDescent="0.25">
      <c r="A4796" s="106" t="s">
        <v>9604</v>
      </c>
      <c r="B4796" s="106" t="s">
        <v>9605</v>
      </c>
      <c r="C4796" s="106"/>
      <c r="D4796" s="106"/>
      <c r="E4796" s="52"/>
    </row>
    <row r="4797" spans="1:5" s="103" customFormat="1" ht="13.2" hidden="1" outlineLevel="1" x14ac:dyDescent="0.25">
      <c r="A4797" s="106" t="s">
        <v>9606</v>
      </c>
      <c r="B4797" s="106" t="s">
        <v>9607</v>
      </c>
      <c r="C4797" s="106"/>
      <c r="D4797" s="106"/>
      <c r="E4797" s="52"/>
    </row>
    <row r="4798" spans="1:5" s="103" customFormat="1" ht="13.2" hidden="1" outlineLevel="1" x14ac:dyDescent="0.25">
      <c r="A4798" s="106" t="s">
        <v>9608</v>
      </c>
      <c r="B4798" s="106" t="s">
        <v>9609</v>
      </c>
      <c r="C4798" s="106"/>
      <c r="D4798" s="106"/>
      <c r="E4798" s="52"/>
    </row>
    <row r="4799" spans="1:5" s="103" customFormat="1" ht="13.2" hidden="1" outlineLevel="1" x14ac:dyDescent="0.25">
      <c r="A4799" s="106" t="s">
        <v>9610</v>
      </c>
      <c r="B4799" s="106" t="s">
        <v>9611</v>
      </c>
      <c r="C4799" s="106"/>
      <c r="D4799" s="106"/>
      <c r="E4799" s="52"/>
    </row>
    <row r="4800" spans="1:5" s="103" customFormat="1" ht="13.2" hidden="1" outlineLevel="1" x14ac:dyDescent="0.25">
      <c r="A4800" s="106" t="s">
        <v>9612</v>
      </c>
      <c r="B4800" s="106" t="s">
        <v>9613</v>
      </c>
      <c r="C4800" s="106"/>
      <c r="D4800" s="106"/>
      <c r="E4800" s="52"/>
    </row>
    <row r="4801" spans="1:5" s="103" customFormat="1" ht="13.2" hidden="1" outlineLevel="1" x14ac:dyDescent="0.25">
      <c r="A4801" s="106" t="s">
        <v>9614</v>
      </c>
      <c r="B4801" s="106" t="s">
        <v>9615</v>
      </c>
      <c r="C4801" s="106"/>
      <c r="D4801" s="106"/>
      <c r="E4801" s="52"/>
    </row>
    <row r="4802" spans="1:5" s="103" customFormat="1" ht="13.2" hidden="1" outlineLevel="1" x14ac:dyDescent="0.25">
      <c r="A4802" s="106" t="s">
        <v>9616</v>
      </c>
      <c r="B4802" s="106" t="s">
        <v>9617</v>
      </c>
      <c r="C4802" s="106"/>
      <c r="D4802" s="106"/>
      <c r="E4802" s="52"/>
    </row>
    <row r="4803" spans="1:5" s="103" customFormat="1" ht="13.2" hidden="1" outlineLevel="1" x14ac:dyDescent="0.25">
      <c r="A4803" s="106" t="s">
        <v>9618</v>
      </c>
      <c r="B4803" s="106" t="s">
        <v>9619</v>
      </c>
      <c r="C4803" s="106"/>
      <c r="D4803" s="106"/>
      <c r="E4803" s="52"/>
    </row>
    <row r="4804" spans="1:5" s="103" customFormat="1" ht="13.2" hidden="1" outlineLevel="1" x14ac:dyDescent="0.25">
      <c r="A4804" s="106" t="s">
        <v>9620</v>
      </c>
      <c r="B4804" s="106" t="s">
        <v>9621</v>
      </c>
      <c r="C4804" s="106"/>
      <c r="D4804" s="106"/>
      <c r="E4804" s="52"/>
    </row>
    <row r="4805" spans="1:5" s="103" customFormat="1" ht="13.2" hidden="1" outlineLevel="1" x14ac:dyDescent="0.25">
      <c r="A4805" s="106" t="s">
        <v>9622</v>
      </c>
      <c r="B4805" s="106" t="s">
        <v>9623</v>
      </c>
      <c r="C4805" s="106"/>
      <c r="D4805" s="106"/>
      <c r="E4805" s="52"/>
    </row>
    <row r="4806" spans="1:5" s="103" customFormat="1" ht="13.2" hidden="1" outlineLevel="1" x14ac:dyDescent="0.25">
      <c r="A4806" s="106" t="s">
        <v>9624</v>
      </c>
      <c r="B4806" s="106" t="s">
        <v>9625</v>
      </c>
      <c r="C4806" s="106"/>
      <c r="D4806" s="106"/>
      <c r="E4806" s="52"/>
    </row>
    <row r="4807" spans="1:5" s="103" customFormat="1" ht="13.2" hidden="1" outlineLevel="1" x14ac:dyDescent="0.25">
      <c r="A4807" s="106" t="s">
        <v>9626</v>
      </c>
      <c r="B4807" s="106" t="s">
        <v>9627</v>
      </c>
      <c r="C4807" s="106"/>
      <c r="D4807" s="106"/>
      <c r="E4807" s="52"/>
    </row>
    <row r="4808" spans="1:5" s="103" customFormat="1" ht="13.2" hidden="1" outlineLevel="1" x14ac:dyDescent="0.25">
      <c r="A4808" s="106" t="s">
        <v>9628</v>
      </c>
      <c r="B4808" s="106" t="s">
        <v>9629</v>
      </c>
      <c r="C4808" s="106"/>
      <c r="D4808" s="106"/>
      <c r="E4808" s="52"/>
    </row>
    <row r="4809" spans="1:5" s="103" customFormat="1" ht="13.2" hidden="1" outlineLevel="1" x14ac:dyDescent="0.25">
      <c r="A4809" s="106" t="s">
        <v>9630</v>
      </c>
      <c r="B4809" s="106" t="s">
        <v>9631</v>
      </c>
      <c r="C4809" s="106"/>
      <c r="D4809" s="106"/>
      <c r="E4809" s="52"/>
    </row>
    <row r="4810" spans="1:5" s="103" customFormat="1" ht="13.2" hidden="1" outlineLevel="1" x14ac:dyDescent="0.25">
      <c r="A4810" s="106" t="s">
        <v>9632</v>
      </c>
      <c r="B4810" s="106" t="s">
        <v>9633</v>
      </c>
      <c r="C4810" s="106"/>
      <c r="D4810" s="106"/>
      <c r="E4810" s="52"/>
    </row>
    <row r="4811" spans="1:5" s="103" customFormat="1" ht="13.2" hidden="1" outlineLevel="1" x14ac:dyDescent="0.25">
      <c r="A4811" s="106" t="s">
        <v>9634</v>
      </c>
      <c r="B4811" s="106" t="s">
        <v>9635</v>
      </c>
      <c r="C4811" s="106"/>
      <c r="D4811" s="106"/>
      <c r="E4811" s="52"/>
    </row>
    <row r="4812" spans="1:5" s="103" customFormat="1" ht="13.2" hidden="1" outlineLevel="1" x14ac:dyDescent="0.25">
      <c r="A4812" s="106" t="s">
        <v>9636</v>
      </c>
      <c r="B4812" s="106" t="s">
        <v>9637</v>
      </c>
      <c r="C4812" s="106"/>
      <c r="D4812" s="106"/>
      <c r="E4812" s="52"/>
    </row>
    <row r="4813" spans="1:5" s="103" customFormat="1" ht="13.2" hidden="1" outlineLevel="1" x14ac:dyDescent="0.25">
      <c r="A4813" s="106" t="s">
        <v>9638</v>
      </c>
      <c r="B4813" s="106" t="s">
        <v>9639</v>
      </c>
      <c r="C4813" s="106"/>
      <c r="D4813" s="106"/>
      <c r="E4813" s="52"/>
    </row>
    <row r="4814" spans="1:5" s="103" customFormat="1" ht="13.2" hidden="1" outlineLevel="1" x14ac:dyDescent="0.25">
      <c r="A4814" s="106" t="s">
        <v>9640</v>
      </c>
      <c r="B4814" s="106" t="s">
        <v>9641</v>
      </c>
      <c r="C4814" s="106"/>
      <c r="D4814" s="106"/>
      <c r="E4814" s="52"/>
    </row>
    <row r="4815" spans="1:5" s="103" customFormat="1" ht="13.2" hidden="1" outlineLevel="1" x14ac:dyDescent="0.25">
      <c r="A4815" s="106" t="s">
        <v>9642</v>
      </c>
      <c r="B4815" s="106" t="s">
        <v>9643</v>
      </c>
      <c r="C4815" s="106"/>
      <c r="D4815" s="106"/>
      <c r="E4815" s="52"/>
    </row>
    <row r="4816" spans="1:5" s="103" customFormat="1" ht="13.2" hidden="1" outlineLevel="1" x14ac:dyDescent="0.25">
      <c r="A4816" s="106" t="s">
        <v>9644</v>
      </c>
      <c r="B4816" s="106" t="s">
        <v>9645</v>
      </c>
      <c r="C4816" s="106"/>
      <c r="D4816" s="106"/>
      <c r="E4816" s="52"/>
    </row>
    <row r="4817" spans="1:5" s="103" customFormat="1" ht="13.2" hidden="1" outlineLevel="1" x14ac:dyDescent="0.25">
      <c r="A4817" s="106" t="s">
        <v>9646</v>
      </c>
      <c r="B4817" s="106" t="s">
        <v>9647</v>
      </c>
      <c r="C4817" s="106"/>
      <c r="D4817" s="106"/>
      <c r="E4817" s="52"/>
    </row>
    <row r="4818" spans="1:5" s="103" customFormat="1" ht="13.2" hidden="1" outlineLevel="1" x14ac:dyDescent="0.25">
      <c r="A4818" s="106" t="s">
        <v>9648</v>
      </c>
      <c r="B4818" s="106" t="s">
        <v>9649</v>
      </c>
      <c r="C4818" s="106"/>
      <c r="D4818" s="106"/>
      <c r="E4818" s="52"/>
    </row>
    <row r="4819" spans="1:5" s="103" customFormat="1" ht="13.2" hidden="1" outlineLevel="1" x14ac:dyDescent="0.25">
      <c r="A4819" s="106" t="s">
        <v>9650</v>
      </c>
      <c r="B4819" s="106" t="s">
        <v>9651</v>
      </c>
      <c r="C4819" s="106"/>
      <c r="D4819" s="106"/>
      <c r="E4819" s="52"/>
    </row>
    <row r="4820" spans="1:5" s="103" customFormat="1" ht="13.2" hidden="1" outlineLevel="1" x14ac:dyDescent="0.25">
      <c r="A4820" s="106" t="s">
        <v>9652</v>
      </c>
      <c r="B4820" s="106" t="s">
        <v>9653</v>
      </c>
      <c r="C4820" s="106"/>
      <c r="D4820" s="106"/>
      <c r="E4820" s="52"/>
    </row>
    <row r="4821" spans="1:5" s="103" customFormat="1" ht="13.2" hidden="1" outlineLevel="1" x14ac:dyDescent="0.25">
      <c r="A4821" s="106" t="s">
        <v>9654</v>
      </c>
      <c r="B4821" s="106" t="s">
        <v>9655</v>
      </c>
      <c r="C4821" s="106"/>
      <c r="D4821" s="106"/>
      <c r="E4821" s="52"/>
    </row>
    <row r="4822" spans="1:5" s="103" customFormat="1" ht="13.2" hidden="1" outlineLevel="1" x14ac:dyDescent="0.25">
      <c r="A4822" s="106" t="s">
        <v>9656</v>
      </c>
      <c r="B4822" s="106" t="s">
        <v>9657</v>
      </c>
      <c r="C4822" s="106"/>
      <c r="D4822" s="106"/>
      <c r="E4822" s="52"/>
    </row>
    <row r="4823" spans="1:5" s="103" customFormat="1" ht="13.2" hidden="1" outlineLevel="1" x14ac:dyDescent="0.25">
      <c r="A4823" s="106" t="s">
        <v>9658</v>
      </c>
      <c r="B4823" s="106" t="s">
        <v>9659</v>
      </c>
      <c r="C4823" s="106"/>
      <c r="D4823" s="106"/>
      <c r="E4823" s="52"/>
    </row>
    <row r="4824" spans="1:5" s="103" customFormat="1" ht="13.2" hidden="1" outlineLevel="1" x14ac:dyDescent="0.25">
      <c r="A4824" s="106" t="s">
        <v>9660</v>
      </c>
      <c r="B4824" s="106" t="s">
        <v>9661</v>
      </c>
      <c r="C4824" s="106"/>
      <c r="D4824" s="106"/>
      <c r="E4824" s="52"/>
    </row>
    <row r="4825" spans="1:5" s="103" customFormat="1" ht="13.2" hidden="1" outlineLevel="1" x14ac:dyDescent="0.25">
      <c r="A4825" s="106" t="s">
        <v>9662</v>
      </c>
      <c r="B4825" s="106" t="s">
        <v>9663</v>
      </c>
      <c r="C4825" s="106"/>
      <c r="D4825" s="106"/>
      <c r="E4825" s="52"/>
    </row>
    <row r="4826" spans="1:5" s="103" customFormat="1" ht="13.2" hidden="1" outlineLevel="1" x14ac:dyDescent="0.25">
      <c r="A4826" s="106" t="s">
        <v>9664</v>
      </c>
      <c r="B4826" s="106" t="s">
        <v>9665</v>
      </c>
      <c r="C4826" s="106"/>
      <c r="D4826" s="106"/>
      <c r="E4826" s="52"/>
    </row>
    <row r="4827" spans="1:5" s="103" customFormat="1" ht="13.2" hidden="1" outlineLevel="1" x14ac:dyDescent="0.25">
      <c r="A4827" s="106" t="s">
        <v>9666</v>
      </c>
      <c r="B4827" s="106" t="s">
        <v>9667</v>
      </c>
      <c r="C4827" s="106"/>
      <c r="D4827" s="106"/>
      <c r="E4827" s="52"/>
    </row>
    <row r="4828" spans="1:5" s="103" customFormat="1" ht="13.2" hidden="1" outlineLevel="1" x14ac:dyDescent="0.25">
      <c r="A4828" s="106" t="s">
        <v>9668</v>
      </c>
      <c r="B4828" s="106" t="s">
        <v>9669</v>
      </c>
      <c r="C4828" s="106"/>
      <c r="D4828" s="106"/>
      <c r="E4828" s="52"/>
    </row>
    <row r="4829" spans="1:5" s="103" customFormat="1" ht="13.2" hidden="1" outlineLevel="1" x14ac:dyDescent="0.25">
      <c r="A4829" s="106" t="s">
        <v>9670</v>
      </c>
      <c r="B4829" s="106" t="s">
        <v>9671</v>
      </c>
      <c r="C4829" s="106"/>
      <c r="D4829" s="106"/>
      <c r="E4829" s="52"/>
    </row>
    <row r="4830" spans="1:5" s="103" customFormat="1" ht="13.2" hidden="1" outlineLevel="1" x14ac:dyDescent="0.25">
      <c r="A4830" s="106" t="s">
        <v>9672</v>
      </c>
      <c r="B4830" s="106" t="s">
        <v>9673</v>
      </c>
      <c r="C4830" s="106"/>
      <c r="D4830" s="106"/>
      <c r="E4830" s="52"/>
    </row>
    <row r="4831" spans="1:5" s="103" customFormat="1" ht="13.2" hidden="1" outlineLevel="1" x14ac:dyDescent="0.25">
      <c r="A4831" s="106" t="s">
        <v>9674</v>
      </c>
      <c r="B4831" s="106" t="s">
        <v>9675</v>
      </c>
      <c r="C4831" s="106"/>
      <c r="D4831" s="106"/>
      <c r="E4831" s="52"/>
    </row>
    <row r="4832" spans="1:5" s="103" customFormat="1" ht="13.2" hidden="1" outlineLevel="1" x14ac:dyDescent="0.25">
      <c r="A4832" s="106" t="s">
        <v>9676</v>
      </c>
      <c r="B4832" s="106" t="s">
        <v>9677</v>
      </c>
      <c r="C4832" s="106"/>
      <c r="D4832" s="106"/>
      <c r="E4832" s="52"/>
    </row>
    <row r="4833" spans="1:5" s="103" customFormat="1" ht="13.2" hidden="1" outlineLevel="1" x14ac:dyDescent="0.25">
      <c r="A4833" s="106" t="s">
        <v>9678</v>
      </c>
      <c r="B4833" s="106" t="s">
        <v>9679</v>
      </c>
      <c r="C4833" s="106"/>
      <c r="D4833" s="106"/>
      <c r="E4833" s="52"/>
    </row>
    <row r="4834" spans="1:5" s="103" customFormat="1" ht="13.2" hidden="1" outlineLevel="1" x14ac:dyDescent="0.25">
      <c r="A4834" s="106" t="s">
        <v>9680</v>
      </c>
      <c r="B4834" s="106" t="s">
        <v>9681</v>
      </c>
      <c r="C4834" s="106"/>
      <c r="D4834" s="106"/>
      <c r="E4834" s="52"/>
    </row>
    <row r="4835" spans="1:5" s="103" customFormat="1" ht="13.2" hidden="1" outlineLevel="1" x14ac:dyDescent="0.25">
      <c r="A4835" s="106" t="s">
        <v>9682</v>
      </c>
      <c r="B4835" s="106" t="s">
        <v>9683</v>
      </c>
      <c r="C4835" s="106"/>
      <c r="D4835" s="106"/>
      <c r="E4835" s="52"/>
    </row>
    <row r="4836" spans="1:5" s="103" customFormat="1" ht="13.2" hidden="1" outlineLevel="1" x14ac:dyDescent="0.25">
      <c r="A4836" s="106" t="s">
        <v>9684</v>
      </c>
      <c r="B4836" s="106" t="s">
        <v>9685</v>
      </c>
      <c r="C4836" s="106"/>
      <c r="D4836" s="106"/>
      <c r="E4836" s="52"/>
    </row>
    <row r="4837" spans="1:5" s="103" customFormat="1" ht="13.2" hidden="1" outlineLevel="1" x14ac:dyDescent="0.25">
      <c r="A4837" s="106" t="s">
        <v>9686</v>
      </c>
      <c r="B4837" s="106" t="s">
        <v>9687</v>
      </c>
      <c r="C4837" s="106"/>
      <c r="D4837" s="106"/>
      <c r="E4837" s="52"/>
    </row>
    <row r="4838" spans="1:5" s="103" customFormat="1" ht="13.2" hidden="1" outlineLevel="1" x14ac:dyDescent="0.25">
      <c r="A4838" s="106" t="s">
        <v>9688</v>
      </c>
      <c r="B4838" s="106" t="s">
        <v>9689</v>
      </c>
      <c r="C4838" s="106"/>
      <c r="D4838" s="106"/>
      <c r="E4838" s="52"/>
    </row>
    <row r="4839" spans="1:5" s="103" customFormat="1" ht="13.2" hidden="1" outlineLevel="1" x14ac:dyDescent="0.25">
      <c r="A4839" s="106" t="s">
        <v>9690</v>
      </c>
      <c r="B4839" s="106" t="s">
        <v>9691</v>
      </c>
      <c r="C4839" s="106"/>
      <c r="D4839" s="106"/>
      <c r="E4839" s="52"/>
    </row>
    <row r="4840" spans="1:5" s="103" customFormat="1" ht="13.2" hidden="1" outlineLevel="1" x14ac:dyDescent="0.25">
      <c r="A4840" s="106" t="s">
        <v>9692</v>
      </c>
      <c r="B4840" s="106" t="s">
        <v>9693</v>
      </c>
      <c r="C4840" s="106"/>
      <c r="D4840" s="106"/>
      <c r="E4840" s="52"/>
    </row>
    <row r="4841" spans="1:5" s="103" customFormat="1" ht="13.2" hidden="1" outlineLevel="1" x14ac:dyDescent="0.25">
      <c r="A4841" s="106" t="s">
        <v>9694</v>
      </c>
      <c r="B4841" s="106" t="s">
        <v>9695</v>
      </c>
      <c r="C4841" s="106"/>
      <c r="D4841" s="106"/>
      <c r="E4841" s="52"/>
    </row>
    <row r="4842" spans="1:5" s="103" customFormat="1" ht="13.2" hidden="1" outlineLevel="1" x14ac:dyDescent="0.25">
      <c r="A4842" s="106" t="s">
        <v>9696</v>
      </c>
      <c r="B4842" s="106" t="s">
        <v>9697</v>
      </c>
      <c r="C4842" s="106"/>
      <c r="D4842" s="106"/>
      <c r="E4842" s="52"/>
    </row>
    <row r="4843" spans="1:5" s="103" customFormat="1" ht="13.2" hidden="1" outlineLevel="1" x14ac:dyDescent="0.25">
      <c r="A4843" s="106" t="s">
        <v>9698</v>
      </c>
      <c r="B4843" s="106" t="s">
        <v>9699</v>
      </c>
      <c r="C4843" s="106"/>
      <c r="D4843" s="106"/>
      <c r="E4843" s="52"/>
    </row>
    <row r="4844" spans="1:5" s="103" customFormat="1" ht="13.2" hidden="1" outlineLevel="1" x14ac:dyDescent="0.25">
      <c r="A4844" s="106" t="s">
        <v>9700</v>
      </c>
      <c r="B4844" s="106" t="s">
        <v>9701</v>
      </c>
      <c r="C4844" s="106"/>
      <c r="D4844" s="106"/>
      <c r="E4844" s="52"/>
    </row>
    <row r="4845" spans="1:5" s="103" customFormat="1" ht="13.2" hidden="1" outlineLevel="1" x14ac:dyDescent="0.25">
      <c r="A4845" s="106" t="s">
        <v>9702</v>
      </c>
      <c r="B4845" s="106" t="s">
        <v>9703</v>
      </c>
      <c r="C4845" s="106"/>
      <c r="D4845" s="106"/>
      <c r="E4845" s="52"/>
    </row>
    <row r="4846" spans="1:5" s="103" customFormat="1" ht="13.2" hidden="1" outlineLevel="1" x14ac:dyDescent="0.25">
      <c r="A4846" s="106" t="s">
        <v>9704</v>
      </c>
      <c r="B4846" s="106" t="s">
        <v>9705</v>
      </c>
      <c r="C4846" s="106"/>
      <c r="D4846" s="106"/>
      <c r="E4846" s="52"/>
    </row>
    <row r="4847" spans="1:5" s="103" customFormat="1" ht="13.2" hidden="1" outlineLevel="1" x14ac:dyDescent="0.25">
      <c r="A4847" s="106" t="s">
        <v>9706</v>
      </c>
      <c r="B4847" s="106" t="s">
        <v>9707</v>
      </c>
      <c r="C4847" s="106"/>
      <c r="D4847" s="106"/>
      <c r="E4847" s="52"/>
    </row>
    <row r="4848" spans="1:5" s="103" customFormat="1" ht="13.2" hidden="1" outlineLevel="1" x14ac:dyDescent="0.25">
      <c r="A4848" s="106" t="s">
        <v>9708</v>
      </c>
      <c r="B4848" s="106" t="s">
        <v>9709</v>
      </c>
      <c r="C4848" s="106"/>
      <c r="D4848" s="106"/>
      <c r="E4848" s="52"/>
    </row>
    <row r="4849" spans="1:5" s="103" customFormat="1" ht="13.2" hidden="1" outlineLevel="1" x14ac:dyDescent="0.25">
      <c r="A4849" s="106" t="s">
        <v>9710</v>
      </c>
      <c r="B4849" s="106" t="s">
        <v>9711</v>
      </c>
      <c r="C4849" s="106"/>
      <c r="D4849" s="106"/>
      <c r="E4849" s="52"/>
    </row>
    <row r="4850" spans="1:5" s="103" customFormat="1" ht="13.2" hidden="1" outlineLevel="1" x14ac:dyDescent="0.25">
      <c r="A4850" s="106" t="s">
        <v>9712</v>
      </c>
      <c r="B4850" s="106" t="s">
        <v>9713</v>
      </c>
      <c r="C4850" s="106"/>
      <c r="D4850" s="106"/>
      <c r="E4850" s="52"/>
    </row>
    <row r="4851" spans="1:5" s="103" customFormat="1" ht="13.2" hidden="1" outlineLevel="1" x14ac:dyDescent="0.25">
      <c r="A4851" s="106" t="s">
        <v>9714</v>
      </c>
      <c r="B4851" s="106" t="s">
        <v>9715</v>
      </c>
      <c r="C4851" s="106"/>
      <c r="D4851" s="106"/>
      <c r="E4851" s="52"/>
    </row>
    <row r="4852" spans="1:5" s="103" customFormat="1" ht="13.2" hidden="1" outlineLevel="1" x14ac:dyDescent="0.25">
      <c r="A4852" s="106" t="s">
        <v>9716</v>
      </c>
      <c r="B4852" s="106" t="s">
        <v>9717</v>
      </c>
      <c r="C4852" s="106"/>
      <c r="D4852" s="106"/>
      <c r="E4852" s="52"/>
    </row>
    <row r="4853" spans="1:5" s="103" customFormat="1" ht="13.2" hidden="1" outlineLevel="1" x14ac:dyDescent="0.25">
      <c r="A4853" s="106" t="s">
        <v>9718</v>
      </c>
      <c r="B4853" s="106" t="s">
        <v>9719</v>
      </c>
      <c r="C4853" s="106"/>
      <c r="D4853" s="106"/>
      <c r="E4853" s="52"/>
    </row>
    <row r="4854" spans="1:5" s="103" customFormat="1" ht="13.2" hidden="1" outlineLevel="1" x14ac:dyDescent="0.25">
      <c r="A4854" s="106" t="s">
        <v>9720</v>
      </c>
      <c r="B4854" s="106" t="s">
        <v>9721</v>
      </c>
      <c r="C4854" s="106"/>
      <c r="D4854" s="106"/>
      <c r="E4854" s="52"/>
    </row>
    <row r="4855" spans="1:5" s="103" customFormat="1" ht="13.2" hidden="1" outlineLevel="1" x14ac:dyDescent="0.25">
      <c r="A4855" s="106" t="s">
        <v>9722</v>
      </c>
      <c r="B4855" s="106" t="s">
        <v>9723</v>
      </c>
      <c r="C4855" s="106"/>
      <c r="D4855" s="106"/>
      <c r="E4855" s="52"/>
    </row>
    <row r="4856" spans="1:5" s="103" customFormat="1" ht="13.2" hidden="1" outlineLevel="1" x14ac:dyDescent="0.25">
      <c r="A4856" s="106" t="s">
        <v>9724</v>
      </c>
      <c r="B4856" s="106" t="s">
        <v>9725</v>
      </c>
      <c r="C4856" s="106"/>
      <c r="D4856" s="106"/>
      <c r="E4856" s="52"/>
    </row>
    <row r="4857" spans="1:5" s="103" customFormat="1" ht="13.2" hidden="1" outlineLevel="1" x14ac:dyDescent="0.25">
      <c r="A4857" s="106" t="s">
        <v>9726</v>
      </c>
      <c r="B4857" s="106" t="s">
        <v>9727</v>
      </c>
      <c r="C4857" s="106"/>
      <c r="D4857" s="106"/>
      <c r="E4857" s="52"/>
    </row>
    <row r="4858" spans="1:5" s="103" customFormat="1" ht="13.2" hidden="1" outlineLevel="1" x14ac:dyDescent="0.25">
      <c r="A4858" s="106" t="s">
        <v>9728</v>
      </c>
      <c r="B4858" s="106" t="s">
        <v>9729</v>
      </c>
      <c r="C4858" s="106"/>
      <c r="D4858" s="106"/>
      <c r="E4858" s="52"/>
    </row>
    <row r="4859" spans="1:5" s="103" customFormat="1" ht="13.2" hidden="1" outlineLevel="1" x14ac:dyDescent="0.25">
      <c r="A4859" s="106" t="s">
        <v>9730</v>
      </c>
      <c r="B4859" s="106" t="s">
        <v>9731</v>
      </c>
      <c r="C4859" s="106"/>
      <c r="D4859" s="106"/>
      <c r="E4859" s="52"/>
    </row>
    <row r="4860" spans="1:5" s="103" customFormat="1" ht="13.2" hidden="1" outlineLevel="1" x14ac:dyDescent="0.25">
      <c r="A4860" s="106" t="s">
        <v>9732</v>
      </c>
      <c r="B4860" s="106" t="s">
        <v>9733</v>
      </c>
      <c r="C4860" s="106"/>
      <c r="D4860" s="106"/>
      <c r="E4860" s="52"/>
    </row>
    <row r="4861" spans="1:5" s="103" customFormat="1" ht="13.2" hidden="1" outlineLevel="1" x14ac:dyDescent="0.25">
      <c r="A4861" s="106" t="s">
        <v>9734</v>
      </c>
      <c r="B4861" s="106" t="s">
        <v>9735</v>
      </c>
      <c r="C4861" s="106"/>
      <c r="D4861" s="106"/>
      <c r="E4861" s="52"/>
    </row>
    <row r="4862" spans="1:5" s="103" customFormat="1" ht="13.2" hidden="1" outlineLevel="1" x14ac:dyDescent="0.25">
      <c r="A4862" s="106" t="s">
        <v>9736</v>
      </c>
      <c r="B4862" s="106" t="s">
        <v>9737</v>
      </c>
      <c r="C4862" s="106"/>
      <c r="D4862" s="106"/>
      <c r="E4862" s="52"/>
    </row>
    <row r="4863" spans="1:5" s="103" customFormat="1" ht="13.2" hidden="1" outlineLevel="1" x14ac:dyDescent="0.25">
      <c r="A4863" s="106" t="s">
        <v>9738</v>
      </c>
      <c r="B4863" s="106" t="s">
        <v>9739</v>
      </c>
      <c r="C4863" s="106"/>
      <c r="D4863" s="106"/>
      <c r="E4863" s="52"/>
    </row>
    <row r="4864" spans="1:5" s="103" customFormat="1" ht="13.2" hidden="1" outlineLevel="1" x14ac:dyDescent="0.25">
      <c r="A4864" s="106" t="s">
        <v>9740</v>
      </c>
      <c r="B4864" s="106" t="s">
        <v>9741</v>
      </c>
      <c r="C4864" s="106"/>
      <c r="D4864" s="106"/>
      <c r="E4864" s="52"/>
    </row>
    <row r="4865" spans="1:5" s="103" customFormat="1" ht="13.2" hidden="1" outlineLevel="1" x14ac:dyDescent="0.25">
      <c r="A4865" s="106" t="s">
        <v>9742</v>
      </c>
      <c r="B4865" s="106" t="s">
        <v>9743</v>
      </c>
      <c r="C4865" s="106"/>
      <c r="D4865" s="106"/>
      <c r="E4865" s="52"/>
    </row>
    <row r="4866" spans="1:5" s="103" customFormat="1" ht="13.2" hidden="1" outlineLevel="1" x14ac:dyDescent="0.25">
      <c r="A4866" s="106" t="s">
        <v>9744</v>
      </c>
      <c r="B4866" s="106" t="s">
        <v>9745</v>
      </c>
      <c r="C4866" s="106"/>
      <c r="D4866" s="106"/>
      <c r="E4866" s="52"/>
    </row>
    <row r="4867" spans="1:5" s="103" customFormat="1" ht="13.2" hidden="1" outlineLevel="1" x14ac:dyDescent="0.25">
      <c r="A4867" s="106" t="s">
        <v>9746</v>
      </c>
      <c r="B4867" s="106" t="s">
        <v>9747</v>
      </c>
      <c r="C4867" s="106"/>
      <c r="D4867" s="106"/>
      <c r="E4867" s="52"/>
    </row>
    <row r="4868" spans="1:5" s="103" customFormat="1" ht="13.2" hidden="1" outlineLevel="1" x14ac:dyDescent="0.25">
      <c r="A4868" s="106" t="s">
        <v>9748</v>
      </c>
      <c r="B4868" s="106" t="s">
        <v>9749</v>
      </c>
      <c r="C4868" s="106"/>
      <c r="D4868" s="106"/>
      <c r="E4868" s="52"/>
    </row>
    <row r="4869" spans="1:5" s="103" customFormat="1" ht="13.2" hidden="1" outlineLevel="1" x14ac:dyDescent="0.25">
      <c r="A4869" s="106" t="s">
        <v>9750</v>
      </c>
      <c r="B4869" s="106" t="s">
        <v>9751</v>
      </c>
      <c r="C4869" s="106"/>
      <c r="D4869" s="106"/>
      <c r="E4869" s="52"/>
    </row>
    <row r="4870" spans="1:5" s="103" customFormat="1" ht="13.2" hidden="1" outlineLevel="1" x14ac:dyDescent="0.25">
      <c r="A4870" s="106" t="s">
        <v>9752</v>
      </c>
      <c r="B4870" s="106" t="s">
        <v>9753</v>
      </c>
      <c r="C4870" s="106"/>
      <c r="D4870" s="106"/>
      <c r="E4870" s="52"/>
    </row>
    <row r="4871" spans="1:5" s="103" customFormat="1" ht="13.2" hidden="1" outlineLevel="1" x14ac:dyDescent="0.25">
      <c r="A4871" s="106" t="s">
        <v>9754</v>
      </c>
      <c r="B4871" s="106" t="s">
        <v>9755</v>
      </c>
      <c r="C4871" s="106"/>
      <c r="D4871" s="106"/>
      <c r="E4871" s="52"/>
    </row>
    <row r="4872" spans="1:5" s="103" customFormat="1" ht="13.2" hidden="1" outlineLevel="1" x14ac:dyDescent="0.25">
      <c r="A4872" s="106" t="s">
        <v>9756</v>
      </c>
      <c r="B4872" s="106" t="s">
        <v>9757</v>
      </c>
      <c r="C4872" s="106"/>
      <c r="D4872" s="106"/>
      <c r="E4872" s="52"/>
    </row>
    <row r="4873" spans="1:5" s="103" customFormat="1" ht="13.2" hidden="1" outlineLevel="1" x14ac:dyDescent="0.25">
      <c r="A4873" s="106" t="s">
        <v>9758</v>
      </c>
      <c r="B4873" s="106" t="s">
        <v>9759</v>
      </c>
      <c r="C4873" s="106"/>
      <c r="D4873" s="106"/>
      <c r="E4873" s="52"/>
    </row>
    <row r="4874" spans="1:5" s="103" customFormat="1" ht="13.2" hidden="1" outlineLevel="1" x14ac:dyDescent="0.25">
      <c r="A4874" s="106" t="s">
        <v>9760</v>
      </c>
      <c r="B4874" s="106" t="s">
        <v>9761</v>
      </c>
      <c r="C4874" s="106"/>
      <c r="D4874" s="106"/>
      <c r="E4874" s="52"/>
    </row>
    <row r="4875" spans="1:5" s="103" customFormat="1" ht="13.2" hidden="1" outlineLevel="1" x14ac:dyDescent="0.25">
      <c r="A4875" s="106" t="s">
        <v>9762</v>
      </c>
      <c r="B4875" s="106" t="s">
        <v>9763</v>
      </c>
      <c r="C4875" s="106"/>
      <c r="D4875" s="106"/>
      <c r="E4875" s="52"/>
    </row>
    <row r="4876" spans="1:5" s="103" customFormat="1" ht="13.2" hidden="1" outlineLevel="1" x14ac:dyDescent="0.25">
      <c r="A4876" s="106" t="s">
        <v>9764</v>
      </c>
      <c r="B4876" s="106" t="s">
        <v>9765</v>
      </c>
      <c r="C4876" s="106"/>
      <c r="D4876" s="106"/>
      <c r="E4876" s="52"/>
    </row>
    <row r="4877" spans="1:5" s="103" customFormat="1" ht="13.2" hidden="1" outlineLevel="1" x14ac:dyDescent="0.25">
      <c r="A4877" s="106" t="s">
        <v>9766</v>
      </c>
      <c r="B4877" s="106" t="s">
        <v>9767</v>
      </c>
      <c r="C4877" s="106"/>
      <c r="D4877" s="106"/>
      <c r="E4877" s="52"/>
    </row>
    <row r="4878" spans="1:5" s="103" customFormat="1" ht="13.2" hidden="1" outlineLevel="1" x14ac:dyDescent="0.25">
      <c r="A4878" s="106" t="s">
        <v>9768</v>
      </c>
      <c r="B4878" s="106" t="s">
        <v>9769</v>
      </c>
      <c r="C4878" s="106"/>
      <c r="D4878" s="106"/>
      <c r="E4878" s="52"/>
    </row>
    <row r="4879" spans="1:5" s="103" customFormat="1" ht="13.2" hidden="1" outlineLevel="1" x14ac:dyDescent="0.25">
      <c r="A4879" s="106" t="s">
        <v>9770</v>
      </c>
      <c r="B4879" s="106" t="s">
        <v>9771</v>
      </c>
      <c r="C4879" s="106"/>
      <c r="D4879" s="106"/>
      <c r="E4879" s="52"/>
    </row>
    <row r="4880" spans="1:5" s="103" customFormat="1" ht="13.2" hidden="1" outlineLevel="1" x14ac:dyDescent="0.25">
      <c r="A4880" s="106" t="s">
        <v>9772</v>
      </c>
      <c r="B4880" s="106" t="s">
        <v>9773</v>
      </c>
      <c r="C4880" s="106"/>
      <c r="D4880" s="106"/>
      <c r="E4880" s="52"/>
    </row>
    <row r="4881" spans="1:5" s="103" customFormat="1" ht="13.2" hidden="1" outlineLevel="1" x14ac:dyDescent="0.25">
      <c r="A4881" s="106" t="s">
        <v>9774</v>
      </c>
      <c r="B4881" s="106" t="s">
        <v>9775</v>
      </c>
      <c r="C4881" s="106"/>
      <c r="D4881" s="106"/>
      <c r="E4881" s="52"/>
    </row>
    <row r="4882" spans="1:5" s="103" customFormat="1" ht="13.2" hidden="1" outlineLevel="1" x14ac:dyDescent="0.25">
      <c r="A4882" s="106" t="s">
        <v>9776</v>
      </c>
      <c r="B4882" s="106" t="s">
        <v>9777</v>
      </c>
      <c r="C4882" s="106"/>
      <c r="D4882" s="106"/>
      <c r="E4882" s="52"/>
    </row>
    <row r="4883" spans="1:5" s="103" customFormat="1" ht="13.2" hidden="1" outlineLevel="1" x14ac:dyDescent="0.25">
      <c r="A4883" s="106" t="s">
        <v>9778</v>
      </c>
      <c r="B4883" s="106" t="s">
        <v>9779</v>
      </c>
      <c r="C4883" s="106"/>
      <c r="D4883" s="106"/>
      <c r="E4883" s="52"/>
    </row>
    <row r="4884" spans="1:5" s="103" customFormat="1" ht="13.2" hidden="1" outlineLevel="1" x14ac:dyDescent="0.25">
      <c r="A4884" s="106" t="s">
        <v>9780</v>
      </c>
      <c r="B4884" s="106" t="s">
        <v>9781</v>
      </c>
      <c r="C4884" s="106"/>
      <c r="D4884" s="106"/>
      <c r="E4884" s="52"/>
    </row>
    <row r="4885" spans="1:5" s="103" customFormat="1" ht="13.2" hidden="1" outlineLevel="1" x14ac:dyDescent="0.25">
      <c r="A4885" s="106" t="s">
        <v>9782</v>
      </c>
      <c r="B4885" s="106" t="s">
        <v>9783</v>
      </c>
      <c r="C4885" s="106"/>
      <c r="D4885" s="106"/>
      <c r="E4885" s="52"/>
    </row>
    <row r="4886" spans="1:5" s="103" customFormat="1" ht="13.2" hidden="1" outlineLevel="1" x14ac:dyDescent="0.25">
      <c r="A4886" s="106" t="s">
        <v>9784</v>
      </c>
      <c r="B4886" s="106" t="s">
        <v>9785</v>
      </c>
      <c r="C4886" s="106"/>
      <c r="D4886" s="106"/>
      <c r="E4886" s="52"/>
    </row>
    <row r="4887" spans="1:5" s="103" customFormat="1" ht="13.2" hidden="1" outlineLevel="1" x14ac:dyDescent="0.25">
      <c r="A4887" s="106" t="s">
        <v>9786</v>
      </c>
      <c r="B4887" s="106" t="s">
        <v>9787</v>
      </c>
      <c r="C4887" s="106"/>
      <c r="D4887" s="106"/>
      <c r="E4887" s="52"/>
    </row>
    <row r="4888" spans="1:5" s="103" customFormat="1" ht="13.2" hidden="1" outlineLevel="1" x14ac:dyDescent="0.25">
      <c r="A4888" s="106" t="s">
        <v>9788</v>
      </c>
      <c r="B4888" s="106" t="s">
        <v>9789</v>
      </c>
      <c r="C4888" s="106"/>
      <c r="D4888" s="106"/>
      <c r="E4888" s="52"/>
    </row>
    <row r="4889" spans="1:5" s="103" customFormat="1" ht="13.2" hidden="1" outlineLevel="1" x14ac:dyDescent="0.25">
      <c r="A4889" s="106" t="s">
        <v>9790</v>
      </c>
      <c r="B4889" s="106" t="s">
        <v>9791</v>
      </c>
      <c r="C4889" s="106"/>
      <c r="D4889" s="106"/>
      <c r="E4889" s="52"/>
    </row>
    <row r="4890" spans="1:5" s="103" customFormat="1" ht="13.2" hidden="1" outlineLevel="1" x14ac:dyDescent="0.25">
      <c r="A4890" s="106" t="s">
        <v>9792</v>
      </c>
      <c r="B4890" s="106" t="s">
        <v>9793</v>
      </c>
      <c r="C4890" s="106"/>
      <c r="D4890" s="106"/>
      <c r="E4890" s="52"/>
    </row>
    <row r="4891" spans="1:5" s="103" customFormat="1" ht="13.2" hidden="1" outlineLevel="1" x14ac:dyDescent="0.25">
      <c r="A4891" s="106" t="s">
        <v>9794</v>
      </c>
      <c r="B4891" s="106" t="s">
        <v>9795</v>
      </c>
      <c r="C4891" s="106"/>
      <c r="D4891" s="106"/>
      <c r="E4891" s="52"/>
    </row>
    <row r="4892" spans="1:5" s="103" customFormat="1" ht="13.2" hidden="1" outlineLevel="1" x14ac:dyDescent="0.25">
      <c r="A4892" s="106" t="s">
        <v>9796</v>
      </c>
      <c r="B4892" s="106" t="s">
        <v>9797</v>
      </c>
      <c r="C4892" s="106"/>
      <c r="D4892" s="106"/>
      <c r="E4892" s="52"/>
    </row>
    <row r="4893" spans="1:5" s="103" customFormat="1" ht="13.2" hidden="1" outlineLevel="1" x14ac:dyDescent="0.25">
      <c r="A4893" s="106" t="s">
        <v>9798</v>
      </c>
      <c r="B4893" s="106" t="s">
        <v>9799</v>
      </c>
      <c r="C4893" s="106"/>
      <c r="D4893" s="106"/>
      <c r="E4893" s="52"/>
    </row>
    <row r="4894" spans="1:5" s="103" customFormat="1" ht="13.2" hidden="1" outlineLevel="1" x14ac:dyDescent="0.25">
      <c r="A4894" s="106" t="s">
        <v>9800</v>
      </c>
      <c r="B4894" s="106" t="s">
        <v>9801</v>
      </c>
      <c r="C4894" s="106"/>
      <c r="D4894" s="106"/>
      <c r="E4894" s="52"/>
    </row>
    <row r="4895" spans="1:5" s="103" customFormat="1" ht="13.2" hidden="1" outlineLevel="1" x14ac:dyDescent="0.25">
      <c r="A4895" s="106" t="s">
        <v>9802</v>
      </c>
      <c r="B4895" s="106" t="s">
        <v>9803</v>
      </c>
      <c r="C4895" s="106"/>
      <c r="D4895" s="106"/>
      <c r="E4895" s="52"/>
    </row>
    <row r="4896" spans="1:5" s="103" customFormat="1" ht="13.2" hidden="1" outlineLevel="1" x14ac:dyDescent="0.25">
      <c r="A4896" s="106" t="s">
        <v>9804</v>
      </c>
      <c r="B4896" s="106" t="s">
        <v>9805</v>
      </c>
      <c r="C4896" s="106"/>
      <c r="D4896" s="106"/>
      <c r="E4896" s="52"/>
    </row>
    <row r="4897" spans="1:5" s="103" customFormat="1" ht="13.2" hidden="1" outlineLevel="1" x14ac:dyDescent="0.25">
      <c r="A4897" s="106" t="s">
        <v>9806</v>
      </c>
      <c r="B4897" s="106" t="s">
        <v>9807</v>
      </c>
      <c r="C4897" s="106"/>
      <c r="D4897" s="106"/>
      <c r="E4897" s="52"/>
    </row>
    <row r="4898" spans="1:5" s="103" customFormat="1" ht="13.2" hidden="1" outlineLevel="1" x14ac:dyDescent="0.25">
      <c r="A4898" s="106" t="s">
        <v>9808</v>
      </c>
      <c r="B4898" s="106" t="s">
        <v>9809</v>
      </c>
      <c r="C4898" s="106"/>
      <c r="D4898" s="106"/>
      <c r="E4898" s="52"/>
    </row>
    <row r="4899" spans="1:5" s="103" customFormat="1" ht="13.2" hidden="1" outlineLevel="1" x14ac:dyDescent="0.25">
      <c r="A4899" s="106" t="s">
        <v>9810</v>
      </c>
      <c r="B4899" s="106" t="s">
        <v>9811</v>
      </c>
      <c r="C4899" s="106"/>
      <c r="D4899" s="106"/>
      <c r="E4899" s="52"/>
    </row>
    <row r="4900" spans="1:5" s="103" customFormat="1" ht="13.2" hidden="1" outlineLevel="1" x14ac:dyDescent="0.25">
      <c r="A4900" s="106" t="s">
        <v>9812</v>
      </c>
      <c r="B4900" s="106" t="s">
        <v>9813</v>
      </c>
      <c r="C4900" s="106"/>
      <c r="D4900" s="106"/>
      <c r="E4900" s="52"/>
    </row>
    <row r="4901" spans="1:5" s="103" customFormat="1" ht="13.2" hidden="1" outlineLevel="1" x14ac:dyDescent="0.25">
      <c r="A4901" s="106" t="s">
        <v>9814</v>
      </c>
      <c r="B4901" s="106" t="s">
        <v>9815</v>
      </c>
      <c r="C4901" s="106"/>
      <c r="D4901" s="106"/>
      <c r="E4901" s="52"/>
    </row>
    <row r="4902" spans="1:5" s="103" customFormat="1" ht="13.2" hidden="1" outlineLevel="1" x14ac:dyDescent="0.25">
      <c r="A4902" s="106" t="s">
        <v>9816</v>
      </c>
      <c r="B4902" s="106" t="s">
        <v>9817</v>
      </c>
      <c r="C4902" s="106"/>
      <c r="D4902" s="106"/>
      <c r="E4902" s="52"/>
    </row>
    <row r="4903" spans="1:5" s="103" customFormat="1" ht="13.2" hidden="1" outlineLevel="1" x14ac:dyDescent="0.25">
      <c r="A4903" s="106" t="s">
        <v>9818</v>
      </c>
      <c r="B4903" s="106" t="s">
        <v>9819</v>
      </c>
      <c r="C4903" s="106"/>
      <c r="D4903" s="106"/>
      <c r="E4903" s="52"/>
    </row>
    <row r="4904" spans="1:5" s="103" customFormat="1" ht="13.2" hidden="1" outlineLevel="1" x14ac:dyDescent="0.25">
      <c r="A4904" s="106" t="s">
        <v>9820</v>
      </c>
      <c r="B4904" s="106" t="s">
        <v>9821</v>
      </c>
      <c r="C4904" s="106"/>
      <c r="D4904" s="106"/>
      <c r="E4904" s="52"/>
    </row>
    <row r="4905" spans="1:5" s="103" customFormat="1" ht="13.2" hidden="1" outlineLevel="1" x14ac:dyDescent="0.25">
      <c r="A4905" s="106" t="s">
        <v>9822</v>
      </c>
      <c r="B4905" s="106" t="s">
        <v>9823</v>
      </c>
      <c r="C4905" s="106"/>
      <c r="D4905" s="106"/>
      <c r="E4905" s="52"/>
    </row>
    <row r="4906" spans="1:5" s="103" customFormat="1" ht="13.2" hidden="1" outlineLevel="1" x14ac:dyDescent="0.25">
      <c r="A4906" s="106" t="s">
        <v>9824</v>
      </c>
      <c r="B4906" s="106" t="s">
        <v>9825</v>
      </c>
      <c r="C4906" s="106"/>
      <c r="D4906" s="106"/>
      <c r="E4906" s="52"/>
    </row>
    <row r="4907" spans="1:5" s="103" customFormat="1" ht="13.2" hidden="1" outlineLevel="1" x14ac:dyDescent="0.25">
      <c r="A4907" s="106" t="s">
        <v>9826</v>
      </c>
      <c r="B4907" s="106" t="s">
        <v>9827</v>
      </c>
      <c r="C4907" s="106"/>
      <c r="D4907" s="106"/>
      <c r="E4907" s="52"/>
    </row>
    <row r="4908" spans="1:5" s="103" customFormat="1" ht="13.2" hidden="1" outlineLevel="1" x14ac:dyDescent="0.25">
      <c r="A4908" s="106" t="s">
        <v>9828</v>
      </c>
      <c r="B4908" s="106" t="s">
        <v>9829</v>
      </c>
      <c r="C4908" s="106"/>
      <c r="D4908" s="106"/>
      <c r="E4908" s="52"/>
    </row>
    <row r="4909" spans="1:5" s="103" customFormat="1" ht="13.2" hidden="1" outlineLevel="1" x14ac:dyDescent="0.25">
      <c r="A4909" s="106" t="s">
        <v>9830</v>
      </c>
      <c r="B4909" s="106" t="s">
        <v>9831</v>
      </c>
      <c r="C4909" s="106"/>
      <c r="D4909" s="106"/>
      <c r="E4909" s="52"/>
    </row>
    <row r="4910" spans="1:5" s="103" customFormat="1" ht="13.2" hidden="1" outlineLevel="1" x14ac:dyDescent="0.25">
      <c r="A4910" s="106" t="s">
        <v>9832</v>
      </c>
      <c r="B4910" s="106" t="s">
        <v>9833</v>
      </c>
      <c r="C4910" s="106"/>
      <c r="D4910" s="106"/>
      <c r="E4910" s="52"/>
    </row>
    <row r="4911" spans="1:5" s="103" customFormat="1" ht="13.2" hidden="1" outlineLevel="1" x14ac:dyDescent="0.25">
      <c r="A4911" s="106" t="s">
        <v>9834</v>
      </c>
      <c r="B4911" s="106" t="s">
        <v>9835</v>
      </c>
      <c r="C4911" s="106"/>
      <c r="D4911" s="106"/>
      <c r="E4911" s="52"/>
    </row>
    <row r="4912" spans="1:5" s="103" customFormat="1" ht="13.2" hidden="1" outlineLevel="1" x14ac:dyDescent="0.25">
      <c r="A4912" s="106" t="s">
        <v>9836</v>
      </c>
      <c r="B4912" s="106" t="s">
        <v>9837</v>
      </c>
      <c r="C4912" s="106"/>
      <c r="D4912" s="106"/>
      <c r="E4912" s="52"/>
    </row>
    <row r="4913" spans="1:5" s="103" customFormat="1" ht="13.2" hidden="1" outlineLevel="1" x14ac:dyDescent="0.25">
      <c r="A4913" s="106" t="s">
        <v>9838</v>
      </c>
      <c r="B4913" s="106" t="s">
        <v>9839</v>
      </c>
      <c r="C4913" s="106"/>
      <c r="D4913" s="106"/>
      <c r="E4913" s="52"/>
    </row>
    <row r="4914" spans="1:5" s="103" customFormat="1" ht="13.2" hidden="1" outlineLevel="1" x14ac:dyDescent="0.25">
      <c r="A4914" s="106" t="s">
        <v>9840</v>
      </c>
      <c r="B4914" s="106" t="s">
        <v>9841</v>
      </c>
      <c r="C4914" s="106"/>
      <c r="D4914" s="106"/>
      <c r="E4914" s="52"/>
    </row>
    <row r="4915" spans="1:5" s="103" customFormat="1" ht="13.2" hidden="1" outlineLevel="1" x14ac:dyDescent="0.25">
      <c r="A4915" s="106" t="s">
        <v>9842</v>
      </c>
      <c r="B4915" s="106" t="s">
        <v>9843</v>
      </c>
      <c r="C4915" s="106"/>
      <c r="D4915" s="106"/>
      <c r="E4915" s="52"/>
    </row>
    <row r="4916" spans="1:5" s="103" customFormat="1" ht="13.2" hidden="1" outlineLevel="1" x14ac:dyDescent="0.25">
      <c r="A4916" s="106" t="s">
        <v>9844</v>
      </c>
      <c r="B4916" s="106" t="s">
        <v>9845</v>
      </c>
      <c r="C4916" s="106"/>
      <c r="D4916" s="106"/>
      <c r="E4916" s="52"/>
    </row>
    <row r="4917" spans="1:5" s="103" customFormat="1" ht="13.2" hidden="1" outlineLevel="1" x14ac:dyDescent="0.25">
      <c r="A4917" s="106" t="s">
        <v>9846</v>
      </c>
      <c r="B4917" s="106" t="s">
        <v>9847</v>
      </c>
      <c r="C4917" s="106"/>
      <c r="D4917" s="106"/>
      <c r="E4917" s="52"/>
    </row>
    <row r="4918" spans="1:5" s="103" customFormat="1" ht="13.2" hidden="1" outlineLevel="1" x14ac:dyDescent="0.25">
      <c r="A4918" s="106" t="s">
        <v>9848</v>
      </c>
      <c r="B4918" s="106" t="s">
        <v>9849</v>
      </c>
      <c r="C4918" s="106"/>
      <c r="D4918" s="106"/>
      <c r="E4918" s="52"/>
    </row>
    <row r="4919" spans="1:5" s="103" customFormat="1" ht="13.2" hidden="1" outlineLevel="1" x14ac:dyDescent="0.25">
      <c r="A4919" s="106" t="s">
        <v>9850</v>
      </c>
      <c r="B4919" s="106" t="s">
        <v>9851</v>
      </c>
      <c r="C4919" s="106"/>
      <c r="D4919" s="106"/>
      <c r="E4919" s="52"/>
    </row>
    <row r="4920" spans="1:5" s="103" customFormat="1" ht="13.2" hidden="1" outlineLevel="1" x14ac:dyDescent="0.25">
      <c r="A4920" s="106" t="s">
        <v>9852</v>
      </c>
      <c r="B4920" s="106" t="s">
        <v>9853</v>
      </c>
      <c r="C4920" s="106"/>
      <c r="D4920" s="106"/>
      <c r="E4920" s="52"/>
    </row>
    <row r="4921" spans="1:5" s="103" customFormat="1" ht="13.2" hidden="1" outlineLevel="1" x14ac:dyDescent="0.25">
      <c r="A4921" s="106" t="s">
        <v>9854</v>
      </c>
      <c r="B4921" s="106" t="s">
        <v>9855</v>
      </c>
      <c r="C4921" s="106"/>
      <c r="D4921" s="106"/>
      <c r="E4921" s="52"/>
    </row>
    <row r="4922" spans="1:5" s="103" customFormat="1" ht="13.2" hidden="1" outlineLevel="1" x14ac:dyDescent="0.25">
      <c r="A4922" s="106" t="s">
        <v>9856</v>
      </c>
      <c r="B4922" s="106" t="s">
        <v>9857</v>
      </c>
      <c r="C4922" s="106"/>
      <c r="D4922" s="106"/>
      <c r="E4922" s="52"/>
    </row>
    <row r="4923" spans="1:5" s="103" customFormat="1" ht="13.2" hidden="1" outlineLevel="1" x14ac:dyDescent="0.25">
      <c r="A4923" s="106" t="s">
        <v>9858</v>
      </c>
      <c r="B4923" s="106" t="s">
        <v>9859</v>
      </c>
      <c r="C4923" s="106"/>
      <c r="D4923" s="106"/>
      <c r="E4923" s="52"/>
    </row>
    <row r="4924" spans="1:5" s="103" customFormat="1" ht="13.2" hidden="1" outlineLevel="1" x14ac:dyDescent="0.25">
      <c r="A4924" s="106" t="s">
        <v>9860</v>
      </c>
      <c r="B4924" s="106" t="s">
        <v>9861</v>
      </c>
      <c r="C4924" s="106"/>
      <c r="D4924" s="106"/>
      <c r="E4924" s="52"/>
    </row>
    <row r="4925" spans="1:5" s="103" customFormat="1" ht="13.2" hidden="1" outlineLevel="1" x14ac:dyDescent="0.25">
      <c r="A4925" s="106" t="s">
        <v>9862</v>
      </c>
      <c r="B4925" s="106" t="s">
        <v>9863</v>
      </c>
      <c r="C4925" s="106"/>
      <c r="D4925" s="106"/>
      <c r="E4925" s="52"/>
    </row>
    <row r="4926" spans="1:5" s="103" customFormat="1" ht="13.2" hidden="1" outlineLevel="1" x14ac:dyDescent="0.25">
      <c r="A4926" s="106" t="s">
        <v>9864</v>
      </c>
      <c r="B4926" s="106" t="s">
        <v>9865</v>
      </c>
      <c r="C4926" s="106"/>
      <c r="D4926" s="106"/>
      <c r="E4926" s="52"/>
    </row>
    <row r="4927" spans="1:5" s="103" customFormat="1" ht="13.2" hidden="1" outlineLevel="1" x14ac:dyDescent="0.25">
      <c r="A4927" s="106" t="s">
        <v>9866</v>
      </c>
      <c r="B4927" s="106" t="s">
        <v>9867</v>
      </c>
      <c r="C4927" s="106"/>
      <c r="D4927" s="106"/>
      <c r="E4927" s="52"/>
    </row>
    <row r="4928" spans="1:5" s="103" customFormat="1" ht="13.2" hidden="1" outlineLevel="1" x14ac:dyDescent="0.25">
      <c r="A4928" s="106" t="s">
        <v>9868</v>
      </c>
      <c r="B4928" s="106" t="s">
        <v>9869</v>
      </c>
      <c r="C4928" s="106"/>
      <c r="D4928" s="106"/>
      <c r="E4928" s="52"/>
    </row>
    <row r="4929" spans="1:5" s="103" customFormat="1" ht="13.2" hidden="1" outlineLevel="1" x14ac:dyDescent="0.25">
      <c r="A4929" s="106" t="s">
        <v>9870</v>
      </c>
      <c r="B4929" s="106" t="s">
        <v>9871</v>
      </c>
      <c r="C4929" s="106"/>
      <c r="D4929" s="106"/>
      <c r="E4929" s="52"/>
    </row>
    <row r="4930" spans="1:5" s="103" customFormat="1" ht="13.2" hidden="1" outlineLevel="1" x14ac:dyDescent="0.25">
      <c r="A4930" s="106" t="s">
        <v>9872</v>
      </c>
      <c r="B4930" s="106" t="s">
        <v>9873</v>
      </c>
      <c r="C4930" s="106"/>
      <c r="D4930" s="106"/>
      <c r="E4930" s="52"/>
    </row>
    <row r="4931" spans="1:5" s="103" customFormat="1" ht="13.2" hidden="1" outlineLevel="1" x14ac:dyDescent="0.25">
      <c r="A4931" s="106" t="s">
        <v>9874</v>
      </c>
      <c r="B4931" s="106" t="s">
        <v>9875</v>
      </c>
      <c r="C4931" s="106"/>
      <c r="D4931" s="106"/>
      <c r="E4931" s="52"/>
    </row>
    <row r="4932" spans="1:5" s="103" customFormat="1" ht="13.2" hidden="1" outlineLevel="1" x14ac:dyDescent="0.25">
      <c r="A4932" s="106" t="s">
        <v>9876</v>
      </c>
      <c r="B4932" s="106" t="s">
        <v>9877</v>
      </c>
      <c r="C4932" s="106"/>
      <c r="D4932" s="106"/>
      <c r="E4932" s="52"/>
    </row>
    <row r="4933" spans="1:5" s="103" customFormat="1" ht="13.2" hidden="1" outlineLevel="1" x14ac:dyDescent="0.25">
      <c r="A4933" s="106" t="s">
        <v>9878</v>
      </c>
      <c r="B4933" s="106" t="s">
        <v>9879</v>
      </c>
      <c r="C4933" s="106"/>
      <c r="D4933" s="106"/>
      <c r="E4933" s="52"/>
    </row>
    <row r="4934" spans="1:5" s="103" customFormat="1" ht="13.2" hidden="1" outlineLevel="1" x14ac:dyDescent="0.25">
      <c r="A4934" s="106" t="s">
        <v>9880</v>
      </c>
      <c r="B4934" s="106" t="s">
        <v>9881</v>
      </c>
      <c r="C4934" s="106"/>
      <c r="D4934" s="106"/>
      <c r="E4934" s="52"/>
    </row>
    <row r="4935" spans="1:5" s="103" customFormat="1" ht="13.2" hidden="1" outlineLevel="1" x14ac:dyDescent="0.25">
      <c r="A4935" s="106" t="s">
        <v>9882</v>
      </c>
      <c r="B4935" s="106" t="s">
        <v>9883</v>
      </c>
      <c r="C4935" s="106"/>
      <c r="D4935" s="106"/>
      <c r="E4935" s="52"/>
    </row>
    <row r="4936" spans="1:5" s="103" customFormat="1" ht="13.2" hidden="1" outlineLevel="1" x14ac:dyDescent="0.25">
      <c r="A4936" s="106" t="s">
        <v>9884</v>
      </c>
      <c r="B4936" s="106" t="s">
        <v>9885</v>
      </c>
      <c r="C4936" s="106"/>
      <c r="D4936" s="106"/>
      <c r="E4936" s="52"/>
    </row>
    <row r="4937" spans="1:5" s="103" customFormat="1" ht="13.2" hidden="1" outlineLevel="1" x14ac:dyDescent="0.25">
      <c r="A4937" s="106" t="s">
        <v>9886</v>
      </c>
      <c r="B4937" s="106" t="s">
        <v>9887</v>
      </c>
      <c r="C4937" s="106"/>
      <c r="D4937" s="106"/>
      <c r="E4937" s="52"/>
    </row>
    <row r="4938" spans="1:5" s="103" customFormat="1" ht="13.2" hidden="1" outlineLevel="1" x14ac:dyDescent="0.25">
      <c r="A4938" s="106" t="s">
        <v>9888</v>
      </c>
      <c r="B4938" s="106" t="s">
        <v>9889</v>
      </c>
      <c r="C4938" s="106"/>
      <c r="D4938" s="106"/>
      <c r="E4938" s="52"/>
    </row>
    <row r="4939" spans="1:5" s="103" customFormat="1" ht="13.2" hidden="1" outlineLevel="1" x14ac:dyDescent="0.25">
      <c r="A4939" s="106" t="s">
        <v>9890</v>
      </c>
      <c r="B4939" s="106" t="s">
        <v>9891</v>
      </c>
      <c r="C4939" s="106"/>
      <c r="D4939" s="106"/>
      <c r="E4939" s="52"/>
    </row>
    <row r="4940" spans="1:5" s="103" customFormat="1" ht="13.2" hidden="1" outlineLevel="1" x14ac:dyDescent="0.25">
      <c r="A4940" s="106" t="s">
        <v>9892</v>
      </c>
      <c r="B4940" s="106" t="s">
        <v>9893</v>
      </c>
      <c r="C4940" s="106"/>
      <c r="D4940" s="106"/>
      <c r="E4940" s="52"/>
    </row>
    <row r="4941" spans="1:5" s="103" customFormat="1" ht="13.2" hidden="1" outlineLevel="1" x14ac:dyDescent="0.25">
      <c r="A4941" s="106" t="s">
        <v>9894</v>
      </c>
      <c r="B4941" s="106" t="s">
        <v>9895</v>
      </c>
      <c r="C4941" s="106"/>
      <c r="D4941" s="106"/>
      <c r="E4941" s="52"/>
    </row>
    <row r="4942" spans="1:5" s="103" customFormat="1" ht="13.2" hidden="1" outlineLevel="1" x14ac:dyDescent="0.25">
      <c r="A4942" s="106" t="s">
        <v>9896</v>
      </c>
      <c r="B4942" s="106" t="s">
        <v>9897</v>
      </c>
      <c r="C4942" s="106"/>
      <c r="D4942" s="106"/>
      <c r="E4942" s="52"/>
    </row>
    <row r="4943" spans="1:5" s="103" customFormat="1" ht="13.2" hidden="1" outlineLevel="1" x14ac:dyDescent="0.25">
      <c r="A4943" s="106" t="s">
        <v>9898</v>
      </c>
      <c r="B4943" s="106" t="s">
        <v>9899</v>
      </c>
      <c r="C4943" s="106"/>
      <c r="D4943" s="106"/>
      <c r="E4943" s="52"/>
    </row>
    <row r="4944" spans="1:5" s="103" customFormat="1" ht="13.2" hidden="1" outlineLevel="1" x14ac:dyDescent="0.25">
      <c r="A4944" s="106" t="s">
        <v>9900</v>
      </c>
      <c r="B4944" s="106" t="s">
        <v>9901</v>
      </c>
      <c r="C4944" s="106"/>
      <c r="D4944" s="106"/>
      <c r="E4944" s="52"/>
    </row>
    <row r="4945" spans="1:5" s="103" customFormat="1" ht="13.2" hidden="1" outlineLevel="1" x14ac:dyDescent="0.25">
      <c r="A4945" s="106" t="s">
        <v>9902</v>
      </c>
      <c r="B4945" s="106" t="s">
        <v>9903</v>
      </c>
      <c r="C4945" s="106"/>
      <c r="D4945" s="106"/>
      <c r="E4945" s="52"/>
    </row>
    <row r="4946" spans="1:5" s="103" customFormat="1" ht="13.2" hidden="1" outlineLevel="1" x14ac:dyDescent="0.25">
      <c r="A4946" s="106" t="s">
        <v>9904</v>
      </c>
      <c r="B4946" s="106" t="s">
        <v>9905</v>
      </c>
      <c r="C4946" s="106"/>
      <c r="D4946" s="106"/>
      <c r="E4946" s="52"/>
    </row>
    <row r="4947" spans="1:5" s="103" customFormat="1" ht="13.2" hidden="1" outlineLevel="1" x14ac:dyDescent="0.25">
      <c r="A4947" s="106" t="s">
        <v>9906</v>
      </c>
      <c r="B4947" s="106" t="s">
        <v>9907</v>
      </c>
      <c r="C4947" s="106"/>
      <c r="D4947" s="106"/>
      <c r="E4947" s="52"/>
    </row>
    <row r="4948" spans="1:5" s="103" customFormat="1" ht="13.2" hidden="1" outlineLevel="1" x14ac:dyDescent="0.25">
      <c r="A4948" s="106" t="s">
        <v>9908</v>
      </c>
      <c r="B4948" s="106" t="s">
        <v>9909</v>
      </c>
      <c r="C4948" s="106"/>
      <c r="D4948" s="106"/>
      <c r="E4948" s="52"/>
    </row>
    <row r="4949" spans="1:5" s="103" customFormat="1" ht="13.2" hidden="1" outlineLevel="1" x14ac:dyDescent="0.25">
      <c r="A4949" s="106" t="s">
        <v>9910</v>
      </c>
      <c r="B4949" s="106" t="s">
        <v>9911</v>
      </c>
      <c r="C4949" s="106"/>
      <c r="D4949" s="106"/>
      <c r="E4949" s="52"/>
    </row>
    <row r="4950" spans="1:5" s="103" customFormat="1" ht="13.2" hidden="1" outlineLevel="1" x14ac:dyDescent="0.25">
      <c r="A4950" s="106" t="s">
        <v>9912</v>
      </c>
      <c r="B4950" s="106" t="s">
        <v>9913</v>
      </c>
      <c r="C4950" s="106"/>
      <c r="D4950" s="106"/>
      <c r="E4950" s="52"/>
    </row>
    <row r="4951" spans="1:5" s="103" customFormat="1" ht="13.2" hidden="1" outlineLevel="1" x14ac:dyDescent="0.25">
      <c r="A4951" s="106" t="s">
        <v>9914</v>
      </c>
      <c r="B4951" s="106" t="s">
        <v>9915</v>
      </c>
      <c r="C4951" s="106"/>
      <c r="D4951" s="106"/>
      <c r="E4951" s="52"/>
    </row>
    <row r="4952" spans="1:5" s="103" customFormat="1" ht="13.2" hidden="1" outlineLevel="1" x14ac:dyDescent="0.25">
      <c r="A4952" s="106" t="s">
        <v>9916</v>
      </c>
      <c r="B4952" s="106" t="s">
        <v>9917</v>
      </c>
      <c r="C4952" s="106"/>
      <c r="D4952" s="106"/>
      <c r="E4952" s="52"/>
    </row>
    <row r="4953" spans="1:5" s="103" customFormat="1" ht="13.2" hidden="1" outlineLevel="1" x14ac:dyDescent="0.25">
      <c r="A4953" s="106" t="s">
        <v>9918</v>
      </c>
      <c r="B4953" s="106" t="s">
        <v>9919</v>
      </c>
      <c r="C4953" s="106"/>
      <c r="D4953" s="106"/>
      <c r="E4953" s="52"/>
    </row>
    <row r="4954" spans="1:5" s="103" customFormat="1" ht="13.2" hidden="1" outlineLevel="1" x14ac:dyDescent="0.25">
      <c r="A4954" s="106" t="s">
        <v>9920</v>
      </c>
      <c r="B4954" s="106" t="s">
        <v>9921</v>
      </c>
      <c r="C4954" s="106"/>
      <c r="D4954" s="106"/>
      <c r="E4954" s="52"/>
    </row>
    <row r="4955" spans="1:5" s="103" customFormat="1" ht="13.2" hidden="1" outlineLevel="1" x14ac:dyDescent="0.25">
      <c r="A4955" s="106" t="s">
        <v>9922</v>
      </c>
      <c r="B4955" s="106" t="s">
        <v>9923</v>
      </c>
      <c r="C4955" s="106"/>
      <c r="D4955" s="106"/>
      <c r="E4955" s="52"/>
    </row>
    <row r="4956" spans="1:5" s="103" customFormat="1" ht="13.2" hidden="1" outlineLevel="1" x14ac:dyDescent="0.25">
      <c r="A4956" s="106" t="s">
        <v>9924</v>
      </c>
      <c r="B4956" s="106" t="s">
        <v>9925</v>
      </c>
      <c r="C4956" s="106"/>
      <c r="D4956" s="106"/>
      <c r="E4956" s="52"/>
    </row>
    <row r="4957" spans="1:5" s="103" customFormat="1" ht="13.2" hidden="1" outlineLevel="1" x14ac:dyDescent="0.25">
      <c r="A4957" s="106" t="s">
        <v>9926</v>
      </c>
      <c r="B4957" s="106" t="s">
        <v>9927</v>
      </c>
      <c r="C4957" s="106"/>
      <c r="D4957" s="106"/>
      <c r="E4957" s="52"/>
    </row>
    <row r="4958" spans="1:5" s="103" customFormat="1" ht="13.2" hidden="1" outlineLevel="1" x14ac:dyDescent="0.25">
      <c r="A4958" s="106" t="s">
        <v>9928</v>
      </c>
      <c r="B4958" s="106" t="s">
        <v>9929</v>
      </c>
      <c r="C4958" s="106"/>
      <c r="D4958" s="106"/>
      <c r="E4958" s="52"/>
    </row>
    <row r="4959" spans="1:5" s="103" customFormat="1" ht="13.2" hidden="1" outlineLevel="1" x14ac:dyDescent="0.25">
      <c r="A4959" s="106" t="s">
        <v>9930</v>
      </c>
      <c r="B4959" s="106" t="s">
        <v>9931</v>
      </c>
      <c r="C4959" s="106"/>
      <c r="D4959" s="106"/>
      <c r="E4959" s="52"/>
    </row>
    <row r="4960" spans="1:5" s="103" customFormat="1" ht="13.2" hidden="1" outlineLevel="1" x14ac:dyDescent="0.25">
      <c r="A4960" s="106" t="s">
        <v>9932</v>
      </c>
      <c r="B4960" s="106" t="s">
        <v>9933</v>
      </c>
      <c r="C4960" s="106"/>
      <c r="D4960" s="106"/>
      <c r="E4960" s="52"/>
    </row>
    <row r="4961" spans="1:5" s="103" customFormat="1" ht="13.2" hidden="1" outlineLevel="1" x14ac:dyDescent="0.25">
      <c r="A4961" s="106" t="s">
        <v>9934</v>
      </c>
      <c r="B4961" s="106" t="s">
        <v>9935</v>
      </c>
      <c r="C4961" s="106"/>
      <c r="D4961" s="106"/>
      <c r="E4961" s="52"/>
    </row>
    <row r="4962" spans="1:5" s="103" customFormat="1" ht="13.2" hidden="1" outlineLevel="1" x14ac:dyDescent="0.25">
      <c r="A4962" s="106" t="s">
        <v>9936</v>
      </c>
      <c r="B4962" s="106" t="s">
        <v>9937</v>
      </c>
      <c r="C4962" s="106"/>
      <c r="D4962" s="106"/>
      <c r="E4962" s="52"/>
    </row>
    <row r="4963" spans="1:5" s="103" customFormat="1" ht="13.2" collapsed="1" x14ac:dyDescent="0.25">
      <c r="A4963" s="104" t="s">
        <v>9938</v>
      </c>
      <c r="B4963" s="105" t="s">
        <v>9939</v>
      </c>
      <c r="C4963" s="105"/>
      <c r="D4963" s="105"/>
      <c r="E4963" s="51"/>
    </row>
    <row r="4964" spans="1:5" s="103" customFormat="1" ht="13.2" hidden="1" outlineLevel="1" x14ac:dyDescent="0.25">
      <c r="A4964" s="106" t="s">
        <v>9940</v>
      </c>
      <c r="B4964" s="106" t="s">
        <v>9941</v>
      </c>
      <c r="C4964" s="106"/>
      <c r="D4964" s="106"/>
      <c r="E4964" s="52"/>
    </row>
    <row r="4965" spans="1:5" s="103" customFormat="1" ht="13.2" hidden="1" outlineLevel="1" x14ac:dyDescent="0.25">
      <c r="A4965" s="106" t="s">
        <v>9942</v>
      </c>
      <c r="B4965" s="106" t="s">
        <v>9943</v>
      </c>
      <c r="C4965" s="106"/>
      <c r="D4965" s="106"/>
      <c r="E4965" s="52"/>
    </row>
    <row r="4966" spans="1:5" s="103" customFormat="1" ht="13.2" hidden="1" outlineLevel="1" x14ac:dyDescent="0.25">
      <c r="A4966" s="106" t="s">
        <v>9944</v>
      </c>
      <c r="B4966" s="106" t="s">
        <v>9945</v>
      </c>
      <c r="C4966" s="106"/>
      <c r="D4966" s="106"/>
      <c r="E4966" s="52"/>
    </row>
    <row r="4967" spans="1:5" s="103" customFormat="1" ht="13.2" hidden="1" outlineLevel="1" x14ac:dyDescent="0.25">
      <c r="A4967" s="106" t="s">
        <v>9946</v>
      </c>
      <c r="B4967" s="106" t="s">
        <v>9947</v>
      </c>
      <c r="C4967" s="106"/>
      <c r="D4967" s="106"/>
      <c r="E4967" s="52"/>
    </row>
    <row r="4968" spans="1:5" s="103" customFormat="1" ht="13.2" hidden="1" outlineLevel="1" x14ac:dyDescent="0.25">
      <c r="A4968" s="106" t="s">
        <v>9948</v>
      </c>
      <c r="B4968" s="106" t="s">
        <v>9949</v>
      </c>
      <c r="C4968" s="106"/>
      <c r="D4968" s="106"/>
      <c r="E4968" s="52"/>
    </row>
    <row r="4969" spans="1:5" s="103" customFormat="1" ht="13.2" hidden="1" outlineLevel="1" x14ac:dyDescent="0.25">
      <c r="A4969" s="106" t="s">
        <v>9950</v>
      </c>
      <c r="B4969" s="106" t="s">
        <v>9951</v>
      </c>
      <c r="C4969" s="106"/>
      <c r="D4969" s="106"/>
      <c r="E4969" s="52"/>
    </row>
    <row r="4970" spans="1:5" s="103" customFormat="1" ht="13.2" hidden="1" outlineLevel="1" x14ac:dyDescent="0.25">
      <c r="A4970" s="106" t="s">
        <v>9952</v>
      </c>
      <c r="B4970" s="106" t="s">
        <v>9953</v>
      </c>
      <c r="C4970" s="106"/>
      <c r="D4970" s="106"/>
      <c r="E4970" s="52"/>
    </row>
    <row r="4971" spans="1:5" s="103" customFormat="1" ht="13.2" hidden="1" outlineLevel="1" x14ac:dyDescent="0.25">
      <c r="A4971" s="106" t="s">
        <v>9954</v>
      </c>
      <c r="B4971" s="106" t="s">
        <v>9955</v>
      </c>
      <c r="C4971" s="106"/>
      <c r="D4971" s="106"/>
      <c r="E4971" s="52"/>
    </row>
    <row r="4972" spans="1:5" s="103" customFormat="1" ht="13.2" hidden="1" outlineLevel="1" x14ac:dyDescent="0.25">
      <c r="A4972" s="106" t="s">
        <v>9956</v>
      </c>
      <c r="B4972" s="106" t="s">
        <v>9957</v>
      </c>
      <c r="C4972" s="106"/>
      <c r="D4972" s="106"/>
      <c r="E4972" s="52"/>
    </row>
    <row r="4973" spans="1:5" s="103" customFormat="1" ht="13.2" hidden="1" outlineLevel="1" x14ac:dyDescent="0.25">
      <c r="A4973" s="106" t="s">
        <v>9958</v>
      </c>
      <c r="B4973" s="106" t="s">
        <v>9959</v>
      </c>
      <c r="C4973" s="106"/>
      <c r="D4973" s="106"/>
      <c r="E4973" s="52"/>
    </row>
    <row r="4974" spans="1:5" s="103" customFormat="1" ht="13.2" hidden="1" outlineLevel="1" x14ac:dyDescent="0.25">
      <c r="A4974" s="106" t="s">
        <v>9960</v>
      </c>
      <c r="B4974" s="106" t="s">
        <v>9961</v>
      </c>
      <c r="C4974" s="106"/>
      <c r="D4974" s="106"/>
      <c r="E4974" s="52"/>
    </row>
    <row r="4975" spans="1:5" s="103" customFormat="1" ht="13.2" hidden="1" outlineLevel="1" x14ac:dyDescent="0.25">
      <c r="A4975" s="106" t="s">
        <v>9962</v>
      </c>
      <c r="B4975" s="106" t="s">
        <v>9963</v>
      </c>
      <c r="C4975" s="106"/>
      <c r="D4975" s="106"/>
      <c r="E4975" s="52"/>
    </row>
    <row r="4976" spans="1:5" s="103" customFormat="1" ht="13.2" hidden="1" outlineLevel="1" x14ac:dyDescent="0.25">
      <c r="A4976" s="106" t="s">
        <v>9964</v>
      </c>
      <c r="B4976" s="106" t="s">
        <v>9965</v>
      </c>
      <c r="C4976" s="106"/>
      <c r="D4976" s="106"/>
      <c r="E4976" s="52"/>
    </row>
    <row r="4977" spans="1:5" s="103" customFormat="1" ht="13.2" hidden="1" outlineLevel="1" x14ac:dyDescent="0.25">
      <c r="A4977" s="106" t="s">
        <v>9966</v>
      </c>
      <c r="B4977" s="106" t="s">
        <v>9967</v>
      </c>
      <c r="C4977" s="106"/>
      <c r="D4977" s="106"/>
      <c r="E4977" s="52"/>
    </row>
    <row r="4978" spans="1:5" s="103" customFormat="1" ht="13.2" hidden="1" outlineLevel="1" x14ac:dyDescent="0.25">
      <c r="A4978" s="106" t="s">
        <v>9968</v>
      </c>
      <c r="B4978" s="106" t="s">
        <v>9969</v>
      </c>
      <c r="C4978" s="106"/>
      <c r="D4978" s="106"/>
      <c r="E4978" s="52"/>
    </row>
    <row r="4979" spans="1:5" s="103" customFormat="1" ht="13.2" hidden="1" outlineLevel="1" x14ac:dyDescent="0.25">
      <c r="A4979" s="106" t="s">
        <v>9970</v>
      </c>
      <c r="B4979" s="106" t="s">
        <v>9971</v>
      </c>
      <c r="C4979" s="106"/>
      <c r="D4979" s="106"/>
      <c r="E4979" s="52"/>
    </row>
    <row r="4980" spans="1:5" s="103" customFormat="1" ht="13.2" hidden="1" outlineLevel="1" x14ac:dyDescent="0.25">
      <c r="A4980" s="106" t="s">
        <v>9972</v>
      </c>
      <c r="B4980" s="106" t="s">
        <v>9973</v>
      </c>
      <c r="C4980" s="106"/>
      <c r="D4980" s="106"/>
      <c r="E4980" s="52"/>
    </row>
    <row r="4981" spans="1:5" s="103" customFormat="1" ht="13.2" hidden="1" outlineLevel="1" x14ac:dyDescent="0.25">
      <c r="A4981" s="106" t="s">
        <v>9974</v>
      </c>
      <c r="B4981" s="106" t="s">
        <v>9975</v>
      </c>
      <c r="C4981" s="106"/>
      <c r="D4981" s="106"/>
      <c r="E4981" s="52"/>
    </row>
    <row r="4982" spans="1:5" s="103" customFormat="1" ht="13.2" hidden="1" outlineLevel="1" x14ac:dyDescent="0.25">
      <c r="A4982" s="106" t="s">
        <v>9976</v>
      </c>
      <c r="B4982" s="106" t="s">
        <v>9977</v>
      </c>
      <c r="C4982" s="106"/>
      <c r="D4982" s="106"/>
      <c r="E4982" s="52"/>
    </row>
    <row r="4983" spans="1:5" s="103" customFormat="1" ht="13.2" hidden="1" outlineLevel="1" x14ac:dyDescent="0.25">
      <c r="A4983" s="106" t="s">
        <v>9978</v>
      </c>
      <c r="B4983" s="106" t="s">
        <v>9979</v>
      </c>
      <c r="C4983" s="106"/>
      <c r="D4983" s="106"/>
      <c r="E4983" s="52"/>
    </row>
    <row r="4984" spans="1:5" s="103" customFormat="1" ht="13.2" hidden="1" outlineLevel="1" x14ac:dyDescent="0.25">
      <c r="A4984" s="106" t="s">
        <v>9980</v>
      </c>
      <c r="B4984" s="106" t="s">
        <v>9981</v>
      </c>
      <c r="C4984" s="106"/>
      <c r="D4984" s="106"/>
      <c r="E4984" s="52"/>
    </row>
    <row r="4985" spans="1:5" s="103" customFormat="1" ht="13.2" hidden="1" outlineLevel="1" x14ac:dyDescent="0.25">
      <c r="A4985" s="106" t="s">
        <v>9982</v>
      </c>
      <c r="B4985" s="106" t="s">
        <v>9983</v>
      </c>
      <c r="C4985" s="106"/>
      <c r="D4985" s="106"/>
      <c r="E4985" s="52"/>
    </row>
    <row r="4986" spans="1:5" s="103" customFormat="1" ht="13.2" hidden="1" outlineLevel="1" x14ac:dyDescent="0.25">
      <c r="A4986" s="106" t="s">
        <v>9984</v>
      </c>
      <c r="B4986" s="106" t="s">
        <v>9985</v>
      </c>
      <c r="C4986" s="106"/>
      <c r="D4986" s="106"/>
      <c r="E4986" s="52"/>
    </row>
    <row r="4987" spans="1:5" s="103" customFormat="1" ht="13.2" hidden="1" outlineLevel="1" x14ac:dyDescent="0.25">
      <c r="A4987" s="106" t="s">
        <v>9986</v>
      </c>
      <c r="B4987" s="106" t="s">
        <v>9987</v>
      </c>
      <c r="C4987" s="106"/>
      <c r="D4987" s="106"/>
      <c r="E4987" s="52"/>
    </row>
    <row r="4988" spans="1:5" s="103" customFormat="1" ht="13.2" hidden="1" outlineLevel="1" x14ac:dyDescent="0.25">
      <c r="A4988" s="106" t="s">
        <v>9988</v>
      </c>
      <c r="B4988" s="106" t="s">
        <v>9989</v>
      </c>
      <c r="C4988" s="106"/>
      <c r="D4988" s="106"/>
      <c r="E4988" s="52"/>
    </row>
    <row r="4989" spans="1:5" s="103" customFormat="1" ht="13.2" hidden="1" outlineLevel="1" x14ac:dyDescent="0.25">
      <c r="A4989" s="106" t="s">
        <v>9990</v>
      </c>
      <c r="B4989" s="106" t="s">
        <v>9991</v>
      </c>
      <c r="C4989" s="106"/>
      <c r="D4989" s="106"/>
      <c r="E4989" s="52"/>
    </row>
    <row r="4990" spans="1:5" s="103" customFormat="1" ht="13.2" hidden="1" outlineLevel="1" x14ac:dyDescent="0.25">
      <c r="A4990" s="106" t="s">
        <v>9992</v>
      </c>
      <c r="B4990" s="106" t="s">
        <v>9993</v>
      </c>
      <c r="C4990" s="106"/>
      <c r="D4990" s="106"/>
      <c r="E4990" s="52"/>
    </row>
    <row r="4991" spans="1:5" s="103" customFormat="1" ht="13.2" hidden="1" outlineLevel="1" x14ac:dyDescent="0.25">
      <c r="A4991" s="106" t="s">
        <v>9994</v>
      </c>
      <c r="B4991" s="106" t="s">
        <v>9995</v>
      </c>
      <c r="C4991" s="106"/>
      <c r="D4991" s="106"/>
      <c r="E4991" s="52"/>
    </row>
    <row r="4992" spans="1:5" s="103" customFormat="1" ht="13.2" hidden="1" outlineLevel="1" x14ac:dyDescent="0.25">
      <c r="A4992" s="106" t="s">
        <v>9996</v>
      </c>
      <c r="B4992" s="106" t="s">
        <v>9997</v>
      </c>
      <c r="C4992" s="106"/>
      <c r="D4992" s="106"/>
      <c r="E4992" s="52"/>
    </row>
    <row r="4993" spans="1:5" s="103" customFormat="1" ht="13.2" hidden="1" outlineLevel="1" x14ac:dyDescent="0.25">
      <c r="A4993" s="106" t="s">
        <v>9998</v>
      </c>
      <c r="B4993" s="106" t="s">
        <v>9999</v>
      </c>
      <c r="C4993" s="106"/>
      <c r="D4993" s="106"/>
      <c r="E4993" s="52"/>
    </row>
    <row r="4994" spans="1:5" s="103" customFormat="1" ht="13.2" hidden="1" outlineLevel="1" x14ac:dyDescent="0.25">
      <c r="A4994" s="106" t="s">
        <v>10000</v>
      </c>
      <c r="B4994" s="106" t="s">
        <v>10001</v>
      </c>
      <c r="C4994" s="106"/>
      <c r="D4994" s="106"/>
      <c r="E4994" s="52"/>
    </row>
    <row r="4995" spans="1:5" s="103" customFormat="1" ht="13.2" hidden="1" outlineLevel="1" x14ac:dyDescent="0.25">
      <c r="A4995" s="106" t="s">
        <v>10002</v>
      </c>
      <c r="B4995" s="106" t="s">
        <v>10003</v>
      </c>
      <c r="C4995" s="106"/>
      <c r="D4995" s="106"/>
      <c r="E4995" s="52"/>
    </row>
    <row r="4996" spans="1:5" s="103" customFormat="1" ht="13.2" hidden="1" outlineLevel="1" x14ac:dyDescent="0.25">
      <c r="A4996" s="106" t="s">
        <v>10004</v>
      </c>
      <c r="B4996" s="106" t="s">
        <v>10005</v>
      </c>
      <c r="C4996" s="106"/>
      <c r="D4996" s="106"/>
      <c r="E4996" s="52"/>
    </row>
    <row r="4997" spans="1:5" s="103" customFormat="1" ht="13.2" hidden="1" outlineLevel="1" x14ac:dyDescent="0.25">
      <c r="A4997" s="106" t="s">
        <v>10006</v>
      </c>
      <c r="B4997" s="106" t="s">
        <v>10007</v>
      </c>
      <c r="C4997" s="106"/>
      <c r="D4997" s="106"/>
      <c r="E4997" s="52"/>
    </row>
    <row r="4998" spans="1:5" s="103" customFormat="1" ht="13.2" hidden="1" outlineLevel="1" x14ac:dyDescent="0.25">
      <c r="A4998" s="106" t="s">
        <v>10008</v>
      </c>
      <c r="B4998" s="106" t="s">
        <v>10009</v>
      </c>
      <c r="C4998" s="106"/>
      <c r="D4998" s="106"/>
      <c r="E4998" s="52"/>
    </row>
    <row r="4999" spans="1:5" s="103" customFormat="1" ht="13.2" hidden="1" outlineLevel="1" x14ac:dyDescent="0.25">
      <c r="A4999" s="106" t="s">
        <v>10010</v>
      </c>
      <c r="B4999" s="106" t="s">
        <v>10011</v>
      </c>
      <c r="C4999" s="106"/>
      <c r="D4999" s="106"/>
      <c r="E4999" s="52"/>
    </row>
    <row r="5000" spans="1:5" s="103" customFormat="1" ht="13.2" hidden="1" outlineLevel="1" x14ac:dyDescent="0.25">
      <c r="A5000" s="106" t="s">
        <v>10012</v>
      </c>
      <c r="B5000" s="106" t="s">
        <v>10013</v>
      </c>
      <c r="C5000" s="106"/>
      <c r="D5000" s="106"/>
      <c r="E5000" s="52"/>
    </row>
    <row r="5001" spans="1:5" s="103" customFormat="1" ht="13.2" hidden="1" outlineLevel="1" x14ac:dyDescent="0.25">
      <c r="A5001" s="106" t="s">
        <v>10014</v>
      </c>
      <c r="B5001" s="106" t="s">
        <v>10015</v>
      </c>
      <c r="C5001" s="106"/>
      <c r="D5001" s="106"/>
      <c r="E5001" s="52"/>
    </row>
    <row r="5002" spans="1:5" s="103" customFormat="1" ht="13.2" hidden="1" outlineLevel="1" x14ac:dyDescent="0.25">
      <c r="A5002" s="106" t="s">
        <v>10016</v>
      </c>
      <c r="B5002" s="106" t="s">
        <v>10017</v>
      </c>
      <c r="C5002" s="106"/>
      <c r="D5002" s="106"/>
      <c r="E5002" s="52"/>
    </row>
    <row r="5003" spans="1:5" s="103" customFormat="1" ht="13.2" hidden="1" outlineLevel="1" x14ac:dyDescent="0.25">
      <c r="A5003" s="106" t="s">
        <v>10018</v>
      </c>
      <c r="B5003" s="106" t="s">
        <v>10019</v>
      </c>
      <c r="C5003" s="106"/>
      <c r="D5003" s="106"/>
      <c r="E5003" s="52"/>
    </row>
    <row r="5004" spans="1:5" s="103" customFormat="1" ht="13.2" hidden="1" outlineLevel="1" x14ac:dyDescent="0.25">
      <c r="A5004" s="106" t="s">
        <v>10020</v>
      </c>
      <c r="B5004" s="106" t="s">
        <v>10021</v>
      </c>
      <c r="C5004" s="106"/>
      <c r="D5004" s="106"/>
      <c r="E5004" s="52"/>
    </row>
    <row r="5005" spans="1:5" s="103" customFormat="1" ht="13.2" hidden="1" outlineLevel="1" x14ac:dyDescent="0.25">
      <c r="A5005" s="106" t="s">
        <v>10022</v>
      </c>
      <c r="B5005" s="106" t="s">
        <v>10023</v>
      </c>
      <c r="C5005" s="106"/>
      <c r="D5005" s="106"/>
      <c r="E5005" s="52"/>
    </row>
    <row r="5006" spans="1:5" s="103" customFormat="1" ht="13.2" hidden="1" outlineLevel="1" x14ac:dyDescent="0.25">
      <c r="A5006" s="106" t="s">
        <v>10024</v>
      </c>
      <c r="B5006" s="106" t="s">
        <v>10025</v>
      </c>
      <c r="C5006" s="106"/>
      <c r="D5006" s="106"/>
      <c r="E5006" s="52"/>
    </row>
    <row r="5007" spans="1:5" s="103" customFormat="1" ht="13.2" hidden="1" outlineLevel="1" x14ac:dyDescent="0.25">
      <c r="A5007" s="106" t="s">
        <v>10026</v>
      </c>
      <c r="B5007" s="106" t="s">
        <v>10027</v>
      </c>
      <c r="C5007" s="106"/>
      <c r="D5007" s="106"/>
      <c r="E5007" s="52"/>
    </row>
    <row r="5008" spans="1:5" s="103" customFormat="1" ht="13.2" hidden="1" outlineLevel="1" x14ac:dyDescent="0.25">
      <c r="A5008" s="106" t="s">
        <v>10028</v>
      </c>
      <c r="B5008" s="106" t="s">
        <v>10029</v>
      </c>
      <c r="C5008" s="106"/>
      <c r="D5008" s="106"/>
      <c r="E5008" s="52"/>
    </row>
    <row r="5009" spans="1:5" s="103" customFormat="1" ht="13.2" hidden="1" outlineLevel="1" x14ac:dyDescent="0.25">
      <c r="A5009" s="106" t="s">
        <v>10030</v>
      </c>
      <c r="B5009" s="106" t="s">
        <v>10031</v>
      </c>
      <c r="C5009" s="106"/>
      <c r="D5009" s="106"/>
      <c r="E5009" s="52"/>
    </row>
    <row r="5010" spans="1:5" s="103" customFormat="1" ht="13.2" hidden="1" outlineLevel="1" x14ac:dyDescent="0.25">
      <c r="A5010" s="106" t="s">
        <v>10032</v>
      </c>
      <c r="B5010" s="106" t="s">
        <v>10033</v>
      </c>
      <c r="C5010" s="106"/>
      <c r="D5010" s="106"/>
      <c r="E5010" s="52"/>
    </row>
    <row r="5011" spans="1:5" s="103" customFormat="1" ht="13.2" hidden="1" outlineLevel="1" x14ac:dyDescent="0.25">
      <c r="A5011" s="106" t="s">
        <v>10034</v>
      </c>
      <c r="B5011" s="106" t="s">
        <v>10035</v>
      </c>
      <c r="C5011" s="106"/>
      <c r="D5011" s="106"/>
      <c r="E5011" s="52"/>
    </row>
    <row r="5012" spans="1:5" s="103" customFormat="1" ht="13.2" hidden="1" outlineLevel="1" x14ac:dyDescent="0.25">
      <c r="A5012" s="106" t="s">
        <v>10036</v>
      </c>
      <c r="B5012" s="106" t="s">
        <v>10037</v>
      </c>
      <c r="C5012" s="106"/>
      <c r="D5012" s="106"/>
      <c r="E5012" s="52"/>
    </row>
    <row r="5013" spans="1:5" s="103" customFormat="1" ht="13.2" hidden="1" outlineLevel="1" x14ac:dyDescent="0.25">
      <c r="A5013" s="106" t="s">
        <v>10038</v>
      </c>
      <c r="B5013" s="106" t="s">
        <v>10039</v>
      </c>
      <c r="C5013" s="106"/>
      <c r="D5013" s="106"/>
      <c r="E5013" s="52"/>
    </row>
    <row r="5014" spans="1:5" s="103" customFormat="1" ht="13.2" hidden="1" outlineLevel="1" x14ac:dyDescent="0.25">
      <c r="A5014" s="106" t="s">
        <v>10040</v>
      </c>
      <c r="B5014" s="106" t="s">
        <v>10041</v>
      </c>
      <c r="C5014" s="106"/>
      <c r="D5014" s="106"/>
      <c r="E5014" s="52"/>
    </row>
    <row r="5015" spans="1:5" s="103" customFormat="1" ht="13.2" hidden="1" outlineLevel="1" x14ac:dyDescent="0.25">
      <c r="A5015" s="106" t="s">
        <v>10042</v>
      </c>
      <c r="B5015" s="106" t="s">
        <v>10043</v>
      </c>
      <c r="C5015" s="106"/>
      <c r="D5015" s="106"/>
      <c r="E5015" s="52"/>
    </row>
    <row r="5016" spans="1:5" s="103" customFormat="1" ht="13.2" hidden="1" outlineLevel="1" x14ac:dyDescent="0.25">
      <c r="A5016" s="106" t="s">
        <v>10044</v>
      </c>
      <c r="B5016" s="106" t="s">
        <v>10045</v>
      </c>
      <c r="C5016" s="106"/>
      <c r="D5016" s="106"/>
      <c r="E5016" s="52"/>
    </row>
    <row r="5017" spans="1:5" s="103" customFormat="1" ht="13.2" hidden="1" outlineLevel="1" x14ac:dyDescent="0.25">
      <c r="A5017" s="106" t="s">
        <v>10046</v>
      </c>
      <c r="B5017" s="106" t="s">
        <v>10047</v>
      </c>
      <c r="C5017" s="106"/>
      <c r="D5017" s="106"/>
      <c r="E5017" s="52"/>
    </row>
    <row r="5018" spans="1:5" s="103" customFormat="1" ht="13.2" hidden="1" outlineLevel="1" x14ac:dyDescent="0.25">
      <c r="A5018" s="106" t="s">
        <v>10048</v>
      </c>
      <c r="B5018" s="106" t="s">
        <v>10049</v>
      </c>
      <c r="C5018" s="106"/>
      <c r="D5018" s="106"/>
      <c r="E5018" s="52"/>
    </row>
    <row r="5019" spans="1:5" s="103" customFormat="1" ht="13.2" hidden="1" outlineLevel="1" x14ac:dyDescent="0.25">
      <c r="A5019" s="106" t="s">
        <v>10050</v>
      </c>
      <c r="B5019" s="106" t="s">
        <v>10051</v>
      </c>
      <c r="C5019" s="106"/>
      <c r="D5019" s="106"/>
      <c r="E5019" s="52"/>
    </row>
    <row r="5020" spans="1:5" s="103" customFormat="1" ht="13.2" hidden="1" outlineLevel="1" x14ac:dyDescent="0.25">
      <c r="A5020" s="106" t="s">
        <v>10052</v>
      </c>
      <c r="B5020" s="106" t="s">
        <v>10053</v>
      </c>
      <c r="C5020" s="106"/>
      <c r="D5020" s="106"/>
      <c r="E5020" s="52"/>
    </row>
    <row r="5021" spans="1:5" s="103" customFormat="1" ht="13.2" hidden="1" outlineLevel="1" x14ac:dyDescent="0.25">
      <c r="A5021" s="106" t="s">
        <v>10054</v>
      </c>
      <c r="B5021" s="106" t="s">
        <v>10055</v>
      </c>
      <c r="C5021" s="106"/>
      <c r="D5021" s="106"/>
      <c r="E5021" s="52"/>
    </row>
    <row r="5022" spans="1:5" s="103" customFormat="1" ht="13.2" hidden="1" outlineLevel="1" x14ac:dyDescent="0.25">
      <c r="A5022" s="106" t="s">
        <v>10056</v>
      </c>
      <c r="B5022" s="106" t="s">
        <v>10057</v>
      </c>
      <c r="C5022" s="106"/>
      <c r="D5022" s="106"/>
      <c r="E5022" s="52"/>
    </row>
    <row r="5023" spans="1:5" s="103" customFormat="1" ht="13.2" hidden="1" outlineLevel="1" x14ac:dyDescent="0.25">
      <c r="A5023" s="106" t="s">
        <v>10058</v>
      </c>
      <c r="B5023" s="106" t="s">
        <v>10059</v>
      </c>
      <c r="C5023" s="106"/>
      <c r="D5023" s="106"/>
      <c r="E5023" s="52"/>
    </row>
    <row r="5024" spans="1:5" s="103" customFormat="1" ht="13.2" hidden="1" outlineLevel="1" x14ac:dyDescent="0.25">
      <c r="A5024" s="106" t="s">
        <v>10060</v>
      </c>
      <c r="B5024" s="106" t="s">
        <v>10061</v>
      </c>
      <c r="C5024" s="106"/>
      <c r="D5024" s="106"/>
      <c r="E5024" s="52"/>
    </row>
    <row r="5025" spans="1:5" s="103" customFormat="1" ht="13.2" hidden="1" outlineLevel="1" x14ac:dyDescent="0.25">
      <c r="A5025" s="106" t="s">
        <v>10062</v>
      </c>
      <c r="B5025" s="106" t="s">
        <v>10063</v>
      </c>
      <c r="C5025" s="106"/>
      <c r="D5025" s="106"/>
      <c r="E5025" s="52"/>
    </row>
    <row r="5026" spans="1:5" s="103" customFormat="1" ht="13.2" hidden="1" outlineLevel="1" x14ac:dyDescent="0.25">
      <c r="A5026" s="106" t="s">
        <v>10064</v>
      </c>
      <c r="B5026" s="106" t="s">
        <v>10065</v>
      </c>
      <c r="C5026" s="106"/>
      <c r="D5026" s="106"/>
      <c r="E5026" s="52"/>
    </row>
    <row r="5027" spans="1:5" s="103" customFormat="1" ht="13.2" hidden="1" outlineLevel="1" x14ac:dyDescent="0.25">
      <c r="A5027" s="106" t="s">
        <v>10066</v>
      </c>
      <c r="B5027" s="106" t="s">
        <v>10067</v>
      </c>
      <c r="C5027" s="106"/>
      <c r="D5027" s="106"/>
      <c r="E5027" s="52"/>
    </row>
    <row r="5028" spans="1:5" s="103" customFormat="1" ht="13.2" hidden="1" outlineLevel="1" x14ac:dyDescent="0.25">
      <c r="A5028" s="106" t="s">
        <v>10068</v>
      </c>
      <c r="B5028" s="106" t="s">
        <v>10069</v>
      </c>
      <c r="C5028" s="106"/>
      <c r="D5028" s="106"/>
      <c r="E5028" s="52"/>
    </row>
    <row r="5029" spans="1:5" s="103" customFormat="1" ht="13.2" hidden="1" outlineLevel="1" x14ac:dyDescent="0.25">
      <c r="A5029" s="106" t="s">
        <v>10070</v>
      </c>
      <c r="B5029" s="106" t="s">
        <v>10071</v>
      </c>
      <c r="C5029" s="106"/>
      <c r="D5029" s="106"/>
      <c r="E5029" s="52"/>
    </row>
    <row r="5030" spans="1:5" s="103" customFormat="1" ht="13.2" hidden="1" outlineLevel="1" x14ac:dyDescent="0.25">
      <c r="A5030" s="106" t="s">
        <v>10072</v>
      </c>
      <c r="B5030" s="106" t="s">
        <v>10073</v>
      </c>
      <c r="C5030" s="106"/>
      <c r="D5030" s="106"/>
      <c r="E5030" s="52"/>
    </row>
    <row r="5031" spans="1:5" s="103" customFormat="1" ht="13.2" hidden="1" outlineLevel="1" x14ac:dyDescent="0.25">
      <c r="A5031" s="106" t="s">
        <v>10074</v>
      </c>
      <c r="B5031" s="106" t="s">
        <v>10075</v>
      </c>
      <c r="C5031" s="106"/>
      <c r="D5031" s="106"/>
      <c r="E5031" s="52"/>
    </row>
    <row r="5032" spans="1:5" s="103" customFormat="1" ht="13.2" hidden="1" outlineLevel="1" x14ac:dyDescent="0.25">
      <c r="A5032" s="106" t="s">
        <v>10076</v>
      </c>
      <c r="B5032" s="106" t="s">
        <v>10077</v>
      </c>
      <c r="C5032" s="106"/>
      <c r="D5032" s="106"/>
      <c r="E5032" s="52"/>
    </row>
    <row r="5033" spans="1:5" s="103" customFormat="1" ht="13.2" hidden="1" outlineLevel="1" x14ac:dyDescent="0.25">
      <c r="A5033" s="106" t="s">
        <v>10078</v>
      </c>
      <c r="B5033" s="106" t="s">
        <v>10079</v>
      </c>
      <c r="C5033" s="106"/>
      <c r="D5033" s="106"/>
      <c r="E5033" s="52"/>
    </row>
    <row r="5034" spans="1:5" s="103" customFormat="1" ht="13.2" hidden="1" outlineLevel="1" x14ac:dyDescent="0.25">
      <c r="A5034" s="106" t="s">
        <v>10080</v>
      </c>
      <c r="B5034" s="106" t="s">
        <v>10081</v>
      </c>
      <c r="C5034" s="106"/>
      <c r="D5034" s="106"/>
      <c r="E5034" s="52"/>
    </row>
    <row r="5035" spans="1:5" s="103" customFormat="1" ht="13.2" hidden="1" outlineLevel="1" x14ac:dyDescent="0.25">
      <c r="A5035" s="106" t="s">
        <v>10082</v>
      </c>
      <c r="B5035" s="106" t="s">
        <v>10083</v>
      </c>
      <c r="C5035" s="106"/>
      <c r="D5035" s="106"/>
      <c r="E5035" s="52"/>
    </row>
    <row r="5036" spans="1:5" s="103" customFormat="1" ht="13.2" hidden="1" outlineLevel="1" x14ac:dyDescent="0.25">
      <c r="A5036" s="106" t="s">
        <v>10084</v>
      </c>
      <c r="B5036" s="106" t="s">
        <v>10085</v>
      </c>
      <c r="C5036" s="106"/>
      <c r="D5036" s="106"/>
      <c r="E5036" s="52"/>
    </row>
    <row r="5037" spans="1:5" s="103" customFormat="1" ht="13.2" hidden="1" outlineLevel="1" x14ac:dyDescent="0.25">
      <c r="A5037" s="106" t="s">
        <v>10086</v>
      </c>
      <c r="B5037" s="106" t="s">
        <v>10087</v>
      </c>
      <c r="C5037" s="106"/>
      <c r="D5037" s="106"/>
      <c r="E5037" s="52"/>
    </row>
    <row r="5038" spans="1:5" s="103" customFormat="1" ht="13.2" hidden="1" outlineLevel="1" x14ac:dyDescent="0.25">
      <c r="A5038" s="106" t="s">
        <v>10088</v>
      </c>
      <c r="B5038" s="106" t="s">
        <v>10089</v>
      </c>
      <c r="C5038" s="106"/>
      <c r="D5038" s="106"/>
      <c r="E5038" s="52"/>
    </row>
    <row r="5039" spans="1:5" s="103" customFormat="1" ht="13.2" hidden="1" outlineLevel="1" x14ac:dyDescent="0.25">
      <c r="A5039" s="106" t="s">
        <v>10090</v>
      </c>
      <c r="B5039" s="106" t="s">
        <v>10091</v>
      </c>
      <c r="C5039" s="106"/>
      <c r="D5039" s="106"/>
      <c r="E5039" s="52"/>
    </row>
    <row r="5040" spans="1:5" s="103" customFormat="1" ht="13.2" hidden="1" outlineLevel="1" x14ac:dyDescent="0.25">
      <c r="A5040" s="106" t="s">
        <v>10092</v>
      </c>
      <c r="B5040" s="106" t="s">
        <v>10093</v>
      </c>
      <c r="C5040" s="106"/>
      <c r="D5040" s="106"/>
      <c r="E5040" s="52"/>
    </row>
    <row r="5041" spans="1:5" s="103" customFormat="1" ht="13.2" hidden="1" outlineLevel="1" x14ac:dyDescent="0.25">
      <c r="A5041" s="106" t="s">
        <v>10094</v>
      </c>
      <c r="B5041" s="106" t="s">
        <v>10095</v>
      </c>
      <c r="C5041" s="106"/>
      <c r="D5041" s="106"/>
      <c r="E5041" s="52"/>
    </row>
    <row r="5042" spans="1:5" s="103" customFormat="1" ht="13.2" hidden="1" outlineLevel="1" x14ac:dyDescent="0.25">
      <c r="A5042" s="106" t="s">
        <v>10096</v>
      </c>
      <c r="B5042" s="106" t="s">
        <v>10097</v>
      </c>
      <c r="C5042" s="106"/>
      <c r="D5042" s="106"/>
      <c r="E5042" s="52"/>
    </row>
    <row r="5043" spans="1:5" s="103" customFormat="1" ht="13.2" hidden="1" outlineLevel="1" x14ac:dyDescent="0.25">
      <c r="A5043" s="106" t="s">
        <v>10098</v>
      </c>
      <c r="B5043" s="106" t="s">
        <v>10099</v>
      </c>
      <c r="C5043" s="106"/>
      <c r="D5043" s="106"/>
      <c r="E5043" s="52"/>
    </row>
    <row r="5044" spans="1:5" s="103" customFormat="1" ht="13.2" hidden="1" outlineLevel="1" x14ac:dyDescent="0.25">
      <c r="A5044" s="106" t="s">
        <v>10100</v>
      </c>
      <c r="B5044" s="106" t="s">
        <v>10101</v>
      </c>
      <c r="C5044" s="106"/>
      <c r="D5044" s="106"/>
      <c r="E5044" s="52"/>
    </row>
    <row r="5045" spans="1:5" s="103" customFormat="1" ht="13.2" hidden="1" outlineLevel="1" x14ac:dyDescent="0.25">
      <c r="A5045" s="106" t="s">
        <v>10102</v>
      </c>
      <c r="B5045" s="106" t="s">
        <v>10103</v>
      </c>
      <c r="C5045" s="106"/>
      <c r="D5045" s="106"/>
      <c r="E5045" s="52"/>
    </row>
    <row r="5046" spans="1:5" s="103" customFormat="1" ht="13.2" hidden="1" outlineLevel="1" x14ac:dyDescent="0.25">
      <c r="A5046" s="106" t="s">
        <v>10104</v>
      </c>
      <c r="B5046" s="106" t="s">
        <v>10105</v>
      </c>
      <c r="C5046" s="106"/>
      <c r="D5046" s="106"/>
      <c r="E5046" s="52"/>
    </row>
    <row r="5047" spans="1:5" s="103" customFormat="1" ht="13.2" hidden="1" outlineLevel="1" x14ac:dyDescent="0.25">
      <c r="A5047" s="106" t="s">
        <v>10106</v>
      </c>
      <c r="B5047" s="106" t="s">
        <v>10107</v>
      </c>
      <c r="C5047" s="106"/>
      <c r="D5047" s="106"/>
      <c r="E5047" s="52"/>
    </row>
    <row r="5048" spans="1:5" s="103" customFormat="1" ht="13.2" hidden="1" outlineLevel="1" x14ac:dyDescent="0.25">
      <c r="A5048" s="106" t="s">
        <v>10108</v>
      </c>
      <c r="B5048" s="106" t="s">
        <v>10109</v>
      </c>
      <c r="C5048" s="106"/>
      <c r="D5048" s="106"/>
      <c r="E5048" s="52"/>
    </row>
    <row r="5049" spans="1:5" s="103" customFormat="1" ht="13.2" hidden="1" outlineLevel="1" x14ac:dyDescent="0.25">
      <c r="A5049" s="106" t="s">
        <v>10110</v>
      </c>
      <c r="B5049" s="106" t="s">
        <v>10111</v>
      </c>
      <c r="C5049" s="106"/>
      <c r="D5049" s="106"/>
      <c r="E5049" s="52"/>
    </row>
    <row r="5050" spans="1:5" s="103" customFormat="1" ht="13.2" hidden="1" outlineLevel="1" x14ac:dyDescent="0.25">
      <c r="A5050" s="106" t="s">
        <v>10112</v>
      </c>
      <c r="B5050" s="106" t="s">
        <v>10113</v>
      </c>
      <c r="C5050" s="106"/>
      <c r="D5050" s="106"/>
      <c r="E5050" s="52"/>
    </row>
    <row r="5051" spans="1:5" s="103" customFormat="1" ht="13.2" hidden="1" outlineLevel="1" x14ac:dyDescent="0.25">
      <c r="A5051" s="106" t="s">
        <v>10114</v>
      </c>
      <c r="B5051" s="106" t="s">
        <v>10115</v>
      </c>
      <c r="C5051" s="106"/>
      <c r="D5051" s="106"/>
      <c r="E5051" s="52"/>
    </row>
    <row r="5052" spans="1:5" s="103" customFormat="1" ht="13.2" hidden="1" outlineLevel="1" x14ac:dyDescent="0.25">
      <c r="A5052" s="106" t="s">
        <v>10116</v>
      </c>
      <c r="B5052" s="106" t="s">
        <v>10117</v>
      </c>
      <c r="C5052" s="106"/>
      <c r="D5052" s="106"/>
      <c r="E5052" s="52"/>
    </row>
    <row r="5053" spans="1:5" s="103" customFormat="1" ht="13.2" hidden="1" outlineLevel="1" x14ac:dyDescent="0.25">
      <c r="A5053" s="106" t="s">
        <v>10118</v>
      </c>
      <c r="B5053" s="106" t="s">
        <v>10119</v>
      </c>
      <c r="C5053" s="106"/>
      <c r="D5053" s="106"/>
      <c r="E5053" s="52"/>
    </row>
    <row r="5054" spans="1:5" s="103" customFormat="1" ht="13.2" hidden="1" outlineLevel="1" x14ac:dyDescent="0.25">
      <c r="A5054" s="106" t="s">
        <v>10120</v>
      </c>
      <c r="B5054" s="106" t="s">
        <v>10121</v>
      </c>
      <c r="C5054" s="106"/>
      <c r="D5054" s="106"/>
      <c r="E5054" s="52"/>
    </row>
    <row r="5055" spans="1:5" s="103" customFormat="1" ht="13.2" hidden="1" outlineLevel="1" x14ac:dyDescent="0.25">
      <c r="A5055" s="106" t="s">
        <v>10122</v>
      </c>
      <c r="B5055" s="106" t="s">
        <v>10123</v>
      </c>
      <c r="C5055" s="106"/>
      <c r="D5055" s="106"/>
      <c r="E5055" s="52"/>
    </row>
    <row r="5056" spans="1:5" s="103" customFormat="1" ht="13.2" hidden="1" outlineLevel="1" x14ac:dyDescent="0.25">
      <c r="A5056" s="106" t="s">
        <v>10124</v>
      </c>
      <c r="B5056" s="106" t="s">
        <v>10125</v>
      </c>
      <c r="C5056" s="106"/>
      <c r="D5056" s="106"/>
      <c r="E5056" s="52"/>
    </row>
    <row r="5057" spans="1:5" s="103" customFormat="1" ht="13.2" hidden="1" outlineLevel="1" x14ac:dyDescent="0.25">
      <c r="A5057" s="106" t="s">
        <v>10126</v>
      </c>
      <c r="B5057" s="106" t="s">
        <v>10127</v>
      </c>
      <c r="C5057" s="106"/>
      <c r="D5057" s="106"/>
      <c r="E5057" s="52"/>
    </row>
    <row r="5058" spans="1:5" s="103" customFormat="1" ht="13.2" hidden="1" outlineLevel="1" x14ac:dyDescent="0.25">
      <c r="A5058" s="106" t="s">
        <v>10128</v>
      </c>
      <c r="B5058" s="106" t="s">
        <v>10129</v>
      </c>
      <c r="C5058" s="106"/>
      <c r="D5058" s="106"/>
      <c r="E5058" s="52"/>
    </row>
    <row r="5059" spans="1:5" s="103" customFormat="1" ht="13.2" hidden="1" outlineLevel="1" x14ac:dyDescent="0.25">
      <c r="A5059" s="106" t="s">
        <v>10130</v>
      </c>
      <c r="B5059" s="106" t="s">
        <v>10131</v>
      </c>
      <c r="C5059" s="106"/>
      <c r="D5059" s="106"/>
      <c r="E5059" s="52"/>
    </row>
    <row r="5060" spans="1:5" s="103" customFormat="1" ht="13.2" hidden="1" outlineLevel="1" x14ac:dyDescent="0.25">
      <c r="A5060" s="106" t="s">
        <v>10132</v>
      </c>
      <c r="B5060" s="106" t="s">
        <v>10133</v>
      </c>
      <c r="C5060" s="106"/>
      <c r="D5060" s="106"/>
      <c r="E5060" s="52"/>
    </row>
    <row r="5061" spans="1:5" s="103" customFormat="1" ht="13.2" hidden="1" outlineLevel="1" x14ac:dyDescent="0.25">
      <c r="A5061" s="106" t="s">
        <v>10134</v>
      </c>
      <c r="B5061" s="106" t="s">
        <v>10135</v>
      </c>
      <c r="C5061" s="106"/>
      <c r="D5061" s="106"/>
      <c r="E5061" s="52"/>
    </row>
    <row r="5062" spans="1:5" s="103" customFormat="1" ht="13.2" hidden="1" outlineLevel="1" x14ac:dyDescent="0.25">
      <c r="A5062" s="106" t="s">
        <v>10136</v>
      </c>
      <c r="B5062" s="106" t="s">
        <v>10137</v>
      </c>
      <c r="C5062" s="106"/>
      <c r="D5062" s="106"/>
      <c r="E5062" s="52"/>
    </row>
    <row r="5063" spans="1:5" s="103" customFormat="1" ht="13.2" hidden="1" outlineLevel="1" x14ac:dyDescent="0.25">
      <c r="A5063" s="106" t="s">
        <v>10138</v>
      </c>
      <c r="B5063" s="106" t="s">
        <v>10139</v>
      </c>
      <c r="C5063" s="106"/>
      <c r="D5063" s="106"/>
      <c r="E5063" s="52"/>
    </row>
    <row r="5064" spans="1:5" s="103" customFormat="1" ht="13.2" hidden="1" outlineLevel="1" x14ac:dyDescent="0.25">
      <c r="A5064" s="106" t="s">
        <v>10140</v>
      </c>
      <c r="B5064" s="106" t="s">
        <v>10141</v>
      </c>
      <c r="C5064" s="106"/>
      <c r="D5064" s="106"/>
      <c r="E5064" s="52"/>
    </row>
    <row r="5065" spans="1:5" s="103" customFormat="1" ht="13.2" hidden="1" outlineLevel="1" x14ac:dyDescent="0.25">
      <c r="A5065" s="106" t="s">
        <v>10142</v>
      </c>
      <c r="B5065" s="106" t="s">
        <v>10143</v>
      </c>
      <c r="C5065" s="106"/>
      <c r="D5065" s="106"/>
      <c r="E5065" s="52"/>
    </row>
    <row r="5066" spans="1:5" s="103" customFormat="1" ht="13.2" hidden="1" outlineLevel="1" x14ac:dyDescent="0.25">
      <c r="A5066" s="106" t="s">
        <v>10144</v>
      </c>
      <c r="B5066" s="106" t="s">
        <v>10145</v>
      </c>
      <c r="C5066" s="106"/>
      <c r="D5066" s="106"/>
      <c r="E5066" s="52"/>
    </row>
    <row r="5067" spans="1:5" s="103" customFormat="1" ht="13.2" hidden="1" outlineLevel="1" x14ac:dyDescent="0.25">
      <c r="A5067" s="106" t="s">
        <v>10146</v>
      </c>
      <c r="B5067" s="106" t="s">
        <v>10147</v>
      </c>
      <c r="C5067" s="106"/>
      <c r="D5067" s="106"/>
      <c r="E5067" s="52"/>
    </row>
    <row r="5068" spans="1:5" s="103" customFormat="1" ht="13.2" hidden="1" outlineLevel="1" x14ac:dyDescent="0.25">
      <c r="A5068" s="106" t="s">
        <v>10148</v>
      </c>
      <c r="B5068" s="106" t="s">
        <v>10149</v>
      </c>
      <c r="C5068" s="106"/>
      <c r="D5068" s="106"/>
      <c r="E5068" s="52"/>
    </row>
    <row r="5069" spans="1:5" s="103" customFormat="1" ht="13.2" hidden="1" outlineLevel="1" x14ac:dyDescent="0.25">
      <c r="A5069" s="106" t="s">
        <v>10150</v>
      </c>
      <c r="B5069" s="106" t="s">
        <v>10151</v>
      </c>
      <c r="C5069" s="106"/>
      <c r="D5069" s="106"/>
      <c r="E5069" s="52"/>
    </row>
    <row r="5070" spans="1:5" s="103" customFormat="1" ht="13.2" hidden="1" outlineLevel="1" x14ac:dyDescent="0.25">
      <c r="A5070" s="106" t="s">
        <v>10152</v>
      </c>
      <c r="B5070" s="106" t="s">
        <v>10153</v>
      </c>
      <c r="C5070" s="106"/>
      <c r="D5070" s="106"/>
      <c r="E5070" s="52"/>
    </row>
    <row r="5071" spans="1:5" s="103" customFormat="1" ht="13.2" hidden="1" outlineLevel="1" x14ac:dyDescent="0.25">
      <c r="A5071" s="106" t="s">
        <v>10154</v>
      </c>
      <c r="B5071" s="106" t="s">
        <v>10155</v>
      </c>
      <c r="C5071" s="106"/>
      <c r="D5071" s="106"/>
      <c r="E5071" s="52"/>
    </row>
    <row r="5072" spans="1:5" s="103" customFormat="1" ht="13.2" hidden="1" outlineLevel="1" x14ac:dyDescent="0.25">
      <c r="A5072" s="106" t="s">
        <v>10156</v>
      </c>
      <c r="B5072" s="106" t="s">
        <v>10157</v>
      </c>
      <c r="C5072" s="106"/>
      <c r="D5072" s="106"/>
      <c r="E5072" s="52"/>
    </row>
    <row r="5073" spans="1:5" s="103" customFormat="1" ht="13.2" hidden="1" outlineLevel="1" x14ac:dyDescent="0.25">
      <c r="A5073" s="106" t="s">
        <v>10158</v>
      </c>
      <c r="B5073" s="106" t="s">
        <v>10159</v>
      </c>
      <c r="C5073" s="106"/>
      <c r="D5073" s="106"/>
      <c r="E5073" s="52"/>
    </row>
    <row r="5074" spans="1:5" s="103" customFormat="1" ht="13.2" hidden="1" outlineLevel="1" x14ac:dyDescent="0.25">
      <c r="A5074" s="106" t="s">
        <v>10160</v>
      </c>
      <c r="B5074" s="106" t="s">
        <v>10161</v>
      </c>
      <c r="C5074" s="106"/>
      <c r="D5074" s="106"/>
      <c r="E5074" s="52"/>
    </row>
    <row r="5075" spans="1:5" s="103" customFormat="1" ht="13.2" hidden="1" outlineLevel="1" x14ac:dyDescent="0.25">
      <c r="A5075" s="106" t="s">
        <v>10162</v>
      </c>
      <c r="B5075" s="106" t="s">
        <v>10163</v>
      </c>
      <c r="C5075" s="106"/>
      <c r="D5075" s="106"/>
      <c r="E5075" s="52"/>
    </row>
    <row r="5076" spans="1:5" s="103" customFormat="1" ht="13.2" hidden="1" outlineLevel="1" x14ac:dyDescent="0.25">
      <c r="A5076" s="106" t="s">
        <v>10164</v>
      </c>
      <c r="B5076" s="106" t="s">
        <v>10165</v>
      </c>
      <c r="C5076" s="106"/>
      <c r="D5076" s="106"/>
      <c r="E5076" s="52"/>
    </row>
    <row r="5077" spans="1:5" s="103" customFormat="1" ht="13.2" hidden="1" outlineLevel="1" x14ac:dyDescent="0.25">
      <c r="A5077" s="106" t="s">
        <v>10166</v>
      </c>
      <c r="B5077" s="106" t="s">
        <v>10167</v>
      </c>
      <c r="C5077" s="106"/>
      <c r="D5077" s="106"/>
      <c r="E5077" s="52"/>
    </row>
    <row r="5078" spans="1:5" s="103" customFormat="1" ht="13.2" hidden="1" outlineLevel="1" x14ac:dyDescent="0.25">
      <c r="A5078" s="106" t="s">
        <v>10168</v>
      </c>
      <c r="B5078" s="106" t="s">
        <v>10169</v>
      </c>
      <c r="C5078" s="106"/>
      <c r="D5078" s="106"/>
      <c r="E5078" s="52"/>
    </row>
    <row r="5079" spans="1:5" s="103" customFormat="1" ht="13.2" hidden="1" outlineLevel="1" x14ac:dyDescent="0.25">
      <c r="A5079" s="106" t="s">
        <v>10170</v>
      </c>
      <c r="B5079" s="106" t="s">
        <v>10171</v>
      </c>
      <c r="C5079" s="106"/>
      <c r="D5079" s="106"/>
      <c r="E5079" s="52"/>
    </row>
    <row r="5080" spans="1:5" s="103" customFormat="1" ht="13.2" hidden="1" outlineLevel="1" x14ac:dyDescent="0.25">
      <c r="A5080" s="106" t="s">
        <v>10172</v>
      </c>
      <c r="B5080" s="106" t="s">
        <v>10173</v>
      </c>
      <c r="C5080" s="106"/>
      <c r="D5080" s="106"/>
      <c r="E5080" s="52"/>
    </row>
    <row r="5081" spans="1:5" s="103" customFormat="1" ht="13.2" hidden="1" outlineLevel="1" x14ac:dyDescent="0.25">
      <c r="A5081" s="106" t="s">
        <v>10174</v>
      </c>
      <c r="B5081" s="106" t="s">
        <v>10175</v>
      </c>
      <c r="C5081" s="106"/>
      <c r="D5081" s="106"/>
      <c r="E5081" s="52"/>
    </row>
    <row r="5082" spans="1:5" s="103" customFormat="1" ht="13.2" hidden="1" outlineLevel="1" x14ac:dyDescent="0.25">
      <c r="A5082" s="106" t="s">
        <v>10176</v>
      </c>
      <c r="B5082" s="106" t="s">
        <v>10177</v>
      </c>
      <c r="C5082" s="106"/>
      <c r="D5082" s="106"/>
      <c r="E5082" s="52"/>
    </row>
    <row r="5083" spans="1:5" s="103" customFormat="1" ht="13.2" hidden="1" outlineLevel="1" x14ac:dyDescent="0.25">
      <c r="A5083" s="106" t="s">
        <v>10178</v>
      </c>
      <c r="B5083" s="106" t="s">
        <v>10179</v>
      </c>
      <c r="C5083" s="106"/>
      <c r="D5083" s="106"/>
      <c r="E5083" s="52"/>
    </row>
    <row r="5084" spans="1:5" s="103" customFormat="1" ht="13.2" hidden="1" outlineLevel="1" x14ac:dyDescent="0.25">
      <c r="A5084" s="106" t="s">
        <v>10180</v>
      </c>
      <c r="B5084" s="106" t="s">
        <v>10181</v>
      </c>
      <c r="C5084" s="106"/>
      <c r="D5084" s="106"/>
      <c r="E5084" s="52"/>
    </row>
    <row r="5085" spans="1:5" s="103" customFormat="1" ht="13.2" hidden="1" outlineLevel="1" x14ac:dyDescent="0.25">
      <c r="A5085" s="106" t="s">
        <v>10182</v>
      </c>
      <c r="B5085" s="106" t="s">
        <v>10183</v>
      </c>
      <c r="C5085" s="106"/>
      <c r="D5085" s="106"/>
      <c r="E5085" s="52"/>
    </row>
    <row r="5086" spans="1:5" s="103" customFormat="1" ht="13.2" hidden="1" outlineLevel="1" x14ac:dyDescent="0.25">
      <c r="A5086" s="106" t="s">
        <v>10184</v>
      </c>
      <c r="B5086" s="106" t="s">
        <v>10185</v>
      </c>
      <c r="C5086" s="106"/>
      <c r="D5086" s="106"/>
      <c r="E5086" s="52"/>
    </row>
    <row r="5087" spans="1:5" s="103" customFormat="1" ht="13.2" hidden="1" outlineLevel="1" x14ac:dyDescent="0.25">
      <c r="A5087" s="106" t="s">
        <v>10186</v>
      </c>
      <c r="B5087" s="106" t="s">
        <v>10187</v>
      </c>
      <c r="C5087" s="106"/>
      <c r="D5087" s="106"/>
      <c r="E5087" s="52"/>
    </row>
    <row r="5088" spans="1:5" s="103" customFormat="1" ht="13.2" hidden="1" outlineLevel="1" x14ac:dyDescent="0.25">
      <c r="A5088" s="106" t="s">
        <v>10188</v>
      </c>
      <c r="B5088" s="106" t="s">
        <v>10189</v>
      </c>
      <c r="C5088" s="106"/>
      <c r="D5088" s="106"/>
      <c r="E5088" s="52"/>
    </row>
    <row r="5089" spans="1:5" s="103" customFormat="1" ht="13.2" hidden="1" outlineLevel="1" x14ac:dyDescent="0.25">
      <c r="A5089" s="106" t="s">
        <v>10190</v>
      </c>
      <c r="B5089" s="106" t="s">
        <v>10191</v>
      </c>
      <c r="C5089" s="106"/>
      <c r="D5089" s="106"/>
      <c r="E5089" s="52"/>
    </row>
    <row r="5090" spans="1:5" s="103" customFormat="1" ht="13.2" hidden="1" outlineLevel="1" x14ac:dyDescent="0.25">
      <c r="A5090" s="106" t="s">
        <v>10192</v>
      </c>
      <c r="B5090" s="106" t="s">
        <v>10193</v>
      </c>
      <c r="C5090" s="106"/>
      <c r="D5090" s="106"/>
      <c r="E5090" s="52"/>
    </row>
    <row r="5091" spans="1:5" s="103" customFormat="1" ht="13.2" hidden="1" outlineLevel="1" x14ac:dyDescent="0.25">
      <c r="A5091" s="106" t="s">
        <v>10194</v>
      </c>
      <c r="B5091" s="106" t="s">
        <v>10195</v>
      </c>
      <c r="C5091" s="106"/>
      <c r="D5091" s="106"/>
      <c r="E5091" s="52"/>
    </row>
    <row r="5092" spans="1:5" s="103" customFormat="1" ht="13.2" hidden="1" outlineLevel="1" x14ac:dyDescent="0.25">
      <c r="A5092" s="106" t="s">
        <v>10196</v>
      </c>
      <c r="B5092" s="106" t="s">
        <v>10197</v>
      </c>
      <c r="C5092" s="106"/>
      <c r="D5092" s="106"/>
      <c r="E5092" s="52"/>
    </row>
    <row r="5093" spans="1:5" s="103" customFormat="1" ht="13.2" hidden="1" outlineLevel="1" x14ac:dyDescent="0.25">
      <c r="A5093" s="106" t="s">
        <v>10198</v>
      </c>
      <c r="B5093" s="106" t="s">
        <v>10199</v>
      </c>
      <c r="C5093" s="106"/>
      <c r="D5093" s="106"/>
      <c r="E5093" s="52"/>
    </row>
    <row r="5094" spans="1:5" s="103" customFormat="1" ht="13.2" hidden="1" outlineLevel="1" x14ac:dyDescent="0.25">
      <c r="A5094" s="106" t="s">
        <v>10200</v>
      </c>
      <c r="B5094" s="106" t="s">
        <v>10201</v>
      </c>
      <c r="C5094" s="106"/>
      <c r="D5094" s="106"/>
      <c r="E5094" s="52"/>
    </row>
    <row r="5095" spans="1:5" s="103" customFormat="1" ht="13.2" hidden="1" outlineLevel="1" x14ac:dyDescent="0.25">
      <c r="A5095" s="106" t="s">
        <v>10202</v>
      </c>
      <c r="B5095" s="106" t="s">
        <v>10203</v>
      </c>
      <c r="C5095" s="106"/>
      <c r="D5095" s="106"/>
      <c r="E5095" s="52"/>
    </row>
    <row r="5096" spans="1:5" s="103" customFormat="1" ht="13.2" hidden="1" outlineLevel="1" x14ac:dyDescent="0.25">
      <c r="A5096" s="106" t="s">
        <v>10204</v>
      </c>
      <c r="B5096" s="106" t="s">
        <v>10205</v>
      </c>
      <c r="C5096" s="106"/>
      <c r="D5096" s="106"/>
      <c r="E5096" s="52"/>
    </row>
    <row r="5097" spans="1:5" s="103" customFormat="1" ht="13.2" hidden="1" outlineLevel="1" x14ac:dyDescent="0.25">
      <c r="A5097" s="106" t="s">
        <v>10206</v>
      </c>
      <c r="B5097" s="106" t="s">
        <v>10207</v>
      </c>
      <c r="C5097" s="106"/>
      <c r="D5097" s="106"/>
      <c r="E5097" s="52"/>
    </row>
    <row r="5098" spans="1:5" s="103" customFormat="1" ht="13.2" hidden="1" outlineLevel="1" x14ac:dyDescent="0.25">
      <c r="A5098" s="106" t="s">
        <v>10208</v>
      </c>
      <c r="B5098" s="106" t="s">
        <v>10209</v>
      </c>
      <c r="C5098" s="106"/>
      <c r="D5098" s="106"/>
      <c r="E5098" s="52"/>
    </row>
    <row r="5099" spans="1:5" s="103" customFormat="1" ht="13.2" hidden="1" outlineLevel="1" x14ac:dyDescent="0.25">
      <c r="A5099" s="106" t="s">
        <v>10210</v>
      </c>
      <c r="B5099" s="106" t="s">
        <v>10211</v>
      </c>
      <c r="C5099" s="106"/>
      <c r="D5099" s="106"/>
      <c r="E5099" s="52"/>
    </row>
    <row r="5100" spans="1:5" s="103" customFormat="1" ht="13.2" hidden="1" outlineLevel="1" x14ac:dyDescent="0.25">
      <c r="A5100" s="106" t="s">
        <v>10212</v>
      </c>
      <c r="B5100" s="106" t="s">
        <v>10213</v>
      </c>
      <c r="C5100" s="106"/>
      <c r="D5100" s="106"/>
      <c r="E5100" s="52"/>
    </row>
    <row r="5101" spans="1:5" s="103" customFormat="1" ht="13.2" hidden="1" outlineLevel="1" x14ac:dyDescent="0.25">
      <c r="A5101" s="106" t="s">
        <v>10214</v>
      </c>
      <c r="B5101" s="106" t="s">
        <v>10215</v>
      </c>
      <c r="C5101" s="106"/>
      <c r="D5101" s="106"/>
      <c r="E5101" s="52"/>
    </row>
    <row r="5102" spans="1:5" s="103" customFormat="1" ht="13.2" hidden="1" outlineLevel="1" x14ac:dyDescent="0.25">
      <c r="A5102" s="106" t="s">
        <v>10216</v>
      </c>
      <c r="B5102" s="106" t="s">
        <v>10217</v>
      </c>
      <c r="C5102" s="106"/>
      <c r="D5102" s="106"/>
      <c r="E5102" s="52"/>
    </row>
    <row r="5103" spans="1:5" s="103" customFormat="1" ht="13.2" hidden="1" outlineLevel="1" x14ac:dyDescent="0.25">
      <c r="A5103" s="106" t="s">
        <v>10218</v>
      </c>
      <c r="B5103" s="106" t="s">
        <v>10219</v>
      </c>
      <c r="C5103" s="106"/>
      <c r="D5103" s="106"/>
      <c r="E5103" s="52"/>
    </row>
    <row r="5104" spans="1:5" s="103" customFormat="1" ht="13.2" hidden="1" outlineLevel="1" x14ac:dyDescent="0.25">
      <c r="A5104" s="106" t="s">
        <v>10220</v>
      </c>
      <c r="B5104" s="106" t="s">
        <v>10221</v>
      </c>
      <c r="C5104" s="106"/>
      <c r="D5104" s="106"/>
      <c r="E5104" s="52"/>
    </row>
    <row r="5105" spans="1:5" s="103" customFormat="1" ht="13.2" hidden="1" outlineLevel="1" x14ac:dyDescent="0.25">
      <c r="A5105" s="106" t="s">
        <v>10222</v>
      </c>
      <c r="B5105" s="106" t="s">
        <v>10223</v>
      </c>
      <c r="C5105" s="106"/>
      <c r="D5105" s="106"/>
      <c r="E5105" s="52"/>
    </row>
    <row r="5106" spans="1:5" s="103" customFormat="1" ht="13.2" hidden="1" outlineLevel="1" x14ac:dyDescent="0.25">
      <c r="A5106" s="106" t="s">
        <v>10224</v>
      </c>
      <c r="B5106" s="106" t="s">
        <v>10225</v>
      </c>
      <c r="C5106" s="106"/>
      <c r="D5106" s="106"/>
      <c r="E5106" s="52"/>
    </row>
    <row r="5107" spans="1:5" s="103" customFormat="1" ht="13.2" hidden="1" outlineLevel="1" x14ac:dyDescent="0.25">
      <c r="A5107" s="106" t="s">
        <v>10226</v>
      </c>
      <c r="B5107" s="106" t="s">
        <v>10227</v>
      </c>
      <c r="C5107" s="106"/>
      <c r="D5107" s="106"/>
      <c r="E5107" s="52"/>
    </row>
    <row r="5108" spans="1:5" s="103" customFormat="1" ht="13.2" hidden="1" outlineLevel="1" x14ac:dyDescent="0.25">
      <c r="A5108" s="106" t="s">
        <v>10228</v>
      </c>
      <c r="B5108" s="106" t="s">
        <v>10229</v>
      </c>
      <c r="C5108" s="106"/>
      <c r="D5108" s="106"/>
      <c r="E5108" s="52"/>
    </row>
    <row r="5109" spans="1:5" s="103" customFormat="1" ht="13.2" hidden="1" outlineLevel="1" x14ac:dyDescent="0.25">
      <c r="A5109" s="106" t="s">
        <v>10230</v>
      </c>
      <c r="B5109" s="106" t="s">
        <v>10231</v>
      </c>
      <c r="C5109" s="106"/>
      <c r="D5109" s="106"/>
      <c r="E5109" s="52"/>
    </row>
    <row r="5110" spans="1:5" s="103" customFormat="1" ht="13.2" hidden="1" outlineLevel="1" x14ac:dyDescent="0.25">
      <c r="A5110" s="106" t="s">
        <v>10232</v>
      </c>
      <c r="B5110" s="106" t="s">
        <v>10231</v>
      </c>
      <c r="C5110" s="106"/>
      <c r="D5110" s="106"/>
      <c r="E5110" s="52"/>
    </row>
    <row r="5111" spans="1:5" s="103" customFormat="1" ht="13.2" hidden="1" outlineLevel="1" x14ac:dyDescent="0.25">
      <c r="A5111" s="106" t="s">
        <v>10233</v>
      </c>
      <c r="B5111" s="106" t="s">
        <v>10234</v>
      </c>
      <c r="C5111" s="106"/>
      <c r="D5111" s="106"/>
      <c r="E5111" s="52"/>
    </row>
    <row r="5112" spans="1:5" s="103" customFormat="1" ht="13.2" hidden="1" outlineLevel="1" x14ac:dyDescent="0.25">
      <c r="A5112" s="106" t="s">
        <v>10235</v>
      </c>
      <c r="B5112" s="106" t="s">
        <v>10236</v>
      </c>
      <c r="C5112" s="106"/>
      <c r="D5112" s="106"/>
      <c r="E5112" s="52"/>
    </row>
    <row r="5113" spans="1:5" s="103" customFormat="1" ht="13.2" hidden="1" outlineLevel="1" x14ac:dyDescent="0.25">
      <c r="A5113" s="106" t="s">
        <v>10237</v>
      </c>
      <c r="B5113" s="106" t="s">
        <v>10238</v>
      </c>
      <c r="C5113" s="106"/>
      <c r="D5113" s="106"/>
      <c r="E5113" s="52"/>
    </row>
    <row r="5114" spans="1:5" s="103" customFormat="1" ht="13.2" hidden="1" outlineLevel="1" x14ac:dyDescent="0.25">
      <c r="A5114" s="106" t="s">
        <v>10239</v>
      </c>
      <c r="B5114" s="106" t="s">
        <v>10240</v>
      </c>
      <c r="C5114" s="106"/>
      <c r="D5114" s="106"/>
      <c r="E5114" s="52"/>
    </row>
    <row r="5115" spans="1:5" s="103" customFormat="1" ht="13.2" hidden="1" outlineLevel="1" x14ac:dyDescent="0.25">
      <c r="A5115" s="106" t="s">
        <v>10241</v>
      </c>
      <c r="B5115" s="106" t="s">
        <v>10242</v>
      </c>
      <c r="C5115" s="106"/>
      <c r="D5115" s="106"/>
      <c r="E5115" s="52"/>
    </row>
    <row r="5116" spans="1:5" s="103" customFormat="1" ht="13.2" hidden="1" outlineLevel="1" x14ac:dyDescent="0.25">
      <c r="A5116" s="106" t="s">
        <v>10243</v>
      </c>
      <c r="B5116" s="106" t="s">
        <v>10244</v>
      </c>
      <c r="C5116" s="106"/>
      <c r="D5116" s="106"/>
      <c r="E5116" s="52"/>
    </row>
    <row r="5117" spans="1:5" s="103" customFormat="1" ht="13.2" hidden="1" outlineLevel="1" x14ac:dyDescent="0.25">
      <c r="A5117" s="106" t="s">
        <v>10245</v>
      </c>
      <c r="B5117" s="106" t="s">
        <v>10246</v>
      </c>
      <c r="C5117" s="106"/>
      <c r="D5117" s="106"/>
      <c r="E5117" s="52"/>
    </row>
    <row r="5118" spans="1:5" s="103" customFormat="1" ht="13.2" hidden="1" outlineLevel="1" x14ac:dyDescent="0.25">
      <c r="A5118" s="106" t="s">
        <v>10247</v>
      </c>
      <c r="B5118" s="106" t="s">
        <v>10248</v>
      </c>
      <c r="C5118" s="106"/>
      <c r="D5118" s="106"/>
      <c r="E5118" s="52"/>
    </row>
    <row r="5119" spans="1:5" s="103" customFormat="1" ht="13.2" hidden="1" outlineLevel="1" x14ac:dyDescent="0.25">
      <c r="A5119" s="106" t="s">
        <v>10249</v>
      </c>
      <c r="B5119" s="106" t="s">
        <v>10250</v>
      </c>
      <c r="C5119" s="106"/>
      <c r="D5119" s="106"/>
      <c r="E5119" s="52"/>
    </row>
    <row r="5120" spans="1:5" s="103" customFormat="1" ht="13.2" hidden="1" outlineLevel="1" x14ac:dyDescent="0.25">
      <c r="A5120" s="106" t="s">
        <v>10251</v>
      </c>
      <c r="B5120" s="106" t="s">
        <v>10252</v>
      </c>
      <c r="C5120" s="106"/>
      <c r="D5120" s="106"/>
      <c r="E5120" s="52"/>
    </row>
    <row r="5121" spans="1:5" s="103" customFormat="1" ht="13.2" hidden="1" outlineLevel="1" x14ac:dyDescent="0.25">
      <c r="A5121" s="106" t="s">
        <v>10253</v>
      </c>
      <c r="B5121" s="106" t="s">
        <v>10254</v>
      </c>
      <c r="C5121" s="106"/>
      <c r="D5121" s="106"/>
      <c r="E5121" s="52"/>
    </row>
    <row r="5122" spans="1:5" s="103" customFormat="1" ht="13.2" hidden="1" outlineLevel="1" x14ac:dyDescent="0.25">
      <c r="A5122" s="106" t="s">
        <v>10255</v>
      </c>
      <c r="B5122" s="106" t="s">
        <v>10256</v>
      </c>
      <c r="C5122" s="106"/>
      <c r="D5122" s="106"/>
      <c r="E5122" s="52"/>
    </row>
    <row r="5123" spans="1:5" s="103" customFormat="1" ht="13.2" hidden="1" outlineLevel="1" x14ac:dyDescent="0.25">
      <c r="A5123" s="106" t="s">
        <v>10257</v>
      </c>
      <c r="B5123" s="106" t="s">
        <v>10258</v>
      </c>
      <c r="C5123" s="106"/>
      <c r="D5123" s="106"/>
      <c r="E5123" s="52"/>
    </row>
    <row r="5124" spans="1:5" s="103" customFormat="1" ht="13.2" hidden="1" outlineLevel="1" x14ac:dyDescent="0.25">
      <c r="A5124" s="106" t="s">
        <v>10259</v>
      </c>
      <c r="B5124" s="106" t="s">
        <v>10260</v>
      </c>
      <c r="C5124" s="106"/>
      <c r="D5124" s="106"/>
      <c r="E5124" s="52"/>
    </row>
    <row r="5125" spans="1:5" s="103" customFormat="1" ht="13.2" hidden="1" outlineLevel="1" x14ac:dyDescent="0.25">
      <c r="A5125" s="106" t="s">
        <v>10261</v>
      </c>
      <c r="B5125" s="106" t="s">
        <v>10262</v>
      </c>
      <c r="C5125" s="106"/>
      <c r="D5125" s="106"/>
      <c r="E5125" s="52"/>
    </row>
    <row r="5126" spans="1:5" s="103" customFormat="1" ht="13.2" hidden="1" outlineLevel="1" x14ac:dyDescent="0.25">
      <c r="A5126" s="106" t="s">
        <v>10263</v>
      </c>
      <c r="B5126" s="106" t="s">
        <v>10264</v>
      </c>
      <c r="C5126" s="106"/>
      <c r="D5126" s="106"/>
      <c r="E5126" s="52"/>
    </row>
    <row r="5127" spans="1:5" s="103" customFormat="1" ht="13.2" hidden="1" outlineLevel="1" x14ac:dyDescent="0.25">
      <c r="A5127" s="106" t="s">
        <v>10265</v>
      </c>
      <c r="B5127" s="106" t="s">
        <v>10266</v>
      </c>
      <c r="C5127" s="106"/>
      <c r="D5127" s="106"/>
      <c r="E5127" s="52"/>
    </row>
    <row r="5128" spans="1:5" s="103" customFormat="1" ht="13.2" hidden="1" outlineLevel="1" x14ac:dyDescent="0.25">
      <c r="A5128" s="106" t="s">
        <v>10267</v>
      </c>
      <c r="B5128" s="106" t="s">
        <v>10268</v>
      </c>
      <c r="C5128" s="106"/>
      <c r="D5128" s="106"/>
      <c r="E5128" s="52"/>
    </row>
    <row r="5129" spans="1:5" s="103" customFormat="1" ht="13.2" hidden="1" outlineLevel="1" x14ac:dyDescent="0.25">
      <c r="A5129" s="106" t="s">
        <v>10269</v>
      </c>
      <c r="B5129" s="106" t="s">
        <v>10270</v>
      </c>
      <c r="C5129" s="106"/>
      <c r="D5129" s="106"/>
      <c r="E5129" s="52"/>
    </row>
    <row r="5130" spans="1:5" s="103" customFormat="1" ht="13.2" hidden="1" outlineLevel="1" x14ac:dyDescent="0.25">
      <c r="A5130" s="106" t="s">
        <v>10271</v>
      </c>
      <c r="B5130" s="106" t="s">
        <v>10272</v>
      </c>
      <c r="C5130" s="106"/>
      <c r="D5130" s="106"/>
      <c r="E5130" s="52"/>
    </row>
    <row r="5131" spans="1:5" s="103" customFormat="1" ht="13.2" hidden="1" outlineLevel="1" x14ac:dyDescent="0.25">
      <c r="A5131" s="106" t="s">
        <v>10273</v>
      </c>
      <c r="B5131" s="106" t="s">
        <v>10274</v>
      </c>
      <c r="C5131" s="106"/>
      <c r="D5131" s="106"/>
      <c r="E5131" s="52"/>
    </row>
    <row r="5132" spans="1:5" s="103" customFormat="1" ht="13.2" hidden="1" outlineLevel="1" x14ac:dyDescent="0.25">
      <c r="A5132" s="106" t="s">
        <v>10275</v>
      </c>
      <c r="B5132" s="106" t="s">
        <v>10276</v>
      </c>
      <c r="C5132" s="106"/>
      <c r="D5132" s="106"/>
      <c r="E5132" s="52"/>
    </row>
    <row r="5133" spans="1:5" s="103" customFormat="1" ht="13.2" hidden="1" outlineLevel="1" x14ac:dyDescent="0.25">
      <c r="A5133" s="106" t="s">
        <v>10277</v>
      </c>
      <c r="B5133" s="106" t="s">
        <v>10278</v>
      </c>
      <c r="C5133" s="106"/>
      <c r="D5133" s="106"/>
      <c r="E5133" s="52"/>
    </row>
    <row r="5134" spans="1:5" s="103" customFormat="1" ht="13.2" hidden="1" outlineLevel="1" x14ac:dyDescent="0.25">
      <c r="A5134" s="106" t="s">
        <v>10279</v>
      </c>
      <c r="B5134" s="106" t="s">
        <v>10280</v>
      </c>
      <c r="C5134" s="106"/>
      <c r="D5134" s="106"/>
      <c r="E5134" s="52"/>
    </row>
    <row r="5135" spans="1:5" s="103" customFormat="1" ht="13.2" hidden="1" outlineLevel="1" x14ac:dyDescent="0.25">
      <c r="A5135" s="106" t="s">
        <v>10281</v>
      </c>
      <c r="B5135" s="106" t="s">
        <v>10282</v>
      </c>
      <c r="C5135" s="106"/>
      <c r="D5135" s="106"/>
      <c r="E5135" s="52"/>
    </row>
    <row r="5136" spans="1:5" s="103" customFormat="1" ht="13.2" hidden="1" outlineLevel="1" x14ac:dyDescent="0.25">
      <c r="A5136" s="106" t="s">
        <v>10283</v>
      </c>
      <c r="B5136" s="106" t="s">
        <v>10284</v>
      </c>
      <c r="C5136" s="106"/>
      <c r="D5136" s="106"/>
      <c r="E5136" s="52"/>
    </row>
    <row r="5137" spans="1:5" s="103" customFormat="1" ht="13.2" hidden="1" outlineLevel="1" x14ac:dyDescent="0.25">
      <c r="A5137" s="106" t="s">
        <v>10285</v>
      </c>
      <c r="B5137" s="106" t="s">
        <v>10286</v>
      </c>
      <c r="C5137" s="106"/>
      <c r="D5137" s="106"/>
      <c r="E5137" s="52"/>
    </row>
    <row r="5138" spans="1:5" s="103" customFormat="1" ht="13.2" hidden="1" outlineLevel="1" x14ac:dyDescent="0.25">
      <c r="A5138" s="106" t="s">
        <v>10287</v>
      </c>
      <c r="B5138" s="106" t="s">
        <v>10288</v>
      </c>
      <c r="C5138" s="106"/>
      <c r="D5138" s="106"/>
      <c r="E5138" s="52"/>
    </row>
    <row r="5139" spans="1:5" s="103" customFormat="1" ht="13.2" hidden="1" outlineLevel="1" x14ac:dyDescent="0.25">
      <c r="A5139" s="106" t="s">
        <v>10289</v>
      </c>
      <c r="B5139" s="106" t="s">
        <v>10290</v>
      </c>
      <c r="C5139" s="106"/>
      <c r="D5139" s="106"/>
      <c r="E5139" s="52"/>
    </row>
    <row r="5140" spans="1:5" s="103" customFormat="1" ht="13.2" hidden="1" outlineLevel="1" x14ac:dyDescent="0.25">
      <c r="A5140" s="106" t="s">
        <v>10291</v>
      </c>
      <c r="B5140" s="106" t="s">
        <v>10292</v>
      </c>
      <c r="C5140" s="106"/>
      <c r="D5140" s="106"/>
      <c r="E5140" s="52"/>
    </row>
    <row r="5141" spans="1:5" s="103" customFormat="1" ht="13.2" hidden="1" outlineLevel="1" x14ac:dyDescent="0.25">
      <c r="A5141" s="106" t="s">
        <v>10293</v>
      </c>
      <c r="B5141" s="106" t="s">
        <v>10294</v>
      </c>
      <c r="C5141" s="106"/>
      <c r="D5141" s="106"/>
      <c r="E5141" s="52"/>
    </row>
    <row r="5142" spans="1:5" s="103" customFormat="1" ht="13.2" hidden="1" outlineLevel="1" x14ac:dyDescent="0.25">
      <c r="A5142" s="106" t="s">
        <v>10295</v>
      </c>
      <c r="B5142" s="106" t="s">
        <v>10296</v>
      </c>
      <c r="C5142" s="106"/>
      <c r="D5142" s="106"/>
      <c r="E5142" s="52"/>
    </row>
    <row r="5143" spans="1:5" s="103" customFormat="1" ht="13.2" hidden="1" outlineLevel="1" x14ac:dyDescent="0.25">
      <c r="A5143" s="106" t="s">
        <v>10297</v>
      </c>
      <c r="B5143" s="106" t="s">
        <v>10298</v>
      </c>
      <c r="C5143" s="106"/>
      <c r="D5143" s="106"/>
      <c r="E5143" s="52"/>
    </row>
    <row r="5144" spans="1:5" s="103" customFormat="1" ht="13.2" hidden="1" outlineLevel="1" x14ac:dyDescent="0.25">
      <c r="A5144" s="106" t="s">
        <v>10299</v>
      </c>
      <c r="B5144" s="106" t="s">
        <v>10300</v>
      </c>
      <c r="C5144" s="106"/>
      <c r="D5144" s="106"/>
      <c r="E5144" s="52"/>
    </row>
    <row r="5145" spans="1:5" s="103" customFormat="1" ht="13.2" hidden="1" outlineLevel="1" x14ac:dyDescent="0.25">
      <c r="A5145" s="106" t="s">
        <v>10301</v>
      </c>
      <c r="B5145" s="106" t="s">
        <v>10302</v>
      </c>
      <c r="C5145" s="106"/>
      <c r="D5145" s="106"/>
      <c r="E5145" s="52"/>
    </row>
    <row r="5146" spans="1:5" s="103" customFormat="1" ht="13.2" hidden="1" outlineLevel="1" x14ac:dyDescent="0.25">
      <c r="A5146" s="106" t="s">
        <v>10303</v>
      </c>
      <c r="B5146" s="106" t="s">
        <v>10304</v>
      </c>
      <c r="C5146" s="106"/>
      <c r="D5146" s="106"/>
      <c r="E5146" s="52"/>
    </row>
    <row r="5147" spans="1:5" s="103" customFormat="1" ht="13.2" hidden="1" outlineLevel="1" x14ac:dyDescent="0.25">
      <c r="A5147" s="106" t="s">
        <v>10305</v>
      </c>
      <c r="B5147" s="106" t="s">
        <v>10306</v>
      </c>
      <c r="C5147" s="106"/>
      <c r="D5147" s="106"/>
      <c r="E5147" s="52"/>
    </row>
    <row r="5148" spans="1:5" s="103" customFormat="1" ht="13.2" hidden="1" outlineLevel="1" x14ac:dyDescent="0.25">
      <c r="A5148" s="106" t="s">
        <v>10307</v>
      </c>
      <c r="B5148" s="106" t="s">
        <v>10308</v>
      </c>
      <c r="C5148" s="106"/>
      <c r="D5148" s="106"/>
      <c r="E5148" s="52"/>
    </row>
    <row r="5149" spans="1:5" s="103" customFormat="1" ht="13.2" hidden="1" outlineLevel="1" x14ac:dyDescent="0.25">
      <c r="A5149" s="106" t="s">
        <v>10309</v>
      </c>
      <c r="B5149" s="106" t="s">
        <v>10310</v>
      </c>
      <c r="C5149" s="106"/>
      <c r="D5149" s="106"/>
      <c r="E5149" s="52"/>
    </row>
    <row r="5150" spans="1:5" s="103" customFormat="1" ht="13.2" hidden="1" outlineLevel="1" x14ac:dyDescent="0.25">
      <c r="A5150" s="106" t="s">
        <v>10311</v>
      </c>
      <c r="B5150" s="106" t="s">
        <v>10312</v>
      </c>
      <c r="C5150" s="106"/>
      <c r="D5150" s="106"/>
      <c r="E5150" s="52"/>
    </row>
    <row r="5151" spans="1:5" s="103" customFormat="1" ht="13.2" hidden="1" outlineLevel="1" x14ac:dyDescent="0.25">
      <c r="A5151" s="106" t="s">
        <v>10313</v>
      </c>
      <c r="B5151" s="106" t="s">
        <v>10314</v>
      </c>
      <c r="C5151" s="106"/>
      <c r="D5151" s="106"/>
      <c r="E5151" s="52"/>
    </row>
    <row r="5152" spans="1:5" s="103" customFormat="1" ht="13.2" hidden="1" outlineLevel="1" x14ac:dyDescent="0.25">
      <c r="A5152" s="106" t="s">
        <v>10315</v>
      </c>
      <c r="B5152" s="106" t="s">
        <v>10316</v>
      </c>
      <c r="C5152" s="106"/>
      <c r="D5152" s="106"/>
      <c r="E5152" s="52"/>
    </row>
    <row r="5153" spans="1:5" s="103" customFormat="1" ht="13.2" hidden="1" outlineLevel="1" x14ac:dyDescent="0.25">
      <c r="A5153" s="106" t="s">
        <v>10317</v>
      </c>
      <c r="B5153" s="106" t="s">
        <v>10318</v>
      </c>
      <c r="C5153" s="106"/>
      <c r="D5153" s="106"/>
      <c r="E5153" s="52"/>
    </row>
    <row r="5154" spans="1:5" s="103" customFormat="1" ht="13.2" hidden="1" outlineLevel="1" x14ac:dyDescent="0.25">
      <c r="A5154" s="106" t="s">
        <v>10319</v>
      </c>
      <c r="B5154" s="106" t="s">
        <v>10320</v>
      </c>
      <c r="C5154" s="106"/>
      <c r="D5154" s="106"/>
      <c r="E5154" s="52"/>
    </row>
    <row r="5155" spans="1:5" s="103" customFormat="1" ht="13.2" hidden="1" outlineLevel="1" x14ac:dyDescent="0.25">
      <c r="A5155" s="106" t="s">
        <v>10321</v>
      </c>
      <c r="B5155" s="106" t="s">
        <v>10322</v>
      </c>
      <c r="C5155" s="106"/>
      <c r="D5155" s="106"/>
      <c r="E5155" s="52"/>
    </row>
    <row r="5156" spans="1:5" s="103" customFormat="1" ht="13.2" hidden="1" outlineLevel="1" x14ac:dyDescent="0.25">
      <c r="A5156" s="106" t="s">
        <v>10323</v>
      </c>
      <c r="B5156" s="106" t="s">
        <v>10324</v>
      </c>
      <c r="C5156" s="106"/>
      <c r="D5156" s="106"/>
      <c r="E5156" s="52"/>
    </row>
    <row r="5157" spans="1:5" s="103" customFormat="1" ht="13.2" hidden="1" outlineLevel="1" x14ac:dyDescent="0.25">
      <c r="A5157" s="106" t="s">
        <v>10325</v>
      </c>
      <c r="B5157" s="106" t="s">
        <v>10326</v>
      </c>
      <c r="C5157" s="106"/>
      <c r="D5157" s="106"/>
      <c r="E5157" s="52"/>
    </row>
    <row r="5158" spans="1:5" s="103" customFormat="1" ht="13.2" hidden="1" outlineLevel="1" x14ac:dyDescent="0.25">
      <c r="A5158" s="106" t="s">
        <v>10327</v>
      </c>
      <c r="B5158" s="106" t="s">
        <v>10328</v>
      </c>
      <c r="C5158" s="106"/>
      <c r="D5158" s="106"/>
      <c r="E5158" s="52"/>
    </row>
    <row r="5159" spans="1:5" s="103" customFormat="1" ht="13.2" hidden="1" outlineLevel="1" x14ac:dyDescent="0.25">
      <c r="A5159" s="106" t="s">
        <v>10329</v>
      </c>
      <c r="B5159" s="106" t="s">
        <v>10330</v>
      </c>
      <c r="C5159" s="106"/>
      <c r="D5159" s="106"/>
      <c r="E5159" s="52"/>
    </row>
    <row r="5160" spans="1:5" s="103" customFormat="1" ht="13.2" hidden="1" outlineLevel="1" x14ac:dyDescent="0.25">
      <c r="A5160" s="106" t="s">
        <v>10331</v>
      </c>
      <c r="B5160" s="106" t="s">
        <v>10332</v>
      </c>
      <c r="C5160" s="106"/>
      <c r="D5160" s="106"/>
      <c r="E5160" s="52"/>
    </row>
    <row r="5161" spans="1:5" s="103" customFormat="1" ht="13.2" hidden="1" outlineLevel="1" x14ac:dyDescent="0.25">
      <c r="A5161" s="106" t="s">
        <v>10333</v>
      </c>
      <c r="B5161" s="106" t="s">
        <v>10334</v>
      </c>
      <c r="C5161" s="106"/>
      <c r="D5161" s="106"/>
      <c r="E5161" s="52"/>
    </row>
    <row r="5162" spans="1:5" s="103" customFormat="1" ht="13.2" hidden="1" outlineLevel="1" x14ac:dyDescent="0.25">
      <c r="A5162" s="106" t="s">
        <v>10335</v>
      </c>
      <c r="B5162" s="106" t="s">
        <v>10336</v>
      </c>
      <c r="C5162" s="106"/>
      <c r="D5162" s="106"/>
      <c r="E5162" s="52"/>
    </row>
    <row r="5163" spans="1:5" s="103" customFormat="1" ht="13.2" hidden="1" outlineLevel="1" x14ac:dyDescent="0.25">
      <c r="A5163" s="106" t="s">
        <v>10337</v>
      </c>
      <c r="B5163" s="106" t="s">
        <v>10338</v>
      </c>
      <c r="C5163" s="106"/>
      <c r="D5163" s="106"/>
      <c r="E5163" s="52"/>
    </row>
    <row r="5164" spans="1:5" s="103" customFormat="1" ht="13.2" hidden="1" outlineLevel="1" x14ac:dyDescent="0.25">
      <c r="A5164" s="106" t="s">
        <v>10339</v>
      </c>
      <c r="B5164" s="106" t="s">
        <v>10340</v>
      </c>
      <c r="C5164" s="106"/>
      <c r="D5164" s="106"/>
      <c r="E5164" s="52"/>
    </row>
    <row r="5165" spans="1:5" s="103" customFormat="1" ht="13.2" hidden="1" outlineLevel="1" x14ac:dyDescent="0.25">
      <c r="A5165" s="106" t="s">
        <v>10341</v>
      </c>
      <c r="B5165" s="106" t="s">
        <v>10342</v>
      </c>
      <c r="C5165" s="106"/>
      <c r="D5165" s="106"/>
      <c r="E5165" s="52"/>
    </row>
    <row r="5166" spans="1:5" s="103" customFormat="1" ht="13.2" hidden="1" outlineLevel="1" x14ac:dyDescent="0.25">
      <c r="A5166" s="106" t="s">
        <v>10343</v>
      </c>
      <c r="B5166" s="106" t="s">
        <v>10344</v>
      </c>
      <c r="C5166" s="106"/>
      <c r="D5166" s="106"/>
      <c r="E5166" s="52"/>
    </row>
    <row r="5167" spans="1:5" s="103" customFormat="1" ht="13.2" hidden="1" outlineLevel="1" x14ac:dyDescent="0.25">
      <c r="A5167" s="106" t="s">
        <v>10345</v>
      </c>
      <c r="B5167" s="106" t="s">
        <v>10346</v>
      </c>
      <c r="C5167" s="106"/>
      <c r="D5167" s="106"/>
      <c r="E5167" s="52"/>
    </row>
    <row r="5168" spans="1:5" s="103" customFormat="1" ht="13.2" hidden="1" outlineLevel="1" x14ac:dyDescent="0.25">
      <c r="A5168" s="106" t="s">
        <v>10347</v>
      </c>
      <c r="B5168" s="106" t="s">
        <v>10348</v>
      </c>
      <c r="C5168" s="106"/>
      <c r="D5168" s="106"/>
      <c r="E5168" s="52"/>
    </row>
    <row r="5169" spans="1:5" s="103" customFormat="1" ht="13.2" hidden="1" outlineLevel="1" x14ac:dyDescent="0.25">
      <c r="A5169" s="106" t="s">
        <v>10349</v>
      </c>
      <c r="B5169" s="106" t="s">
        <v>10350</v>
      </c>
      <c r="C5169" s="106"/>
      <c r="D5169" s="106"/>
      <c r="E5169" s="52"/>
    </row>
    <row r="5170" spans="1:5" s="103" customFormat="1" ht="13.2" hidden="1" outlineLevel="1" x14ac:dyDescent="0.25">
      <c r="A5170" s="106" t="s">
        <v>10351</v>
      </c>
      <c r="B5170" s="106" t="s">
        <v>10352</v>
      </c>
      <c r="C5170" s="106"/>
      <c r="D5170" s="106"/>
      <c r="E5170" s="52"/>
    </row>
    <row r="5171" spans="1:5" s="103" customFormat="1" ht="13.2" hidden="1" outlineLevel="1" x14ac:dyDescent="0.25">
      <c r="A5171" s="106" t="s">
        <v>10353</v>
      </c>
      <c r="B5171" s="106" t="s">
        <v>10354</v>
      </c>
      <c r="C5171" s="106"/>
      <c r="D5171" s="106"/>
      <c r="E5171" s="52"/>
    </row>
    <row r="5172" spans="1:5" s="103" customFormat="1" ht="13.2" hidden="1" outlineLevel="1" x14ac:dyDescent="0.25">
      <c r="A5172" s="106" t="s">
        <v>10355</v>
      </c>
      <c r="B5172" s="106" t="s">
        <v>10356</v>
      </c>
      <c r="C5172" s="106"/>
      <c r="D5172" s="106"/>
      <c r="E5172" s="52"/>
    </row>
    <row r="5173" spans="1:5" s="103" customFormat="1" ht="13.2" hidden="1" outlineLevel="1" x14ac:dyDescent="0.25">
      <c r="A5173" s="106" t="s">
        <v>10357</v>
      </c>
      <c r="B5173" s="106" t="s">
        <v>10358</v>
      </c>
      <c r="C5173" s="106"/>
      <c r="D5173" s="106"/>
      <c r="E5173" s="52"/>
    </row>
    <row r="5174" spans="1:5" s="103" customFormat="1" ht="13.2" hidden="1" outlineLevel="1" x14ac:dyDescent="0.25">
      <c r="A5174" s="106" t="s">
        <v>10359</v>
      </c>
      <c r="B5174" s="106" t="s">
        <v>10360</v>
      </c>
      <c r="C5174" s="106"/>
      <c r="D5174" s="106"/>
      <c r="E5174" s="52"/>
    </row>
    <row r="5175" spans="1:5" s="103" customFormat="1" ht="13.2" hidden="1" outlineLevel="1" x14ac:dyDescent="0.25">
      <c r="A5175" s="106" t="s">
        <v>10361</v>
      </c>
      <c r="B5175" s="106" t="s">
        <v>10362</v>
      </c>
      <c r="C5175" s="106"/>
      <c r="D5175" s="106"/>
      <c r="E5175" s="52"/>
    </row>
    <row r="5176" spans="1:5" s="103" customFormat="1" ht="13.2" hidden="1" outlineLevel="1" x14ac:dyDescent="0.25">
      <c r="A5176" s="106" t="s">
        <v>10363</v>
      </c>
      <c r="B5176" s="106" t="s">
        <v>10364</v>
      </c>
      <c r="C5176" s="106"/>
      <c r="D5176" s="106"/>
      <c r="E5176" s="52"/>
    </row>
    <row r="5177" spans="1:5" s="103" customFormat="1" ht="13.2" hidden="1" outlineLevel="1" x14ac:dyDescent="0.25">
      <c r="A5177" s="106" t="s">
        <v>10365</v>
      </c>
      <c r="B5177" s="106" t="s">
        <v>10366</v>
      </c>
      <c r="C5177" s="106"/>
      <c r="D5177" s="106"/>
      <c r="E5177" s="52"/>
    </row>
    <row r="5178" spans="1:5" s="103" customFormat="1" ht="13.2" hidden="1" outlineLevel="1" x14ac:dyDescent="0.25">
      <c r="A5178" s="106" t="s">
        <v>10367</v>
      </c>
      <c r="B5178" s="106" t="s">
        <v>10368</v>
      </c>
      <c r="C5178" s="106"/>
      <c r="D5178" s="106"/>
      <c r="E5178" s="52"/>
    </row>
    <row r="5179" spans="1:5" s="103" customFormat="1" ht="13.2" hidden="1" outlineLevel="1" x14ac:dyDescent="0.25">
      <c r="A5179" s="106" t="s">
        <v>10369</v>
      </c>
      <c r="B5179" s="106" t="s">
        <v>10370</v>
      </c>
      <c r="C5179" s="106"/>
      <c r="D5179" s="106"/>
      <c r="E5179" s="52"/>
    </row>
    <row r="5180" spans="1:5" s="103" customFormat="1" ht="13.2" hidden="1" outlineLevel="1" x14ac:dyDescent="0.25">
      <c r="A5180" s="106" t="s">
        <v>10371</v>
      </c>
      <c r="B5180" s="106" t="s">
        <v>10372</v>
      </c>
      <c r="C5180" s="106"/>
      <c r="D5180" s="106"/>
      <c r="E5180" s="52"/>
    </row>
    <row r="5181" spans="1:5" s="103" customFormat="1" ht="13.2" hidden="1" outlineLevel="1" x14ac:dyDescent="0.25">
      <c r="A5181" s="106" t="s">
        <v>10373</v>
      </c>
      <c r="B5181" s="106" t="s">
        <v>10374</v>
      </c>
      <c r="C5181" s="106"/>
      <c r="D5181" s="106"/>
      <c r="E5181" s="52"/>
    </row>
    <row r="5182" spans="1:5" s="103" customFormat="1" ht="13.2" hidden="1" outlineLevel="1" x14ac:dyDescent="0.25">
      <c r="A5182" s="106" t="s">
        <v>10375</v>
      </c>
      <c r="B5182" s="106" t="s">
        <v>10376</v>
      </c>
      <c r="C5182" s="106"/>
      <c r="D5182" s="106"/>
      <c r="E5182" s="52"/>
    </row>
    <row r="5183" spans="1:5" s="103" customFormat="1" ht="13.2" hidden="1" outlineLevel="1" x14ac:dyDescent="0.25">
      <c r="A5183" s="106" t="s">
        <v>10377</v>
      </c>
      <c r="B5183" s="106" t="s">
        <v>10378</v>
      </c>
      <c r="C5183" s="106"/>
      <c r="D5183" s="106"/>
      <c r="E5183" s="52"/>
    </row>
    <row r="5184" spans="1:5" s="103" customFormat="1" ht="13.2" hidden="1" outlineLevel="1" x14ac:dyDescent="0.25">
      <c r="A5184" s="106" t="s">
        <v>10379</v>
      </c>
      <c r="B5184" s="106" t="s">
        <v>10380</v>
      </c>
      <c r="C5184" s="106"/>
      <c r="D5184" s="106"/>
      <c r="E5184" s="52"/>
    </row>
    <row r="5185" spans="1:5" s="103" customFormat="1" ht="13.2" hidden="1" outlineLevel="1" x14ac:dyDescent="0.25">
      <c r="A5185" s="106" t="s">
        <v>10381</v>
      </c>
      <c r="B5185" s="106" t="s">
        <v>10382</v>
      </c>
      <c r="C5185" s="106"/>
      <c r="D5185" s="106"/>
      <c r="E5185" s="52"/>
    </row>
    <row r="5186" spans="1:5" s="103" customFormat="1" ht="13.2" hidden="1" outlineLevel="1" x14ac:dyDescent="0.25">
      <c r="A5186" s="106" t="s">
        <v>10383</v>
      </c>
      <c r="B5186" s="106" t="s">
        <v>10384</v>
      </c>
      <c r="C5186" s="106"/>
      <c r="D5186" s="106"/>
      <c r="E5186" s="52"/>
    </row>
    <row r="5187" spans="1:5" s="103" customFormat="1" ht="13.2" hidden="1" outlineLevel="1" x14ac:dyDescent="0.25">
      <c r="A5187" s="106" t="s">
        <v>10385</v>
      </c>
      <c r="B5187" s="106" t="s">
        <v>10386</v>
      </c>
      <c r="C5187" s="106"/>
      <c r="D5187" s="106"/>
      <c r="E5187" s="52"/>
    </row>
    <row r="5188" spans="1:5" s="103" customFormat="1" ht="13.2" hidden="1" outlineLevel="1" x14ac:dyDescent="0.25">
      <c r="A5188" s="106" t="s">
        <v>10387</v>
      </c>
      <c r="B5188" s="106" t="s">
        <v>10388</v>
      </c>
      <c r="C5188" s="106"/>
      <c r="D5188" s="106"/>
      <c r="E5188" s="52"/>
    </row>
    <row r="5189" spans="1:5" s="103" customFormat="1" ht="13.2" hidden="1" outlineLevel="1" x14ac:dyDescent="0.25">
      <c r="A5189" s="106" t="s">
        <v>10389</v>
      </c>
      <c r="B5189" s="106" t="s">
        <v>10390</v>
      </c>
      <c r="C5189" s="106"/>
      <c r="D5189" s="106"/>
      <c r="E5189" s="52"/>
    </row>
    <row r="5190" spans="1:5" s="103" customFormat="1" ht="13.2" hidden="1" outlineLevel="1" x14ac:dyDescent="0.25">
      <c r="A5190" s="106" t="s">
        <v>10391</v>
      </c>
      <c r="B5190" s="106" t="s">
        <v>10392</v>
      </c>
      <c r="C5190" s="106"/>
      <c r="D5190" s="106"/>
      <c r="E5190" s="52"/>
    </row>
    <row r="5191" spans="1:5" s="103" customFormat="1" ht="13.2" hidden="1" outlineLevel="1" x14ac:dyDescent="0.25">
      <c r="A5191" s="106" t="s">
        <v>10393</v>
      </c>
      <c r="B5191" s="106" t="s">
        <v>10394</v>
      </c>
      <c r="C5191" s="106"/>
      <c r="D5191" s="106"/>
      <c r="E5191" s="52"/>
    </row>
    <row r="5192" spans="1:5" s="103" customFormat="1" ht="13.2" hidden="1" outlineLevel="1" x14ac:dyDescent="0.25">
      <c r="A5192" s="106" t="s">
        <v>10395</v>
      </c>
      <c r="B5192" s="106" t="s">
        <v>10396</v>
      </c>
      <c r="C5192" s="106"/>
      <c r="D5192" s="106"/>
      <c r="E5192" s="52"/>
    </row>
    <row r="5193" spans="1:5" s="103" customFormat="1" ht="13.2" hidden="1" outlineLevel="1" x14ac:dyDescent="0.25">
      <c r="A5193" s="106" t="s">
        <v>10397</v>
      </c>
      <c r="B5193" s="106" t="s">
        <v>10398</v>
      </c>
      <c r="C5193" s="106"/>
      <c r="D5193" s="106"/>
      <c r="E5193" s="52"/>
    </row>
    <row r="5194" spans="1:5" s="103" customFormat="1" ht="13.2" hidden="1" outlineLevel="1" x14ac:dyDescent="0.25">
      <c r="A5194" s="106" t="s">
        <v>10399</v>
      </c>
      <c r="B5194" s="106" t="s">
        <v>10400</v>
      </c>
      <c r="C5194" s="106"/>
      <c r="D5194" s="106"/>
      <c r="E5194" s="52"/>
    </row>
    <row r="5195" spans="1:5" s="103" customFormat="1" ht="13.2" hidden="1" outlineLevel="1" x14ac:dyDescent="0.25">
      <c r="A5195" s="106" t="s">
        <v>10401</v>
      </c>
      <c r="B5195" s="106" t="s">
        <v>10402</v>
      </c>
      <c r="C5195" s="106"/>
      <c r="D5195" s="106"/>
      <c r="E5195" s="52"/>
    </row>
    <row r="5196" spans="1:5" s="103" customFormat="1" ht="13.2" hidden="1" outlineLevel="1" x14ac:dyDescent="0.25">
      <c r="A5196" s="106" t="s">
        <v>10403</v>
      </c>
      <c r="B5196" s="106" t="s">
        <v>10404</v>
      </c>
      <c r="C5196" s="106"/>
      <c r="D5196" s="106"/>
      <c r="E5196" s="52"/>
    </row>
    <row r="5197" spans="1:5" s="103" customFormat="1" ht="13.2" hidden="1" outlineLevel="1" x14ac:dyDescent="0.25">
      <c r="A5197" s="106" t="s">
        <v>10405</v>
      </c>
      <c r="B5197" s="106" t="s">
        <v>10406</v>
      </c>
      <c r="C5197" s="106"/>
      <c r="D5197" s="106"/>
      <c r="E5197" s="52"/>
    </row>
    <row r="5198" spans="1:5" s="103" customFormat="1" ht="13.2" hidden="1" outlineLevel="1" x14ac:dyDescent="0.25">
      <c r="A5198" s="106" t="s">
        <v>10407</v>
      </c>
      <c r="B5198" s="106" t="s">
        <v>10408</v>
      </c>
      <c r="C5198" s="106"/>
      <c r="D5198" s="106"/>
      <c r="E5198" s="52"/>
    </row>
    <row r="5199" spans="1:5" s="103" customFormat="1" ht="13.2" hidden="1" outlineLevel="1" x14ac:dyDescent="0.25">
      <c r="A5199" s="106" t="s">
        <v>10409</v>
      </c>
      <c r="B5199" s="106" t="s">
        <v>10410</v>
      </c>
      <c r="C5199" s="106"/>
      <c r="D5199" s="106"/>
      <c r="E5199" s="52"/>
    </row>
    <row r="5200" spans="1:5" s="103" customFormat="1" ht="13.2" hidden="1" outlineLevel="1" x14ac:dyDescent="0.25">
      <c r="A5200" s="106" t="s">
        <v>10411</v>
      </c>
      <c r="B5200" s="106" t="s">
        <v>10412</v>
      </c>
      <c r="C5200" s="106"/>
      <c r="D5200" s="106"/>
      <c r="E5200" s="52"/>
    </row>
    <row r="5201" spans="1:5" s="103" customFormat="1" ht="13.2" hidden="1" outlineLevel="1" x14ac:dyDescent="0.25">
      <c r="A5201" s="106" t="s">
        <v>10413</v>
      </c>
      <c r="B5201" s="106" t="s">
        <v>10414</v>
      </c>
      <c r="C5201" s="106"/>
      <c r="D5201" s="106"/>
      <c r="E5201" s="52"/>
    </row>
    <row r="5202" spans="1:5" s="103" customFormat="1" ht="13.2" hidden="1" outlineLevel="1" x14ac:dyDescent="0.25">
      <c r="A5202" s="106" t="s">
        <v>10415</v>
      </c>
      <c r="B5202" s="106" t="s">
        <v>10416</v>
      </c>
      <c r="C5202" s="106"/>
      <c r="D5202" s="106"/>
      <c r="E5202" s="52"/>
    </row>
    <row r="5203" spans="1:5" s="103" customFormat="1" ht="13.2" hidden="1" outlineLevel="1" x14ac:dyDescent="0.25">
      <c r="A5203" s="106" t="s">
        <v>10417</v>
      </c>
      <c r="B5203" s="106" t="s">
        <v>10418</v>
      </c>
      <c r="C5203" s="106"/>
      <c r="D5203" s="106"/>
      <c r="E5203" s="52"/>
    </row>
    <row r="5204" spans="1:5" s="103" customFormat="1" ht="13.2" hidden="1" outlineLevel="1" x14ac:dyDescent="0.25">
      <c r="A5204" s="106" t="s">
        <v>10419</v>
      </c>
      <c r="B5204" s="106" t="s">
        <v>10420</v>
      </c>
      <c r="C5204" s="106"/>
      <c r="D5204" s="106"/>
      <c r="E5204" s="52"/>
    </row>
    <row r="5205" spans="1:5" s="103" customFormat="1" ht="13.2" hidden="1" outlineLevel="1" x14ac:dyDescent="0.25">
      <c r="A5205" s="106" t="s">
        <v>10421</v>
      </c>
      <c r="B5205" s="106" t="s">
        <v>10422</v>
      </c>
      <c r="C5205" s="106"/>
      <c r="D5205" s="106"/>
      <c r="E5205" s="52"/>
    </row>
    <row r="5206" spans="1:5" s="103" customFormat="1" ht="13.2" hidden="1" outlineLevel="1" x14ac:dyDescent="0.25">
      <c r="A5206" s="106" t="s">
        <v>10423</v>
      </c>
      <c r="B5206" s="106" t="s">
        <v>10424</v>
      </c>
      <c r="C5206" s="106"/>
      <c r="D5206" s="106"/>
      <c r="E5206" s="52"/>
    </row>
    <row r="5207" spans="1:5" s="103" customFormat="1" ht="13.2" hidden="1" outlineLevel="1" x14ac:dyDescent="0.25">
      <c r="A5207" s="106" t="s">
        <v>10425</v>
      </c>
      <c r="B5207" s="106" t="s">
        <v>10426</v>
      </c>
      <c r="C5207" s="106"/>
      <c r="D5207" s="106"/>
      <c r="E5207" s="52"/>
    </row>
    <row r="5208" spans="1:5" s="103" customFormat="1" ht="13.2" hidden="1" outlineLevel="1" x14ac:dyDescent="0.25">
      <c r="A5208" s="106" t="s">
        <v>10427</v>
      </c>
      <c r="B5208" s="106" t="s">
        <v>10428</v>
      </c>
      <c r="C5208" s="106"/>
      <c r="D5208" s="106"/>
      <c r="E5208" s="52"/>
    </row>
    <row r="5209" spans="1:5" s="103" customFormat="1" ht="13.2" hidden="1" outlineLevel="1" x14ac:dyDescent="0.25">
      <c r="A5209" s="106" t="s">
        <v>10429</v>
      </c>
      <c r="B5209" s="106" t="s">
        <v>10430</v>
      </c>
      <c r="C5209" s="106"/>
      <c r="D5209" s="106"/>
      <c r="E5209" s="52"/>
    </row>
    <row r="5210" spans="1:5" s="103" customFormat="1" ht="13.2" hidden="1" outlineLevel="1" x14ac:dyDescent="0.25">
      <c r="A5210" s="106" t="s">
        <v>10431</v>
      </c>
      <c r="B5210" s="106" t="s">
        <v>10432</v>
      </c>
      <c r="C5210" s="106"/>
      <c r="D5210" s="106"/>
      <c r="E5210" s="52"/>
    </row>
    <row r="5211" spans="1:5" s="103" customFormat="1" ht="13.2" hidden="1" outlineLevel="1" x14ac:dyDescent="0.25">
      <c r="A5211" s="106" t="s">
        <v>10433</v>
      </c>
      <c r="B5211" s="106" t="s">
        <v>10434</v>
      </c>
      <c r="C5211" s="106"/>
      <c r="D5211" s="106"/>
      <c r="E5211" s="52"/>
    </row>
    <row r="5212" spans="1:5" s="103" customFormat="1" ht="13.2" hidden="1" outlineLevel="1" x14ac:dyDescent="0.25">
      <c r="A5212" s="106" t="s">
        <v>10435</v>
      </c>
      <c r="B5212" s="106" t="s">
        <v>10436</v>
      </c>
      <c r="C5212" s="106"/>
      <c r="D5212" s="106"/>
      <c r="E5212" s="52"/>
    </row>
    <row r="5213" spans="1:5" s="103" customFormat="1" ht="13.2" hidden="1" outlineLevel="1" x14ac:dyDescent="0.25">
      <c r="A5213" s="106" t="s">
        <v>10437</v>
      </c>
      <c r="B5213" s="106" t="s">
        <v>10438</v>
      </c>
      <c r="C5213" s="106"/>
      <c r="D5213" s="106"/>
      <c r="E5213" s="52"/>
    </row>
    <row r="5214" spans="1:5" s="103" customFormat="1" ht="13.2" hidden="1" outlineLevel="1" x14ac:dyDescent="0.25">
      <c r="A5214" s="106" t="s">
        <v>10439</v>
      </c>
      <c r="B5214" s="106" t="s">
        <v>10440</v>
      </c>
      <c r="C5214" s="106"/>
      <c r="D5214" s="106"/>
      <c r="E5214" s="52"/>
    </row>
    <row r="5215" spans="1:5" s="103" customFormat="1" ht="13.2" hidden="1" outlineLevel="1" x14ac:dyDescent="0.25">
      <c r="A5215" s="106" t="s">
        <v>10441</v>
      </c>
      <c r="B5215" s="106" t="s">
        <v>10442</v>
      </c>
      <c r="C5215" s="106"/>
      <c r="D5215" s="106"/>
      <c r="E5215" s="52"/>
    </row>
    <row r="5216" spans="1:5" s="103" customFormat="1" ht="13.2" hidden="1" outlineLevel="1" x14ac:dyDescent="0.25">
      <c r="A5216" s="106" t="s">
        <v>10443</v>
      </c>
      <c r="B5216" s="106" t="s">
        <v>10444</v>
      </c>
      <c r="C5216" s="106"/>
      <c r="D5216" s="106"/>
      <c r="E5216" s="52"/>
    </row>
    <row r="5217" spans="1:5" s="103" customFormat="1" ht="13.2" hidden="1" outlineLevel="1" x14ac:dyDescent="0.25">
      <c r="A5217" s="106" t="s">
        <v>10445</v>
      </c>
      <c r="B5217" s="106" t="s">
        <v>10446</v>
      </c>
      <c r="C5217" s="106"/>
      <c r="D5217" s="106"/>
      <c r="E5217" s="52"/>
    </row>
    <row r="5218" spans="1:5" s="103" customFormat="1" ht="13.2" hidden="1" outlineLevel="1" x14ac:dyDescent="0.25">
      <c r="A5218" s="106" t="s">
        <v>10447</v>
      </c>
      <c r="B5218" s="106" t="s">
        <v>10448</v>
      </c>
      <c r="C5218" s="106"/>
      <c r="D5218" s="106"/>
      <c r="E5218" s="52"/>
    </row>
    <row r="5219" spans="1:5" s="103" customFormat="1" ht="13.2" hidden="1" outlineLevel="1" x14ac:dyDescent="0.25">
      <c r="A5219" s="106" t="s">
        <v>10449</v>
      </c>
      <c r="B5219" s="106" t="s">
        <v>10450</v>
      </c>
      <c r="C5219" s="106"/>
      <c r="D5219" s="106"/>
      <c r="E5219" s="52"/>
    </row>
    <row r="5220" spans="1:5" s="103" customFormat="1" ht="13.2" hidden="1" outlineLevel="1" x14ac:dyDescent="0.25">
      <c r="A5220" s="106" t="s">
        <v>10451</v>
      </c>
      <c r="B5220" s="106" t="s">
        <v>10452</v>
      </c>
      <c r="C5220" s="106"/>
      <c r="D5220" s="106"/>
      <c r="E5220" s="52"/>
    </row>
    <row r="5221" spans="1:5" s="103" customFormat="1" ht="13.2" hidden="1" outlineLevel="1" x14ac:dyDescent="0.25">
      <c r="A5221" s="106" t="s">
        <v>10453</v>
      </c>
      <c r="B5221" s="106" t="s">
        <v>10454</v>
      </c>
      <c r="C5221" s="106"/>
      <c r="D5221" s="106"/>
      <c r="E5221" s="52"/>
    </row>
    <row r="5222" spans="1:5" s="103" customFormat="1" ht="13.2" hidden="1" outlineLevel="1" x14ac:dyDescent="0.25">
      <c r="A5222" s="106" t="s">
        <v>10455</v>
      </c>
      <c r="B5222" s="106" t="s">
        <v>10456</v>
      </c>
      <c r="C5222" s="106"/>
      <c r="D5222" s="106"/>
      <c r="E5222" s="52"/>
    </row>
    <row r="5223" spans="1:5" s="103" customFormat="1" ht="13.2" hidden="1" outlineLevel="1" x14ac:dyDescent="0.25">
      <c r="A5223" s="106" t="s">
        <v>10457</v>
      </c>
      <c r="B5223" s="106" t="s">
        <v>10458</v>
      </c>
      <c r="C5223" s="106"/>
      <c r="D5223" s="106"/>
      <c r="E5223" s="52"/>
    </row>
    <row r="5224" spans="1:5" s="103" customFormat="1" ht="13.2" hidden="1" outlineLevel="1" x14ac:dyDescent="0.25">
      <c r="A5224" s="106" t="s">
        <v>10459</v>
      </c>
      <c r="B5224" s="106" t="s">
        <v>10460</v>
      </c>
      <c r="C5224" s="106"/>
      <c r="D5224" s="106"/>
      <c r="E5224" s="52"/>
    </row>
    <row r="5225" spans="1:5" s="103" customFormat="1" ht="13.2" hidden="1" outlineLevel="1" x14ac:dyDescent="0.25">
      <c r="A5225" s="106" t="s">
        <v>10461</v>
      </c>
      <c r="B5225" s="106" t="s">
        <v>10462</v>
      </c>
      <c r="C5225" s="106"/>
      <c r="D5225" s="106"/>
      <c r="E5225" s="52"/>
    </row>
    <row r="5226" spans="1:5" s="103" customFormat="1" ht="13.2" hidden="1" outlineLevel="1" x14ac:dyDescent="0.25">
      <c r="A5226" s="106" t="s">
        <v>10463</v>
      </c>
      <c r="B5226" s="106" t="s">
        <v>10464</v>
      </c>
      <c r="C5226" s="106"/>
      <c r="D5226" s="106"/>
      <c r="E5226" s="52"/>
    </row>
    <row r="5227" spans="1:5" s="103" customFormat="1" ht="13.2" hidden="1" outlineLevel="1" x14ac:dyDescent="0.25">
      <c r="A5227" s="106" t="s">
        <v>10465</v>
      </c>
      <c r="B5227" s="106" t="s">
        <v>10466</v>
      </c>
      <c r="C5227" s="106"/>
      <c r="D5227" s="106"/>
      <c r="E5227" s="52"/>
    </row>
    <row r="5228" spans="1:5" s="103" customFormat="1" ht="13.2" hidden="1" outlineLevel="1" x14ac:dyDescent="0.25">
      <c r="A5228" s="106" t="s">
        <v>10467</v>
      </c>
      <c r="B5228" s="106" t="s">
        <v>10468</v>
      </c>
      <c r="C5228" s="106"/>
      <c r="D5228" s="106"/>
      <c r="E5228" s="52"/>
    </row>
    <row r="5229" spans="1:5" s="103" customFormat="1" ht="13.2" hidden="1" outlineLevel="1" x14ac:dyDescent="0.25">
      <c r="A5229" s="106" t="s">
        <v>10469</v>
      </c>
      <c r="B5229" s="106" t="s">
        <v>10470</v>
      </c>
      <c r="C5229" s="106"/>
      <c r="D5229" s="106"/>
      <c r="E5229" s="52"/>
    </row>
    <row r="5230" spans="1:5" s="103" customFormat="1" ht="13.2" hidden="1" outlineLevel="1" x14ac:dyDescent="0.25">
      <c r="A5230" s="106" t="s">
        <v>10471</v>
      </c>
      <c r="B5230" s="106" t="s">
        <v>10472</v>
      </c>
      <c r="C5230" s="106"/>
      <c r="D5230" s="106"/>
      <c r="E5230" s="52"/>
    </row>
    <row r="5231" spans="1:5" s="103" customFormat="1" ht="13.2" hidden="1" outlineLevel="1" x14ac:dyDescent="0.25">
      <c r="A5231" s="106" t="s">
        <v>10473</v>
      </c>
      <c r="B5231" s="106" t="s">
        <v>10474</v>
      </c>
      <c r="C5231" s="106"/>
      <c r="D5231" s="106"/>
      <c r="E5231" s="52"/>
    </row>
    <row r="5232" spans="1:5" s="103" customFormat="1" ht="13.2" hidden="1" outlineLevel="1" x14ac:dyDescent="0.25">
      <c r="A5232" s="106" t="s">
        <v>10475</v>
      </c>
      <c r="B5232" s="106" t="s">
        <v>10476</v>
      </c>
      <c r="C5232" s="106"/>
      <c r="D5232" s="106"/>
      <c r="E5232" s="52"/>
    </row>
    <row r="5233" spans="1:5" s="103" customFormat="1" ht="13.2" hidden="1" outlineLevel="1" x14ac:dyDescent="0.25">
      <c r="A5233" s="106" t="s">
        <v>10477</v>
      </c>
      <c r="B5233" s="106" t="s">
        <v>10478</v>
      </c>
      <c r="C5233" s="106"/>
      <c r="D5233" s="106"/>
      <c r="E5233" s="52"/>
    </row>
    <row r="5234" spans="1:5" s="103" customFormat="1" ht="13.2" hidden="1" outlineLevel="1" x14ac:dyDescent="0.25">
      <c r="A5234" s="106" t="s">
        <v>10479</v>
      </c>
      <c r="B5234" s="106" t="s">
        <v>10480</v>
      </c>
      <c r="C5234" s="106"/>
      <c r="D5234" s="106"/>
      <c r="E5234" s="52"/>
    </row>
    <row r="5235" spans="1:5" s="103" customFormat="1" ht="13.2" hidden="1" outlineLevel="1" x14ac:dyDescent="0.25">
      <c r="A5235" s="106" t="s">
        <v>10481</v>
      </c>
      <c r="B5235" s="106" t="s">
        <v>10482</v>
      </c>
      <c r="C5235" s="106"/>
      <c r="D5235" s="106"/>
      <c r="E5235" s="52"/>
    </row>
    <row r="5236" spans="1:5" s="103" customFormat="1" ht="13.2" hidden="1" outlineLevel="1" x14ac:dyDescent="0.25">
      <c r="A5236" s="106" t="s">
        <v>10483</v>
      </c>
      <c r="B5236" s="106" t="s">
        <v>10484</v>
      </c>
      <c r="C5236" s="106"/>
      <c r="D5236" s="106"/>
      <c r="E5236" s="52"/>
    </row>
    <row r="5237" spans="1:5" s="103" customFormat="1" ht="13.2" hidden="1" outlineLevel="1" x14ac:dyDescent="0.25">
      <c r="A5237" s="106" t="s">
        <v>10485</v>
      </c>
      <c r="B5237" s="106" t="s">
        <v>10486</v>
      </c>
      <c r="C5237" s="106"/>
      <c r="D5237" s="106"/>
      <c r="E5237" s="52"/>
    </row>
    <row r="5238" spans="1:5" s="103" customFormat="1" ht="13.2" hidden="1" outlineLevel="1" x14ac:dyDescent="0.25">
      <c r="A5238" s="106" t="s">
        <v>10487</v>
      </c>
      <c r="B5238" s="106" t="s">
        <v>10488</v>
      </c>
      <c r="C5238" s="106"/>
      <c r="D5238" s="106"/>
      <c r="E5238" s="52"/>
    </row>
    <row r="5239" spans="1:5" s="103" customFormat="1" ht="13.2" hidden="1" outlineLevel="1" x14ac:dyDescent="0.25">
      <c r="A5239" s="106" t="s">
        <v>10489</v>
      </c>
      <c r="B5239" s="106" t="s">
        <v>10490</v>
      </c>
      <c r="C5239" s="106"/>
      <c r="D5239" s="106"/>
      <c r="E5239" s="52"/>
    </row>
    <row r="5240" spans="1:5" s="103" customFormat="1" ht="13.2" hidden="1" outlineLevel="1" x14ac:dyDescent="0.25">
      <c r="A5240" s="106" t="s">
        <v>10491</v>
      </c>
      <c r="B5240" s="106" t="s">
        <v>10492</v>
      </c>
      <c r="C5240" s="106"/>
      <c r="D5240" s="106"/>
      <c r="E5240" s="52"/>
    </row>
    <row r="5241" spans="1:5" s="103" customFormat="1" ht="13.2" hidden="1" outlineLevel="1" x14ac:dyDescent="0.25">
      <c r="A5241" s="106" t="s">
        <v>10493</v>
      </c>
      <c r="B5241" s="106" t="s">
        <v>10494</v>
      </c>
      <c r="C5241" s="106"/>
      <c r="D5241" s="106"/>
      <c r="E5241" s="52"/>
    </row>
    <row r="5242" spans="1:5" s="103" customFormat="1" ht="13.2" hidden="1" outlineLevel="1" x14ac:dyDescent="0.25">
      <c r="A5242" s="106" t="s">
        <v>10495</v>
      </c>
      <c r="B5242" s="106" t="s">
        <v>10496</v>
      </c>
      <c r="C5242" s="106"/>
      <c r="D5242" s="106"/>
      <c r="E5242" s="52"/>
    </row>
    <row r="5243" spans="1:5" s="103" customFormat="1" ht="13.2" hidden="1" outlineLevel="1" x14ac:dyDescent="0.25">
      <c r="A5243" s="106" t="s">
        <v>10497</v>
      </c>
      <c r="B5243" s="106" t="s">
        <v>10498</v>
      </c>
      <c r="C5243" s="106"/>
      <c r="D5243" s="106"/>
      <c r="E5243" s="52"/>
    </row>
    <row r="5244" spans="1:5" s="103" customFormat="1" ht="13.2" hidden="1" outlineLevel="1" x14ac:dyDescent="0.25">
      <c r="A5244" s="106" t="s">
        <v>10499</v>
      </c>
      <c r="B5244" s="106" t="s">
        <v>10500</v>
      </c>
      <c r="C5244" s="106"/>
      <c r="D5244" s="106"/>
      <c r="E5244" s="52"/>
    </row>
    <row r="5245" spans="1:5" s="103" customFormat="1" ht="13.2" hidden="1" outlineLevel="1" x14ac:dyDescent="0.25">
      <c r="A5245" s="106" t="s">
        <v>10501</v>
      </c>
      <c r="B5245" s="106" t="s">
        <v>10502</v>
      </c>
      <c r="C5245" s="106"/>
      <c r="D5245" s="106"/>
      <c r="E5245" s="52"/>
    </row>
    <row r="5246" spans="1:5" s="103" customFormat="1" ht="13.2" hidden="1" outlineLevel="1" x14ac:dyDescent="0.25">
      <c r="A5246" s="106" t="s">
        <v>10503</v>
      </c>
      <c r="B5246" s="106" t="s">
        <v>10504</v>
      </c>
      <c r="C5246" s="106"/>
      <c r="D5246" s="106"/>
      <c r="E5246" s="52"/>
    </row>
    <row r="5247" spans="1:5" s="103" customFormat="1" ht="13.2" hidden="1" outlineLevel="1" x14ac:dyDescent="0.25">
      <c r="A5247" s="106" t="s">
        <v>10505</v>
      </c>
      <c r="B5247" s="106" t="s">
        <v>10506</v>
      </c>
      <c r="C5247" s="106"/>
      <c r="D5247" s="106"/>
      <c r="E5247" s="52"/>
    </row>
    <row r="5248" spans="1:5" s="103" customFormat="1" ht="13.2" hidden="1" outlineLevel="1" x14ac:dyDescent="0.25">
      <c r="A5248" s="106" t="s">
        <v>10507</v>
      </c>
      <c r="B5248" s="106" t="s">
        <v>10508</v>
      </c>
      <c r="C5248" s="106"/>
      <c r="D5248" s="106"/>
      <c r="E5248" s="52"/>
    </row>
    <row r="5249" spans="1:5" s="103" customFormat="1" ht="13.2" hidden="1" outlineLevel="1" x14ac:dyDescent="0.25">
      <c r="A5249" s="106" t="s">
        <v>10509</v>
      </c>
      <c r="B5249" s="106" t="s">
        <v>10510</v>
      </c>
      <c r="C5249" s="106"/>
      <c r="D5249" s="106"/>
      <c r="E5249" s="52"/>
    </row>
    <row r="5250" spans="1:5" s="103" customFormat="1" ht="13.2" hidden="1" outlineLevel="1" x14ac:dyDescent="0.25">
      <c r="A5250" s="106" t="s">
        <v>10511</v>
      </c>
      <c r="B5250" s="106" t="s">
        <v>10512</v>
      </c>
      <c r="C5250" s="106"/>
      <c r="D5250" s="106"/>
      <c r="E5250" s="52"/>
    </row>
    <row r="5251" spans="1:5" s="103" customFormat="1" ht="13.2" hidden="1" outlineLevel="1" x14ac:dyDescent="0.25">
      <c r="A5251" s="106" t="s">
        <v>10513</v>
      </c>
      <c r="B5251" s="106" t="s">
        <v>10514</v>
      </c>
      <c r="C5251" s="106"/>
      <c r="D5251" s="106"/>
      <c r="E5251" s="52"/>
    </row>
    <row r="5252" spans="1:5" s="103" customFormat="1" ht="13.2" hidden="1" outlineLevel="1" x14ac:dyDescent="0.25">
      <c r="A5252" s="106" t="s">
        <v>10515</v>
      </c>
      <c r="B5252" s="106" t="s">
        <v>10516</v>
      </c>
      <c r="C5252" s="106"/>
      <c r="D5252" s="106"/>
      <c r="E5252" s="52"/>
    </row>
    <row r="5253" spans="1:5" s="103" customFormat="1" ht="13.2" hidden="1" outlineLevel="1" x14ac:dyDescent="0.25">
      <c r="A5253" s="106" t="s">
        <v>10517</v>
      </c>
      <c r="B5253" s="106" t="s">
        <v>10518</v>
      </c>
      <c r="C5253" s="106"/>
      <c r="D5253" s="106"/>
      <c r="E5253" s="52"/>
    </row>
    <row r="5254" spans="1:5" s="103" customFormat="1" ht="13.2" hidden="1" outlineLevel="1" x14ac:dyDescent="0.25">
      <c r="A5254" s="106" t="s">
        <v>10519</v>
      </c>
      <c r="B5254" s="106" t="s">
        <v>10520</v>
      </c>
      <c r="C5254" s="106"/>
      <c r="D5254" s="106"/>
      <c r="E5254" s="52"/>
    </row>
    <row r="5255" spans="1:5" s="103" customFormat="1" ht="13.2" hidden="1" outlineLevel="1" x14ac:dyDescent="0.25">
      <c r="A5255" s="106" t="s">
        <v>10521</v>
      </c>
      <c r="B5255" s="106" t="s">
        <v>10522</v>
      </c>
      <c r="C5255" s="106"/>
      <c r="D5255" s="106"/>
      <c r="E5255" s="52"/>
    </row>
    <row r="5256" spans="1:5" s="103" customFormat="1" ht="13.2" hidden="1" outlineLevel="1" x14ac:dyDescent="0.25">
      <c r="A5256" s="106" t="s">
        <v>10523</v>
      </c>
      <c r="B5256" s="106" t="s">
        <v>10524</v>
      </c>
      <c r="C5256" s="106"/>
      <c r="D5256" s="106"/>
      <c r="E5256" s="52"/>
    </row>
    <row r="5257" spans="1:5" s="103" customFormat="1" ht="13.2" hidden="1" outlineLevel="1" x14ac:dyDescent="0.25">
      <c r="A5257" s="106" t="s">
        <v>10525</v>
      </c>
      <c r="B5257" s="106" t="s">
        <v>10526</v>
      </c>
      <c r="C5257" s="106"/>
      <c r="D5257" s="106"/>
      <c r="E5257" s="52"/>
    </row>
    <row r="5258" spans="1:5" s="103" customFormat="1" ht="13.2" hidden="1" outlineLevel="1" x14ac:dyDescent="0.25">
      <c r="A5258" s="106" t="s">
        <v>10527</v>
      </c>
      <c r="B5258" s="106" t="s">
        <v>10528</v>
      </c>
      <c r="C5258" s="106"/>
      <c r="D5258" s="106"/>
      <c r="E5258" s="52"/>
    </row>
    <row r="5259" spans="1:5" s="103" customFormat="1" ht="13.2" hidden="1" outlineLevel="1" x14ac:dyDescent="0.25">
      <c r="A5259" s="106" t="s">
        <v>10529</v>
      </c>
      <c r="B5259" s="106" t="s">
        <v>10530</v>
      </c>
      <c r="C5259" s="106"/>
      <c r="D5259" s="106"/>
      <c r="E5259" s="52"/>
    </row>
    <row r="5260" spans="1:5" s="103" customFormat="1" ht="13.2" hidden="1" outlineLevel="1" x14ac:dyDescent="0.25">
      <c r="A5260" s="106" t="s">
        <v>10531</v>
      </c>
      <c r="B5260" s="106" t="s">
        <v>10532</v>
      </c>
      <c r="C5260" s="106"/>
      <c r="D5260" s="106"/>
      <c r="E5260" s="52"/>
    </row>
    <row r="5261" spans="1:5" s="103" customFormat="1" ht="13.2" hidden="1" outlineLevel="1" x14ac:dyDescent="0.25">
      <c r="A5261" s="106" t="s">
        <v>10533</v>
      </c>
      <c r="B5261" s="106" t="s">
        <v>10534</v>
      </c>
      <c r="C5261" s="106"/>
      <c r="D5261" s="106"/>
      <c r="E5261" s="52"/>
    </row>
    <row r="5262" spans="1:5" s="103" customFormat="1" ht="13.2" hidden="1" outlineLevel="1" x14ac:dyDescent="0.25">
      <c r="A5262" s="106" t="s">
        <v>10535</v>
      </c>
      <c r="B5262" s="106" t="s">
        <v>10536</v>
      </c>
      <c r="C5262" s="106"/>
      <c r="D5262" s="106"/>
      <c r="E5262" s="52"/>
    </row>
    <row r="5263" spans="1:5" s="103" customFormat="1" ht="13.2" hidden="1" outlineLevel="1" x14ac:dyDescent="0.25">
      <c r="A5263" s="106" t="s">
        <v>10537</v>
      </c>
      <c r="B5263" s="106" t="s">
        <v>10538</v>
      </c>
      <c r="C5263" s="106"/>
      <c r="D5263" s="106"/>
      <c r="E5263" s="52"/>
    </row>
    <row r="5264" spans="1:5" s="103" customFormat="1" ht="13.2" hidden="1" outlineLevel="1" x14ac:dyDescent="0.25">
      <c r="A5264" s="106" t="s">
        <v>10539</v>
      </c>
      <c r="B5264" s="106" t="s">
        <v>10540</v>
      </c>
      <c r="C5264" s="106"/>
      <c r="D5264" s="106"/>
      <c r="E5264" s="52"/>
    </row>
    <row r="5265" spans="1:5" s="103" customFormat="1" ht="13.2" hidden="1" outlineLevel="1" x14ac:dyDescent="0.25">
      <c r="A5265" s="106" t="s">
        <v>10541</v>
      </c>
      <c r="B5265" s="106" t="s">
        <v>10542</v>
      </c>
      <c r="C5265" s="106"/>
      <c r="D5265" s="106"/>
      <c r="E5265" s="52"/>
    </row>
    <row r="5266" spans="1:5" s="103" customFormat="1" ht="13.2" hidden="1" outlineLevel="1" x14ac:dyDescent="0.25">
      <c r="A5266" s="106" t="s">
        <v>10543</v>
      </c>
      <c r="B5266" s="106" t="s">
        <v>10544</v>
      </c>
      <c r="C5266" s="106"/>
      <c r="D5266" s="106"/>
      <c r="E5266" s="52"/>
    </row>
    <row r="5267" spans="1:5" s="103" customFormat="1" ht="13.2" hidden="1" outlineLevel="1" x14ac:dyDescent="0.25">
      <c r="A5267" s="106" t="s">
        <v>10545</v>
      </c>
      <c r="B5267" s="106" t="s">
        <v>10546</v>
      </c>
      <c r="C5267" s="106"/>
      <c r="D5267" s="106"/>
      <c r="E5267" s="52"/>
    </row>
    <row r="5268" spans="1:5" s="103" customFormat="1" ht="13.2" hidden="1" outlineLevel="1" x14ac:dyDescent="0.25">
      <c r="A5268" s="106" t="s">
        <v>10547</v>
      </c>
      <c r="B5268" s="106" t="s">
        <v>10548</v>
      </c>
      <c r="C5268" s="106"/>
      <c r="D5268" s="106"/>
      <c r="E5268" s="52"/>
    </row>
    <row r="5269" spans="1:5" s="103" customFormat="1" ht="13.2" hidden="1" outlineLevel="1" x14ac:dyDescent="0.25">
      <c r="A5269" s="106" t="s">
        <v>10549</v>
      </c>
      <c r="B5269" s="106" t="s">
        <v>10550</v>
      </c>
      <c r="C5269" s="106"/>
      <c r="D5269" s="106"/>
      <c r="E5269" s="52"/>
    </row>
    <row r="5270" spans="1:5" s="103" customFormat="1" ht="13.2" hidden="1" outlineLevel="1" x14ac:dyDescent="0.25">
      <c r="A5270" s="106" t="s">
        <v>10551</v>
      </c>
      <c r="B5270" s="106" t="s">
        <v>10552</v>
      </c>
      <c r="C5270" s="106"/>
      <c r="D5270" s="106"/>
      <c r="E5270" s="52"/>
    </row>
    <row r="5271" spans="1:5" s="103" customFormat="1" ht="13.2" hidden="1" outlineLevel="1" x14ac:dyDescent="0.25">
      <c r="A5271" s="106" t="s">
        <v>10553</v>
      </c>
      <c r="B5271" s="106" t="s">
        <v>10554</v>
      </c>
      <c r="C5271" s="106"/>
      <c r="D5271" s="106"/>
      <c r="E5271" s="52"/>
    </row>
    <row r="5272" spans="1:5" s="103" customFormat="1" ht="13.2" hidden="1" outlineLevel="1" x14ac:dyDescent="0.25">
      <c r="A5272" s="106" t="s">
        <v>10555</v>
      </c>
      <c r="B5272" s="106" t="s">
        <v>10556</v>
      </c>
      <c r="C5272" s="106"/>
      <c r="D5272" s="106"/>
      <c r="E5272" s="52"/>
    </row>
    <row r="5273" spans="1:5" s="103" customFormat="1" ht="13.2" hidden="1" outlineLevel="1" x14ac:dyDescent="0.25">
      <c r="A5273" s="106" t="s">
        <v>10557</v>
      </c>
      <c r="B5273" s="106" t="s">
        <v>10558</v>
      </c>
      <c r="C5273" s="106"/>
      <c r="D5273" s="106"/>
      <c r="E5273" s="52"/>
    </row>
    <row r="5274" spans="1:5" s="103" customFormat="1" ht="13.2" hidden="1" outlineLevel="1" x14ac:dyDescent="0.25">
      <c r="A5274" s="106" t="s">
        <v>10559</v>
      </c>
      <c r="B5274" s="106" t="s">
        <v>10560</v>
      </c>
      <c r="C5274" s="106"/>
      <c r="D5274" s="106"/>
      <c r="E5274" s="52"/>
    </row>
    <row r="5275" spans="1:5" s="103" customFormat="1" ht="13.2" hidden="1" outlineLevel="1" x14ac:dyDescent="0.25">
      <c r="A5275" s="106" t="s">
        <v>10561</v>
      </c>
      <c r="B5275" s="106" t="s">
        <v>10562</v>
      </c>
      <c r="C5275" s="106"/>
      <c r="D5275" s="106"/>
      <c r="E5275" s="52"/>
    </row>
    <row r="5276" spans="1:5" s="103" customFormat="1" ht="13.2" hidden="1" outlineLevel="1" x14ac:dyDescent="0.25">
      <c r="A5276" s="106" t="s">
        <v>10563</v>
      </c>
      <c r="B5276" s="106" t="s">
        <v>10564</v>
      </c>
      <c r="C5276" s="106"/>
      <c r="D5276" s="106"/>
      <c r="E5276" s="52"/>
    </row>
    <row r="5277" spans="1:5" s="103" customFormat="1" ht="13.2" hidden="1" outlineLevel="1" x14ac:dyDescent="0.25">
      <c r="A5277" s="106" t="s">
        <v>10565</v>
      </c>
      <c r="B5277" s="106" t="s">
        <v>10566</v>
      </c>
      <c r="C5277" s="106"/>
      <c r="D5277" s="106"/>
      <c r="E5277" s="52"/>
    </row>
    <row r="5278" spans="1:5" s="103" customFormat="1" ht="13.2" hidden="1" outlineLevel="1" x14ac:dyDescent="0.25">
      <c r="A5278" s="106" t="s">
        <v>10567</v>
      </c>
      <c r="B5278" s="106" t="s">
        <v>10568</v>
      </c>
      <c r="C5278" s="106"/>
      <c r="D5278" s="106"/>
      <c r="E5278" s="52"/>
    </row>
    <row r="5279" spans="1:5" s="103" customFormat="1" ht="13.2" hidden="1" outlineLevel="1" x14ac:dyDescent="0.25">
      <c r="A5279" s="106" t="s">
        <v>10569</v>
      </c>
      <c r="B5279" s="106" t="s">
        <v>10570</v>
      </c>
      <c r="C5279" s="106"/>
      <c r="D5279" s="106"/>
      <c r="E5279" s="52"/>
    </row>
    <row r="5280" spans="1:5" s="103" customFormat="1" ht="13.2" hidden="1" outlineLevel="1" x14ac:dyDescent="0.25">
      <c r="A5280" s="106" t="s">
        <v>10571</v>
      </c>
      <c r="B5280" s="106" t="s">
        <v>10572</v>
      </c>
      <c r="C5280" s="106"/>
      <c r="D5280" s="106"/>
      <c r="E5280" s="52"/>
    </row>
    <row r="5281" spans="1:5" s="103" customFormat="1" ht="13.2" hidden="1" outlineLevel="1" x14ac:dyDescent="0.25">
      <c r="A5281" s="106" t="s">
        <v>10573</v>
      </c>
      <c r="B5281" s="106" t="s">
        <v>10574</v>
      </c>
      <c r="C5281" s="106"/>
      <c r="D5281" s="106"/>
      <c r="E5281" s="52"/>
    </row>
    <row r="5282" spans="1:5" s="103" customFormat="1" ht="13.2" hidden="1" outlineLevel="1" x14ac:dyDescent="0.25">
      <c r="A5282" s="106" t="s">
        <v>10575</v>
      </c>
      <c r="B5282" s="106" t="s">
        <v>10576</v>
      </c>
      <c r="C5282" s="106"/>
      <c r="D5282" s="106"/>
      <c r="E5282" s="52"/>
    </row>
    <row r="5283" spans="1:5" s="103" customFormat="1" ht="13.2" hidden="1" outlineLevel="1" x14ac:dyDescent="0.25">
      <c r="A5283" s="106" t="s">
        <v>10577</v>
      </c>
      <c r="B5283" s="106" t="s">
        <v>10578</v>
      </c>
      <c r="C5283" s="106"/>
      <c r="D5283" s="106"/>
      <c r="E5283" s="52"/>
    </row>
    <row r="5284" spans="1:5" s="103" customFormat="1" ht="13.2" hidden="1" outlineLevel="1" x14ac:dyDescent="0.25">
      <c r="A5284" s="106" t="s">
        <v>10579</v>
      </c>
      <c r="B5284" s="106" t="s">
        <v>10580</v>
      </c>
      <c r="C5284" s="106"/>
      <c r="D5284" s="106"/>
      <c r="E5284" s="52"/>
    </row>
    <row r="5285" spans="1:5" s="103" customFormat="1" ht="13.2" hidden="1" outlineLevel="1" x14ac:dyDescent="0.25">
      <c r="A5285" s="106" t="s">
        <v>10581</v>
      </c>
      <c r="B5285" s="106" t="s">
        <v>10582</v>
      </c>
      <c r="C5285" s="106"/>
      <c r="D5285" s="106"/>
      <c r="E5285" s="52"/>
    </row>
    <row r="5286" spans="1:5" s="103" customFormat="1" ht="13.2" hidden="1" outlineLevel="1" x14ac:dyDescent="0.25">
      <c r="A5286" s="106" t="s">
        <v>10583</v>
      </c>
      <c r="B5286" s="106" t="s">
        <v>10584</v>
      </c>
      <c r="C5286" s="106"/>
      <c r="D5286" s="106"/>
      <c r="E5286" s="52"/>
    </row>
    <row r="5287" spans="1:5" s="103" customFormat="1" ht="13.2" hidden="1" outlineLevel="1" x14ac:dyDescent="0.25">
      <c r="A5287" s="106" t="s">
        <v>10585</v>
      </c>
      <c r="B5287" s="106" t="s">
        <v>10586</v>
      </c>
      <c r="C5287" s="106"/>
      <c r="D5287" s="106"/>
      <c r="E5287" s="52"/>
    </row>
    <row r="5288" spans="1:5" s="103" customFormat="1" ht="13.2" hidden="1" outlineLevel="1" x14ac:dyDescent="0.25">
      <c r="A5288" s="106" t="s">
        <v>10587</v>
      </c>
      <c r="B5288" s="106" t="s">
        <v>10588</v>
      </c>
      <c r="C5288" s="106"/>
      <c r="D5288" s="106"/>
      <c r="E5288" s="52"/>
    </row>
    <row r="5289" spans="1:5" s="103" customFormat="1" ht="13.2" hidden="1" outlineLevel="1" x14ac:dyDescent="0.25">
      <c r="A5289" s="106" t="s">
        <v>10589</v>
      </c>
      <c r="B5289" s="106" t="s">
        <v>10590</v>
      </c>
      <c r="C5289" s="106"/>
      <c r="D5289" s="106"/>
      <c r="E5289" s="52"/>
    </row>
    <row r="5290" spans="1:5" s="103" customFormat="1" ht="13.2" hidden="1" outlineLevel="1" x14ac:dyDescent="0.25">
      <c r="A5290" s="106" t="s">
        <v>10591</v>
      </c>
      <c r="B5290" s="106" t="s">
        <v>10592</v>
      </c>
      <c r="C5290" s="106"/>
      <c r="D5290" s="106"/>
      <c r="E5290" s="52"/>
    </row>
    <row r="5291" spans="1:5" s="103" customFormat="1" ht="13.2" hidden="1" outlineLevel="1" x14ac:dyDescent="0.25">
      <c r="A5291" s="106" t="s">
        <v>10593</v>
      </c>
      <c r="B5291" s="106" t="s">
        <v>10594</v>
      </c>
      <c r="C5291" s="106"/>
      <c r="D5291" s="106"/>
      <c r="E5291" s="52"/>
    </row>
    <row r="5292" spans="1:5" s="103" customFormat="1" ht="13.2" collapsed="1" x14ac:dyDescent="0.25">
      <c r="A5292" s="104" t="s">
        <v>10595</v>
      </c>
      <c r="B5292" s="105" t="s">
        <v>10596</v>
      </c>
      <c r="C5292" s="105"/>
      <c r="D5292" s="105"/>
      <c r="E5292" s="51"/>
    </row>
    <row r="5293" spans="1:5" s="103" customFormat="1" ht="13.2" hidden="1" outlineLevel="1" x14ac:dyDescent="0.25">
      <c r="A5293" s="106" t="s">
        <v>10597</v>
      </c>
      <c r="B5293" s="106" t="s">
        <v>10598</v>
      </c>
      <c r="C5293" s="106"/>
      <c r="D5293" s="106"/>
      <c r="E5293" s="52"/>
    </row>
    <row r="5294" spans="1:5" s="103" customFormat="1" ht="13.2" hidden="1" outlineLevel="1" x14ac:dyDescent="0.25">
      <c r="A5294" s="106" t="s">
        <v>10599</v>
      </c>
      <c r="B5294" s="106" t="s">
        <v>10600</v>
      </c>
      <c r="C5294" s="106"/>
      <c r="D5294" s="106"/>
      <c r="E5294" s="52"/>
    </row>
    <row r="5295" spans="1:5" s="103" customFormat="1" ht="13.2" hidden="1" outlineLevel="1" x14ac:dyDescent="0.25">
      <c r="A5295" s="106" t="s">
        <v>10601</v>
      </c>
      <c r="B5295" s="106" t="s">
        <v>10602</v>
      </c>
      <c r="C5295" s="106"/>
      <c r="D5295" s="106"/>
      <c r="E5295" s="52"/>
    </row>
    <row r="5296" spans="1:5" s="103" customFormat="1" ht="13.2" hidden="1" outlineLevel="1" x14ac:dyDescent="0.25">
      <c r="A5296" s="106" t="s">
        <v>10603</v>
      </c>
      <c r="B5296" s="106" t="s">
        <v>10604</v>
      </c>
      <c r="C5296" s="106"/>
      <c r="D5296" s="106"/>
      <c r="E5296" s="52"/>
    </row>
    <row r="5297" spans="1:5" s="103" customFormat="1" ht="13.2" hidden="1" outlineLevel="1" x14ac:dyDescent="0.25">
      <c r="A5297" s="106" t="s">
        <v>10605</v>
      </c>
      <c r="B5297" s="106" t="s">
        <v>10606</v>
      </c>
      <c r="C5297" s="106"/>
      <c r="D5297" s="106"/>
      <c r="E5297" s="52"/>
    </row>
    <row r="5298" spans="1:5" s="103" customFormat="1" ht="13.2" hidden="1" outlineLevel="1" x14ac:dyDescent="0.25">
      <c r="A5298" s="106" t="s">
        <v>10607</v>
      </c>
      <c r="B5298" s="106" t="s">
        <v>10608</v>
      </c>
      <c r="C5298" s="106"/>
      <c r="D5298" s="106"/>
      <c r="E5298" s="52"/>
    </row>
    <row r="5299" spans="1:5" s="103" customFormat="1" ht="13.2" hidden="1" outlineLevel="1" x14ac:dyDescent="0.25">
      <c r="A5299" s="106" t="s">
        <v>10609</v>
      </c>
      <c r="B5299" s="106" t="s">
        <v>10610</v>
      </c>
      <c r="C5299" s="106"/>
      <c r="D5299" s="106"/>
      <c r="E5299" s="52"/>
    </row>
    <row r="5300" spans="1:5" s="103" customFormat="1" ht="13.2" hidden="1" outlineLevel="1" x14ac:dyDescent="0.25">
      <c r="A5300" s="106" t="s">
        <v>10611</v>
      </c>
      <c r="B5300" s="106" t="s">
        <v>10612</v>
      </c>
      <c r="C5300" s="106"/>
      <c r="D5300" s="106"/>
      <c r="E5300" s="52"/>
    </row>
    <row r="5301" spans="1:5" s="103" customFormat="1" ht="13.2" hidden="1" outlineLevel="1" x14ac:dyDescent="0.25">
      <c r="A5301" s="106" t="s">
        <v>10613</v>
      </c>
      <c r="B5301" s="106" t="s">
        <v>10614</v>
      </c>
      <c r="C5301" s="106"/>
      <c r="D5301" s="106"/>
      <c r="E5301" s="52"/>
    </row>
    <row r="5302" spans="1:5" s="103" customFormat="1" ht="13.2" hidden="1" outlineLevel="1" x14ac:dyDescent="0.25">
      <c r="A5302" s="106" t="s">
        <v>10615</v>
      </c>
      <c r="B5302" s="106" t="s">
        <v>10616</v>
      </c>
      <c r="C5302" s="106"/>
      <c r="D5302" s="106"/>
      <c r="E5302" s="52"/>
    </row>
    <row r="5303" spans="1:5" s="103" customFormat="1" ht="13.2" hidden="1" outlineLevel="1" x14ac:dyDescent="0.25">
      <c r="A5303" s="106" t="s">
        <v>10617</v>
      </c>
      <c r="B5303" s="106" t="s">
        <v>10618</v>
      </c>
      <c r="C5303" s="106"/>
      <c r="D5303" s="106"/>
      <c r="E5303" s="52"/>
    </row>
    <row r="5304" spans="1:5" s="103" customFormat="1" ht="13.2" hidden="1" outlineLevel="1" x14ac:dyDescent="0.25">
      <c r="A5304" s="106" t="s">
        <v>10619</v>
      </c>
      <c r="B5304" s="106" t="s">
        <v>10620</v>
      </c>
      <c r="C5304" s="106"/>
      <c r="D5304" s="106"/>
      <c r="E5304" s="52"/>
    </row>
    <row r="5305" spans="1:5" s="103" customFormat="1" ht="13.2" hidden="1" outlineLevel="1" x14ac:dyDescent="0.25">
      <c r="A5305" s="106" t="s">
        <v>10621</v>
      </c>
      <c r="B5305" s="106" t="s">
        <v>10622</v>
      </c>
      <c r="C5305" s="106"/>
      <c r="D5305" s="106"/>
      <c r="E5305" s="52"/>
    </row>
    <row r="5306" spans="1:5" s="103" customFormat="1" ht="13.2" hidden="1" outlineLevel="1" x14ac:dyDescent="0.25">
      <c r="A5306" s="106" t="s">
        <v>10623</v>
      </c>
      <c r="B5306" s="106" t="s">
        <v>10624</v>
      </c>
      <c r="C5306" s="106"/>
      <c r="D5306" s="106"/>
      <c r="E5306" s="52"/>
    </row>
    <row r="5307" spans="1:5" s="103" customFormat="1" ht="13.2" hidden="1" outlineLevel="1" x14ac:dyDescent="0.25">
      <c r="A5307" s="106" t="s">
        <v>10625</v>
      </c>
      <c r="B5307" s="106" t="s">
        <v>10626</v>
      </c>
      <c r="C5307" s="106"/>
      <c r="D5307" s="106"/>
      <c r="E5307" s="52"/>
    </row>
    <row r="5308" spans="1:5" s="103" customFormat="1" ht="13.2" hidden="1" outlineLevel="1" x14ac:dyDescent="0.25">
      <c r="A5308" s="106" t="s">
        <v>10627</v>
      </c>
      <c r="B5308" s="106" t="s">
        <v>10628</v>
      </c>
      <c r="C5308" s="106"/>
      <c r="D5308" s="106"/>
      <c r="E5308" s="52"/>
    </row>
    <row r="5309" spans="1:5" s="103" customFormat="1" ht="13.2" hidden="1" outlineLevel="1" x14ac:dyDescent="0.25">
      <c r="A5309" s="106" t="s">
        <v>10629</v>
      </c>
      <c r="B5309" s="106" t="s">
        <v>10630</v>
      </c>
      <c r="C5309" s="106"/>
      <c r="D5309" s="106"/>
      <c r="E5309" s="52"/>
    </row>
    <row r="5310" spans="1:5" s="103" customFormat="1" ht="13.2" hidden="1" outlineLevel="1" x14ac:dyDescent="0.25">
      <c r="A5310" s="106" t="s">
        <v>10631</v>
      </c>
      <c r="B5310" s="106" t="s">
        <v>10632</v>
      </c>
      <c r="C5310" s="106"/>
      <c r="D5310" s="106"/>
      <c r="E5310" s="52"/>
    </row>
    <row r="5311" spans="1:5" s="103" customFormat="1" ht="13.2" hidden="1" outlineLevel="1" x14ac:dyDescent="0.25">
      <c r="A5311" s="106" t="s">
        <v>10633</v>
      </c>
      <c r="B5311" s="106" t="s">
        <v>10634</v>
      </c>
      <c r="C5311" s="106"/>
      <c r="D5311" s="106"/>
      <c r="E5311" s="52"/>
    </row>
    <row r="5312" spans="1:5" s="103" customFormat="1" ht="13.2" hidden="1" outlineLevel="1" x14ac:dyDescent="0.25">
      <c r="A5312" s="106" t="s">
        <v>10635</v>
      </c>
      <c r="B5312" s="106" t="s">
        <v>10636</v>
      </c>
      <c r="C5312" s="106"/>
      <c r="D5312" s="106"/>
      <c r="E5312" s="52"/>
    </row>
    <row r="5313" spans="1:5" s="103" customFormat="1" ht="13.2" hidden="1" outlineLevel="1" x14ac:dyDescent="0.25">
      <c r="A5313" s="106" t="s">
        <v>10637</v>
      </c>
      <c r="B5313" s="106" t="s">
        <v>10638</v>
      </c>
      <c r="C5313" s="106"/>
      <c r="D5313" s="106"/>
      <c r="E5313" s="52"/>
    </row>
    <row r="5314" spans="1:5" s="103" customFormat="1" ht="13.2" hidden="1" outlineLevel="1" x14ac:dyDescent="0.25">
      <c r="A5314" s="106" t="s">
        <v>10639</v>
      </c>
      <c r="B5314" s="106" t="s">
        <v>10640</v>
      </c>
      <c r="C5314" s="106"/>
      <c r="D5314" s="106"/>
      <c r="E5314" s="52"/>
    </row>
    <row r="5315" spans="1:5" s="103" customFormat="1" ht="13.2" hidden="1" outlineLevel="1" x14ac:dyDescent="0.25">
      <c r="A5315" s="106" t="s">
        <v>10641</v>
      </c>
      <c r="B5315" s="106" t="s">
        <v>10642</v>
      </c>
      <c r="C5315" s="106"/>
      <c r="D5315" s="106"/>
      <c r="E5315" s="52"/>
    </row>
    <row r="5316" spans="1:5" s="103" customFormat="1" ht="13.2" hidden="1" outlineLevel="1" x14ac:dyDescent="0.25">
      <c r="A5316" s="106" t="s">
        <v>10643</v>
      </c>
      <c r="B5316" s="106" t="s">
        <v>10644</v>
      </c>
      <c r="C5316" s="106"/>
      <c r="D5316" s="106"/>
      <c r="E5316" s="52"/>
    </row>
    <row r="5317" spans="1:5" s="103" customFormat="1" ht="13.2" hidden="1" outlineLevel="1" x14ac:dyDescent="0.25">
      <c r="A5317" s="106" t="s">
        <v>10645</v>
      </c>
      <c r="B5317" s="106" t="s">
        <v>10646</v>
      </c>
      <c r="C5317" s="106"/>
      <c r="D5317" s="106"/>
      <c r="E5317" s="52"/>
    </row>
    <row r="5318" spans="1:5" s="103" customFormat="1" ht="13.2" hidden="1" outlineLevel="1" x14ac:dyDescent="0.25">
      <c r="A5318" s="106" t="s">
        <v>10647</v>
      </c>
      <c r="B5318" s="106" t="s">
        <v>10648</v>
      </c>
      <c r="C5318" s="106"/>
      <c r="D5318" s="106"/>
      <c r="E5318" s="52"/>
    </row>
    <row r="5319" spans="1:5" s="103" customFormat="1" ht="13.2" hidden="1" outlineLevel="1" x14ac:dyDescent="0.25">
      <c r="A5319" s="106" t="s">
        <v>10649</v>
      </c>
      <c r="B5319" s="106" t="s">
        <v>10650</v>
      </c>
      <c r="C5319" s="106"/>
      <c r="D5319" s="106"/>
      <c r="E5319" s="52"/>
    </row>
    <row r="5320" spans="1:5" s="103" customFormat="1" ht="13.2" hidden="1" outlineLevel="1" x14ac:dyDescent="0.25">
      <c r="A5320" s="106" t="s">
        <v>10651</v>
      </c>
      <c r="B5320" s="106" t="s">
        <v>10652</v>
      </c>
      <c r="C5320" s="106"/>
      <c r="D5320" s="106"/>
      <c r="E5320" s="52"/>
    </row>
    <row r="5321" spans="1:5" s="103" customFormat="1" ht="13.2" hidden="1" outlineLevel="1" x14ac:dyDescent="0.25">
      <c r="A5321" s="106" t="s">
        <v>10653</v>
      </c>
      <c r="B5321" s="106" t="s">
        <v>10654</v>
      </c>
      <c r="C5321" s="106"/>
      <c r="D5321" s="106"/>
      <c r="E5321" s="52"/>
    </row>
    <row r="5322" spans="1:5" s="103" customFormat="1" ht="13.2" hidden="1" outlineLevel="1" x14ac:dyDescent="0.25">
      <c r="A5322" s="106" t="s">
        <v>10655</v>
      </c>
      <c r="B5322" s="106" t="s">
        <v>10656</v>
      </c>
      <c r="C5322" s="106"/>
      <c r="D5322" s="106"/>
      <c r="E5322" s="52"/>
    </row>
    <row r="5323" spans="1:5" s="103" customFormat="1" ht="13.2" hidden="1" outlineLevel="1" x14ac:dyDescent="0.25">
      <c r="A5323" s="106" t="s">
        <v>10657</v>
      </c>
      <c r="B5323" s="106" t="s">
        <v>10658</v>
      </c>
      <c r="C5323" s="106"/>
      <c r="D5323" s="106"/>
      <c r="E5323" s="52"/>
    </row>
    <row r="5324" spans="1:5" s="103" customFormat="1" ht="13.2" hidden="1" outlineLevel="1" x14ac:dyDescent="0.25">
      <c r="A5324" s="106" t="s">
        <v>10659</v>
      </c>
      <c r="B5324" s="106" t="s">
        <v>10660</v>
      </c>
      <c r="C5324" s="106"/>
      <c r="D5324" s="106"/>
      <c r="E5324" s="52"/>
    </row>
    <row r="5325" spans="1:5" s="103" customFormat="1" ht="13.2" hidden="1" outlineLevel="1" x14ac:dyDescent="0.25">
      <c r="A5325" s="106" t="s">
        <v>10661</v>
      </c>
      <c r="B5325" s="106" t="s">
        <v>10662</v>
      </c>
      <c r="C5325" s="106"/>
      <c r="D5325" s="106"/>
      <c r="E5325" s="52"/>
    </row>
    <row r="5326" spans="1:5" s="103" customFormat="1" ht="13.2" hidden="1" outlineLevel="1" x14ac:dyDescent="0.25">
      <c r="A5326" s="106" t="s">
        <v>10663</v>
      </c>
      <c r="B5326" s="106" t="s">
        <v>10664</v>
      </c>
      <c r="C5326" s="106"/>
      <c r="D5326" s="106"/>
      <c r="E5326" s="52"/>
    </row>
    <row r="5327" spans="1:5" s="103" customFormat="1" ht="13.2" hidden="1" outlineLevel="1" x14ac:dyDescent="0.25">
      <c r="A5327" s="106" t="s">
        <v>10665</v>
      </c>
      <c r="B5327" s="106" t="s">
        <v>10666</v>
      </c>
      <c r="C5327" s="106"/>
      <c r="D5327" s="106"/>
      <c r="E5327" s="52"/>
    </row>
    <row r="5328" spans="1:5" s="103" customFormat="1" ht="13.2" hidden="1" outlineLevel="1" x14ac:dyDescent="0.25">
      <c r="A5328" s="106" t="s">
        <v>10667</v>
      </c>
      <c r="B5328" s="106" t="s">
        <v>10668</v>
      </c>
      <c r="C5328" s="106"/>
      <c r="D5328" s="106"/>
      <c r="E5328" s="52"/>
    </row>
    <row r="5329" spans="1:5" s="103" customFormat="1" ht="13.2" hidden="1" outlineLevel="1" x14ac:dyDescent="0.25">
      <c r="A5329" s="106" t="s">
        <v>10669</v>
      </c>
      <c r="B5329" s="106" t="s">
        <v>10670</v>
      </c>
      <c r="C5329" s="106"/>
      <c r="D5329" s="106"/>
      <c r="E5329" s="52"/>
    </row>
    <row r="5330" spans="1:5" s="103" customFormat="1" ht="13.2" hidden="1" outlineLevel="1" x14ac:dyDescent="0.25">
      <c r="A5330" s="106" t="s">
        <v>10671</v>
      </c>
      <c r="B5330" s="106" t="s">
        <v>10672</v>
      </c>
      <c r="C5330" s="106"/>
      <c r="D5330" s="106"/>
      <c r="E5330" s="52"/>
    </row>
    <row r="5331" spans="1:5" s="103" customFormat="1" ht="13.2" hidden="1" outlineLevel="1" x14ac:dyDescent="0.25">
      <c r="A5331" s="106" t="s">
        <v>10673</v>
      </c>
      <c r="B5331" s="106" t="s">
        <v>10674</v>
      </c>
      <c r="C5331" s="106"/>
      <c r="D5331" s="106"/>
      <c r="E5331" s="52"/>
    </row>
    <row r="5332" spans="1:5" s="103" customFormat="1" ht="13.2" hidden="1" outlineLevel="1" x14ac:dyDescent="0.25">
      <c r="A5332" s="106" t="s">
        <v>10675</v>
      </c>
      <c r="B5332" s="106" t="s">
        <v>10676</v>
      </c>
      <c r="C5332" s="106"/>
      <c r="D5332" s="106"/>
      <c r="E5332" s="52"/>
    </row>
    <row r="5333" spans="1:5" s="103" customFormat="1" ht="13.2" hidden="1" outlineLevel="1" x14ac:dyDescent="0.25">
      <c r="A5333" s="106" t="s">
        <v>10677</v>
      </c>
      <c r="B5333" s="106" t="s">
        <v>10678</v>
      </c>
      <c r="C5333" s="106"/>
      <c r="D5333" s="106"/>
      <c r="E5333" s="52"/>
    </row>
    <row r="5334" spans="1:5" s="103" customFormat="1" ht="13.2" hidden="1" outlineLevel="1" x14ac:dyDescent="0.25">
      <c r="A5334" s="106" t="s">
        <v>10679</v>
      </c>
      <c r="B5334" s="106" t="s">
        <v>10680</v>
      </c>
      <c r="C5334" s="106"/>
      <c r="D5334" s="106"/>
      <c r="E5334" s="52"/>
    </row>
    <row r="5335" spans="1:5" s="103" customFormat="1" ht="13.2" hidden="1" outlineLevel="1" x14ac:dyDescent="0.25">
      <c r="A5335" s="106" t="s">
        <v>10681</v>
      </c>
      <c r="B5335" s="106" t="s">
        <v>10682</v>
      </c>
      <c r="C5335" s="106"/>
      <c r="D5335" s="106"/>
      <c r="E5335" s="52"/>
    </row>
    <row r="5336" spans="1:5" s="103" customFormat="1" ht="13.2" hidden="1" outlineLevel="1" x14ac:dyDescent="0.25">
      <c r="A5336" s="106" t="s">
        <v>10683</v>
      </c>
      <c r="B5336" s="106" t="s">
        <v>10684</v>
      </c>
      <c r="C5336" s="106"/>
      <c r="D5336" s="106"/>
      <c r="E5336" s="52"/>
    </row>
    <row r="5337" spans="1:5" s="103" customFormat="1" ht="13.2" hidden="1" outlineLevel="1" x14ac:dyDescent="0.25">
      <c r="A5337" s="106" t="s">
        <v>10685</v>
      </c>
      <c r="B5337" s="106" t="s">
        <v>10686</v>
      </c>
      <c r="C5337" s="106"/>
      <c r="D5337" s="106"/>
      <c r="E5337" s="52"/>
    </row>
    <row r="5338" spans="1:5" s="103" customFormat="1" ht="13.2" hidden="1" outlineLevel="1" x14ac:dyDescent="0.25">
      <c r="A5338" s="106" t="s">
        <v>10687</v>
      </c>
      <c r="B5338" s="106" t="s">
        <v>10688</v>
      </c>
      <c r="C5338" s="106"/>
      <c r="D5338" s="106"/>
      <c r="E5338" s="52"/>
    </row>
    <row r="5339" spans="1:5" s="103" customFormat="1" ht="13.2" hidden="1" outlineLevel="1" x14ac:dyDescent="0.25">
      <c r="A5339" s="106" t="s">
        <v>10689</v>
      </c>
      <c r="B5339" s="106" t="s">
        <v>10690</v>
      </c>
      <c r="C5339" s="106"/>
      <c r="D5339" s="106"/>
      <c r="E5339" s="52"/>
    </row>
    <row r="5340" spans="1:5" s="103" customFormat="1" ht="13.2" hidden="1" outlineLevel="1" x14ac:dyDescent="0.25">
      <c r="A5340" s="106" t="s">
        <v>10691</v>
      </c>
      <c r="B5340" s="106" t="s">
        <v>10692</v>
      </c>
      <c r="C5340" s="106"/>
      <c r="D5340" s="106"/>
      <c r="E5340" s="52"/>
    </row>
    <row r="5341" spans="1:5" s="103" customFormat="1" ht="13.2" hidden="1" outlineLevel="1" x14ac:dyDescent="0.25">
      <c r="A5341" s="106" t="s">
        <v>10693</v>
      </c>
      <c r="B5341" s="106" t="s">
        <v>10694</v>
      </c>
      <c r="C5341" s="106"/>
      <c r="D5341" s="106"/>
      <c r="E5341" s="52"/>
    </row>
    <row r="5342" spans="1:5" s="103" customFormat="1" ht="13.2" hidden="1" outlineLevel="1" x14ac:dyDescent="0.25">
      <c r="A5342" s="106" t="s">
        <v>10695</v>
      </c>
      <c r="B5342" s="106" t="s">
        <v>10696</v>
      </c>
      <c r="C5342" s="106"/>
      <c r="D5342" s="106"/>
      <c r="E5342" s="52"/>
    </row>
    <row r="5343" spans="1:5" s="103" customFormat="1" ht="13.2" hidden="1" outlineLevel="1" x14ac:dyDescent="0.25">
      <c r="A5343" s="106" t="s">
        <v>10697</v>
      </c>
      <c r="B5343" s="106" t="s">
        <v>10698</v>
      </c>
      <c r="C5343" s="106"/>
      <c r="D5343" s="106"/>
      <c r="E5343" s="52"/>
    </row>
    <row r="5344" spans="1:5" s="103" customFormat="1" ht="13.2" hidden="1" outlineLevel="1" x14ac:dyDescent="0.25">
      <c r="A5344" s="106" t="s">
        <v>10699</v>
      </c>
      <c r="B5344" s="106" t="s">
        <v>10700</v>
      </c>
      <c r="C5344" s="106"/>
      <c r="D5344" s="106"/>
      <c r="E5344" s="52"/>
    </row>
    <row r="5345" spans="1:5" s="103" customFormat="1" ht="13.2" hidden="1" outlineLevel="1" x14ac:dyDescent="0.25">
      <c r="A5345" s="106" t="s">
        <v>10701</v>
      </c>
      <c r="B5345" s="106" t="s">
        <v>10702</v>
      </c>
      <c r="C5345" s="106"/>
      <c r="D5345" s="106"/>
      <c r="E5345" s="52"/>
    </row>
    <row r="5346" spans="1:5" s="103" customFormat="1" ht="13.2" hidden="1" outlineLevel="1" x14ac:dyDescent="0.25">
      <c r="A5346" s="106" t="s">
        <v>10703</v>
      </c>
      <c r="B5346" s="106" t="s">
        <v>10704</v>
      </c>
      <c r="C5346" s="106"/>
      <c r="D5346" s="106"/>
      <c r="E5346" s="52"/>
    </row>
    <row r="5347" spans="1:5" s="103" customFormat="1" ht="13.2" hidden="1" outlineLevel="1" x14ac:dyDescent="0.25">
      <c r="A5347" s="106" t="s">
        <v>10705</v>
      </c>
      <c r="B5347" s="106" t="s">
        <v>10706</v>
      </c>
      <c r="C5347" s="106"/>
      <c r="D5347" s="106"/>
      <c r="E5347" s="52"/>
    </row>
    <row r="5348" spans="1:5" s="103" customFormat="1" ht="13.2" hidden="1" outlineLevel="1" x14ac:dyDescent="0.25">
      <c r="A5348" s="106" t="s">
        <v>10707</v>
      </c>
      <c r="B5348" s="106" t="s">
        <v>10708</v>
      </c>
      <c r="C5348" s="106"/>
      <c r="D5348" s="106"/>
      <c r="E5348" s="52"/>
    </row>
    <row r="5349" spans="1:5" s="103" customFormat="1" ht="13.2" hidden="1" outlineLevel="1" x14ac:dyDescent="0.25">
      <c r="A5349" s="106" t="s">
        <v>10709</v>
      </c>
      <c r="B5349" s="106" t="s">
        <v>10710</v>
      </c>
      <c r="C5349" s="106"/>
      <c r="D5349" s="106"/>
      <c r="E5349" s="52"/>
    </row>
    <row r="5350" spans="1:5" s="103" customFormat="1" ht="13.2" hidden="1" outlineLevel="1" x14ac:dyDescent="0.25">
      <c r="A5350" s="106" t="s">
        <v>10711</v>
      </c>
      <c r="B5350" s="106" t="s">
        <v>10712</v>
      </c>
      <c r="C5350" s="106"/>
      <c r="D5350" s="106"/>
      <c r="E5350" s="52"/>
    </row>
    <row r="5351" spans="1:5" s="103" customFormat="1" ht="13.2" hidden="1" outlineLevel="1" x14ac:dyDescent="0.25">
      <c r="A5351" s="106" t="s">
        <v>10713</v>
      </c>
      <c r="B5351" s="106" t="s">
        <v>10714</v>
      </c>
      <c r="C5351" s="106"/>
      <c r="D5351" s="106"/>
      <c r="E5351" s="52"/>
    </row>
    <row r="5352" spans="1:5" s="103" customFormat="1" ht="13.2" hidden="1" outlineLevel="1" x14ac:dyDescent="0.25">
      <c r="A5352" s="106" t="s">
        <v>10715</v>
      </c>
      <c r="B5352" s="106" t="s">
        <v>10716</v>
      </c>
      <c r="C5352" s="106"/>
      <c r="D5352" s="106"/>
      <c r="E5352" s="52"/>
    </row>
    <row r="5353" spans="1:5" s="103" customFormat="1" ht="13.2" hidden="1" outlineLevel="1" x14ac:dyDescent="0.25">
      <c r="A5353" s="106" t="s">
        <v>10717</v>
      </c>
      <c r="B5353" s="106" t="s">
        <v>10718</v>
      </c>
      <c r="C5353" s="106"/>
      <c r="D5353" s="106"/>
      <c r="E5353" s="52"/>
    </row>
    <row r="5354" spans="1:5" s="103" customFormat="1" ht="13.2" hidden="1" outlineLevel="1" x14ac:dyDescent="0.25">
      <c r="A5354" s="106" t="s">
        <v>10719</v>
      </c>
      <c r="B5354" s="106" t="s">
        <v>10720</v>
      </c>
      <c r="C5354" s="106"/>
      <c r="D5354" s="106"/>
      <c r="E5354" s="52"/>
    </row>
    <row r="5355" spans="1:5" s="103" customFormat="1" ht="13.2" hidden="1" outlineLevel="1" x14ac:dyDescent="0.25">
      <c r="A5355" s="106" t="s">
        <v>10721</v>
      </c>
      <c r="B5355" s="106" t="s">
        <v>10722</v>
      </c>
      <c r="C5355" s="106"/>
      <c r="D5355" s="106"/>
      <c r="E5355" s="52"/>
    </row>
    <row r="5356" spans="1:5" s="103" customFormat="1" ht="13.2" hidden="1" outlineLevel="1" x14ac:dyDescent="0.25">
      <c r="A5356" s="106" t="s">
        <v>10723</v>
      </c>
      <c r="B5356" s="106" t="s">
        <v>10724</v>
      </c>
      <c r="C5356" s="106"/>
      <c r="D5356" s="106"/>
      <c r="E5356" s="52"/>
    </row>
    <row r="5357" spans="1:5" s="103" customFormat="1" ht="13.2" hidden="1" outlineLevel="1" x14ac:dyDescent="0.25">
      <c r="A5357" s="106" t="s">
        <v>10725</v>
      </c>
      <c r="B5357" s="106" t="s">
        <v>10726</v>
      </c>
      <c r="C5357" s="106"/>
      <c r="D5357" s="106"/>
      <c r="E5357" s="52"/>
    </row>
    <row r="5358" spans="1:5" s="103" customFormat="1" ht="13.2" hidden="1" outlineLevel="1" x14ac:dyDescent="0.25">
      <c r="A5358" s="106" t="s">
        <v>10727</v>
      </c>
      <c r="B5358" s="106" t="s">
        <v>10728</v>
      </c>
      <c r="C5358" s="106"/>
      <c r="D5358" s="106"/>
      <c r="E5358" s="52"/>
    </row>
    <row r="5359" spans="1:5" s="103" customFormat="1" ht="13.2" hidden="1" outlineLevel="1" x14ac:dyDescent="0.25">
      <c r="A5359" s="106" t="s">
        <v>10729</v>
      </c>
      <c r="B5359" s="106" t="s">
        <v>10730</v>
      </c>
      <c r="C5359" s="106"/>
      <c r="D5359" s="106"/>
      <c r="E5359" s="52"/>
    </row>
    <row r="5360" spans="1:5" s="103" customFormat="1" ht="13.2" hidden="1" outlineLevel="1" x14ac:dyDescent="0.25">
      <c r="A5360" s="106" t="s">
        <v>10731</v>
      </c>
      <c r="B5360" s="106" t="s">
        <v>10732</v>
      </c>
      <c r="C5360" s="106"/>
      <c r="D5360" s="106"/>
      <c r="E5360" s="52"/>
    </row>
    <row r="5361" spans="1:5" s="103" customFormat="1" ht="13.2" hidden="1" outlineLevel="1" x14ac:dyDescent="0.25">
      <c r="A5361" s="106" t="s">
        <v>10733</v>
      </c>
      <c r="B5361" s="106" t="s">
        <v>10734</v>
      </c>
      <c r="C5361" s="106"/>
      <c r="D5361" s="106"/>
      <c r="E5361" s="52"/>
    </row>
    <row r="5362" spans="1:5" s="103" customFormat="1" ht="13.2" hidden="1" outlineLevel="1" x14ac:dyDescent="0.25">
      <c r="A5362" s="106" t="s">
        <v>10735</v>
      </c>
      <c r="B5362" s="106" t="s">
        <v>10736</v>
      </c>
      <c r="C5362" s="106"/>
      <c r="D5362" s="106"/>
      <c r="E5362" s="52"/>
    </row>
    <row r="5363" spans="1:5" s="103" customFormat="1" ht="13.2" hidden="1" outlineLevel="1" x14ac:dyDescent="0.25">
      <c r="A5363" s="106" t="s">
        <v>10737</v>
      </c>
      <c r="B5363" s="106" t="s">
        <v>10738</v>
      </c>
      <c r="C5363" s="106"/>
      <c r="D5363" s="106"/>
      <c r="E5363" s="52"/>
    </row>
    <row r="5364" spans="1:5" s="103" customFormat="1" ht="13.2" hidden="1" outlineLevel="1" x14ac:dyDescent="0.25">
      <c r="A5364" s="106" t="s">
        <v>10739</v>
      </c>
      <c r="B5364" s="106" t="s">
        <v>10740</v>
      </c>
      <c r="C5364" s="106"/>
      <c r="D5364" s="106"/>
      <c r="E5364" s="52"/>
    </row>
    <row r="5365" spans="1:5" s="103" customFormat="1" ht="13.2" hidden="1" outlineLevel="1" x14ac:dyDescent="0.25">
      <c r="A5365" s="106" t="s">
        <v>10741</v>
      </c>
      <c r="B5365" s="106" t="s">
        <v>10742</v>
      </c>
      <c r="C5365" s="106"/>
      <c r="D5365" s="106"/>
      <c r="E5365" s="52"/>
    </row>
    <row r="5366" spans="1:5" s="103" customFormat="1" ht="13.2" hidden="1" outlineLevel="1" x14ac:dyDescent="0.25">
      <c r="A5366" s="106" t="s">
        <v>10743</v>
      </c>
      <c r="B5366" s="106" t="s">
        <v>10744</v>
      </c>
      <c r="C5366" s="106"/>
      <c r="D5366" s="106"/>
      <c r="E5366" s="52"/>
    </row>
    <row r="5367" spans="1:5" s="103" customFormat="1" ht="13.2" hidden="1" outlineLevel="1" x14ac:dyDescent="0.25">
      <c r="A5367" s="106" t="s">
        <v>10745</v>
      </c>
      <c r="B5367" s="106" t="s">
        <v>10746</v>
      </c>
      <c r="C5367" s="106"/>
      <c r="D5367" s="106"/>
      <c r="E5367" s="52"/>
    </row>
    <row r="5368" spans="1:5" s="103" customFormat="1" ht="13.2" hidden="1" outlineLevel="1" x14ac:dyDescent="0.25">
      <c r="A5368" s="106" t="s">
        <v>10747</v>
      </c>
      <c r="B5368" s="106" t="s">
        <v>10748</v>
      </c>
      <c r="C5368" s="106"/>
      <c r="D5368" s="106"/>
      <c r="E5368" s="52"/>
    </row>
    <row r="5369" spans="1:5" s="103" customFormat="1" ht="13.2" hidden="1" outlineLevel="1" x14ac:dyDescent="0.25">
      <c r="A5369" s="106" t="s">
        <v>10749</v>
      </c>
      <c r="B5369" s="106" t="s">
        <v>10750</v>
      </c>
      <c r="C5369" s="106"/>
      <c r="D5369" s="106"/>
      <c r="E5369" s="52"/>
    </row>
    <row r="5370" spans="1:5" s="103" customFormat="1" ht="13.2" hidden="1" outlineLevel="1" x14ac:dyDescent="0.25">
      <c r="A5370" s="106" t="s">
        <v>10751</v>
      </c>
      <c r="B5370" s="106" t="s">
        <v>10752</v>
      </c>
      <c r="C5370" s="106"/>
      <c r="D5370" s="106"/>
      <c r="E5370" s="52"/>
    </row>
    <row r="5371" spans="1:5" s="103" customFormat="1" ht="13.2" hidden="1" outlineLevel="1" x14ac:dyDescent="0.25">
      <c r="A5371" s="106" t="s">
        <v>10753</v>
      </c>
      <c r="B5371" s="106" t="s">
        <v>10754</v>
      </c>
      <c r="C5371" s="106"/>
      <c r="D5371" s="106"/>
      <c r="E5371" s="52"/>
    </row>
    <row r="5372" spans="1:5" s="103" customFormat="1" ht="13.2" hidden="1" outlineLevel="1" x14ac:dyDescent="0.25">
      <c r="A5372" s="106" t="s">
        <v>10755</v>
      </c>
      <c r="B5372" s="106" t="s">
        <v>10756</v>
      </c>
      <c r="C5372" s="106"/>
      <c r="D5372" s="106"/>
      <c r="E5372" s="52"/>
    </row>
    <row r="5373" spans="1:5" s="103" customFormat="1" ht="13.2" hidden="1" outlineLevel="1" x14ac:dyDescent="0.25">
      <c r="A5373" s="106" t="s">
        <v>10757</v>
      </c>
      <c r="B5373" s="106" t="s">
        <v>10758</v>
      </c>
      <c r="C5373" s="106"/>
      <c r="D5373" s="106"/>
      <c r="E5373" s="52"/>
    </row>
    <row r="5374" spans="1:5" s="103" customFormat="1" ht="13.2" hidden="1" outlineLevel="1" x14ac:dyDescent="0.25">
      <c r="A5374" s="106" t="s">
        <v>10759</v>
      </c>
      <c r="B5374" s="106" t="s">
        <v>10760</v>
      </c>
      <c r="C5374" s="106"/>
      <c r="D5374" s="106"/>
      <c r="E5374" s="52"/>
    </row>
    <row r="5375" spans="1:5" s="103" customFormat="1" ht="13.2" hidden="1" outlineLevel="1" x14ac:dyDescent="0.25">
      <c r="A5375" s="106" t="s">
        <v>10761</v>
      </c>
      <c r="B5375" s="106" t="s">
        <v>10762</v>
      </c>
      <c r="C5375" s="106"/>
      <c r="D5375" s="106"/>
      <c r="E5375" s="52"/>
    </row>
    <row r="5376" spans="1:5" s="103" customFormat="1" ht="13.2" hidden="1" outlineLevel="1" x14ac:dyDescent="0.25">
      <c r="A5376" s="106" t="s">
        <v>10763</v>
      </c>
      <c r="B5376" s="106" t="s">
        <v>10764</v>
      </c>
      <c r="C5376" s="106"/>
      <c r="D5376" s="106"/>
      <c r="E5376" s="52"/>
    </row>
    <row r="5377" spans="1:5" s="103" customFormat="1" ht="13.2" hidden="1" outlineLevel="1" x14ac:dyDescent="0.25">
      <c r="A5377" s="106" t="s">
        <v>10765</v>
      </c>
      <c r="B5377" s="106" t="s">
        <v>10766</v>
      </c>
      <c r="C5377" s="106"/>
      <c r="D5377" s="106"/>
      <c r="E5377" s="52"/>
    </row>
    <row r="5378" spans="1:5" s="103" customFormat="1" ht="13.2" hidden="1" outlineLevel="1" x14ac:dyDescent="0.25">
      <c r="A5378" s="106" t="s">
        <v>10767</v>
      </c>
      <c r="B5378" s="106" t="s">
        <v>10768</v>
      </c>
      <c r="C5378" s="106"/>
      <c r="D5378" s="106"/>
      <c r="E5378" s="52"/>
    </row>
    <row r="5379" spans="1:5" s="103" customFormat="1" ht="13.2" hidden="1" outlineLevel="1" x14ac:dyDescent="0.25">
      <c r="A5379" s="106" t="s">
        <v>10769</v>
      </c>
      <c r="B5379" s="106" t="s">
        <v>10770</v>
      </c>
      <c r="C5379" s="106"/>
      <c r="D5379" s="106"/>
      <c r="E5379" s="52"/>
    </row>
    <row r="5380" spans="1:5" s="103" customFormat="1" ht="13.2" hidden="1" outlineLevel="1" x14ac:dyDescent="0.25">
      <c r="A5380" s="106" t="s">
        <v>10771</v>
      </c>
      <c r="B5380" s="106" t="s">
        <v>10772</v>
      </c>
      <c r="C5380" s="106"/>
      <c r="D5380" s="106"/>
      <c r="E5380" s="52"/>
    </row>
    <row r="5381" spans="1:5" s="103" customFormat="1" ht="13.2" hidden="1" outlineLevel="1" x14ac:dyDescent="0.25">
      <c r="A5381" s="106" t="s">
        <v>10773</v>
      </c>
      <c r="B5381" s="106" t="s">
        <v>10774</v>
      </c>
      <c r="C5381" s="106"/>
      <c r="D5381" s="106"/>
      <c r="E5381" s="52"/>
    </row>
    <row r="5382" spans="1:5" s="103" customFormat="1" ht="13.2" hidden="1" outlineLevel="1" x14ac:dyDescent="0.25">
      <c r="A5382" s="106" t="s">
        <v>10775</v>
      </c>
      <c r="B5382" s="106" t="s">
        <v>10776</v>
      </c>
      <c r="C5382" s="106"/>
      <c r="D5382" s="106"/>
      <c r="E5382" s="52"/>
    </row>
    <row r="5383" spans="1:5" s="103" customFormat="1" ht="13.2" hidden="1" outlineLevel="1" x14ac:dyDescent="0.25">
      <c r="A5383" s="106" t="s">
        <v>10777</v>
      </c>
      <c r="B5383" s="106" t="s">
        <v>10778</v>
      </c>
      <c r="C5383" s="106"/>
      <c r="D5383" s="106"/>
      <c r="E5383" s="52"/>
    </row>
    <row r="5384" spans="1:5" s="103" customFormat="1" ht="13.2" hidden="1" outlineLevel="1" x14ac:dyDescent="0.25">
      <c r="A5384" s="106" t="s">
        <v>10779</v>
      </c>
      <c r="B5384" s="106" t="s">
        <v>10780</v>
      </c>
      <c r="C5384" s="106"/>
      <c r="D5384" s="106"/>
      <c r="E5384" s="52"/>
    </row>
    <row r="5385" spans="1:5" s="103" customFormat="1" ht="13.2" hidden="1" outlineLevel="1" x14ac:dyDescent="0.25">
      <c r="A5385" s="106" t="s">
        <v>10781</v>
      </c>
      <c r="B5385" s="106" t="s">
        <v>10782</v>
      </c>
      <c r="C5385" s="106"/>
      <c r="D5385" s="106"/>
      <c r="E5385" s="52"/>
    </row>
    <row r="5386" spans="1:5" s="103" customFormat="1" ht="13.2" hidden="1" outlineLevel="1" x14ac:dyDescent="0.25">
      <c r="A5386" s="106" t="s">
        <v>10783</v>
      </c>
      <c r="B5386" s="106" t="s">
        <v>10784</v>
      </c>
      <c r="C5386" s="106"/>
      <c r="D5386" s="106"/>
      <c r="E5386" s="52"/>
    </row>
    <row r="5387" spans="1:5" s="103" customFormat="1" ht="13.2" hidden="1" outlineLevel="1" x14ac:dyDescent="0.25">
      <c r="A5387" s="106" t="s">
        <v>10785</v>
      </c>
      <c r="B5387" s="106" t="s">
        <v>10786</v>
      </c>
      <c r="C5387" s="106"/>
      <c r="D5387" s="106"/>
      <c r="E5387" s="52"/>
    </row>
    <row r="5388" spans="1:5" s="103" customFormat="1" ht="13.2" hidden="1" outlineLevel="1" x14ac:dyDescent="0.25">
      <c r="A5388" s="106" t="s">
        <v>10787</v>
      </c>
      <c r="B5388" s="106" t="s">
        <v>10788</v>
      </c>
      <c r="C5388" s="106"/>
      <c r="D5388" s="106"/>
      <c r="E5388" s="52"/>
    </row>
    <row r="5389" spans="1:5" s="103" customFormat="1" ht="13.2" hidden="1" outlineLevel="1" x14ac:dyDescent="0.25">
      <c r="A5389" s="106" t="s">
        <v>10789</v>
      </c>
      <c r="B5389" s="106" t="s">
        <v>10790</v>
      </c>
      <c r="C5389" s="106"/>
      <c r="D5389" s="106"/>
      <c r="E5389" s="52"/>
    </row>
    <row r="5390" spans="1:5" s="103" customFormat="1" ht="13.2" hidden="1" outlineLevel="1" x14ac:dyDescent="0.25">
      <c r="A5390" s="106" t="s">
        <v>10791</v>
      </c>
      <c r="B5390" s="106" t="s">
        <v>10792</v>
      </c>
      <c r="C5390" s="106"/>
      <c r="D5390" s="106"/>
      <c r="E5390" s="52"/>
    </row>
    <row r="5391" spans="1:5" s="103" customFormat="1" ht="13.2" hidden="1" outlineLevel="1" x14ac:dyDescent="0.25">
      <c r="A5391" s="106" t="s">
        <v>10793</v>
      </c>
      <c r="B5391" s="106" t="s">
        <v>10794</v>
      </c>
      <c r="C5391" s="106"/>
      <c r="D5391" s="106"/>
      <c r="E5391" s="52"/>
    </row>
    <row r="5392" spans="1:5" s="103" customFormat="1" ht="13.2" hidden="1" outlineLevel="1" x14ac:dyDescent="0.25">
      <c r="A5392" s="106" t="s">
        <v>10795</v>
      </c>
      <c r="B5392" s="106" t="s">
        <v>10796</v>
      </c>
      <c r="C5392" s="106"/>
      <c r="D5392" s="106"/>
      <c r="E5392" s="52"/>
    </row>
    <row r="5393" spans="1:5" s="103" customFormat="1" ht="13.2" hidden="1" outlineLevel="1" x14ac:dyDescent="0.25">
      <c r="A5393" s="106" t="s">
        <v>10797</v>
      </c>
      <c r="B5393" s="106" t="s">
        <v>10798</v>
      </c>
      <c r="C5393" s="106"/>
      <c r="D5393" s="106"/>
      <c r="E5393" s="52"/>
    </row>
    <row r="5394" spans="1:5" s="103" customFormat="1" ht="13.2" hidden="1" outlineLevel="1" x14ac:dyDescent="0.25">
      <c r="A5394" s="106" t="s">
        <v>10799</v>
      </c>
      <c r="B5394" s="106" t="s">
        <v>10800</v>
      </c>
      <c r="C5394" s="106"/>
      <c r="D5394" s="106"/>
      <c r="E5394" s="52"/>
    </row>
    <row r="5395" spans="1:5" s="103" customFormat="1" ht="13.2" hidden="1" outlineLevel="1" x14ac:dyDescent="0.25">
      <c r="A5395" s="106" t="s">
        <v>10801</v>
      </c>
      <c r="B5395" s="106" t="s">
        <v>10802</v>
      </c>
      <c r="C5395" s="106"/>
      <c r="D5395" s="106"/>
      <c r="E5395" s="52"/>
    </row>
    <row r="5396" spans="1:5" s="103" customFormat="1" ht="13.2" hidden="1" outlineLevel="1" x14ac:dyDescent="0.25">
      <c r="A5396" s="106" t="s">
        <v>10803</v>
      </c>
      <c r="B5396" s="106" t="s">
        <v>10804</v>
      </c>
      <c r="C5396" s="106"/>
      <c r="D5396" s="106"/>
      <c r="E5396" s="52"/>
    </row>
    <row r="5397" spans="1:5" s="103" customFormat="1" ht="13.2" hidden="1" outlineLevel="1" x14ac:dyDescent="0.25">
      <c r="A5397" s="106" t="s">
        <v>10805</v>
      </c>
      <c r="B5397" s="106" t="s">
        <v>10806</v>
      </c>
      <c r="C5397" s="106"/>
      <c r="D5397" s="106"/>
      <c r="E5397" s="52"/>
    </row>
    <row r="5398" spans="1:5" s="103" customFormat="1" ht="13.2" hidden="1" outlineLevel="1" x14ac:dyDescent="0.25">
      <c r="A5398" s="106" t="s">
        <v>10807</v>
      </c>
      <c r="B5398" s="106" t="s">
        <v>10808</v>
      </c>
      <c r="C5398" s="106"/>
      <c r="D5398" s="106"/>
      <c r="E5398" s="52"/>
    </row>
    <row r="5399" spans="1:5" s="103" customFormat="1" ht="13.2" hidden="1" outlineLevel="1" x14ac:dyDescent="0.25">
      <c r="A5399" s="106" t="s">
        <v>10809</v>
      </c>
      <c r="B5399" s="106" t="s">
        <v>10810</v>
      </c>
      <c r="C5399" s="106"/>
      <c r="D5399" s="106"/>
      <c r="E5399" s="52"/>
    </row>
    <row r="5400" spans="1:5" s="103" customFormat="1" ht="13.2" hidden="1" outlineLevel="1" x14ac:dyDescent="0.25">
      <c r="A5400" s="106" t="s">
        <v>10811</v>
      </c>
      <c r="B5400" s="106" t="s">
        <v>10812</v>
      </c>
      <c r="C5400" s="106"/>
      <c r="D5400" s="106"/>
      <c r="E5400" s="52"/>
    </row>
    <row r="5401" spans="1:5" s="103" customFormat="1" ht="13.2" hidden="1" outlineLevel="1" x14ac:dyDescent="0.25">
      <c r="A5401" s="106" t="s">
        <v>10813</v>
      </c>
      <c r="B5401" s="106" t="s">
        <v>10814</v>
      </c>
      <c r="C5401" s="106"/>
      <c r="D5401" s="106"/>
      <c r="E5401" s="52"/>
    </row>
    <row r="5402" spans="1:5" s="103" customFormat="1" ht="13.2" hidden="1" outlineLevel="1" x14ac:dyDescent="0.25">
      <c r="A5402" s="106" t="s">
        <v>10815</v>
      </c>
      <c r="B5402" s="106" t="s">
        <v>10816</v>
      </c>
      <c r="C5402" s="106"/>
      <c r="D5402" s="106"/>
      <c r="E5402" s="52"/>
    </row>
    <row r="5403" spans="1:5" s="103" customFormat="1" ht="13.2" hidden="1" outlineLevel="1" x14ac:dyDescent="0.25">
      <c r="A5403" s="106" t="s">
        <v>10817</v>
      </c>
      <c r="B5403" s="106" t="s">
        <v>10818</v>
      </c>
      <c r="C5403" s="106"/>
      <c r="D5403" s="106"/>
      <c r="E5403" s="52"/>
    </row>
    <row r="5404" spans="1:5" s="103" customFormat="1" ht="13.2" hidden="1" outlineLevel="1" x14ac:dyDescent="0.25">
      <c r="A5404" s="106" t="s">
        <v>10819</v>
      </c>
      <c r="B5404" s="106" t="s">
        <v>10820</v>
      </c>
      <c r="C5404" s="106"/>
      <c r="D5404" s="106"/>
      <c r="E5404" s="52"/>
    </row>
    <row r="5405" spans="1:5" s="103" customFormat="1" ht="13.2" hidden="1" outlineLevel="1" x14ac:dyDescent="0.25">
      <c r="A5405" s="106" t="s">
        <v>10821</v>
      </c>
      <c r="B5405" s="106" t="s">
        <v>10822</v>
      </c>
      <c r="C5405" s="106"/>
      <c r="D5405" s="106"/>
      <c r="E5405" s="52"/>
    </row>
    <row r="5406" spans="1:5" s="103" customFormat="1" ht="13.2" hidden="1" outlineLevel="1" x14ac:dyDescent="0.25">
      <c r="A5406" s="106" t="s">
        <v>10823</v>
      </c>
      <c r="B5406" s="106" t="s">
        <v>10824</v>
      </c>
      <c r="C5406" s="106"/>
      <c r="D5406" s="106"/>
      <c r="E5406" s="52"/>
    </row>
    <row r="5407" spans="1:5" s="103" customFormat="1" ht="13.2" hidden="1" outlineLevel="1" x14ac:dyDescent="0.25">
      <c r="A5407" s="106" t="s">
        <v>10825</v>
      </c>
      <c r="B5407" s="106" t="s">
        <v>10826</v>
      </c>
      <c r="C5407" s="106"/>
      <c r="D5407" s="106"/>
      <c r="E5407" s="52"/>
    </row>
    <row r="5408" spans="1:5" s="103" customFormat="1" ht="13.2" hidden="1" outlineLevel="1" x14ac:dyDescent="0.25">
      <c r="A5408" s="106" t="s">
        <v>10827</v>
      </c>
      <c r="B5408" s="106" t="s">
        <v>10828</v>
      </c>
      <c r="C5408" s="106"/>
      <c r="D5408" s="106"/>
      <c r="E5408" s="52"/>
    </row>
    <row r="5409" spans="1:5" s="103" customFormat="1" ht="13.2" hidden="1" outlineLevel="1" x14ac:dyDescent="0.25">
      <c r="A5409" s="106" t="s">
        <v>10829</v>
      </c>
      <c r="B5409" s="106" t="s">
        <v>10830</v>
      </c>
      <c r="C5409" s="106"/>
      <c r="D5409" s="106"/>
      <c r="E5409" s="52"/>
    </row>
    <row r="5410" spans="1:5" s="103" customFormat="1" ht="13.2" hidden="1" outlineLevel="1" x14ac:dyDescent="0.25">
      <c r="A5410" s="106" t="s">
        <v>10831</v>
      </c>
      <c r="B5410" s="106" t="s">
        <v>10832</v>
      </c>
      <c r="C5410" s="106"/>
      <c r="D5410" s="106"/>
      <c r="E5410" s="52"/>
    </row>
    <row r="5411" spans="1:5" s="103" customFormat="1" ht="13.2" hidden="1" outlineLevel="1" x14ac:dyDescent="0.25">
      <c r="A5411" s="106" t="s">
        <v>10833</v>
      </c>
      <c r="B5411" s="106" t="s">
        <v>10834</v>
      </c>
      <c r="C5411" s="106"/>
      <c r="D5411" s="106"/>
      <c r="E5411" s="52"/>
    </row>
    <row r="5412" spans="1:5" s="103" customFormat="1" ht="13.2" hidden="1" outlineLevel="1" x14ac:dyDescent="0.25">
      <c r="A5412" s="106" t="s">
        <v>10835</v>
      </c>
      <c r="B5412" s="106" t="s">
        <v>10836</v>
      </c>
      <c r="C5412" s="106"/>
      <c r="D5412" s="106"/>
      <c r="E5412" s="52"/>
    </row>
    <row r="5413" spans="1:5" s="103" customFormat="1" ht="13.2" hidden="1" outlineLevel="1" x14ac:dyDescent="0.25">
      <c r="A5413" s="106" t="s">
        <v>10837</v>
      </c>
      <c r="B5413" s="106" t="s">
        <v>10838</v>
      </c>
      <c r="C5413" s="106"/>
      <c r="D5413" s="106"/>
      <c r="E5413" s="52"/>
    </row>
    <row r="5414" spans="1:5" s="103" customFormat="1" ht="13.2" hidden="1" outlineLevel="1" x14ac:dyDescent="0.25">
      <c r="A5414" s="106" t="s">
        <v>10839</v>
      </c>
      <c r="B5414" s="106" t="s">
        <v>10840</v>
      </c>
      <c r="C5414" s="106"/>
      <c r="D5414" s="106"/>
      <c r="E5414" s="52"/>
    </row>
    <row r="5415" spans="1:5" s="103" customFormat="1" ht="13.2" hidden="1" outlineLevel="1" x14ac:dyDescent="0.25">
      <c r="A5415" s="106" t="s">
        <v>10841</v>
      </c>
      <c r="B5415" s="106" t="s">
        <v>10842</v>
      </c>
      <c r="C5415" s="106"/>
      <c r="D5415" s="106"/>
      <c r="E5415" s="52"/>
    </row>
    <row r="5416" spans="1:5" s="103" customFormat="1" ht="13.2" hidden="1" outlineLevel="1" x14ac:dyDescent="0.25">
      <c r="A5416" s="106" t="s">
        <v>10843</v>
      </c>
      <c r="B5416" s="106" t="s">
        <v>10844</v>
      </c>
      <c r="C5416" s="106"/>
      <c r="D5416" s="106"/>
      <c r="E5416" s="52"/>
    </row>
    <row r="5417" spans="1:5" s="103" customFormat="1" ht="13.2" hidden="1" outlineLevel="1" x14ac:dyDescent="0.25">
      <c r="A5417" s="106" t="s">
        <v>10845</v>
      </c>
      <c r="B5417" s="106" t="s">
        <v>10846</v>
      </c>
      <c r="C5417" s="106"/>
      <c r="D5417" s="106"/>
      <c r="E5417" s="52"/>
    </row>
    <row r="5418" spans="1:5" s="103" customFormat="1" ht="13.2" hidden="1" outlineLevel="1" x14ac:dyDescent="0.25">
      <c r="A5418" s="106" t="s">
        <v>10847</v>
      </c>
      <c r="B5418" s="106" t="s">
        <v>10848</v>
      </c>
      <c r="C5418" s="106"/>
      <c r="D5418" s="106"/>
      <c r="E5418" s="52"/>
    </row>
    <row r="5419" spans="1:5" s="103" customFormat="1" ht="13.2" hidden="1" outlineLevel="1" x14ac:dyDescent="0.25">
      <c r="A5419" s="106" t="s">
        <v>10849</v>
      </c>
      <c r="B5419" s="106" t="s">
        <v>10850</v>
      </c>
      <c r="C5419" s="106"/>
      <c r="D5419" s="106"/>
      <c r="E5419" s="52"/>
    </row>
    <row r="5420" spans="1:5" s="103" customFormat="1" ht="13.2" hidden="1" outlineLevel="1" x14ac:dyDescent="0.25">
      <c r="A5420" s="106" t="s">
        <v>10851</v>
      </c>
      <c r="B5420" s="106" t="s">
        <v>10852</v>
      </c>
      <c r="C5420" s="106"/>
      <c r="D5420" s="106"/>
      <c r="E5420" s="52"/>
    </row>
    <row r="5421" spans="1:5" s="103" customFormat="1" ht="13.2" hidden="1" outlineLevel="1" x14ac:dyDescent="0.25">
      <c r="A5421" s="106" t="s">
        <v>10853</v>
      </c>
      <c r="B5421" s="106" t="s">
        <v>10854</v>
      </c>
      <c r="C5421" s="106"/>
      <c r="D5421" s="106"/>
      <c r="E5421" s="52"/>
    </row>
    <row r="5422" spans="1:5" s="103" customFormat="1" ht="13.2" hidden="1" outlineLevel="1" x14ac:dyDescent="0.25">
      <c r="A5422" s="106" t="s">
        <v>10855</v>
      </c>
      <c r="B5422" s="106" t="s">
        <v>10856</v>
      </c>
      <c r="C5422" s="106"/>
      <c r="D5422" s="106"/>
      <c r="E5422" s="52"/>
    </row>
    <row r="5423" spans="1:5" s="103" customFormat="1" ht="13.2" hidden="1" outlineLevel="1" x14ac:dyDescent="0.25">
      <c r="A5423" s="106" t="s">
        <v>10857</v>
      </c>
      <c r="B5423" s="106" t="s">
        <v>10858</v>
      </c>
      <c r="C5423" s="106"/>
      <c r="D5423" s="106"/>
      <c r="E5423" s="52"/>
    </row>
    <row r="5424" spans="1:5" s="103" customFormat="1" ht="13.2" hidden="1" outlineLevel="1" x14ac:dyDescent="0.25">
      <c r="A5424" s="106" t="s">
        <v>10859</v>
      </c>
      <c r="B5424" s="106" t="s">
        <v>10860</v>
      </c>
      <c r="C5424" s="106"/>
      <c r="D5424" s="106"/>
      <c r="E5424" s="52"/>
    </row>
    <row r="5425" spans="1:5" s="103" customFormat="1" ht="13.2" hidden="1" outlineLevel="1" x14ac:dyDescent="0.25">
      <c r="A5425" s="106" t="s">
        <v>10861</v>
      </c>
      <c r="B5425" s="106" t="s">
        <v>10862</v>
      </c>
      <c r="C5425" s="106"/>
      <c r="D5425" s="106"/>
      <c r="E5425" s="52"/>
    </row>
    <row r="5426" spans="1:5" s="103" customFormat="1" ht="13.2" hidden="1" outlineLevel="1" x14ac:dyDescent="0.25">
      <c r="A5426" s="106" t="s">
        <v>10863</v>
      </c>
      <c r="B5426" s="106" t="s">
        <v>10864</v>
      </c>
      <c r="C5426" s="106"/>
      <c r="D5426" s="106"/>
      <c r="E5426" s="52"/>
    </row>
    <row r="5427" spans="1:5" s="103" customFormat="1" ht="13.2" hidden="1" outlineLevel="1" x14ac:dyDescent="0.25">
      <c r="A5427" s="106" t="s">
        <v>10865</v>
      </c>
      <c r="B5427" s="106" t="s">
        <v>10866</v>
      </c>
      <c r="C5427" s="106"/>
      <c r="D5427" s="106"/>
      <c r="E5427" s="52"/>
    </row>
    <row r="5428" spans="1:5" s="103" customFormat="1" ht="13.2" hidden="1" outlineLevel="1" x14ac:dyDescent="0.25">
      <c r="A5428" s="106" t="s">
        <v>10867</v>
      </c>
      <c r="B5428" s="106" t="s">
        <v>10868</v>
      </c>
      <c r="C5428" s="106"/>
      <c r="D5428" s="106"/>
      <c r="E5428" s="52"/>
    </row>
    <row r="5429" spans="1:5" s="103" customFormat="1" ht="13.2" hidden="1" outlineLevel="1" x14ac:dyDescent="0.25">
      <c r="A5429" s="106" t="s">
        <v>10869</v>
      </c>
      <c r="B5429" s="106" t="s">
        <v>10870</v>
      </c>
      <c r="C5429" s="106"/>
      <c r="D5429" s="106"/>
      <c r="E5429" s="52"/>
    </row>
    <row r="5430" spans="1:5" s="103" customFormat="1" ht="13.2" hidden="1" outlineLevel="1" x14ac:dyDescent="0.25">
      <c r="A5430" s="106" t="s">
        <v>10871</v>
      </c>
      <c r="B5430" s="106" t="s">
        <v>10872</v>
      </c>
      <c r="C5430" s="106"/>
      <c r="D5430" s="106"/>
      <c r="E5430" s="52"/>
    </row>
    <row r="5431" spans="1:5" s="103" customFormat="1" ht="13.2" hidden="1" outlineLevel="1" x14ac:dyDescent="0.25">
      <c r="A5431" s="106" t="s">
        <v>10873</v>
      </c>
      <c r="B5431" s="106" t="s">
        <v>10874</v>
      </c>
      <c r="C5431" s="106"/>
      <c r="D5431" s="106"/>
      <c r="E5431" s="52"/>
    </row>
    <row r="5432" spans="1:5" s="103" customFormat="1" ht="13.2" hidden="1" outlineLevel="1" x14ac:dyDescent="0.25">
      <c r="A5432" s="106" t="s">
        <v>10875</v>
      </c>
      <c r="B5432" s="106" t="s">
        <v>10876</v>
      </c>
      <c r="C5432" s="106"/>
      <c r="D5432" s="106"/>
      <c r="E5432" s="52"/>
    </row>
    <row r="5433" spans="1:5" s="103" customFormat="1" ht="13.2" hidden="1" outlineLevel="1" x14ac:dyDescent="0.25">
      <c r="A5433" s="106" t="s">
        <v>10877</v>
      </c>
      <c r="B5433" s="106" t="s">
        <v>10878</v>
      </c>
      <c r="C5433" s="106"/>
      <c r="D5433" s="106"/>
      <c r="E5433" s="52"/>
    </row>
    <row r="5434" spans="1:5" s="103" customFormat="1" ht="13.2" hidden="1" outlineLevel="1" x14ac:dyDescent="0.25">
      <c r="A5434" s="106" t="s">
        <v>10879</v>
      </c>
      <c r="B5434" s="106" t="s">
        <v>10880</v>
      </c>
      <c r="C5434" s="106"/>
      <c r="D5434" s="106"/>
      <c r="E5434" s="52"/>
    </row>
    <row r="5435" spans="1:5" s="103" customFormat="1" ht="13.2" hidden="1" outlineLevel="1" x14ac:dyDescent="0.25">
      <c r="A5435" s="106" t="s">
        <v>10881</v>
      </c>
      <c r="B5435" s="106" t="s">
        <v>10882</v>
      </c>
      <c r="C5435" s="106"/>
      <c r="D5435" s="106"/>
      <c r="E5435" s="52"/>
    </row>
    <row r="5436" spans="1:5" s="103" customFormat="1" ht="13.2" hidden="1" outlineLevel="1" x14ac:dyDescent="0.25">
      <c r="A5436" s="106" t="s">
        <v>10883</v>
      </c>
      <c r="B5436" s="106" t="s">
        <v>10884</v>
      </c>
      <c r="C5436" s="106"/>
      <c r="D5436" s="106"/>
      <c r="E5436" s="52"/>
    </row>
    <row r="5437" spans="1:5" s="103" customFormat="1" ht="13.2" hidden="1" outlineLevel="1" x14ac:dyDescent="0.25">
      <c r="A5437" s="106" t="s">
        <v>10885</v>
      </c>
      <c r="B5437" s="106" t="s">
        <v>10886</v>
      </c>
      <c r="C5437" s="106"/>
      <c r="D5437" s="106"/>
      <c r="E5437" s="52"/>
    </row>
    <row r="5438" spans="1:5" s="103" customFormat="1" ht="13.2" hidden="1" outlineLevel="1" x14ac:dyDescent="0.25">
      <c r="A5438" s="106" t="s">
        <v>10887</v>
      </c>
      <c r="B5438" s="106" t="s">
        <v>10888</v>
      </c>
      <c r="C5438" s="106"/>
      <c r="D5438" s="106"/>
      <c r="E5438" s="52"/>
    </row>
    <row r="5439" spans="1:5" s="103" customFormat="1" ht="13.2" hidden="1" outlineLevel="1" x14ac:dyDescent="0.25">
      <c r="A5439" s="106" t="s">
        <v>10889</v>
      </c>
      <c r="B5439" s="106" t="s">
        <v>10890</v>
      </c>
      <c r="C5439" s="106"/>
      <c r="D5439" s="106"/>
      <c r="E5439" s="52"/>
    </row>
    <row r="5440" spans="1:5" s="103" customFormat="1" ht="13.2" hidden="1" outlineLevel="1" x14ac:dyDescent="0.25">
      <c r="A5440" s="106" t="s">
        <v>10891</v>
      </c>
      <c r="B5440" s="106" t="s">
        <v>10892</v>
      </c>
      <c r="C5440" s="106"/>
      <c r="D5440" s="106"/>
      <c r="E5440" s="52"/>
    </row>
    <row r="5441" spans="1:5" s="103" customFormat="1" ht="13.2" hidden="1" outlineLevel="1" x14ac:dyDescent="0.25">
      <c r="A5441" s="106" t="s">
        <v>10893</v>
      </c>
      <c r="B5441" s="106" t="s">
        <v>10894</v>
      </c>
      <c r="C5441" s="106"/>
      <c r="D5441" s="106"/>
      <c r="E5441" s="52"/>
    </row>
    <row r="5442" spans="1:5" s="103" customFormat="1" ht="13.2" hidden="1" outlineLevel="1" x14ac:dyDescent="0.25">
      <c r="A5442" s="106" t="s">
        <v>10895</v>
      </c>
      <c r="B5442" s="106" t="s">
        <v>10896</v>
      </c>
      <c r="C5442" s="106"/>
      <c r="D5442" s="106"/>
      <c r="E5442" s="52"/>
    </row>
    <row r="5443" spans="1:5" s="103" customFormat="1" ht="13.2" hidden="1" outlineLevel="1" x14ac:dyDescent="0.25">
      <c r="A5443" s="106" t="s">
        <v>10897</v>
      </c>
      <c r="B5443" s="106" t="s">
        <v>10898</v>
      </c>
      <c r="C5443" s="106"/>
      <c r="D5443" s="106"/>
      <c r="E5443" s="52"/>
    </row>
    <row r="5444" spans="1:5" s="103" customFormat="1" ht="13.2" hidden="1" outlineLevel="1" x14ac:dyDescent="0.25">
      <c r="A5444" s="106" t="s">
        <v>10899</v>
      </c>
      <c r="B5444" s="106" t="s">
        <v>10900</v>
      </c>
      <c r="C5444" s="106"/>
      <c r="D5444" s="106"/>
      <c r="E5444" s="52"/>
    </row>
    <row r="5445" spans="1:5" s="103" customFormat="1" ht="13.2" hidden="1" outlineLevel="1" x14ac:dyDescent="0.25">
      <c r="A5445" s="106" t="s">
        <v>10901</v>
      </c>
      <c r="B5445" s="106" t="s">
        <v>10902</v>
      </c>
      <c r="C5445" s="106"/>
      <c r="D5445" s="106"/>
      <c r="E5445" s="52"/>
    </row>
    <row r="5446" spans="1:5" s="103" customFormat="1" ht="13.2" hidden="1" outlineLevel="1" x14ac:dyDescent="0.25">
      <c r="A5446" s="106" t="s">
        <v>10903</v>
      </c>
      <c r="B5446" s="106" t="s">
        <v>10904</v>
      </c>
      <c r="C5446" s="106"/>
      <c r="D5446" s="106"/>
      <c r="E5446" s="52"/>
    </row>
    <row r="5447" spans="1:5" s="103" customFormat="1" ht="13.2" hidden="1" outlineLevel="1" x14ac:dyDescent="0.25">
      <c r="A5447" s="106" t="s">
        <v>10905</v>
      </c>
      <c r="B5447" s="106" t="s">
        <v>10906</v>
      </c>
      <c r="C5447" s="106"/>
      <c r="D5447" s="106"/>
      <c r="E5447" s="52"/>
    </row>
    <row r="5448" spans="1:5" s="103" customFormat="1" ht="13.2" hidden="1" outlineLevel="1" x14ac:dyDescent="0.25">
      <c r="A5448" s="106" t="s">
        <v>10907</v>
      </c>
      <c r="B5448" s="106" t="s">
        <v>10908</v>
      </c>
      <c r="C5448" s="106"/>
      <c r="D5448" s="106"/>
      <c r="E5448" s="52"/>
    </row>
    <row r="5449" spans="1:5" s="103" customFormat="1" ht="13.2" hidden="1" outlineLevel="1" x14ac:dyDescent="0.25">
      <c r="A5449" s="106" t="s">
        <v>10909</v>
      </c>
      <c r="B5449" s="106" t="s">
        <v>10910</v>
      </c>
      <c r="C5449" s="106"/>
      <c r="D5449" s="106"/>
      <c r="E5449" s="52"/>
    </row>
    <row r="5450" spans="1:5" s="103" customFormat="1" ht="13.2" hidden="1" outlineLevel="1" x14ac:dyDescent="0.25">
      <c r="A5450" s="106" t="s">
        <v>10911</v>
      </c>
      <c r="B5450" s="106" t="s">
        <v>10912</v>
      </c>
      <c r="C5450" s="106"/>
      <c r="D5450" s="106"/>
      <c r="E5450" s="52"/>
    </row>
    <row r="5451" spans="1:5" s="103" customFormat="1" ht="13.2" hidden="1" outlineLevel="1" x14ac:dyDescent="0.25">
      <c r="A5451" s="106" t="s">
        <v>10913</v>
      </c>
      <c r="B5451" s="106" t="s">
        <v>10914</v>
      </c>
      <c r="C5451" s="106"/>
      <c r="D5451" s="106"/>
      <c r="E5451" s="52"/>
    </row>
    <row r="5452" spans="1:5" s="103" customFormat="1" ht="13.2" hidden="1" outlineLevel="1" x14ac:dyDescent="0.25">
      <c r="A5452" s="106" t="s">
        <v>10915</v>
      </c>
      <c r="B5452" s="106" t="s">
        <v>10916</v>
      </c>
      <c r="C5452" s="106"/>
      <c r="D5452" s="106"/>
      <c r="E5452" s="52"/>
    </row>
    <row r="5453" spans="1:5" s="103" customFormat="1" ht="13.2" hidden="1" outlineLevel="1" x14ac:dyDescent="0.25">
      <c r="A5453" s="106" t="s">
        <v>10917</v>
      </c>
      <c r="B5453" s="106" t="s">
        <v>10918</v>
      </c>
      <c r="C5453" s="106"/>
      <c r="D5453" s="106"/>
      <c r="E5453" s="52"/>
    </row>
    <row r="5454" spans="1:5" s="103" customFormat="1" ht="13.2" hidden="1" outlineLevel="1" x14ac:dyDescent="0.25">
      <c r="A5454" s="106" t="s">
        <v>10919</v>
      </c>
      <c r="B5454" s="106" t="s">
        <v>10920</v>
      </c>
      <c r="C5454" s="106"/>
      <c r="D5454" s="106"/>
      <c r="E5454" s="52"/>
    </row>
    <row r="5455" spans="1:5" s="103" customFormat="1" ht="13.2" hidden="1" outlineLevel="1" x14ac:dyDescent="0.25">
      <c r="A5455" s="106" t="s">
        <v>10921</v>
      </c>
      <c r="B5455" s="106" t="s">
        <v>10922</v>
      </c>
      <c r="C5455" s="106"/>
      <c r="D5455" s="106"/>
      <c r="E5455" s="52"/>
    </row>
    <row r="5456" spans="1:5" s="103" customFormat="1" ht="13.2" hidden="1" outlineLevel="1" x14ac:dyDescent="0.25">
      <c r="A5456" s="106" t="s">
        <v>10923</v>
      </c>
      <c r="B5456" s="106" t="s">
        <v>10924</v>
      </c>
      <c r="C5456" s="106"/>
      <c r="D5456" s="106"/>
      <c r="E5456" s="52"/>
    </row>
    <row r="5457" spans="1:5" s="103" customFormat="1" ht="13.2" hidden="1" outlineLevel="1" x14ac:dyDescent="0.25">
      <c r="A5457" s="106" t="s">
        <v>10925</v>
      </c>
      <c r="B5457" s="106" t="s">
        <v>10926</v>
      </c>
      <c r="C5457" s="106"/>
      <c r="D5457" s="106"/>
      <c r="E5457" s="52"/>
    </row>
    <row r="5458" spans="1:5" s="103" customFormat="1" ht="13.2" hidden="1" outlineLevel="1" x14ac:dyDescent="0.25">
      <c r="A5458" s="106" t="s">
        <v>10927</v>
      </c>
      <c r="B5458" s="106" t="s">
        <v>10928</v>
      </c>
      <c r="C5458" s="106"/>
      <c r="D5458" s="106"/>
      <c r="E5458" s="52"/>
    </row>
    <row r="5459" spans="1:5" s="103" customFormat="1" ht="13.2" hidden="1" outlineLevel="1" x14ac:dyDescent="0.25">
      <c r="A5459" s="106" t="s">
        <v>10929</v>
      </c>
      <c r="B5459" s="106" t="s">
        <v>10930</v>
      </c>
      <c r="C5459" s="106"/>
      <c r="D5459" s="106"/>
      <c r="E5459" s="52"/>
    </row>
    <row r="5460" spans="1:5" s="103" customFormat="1" ht="13.2" hidden="1" outlineLevel="1" x14ac:dyDescent="0.25">
      <c r="A5460" s="106" t="s">
        <v>10931</v>
      </c>
      <c r="B5460" s="106" t="s">
        <v>10932</v>
      </c>
      <c r="C5460" s="106"/>
      <c r="D5460" s="106"/>
      <c r="E5460" s="52"/>
    </row>
    <row r="5461" spans="1:5" s="103" customFormat="1" ht="13.2" hidden="1" outlineLevel="1" x14ac:dyDescent="0.25">
      <c r="A5461" s="106" t="s">
        <v>10933</v>
      </c>
      <c r="B5461" s="106" t="s">
        <v>10934</v>
      </c>
      <c r="C5461" s="106"/>
      <c r="D5461" s="106"/>
      <c r="E5461" s="52"/>
    </row>
    <row r="5462" spans="1:5" s="103" customFormat="1" ht="13.2" hidden="1" outlineLevel="1" x14ac:dyDescent="0.25">
      <c r="A5462" s="106" t="s">
        <v>10935</v>
      </c>
      <c r="B5462" s="106" t="s">
        <v>10936</v>
      </c>
      <c r="C5462" s="106"/>
      <c r="D5462" s="106"/>
      <c r="E5462" s="52"/>
    </row>
    <row r="5463" spans="1:5" s="103" customFormat="1" ht="13.2" hidden="1" outlineLevel="1" x14ac:dyDescent="0.25">
      <c r="A5463" s="106" t="s">
        <v>10937</v>
      </c>
      <c r="B5463" s="106" t="s">
        <v>10938</v>
      </c>
      <c r="C5463" s="106"/>
      <c r="D5463" s="106"/>
      <c r="E5463" s="52"/>
    </row>
    <row r="5464" spans="1:5" s="103" customFormat="1" ht="13.2" hidden="1" outlineLevel="1" x14ac:dyDescent="0.25">
      <c r="A5464" s="106" t="s">
        <v>10939</v>
      </c>
      <c r="B5464" s="106" t="s">
        <v>10940</v>
      </c>
      <c r="C5464" s="106"/>
      <c r="D5464" s="106"/>
      <c r="E5464" s="52"/>
    </row>
    <row r="5465" spans="1:5" s="103" customFormat="1" ht="13.2" hidden="1" outlineLevel="1" x14ac:dyDescent="0.25">
      <c r="A5465" s="106" t="s">
        <v>10941</v>
      </c>
      <c r="B5465" s="106" t="s">
        <v>10942</v>
      </c>
      <c r="C5465" s="106"/>
      <c r="D5465" s="106"/>
      <c r="E5465" s="52"/>
    </row>
    <row r="5466" spans="1:5" s="103" customFormat="1" ht="13.2" hidden="1" outlineLevel="1" x14ac:dyDescent="0.25">
      <c r="A5466" s="106" t="s">
        <v>10943</v>
      </c>
      <c r="B5466" s="106" t="s">
        <v>10944</v>
      </c>
      <c r="C5466" s="106"/>
      <c r="D5466" s="106"/>
      <c r="E5466" s="52"/>
    </row>
    <row r="5467" spans="1:5" s="103" customFormat="1" ht="13.2" hidden="1" outlineLevel="1" x14ac:dyDescent="0.25">
      <c r="A5467" s="106" t="s">
        <v>10945</v>
      </c>
      <c r="B5467" s="106" t="s">
        <v>10946</v>
      </c>
      <c r="C5467" s="106"/>
      <c r="D5467" s="106"/>
      <c r="E5467" s="52"/>
    </row>
    <row r="5468" spans="1:5" s="103" customFormat="1" ht="13.2" hidden="1" outlineLevel="1" x14ac:dyDescent="0.25">
      <c r="A5468" s="106" t="s">
        <v>10947</v>
      </c>
      <c r="B5468" s="106" t="s">
        <v>10948</v>
      </c>
      <c r="C5468" s="106"/>
      <c r="D5468" s="106"/>
      <c r="E5468" s="52"/>
    </row>
    <row r="5469" spans="1:5" s="103" customFormat="1" ht="13.2" hidden="1" outlineLevel="1" x14ac:dyDescent="0.25">
      <c r="A5469" s="106" t="s">
        <v>10949</v>
      </c>
      <c r="B5469" s="106" t="s">
        <v>10950</v>
      </c>
      <c r="C5469" s="106"/>
      <c r="D5469" s="106"/>
      <c r="E5469" s="52"/>
    </row>
    <row r="5470" spans="1:5" s="103" customFormat="1" ht="13.2" hidden="1" outlineLevel="1" x14ac:dyDescent="0.25">
      <c r="A5470" s="106" t="s">
        <v>10951</v>
      </c>
      <c r="B5470" s="106" t="s">
        <v>10952</v>
      </c>
      <c r="C5470" s="106"/>
      <c r="D5470" s="106"/>
      <c r="E5470" s="52"/>
    </row>
    <row r="5471" spans="1:5" s="103" customFormat="1" ht="13.2" hidden="1" outlineLevel="1" x14ac:dyDescent="0.25">
      <c r="A5471" s="106" t="s">
        <v>10953</v>
      </c>
      <c r="B5471" s="106" t="s">
        <v>10954</v>
      </c>
      <c r="C5471" s="106"/>
      <c r="D5471" s="106"/>
      <c r="E5471" s="52"/>
    </row>
    <row r="5472" spans="1:5" s="103" customFormat="1" ht="13.2" hidden="1" outlineLevel="1" x14ac:dyDescent="0.25">
      <c r="A5472" s="106" t="s">
        <v>10955</v>
      </c>
      <c r="B5472" s="106" t="s">
        <v>10956</v>
      </c>
      <c r="C5472" s="106"/>
      <c r="D5472" s="106"/>
      <c r="E5472" s="52"/>
    </row>
    <row r="5473" spans="1:5" s="103" customFormat="1" ht="13.2" hidden="1" outlineLevel="1" x14ac:dyDescent="0.25">
      <c r="A5473" s="106" t="s">
        <v>10957</v>
      </c>
      <c r="B5473" s="106" t="s">
        <v>10958</v>
      </c>
      <c r="C5473" s="106"/>
      <c r="D5473" s="106"/>
      <c r="E5473" s="52"/>
    </row>
    <row r="5474" spans="1:5" s="103" customFormat="1" ht="13.2" hidden="1" outlineLevel="1" x14ac:dyDescent="0.25">
      <c r="A5474" s="106" t="s">
        <v>10959</v>
      </c>
      <c r="B5474" s="106" t="s">
        <v>10960</v>
      </c>
      <c r="C5474" s="106"/>
      <c r="D5474" s="106"/>
      <c r="E5474" s="52"/>
    </row>
    <row r="5475" spans="1:5" s="103" customFormat="1" ht="13.2" hidden="1" outlineLevel="1" x14ac:dyDescent="0.25">
      <c r="A5475" s="106" t="s">
        <v>10961</v>
      </c>
      <c r="B5475" s="106" t="s">
        <v>10962</v>
      </c>
      <c r="C5475" s="106"/>
      <c r="D5475" s="106"/>
      <c r="E5475" s="52"/>
    </row>
    <row r="5476" spans="1:5" s="103" customFormat="1" ht="13.2" hidden="1" outlineLevel="1" x14ac:dyDescent="0.25">
      <c r="A5476" s="106" t="s">
        <v>10963</v>
      </c>
      <c r="B5476" s="106" t="s">
        <v>10964</v>
      </c>
      <c r="C5476" s="106"/>
      <c r="D5476" s="106"/>
      <c r="E5476" s="52"/>
    </row>
    <row r="5477" spans="1:5" s="103" customFormat="1" ht="13.2" hidden="1" outlineLevel="1" x14ac:dyDescent="0.25">
      <c r="A5477" s="106" t="s">
        <v>10965</v>
      </c>
      <c r="B5477" s="106" t="s">
        <v>10966</v>
      </c>
      <c r="C5477" s="106"/>
      <c r="D5477" s="106"/>
      <c r="E5477" s="52"/>
    </row>
    <row r="5478" spans="1:5" s="103" customFormat="1" ht="13.2" hidden="1" outlineLevel="1" x14ac:dyDescent="0.25">
      <c r="A5478" s="106" t="s">
        <v>10967</v>
      </c>
      <c r="B5478" s="106" t="s">
        <v>10968</v>
      </c>
      <c r="C5478" s="106"/>
      <c r="D5478" s="106"/>
      <c r="E5478" s="52"/>
    </row>
    <row r="5479" spans="1:5" s="103" customFormat="1" ht="13.2" hidden="1" outlineLevel="1" x14ac:dyDescent="0.25">
      <c r="A5479" s="106" t="s">
        <v>10969</v>
      </c>
      <c r="B5479" s="106" t="s">
        <v>10970</v>
      </c>
      <c r="C5479" s="106"/>
      <c r="D5479" s="106"/>
      <c r="E5479" s="52"/>
    </row>
    <row r="5480" spans="1:5" s="103" customFormat="1" ht="13.2" hidden="1" outlineLevel="1" x14ac:dyDescent="0.25">
      <c r="A5480" s="106" t="s">
        <v>10971</v>
      </c>
      <c r="B5480" s="106" t="s">
        <v>10972</v>
      </c>
      <c r="C5480" s="106"/>
      <c r="D5480" s="106"/>
      <c r="E5480" s="52"/>
    </row>
    <row r="5481" spans="1:5" s="103" customFormat="1" ht="13.2" hidden="1" outlineLevel="1" x14ac:dyDescent="0.25">
      <c r="A5481" s="106" t="s">
        <v>10973</v>
      </c>
      <c r="B5481" s="106" t="s">
        <v>10974</v>
      </c>
      <c r="C5481" s="106"/>
      <c r="D5481" s="106"/>
      <c r="E5481" s="52"/>
    </row>
    <row r="5482" spans="1:5" s="103" customFormat="1" ht="13.2" hidden="1" outlineLevel="1" x14ac:dyDescent="0.25">
      <c r="A5482" s="106" t="s">
        <v>10975</v>
      </c>
      <c r="B5482" s="106" t="s">
        <v>10976</v>
      </c>
      <c r="C5482" s="106"/>
      <c r="D5482" s="106"/>
      <c r="E5482" s="52"/>
    </row>
    <row r="5483" spans="1:5" s="103" customFormat="1" ht="13.2" hidden="1" outlineLevel="1" x14ac:dyDescent="0.25">
      <c r="A5483" s="106" t="s">
        <v>10977</v>
      </c>
      <c r="B5483" s="106" t="s">
        <v>10978</v>
      </c>
      <c r="C5483" s="106"/>
      <c r="D5483" s="106"/>
      <c r="E5483" s="52"/>
    </row>
    <row r="5484" spans="1:5" s="103" customFormat="1" ht="13.2" hidden="1" outlineLevel="1" x14ac:dyDescent="0.25">
      <c r="A5484" s="106" t="s">
        <v>10979</v>
      </c>
      <c r="B5484" s="106" t="s">
        <v>10980</v>
      </c>
      <c r="C5484" s="106"/>
      <c r="D5484" s="106"/>
      <c r="E5484" s="52"/>
    </row>
    <row r="5485" spans="1:5" s="103" customFormat="1" ht="13.2" hidden="1" outlineLevel="1" x14ac:dyDescent="0.25">
      <c r="A5485" s="106" t="s">
        <v>10981</v>
      </c>
      <c r="B5485" s="106" t="s">
        <v>10982</v>
      </c>
      <c r="C5485" s="106"/>
      <c r="D5485" s="106"/>
      <c r="E5485" s="52"/>
    </row>
    <row r="5486" spans="1:5" s="103" customFormat="1" ht="13.2" hidden="1" outlineLevel="1" x14ac:dyDescent="0.25">
      <c r="A5486" s="106" t="s">
        <v>10983</v>
      </c>
      <c r="B5486" s="106" t="s">
        <v>10984</v>
      </c>
      <c r="C5486" s="106"/>
      <c r="D5486" s="106"/>
      <c r="E5486" s="52"/>
    </row>
    <row r="5487" spans="1:5" s="103" customFormat="1" ht="13.2" hidden="1" outlineLevel="1" x14ac:dyDescent="0.25">
      <c r="A5487" s="106" t="s">
        <v>10985</v>
      </c>
      <c r="B5487" s="106" t="s">
        <v>10986</v>
      </c>
      <c r="C5487" s="106"/>
      <c r="D5487" s="106"/>
      <c r="E5487" s="52"/>
    </row>
    <row r="5488" spans="1:5" s="103" customFormat="1" ht="13.2" hidden="1" outlineLevel="1" x14ac:dyDescent="0.25">
      <c r="A5488" s="106" t="s">
        <v>10987</v>
      </c>
      <c r="B5488" s="106" t="s">
        <v>10988</v>
      </c>
      <c r="C5488" s="106"/>
      <c r="D5488" s="106"/>
      <c r="E5488" s="52"/>
    </row>
    <row r="5489" spans="1:5" s="103" customFormat="1" ht="13.2" hidden="1" outlineLevel="1" x14ac:dyDescent="0.25">
      <c r="A5489" s="106" t="s">
        <v>10989</v>
      </c>
      <c r="B5489" s="106" t="s">
        <v>10990</v>
      </c>
      <c r="C5489" s="106"/>
      <c r="D5489" s="106"/>
      <c r="E5489" s="52"/>
    </row>
    <row r="5490" spans="1:5" s="103" customFormat="1" ht="13.2" collapsed="1" x14ac:dyDescent="0.25">
      <c r="A5490" s="104" t="s">
        <v>10991</v>
      </c>
      <c r="B5490" s="105" t="s">
        <v>10992</v>
      </c>
      <c r="C5490" s="105"/>
      <c r="D5490" s="105"/>
      <c r="E5490" s="51"/>
    </row>
    <row r="5491" spans="1:5" s="103" customFormat="1" ht="13.2" hidden="1" outlineLevel="1" x14ac:dyDescent="0.25">
      <c r="A5491" s="106" t="s">
        <v>10993</v>
      </c>
      <c r="B5491" s="106" t="s">
        <v>10994</v>
      </c>
      <c r="C5491" s="106"/>
      <c r="D5491" s="106"/>
      <c r="E5491" s="52"/>
    </row>
    <row r="5492" spans="1:5" s="103" customFormat="1" ht="13.2" hidden="1" outlineLevel="1" x14ac:dyDescent="0.25">
      <c r="A5492" s="106" t="s">
        <v>10995</v>
      </c>
      <c r="B5492" s="106" t="s">
        <v>10996</v>
      </c>
      <c r="C5492" s="106"/>
      <c r="D5492" s="106"/>
      <c r="E5492" s="52"/>
    </row>
    <row r="5493" spans="1:5" s="103" customFormat="1" ht="13.2" hidden="1" outlineLevel="1" x14ac:dyDescent="0.25">
      <c r="A5493" s="106" t="s">
        <v>10997</v>
      </c>
      <c r="B5493" s="106" t="s">
        <v>10998</v>
      </c>
      <c r="C5493" s="106"/>
      <c r="D5493" s="106"/>
      <c r="E5493" s="52"/>
    </row>
    <row r="5494" spans="1:5" s="103" customFormat="1" ht="13.2" hidden="1" outlineLevel="1" x14ac:dyDescent="0.25">
      <c r="A5494" s="106" t="s">
        <v>10999</v>
      </c>
      <c r="B5494" s="106" t="s">
        <v>11000</v>
      </c>
      <c r="C5494" s="106"/>
      <c r="D5494" s="106"/>
      <c r="E5494" s="52"/>
    </row>
    <row r="5495" spans="1:5" s="103" customFormat="1" ht="13.2" hidden="1" outlineLevel="1" x14ac:dyDescent="0.25">
      <c r="A5495" s="106" t="s">
        <v>11001</v>
      </c>
      <c r="B5495" s="106" t="s">
        <v>11002</v>
      </c>
      <c r="C5495" s="106"/>
      <c r="D5495" s="106"/>
      <c r="E5495" s="52"/>
    </row>
    <row r="5496" spans="1:5" s="103" customFormat="1" ht="13.2" hidden="1" outlineLevel="1" x14ac:dyDescent="0.25">
      <c r="A5496" s="106" t="s">
        <v>11003</v>
      </c>
      <c r="B5496" s="106" t="s">
        <v>11004</v>
      </c>
      <c r="C5496" s="106"/>
      <c r="D5496" s="106"/>
      <c r="E5496" s="52"/>
    </row>
    <row r="5497" spans="1:5" s="103" customFormat="1" ht="13.2" hidden="1" outlineLevel="1" x14ac:dyDescent="0.25">
      <c r="A5497" s="106" t="s">
        <v>11005</v>
      </c>
      <c r="B5497" s="106" t="s">
        <v>11006</v>
      </c>
      <c r="C5497" s="106"/>
      <c r="D5497" s="106"/>
      <c r="E5497" s="52"/>
    </row>
    <row r="5498" spans="1:5" s="103" customFormat="1" ht="13.2" hidden="1" outlineLevel="1" x14ac:dyDescent="0.25">
      <c r="A5498" s="106" t="s">
        <v>11007</v>
      </c>
      <c r="B5498" s="106" t="s">
        <v>11008</v>
      </c>
      <c r="C5498" s="106"/>
      <c r="D5498" s="106"/>
      <c r="E5498" s="52"/>
    </row>
    <row r="5499" spans="1:5" s="103" customFormat="1" ht="13.2" hidden="1" outlineLevel="1" x14ac:dyDescent="0.25">
      <c r="A5499" s="106" t="s">
        <v>11009</v>
      </c>
      <c r="B5499" s="106" t="s">
        <v>11010</v>
      </c>
      <c r="C5499" s="106"/>
      <c r="D5499" s="106"/>
      <c r="E5499" s="52"/>
    </row>
    <row r="5500" spans="1:5" s="103" customFormat="1" ht="13.2" hidden="1" outlineLevel="1" x14ac:dyDescent="0.25">
      <c r="A5500" s="106" t="s">
        <v>11011</v>
      </c>
      <c r="B5500" s="106" t="s">
        <v>11012</v>
      </c>
      <c r="C5500" s="106"/>
      <c r="D5500" s="106"/>
      <c r="E5500" s="52"/>
    </row>
    <row r="5501" spans="1:5" s="103" customFormat="1" ht="13.2" hidden="1" outlineLevel="1" x14ac:dyDescent="0.25">
      <c r="A5501" s="106" t="s">
        <v>11013</v>
      </c>
      <c r="B5501" s="106" t="s">
        <v>11014</v>
      </c>
      <c r="C5501" s="106"/>
      <c r="D5501" s="106"/>
      <c r="E5501" s="52"/>
    </row>
    <row r="5502" spans="1:5" s="103" customFormat="1" ht="13.2" hidden="1" outlineLevel="1" x14ac:dyDescent="0.25">
      <c r="A5502" s="106" t="s">
        <v>11015</v>
      </c>
      <c r="B5502" s="106" t="s">
        <v>11016</v>
      </c>
      <c r="C5502" s="106"/>
      <c r="D5502" s="106"/>
      <c r="E5502" s="52"/>
    </row>
    <row r="5503" spans="1:5" s="103" customFormat="1" ht="13.2" hidden="1" outlineLevel="1" x14ac:dyDescent="0.25">
      <c r="A5503" s="106" t="s">
        <v>11017</v>
      </c>
      <c r="B5503" s="106" t="s">
        <v>11018</v>
      </c>
      <c r="C5503" s="106"/>
      <c r="D5503" s="106"/>
      <c r="E5503" s="52"/>
    </row>
    <row r="5504" spans="1:5" s="103" customFormat="1" ht="13.2" hidden="1" outlineLevel="1" x14ac:dyDescent="0.25">
      <c r="A5504" s="106" t="s">
        <v>11019</v>
      </c>
      <c r="B5504" s="106" t="s">
        <v>11020</v>
      </c>
      <c r="C5504" s="106"/>
      <c r="D5504" s="106"/>
      <c r="E5504" s="52"/>
    </row>
    <row r="5505" spans="1:5" s="103" customFormat="1" ht="13.2" hidden="1" outlineLevel="1" x14ac:dyDescent="0.25">
      <c r="A5505" s="106" t="s">
        <v>11021</v>
      </c>
      <c r="B5505" s="106" t="s">
        <v>11022</v>
      </c>
      <c r="C5505" s="106"/>
      <c r="D5505" s="106"/>
      <c r="E5505" s="52"/>
    </row>
    <row r="5506" spans="1:5" s="103" customFormat="1" ht="13.2" hidden="1" outlineLevel="1" x14ac:dyDescent="0.25">
      <c r="A5506" s="106" t="s">
        <v>11023</v>
      </c>
      <c r="B5506" s="106" t="s">
        <v>11024</v>
      </c>
      <c r="C5506" s="106"/>
      <c r="D5506" s="106"/>
      <c r="E5506" s="52"/>
    </row>
    <row r="5507" spans="1:5" s="103" customFormat="1" ht="13.2" hidden="1" outlineLevel="1" x14ac:dyDescent="0.25">
      <c r="A5507" s="106" t="s">
        <v>11025</v>
      </c>
      <c r="B5507" s="106" t="s">
        <v>11026</v>
      </c>
      <c r="C5507" s="106"/>
      <c r="D5507" s="106"/>
      <c r="E5507" s="52"/>
    </row>
    <row r="5508" spans="1:5" s="103" customFormat="1" ht="13.2" hidden="1" outlineLevel="1" x14ac:dyDescent="0.25">
      <c r="A5508" s="106" t="s">
        <v>11027</v>
      </c>
      <c r="B5508" s="106" t="s">
        <v>11028</v>
      </c>
      <c r="C5508" s="106"/>
      <c r="D5508" s="106"/>
      <c r="E5508" s="52"/>
    </row>
    <row r="5509" spans="1:5" s="103" customFormat="1" ht="13.2" hidden="1" outlineLevel="1" x14ac:dyDescent="0.25">
      <c r="A5509" s="106" t="s">
        <v>11029</v>
      </c>
      <c r="B5509" s="106" t="s">
        <v>11030</v>
      </c>
      <c r="C5509" s="106"/>
      <c r="D5509" s="106"/>
      <c r="E5509" s="52"/>
    </row>
    <row r="5510" spans="1:5" s="103" customFormat="1" ht="13.2" hidden="1" outlineLevel="1" x14ac:dyDescent="0.25">
      <c r="A5510" s="106" t="s">
        <v>11031</v>
      </c>
      <c r="B5510" s="106" t="s">
        <v>11032</v>
      </c>
      <c r="C5510" s="106"/>
      <c r="D5510" s="106"/>
      <c r="E5510" s="52"/>
    </row>
    <row r="5511" spans="1:5" s="103" customFormat="1" ht="13.2" hidden="1" outlineLevel="1" x14ac:dyDescent="0.25">
      <c r="A5511" s="106" t="s">
        <v>11033</v>
      </c>
      <c r="B5511" s="106" t="s">
        <v>11034</v>
      </c>
      <c r="C5511" s="106"/>
      <c r="D5511" s="106"/>
      <c r="E5511" s="52"/>
    </row>
    <row r="5512" spans="1:5" s="103" customFormat="1" ht="13.2" hidden="1" outlineLevel="1" x14ac:dyDescent="0.25">
      <c r="A5512" s="106" t="s">
        <v>11035</v>
      </c>
      <c r="B5512" s="106" t="s">
        <v>11036</v>
      </c>
      <c r="C5512" s="106"/>
      <c r="D5512" s="106"/>
      <c r="E5512" s="52"/>
    </row>
    <row r="5513" spans="1:5" s="103" customFormat="1" ht="13.2" hidden="1" outlineLevel="1" x14ac:dyDescent="0.25">
      <c r="A5513" s="106" t="s">
        <v>11037</v>
      </c>
      <c r="B5513" s="106" t="s">
        <v>11038</v>
      </c>
      <c r="C5513" s="106"/>
      <c r="D5513" s="106"/>
      <c r="E5513" s="52"/>
    </row>
    <row r="5514" spans="1:5" s="103" customFormat="1" ht="13.2" hidden="1" outlineLevel="1" x14ac:dyDescent="0.25">
      <c r="A5514" s="106" t="s">
        <v>11039</v>
      </c>
      <c r="B5514" s="106" t="s">
        <v>11040</v>
      </c>
      <c r="C5514" s="106"/>
      <c r="D5514" s="106"/>
      <c r="E5514" s="52"/>
    </row>
    <row r="5515" spans="1:5" s="103" customFormat="1" ht="13.2" hidden="1" outlineLevel="1" x14ac:dyDescent="0.25">
      <c r="A5515" s="106" t="s">
        <v>11041</v>
      </c>
      <c r="B5515" s="106" t="s">
        <v>11042</v>
      </c>
      <c r="C5515" s="106"/>
      <c r="D5515" s="106"/>
      <c r="E5515" s="52"/>
    </row>
    <row r="5516" spans="1:5" s="103" customFormat="1" ht="13.2" hidden="1" outlineLevel="1" x14ac:dyDescent="0.25">
      <c r="A5516" s="106" t="s">
        <v>11043</v>
      </c>
      <c r="B5516" s="106" t="s">
        <v>11044</v>
      </c>
      <c r="C5516" s="106"/>
      <c r="D5516" s="106"/>
      <c r="E5516" s="52"/>
    </row>
    <row r="5517" spans="1:5" s="103" customFormat="1" ht="13.2" hidden="1" outlineLevel="1" x14ac:dyDescent="0.25">
      <c r="A5517" s="106" t="s">
        <v>11045</v>
      </c>
      <c r="B5517" s="106" t="s">
        <v>11046</v>
      </c>
      <c r="C5517" s="106"/>
      <c r="D5517" s="106"/>
      <c r="E5517" s="52"/>
    </row>
    <row r="5518" spans="1:5" s="103" customFormat="1" ht="13.2" hidden="1" outlineLevel="1" x14ac:dyDescent="0.25">
      <c r="A5518" s="106" t="s">
        <v>11047</v>
      </c>
      <c r="B5518" s="106" t="s">
        <v>11048</v>
      </c>
      <c r="C5518" s="106"/>
      <c r="D5518" s="106"/>
      <c r="E5518" s="52"/>
    </row>
    <row r="5519" spans="1:5" s="103" customFormat="1" ht="13.2" hidden="1" outlineLevel="1" x14ac:dyDescent="0.25">
      <c r="A5519" s="106" t="s">
        <v>11049</v>
      </c>
      <c r="B5519" s="106" t="s">
        <v>11050</v>
      </c>
      <c r="C5519" s="106"/>
      <c r="D5519" s="106"/>
      <c r="E5519" s="52"/>
    </row>
    <row r="5520" spans="1:5" s="103" customFormat="1" ht="13.2" hidden="1" outlineLevel="1" x14ac:dyDescent="0.25">
      <c r="A5520" s="106" t="s">
        <v>11051</v>
      </c>
      <c r="B5520" s="106" t="s">
        <v>11052</v>
      </c>
      <c r="C5520" s="106"/>
      <c r="D5520" s="106"/>
      <c r="E5520" s="52"/>
    </row>
    <row r="5521" spans="1:5" s="103" customFormat="1" ht="13.2" hidden="1" outlineLevel="1" x14ac:dyDescent="0.25">
      <c r="A5521" s="106" t="s">
        <v>11053</v>
      </c>
      <c r="B5521" s="106" t="s">
        <v>11054</v>
      </c>
      <c r="C5521" s="106"/>
      <c r="D5521" s="106"/>
      <c r="E5521" s="52"/>
    </row>
    <row r="5522" spans="1:5" s="103" customFormat="1" ht="13.2" hidden="1" outlineLevel="1" x14ac:dyDescent="0.25">
      <c r="A5522" s="106" t="s">
        <v>11055</v>
      </c>
      <c r="B5522" s="106" t="s">
        <v>11056</v>
      </c>
      <c r="C5522" s="106"/>
      <c r="D5522" s="106"/>
      <c r="E5522" s="52"/>
    </row>
    <row r="5523" spans="1:5" s="103" customFormat="1" ht="13.2" hidden="1" outlineLevel="1" x14ac:dyDescent="0.25">
      <c r="A5523" s="106" t="s">
        <v>11057</v>
      </c>
      <c r="B5523" s="106" t="s">
        <v>11058</v>
      </c>
      <c r="C5523" s="106"/>
      <c r="D5523" s="106"/>
      <c r="E5523" s="52"/>
    </row>
    <row r="5524" spans="1:5" s="103" customFormat="1" ht="13.2" hidden="1" outlineLevel="1" x14ac:dyDescent="0.25">
      <c r="A5524" s="106" t="s">
        <v>11059</v>
      </c>
      <c r="B5524" s="106" t="s">
        <v>11060</v>
      </c>
      <c r="C5524" s="106"/>
      <c r="D5524" s="106"/>
      <c r="E5524" s="52"/>
    </row>
    <row r="5525" spans="1:5" s="103" customFormat="1" ht="13.2" hidden="1" outlineLevel="1" x14ac:dyDescent="0.25">
      <c r="A5525" s="106" t="s">
        <v>11061</v>
      </c>
      <c r="B5525" s="106" t="s">
        <v>11062</v>
      </c>
      <c r="C5525" s="106"/>
      <c r="D5525" s="106"/>
      <c r="E5525" s="52"/>
    </row>
    <row r="5526" spans="1:5" s="103" customFormat="1" ht="13.2" hidden="1" outlineLevel="1" x14ac:dyDescent="0.25">
      <c r="A5526" s="106" t="s">
        <v>11063</v>
      </c>
      <c r="B5526" s="106" t="s">
        <v>11064</v>
      </c>
      <c r="C5526" s="106"/>
      <c r="D5526" s="106"/>
      <c r="E5526" s="52"/>
    </row>
    <row r="5527" spans="1:5" s="103" customFormat="1" ht="13.2" hidden="1" outlineLevel="1" x14ac:dyDescent="0.25">
      <c r="A5527" s="106" t="s">
        <v>11065</v>
      </c>
      <c r="B5527" s="106" t="s">
        <v>11066</v>
      </c>
      <c r="C5527" s="106"/>
      <c r="D5527" s="106"/>
      <c r="E5527" s="52"/>
    </row>
    <row r="5528" spans="1:5" s="103" customFormat="1" ht="13.2" hidden="1" outlineLevel="1" x14ac:dyDescent="0.25">
      <c r="A5528" s="106" t="s">
        <v>11067</v>
      </c>
      <c r="B5528" s="106" t="s">
        <v>11068</v>
      </c>
      <c r="C5528" s="106"/>
      <c r="D5528" s="106"/>
      <c r="E5528" s="52"/>
    </row>
    <row r="5529" spans="1:5" s="103" customFormat="1" ht="13.2" hidden="1" outlineLevel="1" x14ac:dyDescent="0.25">
      <c r="A5529" s="106" t="s">
        <v>11069</v>
      </c>
      <c r="B5529" s="106" t="s">
        <v>11070</v>
      </c>
      <c r="C5529" s="106"/>
      <c r="D5529" s="106"/>
      <c r="E5529" s="52"/>
    </row>
    <row r="5530" spans="1:5" s="103" customFormat="1" ht="13.2" hidden="1" outlineLevel="1" x14ac:dyDescent="0.25">
      <c r="A5530" s="106" t="s">
        <v>11071</v>
      </c>
      <c r="B5530" s="106" t="s">
        <v>11072</v>
      </c>
      <c r="C5530" s="106"/>
      <c r="D5530" s="106"/>
      <c r="E5530" s="52"/>
    </row>
    <row r="5531" spans="1:5" s="103" customFormat="1" ht="13.2" hidden="1" outlineLevel="1" x14ac:dyDescent="0.25">
      <c r="A5531" s="106" t="s">
        <v>11073</v>
      </c>
      <c r="B5531" s="106" t="s">
        <v>11074</v>
      </c>
      <c r="C5531" s="106"/>
      <c r="D5531" s="106"/>
      <c r="E5531" s="52"/>
    </row>
    <row r="5532" spans="1:5" s="103" customFormat="1" ht="13.2" hidden="1" outlineLevel="1" x14ac:dyDescent="0.25">
      <c r="A5532" s="106" t="s">
        <v>11075</v>
      </c>
      <c r="B5532" s="106" t="s">
        <v>11076</v>
      </c>
      <c r="C5532" s="106"/>
      <c r="D5532" s="106"/>
      <c r="E5532" s="52"/>
    </row>
    <row r="5533" spans="1:5" s="103" customFormat="1" ht="13.2" hidden="1" outlineLevel="1" x14ac:dyDescent="0.25">
      <c r="A5533" s="106" t="s">
        <v>11077</v>
      </c>
      <c r="B5533" s="106" t="s">
        <v>11078</v>
      </c>
      <c r="C5533" s="106"/>
      <c r="D5533" s="106"/>
      <c r="E5533" s="52"/>
    </row>
    <row r="5534" spans="1:5" s="103" customFormat="1" ht="13.2" hidden="1" outlineLevel="1" x14ac:dyDescent="0.25">
      <c r="A5534" s="106" t="s">
        <v>11079</v>
      </c>
      <c r="B5534" s="106" t="s">
        <v>11080</v>
      </c>
      <c r="C5534" s="106"/>
      <c r="D5534" s="106"/>
      <c r="E5534" s="52"/>
    </row>
    <row r="5535" spans="1:5" s="103" customFormat="1" ht="13.2" hidden="1" outlineLevel="1" x14ac:dyDescent="0.25">
      <c r="A5535" s="106" t="s">
        <v>11081</v>
      </c>
      <c r="B5535" s="106" t="s">
        <v>11082</v>
      </c>
      <c r="C5535" s="106"/>
      <c r="D5535" s="106"/>
      <c r="E5535" s="52"/>
    </row>
    <row r="5536" spans="1:5" s="103" customFormat="1" ht="13.2" hidden="1" outlineLevel="1" x14ac:dyDescent="0.25">
      <c r="A5536" s="106" t="s">
        <v>11083</v>
      </c>
      <c r="B5536" s="106" t="s">
        <v>11084</v>
      </c>
      <c r="C5536" s="106"/>
      <c r="D5536" s="106"/>
      <c r="E5536" s="52"/>
    </row>
    <row r="5537" spans="1:5" s="103" customFormat="1" ht="13.2" hidden="1" outlineLevel="1" x14ac:dyDescent="0.25">
      <c r="A5537" s="106" t="s">
        <v>11085</v>
      </c>
      <c r="B5537" s="106" t="s">
        <v>11086</v>
      </c>
      <c r="C5537" s="106"/>
      <c r="D5537" s="106"/>
      <c r="E5537" s="52"/>
    </row>
    <row r="5538" spans="1:5" s="103" customFormat="1" ht="13.2" hidden="1" outlineLevel="1" x14ac:dyDescent="0.25">
      <c r="A5538" s="106" t="s">
        <v>11087</v>
      </c>
      <c r="B5538" s="106" t="s">
        <v>11088</v>
      </c>
      <c r="C5538" s="106"/>
      <c r="D5538" s="106"/>
      <c r="E5538" s="52"/>
    </row>
    <row r="5539" spans="1:5" s="103" customFormat="1" ht="13.2" hidden="1" outlineLevel="1" x14ac:dyDescent="0.25">
      <c r="A5539" s="106" t="s">
        <v>11089</v>
      </c>
      <c r="B5539" s="106" t="s">
        <v>11090</v>
      </c>
      <c r="C5539" s="106"/>
      <c r="D5539" s="106"/>
      <c r="E5539" s="52"/>
    </row>
    <row r="5540" spans="1:5" s="103" customFormat="1" ht="13.2" hidden="1" outlineLevel="1" x14ac:dyDescent="0.25">
      <c r="A5540" s="106" t="s">
        <v>11091</v>
      </c>
      <c r="B5540" s="106" t="s">
        <v>11092</v>
      </c>
      <c r="C5540" s="106"/>
      <c r="D5540" s="106"/>
      <c r="E5540" s="52"/>
    </row>
    <row r="5541" spans="1:5" s="103" customFormat="1" ht="13.2" hidden="1" outlineLevel="1" x14ac:dyDescent="0.25">
      <c r="A5541" s="106" t="s">
        <v>11093</v>
      </c>
      <c r="B5541" s="106" t="s">
        <v>11094</v>
      </c>
      <c r="C5541" s="106"/>
      <c r="D5541" s="106"/>
      <c r="E5541" s="52"/>
    </row>
    <row r="5542" spans="1:5" s="103" customFormat="1" ht="13.2" hidden="1" outlineLevel="1" x14ac:dyDescent="0.25">
      <c r="A5542" s="106" t="s">
        <v>11095</v>
      </c>
      <c r="B5542" s="106" t="s">
        <v>11096</v>
      </c>
      <c r="C5542" s="106"/>
      <c r="D5542" s="106"/>
      <c r="E5542" s="52"/>
    </row>
    <row r="5543" spans="1:5" s="103" customFormat="1" ht="13.2" hidden="1" outlineLevel="1" x14ac:dyDescent="0.25">
      <c r="A5543" s="106" t="s">
        <v>11097</v>
      </c>
      <c r="B5543" s="106" t="s">
        <v>11098</v>
      </c>
      <c r="C5543" s="106"/>
      <c r="D5543" s="106"/>
      <c r="E5543" s="52"/>
    </row>
    <row r="5544" spans="1:5" s="103" customFormat="1" ht="13.2" hidden="1" outlineLevel="1" x14ac:dyDescent="0.25">
      <c r="A5544" s="106" t="s">
        <v>11099</v>
      </c>
      <c r="B5544" s="106" t="s">
        <v>11100</v>
      </c>
      <c r="C5544" s="106"/>
      <c r="D5544" s="106"/>
      <c r="E5544" s="52"/>
    </row>
    <row r="5545" spans="1:5" s="103" customFormat="1" ht="13.2" hidden="1" outlineLevel="1" x14ac:dyDescent="0.25">
      <c r="A5545" s="106" t="s">
        <v>11101</v>
      </c>
      <c r="B5545" s="106" t="s">
        <v>11102</v>
      </c>
      <c r="C5545" s="106"/>
      <c r="D5545" s="106"/>
      <c r="E5545" s="52"/>
    </row>
    <row r="5546" spans="1:5" s="103" customFormat="1" ht="13.2" hidden="1" outlineLevel="1" x14ac:dyDescent="0.25">
      <c r="A5546" s="106" t="s">
        <v>11103</v>
      </c>
      <c r="B5546" s="106" t="s">
        <v>11104</v>
      </c>
      <c r="C5546" s="106"/>
      <c r="D5546" s="106"/>
      <c r="E5546" s="52"/>
    </row>
    <row r="5547" spans="1:5" s="103" customFormat="1" ht="13.2" hidden="1" outlineLevel="1" x14ac:dyDescent="0.25">
      <c r="A5547" s="106" t="s">
        <v>11105</v>
      </c>
      <c r="B5547" s="106" t="s">
        <v>11106</v>
      </c>
      <c r="C5547" s="106"/>
      <c r="D5547" s="106"/>
      <c r="E5547" s="52"/>
    </row>
    <row r="5548" spans="1:5" s="103" customFormat="1" ht="13.2" hidden="1" outlineLevel="1" x14ac:dyDescent="0.25">
      <c r="A5548" s="106" t="s">
        <v>11107</v>
      </c>
      <c r="B5548" s="106" t="s">
        <v>11108</v>
      </c>
      <c r="C5548" s="106"/>
      <c r="D5548" s="106"/>
      <c r="E5548" s="52"/>
    </row>
    <row r="5549" spans="1:5" s="103" customFormat="1" ht="13.2" hidden="1" outlineLevel="1" x14ac:dyDescent="0.25">
      <c r="A5549" s="106" t="s">
        <v>11109</v>
      </c>
      <c r="B5549" s="106" t="s">
        <v>11110</v>
      </c>
      <c r="C5549" s="106"/>
      <c r="D5549" s="106"/>
      <c r="E5549" s="52"/>
    </row>
    <row r="5550" spans="1:5" s="103" customFormat="1" ht="13.2" hidden="1" outlineLevel="1" x14ac:dyDescent="0.25">
      <c r="A5550" s="106" t="s">
        <v>11111</v>
      </c>
      <c r="B5550" s="106" t="s">
        <v>11112</v>
      </c>
      <c r="C5550" s="106"/>
      <c r="D5550" s="106"/>
      <c r="E5550" s="52"/>
    </row>
    <row r="5551" spans="1:5" s="103" customFormat="1" ht="13.2" hidden="1" outlineLevel="1" x14ac:dyDescent="0.25">
      <c r="A5551" s="106" t="s">
        <v>11113</v>
      </c>
      <c r="B5551" s="106" t="s">
        <v>11114</v>
      </c>
      <c r="C5551" s="106"/>
      <c r="D5551" s="106"/>
      <c r="E5551" s="52"/>
    </row>
    <row r="5552" spans="1:5" s="103" customFormat="1" ht="13.2" hidden="1" outlineLevel="1" x14ac:dyDescent="0.25">
      <c r="A5552" s="106" t="s">
        <v>11115</v>
      </c>
      <c r="B5552" s="106" t="s">
        <v>11116</v>
      </c>
      <c r="C5552" s="106"/>
      <c r="D5552" s="106"/>
      <c r="E5552" s="52"/>
    </row>
    <row r="5553" spans="1:5" s="103" customFormat="1" ht="13.2" hidden="1" outlineLevel="1" x14ac:dyDescent="0.25">
      <c r="A5553" s="106" t="s">
        <v>11117</v>
      </c>
      <c r="B5553" s="106" t="s">
        <v>11118</v>
      </c>
      <c r="C5553" s="106"/>
      <c r="D5553" s="106"/>
      <c r="E5553" s="52"/>
    </row>
    <row r="5554" spans="1:5" s="103" customFormat="1" ht="13.2" hidden="1" outlineLevel="1" x14ac:dyDescent="0.25">
      <c r="A5554" s="106" t="s">
        <v>11119</v>
      </c>
      <c r="B5554" s="106" t="s">
        <v>11120</v>
      </c>
      <c r="C5554" s="106"/>
      <c r="D5554" s="106"/>
      <c r="E5554" s="52"/>
    </row>
    <row r="5555" spans="1:5" s="103" customFormat="1" ht="13.2" hidden="1" outlineLevel="1" x14ac:dyDescent="0.25">
      <c r="A5555" s="106" t="s">
        <v>11121</v>
      </c>
      <c r="B5555" s="106" t="s">
        <v>11122</v>
      </c>
      <c r="C5555" s="106"/>
      <c r="D5555" s="106"/>
      <c r="E5555" s="52"/>
    </row>
    <row r="5556" spans="1:5" s="103" customFormat="1" ht="13.2" hidden="1" outlineLevel="1" x14ac:dyDescent="0.25">
      <c r="A5556" s="106" t="s">
        <v>11123</v>
      </c>
      <c r="B5556" s="106" t="s">
        <v>11124</v>
      </c>
      <c r="C5556" s="106"/>
      <c r="D5556" s="106"/>
      <c r="E5556" s="52"/>
    </row>
    <row r="5557" spans="1:5" s="103" customFormat="1" ht="13.2" hidden="1" outlineLevel="1" x14ac:dyDescent="0.25">
      <c r="A5557" s="106" t="s">
        <v>11125</v>
      </c>
      <c r="B5557" s="106" t="s">
        <v>11126</v>
      </c>
      <c r="C5557" s="106"/>
      <c r="D5557" s="106"/>
      <c r="E5557" s="52"/>
    </row>
    <row r="5558" spans="1:5" s="103" customFormat="1" ht="13.2" hidden="1" outlineLevel="1" x14ac:dyDescent="0.25">
      <c r="A5558" s="106" t="s">
        <v>11127</v>
      </c>
      <c r="B5558" s="106" t="s">
        <v>11128</v>
      </c>
      <c r="C5558" s="106"/>
      <c r="D5558" s="106"/>
      <c r="E5558" s="52"/>
    </row>
    <row r="5559" spans="1:5" s="103" customFormat="1" ht="13.2" hidden="1" outlineLevel="1" x14ac:dyDescent="0.25">
      <c r="A5559" s="106" t="s">
        <v>11129</v>
      </c>
      <c r="B5559" s="106" t="s">
        <v>11130</v>
      </c>
      <c r="C5559" s="106"/>
      <c r="D5559" s="106"/>
      <c r="E5559" s="52"/>
    </row>
    <row r="5560" spans="1:5" s="103" customFormat="1" ht="13.2" hidden="1" outlineLevel="1" x14ac:dyDescent="0.25">
      <c r="A5560" s="106" t="s">
        <v>11131</v>
      </c>
      <c r="B5560" s="106" t="s">
        <v>11132</v>
      </c>
      <c r="C5560" s="106"/>
      <c r="D5560" s="106"/>
      <c r="E5560" s="52"/>
    </row>
    <row r="5561" spans="1:5" s="103" customFormat="1" ht="13.2" hidden="1" outlineLevel="1" x14ac:dyDescent="0.25">
      <c r="A5561" s="106" t="s">
        <v>11133</v>
      </c>
      <c r="B5561" s="106" t="s">
        <v>11134</v>
      </c>
      <c r="C5561" s="106"/>
      <c r="D5561" s="106"/>
      <c r="E5561" s="52"/>
    </row>
    <row r="5562" spans="1:5" s="103" customFormat="1" ht="13.2" hidden="1" outlineLevel="1" x14ac:dyDescent="0.25">
      <c r="A5562" s="106" t="s">
        <v>11135</v>
      </c>
      <c r="B5562" s="106" t="s">
        <v>11136</v>
      </c>
      <c r="C5562" s="106"/>
      <c r="D5562" s="106"/>
      <c r="E5562" s="52"/>
    </row>
    <row r="5563" spans="1:5" s="103" customFormat="1" ht="13.2" hidden="1" outlineLevel="1" x14ac:dyDescent="0.25">
      <c r="A5563" s="106" t="s">
        <v>11137</v>
      </c>
      <c r="B5563" s="106" t="s">
        <v>11138</v>
      </c>
      <c r="C5563" s="106"/>
      <c r="D5563" s="106"/>
      <c r="E5563" s="52"/>
    </row>
    <row r="5564" spans="1:5" s="103" customFormat="1" ht="13.2" hidden="1" outlineLevel="1" x14ac:dyDescent="0.25">
      <c r="A5564" s="106" t="s">
        <v>11139</v>
      </c>
      <c r="B5564" s="106" t="s">
        <v>11140</v>
      </c>
      <c r="C5564" s="106"/>
      <c r="D5564" s="106"/>
      <c r="E5564" s="52"/>
    </row>
    <row r="5565" spans="1:5" s="103" customFormat="1" ht="13.2" hidden="1" outlineLevel="1" x14ac:dyDescent="0.25">
      <c r="A5565" s="106" t="s">
        <v>11141</v>
      </c>
      <c r="B5565" s="106" t="s">
        <v>11142</v>
      </c>
      <c r="C5565" s="106"/>
      <c r="D5565" s="106"/>
      <c r="E5565" s="52"/>
    </row>
    <row r="5566" spans="1:5" s="103" customFormat="1" ht="13.2" hidden="1" outlineLevel="1" x14ac:dyDescent="0.25">
      <c r="A5566" s="106" t="s">
        <v>11143</v>
      </c>
      <c r="B5566" s="106" t="s">
        <v>11144</v>
      </c>
      <c r="C5566" s="106"/>
      <c r="D5566" s="106"/>
      <c r="E5566" s="52"/>
    </row>
    <row r="5567" spans="1:5" s="103" customFormat="1" ht="13.2" hidden="1" outlineLevel="1" x14ac:dyDescent="0.25">
      <c r="A5567" s="106" t="s">
        <v>11145</v>
      </c>
      <c r="B5567" s="106" t="s">
        <v>11146</v>
      </c>
      <c r="C5567" s="106"/>
      <c r="D5567" s="106"/>
      <c r="E5567" s="52"/>
    </row>
    <row r="5568" spans="1:5" s="103" customFormat="1" ht="13.2" hidden="1" outlineLevel="1" x14ac:dyDescent="0.25">
      <c r="A5568" s="106" t="s">
        <v>11147</v>
      </c>
      <c r="B5568" s="106" t="s">
        <v>11148</v>
      </c>
      <c r="C5568" s="106"/>
      <c r="D5568" s="106"/>
      <c r="E5568" s="52"/>
    </row>
    <row r="5569" spans="1:5" s="103" customFormat="1" ht="13.2" hidden="1" outlineLevel="1" x14ac:dyDescent="0.25">
      <c r="A5569" s="106" t="s">
        <v>11149</v>
      </c>
      <c r="B5569" s="106" t="s">
        <v>11150</v>
      </c>
      <c r="C5569" s="106"/>
      <c r="D5569" s="106"/>
      <c r="E5569" s="52"/>
    </row>
    <row r="5570" spans="1:5" s="103" customFormat="1" ht="13.2" hidden="1" outlineLevel="1" x14ac:dyDescent="0.25">
      <c r="A5570" s="106" t="s">
        <v>11151</v>
      </c>
      <c r="B5570" s="106" t="s">
        <v>11152</v>
      </c>
      <c r="C5570" s="106"/>
      <c r="D5570" s="106"/>
      <c r="E5570" s="52"/>
    </row>
    <row r="5571" spans="1:5" s="103" customFormat="1" ht="13.2" hidden="1" outlineLevel="1" x14ac:dyDescent="0.25">
      <c r="A5571" s="106" t="s">
        <v>11153</v>
      </c>
      <c r="B5571" s="106" t="s">
        <v>11154</v>
      </c>
      <c r="C5571" s="106"/>
      <c r="D5571" s="106"/>
      <c r="E5571" s="52"/>
    </row>
    <row r="5572" spans="1:5" s="103" customFormat="1" ht="13.2" hidden="1" outlineLevel="1" x14ac:dyDescent="0.25">
      <c r="A5572" s="106" t="s">
        <v>11155</v>
      </c>
      <c r="B5572" s="106" t="s">
        <v>11156</v>
      </c>
      <c r="C5572" s="106"/>
      <c r="D5572" s="106"/>
      <c r="E5572" s="52"/>
    </row>
    <row r="5573" spans="1:5" s="103" customFormat="1" ht="13.2" hidden="1" outlineLevel="1" x14ac:dyDescent="0.25">
      <c r="A5573" s="106" t="s">
        <v>11157</v>
      </c>
      <c r="B5573" s="106" t="s">
        <v>11158</v>
      </c>
      <c r="C5573" s="106"/>
      <c r="D5573" s="106"/>
      <c r="E5573" s="52"/>
    </row>
    <row r="5574" spans="1:5" s="103" customFormat="1" ht="13.2" hidden="1" outlineLevel="1" x14ac:dyDescent="0.25">
      <c r="A5574" s="106" t="s">
        <v>11159</v>
      </c>
      <c r="B5574" s="106" t="s">
        <v>11160</v>
      </c>
      <c r="C5574" s="106"/>
      <c r="D5574" s="106"/>
      <c r="E5574" s="52"/>
    </row>
    <row r="5575" spans="1:5" s="103" customFormat="1" ht="13.2" hidden="1" outlineLevel="1" x14ac:dyDescent="0.25">
      <c r="A5575" s="106" t="s">
        <v>11161</v>
      </c>
      <c r="B5575" s="106" t="s">
        <v>11162</v>
      </c>
      <c r="C5575" s="106"/>
      <c r="D5575" s="106"/>
      <c r="E5575" s="52"/>
    </row>
    <row r="5576" spans="1:5" s="103" customFormat="1" ht="13.2" hidden="1" outlineLevel="1" x14ac:dyDescent="0.25">
      <c r="A5576" s="106" t="s">
        <v>11163</v>
      </c>
      <c r="B5576" s="106" t="s">
        <v>11164</v>
      </c>
      <c r="C5576" s="106"/>
      <c r="D5576" s="106"/>
      <c r="E5576" s="52"/>
    </row>
    <row r="5577" spans="1:5" s="103" customFormat="1" ht="13.2" hidden="1" outlineLevel="1" x14ac:dyDescent="0.25">
      <c r="A5577" s="106" t="s">
        <v>11165</v>
      </c>
      <c r="B5577" s="106" t="s">
        <v>11166</v>
      </c>
      <c r="C5577" s="106"/>
      <c r="D5577" s="106"/>
      <c r="E5577" s="52"/>
    </row>
    <row r="5578" spans="1:5" s="103" customFormat="1" ht="13.2" hidden="1" outlineLevel="1" x14ac:dyDescent="0.25">
      <c r="A5578" s="106" t="s">
        <v>11167</v>
      </c>
      <c r="B5578" s="106" t="s">
        <v>11168</v>
      </c>
      <c r="C5578" s="106"/>
      <c r="D5578" s="106"/>
      <c r="E5578" s="52"/>
    </row>
    <row r="5579" spans="1:5" s="103" customFormat="1" ht="13.2" hidden="1" outlineLevel="1" x14ac:dyDescent="0.25">
      <c r="A5579" s="106" t="s">
        <v>11169</v>
      </c>
      <c r="B5579" s="106" t="s">
        <v>11170</v>
      </c>
      <c r="C5579" s="106"/>
      <c r="D5579" s="106"/>
      <c r="E5579" s="52"/>
    </row>
    <row r="5580" spans="1:5" s="103" customFormat="1" ht="13.2" hidden="1" outlineLevel="1" x14ac:dyDescent="0.25">
      <c r="A5580" s="106" t="s">
        <v>11171</v>
      </c>
      <c r="B5580" s="106" t="s">
        <v>11172</v>
      </c>
      <c r="C5580" s="106"/>
      <c r="D5580" s="106"/>
      <c r="E5580" s="52"/>
    </row>
    <row r="5581" spans="1:5" s="103" customFormat="1" ht="13.2" hidden="1" outlineLevel="1" x14ac:dyDescent="0.25">
      <c r="A5581" s="106" t="s">
        <v>11173</v>
      </c>
      <c r="B5581" s="106" t="s">
        <v>11174</v>
      </c>
      <c r="C5581" s="106"/>
      <c r="D5581" s="106"/>
      <c r="E5581" s="52"/>
    </row>
    <row r="5582" spans="1:5" s="103" customFormat="1" ht="13.2" hidden="1" outlineLevel="1" x14ac:dyDescent="0.25">
      <c r="A5582" s="106" t="s">
        <v>11175</v>
      </c>
      <c r="B5582" s="106" t="s">
        <v>11176</v>
      </c>
      <c r="C5582" s="106"/>
      <c r="D5582" s="106"/>
      <c r="E5582" s="52"/>
    </row>
    <row r="5583" spans="1:5" s="103" customFormat="1" ht="13.2" hidden="1" outlineLevel="1" x14ac:dyDescent="0.25">
      <c r="A5583" s="106" t="s">
        <v>11177</v>
      </c>
      <c r="B5583" s="106" t="s">
        <v>11178</v>
      </c>
      <c r="C5583" s="106"/>
      <c r="D5583" s="106"/>
      <c r="E5583" s="52"/>
    </row>
    <row r="5584" spans="1:5" s="103" customFormat="1" ht="13.2" hidden="1" outlineLevel="1" x14ac:dyDescent="0.25">
      <c r="A5584" s="106" t="s">
        <v>11179</v>
      </c>
      <c r="B5584" s="106" t="s">
        <v>11180</v>
      </c>
      <c r="C5584" s="106"/>
      <c r="D5584" s="106"/>
      <c r="E5584" s="52"/>
    </row>
    <row r="5585" spans="1:5" s="103" customFormat="1" ht="13.2" hidden="1" outlineLevel="1" x14ac:dyDescent="0.25">
      <c r="A5585" s="106" t="s">
        <v>11181</v>
      </c>
      <c r="B5585" s="106" t="s">
        <v>11182</v>
      </c>
      <c r="C5585" s="106"/>
      <c r="D5585" s="106"/>
      <c r="E5585" s="52"/>
    </row>
    <row r="5586" spans="1:5" s="103" customFormat="1" ht="13.2" hidden="1" outlineLevel="1" x14ac:dyDescent="0.25">
      <c r="A5586" s="106" t="s">
        <v>11183</v>
      </c>
      <c r="B5586" s="106" t="s">
        <v>11184</v>
      </c>
      <c r="C5586" s="106"/>
      <c r="D5586" s="106"/>
      <c r="E5586" s="52"/>
    </row>
    <row r="5587" spans="1:5" s="103" customFormat="1" ht="13.2" hidden="1" outlineLevel="1" x14ac:dyDescent="0.25">
      <c r="A5587" s="106" t="s">
        <v>11185</v>
      </c>
      <c r="B5587" s="106" t="s">
        <v>11186</v>
      </c>
      <c r="C5587" s="106"/>
      <c r="D5587" s="106"/>
      <c r="E5587" s="52"/>
    </row>
    <row r="5588" spans="1:5" s="103" customFormat="1" ht="13.2" hidden="1" outlineLevel="1" x14ac:dyDescent="0.25">
      <c r="A5588" s="106" t="s">
        <v>11187</v>
      </c>
      <c r="B5588" s="106" t="s">
        <v>11188</v>
      </c>
      <c r="C5588" s="106"/>
      <c r="D5588" s="106"/>
      <c r="E5588" s="52"/>
    </row>
    <row r="5589" spans="1:5" s="103" customFormat="1" ht="13.2" hidden="1" outlineLevel="1" x14ac:dyDescent="0.25">
      <c r="A5589" s="106" t="s">
        <v>11189</v>
      </c>
      <c r="B5589" s="106" t="s">
        <v>11190</v>
      </c>
      <c r="C5589" s="106"/>
      <c r="D5589" s="106"/>
      <c r="E5589" s="52"/>
    </row>
    <row r="5590" spans="1:5" s="103" customFormat="1" ht="13.2" hidden="1" outlineLevel="1" x14ac:dyDescent="0.25">
      <c r="A5590" s="106" t="s">
        <v>11191</v>
      </c>
      <c r="B5590" s="106" t="s">
        <v>11192</v>
      </c>
      <c r="C5590" s="106"/>
      <c r="D5590" s="106"/>
      <c r="E5590" s="52"/>
    </row>
    <row r="5591" spans="1:5" s="103" customFormat="1" ht="13.2" hidden="1" outlineLevel="1" x14ac:dyDescent="0.25">
      <c r="A5591" s="106" t="s">
        <v>11193</v>
      </c>
      <c r="B5591" s="106" t="s">
        <v>11194</v>
      </c>
      <c r="C5591" s="106"/>
      <c r="D5591" s="106"/>
      <c r="E5591" s="52"/>
    </row>
    <row r="5592" spans="1:5" s="103" customFormat="1" ht="13.2" hidden="1" outlineLevel="1" x14ac:dyDescent="0.25">
      <c r="A5592" s="106" t="s">
        <v>11195</v>
      </c>
      <c r="B5592" s="106" t="s">
        <v>11196</v>
      </c>
      <c r="C5592" s="106"/>
      <c r="D5592" s="106"/>
      <c r="E5592" s="52"/>
    </row>
    <row r="5593" spans="1:5" s="103" customFormat="1" ht="13.2" hidden="1" outlineLevel="1" x14ac:dyDescent="0.25">
      <c r="A5593" s="106" t="s">
        <v>11197</v>
      </c>
      <c r="B5593" s="106" t="s">
        <v>11198</v>
      </c>
      <c r="C5593" s="106"/>
      <c r="D5593" s="106"/>
      <c r="E5593" s="52"/>
    </row>
    <row r="5594" spans="1:5" s="103" customFormat="1" ht="13.2" hidden="1" outlineLevel="1" x14ac:dyDescent="0.25">
      <c r="A5594" s="106" t="s">
        <v>11199</v>
      </c>
      <c r="B5594" s="106" t="s">
        <v>11200</v>
      </c>
      <c r="C5594" s="106"/>
      <c r="D5594" s="106"/>
      <c r="E5594" s="52"/>
    </row>
    <row r="5595" spans="1:5" s="103" customFormat="1" ht="13.2" hidden="1" outlineLevel="1" x14ac:dyDescent="0.25">
      <c r="A5595" s="106" t="s">
        <v>11201</v>
      </c>
      <c r="B5595" s="106" t="s">
        <v>11202</v>
      </c>
      <c r="C5595" s="106"/>
      <c r="D5595" s="106"/>
      <c r="E5595" s="52"/>
    </row>
    <row r="5596" spans="1:5" s="103" customFormat="1" ht="13.2" hidden="1" outlineLevel="1" x14ac:dyDescent="0.25">
      <c r="A5596" s="106" t="s">
        <v>11203</v>
      </c>
      <c r="B5596" s="106" t="s">
        <v>11204</v>
      </c>
      <c r="C5596" s="106"/>
      <c r="D5596" s="106"/>
      <c r="E5596" s="52"/>
    </row>
    <row r="5597" spans="1:5" s="103" customFormat="1" ht="13.2" hidden="1" outlineLevel="1" x14ac:dyDescent="0.25">
      <c r="A5597" s="106" t="s">
        <v>11205</v>
      </c>
      <c r="B5597" s="106" t="s">
        <v>11206</v>
      </c>
      <c r="C5597" s="106"/>
      <c r="D5597" s="106"/>
      <c r="E5597" s="52"/>
    </row>
    <row r="5598" spans="1:5" s="103" customFormat="1" ht="13.2" hidden="1" outlineLevel="1" x14ac:dyDescent="0.25">
      <c r="A5598" s="106" t="s">
        <v>11207</v>
      </c>
      <c r="B5598" s="106" t="s">
        <v>11208</v>
      </c>
      <c r="C5598" s="106"/>
      <c r="D5598" s="106"/>
      <c r="E5598" s="52"/>
    </row>
    <row r="5599" spans="1:5" s="103" customFormat="1" ht="13.2" hidden="1" outlineLevel="1" x14ac:dyDescent="0.25">
      <c r="A5599" s="106" t="s">
        <v>11209</v>
      </c>
      <c r="B5599" s="106" t="s">
        <v>11210</v>
      </c>
      <c r="C5599" s="106"/>
      <c r="D5599" s="106"/>
      <c r="E5599" s="52"/>
    </row>
    <row r="5600" spans="1:5" s="103" customFormat="1" ht="13.2" hidden="1" outlineLevel="1" x14ac:dyDescent="0.25">
      <c r="A5600" s="106" t="s">
        <v>11211</v>
      </c>
      <c r="B5600" s="106" t="s">
        <v>11212</v>
      </c>
      <c r="C5600" s="106"/>
      <c r="D5600" s="106"/>
      <c r="E5600" s="52"/>
    </row>
    <row r="5601" spans="1:5" s="103" customFormat="1" ht="13.2" hidden="1" outlineLevel="1" x14ac:dyDescent="0.25">
      <c r="A5601" s="106" t="s">
        <v>11213</v>
      </c>
      <c r="B5601" s="106" t="s">
        <v>11214</v>
      </c>
      <c r="C5601" s="106"/>
      <c r="D5601" s="106"/>
      <c r="E5601" s="52"/>
    </row>
    <row r="5602" spans="1:5" s="103" customFormat="1" ht="13.2" hidden="1" outlineLevel="1" x14ac:dyDescent="0.25">
      <c r="A5602" s="106" t="s">
        <v>11215</v>
      </c>
      <c r="B5602" s="106" t="s">
        <v>11216</v>
      </c>
      <c r="C5602" s="106"/>
      <c r="D5602" s="106"/>
      <c r="E5602" s="52"/>
    </row>
    <row r="5603" spans="1:5" s="103" customFormat="1" ht="13.2" hidden="1" outlineLevel="1" x14ac:dyDescent="0.25">
      <c r="A5603" s="106" t="s">
        <v>11217</v>
      </c>
      <c r="B5603" s="106" t="s">
        <v>11218</v>
      </c>
      <c r="C5603" s="106"/>
      <c r="D5603" s="106"/>
      <c r="E5603" s="52"/>
    </row>
    <row r="5604" spans="1:5" s="103" customFormat="1" ht="13.2" hidden="1" outlineLevel="1" x14ac:dyDescent="0.25">
      <c r="A5604" s="106" t="s">
        <v>11219</v>
      </c>
      <c r="B5604" s="106" t="s">
        <v>11220</v>
      </c>
      <c r="C5604" s="106"/>
      <c r="D5604" s="106"/>
      <c r="E5604" s="52"/>
    </row>
    <row r="5605" spans="1:5" s="103" customFormat="1" ht="13.2" hidden="1" outlineLevel="1" x14ac:dyDescent="0.25">
      <c r="A5605" s="106" t="s">
        <v>11221</v>
      </c>
      <c r="B5605" s="106" t="s">
        <v>11222</v>
      </c>
      <c r="C5605" s="106"/>
      <c r="D5605" s="106"/>
      <c r="E5605" s="52"/>
    </row>
    <row r="5606" spans="1:5" s="103" customFormat="1" ht="13.2" hidden="1" outlineLevel="1" x14ac:dyDescent="0.25">
      <c r="A5606" s="106" t="s">
        <v>11223</v>
      </c>
      <c r="B5606" s="106" t="s">
        <v>11224</v>
      </c>
      <c r="C5606" s="106"/>
      <c r="D5606" s="106"/>
      <c r="E5606" s="52"/>
    </row>
    <row r="5607" spans="1:5" s="103" customFormat="1" ht="13.2" hidden="1" outlineLevel="1" x14ac:dyDescent="0.25">
      <c r="A5607" s="106" t="s">
        <v>11225</v>
      </c>
      <c r="B5607" s="106" t="s">
        <v>11226</v>
      </c>
      <c r="C5607" s="106"/>
      <c r="D5607" s="106"/>
      <c r="E5607" s="52"/>
    </row>
    <row r="5608" spans="1:5" s="103" customFormat="1" ht="13.2" hidden="1" outlineLevel="1" x14ac:dyDescent="0.25">
      <c r="A5608" s="106" t="s">
        <v>11227</v>
      </c>
      <c r="B5608" s="106" t="s">
        <v>11228</v>
      </c>
      <c r="C5608" s="106"/>
      <c r="D5608" s="106"/>
      <c r="E5608" s="52"/>
    </row>
    <row r="5609" spans="1:5" s="103" customFormat="1" ht="13.2" hidden="1" outlineLevel="1" x14ac:dyDescent="0.25">
      <c r="A5609" s="106" t="s">
        <v>11229</v>
      </c>
      <c r="B5609" s="106" t="s">
        <v>11230</v>
      </c>
      <c r="C5609" s="106"/>
      <c r="D5609" s="106"/>
      <c r="E5609" s="52"/>
    </row>
    <row r="5610" spans="1:5" s="103" customFormat="1" ht="13.2" hidden="1" outlineLevel="1" x14ac:dyDescent="0.25">
      <c r="A5610" s="106" t="s">
        <v>11231</v>
      </c>
      <c r="B5610" s="106" t="s">
        <v>11232</v>
      </c>
      <c r="C5610" s="106"/>
      <c r="D5610" s="106"/>
      <c r="E5610" s="52"/>
    </row>
    <row r="5611" spans="1:5" s="103" customFormat="1" ht="13.2" hidden="1" outlineLevel="1" x14ac:dyDescent="0.25">
      <c r="A5611" s="106" t="s">
        <v>11233</v>
      </c>
      <c r="B5611" s="106" t="s">
        <v>11234</v>
      </c>
      <c r="C5611" s="106"/>
      <c r="D5611" s="106"/>
      <c r="E5611" s="52"/>
    </row>
    <row r="5612" spans="1:5" s="103" customFormat="1" ht="13.2" hidden="1" outlineLevel="1" x14ac:dyDescent="0.25">
      <c r="A5612" s="106" t="s">
        <v>11235</v>
      </c>
      <c r="B5612" s="106" t="s">
        <v>11236</v>
      </c>
      <c r="C5612" s="106"/>
      <c r="D5612" s="106"/>
      <c r="E5612" s="52"/>
    </row>
    <row r="5613" spans="1:5" s="103" customFormat="1" ht="13.2" hidden="1" outlineLevel="1" x14ac:dyDescent="0.25">
      <c r="A5613" s="106" t="s">
        <v>11237</v>
      </c>
      <c r="B5613" s="106" t="s">
        <v>11238</v>
      </c>
      <c r="C5613" s="106"/>
      <c r="D5613" s="106"/>
      <c r="E5613" s="52"/>
    </row>
    <row r="5614" spans="1:5" s="103" customFormat="1" ht="13.2" hidden="1" outlineLevel="1" x14ac:dyDescent="0.25">
      <c r="A5614" s="106" t="s">
        <v>11239</v>
      </c>
      <c r="B5614" s="106" t="s">
        <v>11240</v>
      </c>
      <c r="C5614" s="106"/>
      <c r="D5614" s="106"/>
      <c r="E5614" s="52"/>
    </row>
    <row r="5615" spans="1:5" s="103" customFormat="1" ht="13.2" hidden="1" outlineLevel="1" x14ac:dyDescent="0.25">
      <c r="A5615" s="106" t="s">
        <v>11241</v>
      </c>
      <c r="B5615" s="106" t="s">
        <v>11242</v>
      </c>
      <c r="C5615" s="106"/>
      <c r="D5615" s="106"/>
      <c r="E5615" s="52"/>
    </row>
    <row r="5616" spans="1:5" s="103" customFormat="1" ht="13.2" hidden="1" outlineLevel="1" x14ac:dyDescent="0.25">
      <c r="A5616" s="106" t="s">
        <v>11243</v>
      </c>
      <c r="B5616" s="106" t="s">
        <v>11244</v>
      </c>
      <c r="C5616" s="106"/>
      <c r="D5616" s="106"/>
      <c r="E5616" s="52"/>
    </row>
    <row r="5617" spans="1:5" s="103" customFormat="1" ht="13.2" hidden="1" outlineLevel="1" x14ac:dyDescent="0.25">
      <c r="A5617" s="106" t="s">
        <v>11245</v>
      </c>
      <c r="B5617" s="106" t="s">
        <v>11246</v>
      </c>
      <c r="C5617" s="106"/>
      <c r="D5617" s="106"/>
      <c r="E5617" s="52"/>
    </row>
    <row r="5618" spans="1:5" s="103" customFormat="1" ht="13.2" hidden="1" outlineLevel="1" x14ac:dyDescent="0.25">
      <c r="A5618" s="106" t="s">
        <v>11247</v>
      </c>
      <c r="B5618" s="106" t="s">
        <v>11248</v>
      </c>
      <c r="C5618" s="106"/>
      <c r="D5618" s="106"/>
      <c r="E5618" s="52"/>
    </row>
    <row r="5619" spans="1:5" s="103" customFormat="1" ht="13.2" hidden="1" outlineLevel="1" x14ac:dyDescent="0.25">
      <c r="A5619" s="106" t="s">
        <v>11249</v>
      </c>
      <c r="B5619" s="106" t="s">
        <v>11250</v>
      </c>
      <c r="C5619" s="106"/>
      <c r="D5619" s="106"/>
      <c r="E5619" s="52"/>
    </row>
    <row r="5620" spans="1:5" s="103" customFormat="1" ht="13.2" hidden="1" outlineLevel="1" x14ac:dyDescent="0.25">
      <c r="A5620" s="106" t="s">
        <v>11251</v>
      </c>
      <c r="B5620" s="106" t="s">
        <v>11252</v>
      </c>
      <c r="C5620" s="106"/>
      <c r="D5620" s="106"/>
      <c r="E5620" s="52"/>
    </row>
    <row r="5621" spans="1:5" s="103" customFormat="1" ht="13.2" hidden="1" outlineLevel="1" x14ac:dyDescent="0.25">
      <c r="A5621" s="106" t="s">
        <v>11253</v>
      </c>
      <c r="B5621" s="106" t="s">
        <v>11254</v>
      </c>
      <c r="C5621" s="106"/>
      <c r="D5621" s="106"/>
      <c r="E5621" s="52"/>
    </row>
    <row r="5622" spans="1:5" s="103" customFormat="1" ht="13.2" hidden="1" outlineLevel="1" x14ac:dyDescent="0.25">
      <c r="A5622" s="106" t="s">
        <v>11255</v>
      </c>
      <c r="B5622" s="106" t="s">
        <v>11256</v>
      </c>
      <c r="C5622" s="106"/>
      <c r="D5622" s="106"/>
      <c r="E5622" s="52"/>
    </row>
    <row r="5623" spans="1:5" s="103" customFormat="1" ht="13.2" hidden="1" outlineLevel="1" x14ac:dyDescent="0.25">
      <c r="A5623" s="106" t="s">
        <v>11257</v>
      </c>
      <c r="B5623" s="106" t="s">
        <v>11258</v>
      </c>
      <c r="C5623" s="106"/>
      <c r="D5623" s="106"/>
      <c r="E5623" s="52"/>
    </row>
    <row r="5624" spans="1:5" s="103" customFormat="1" ht="13.2" hidden="1" outlineLevel="1" x14ac:dyDescent="0.25">
      <c r="A5624" s="106" t="s">
        <v>11259</v>
      </c>
      <c r="B5624" s="106" t="s">
        <v>11260</v>
      </c>
      <c r="C5624" s="106"/>
      <c r="D5624" s="106"/>
      <c r="E5624" s="52"/>
    </row>
    <row r="5625" spans="1:5" s="103" customFormat="1" ht="13.2" hidden="1" outlineLevel="1" x14ac:dyDescent="0.25">
      <c r="A5625" s="106" t="s">
        <v>11261</v>
      </c>
      <c r="B5625" s="106" t="s">
        <v>11262</v>
      </c>
      <c r="C5625" s="106"/>
      <c r="D5625" s="106"/>
      <c r="E5625" s="52"/>
    </row>
    <row r="5626" spans="1:5" s="103" customFormat="1" ht="13.2" hidden="1" outlineLevel="1" x14ac:dyDescent="0.25">
      <c r="A5626" s="106" t="s">
        <v>11263</v>
      </c>
      <c r="B5626" s="106" t="s">
        <v>11264</v>
      </c>
      <c r="C5626" s="106"/>
      <c r="D5626" s="106"/>
      <c r="E5626" s="52"/>
    </row>
    <row r="5627" spans="1:5" s="103" customFormat="1" ht="13.2" hidden="1" outlineLevel="1" x14ac:dyDescent="0.25">
      <c r="A5627" s="106" t="s">
        <v>11265</v>
      </c>
      <c r="B5627" s="106" t="s">
        <v>11266</v>
      </c>
      <c r="C5627" s="106"/>
      <c r="D5627" s="106"/>
      <c r="E5627" s="52"/>
    </row>
    <row r="5628" spans="1:5" s="103" customFormat="1" ht="13.2" hidden="1" outlineLevel="1" x14ac:dyDescent="0.25">
      <c r="A5628" s="106" t="s">
        <v>11267</v>
      </c>
      <c r="B5628" s="106" t="s">
        <v>11268</v>
      </c>
      <c r="C5628" s="106"/>
      <c r="D5628" s="106"/>
      <c r="E5628" s="52"/>
    </row>
    <row r="5629" spans="1:5" s="103" customFormat="1" ht="13.2" hidden="1" outlineLevel="1" x14ac:dyDescent="0.25">
      <c r="A5629" s="106" t="s">
        <v>11269</v>
      </c>
      <c r="B5629" s="106" t="s">
        <v>11270</v>
      </c>
      <c r="C5629" s="106"/>
      <c r="D5629" s="106"/>
      <c r="E5629" s="52"/>
    </row>
    <row r="5630" spans="1:5" s="103" customFormat="1" ht="13.2" hidden="1" outlineLevel="1" x14ac:dyDescent="0.25">
      <c r="A5630" s="106" t="s">
        <v>11271</v>
      </c>
      <c r="B5630" s="106" t="s">
        <v>11272</v>
      </c>
      <c r="C5630" s="106"/>
      <c r="D5630" s="106"/>
      <c r="E5630" s="52"/>
    </row>
    <row r="5631" spans="1:5" s="103" customFormat="1" ht="13.2" hidden="1" outlineLevel="1" x14ac:dyDescent="0.25">
      <c r="A5631" s="106" t="s">
        <v>11273</v>
      </c>
      <c r="B5631" s="106" t="s">
        <v>11274</v>
      </c>
      <c r="C5631" s="106"/>
      <c r="D5631" s="106"/>
      <c r="E5631" s="52"/>
    </row>
    <row r="5632" spans="1:5" s="103" customFormat="1" ht="13.2" hidden="1" outlineLevel="1" x14ac:dyDescent="0.25">
      <c r="A5632" s="106" t="s">
        <v>11275</v>
      </c>
      <c r="B5632" s="106" t="s">
        <v>11276</v>
      </c>
      <c r="C5632" s="106"/>
      <c r="D5632" s="106"/>
      <c r="E5632" s="52"/>
    </row>
    <row r="5633" spans="1:5" s="103" customFormat="1" ht="13.2" hidden="1" outlineLevel="1" x14ac:dyDescent="0.25">
      <c r="A5633" s="106" t="s">
        <v>11277</v>
      </c>
      <c r="B5633" s="106" t="s">
        <v>11278</v>
      </c>
      <c r="C5633" s="106"/>
      <c r="D5633" s="106"/>
      <c r="E5633" s="52"/>
    </row>
    <row r="5634" spans="1:5" s="103" customFormat="1" ht="13.2" hidden="1" outlineLevel="1" x14ac:dyDescent="0.25">
      <c r="A5634" s="106" t="s">
        <v>11279</v>
      </c>
      <c r="B5634" s="106" t="s">
        <v>11280</v>
      </c>
      <c r="C5634" s="106"/>
      <c r="D5634" s="106"/>
      <c r="E5634" s="52"/>
    </row>
    <row r="5635" spans="1:5" s="103" customFormat="1" ht="13.2" hidden="1" outlineLevel="1" x14ac:dyDescent="0.25">
      <c r="A5635" s="106" t="s">
        <v>11281</v>
      </c>
      <c r="B5635" s="106" t="s">
        <v>11282</v>
      </c>
      <c r="C5635" s="106"/>
      <c r="D5635" s="106"/>
      <c r="E5635" s="52"/>
    </row>
    <row r="5636" spans="1:5" s="103" customFormat="1" ht="13.2" hidden="1" outlineLevel="1" x14ac:dyDescent="0.25">
      <c r="A5636" s="106" t="s">
        <v>11283</v>
      </c>
      <c r="B5636" s="106" t="s">
        <v>11284</v>
      </c>
      <c r="C5636" s="106"/>
      <c r="D5636" s="106"/>
      <c r="E5636" s="52"/>
    </row>
    <row r="5637" spans="1:5" s="103" customFormat="1" ht="13.2" hidden="1" outlineLevel="1" x14ac:dyDescent="0.25">
      <c r="A5637" s="106" t="s">
        <v>11285</v>
      </c>
      <c r="B5637" s="106" t="s">
        <v>11286</v>
      </c>
      <c r="C5637" s="106"/>
      <c r="D5637" s="106"/>
      <c r="E5637" s="52"/>
    </row>
    <row r="5638" spans="1:5" s="103" customFormat="1" ht="13.2" hidden="1" outlineLevel="1" x14ac:dyDescent="0.25">
      <c r="A5638" s="106" t="s">
        <v>11287</v>
      </c>
      <c r="B5638" s="106" t="s">
        <v>11288</v>
      </c>
      <c r="C5638" s="106"/>
      <c r="D5638" s="106"/>
      <c r="E5638" s="52"/>
    </row>
    <row r="5639" spans="1:5" s="103" customFormat="1" ht="13.2" hidden="1" outlineLevel="1" x14ac:dyDescent="0.25">
      <c r="A5639" s="106" t="s">
        <v>11289</v>
      </c>
      <c r="B5639" s="106" t="s">
        <v>11290</v>
      </c>
      <c r="C5639" s="106"/>
      <c r="D5639" s="106"/>
      <c r="E5639" s="52"/>
    </row>
    <row r="5640" spans="1:5" s="103" customFormat="1" ht="13.2" hidden="1" outlineLevel="1" x14ac:dyDescent="0.25">
      <c r="A5640" s="106" t="s">
        <v>11291</v>
      </c>
      <c r="B5640" s="106" t="s">
        <v>11292</v>
      </c>
      <c r="C5640" s="106"/>
      <c r="D5640" s="106"/>
      <c r="E5640" s="52"/>
    </row>
    <row r="5641" spans="1:5" s="103" customFormat="1" ht="13.2" hidden="1" outlineLevel="1" x14ac:dyDescent="0.25">
      <c r="A5641" s="106" t="s">
        <v>11293</v>
      </c>
      <c r="B5641" s="106" t="s">
        <v>11294</v>
      </c>
      <c r="C5641" s="106"/>
      <c r="D5641" s="106"/>
      <c r="E5641" s="52"/>
    </row>
    <row r="5642" spans="1:5" s="103" customFormat="1" ht="13.2" hidden="1" outlineLevel="1" x14ac:dyDescent="0.25">
      <c r="A5642" s="106" t="s">
        <v>11295</v>
      </c>
      <c r="B5642" s="106" t="s">
        <v>11296</v>
      </c>
      <c r="C5642" s="106"/>
      <c r="D5642" s="106"/>
      <c r="E5642" s="52"/>
    </row>
    <row r="5643" spans="1:5" s="103" customFormat="1" ht="13.2" hidden="1" outlineLevel="1" x14ac:dyDescent="0.25">
      <c r="A5643" s="106" t="s">
        <v>11297</v>
      </c>
      <c r="B5643" s="106" t="s">
        <v>11298</v>
      </c>
      <c r="C5643" s="106"/>
      <c r="D5643" s="106"/>
      <c r="E5643" s="52"/>
    </row>
    <row r="5644" spans="1:5" s="103" customFormat="1" ht="13.2" hidden="1" outlineLevel="1" x14ac:dyDescent="0.25">
      <c r="A5644" s="106" t="s">
        <v>11299</v>
      </c>
      <c r="B5644" s="106" t="s">
        <v>11300</v>
      </c>
      <c r="C5644" s="106"/>
      <c r="D5644" s="106"/>
      <c r="E5644" s="52"/>
    </row>
    <row r="5645" spans="1:5" s="103" customFormat="1" ht="13.2" hidden="1" outlineLevel="1" x14ac:dyDescent="0.25">
      <c r="A5645" s="106" t="s">
        <v>11301</v>
      </c>
      <c r="B5645" s="106" t="s">
        <v>11302</v>
      </c>
      <c r="C5645" s="106"/>
      <c r="D5645" s="106"/>
      <c r="E5645" s="52"/>
    </row>
    <row r="5646" spans="1:5" s="103" customFormat="1" ht="13.2" hidden="1" outlineLevel="1" x14ac:dyDescent="0.25">
      <c r="A5646" s="106" t="s">
        <v>11303</v>
      </c>
      <c r="B5646" s="106" t="s">
        <v>11304</v>
      </c>
      <c r="C5646" s="106"/>
      <c r="D5646" s="106"/>
      <c r="E5646" s="52"/>
    </row>
    <row r="5647" spans="1:5" s="103" customFormat="1" ht="13.2" hidden="1" outlineLevel="1" x14ac:dyDescent="0.25">
      <c r="A5647" s="106" t="s">
        <v>11305</v>
      </c>
      <c r="B5647" s="106" t="s">
        <v>11306</v>
      </c>
      <c r="C5647" s="106"/>
      <c r="D5647" s="106"/>
      <c r="E5647" s="52"/>
    </row>
    <row r="5648" spans="1:5" s="103" customFormat="1" ht="13.2" hidden="1" outlineLevel="1" x14ac:dyDescent="0.25">
      <c r="A5648" s="106" t="s">
        <v>11307</v>
      </c>
      <c r="B5648" s="106" t="s">
        <v>11308</v>
      </c>
      <c r="C5648" s="106"/>
      <c r="D5648" s="106"/>
      <c r="E5648" s="52"/>
    </row>
    <row r="5649" spans="1:5" s="103" customFormat="1" ht="13.2" hidden="1" outlineLevel="1" x14ac:dyDescent="0.25">
      <c r="A5649" s="106" t="s">
        <v>11309</v>
      </c>
      <c r="B5649" s="106" t="s">
        <v>11310</v>
      </c>
      <c r="C5649" s="106"/>
      <c r="D5649" s="106"/>
      <c r="E5649" s="52"/>
    </row>
    <row r="5650" spans="1:5" s="103" customFormat="1" ht="13.2" hidden="1" outlineLevel="1" x14ac:dyDescent="0.25">
      <c r="A5650" s="106" t="s">
        <v>11311</v>
      </c>
      <c r="B5650" s="106" t="s">
        <v>11312</v>
      </c>
      <c r="C5650" s="106"/>
      <c r="D5650" s="106"/>
      <c r="E5650" s="52"/>
    </row>
    <row r="5651" spans="1:5" s="103" customFormat="1" ht="13.2" hidden="1" outlineLevel="1" x14ac:dyDescent="0.25">
      <c r="A5651" s="106" t="s">
        <v>11313</v>
      </c>
      <c r="B5651" s="106" t="s">
        <v>11314</v>
      </c>
      <c r="C5651" s="106"/>
      <c r="D5651" s="106"/>
      <c r="E5651" s="52"/>
    </row>
    <row r="5652" spans="1:5" s="103" customFormat="1" ht="13.2" hidden="1" outlineLevel="1" x14ac:dyDescent="0.25">
      <c r="A5652" s="106" t="s">
        <v>11315</v>
      </c>
      <c r="B5652" s="106" t="s">
        <v>11316</v>
      </c>
      <c r="C5652" s="106"/>
      <c r="D5652" s="106"/>
      <c r="E5652" s="52"/>
    </row>
    <row r="5653" spans="1:5" s="103" customFormat="1" ht="13.2" hidden="1" outlineLevel="1" x14ac:dyDescent="0.25">
      <c r="A5653" s="106" t="s">
        <v>11317</v>
      </c>
      <c r="B5653" s="106" t="s">
        <v>11318</v>
      </c>
      <c r="C5653" s="106"/>
      <c r="D5653" s="106"/>
      <c r="E5653" s="52"/>
    </row>
    <row r="5654" spans="1:5" s="103" customFormat="1" ht="13.2" hidden="1" outlineLevel="1" x14ac:dyDescent="0.25">
      <c r="A5654" s="106" t="s">
        <v>11319</v>
      </c>
      <c r="B5654" s="106" t="s">
        <v>11320</v>
      </c>
      <c r="C5654" s="106"/>
      <c r="D5654" s="106"/>
      <c r="E5654" s="52"/>
    </row>
    <row r="5655" spans="1:5" s="103" customFormat="1" ht="13.2" hidden="1" outlineLevel="1" x14ac:dyDescent="0.25">
      <c r="A5655" s="106" t="s">
        <v>11321</v>
      </c>
      <c r="B5655" s="106" t="s">
        <v>11322</v>
      </c>
      <c r="C5655" s="106"/>
      <c r="D5655" s="106"/>
      <c r="E5655" s="52"/>
    </row>
    <row r="5656" spans="1:5" s="103" customFormat="1" ht="13.2" hidden="1" outlineLevel="1" x14ac:dyDescent="0.25">
      <c r="A5656" s="106" t="s">
        <v>11323</v>
      </c>
      <c r="B5656" s="106" t="s">
        <v>11324</v>
      </c>
      <c r="C5656" s="106"/>
      <c r="D5656" s="106"/>
      <c r="E5656" s="52"/>
    </row>
    <row r="5657" spans="1:5" s="103" customFormat="1" ht="13.2" hidden="1" outlineLevel="1" x14ac:dyDescent="0.25">
      <c r="A5657" s="106" t="s">
        <v>11325</v>
      </c>
      <c r="B5657" s="106" t="s">
        <v>11326</v>
      </c>
      <c r="C5657" s="106"/>
      <c r="D5657" s="106"/>
      <c r="E5657" s="52"/>
    </row>
    <row r="5658" spans="1:5" s="103" customFormat="1" ht="13.2" hidden="1" outlineLevel="1" x14ac:dyDescent="0.25">
      <c r="A5658" s="106" t="s">
        <v>11327</v>
      </c>
      <c r="B5658" s="106" t="s">
        <v>11328</v>
      </c>
      <c r="C5658" s="106"/>
      <c r="D5658" s="106"/>
      <c r="E5658" s="52"/>
    </row>
    <row r="5659" spans="1:5" s="103" customFormat="1" ht="13.2" hidden="1" outlineLevel="1" x14ac:dyDescent="0.25">
      <c r="A5659" s="106" t="s">
        <v>11329</v>
      </c>
      <c r="B5659" s="106" t="s">
        <v>11330</v>
      </c>
      <c r="C5659" s="106"/>
      <c r="D5659" s="106"/>
      <c r="E5659" s="52"/>
    </row>
    <row r="5660" spans="1:5" s="103" customFormat="1" ht="13.2" hidden="1" outlineLevel="1" x14ac:dyDescent="0.25">
      <c r="A5660" s="106" t="s">
        <v>11331</v>
      </c>
      <c r="B5660" s="106" t="s">
        <v>11332</v>
      </c>
      <c r="C5660" s="106"/>
      <c r="D5660" s="106"/>
      <c r="E5660" s="52"/>
    </row>
    <row r="5661" spans="1:5" s="103" customFormat="1" ht="13.2" hidden="1" outlineLevel="1" x14ac:dyDescent="0.25">
      <c r="A5661" s="106" t="s">
        <v>11333</v>
      </c>
      <c r="B5661" s="106" t="s">
        <v>11334</v>
      </c>
      <c r="C5661" s="106"/>
      <c r="D5661" s="106"/>
      <c r="E5661" s="52"/>
    </row>
    <row r="5662" spans="1:5" s="103" customFormat="1" ht="13.2" hidden="1" outlineLevel="1" x14ac:dyDescent="0.25">
      <c r="A5662" s="106" t="s">
        <v>11335</v>
      </c>
      <c r="B5662" s="106" t="s">
        <v>11336</v>
      </c>
      <c r="C5662" s="106"/>
      <c r="D5662" s="106"/>
      <c r="E5662" s="52"/>
    </row>
    <row r="5663" spans="1:5" s="103" customFormat="1" ht="13.2" hidden="1" outlineLevel="1" x14ac:dyDescent="0.25">
      <c r="A5663" s="106" t="s">
        <v>11337</v>
      </c>
      <c r="B5663" s="106" t="s">
        <v>11338</v>
      </c>
      <c r="C5663" s="106"/>
      <c r="D5663" s="106"/>
      <c r="E5663" s="52"/>
    </row>
    <row r="5664" spans="1:5" s="103" customFormat="1" ht="13.2" hidden="1" outlineLevel="1" x14ac:dyDescent="0.25">
      <c r="A5664" s="106" t="s">
        <v>11339</v>
      </c>
      <c r="B5664" s="106" t="s">
        <v>11340</v>
      </c>
      <c r="C5664" s="106"/>
      <c r="D5664" s="106"/>
      <c r="E5664" s="52"/>
    </row>
    <row r="5665" spans="1:5" s="103" customFormat="1" ht="13.2" hidden="1" outlineLevel="1" x14ac:dyDescent="0.25">
      <c r="A5665" s="106" t="s">
        <v>11341</v>
      </c>
      <c r="B5665" s="106" t="s">
        <v>11342</v>
      </c>
      <c r="C5665" s="106"/>
      <c r="D5665" s="106"/>
      <c r="E5665" s="52"/>
    </row>
    <row r="5666" spans="1:5" s="103" customFormat="1" ht="13.2" hidden="1" outlineLevel="1" x14ac:dyDescent="0.25">
      <c r="A5666" s="106" t="s">
        <v>11343</v>
      </c>
      <c r="B5666" s="106" t="s">
        <v>11344</v>
      </c>
      <c r="C5666" s="106"/>
      <c r="D5666" s="106"/>
      <c r="E5666" s="52"/>
    </row>
    <row r="5667" spans="1:5" s="103" customFormat="1" ht="13.2" hidden="1" outlineLevel="1" x14ac:dyDescent="0.25">
      <c r="A5667" s="106" t="s">
        <v>11345</v>
      </c>
      <c r="B5667" s="106" t="s">
        <v>11346</v>
      </c>
      <c r="C5667" s="106"/>
      <c r="D5667" s="106"/>
      <c r="E5667" s="52"/>
    </row>
    <row r="5668" spans="1:5" s="103" customFormat="1" ht="13.2" hidden="1" outlineLevel="1" x14ac:dyDescent="0.25">
      <c r="A5668" s="106" t="s">
        <v>11347</v>
      </c>
      <c r="B5668" s="106" t="s">
        <v>11348</v>
      </c>
      <c r="C5668" s="106"/>
      <c r="D5668" s="106"/>
      <c r="E5668" s="52"/>
    </row>
    <row r="5669" spans="1:5" s="103" customFormat="1" ht="13.2" hidden="1" outlineLevel="1" x14ac:dyDescent="0.25">
      <c r="A5669" s="106" t="s">
        <v>11349</v>
      </c>
      <c r="B5669" s="106" t="s">
        <v>11350</v>
      </c>
      <c r="C5669" s="106"/>
      <c r="D5669" s="106"/>
      <c r="E5669" s="52"/>
    </row>
    <row r="5670" spans="1:5" s="103" customFormat="1" ht="13.2" hidden="1" outlineLevel="1" x14ac:dyDescent="0.25">
      <c r="A5670" s="106" t="s">
        <v>11351</v>
      </c>
      <c r="B5670" s="106" t="s">
        <v>11352</v>
      </c>
      <c r="C5670" s="106"/>
      <c r="D5670" s="106"/>
      <c r="E5670" s="52"/>
    </row>
    <row r="5671" spans="1:5" s="103" customFormat="1" ht="13.2" hidden="1" outlineLevel="1" x14ac:dyDescent="0.25">
      <c r="A5671" s="106" t="s">
        <v>11353</v>
      </c>
      <c r="B5671" s="106" t="s">
        <v>11354</v>
      </c>
      <c r="C5671" s="106"/>
      <c r="D5671" s="106"/>
      <c r="E5671" s="52"/>
    </row>
    <row r="5672" spans="1:5" s="103" customFormat="1" ht="13.2" hidden="1" outlineLevel="1" x14ac:dyDescent="0.25">
      <c r="A5672" s="106" t="s">
        <v>11355</v>
      </c>
      <c r="B5672" s="106" t="s">
        <v>11356</v>
      </c>
      <c r="C5672" s="106"/>
      <c r="D5672" s="106"/>
      <c r="E5672" s="52"/>
    </row>
    <row r="5673" spans="1:5" s="103" customFormat="1" ht="13.2" hidden="1" outlineLevel="1" x14ac:dyDescent="0.25">
      <c r="A5673" s="106" t="s">
        <v>11357</v>
      </c>
      <c r="B5673" s="106" t="s">
        <v>11358</v>
      </c>
      <c r="C5673" s="106"/>
      <c r="D5673" s="106"/>
      <c r="E5673" s="52"/>
    </row>
    <row r="5674" spans="1:5" s="103" customFormat="1" ht="13.2" hidden="1" outlineLevel="1" x14ac:dyDescent="0.25">
      <c r="A5674" s="106" t="s">
        <v>11359</v>
      </c>
      <c r="B5674" s="106" t="s">
        <v>11360</v>
      </c>
      <c r="C5674" s="106"/>
      <c r="D5674" s="106"/>
      <c r="E5674" s="52"/>
    </row>
    <row r="5675" spans="1:5" s="103" customFormat="1" ht="13.2" hidden="1" outlineLevel="1" x14ac:dyDescent="0.25">
      <c r="A5675" s="106" t="s">
        <v>11361</v>
      </c>
      <c r="B5675" s="106" t="s">
        <v>11362</v>
      </c>
      <c r="C5675" s="106"/>
      <c r="D5675" s="106"/>
      <c r="E5675" s="52"/>
    </row>
    <row r="5676" spans="1:5" s="103" customFormat="1" ht="13.2" hidden="1" outlineLevel="1" x14ac:dyDescent="0.25">
      <c r="A5676" s="106" t="s">
        <v>11363</v>
      </c>
      <c r="B5676" s="106" t="s">
        <v>11364</v>
      </c>
      <c r="C5676" s="106"/>
      <c r="D5676" s="106"/>
      <c r="E5676" s="52"/>
    </row>
    <row r="5677" spans="1:5" s="103" customFormat="1" ht="13.2" collapsed="1" x14ac:dyDescent="0.25">
      <c r="A5677" s="104" t="s">
        <v>11365</v>
      </c>
      <c r="B5677" s="105" t="s">
        <v>11366</v>
      </c>
      <c r="C5677" s="105"/>
      <c r="D5677" s="105"/>
      <c r="E5677" s="51"/>
    </row>
    <row r="5678" spans="1:5" s="103" customFormat="1" ht="13.2" hidden="1" outlineLevel="1" x14ac:dyDescent="0.25">
      <c r="A5678" s="106" t="s">
        <v>11367</v>
      </c>
      <c r="B5678" s="106" t="s">
        <v>11368</v>
      </c>
      <c r="C5678" s="106"/>
      <c r="D5678" s="106"/>
      <c r="E5678" s="52"/>
    </row>
    <row r="5679" spans="1:5" s="103" customFormat="1" ht="13.2" hidden="1" outlineLevel="1" x14ac:dyDescent="0.25">
      <c r="A5679" s="106" t="s">
        <v>11369</v>
      </c>
      <c r="B5679" s="106" t="s">
        <v>11370</v>
      </c>
      <c r="C5679" s="106"/>
      <c r="D5679" s="106"/>
      <c r="E5679" s="52"/>
    </row>
    <row r="5680" spans="1:5" s="103" customFormat="1" ht="13.2" hidden="1" outlineLevel="1" x14ac:dyDescent="0.25">
      <c r="A5680" s="106" t="s">
        <v>11371</v>
      </c>
      <c r="B5680" s="106" t="s">
        <v>11372</v>
      </c>
      <c r="C5680" s="106"/>
      <c r="D5680" s="106"/>
      <c r="E5680" s="52"/>
    </row>
    <row r="5681" spans="1:5" s="103" customFormat="1" ht="13.2" hidden="1" outlineLevel="1" x14ac:dyDescent="0.25">
      <c r="A5681" s="106" t="s">
        <v>11373</v>
      </c>
      <c r="B5681" s="106" t="s">
        <v>11374</v>
      </c>
      <c r="C5681" s="106"/>
      <c r="D5681" s="106"/>
      <c r="E5681" s="52"/>
    </row>
    <row r="5682" spans="1:5" s="103" customFormat="1" ht="13.2" hidden="1" outlineLevel="1" x14ac:dyDescent="0.25">
      <c r="A5682" s="106" t="s">
        <v>11375</v>
      </c>
      <c r="B5682" s="106" t="s">
        <v>11376</v>
      </c>
      <c r="C5682" s="106"/>
      <c r="D5682" s="106"/>
      <c r="E5682" s="52"/>
    </row>
    <row r="5683" spans="1:5" s="103" customFormat="1" ht="13.2" hidden="1" outlineLevel="1" x14ac:dyDescent="0.25">
      <c r="A5683" s="106" t="s">
        <v>11377</v>
      </c>
      <c r="B5683" s="106" t="s">
        <v>11378</v>
      </c>
      <c r="C5683" s="106"/>
      <c r="D5683" s="106"/>
      <c r="E5683" s="52"/>
    </row>
    <row r="5684" spans="1:5" s="103" customFormat="1" ht="13.2" hidden="1" outlineLevel="1" x14ac:dyDescent="0.25">
      <c r="A5684" s="106" t="s">
        <v>11379</v>
      </c>
      <c r="B5684" s="106" t="s">
        <v>11380</v>
      </c>
      <c r="C5684" s="106"/>
      <c r="D5684" s="106"/>
      <c r="E5684" s="52"/>
    </row>
    <row r="5685" spans="1:5" s="103" customFormat="1" ht="13.2" hidden="1" outlineLevel="1" x14ac:dyDescent="0.25">
      <c r="A5685" s="106" t="s">
        <v>11381</v>
      </c>
      <c r="B5685" s="106" t="s">
        <v>11382</v>
      </c>
      <c r="C5685" s="106"/>
      <c r="D5685" s="106"/>
      <c r="E5685" s="52"/>
    </row>
    <row r="5686" spans="1:5" s="103" customFormat="1" ht="13.2" hidden="1" outlineLevel="1" x14ac:dyDescent="0.25">
      <c r="A5686" s="106" t="s">
        <v>11383</v>
      </c>
      <c r="B5686" s="106" t="s">
        <v>11384</v>
      </c>
      <c r="C5686" s="106"/>
      <c r="D5686" s="106"/>
      <c r="E5686" s="52"/>
    </row>
    <row r="5687" spans="1:5" s="103" customFormat="1" ht="13.2" hidden="1" outlineLevel="1" x14ac:dyDescent="0.25">
      <c r="A5687" s="106" t="s">
        <v>11385</v>
      </c>
      <c r="B5687" s="106" t="s">
        <v>11386</v>
      </c>
      <c r="C5687" s="106"/>
      <c r="D5687" s="106"/>
      <c r="E5687" s="52"/>
    </row>
    <row r="5688" spans="1:5" s="103" customFormat="1" ht="13.2" hidden="1" outlineLevel="1" x14ac:dyDescent="0.25">
      <c r="A5688" s="106" t="s">
        <v>11387</v>
      </c>
      <c r="B5688" s="106" t="s">
        <v>11388</v>
      </c>
      <c r="C5688" s="106"/>
      <c r="D5688" s="106"/>
      <c r="E5688" s="52"/>
    </row>
    <row r="5689" spans="1:5" s="103" customFormat="1" ht="13.2" hidden="1" outlineLevel="1" x14ac:dyDescent="0.25">
      <c r="A5689" s="106" t="s">
        <v>11389</v>
      </c>
      <c r="B5689" s="106" t="s">
        <v>11390</v>
      </c>
      <c r="C5689" s="106"/>
      <c r="D5689" s="106"/>
      <c r="E5689" s="52"/>
    </row>
    <row r="5690" spans="1:5" s="103" customFormat="1" ht="13.2" hidden="1" outlineLevel="1" x14ac:dyDescent="0.25">
      <c r="A5690" s="106" t="s">
        <v>11391</v>
      </c>
      <c r="B5690" s="106" t="s">
        <v>11392</v>
      </c>
      <c r="C5690" s="106"/>
      <c r="D5690" s="106"/>
      <c r="E5690" s="52"/>
    </row>
    <row r="5691" spans="1:5" s="103" customFormat="1" ht="13.2" hidden="1" outlineLevel="1" x14ac:dyDescent="0.25">
      <c r="A5691" s="106" t="s">
        <v>11393</v>
      </c>
      <c r="B5691" s="106" t="s">
        <v>11394</v>
      </c>
      <c r="C5691" s="106"/>
      <c r="D5691" s="106"/>
      <c r="E5691" s="52"/>
    </row>
    <row r="5692" spans="1:5" s="103" customFormat="1" ht="13.2" hidden="1" outlineLevel="1" x14ac:dyDescent="0.25">
      <c r="A5692" s="106" t="s">
        <v>11395</v>
      </c>
      <c r="B5692" s="106" t="s">
        <v>11396</v>
      </c>
      <c r="C5692" s="106"/>
      <c r="D5692" s="106"/>
      <c r="E5692" s="52"/>
    </row>
    <row r="5693" spans="1:5" s="103" customFormat="1" ht="13.2" hidden="1" outlineLevel="1" x14ac:dyDescent="0.25">
      <c r="A5693" s="106" t="s">
        <v>11397</v>
      </c>
      <c r="B5693" s="106" t="s">
        <v>11398</v>
      </c>
      <c r="C5693" s="106"/>
      <c r="D5693" s="106"/>
      <c r="E5693" s="52"/>
    </row>
    <row r="5694" spans="1:5" s="103" customFormat="1" ht="13.2" hidden="1" outlineLevel="1" x14ac:dyDescent="0.25">
      <c r="A5694" s="106" t="s">
        <v>11399</v>
      </c>
      <c r="B5694" s="106" t="s">
        <v>11400</v>
      </c>
      <c r="C5694" s="106"/>
      <c r="D5694" s="106"/>
      <c r="E5694" s="52"/>
    </row>
    <row r="5695" spans="1:5" s="103" customFormat="1" ht="13.2" hidden="1" outlineLevel="1" x14ac:dyDescent="0.25">
      <c r="A5695" s="106" t="s">
        <v>11401</v>
      </c>
      <c r="B5695" s="106" t="s">
        <v>11402</v>
      </c>
      <c r="C5695" s="106"/>
      <c r="D5695" s="106"/>
      <c r="E5695" s="52"/>
    </row>
    <row r="5696" spans="1:5" s="103" customFormat="1" ht="13.2" hidden="1" outlineLevel="1" x14ac:dyDescent="0.25">
      <c r="A5696" s="106" t="s">
        <v>11403</v>
      </c>
      <c r="B5696" s="106" t="s">
        <v>11404</v>
      </c>
      <c r="C5696" s="106"/>
      <c r="D5696" s="106"/>
      <c r="E5696" s="52"/>
    </row>
    <row r="5697" spans="1:5" s="103" customFormat="1" ht="13.2" hidden="1" outlineLevel="1" x14ac:dyDescent="0.25">
      <c r="A5697" s="106" t="s">
        <v>11405</v>
      </c>
      <c r="B5697" s="106" t="s">
        <v>11406</v>
      </c>
      <c r="C5697" s="106"/>
      <c r="D5697" s="106"/>
      <c r="E5697" s="52"/>
    </row>
    <row r="5698" spans="1:5" s="103" customFormat="1" ht="13.2" hidden="1" outlineLevel="1" x14ac:dyDescent="0.25">
      <c r="A5698" s="106" t="s">
        <v>11407</v>
      </c>
      <c r="B5698" s="106" t="s">
        <v>11408</v>
      </c>
      <c r="C5698" s="106"/>
      <c r="D5698" s="106"/>
      <c r="E5698" s="52"/>
    </row>
    <row r="5699" spans="1:5" s="103" customFormat="1" ht="13.2" hidden="1" outlineLevel="1" x14ac:dyDescent="0.25">
      <c r="A5699" s="106" t="s">
        <v>11409</v>
      </c>
      <c r="B5699" s="106" t="s">
        <v>11410</v>
      </c>
      <c r="C5699" s="106"/>
      <c r="D5699" s="106"/>
      <c r="E5699" s="52"/>
    </row>
    <row r="5700" spans="1:5" s="103" customFormat="1" ht="13.2" hidden="1" outlineLevel="1" x14ac:dyDescent="0.25">
      <c r="A5700" s="106" t="s">
        <v>11411</v>
      </c>
      <c r="B5700" s="106" t="s">
        <v>11412</v>
      </c>
      <c r="C5700" s="106"/>
      <c r="D5700" s="106"/>
      <c r="E5700" s="52"/>
    </row>
    <row r="5701" spans="1:5" s="103" customFormat="1" ht="13.2" hidden="1" outlineLevel="1" x14ac:dyDescent="0.25">
      <c r="A5701" s="106" t="s">
        <v>11413</v>
      </c>
      <c r="B5701" s="106" t="s">
        <v>11414</v>
      </c>
      <c r="C5701" s="106"/>
      <c r="D5701" s="106"/>
      <c r="E5701" s="52"/>
    </row>
    <row r="5702" spans="1:5" s="103" customFormat="1" ht="13.2" hidden="1" outlineLevel="1" x14ac:dyDescent="0.25">
      <c r="A5702" s="106" t="s">
        <v>11415</v>
      </c>
      <c r="B5702" s="106" t="s">
        <v>11416</v>
      </c>
      <c r="C5702" s="106"/>
      <c r="D5702" s="106"/>
      <c r="E5702" s="52"/>
    </row>
    <row r="5703" spans="1:5" s="103" customFormat="1" ht="13.2" hidden="1" outlineLevel="1" x14ac:dyDescent="0.25">
      <c r="A5703" s="106" t="s">
        <v>11417</v>
      </c>
      <c r="B5703" s="106" t="s">
        <v>11418</v>
      </c>
      <c r="C5703" s="106"/>
      <c r="D5703" s="106"/>
      <c r="E5703" s="52"/>
    </row>
    <row r="5704" spans="1:5" s="103" customFormat="1" ht="13.2" hidden="1" outlineLevel="1" x14ac:dyDescent="0.25">
      <c r="A5704" s="106" t="s">
        <v>11419</v>
      </c>
      <c r="B5704" s="106" t="s">
        <v>11420</v>
      </c>
      <c r="C5704" s="106"/>
      <c r="D5704" s="106"/>
      <c r="E5704" s="52"/>
    </row>
    <row r="5705" spans="1:5" s="103" customFormat="1" ht="13.2" hidden="1" outlineLevel="1" x14ac:dyDescent="0.25">
      <c r="A5705" s="106" t="s">
        <v>11421</v>
      </c>
      <c r="B5705" s="106" t="s">
        <v>11422</v>
      </c>
      <c r="C5705" s="106"/>
      <c r="D5705" s="106"/>
      <c r="E5705" s="52"/>
    </row>
    <row r="5706" spans="1:5" s="103" customFormat="1" ht="13.2" hidden="1" outlineLevel="1" x14ac:dyDescent="0.25">
      <c r="A5706" s="106" t="s">
        <v>11423</v>
      </c>
      <c r="B5706" s="106" t="s">
        <v>11424</v>
      </c>
      <c r="C5706" s="106"/>
      <c r="D5706" s="106"/>
      <c r="E5706" s="52"/>
    </row>
    <row r="5707" spans="1:5" s="103" customFormat="1" ht="13.2" hidden="1" outlineLevel="1" x14ac:dyDescent="0.25">
      <c r="A5707" s="106" t="s">
        <v>11425</v>
      </c>
      <c r="B5707" s="106" t="s">
        <v>11426</v>
      </c>
      <c r="C5707" s="106"/>
      <c r="D5707" s="106"/>
      <c r="E5707" s="52"/>
    </row>
    <row r="5708" spans="1:5" s="103" customFormat="1" ht="13.2" hidden="1" outlineLevel="1" x14ac:dyDescent="0.25">
      <c r="A5708" s="106" t="s">
        <v>11427</v>
      </c>
      <c r="B5708" s="106" t="s">
        <v>11428</v>
      </c>
      <c r="C5708" s="106"/>
      <c r="D5708" s="106"/>
      <c r="E5708" s="52"/>
    </row>
    <row r="5709" spans="1:5" s="103" customFormat="1" ht="13.2" hidden="1" outlineLevel="1" x14ac:dyDescent="0.25">
      <c r="A5709" s="106" t="s">
        <v>11429</v>
      </c>
      <c r="B5709" s="106" t="s">
        <v>11430</v>
      </c>
      <c r="C5709" s="106"/>
      <c r="D5709" s="106"/>
      <c r="E5709" s="52"/>
    </row>
    <row r="5710" spans="1:5" s="103" customFormat="1" ht="13.2" hidden="1" outlineLevel="1" x14ac:dyDescent="0.25">
      <c r="A5710" s="106" t="s">
        <v>11431</v>
      </c>
      <c r="B5710" s="106" t="s">
        <v>11432</v>
      </c>
      <c r="C5710" s="106"/>
      <c r="D5710" s="106"/>
      <c r="E5710" s="52"/>
    </row>
    <row r="5711" spans="1:5" s="103" customFormat="1" ht="13.2" hidden="1" outlineLevel="1" x14ac:dyDescent="0.25">
      <c r="A5711" s="106" t="s">
        <v>11433</v>
      </c>
      <c r="B5711" s="106" t="s">
        <v>11434</v>
      </c>
      <c r="C5711" s="106"/>
      <c r="D5711" s="106"/>
      <c r="E5711" s="52"/>
    </row>
    <row r="5712" spans="1:5" s="103" customFormat="1" ht="13.2" hidden="1" outlineLevel="1" x14ac:dyDescent="0.25">
      <c r="A5712" s="106" t="s">
        <v>11435</v>
      </c>
      <c r="B5712" s="106" t="s">
        <v>11436</v>
      </c>
      <c r="C5712" s="106"/>
      <c r="D5712" s="106"/>
      <c r="E5712" s="52"/>
    </row>
    <row r="5713" spans="1:5" s="103" customFormat="1" ht="13.2" hidden="1" outlineLevel="1" x14ac:dyDescent="0.25">
      <c r="A5713" s="106" t="s">
        <v>11437</v>
      </c>
      <c r="B5713" s="106" t="s">
        <v>11438</v>
      </c>
      <c r="C5713" s="106"/>
      <c r="D5713" s="106"/>
      <c r="E5713" s="52"/>
    </row>
    <row r="5714" spans="1:5" s="103" customFormat="1" ht="13.2" hidden="1" outlineLevel="1" x14ac:dyDescent="0.25">
      <c r="A5714" s="106" t="s">
        <v>11439</v>
      </c>
      <c r="B5714" s="106" t="s">
        <v>11440</v>
      </c>
      <c r="C5714" s="106"/>
      <c r="D5714" s="106"/>
      <c r="E5714" s="52"/>
    </row>
    <row r="5715" spans="1:5" s="103" customFormat="1" ht="13.2" hidden="1" outlineLevel="1" x14ac:dyDescent="0.25">
      <c r="A5715" s="106" t="s">
        <v>11441</v>
      </c>
      <c r="B5715" s="106" t="s">
        <v>11442</v>
      </c>
      <c r="C5715" s="106"/>
      <c r="D5715" s="106"/>
      <c r="E5715" s="52"/>
    </row>
    <row r="5716" spans="1:5" s="103" customFormat="1" ht="13.2" hidden="1" outlineLevel="1" x14ac:dyDescent="0.25">
      <c r="A5716" s="106" t="s">
        <v>11443</v>
      </c>
      <c r="B5716" s="106" t="s">
        <v>11444</v>
      </c>
      <c r="C5716" s="106"/>
      <c r="D5716" s="106"/>
      <c r="E5716" s="52"/>
    </row>
    <row r="5717" spans="1:5" s="103" customFormat="1" ht="13.2" hidden="1" outlineLevel="1" x14ac:dyDescent="0.25">
      <c r="A5717" s="106" t="s">
        <v>11445</v>
      </c>
      <c r="B5717" s="106" t="s">
        <v>11446</v>
      </c>
      <c r="C5717" s="106"/>
      <c r="D5717" s="106"/>
      <c r="E5717" s="52"/>
    </row>
    <row r="5718" spans="1:5" s="103" customFormat="1" ht="13.2" hidden="1" outlineLevel="1" x14ac:dyDescent="0.25">
      <c r="A5718" s="106" t="s">
        <v>11447</v>
      </c>
      <c r="B5718" s="106" t="s">
        <v>11448</v>
      </c>
      <c r="C5718" s="106"/>
      <c r="D5718" s="106"/>
      <c r="E5718" s="52"/>
    </row>
    <row r="5719" spans="1:5" s="103" customFormat="1" ht="13.2" hidden="1" outlineLevel="1" x14ac:dyDescent="0.25">
      <c r="A5719" s="106" t="s">
        <v>11449</v>
      </c>
      <c r="B5719" s="106" t="s">
        <v>11450</v>
      </c>
      <c r="C5719" s="106"/>
      <c r="D5719" s="106"/>
      <c r="E5719" s="52"/>
    </row>
    <row r="5720" spans="1:5" s="103" customFormat="1" ht="13.2" hidden="1" outlineLevel="1" x14ac:dyDescent="0.25">
      <c r="A5720" s="106" t="s">
        <v>11451</v>
      </c>
      <c r="B5720" s="106" t="s">
        <v>11452</v>
      </c>
      <c r="C5720" s="106"/>
      <c r="D5720" s="106"/>
      <c r="E5720" s="52"/>
    </row>
    <row r="5721" spans="1:5" s="103" customFormat="1" ht="13.2" hidden="1" outlineLevel="1" x14ac:dyDescent="0.25">
      <c r="A5721" s="106" t="s">
        <v>11453</v>
      </c>
      <c r="B5721" s="106" t="s">
        <v>11454</v>
      </c>
      <c r="C5721" s="106"/>
      <c r="D5721" s="106"/>
      <c r="E5721" s="52"/>
    </row>
    <row r="5722" spans="1:5" s="103" customFormat="1" ht="13.2" hidden="1" outlineLevel="1" x14ac:dyDescent="0.25">
      <c r="A5722" s="106" t="s">
        <v>11455</v>
      </c>
      <c r="B5722" s="106" t="s">
        <v>11456</v>
      </c>
      <c r="C5722" s="106"/>
      <c r="D5722" s="106"/>
      <c r="E5722" s="52"/>
    </row>
    <row r="5723" spans="1:5" s="103" customFormat="1" ht="13.2" hidden="1" outlineLevel="1" x14ac:dyDescent="0.25">
      <c r="A5723" s="106" t="s">
        <v>11457</v>
      </c>
      <c r="B5723" s="106" t="s">
        <v>11458</v>
      </c>
      <c r="C5723" s="106"/>
      <c r="D5723" s="106"/>
      <c r="E5723" s="52"/>
    </row>
    <row r="5724" spans="1:5" s="103" customFormat="1" ht="13.2" hidden="1" outlineLevel="1" x14ac:dyDescent="0.25">
      <c r="A5724" s="106" t="s">
        <v>11459</v>
      </c>
      <c r="B5724" s="106" t="s">
        <v>11460</v>
      </c>
      <c r="C5724" s="106"/>
      <c r="D5724" s="106"/>
      <c r="E5724" s="52"/>
    </row>
    <row r="5725" spans="1:5" s="103" customFormat="1" ht="13.2" hidden="1" outlineLevel="1" x14ac:dyDescent="0.25">
      <c r="A5725" s="106" t="s">
        <v>11461</v>
      </c>
      <c r="B5725" s="106" t="s">
        <v>11462</v>
      </c>
      <c r="C5725" s="106"/>
      <c r="D5725" s="106"/>
      <c r="E5725" s="52"/>
    </row>
    <row r="5726" spans="1:5" s="103" customFormat="1" ht="13.2" hidden="1" outlineLevel="1" x14ac:dyDescent="0.25">
      <c r="A5726" s="106" t="s">
        <v>11463</v>
      </c>
      <c r="B5726" s="106" t="s">
        <v>11464</v>
      </c>
      <c r="C5726" s="106"/>
      <c r="D5726" s="106"/>
      <c r="E5726" s="52"/>
    </row>
    <row r="5727" spans="1:5" s="103" customFormat="1" ht="13.2" hidden="1" outlineLevel="1" x14ac:dyDescent="0.25">
      <c r="A5727" s="106" t="s">
        <v>11465</v>
      </c>
      <c r="B5727" s="106" t="s">
        <v>11466</v>
      </c>
      <c r="C5727" s="106"/>
      <c r="D5727" s="106"/>
      <c r="E5727" s="52"/>
    </row>
    <row r="5728" spans="1:5" s="103" customFormat="1" ht="13.2" hidden="1" outlineLevel="1" x14ac:dyDescent="0.25">
      <c r="A5728" s="106" t="s">
        <v>11467</v>
      </c>
      <c r="B5728" s="106" t="s">
        <v>11468</v>
      </c>
      <c r="C5728" s="106"/>
      <c r="D5728" s="106"/>
      <c r="E5728" s="52"/>
    </row>
    <row r="5729" spans="1:5" s="103" customFormat="1" ht="13.2" hidden="1" outlineLevel="1" x14ac:dyDescent="0.25">
      <c r="A5729" s="106" t="s">
        <v>11469</v>
      </c>
      <c r="B5729" s="106" t="s">
        <v>11470</v>
      </c>
      <c r="C5729" s="106"/>
      <c r="D5729" s="106"/>
      <c r="E5729" s="52"/>
    </row>
    <row r="5730" spans="1:5" s="103" customFormat="1" ht="13.2" hidden="1" outlineLevel="1" x14ac:dyDescent="0.25">
      <c r="A5730" s="106" t="s">
        <v>11471</v>
      </c>
      <c r="B5730" s="106" t="s">
        <v>11472</v>
      </c>
      <c r="C5730" s="106"/>
      <c r="D5730" s="106"/>
      <c r="E5730" s="52"/>
    </row>
    <row r="5731" spans="1:5" s="103" customFormat="1" ht="13.2" hidden="1" outlineLevel="1" x14ac:dyDescent="0.25">
      <c r="A5731" s="106" t="s">
        <v>11473</v>
      </c>
      <c r="B5731" s="106" t="s">
        <v>11474</v>
      </c>
      <c r="C5731" s="106"/>
      <c r="D5731" s="106"/>
      <c r="E5731" s="52"/>
    </row>
    <row r="5732" spans="1:5" s="103" customFormat="1" ht="13.2" hidden="1" outlineLevel="1" x14ac:dyDescent="0.25">
      <c r="A5732" s="106" t="s">
        <v>11475</v>
      </c>
      <c r="B5732" s="106" t="s">
        <v>11476</v>
      </c>
      <c r="C5732" s="106"/>
      <c r="D5732" s="106"/>
      <c r="E5732" s="52"/>
    </row>
    <row r="5733" spans="1:5" s="103" customFormat="1" ht="13.2" hidden="1" outlineLevel="1" x14ac:dyDescent="0.25">
      <c r="A5733" s="106" t="s">
        <v>11477</v>
      </c>
      <c r="B5733" s="106" t="s">
        <v>11478</v>
      </c>
      <c r="C5733" s="106"/>
      <c r="D5733" s="106"/>
      <c r="E5733" s="52"/>
    </row>
    <row r="5734" spans="1:5" s="103" customFormat="1" ht="13.2" hidden="1" outlineLevel="1" x14ac:dyDescent="0.25">
      <c r="A5734" s="106" t="s">
        <v>11479</v>
      </c>
      <c r="B5734" s="106" t="s">
        <v>11480</v>
      </c>
      <c r="C5734" s="106"/>
      <c r="D5734" s="106"/>
      <c r="E5734" s="52"/>
    </row>
    <row r="5735" spans="1:5" s="103" customFormat="1" ht="13.2" hidden="1" outlineLevel="1" x14ac:dyDescent="0.25">
      <c r="A5735" s="106" t="s">
        <v>11481</v>
      </c>
      <c r="B5735" s="106" t="s">
        <v>11482</v>
      </c>
      <c r="C5735" s="106"/>
      <c r="D5735" s="106"/>
      <c r="E5735" s="52"/>
    </row>
    <row r="5736" spans="1:5" s="103" customFormat="1" ht="13.2" hidden="1" outlineLevel="1" x14ac:dyDescent="0.25">
      <c r="A5736" s="106" t="s">
        <v>11483</v>
      </c>
      <c r="B5736" s="106" t="s">
        <v>11484</v>
      </c>
      <c r="C5736" s="106"/>
      <c r="D5736" s="106"/>
      <c r="E5736" s="52"/>
    </row>
    <row r="5737" spans="1:5" s="103" customFormat="1" ht="13.2" hidden="1" outlineLevel="1" x14ac:dyDescent="0.25">
      <c r="A5737" s="106" t="s">
        <v>11485</v>
      </c>
      <c r="B5737" s="106" t="s">
        <v>11486</v>
      </c>
      <c r="C5737" s="106"/>
      <c r="D5737" s="106"/>
      <c r="E5737" s="52"/>
    </row>
    <row r="5738" spans="1:5" s="103" customFormat="1" ht="13.2" hidden="1" outlineLevel="1" x14ac:dyDescent="0.25">
      <c r="A5738" s="106" t="s">
        <v>11487</v>
      </c>
      <c r="B5738" s="106" t="s">
        <v>11488</v>
      </c>
      <c r="C5738" s="106"/>
      <c r="D5738" s="106"/>
      <c r="E5738" s="52"/>
    </row>
    <row r="5739" spans="1:5" s="103" customFormat="1" ht="13.2" hidden="1" outlineLevel="1" x14ac:dyDescent="0.25">
      <c r="A5739" s="106" t="s">
        <v>11489</v>
      </c>
      <c r="B5739" s="106" t="s">
        <v>11490</v>
      </c>
      <c r="C5739" s="106"/>
      <c r="D5739" s="106"/>
      <c r="E5739" s="52"/>
    </row>
    <row r="5740" spans="1:5" s="103" customFormat="1" ht="13.2" hidden="1" outlineLevel="1" x14ac:dyDescent="0.25">
      <c r="A5740" s="106" t="s">
        <v>11491</v>
      </c>
      <c r="B5740" s="106" t="s">
        <v>11492</v>
      </c>
      <c r="C5740" s="106"/>
      <c r="D5740" s="106"/>
      <c r="E5740" s="52"/>
    </row>
    <row r="5741" spans="1:5" s="103" customFormat="1" ht="13.2" hidden="1" outlineLevel="1" x14ac:dyDescent="0.25">
      <c r="A5741" s="106" t="s">
        <v>11493</v>
      </c>
      <c r="B5741" s="106" t="s">
        <v>11494</v>
      </c>
      <c r="C5741" s="106"/>
      <c r="D5741" s="106"/>
      <c r="E5741" s="52"/>
    </row>
    <row r="5742" spans="1:5" s="103" customFormat="1" ht="13.2" hidden="1" outlineLevel="1" x14ac:dyDescent="0.25">
      <c r="A5742" s="106" t="s">
        <v>11495</v>
      </c>
      <c r="B5742" s="106" t="s">
        <v>11496</v>
      </c>
      <c r="C5742" s="106"/>
      <c r="D5742" s="106"/>
      <c r="E5742" s="52"/>
    </row>
    <row r="5743" spans="1:5" s="103" customFormat="1" ht="13.2" hidden="1" outlineLevel="1" x14ac:dyDescent="0.25">
      <c r="A5743" s="106" t="s">
        <v>11497</v>
      </c>
      <c r="B5743" s="106" t="s">
        <v>11498</v>
      </c>
      <c r="C5743" s="106"/>
      <c r="D5743" s="106"/>
      <c r="E5743" s="52"/>
    </row>
    <row r="5744" spans="1:5" s="103" customFormat="1" ht="13.2" hidden="1" outlineLevel="1" x14ac:dyDescent="0.25">
      <c r="A5744" s="106" t="s">
        <v>11499</v>
      </c>
      <c r="B5744" s="106" t="s">
        <v>11500</v>
      </c>
      <c r="C5744" s="106"/>
      <c r="D5744" s="106"/>
      <c r="E5744" s="52"/>
    </row>
    <row r="5745" spans="1:5" s="103" customFormat="1" ht="13.2" hidden="1" outlineLevel="1" x14ac:dyDescent="0.25">
      <c r="A5745" s="106" t="s">
        <v>11501</v>
      </c>
      <c r="B5745" s="106" t="s">
        <v>11502</v>
      </c>
      <c r="C5745" s="106"/>
      <c r="D5745" s="106"/>
      <c r="E5745" s="52"/>
    </row>
    <row r="5746" spans="1:5" s="103" customFormat="1" ht="13.2" hidden="1" outlineLevel="1" x14ac:dyDescent="0.25">
      <c r="A5746" s="106" t="s">
        <v>11503</v>
      </c>
      <c r="B5746" s="106" t="s">
        <v>11504</v>
      </c>
      <c r="C5746" s="106"/>
      <c r="D5746" s="106"/>
      <c r="E5746" s="52"/>
    </row>
    <row r="5747" spans="1:5" s="103" customFormat="1" ht="13.2" hidden="1" outlineLevel="1" x14ac:dyDescent="0.25">
      <c r="A5747" s="106" t="s">
        <v>11505</v>
      </c>
      <c r="B5747" s="106" t="s">
        <v>11506</v>
      </c>
      <c r="C5747" s="106"/>
      <c r="D5747" s="106"/>
      <c r="E5747" s="52"/>
    </row>
    <row r="5748" spans="1:5" s="103" customFormat="1" ht="13.2" hidden="1" outlineLevel="1" x14ac:dyDescent="0.25">
      <c r="A5748" s="106" t="s">
        <v>11507</v>
      </c>
      <c r="B5748" s="106" t="s">
        <v>11508</v>
      </c>
      <c r="C5748" s="106"/>
      <c r="D5748" s="106"/>
      <c r="E5748" s="52"/>
    </row>
    <row r="5749" spans="1:5" s="103" customFormat="1" ht="13.2" hidden="1" outlineLevel="1" x14ac:dyDescent="0.25">
      <c r="A5749" s="106" t="s">
        <v>11509</v>
      </c>
      <c r="B5749" s="106" t="s">
        <v>11510</v>
      </c>
      <c r="C5749" s="106"/>
      <c r="D5749" s="106"/>
      <c r="E5749" s="52"/>
    </row>
    <row r="5750" spans="1:5" s="103" customFormat="1" ht="13.2" hidden="1" outlineLevel="1" x14ac:dyDescent="0.25">
      <c r="A5750" s="106" t="s">
        <v>11511</v>
      </c>
      <c r="B5750" s="106" t="s">
        <v>11512</v>
      </c>
      <c r="C5750" s="106"/>
      <c r="D5750" s="106"/>
      <c r="E5750" s="52"/>
    </row>
    <row r="5751" spans="1:5" s="103" customFormat="1" ht="13.2" hidden="1" outlineLevel="1" x14ac:dyDescent="0.25">
      <c r="A5751" s="106" t="s">
        <v>11513</v>
      </c>
      <c r="B5751" s="106" t="s">
        <v>11514</v>
      </c>
      <c r="C5751" s="106"/>
      <c r="D5751" s="106"/>
      <c r="E5751" s="52"/>
    </row>
    <row r="5752" spans="1:5" s="103" customFormat="1" ht="13.2" hidden="1" outlineLevel="1" x14ac:dyDescent="0.25">
      <c r="A5752" s="106" t="s">
        <v>11515</v>
      </c>
      <c r="B5752" s="106" t="s">
        <v>11516</v>
      </c>
      <c r="C5752" s="106"/>
      <c r="D5752" s="106"/>
      <c r="E5752" s="52"/>
    </row>
    <row r="5753" spans="1:5" s="103" customFormat="1" ht="13.2" hidden="1" outlineLevel="1" x14ac:dyDescent="0.25">
      <c r="A5753" s="106" t="s">
        <v>11517</v>
      </c>
      <c r="B5753" s="106" t="s">
        <v>11518</v>
      </c>
      <c r="C5753" s="106"/>
      <c r="D5753" s="106"/>
      <c r="E5753" s="52"/>
    </row>
    <row r="5754" spans="1:5" s="103" customFormat="1" ht="13.2" hidden="1" outlineLevel="1" x14ac:dyDescent="0.25">
      <c r="A5754" s="106" t="s">
        <v>11519</v>
      </c>
      <c r="B5754" s="106" t="s">
        <v>11520</v>
      </c>
      <c r="C5754" s="106"/>
      <c r="D5754" s="106"/>
      <c r="E5754" s="52"/>
    </row>
    <row r="5755" spans="1:5" s="103" customFormat="1" ht="13.2" hidden="1" outlineLevel="1" x14ac:dyDescent="0.25">
      <c r="A5755" s="106" t="s">
        <v>11521</v>
      </c>
      <c r="B5755" s="106" t="s">
        <v>11522</v>
      </c>
      <c r="C5755" s="106"/>
      <c r="D5755" s="106"/>
      <c r="E5755" s="52"/>
    </row>
    <row r="5756" spans="1:5" s="103" customFormat="1" ht="13.2" hidden="1" outlineLevel="1" x14ac:dyDescent="0.25">
      <c r="A5756" s="106" t="s">
        <v>11523</v>
      </c>
      <c r="B5756" s="106" t="s">
        <v>11524</v>
      </c>
      <c r="C5756" s="106"/>
      <c r="D5756" s="106"/>
      <c r="E5756" s="52"/>
    </row>
    <row r="5757" spans="1:5" s="103" customFormat="1" ht="13.2" hidden="1" outlineLevel="1" x14ac:dyDescent="0.25">
      <c r="A5757" s="106" t="s">
        <v>11525</v>
      </c>
      <c r="B5757" s="106" t="s">
        <v>11526</v>
      </c>
      <c r="C5757" s="106"/>
      <c r="D5757" s="106"/>
      <c r="E5757" s="52"/>
    </row>
    <row r="5758" spans="1:5" s="103" customFormat="1" ht="13.2" hidden="1" outlineLevel="1" x14ac:dyDescent="0.25">
      <c r="A5758" s="106" t="s">
        <v>11527</v>
      </c>
      <c r="B5758" s="106" t="s">
        <v>11528</v>
      </c>
      <c r="C5758" s="106"/>
      <c r="D5758" s="106"/>
      <c r="E5758" s="52"/>
    </row>
    <row r="5759" spans="1:5" s="103" customFormat="1" ht="13.2" hidden="1" outlineLevel="1" x14ac:dyDescent="0.25">
      <c r="A5759" s="106" t="s">
        <v>11529</v>
      </c>
      <c r="B5759" s="106" t="s">
        <v>11530</v>
      </c>
      <c r="C5759" s="106"/>
      <c r="D5759" s="106"/>
      <c r="E5759" s="52"/>
    </row>
    <row r="5760" spans="1:5" s="103" customFormat="1" ht="13.2" hidden="1" outlineLevel="1" x14ac:dyDescent="0.25">
      <c r="A5760" s="106" t="s">
        <v>11531</v>
      </c>
      <c r="B5760" s="106" t="s">
        <v>11532</v>
      </c>
      <c r="C5760" s="106"/>
      <c r="D5760" s="106"/>
      <c r="E5760" s="52"/>
    </row>
    <row r="5761" spans="1:5" s="103" customFormat="1" ht="13.2" hidden="1" outlineLevel="1" x14ac:dyDescent="0.25">
      <c r="A5761" s="106" t="s">
        <v>11533</v>
      </c>
      <c r="B5761" s="106" t="s">
        <v>11534</v>
      </c>
      <c r="C5761" s="106"/>
      <c r="D5761" s="106"/>
      <c r="E5761" s="52"/>
    </row>
    <row r="5762" spans="1:5" s="103" customFormat="1" ht="13.2" hidden="1" outlineLevel="1" x14ac:dyDescent="0.25">
      <c r="A5762" s="106" t="s">
        <v>11535</v>
      </c>
      <c r="B5762" s="106" t="s">
        <v>11536</v>
      </c>
      <c r="C5762" s="106"/>
      <c r="D5762" s="106"/>
      <c r="E5762" s="52"/>
    </row>
    <row r="5763" spans="1:5" s="103" customFormat="1" ht="13.2" hidden="1" outlineLevel="1" x14ac:dyDescent="0.25">
      <c r="A5763" s="106" t="s">
        <v>11537</v>
      </c>
      <c r="B5763" s="106" t="s">
        <v>11538</v>
      </c>
      <c r="C5763" s="106"/>
      <c r="D5763" s="106"/>
      <c r="E5763" s="52"/>
    </row>
    <row r="5764" spans="1:5" s="103" customFormat="1" ht="13.2" hidden="1" outlineLevel="1" x14ac:dyDescent="0.25">
      <c r="A5764" s="106" t="s">
        <v>11539</v>
      </c>
      <c r="B5764" s="106" t="s">
        <v>11540</v>
      </c>
      <c r="C5764" s="106"/>
      <c r="D5764" s="106"/>
      <c r="E5764" s="52"/>
    </row>
    <row r="5765" spans="1:5" s="103" customFormat="1" ht="13.2" hidden="1" outlineLevel="1" x14ac:dyDescent="0.25">
      <c r="A5765" s="106" t="s">
        <v>11541</v>
      </c>
      <c r="B5765" s="106" t="s">
        <v>11542</v>
      </c>
      <c r="C5765" s="106"/>
      <c r="D5765" s="106"/>
      <c r="E5765" s="52"/>
    </row>
    <row r="5766" spans="1:5" s="103" customFormat="1" ht="13.2" hidden="1" outlineLevel="1" x14ac:dyDescent="0.25">
      <c r="A5766" s="106" t="s">
        <v>11543</v>
      </c>
      <c r="B5766" s="106" t="s">
        <v>11544</v>
      </c>
      <c r="C5766" s="106"/>
      <c r="D5766" s="106"/>
      <c r="E5766" s="52"/>
    </row>
    <row r="5767" spans="1:5" s="103" customFormat="1" ht="13.2" hidden="1" outlineLevel="1" x14ac:dyDescent="0.25">
      <c r="A5767" s="106" t="s">
        <v>11545</v>
      </c>
      <c r="B5767" s="106" t="s">
        <v>11546</v>
      </c>
      <c r="C5767" s="106"/>
      <c r="D5767" s="106"/>
      <c r="E5767" s="52"/>
    </row>
    <row r="5768" spans="1:5" s="103" customFormat="1" ht="13.2" hidden="1" outlineLevel="1" x14ac:dyDescent="0.25">
      <c r="A5768" s="106" t="s">
        <v>11547</v>
      </c>
      <c r="B5768" s="106" t="s">
        <v>11548</v>
      </c>
      <c r="C5768" s="106"/>
      <c r="D5768" s="106"/>
      <c r="E5768" s="52"/>
    </row>
    <row r="5769" spans="1:5" s="103" customFormat="1" ht="13.2" hidden="1" outlineLevel="1" x14ac:dyDescent="0.25">
      <c r="A5769" s="106" t="s">
        <v>11549</v>
      </c>
      <c r="B5769" s="106" t="s">
        <v>11550</v>
      </c>
      <c r="C5769" s="106"/>
      <c r="D5769" s="106"/>
      <c r="E5769" s="52"/>
    </row>
    <row r="5770" spans="1:5" s="103" customFormat="1" ht="13.2" hidden="1" outlineLevel="1" x14ac:dyDescent="0.25">
      <c r="A5770" s="106" t="s">
        <v>11551</v>
      </c>
      <c r="B5770" s="106" t="s">
        <v>11552</v>
      </c>
      <c r="C5770" s="106"/>
      <c r="D5770" s="106"/>
      <c r="E5770" s="52"/>
    </row>
    <row r="5771" spans="1:5" s="103" customFormat="1" ht="13.2" hidden="1" outlineLevel="1" x14ac:dyDescent="0.25">
      <c r="A5771" s="106" t="s">
        <v>11553</v>
      </c>
      <c r="B5771" s="106" t="s">
        <v>11554</v>
      </c>
      <c r="C5771" s="106"/>
      <c r="D5771" s="106"/>
      <c r="E5771" s="52"/>
    </row>
    <row r="5772" spans="1:5" s="103" customFormat="1" ht="13.2" hidden="1" outlineLevel="1" x14ac:dyDescent="0.25">
      <c r="A5772" s="106" t="s">
        <v>11555</v>
      </c>
      <c r="B5772" s="106" t="s">
        <v>11556</v>
      </c>
      <c r="C5772" s="106"/>
      <c r="D5772" s="106"/>
      <c r="E5772" s="52"/>
    </row>
    <row r="5773" spans="1:5" s="103" customFormat="1" ht="13.2" hidden="1" outlineLevel="1" x14ac:dyDescent="0.25">
      <c r="A5773" s="106" t="s">
        <v>11557</v>
      </c>
      <c r="B5773" s="106" t="s">
        <v>11558</v>
      </c>
      <c r="C5773" s="106"/>
      <c r="D5773" s="106"/>
      <c r="E5773" s="52"/>
    </row>
    <row r="5774" spans="1:5" s="103" customFormat="1" ht="13.2" hidden="1" outlineLevel="1" x14ac:dyDescent="0.25">
      <c r="A5774" s="106" t="s">
        <v>11559</v>
      </c>
      <c r="B5774" s="106" t="s">
        <v>11560</v>
      </c>
      <c r="C5774" s="106"/>
      <c r="D5774" s="106"/>
      <c r="E5774" s="52"/>
    </row>
    <row r="5775" spans="1:5" s="103" customFormat="1" ht="13.2" hidden="1" outlineLevel="1" x14ac:dyDescent="0.25">
      <c r="A5775" s="106" t="s">
        <v>11561</v>
      </c>
      <c r="B5775" s="106" t="s">
        <v>11562</v>
      </c>
      <c r="C5775" s="106"/>
      <c r="D5775" s="106"/>
      <c r="E5775" s="52"/>
    </row>
    <row r="5776" spans="1:5" s="103" customFormat="1" ht="13.2" hidden="1" outlineLevel="1" x14ac:dyDescent="0.25">
      <c r="A5776" s="106" t="s">
        <v>11563</v>
      </c>
      <c r="B5776" s="106" t="s">
        <v>11564</v>
      </c>
      <c r="C5776" s="106"/>
      <c r="D5776" s="106"/>
      <c r="E5776" s="52"/>
    </row>
    <row r="5777" spans="1:5" s="103" customFormat="1" ht="13.2" hidden="1" outlineLevel="1" x14ac:dyDescent="0.25">
      <c r="A5777" s="106" t="s">
        <v>11565</v>
      </c>
      <c r="B5777" s="106" t="s">
        <v>11566</v>
      </c>
      <c r="C5777" s="106"/>
      <c r="D5777" s="106"/>
      <c r="E5777" s="52"/>
    </row>
    <row r="5778" spans="1:5" s="103" customFormat="1" ht="13.2" hidden="1" outlineLevel="1" x14ac:dyDescent="0.25">
      <c r="A5778" s="106" t="s">
        <v>11567</v>
      </c>
      <c r="B5778" s="106" t="s">
        <v>11568</v>
      </c>
      <c r="C5778" s="106"/>
      <c r="D5778" s="106"/>
      <c r="E5778" s="52"/>
    </row>
    <row r="5779" spans="1:5" s="103" customFormat="1" ht="13.2" hidden="1" outlineLevel="1" x14ac:dyDescent="0.25">
      <c r="A5779" s="106" t="s">
        <v>11569</v>
      </c>
      <c r="B5779" s="106" t="s">
        <v>11570</v>
      </c>
      <c r="C5779" s="106"/>
      <c r="D5779" s="106"/>
      <c r="E5779" s="52"/>
    </row>
    <row r="5780" spans="1:5" s="103" customFormat="1" ht="13.2" hidden="1" outlineLevel="1" x14ac:dyDescent="0.25">
      <c r="A5780" s="106" t="s">
        <v>11571</v>
      </c>
      <c r="B5780" s="106" t="s">
        <v>11572</v>
      </c>
      <c r="C5780" s="106"/>
      <c r="D5780" s="106"/>
      <c r="E5780" s="52"/>
    </row>
    <row r="5781" spans="1:5" s="103" customFormat="1" ht="13.2" hidden="1" outlineLevel="1" x14ac:dyDescent="0.25">
      <c r="A5781" s="106" t="s">
        <v>11573</v>
      </c>
      <c r="B5781" s="106" t="s">
        <v>11574</v>
      </c>
      <c r="C5781" s="106"/>
      <c r="D5781" s="106"/>
      <c r="E5781" s="52"/>
    </row>
    <row r="5782" spans="1:5" s="103" customFormat="1" ht="13.2" hidden="1" outlineLevel="1" x14ac:dyDescent="0.25">
      <c r="A5782" s="106" t="s">
        <v>11575</v>
      </c>
      <c r="B5782" s="106" t="s">
        <v>11576</v>
      </c>
      <c r="C5782" s="106"/>
      <c r="D5782" s="106"/>
      <c r="E5782" s="52"/>
    </row>
    <row r="5783" spans="1:5" s="103" customFormat="1" ht="13.2" hidden="1" outlineLevel="1" x14ac:dyDescent="0.25">
      <c r="A5783" s="106" t="s">
        <v>11577</v>
      </c>
      <c r="B5783" s="106" t="s">
        <v>11578</v>
      </c>
      <c r="C5783" s="106"/>
      <c r="D5783" s="106"/>
      <c r="E5783" s="52"/>
    </row>
    <row r="5784" spans="1:5" s="103" customFormat="1" ht="13.2" hidden="1" outlineLevel="1" x14ac:dyDescent="0.25">
      <c r="A5784" s="106" t="s">
        <v>11579</v>
      </c>
      <c r="B5784" s="106" t="s">
        <v>11580</v>
      </c>
      <c r="C5784" s="106"/>
      <c r="D5784" s="106"/>
      <c r="E5784" s="52"/>
    </row>
    <row r="5785" spans="1:5" s="103" customFormat="1" ht="13.2" hidden="1" outlineLevel="1" x14ac:dyDescent="0.25">
      <c r="A5785" s="106" t="s">
        <v>11581</v>
      </c>
      <c r="B5785" s="106" t="s">
        <v>11582</v>
      </c>
      <c r="C5785" s="106"/>
      <c r="D5785" s="106"/>
      <c r="E5785" s="52"/>
    </row>
    <row r="5786" spans="1:5" s="103" customFormat="1" ht="13.2" hidden="1" outlineLevel="1" x14ac:dyDescent="0.25">
      <c r="A5786" s="106" t="s">
        <v>11583</v>
      </c>
      <c r="B5786" s="106" t="s">
        <v>11584</v>
      </c>
      <c r="C5786" s="106"/>
      <c r="D5786" s="106"/>
      <c r="E5786" s="52"/>
    </row>
    <row r="5787" spans="1:5" s="103" customFormat="1" ht="13.2" hidden="1" outlineLevel="1" x14ac:dyDescent="0.25">
      <c r="A5787" s="106" t="s">
        <v>11585</v>
      </c>
      <c r="B5787" s="106" t="s">
        <v>11586</v>
      </c>
      <c r="C5787" s="106"/>
      <c r="D5787" s="106"/>
      <c r="E5787" s="52"/>
    </row>
    <row r="5788" spans="1:5" s="103" customFormat="1" ht="13.2" hidden="1" outlineLevel="1" x14ac:dyDescent="0.25">
      <c r="A5788" s="106" t="s">
        <v>11587</v>
      </c>
      <c r="B5788" s="106" t="s">
        <v>11588</v>
      </c>
      <c r="C5788" s="106"/>
      <c r="D5788" s="106"/>
      <c r="E5788" s="52"/>
    </row>
    <row r="5789" spans="1:5" s="103" customFormat="1" ht="13.2" hidden="1" outlineLevel="1" x14ac:dyDescent="0.25">
      <c r="A5789" s="106" t="s">
        <v>11589</v>
      </c>
      <c r="B5789" s="106" t="s">
        <v>11590</v>
      </c>
      <c r="C5789" s="106"/>
      <c r="D5789" s="106"/>
      <c r="E5789" s="52"/>
    </row>
    <row r="5790" spans="1:5" s="103" customFormat="1" ht="13.2" hidden="1" outlineLevel="1" x14ac:dyDescent="0.25">
      <c r="A5790" s="106" t="s">
        <v>11591</v>
      </c>
      <c r="B5790" s="106" t="s">
        <v>11592</v>
      </c>
      <c r="C5790" s="106"/>
      <c r="D5790" s="106"/>
      <c r="E5790" s="52"/>
    </row>
    <row r="5791" spans="1:5" s="103" customFormat="1" ht="13.2" hidden="1" outlineLevel="1" x14ac:dyDescent="0.25">
      <c r="A5791" s="106" t="s">
        <v>11593</v>
      </c>
      <c r="B5791" s="106" t="s">
        <v>11594</v>
      </c>
      <c r="C5791" s="106"/>
      <c r="D5791" s="106"/>
      <c r="E5791" s="52"/>
    </row>
    <row r="5792" spans="1:5" s="103" customFormat="1" ht="13.2" hidden="1" outlineLevel="1" x14ac:dyDescent="0.25">
      <c r="A5792" s="106" t="s">
        <v>11595</v>
      </c>
      <c r="B5792" s="106" t="s">
        <v>11596</v>
      </c>
      <c r="C5792" s="106"/>
      <c r="D5792" s="106"/>
      <c r="E5792" s="52"/>
    </row>
    <row r="5793" spans="1:5" s="103" customFormat="1" ht="13.2" hidden="1" outlineLevel="1" x14ac:dyDescent="0.25">
      <c r="A5793" s="106" t="s">
        <v>11597</v>
      </c>
      <c r="B5793" s="106" t="s">
        <v>11598</v>
      </c>
      <c r="C5793" s="106"/>
      <c r="D5793" s="106"/>
      <c r="E5793" s="52"/>
    </row>
    <row r="5794" spans="1:5" s="103" customFormat="1" ht="13.2" hidden="1" outlineLevel="1" x14ac:dyDescent="0.25">
      <c r="A5794" s="106" t="s">
        <v>11599</v>
      </c>
      <c r="B5794" s="106" t="s">
        <v>11600</v>
      </c>
      <c r="C5794" s="106"/>
      <c r="D5794" s="106"/>
      <c r="E5794" s="52"/>
    </row>
    <row r="5795" spans="1:5" s="103" customFormat="1" ht="13.2" hidden="1" outlineLevel="1" x14ac:dyDescent="0.25">
      <c r="A5795" s="106" t="s">
        <v>11601</v>
      </c>
      <c r="B5795" s="106" t="s">
        <v>11602</v>
      </c>
      <c r="C5795" s="106"/>
      <c r="D5795" s="106"/>
      <c r="E5795" s="52"/>
    </row>
    <row r="5796" spans="1:5" s="103" customFormat="1" ht="13.2" hidden="1" outlineLevel="1" x14ac:dyDescent="0.25">
      <c r="A5796" s="106" t="s">
        <v>11603</v>
      </c>
      <c r="B5796" s="106" t="s">
        <v>11604</v>
      </c>
      <c r="C5796" s="106"/>
      <c r="D5796" s="106"/>
      <c r="E5796" s="52"/>
    </row>
    <row r="5797" spans="1:5" s="103" customFormat="1" ht="13.2" hidden="1" outlineLevel="1" x14ac:dyDescent="0.25">
      <c r="A5797" s="106" t="s">
        <v>11605</v>
      </c>
      <c r="B5797" s="106" t="s">
        <v>11606</v>
      </c>
      <c r="C5797" s="106"/>
      <c r="D5797" s="106"/>
      <c r="E5797" s="52"/>
    </row>
    <row r="5798" spans="1:5" s="103" customFormat="1" ht="13.2" hidden="1" outlineLevel="1" x14ac:dyDescent="0.25">
      <c r="A5798" s="106" t="s">
        <v>11607</v>
      </c>
      <c r="B5798" s="106" t="s">
        <v>11608</v>
      </c>
      <c r="C5798" s="106"/>
      <c r="D5798" s="106"/>
      <c r="E5798" s="52"/>
    </row>
    <row r="5799" spans="1:5" s="103" customFormat="1" ht="13.2" hidden="1" outlineLevel="1" x14ac:dyDescent="0.25">
      <c r="A5799" s="106" t="s">
        <v>11609</v>
      </c>
      <c r="B5799" s="106" t="s">
        <v>11610</v>
      </c>
      <c r="C5799" s="106"/>
      <c r="D5799" s="106"/>
      <c r="E5799" s="52"/>
    </row>
    <row r="5800" spans="1:5" s="103" customFormat="1" ht="13.2" hidden="1" outlineLevel="1" x14ac:dyDescent="0.25">
      <c r="A5800" s="106" t="s">
        <v>11611</v>
      </c>
      <c r="B5800" s="106" t="s">
        <v>11612</v>
      </c>
      <c r="C5800" s="106"/>
      <c r="D5800" s="106"/>
      <c r="E5800" s="52"/>
    </row>
    <row r="5801" spans="1:5" s="103" customFormat="1" ht="13.2" hidden="1" outlineLevel="1" x14ac:dyDescent="0.25">
      <c r="A5801" s="106" t="s">
        <v>11613</v>
      </c>
      <c r="B5801" s="106" t="s">
        <v>11614</v>
      </c>
      <c r="C5801" s="106"/>
      <c r="D5801" s="106"/>
      <c r="E5801" s="52"/>
    </row>
    <row r="5802" spans="1:5" s="103" customFormat="1" ht="13.2" hidden="1" outlineLevel="1" x14ac:dyDescent="0.25">
      <c r="A5802" s="106" t="s">
        <v>11615</v>
      </c>
      <c r="B5802" s="106" t="s">
        <v>11616</v>
      </c>
      <c r="C5802" s="106"/>
      <c r="D5802" s="106"/>
      <c r="E5802" s="52"/>
    </row>
    <row r="5803" spans="1:5" s="103" customFormat="1" ht="13.2" hidden="1" outlineLevel="1" x14ac:dyDescent="0.25">
      <c r="A5803" s="106" t="s">
        <v>11617</v>
      </c>
      <c r="B5803" s="106" t="s">
        <v>11618</v>
      </c>
      <c r="C5803" s="106"/>
      <c r="D5803" s="106"/>
      <c r="E5803" s="52"/>
    </row>
    <row r="5804" spans="1:5" s="103" customFormat="1" ht="13.2" hidden="1" outlineLevel="1" x14ac:dyDescent="0.25">
      <c r="A5804" s="106" t="s">
        <v>11619</v>
      </c>
      <c r="B5804" s="106" t="s">
        <v>11620</v>
      </c>
      <c r="C5804" s="106"/>
      <c r="D5804" s="106"/>
      <c r="E5804" s="52"/>
    </row>
    <row r="5805" spans="1:5" s="103" customFormat="1" ht="13.2" hidden="1" outlineLevel="1" x14ac:dyDescent="0.25">
      <c r="A5805" s="106" t="s">
        <v>11621</v>
      </c>
      <c r="B5805" s="106" t="s">
        <v>11622</v>
      </c>
      <c r="C5805" s="106"/>
      <c r="D5805" s="106"/>
      <c r="E5805" s="52"/>
    </row>
    <row r="5806" spans="1:5" s="103" customFormat="1" ht="13.2" hidden="1" outlineLevel="1" x14ac:dyDescent="0.25">
      <c r="A5806" s="106" t="s">
        <v>11623</v>
      </c>
      <c r="B5806" s="106" t="s">
        <v>11624</v>
      </c>
      <c r="C5806" s="106"/>
      <c r="D5806" s="106"/>
      <c r="E5806" s="52"/>
    </row>
    <row r="5807" spans="1:5" s="103" customFormat="1" ht="13.2" hidden="1" outlineLevel="1" x14ac:dyDescent="0.25">
      <c r="A5807" s="106" t="s">
        <v>11625</v>
      </c>
      <c r="B5807" s="106" t="s">
        <v>11626</v>
      </c>
      <c r="C5807" s="106"/>
      <c r="D5807" s="106"/>
      <c r="E5807" s="52"/>
    </row>
    <row r="5808" spans="1:5" s="103" customFormat="1" ht="13.2" hidden="1" outlineLevel="1" x14ac:dyDescent="0.25">
      <c r="A5808" s="106" t="s">
        <v>11627</v>
      </c>
      <c r="B5808" s="106" t="s">
        <v>11628</v>
      </c>
      <c r="C5808" s="106"/>
      <c r="D5808" s="106"/>
      <c r="E5808" s="52"/>
    </row>
    <row r="5809" spans="1:5" s="103" customFormat="1" ht="13.2" hidden="1" outlineLevel="1" x14ac:dyDescent="0.25">
      <c r="A5809" s="106" t="s">
        <v>11629</v>
      </c>
      <c r="B5809" s="106" t="s">
        <v>11630</v>
      </c>
      <c r="C5809" s="106"/>
      <c r="D5809" s="106"/>
      <c r="E5809" s="52"/>
    </row>
    <row r="5810" spans="1:5" s="103" customFormat="1" ht="13.2" hidden="1" outlineLevel="1" x14ac:dyDescent="0.25">
      <c r="A5810" s="106" t="s">
        <v>11631</v>
      </c>
      <c r="B5810" s="106" t="s">
        <v>11632</v>
      </c>
      <c r="C5810" s="106"/>
      <c r="D5810" s="106"/>
      <c r="E5810" s="52"/>
    </row>
    <row r="5811" spans="1:5" s="103" customFormat="1" ht="13.2" hidden="1" outlineLevel="1" x14ac:dyDescent="0.25">
      <c r="A5811" s="106" t="s">
        <v>11633</v>
      </c>
      <c r="B5811" s="106" t="s">
        <v>11634</v>
      </c>
      <c r="C5811" s="106"/>
      <c r="D5811" s="106"/>
      <c r="E5811" s="52"/>
    </row>
    <row r="5812" spans="1:5" s="103" customFormat="1" ht="13.2" hidden="1" outlineLevel="1" x14ac:dyDescent="0.25">
      <c r="A5812" s="106" t="s">
        <v>11635</v>
      </c>
      <c r="B5812" s="106" t="s">
        <v>11636</v>
      </c>
      <c r="C5812" s="106"/>
      <c r="D5812" s="106"/>
      <c r="E5812" s="52"/>
    </row>
    <row r="5813" spans="1:5" s="103" customFormat="1" ht="13.2" hidden="1" outlineLevel="1" x14ac:dyDescent="0.25">
      <c r="A5813" s="106" t="s">
        <v>11637</v>
      </c>
      <c r="B5813" s="106" t="s">
        <v>11638</v>
      </c>
      <c r="C5813" s="106"/>
      <c r="D5813" s="106"/>
      <c r="E5813" s="52"/>
    </row>
    <row r="5814" spans="1:5" s="103" customFormat="1" ht="13.2" hidden="1" outlineLevel="1" x14ac:dyDescent="0.25">
      <c r="A5814" s="106" t="s">
        <v>11639</v>
      </c>
      <c r="B5814" s="106" t="s">
        <v>11640</v>
      </c>
      <c r="C5814" s="106"/>
      <c r="D5814" s="106"/>
      <c r="E5814" s="52"/>
    </row>
    <row r="5815" spans="1:5" s="103" customFormat="1" ht="13.2" hidden="1" outlineLevel="1" x14ac:dyDescent="0.25">
      <c r="A5815" s="106" t="s">
        <v>11641</v>
      </c>
      <c r="B5815" s="106" t="s">
        <v>11642</v>
      </c>
      <c r="C5815" s="106"/>
      <c r="D5815" s="106"/>
      <c r="E5815" s="52"/>
    </row>
    <row r="5816" spans="1:5" s="103" customFormat="1" ht="13.2" hidden="1" outlineLevel="1" x14ac:dyDescent="0.25">
      <c r="A5816" s="106" t="s">
        <v>11643</v>
      </c>
      <c r="B5816" s="106" t="s">
        <v>11644</v>
      </c>
      <c r="C5816" s="106"/>
      <c r="D5816" s="106"/>
      <c r="E5816" s="52"/>
    </row>
    <row r="5817" spans="1:5" s="103" customFormat="1" ht="13.2" hidden="1" outlineLevel="1" x14ac:dyDescent="0.25">
      <c r="A5817" s="106" t="s">
        <v>11645</v>
      </c>
      <c r="B5817" s="106" t="s">
        <v>11646</v>
      </c>
      <c r="C5817" s="106"/>
      <c r="D5817" s="106"/>
      <c r="E5817" s="52"/>
    </row>
    <row r="5818" spans="1:5" s="103" customFormat="1" ht="13.2" hidden="1" outlineLevel="1" x14ac:dyDescent="0.25">
      <c r="A5818" s="106" t="s">
        <v>11647</v>
      </c>
      <c r="B5818" s="106" t="s">
        <v>11648</v>
      </c>
      <c r="C5818" s="106"/>
      <c r="D5818" s="106"/>
      <c r="E5818" s="52"/>
    </row>
    <row r="5819" spans="1:5" s="103" customFormat="1" ht="13.2" hidden="1" outlineLevel="1" x14ac:dyDescent="0.25">
      <c r="A5819" s="106" t="s">
        <v>11649</v>
      </c>
      <c r="B5819" s="106" t="s">
        <v>11650</v>
      </c>
      <c r="C5819" s="106"/>
      <c r="D5819" s="106"/>
      <c r="E5819" s="52"/>
    </row>
    <row r="5820" spans="1:5" s="103" customFormat="1" ht="13.2" hidden="1" outlineLevel="1" x14ac:dyDescent="0.25">
      <c r="A5820" s="106" t="s">
        <v>11651</v>
      </c>
      <c r="B5820" s="106" t="s">
        <v>11652</v>
      </c>
      <c r="C5820" s="106"/>
      <c r="D5820" s="106"/>
      <c r="E5820" s="52"/>
    </row>
    <row r="5821" spans="1:5" s="103" customFormat="1" ht="13.2" hidden="1" outlineLevel="1" x14ac:dyDescent="0.25">
      <c r="A5821" s="106" t="s">
        <v>11653</v>
      </c>
      <c r="B5821" s="106" t="s">
        <v>11654</v>
      </c>
      <c r="C5821" s="106"/>
      <c r="D5821" s="106"/>
      <c r="E5821" s="52"/>
    </row>
    <row r="5822" spans="1:5" s="103" customFormat="1" ht="13.2" hidden="1" outlineLevel="1" x14ac:dyDescent="0.25">
      <c r="A5822" s="106" t="s">
        <v>11655</v>
      </c>
      <c r="B5822" s="106" t="s">
        <v>11656</v>
      </c>
      <c r="C5822" s="106"/>
      <c r="D5822" s="106"/>
      <c r="E5822" s="52"/>
    </row>
    <row r="5823" spans="1:5" s="103" customFormat="1" ht="13.2" hidden="1" outlineLevel="1" x14ac:dyDescent="0.25">
      <c r="A5823" s="106" t="s">
        <v>11657</v>
      </c>
      <c r="B5823" s="106" t="s">
        <v>11658</v>
      </c>
      <c r="C5823" s="106"/>
      <c r="D5823" s="106"/>
      <c r="E5823" s="52"/>
    </row>
    <row r="5824" spans="1:5" s="103" customFormat="1" ht="13.2" hidden="1" outlineLevel="1" x14ac:dyDescent="0.25">
      <c r="A5824" s="106" t="s">
        <v>11659</v>
      </c>
      <c r="B5824" s="106" t="s">
        <v>11660</v>
      </c>
      <c r="C5824" s="106"/>
      <c r="D5824" s="106"/>
      <c r="E5824" s="52"/>
    </row>
    <row r="5825" spans="1:5" s="103" customFormat="1" ht="13.2" hidden="1" outlineLevel="1" x14ac:dyDescent="0.25">
      <c r="A5825" s="106" t="s">
        <v>11661</v>
      </c>
      <c r="B5825" s="106" t="s">
        <v>11662</v>
      </c>
      <c r="C5825" s="106"/>
      <c r="D5825" s="106"/>
      <c r="E5825" s="52"/>
    </row>
    <row r="5826" spans="1:5" s="103" customFormat="1" ht="13.2" hidden="1" outlineLevel="1" x14ac:dyDescent="0.25">
      <c r="A5826" s="106" t="s">
        <v>11663</v>
      </c>
      <c r="B5826" s="106" t="s">
        <v>11664</v>
      </c>
      <c r="C5826" s="106"/>
      <c r="D5826" s="106"/>
      <c r="E5826" s="52"/>
    </row>
    <row r="5827" spans="1:5" s="103" customFormat="1" ht="13.2" hidden="1" outlineLevel="1" x14ac:dyDescent="0.25">
      <c r="A5827" s="106" t="s">
        <v>11665</v>
      </c>
      <c r="B5827" s="106" t="s">
        <v>11666</v>
      </c>
      <c r="C5827" s="106"/>
      <c r="D5827" s="106"/>
      <c r="E5827" s="52"/>
    </row>
    <row r="5828" spans="1:5" s="103" customFormat="1" ht="13.2" hidden="1" outlineLevel="1" x14ac:dyDescent="0.25">
      <c r="A5828" s="106" t="s">
        <v>11667</v>
      </c>
      <c r="B5828" s="106" t="s">
        <v>11668</v>
      </c>
      <c r="C5828" s="106"/>
      <c r="D5828" s="106"/>
      <c r="E5828" s="52"/>
    </row>
    <row r="5829" spans="1:5" s="103" customFormat="1" ht="13.2" hidden="1" outlineLevel="1" x14ac:dyDescent="0.25">
      <c r="A5829" s="106" t="s">
        <v>11669</v>
      </c>
      <c r="B5829" s="106" t="s">
        <v>11670</v>
      </c>
      <c r="C5829" s="106"/>
      <c r="D5829" s="106"/>
      <c r="E5829" s="52"/>
    </row>
    <row r="5830" spans="1:5" s="103" customFormat="1" ht="13.2" hidden="1" outlineLevel="1" x14ac:dyDescent="0.25">
      <c r="A5830" s="106" t="s">
        <v>11671</v>
      </c>
      <c r="B5830" s="106" t="s">
        <v>11672</v>
      </c>
      <c r="C5830" s="106"/>
      <c r="D5830" s="106"/>
      <c r="E5830" s="52"/>
    </row>
    <row r="5831" spans="1:5" s="103" customFormat="1" ht="13.2" hidden="1" outlineLevel="1" x14ac:dyDescent="0.25">
      <c r="A5831" s="106" t="s">
        <v>11673</v>
      </c>
      <c r="B5831" s="106" t="s">
        <v>11674</v>
      </c>
      <c r="C5831" s="106"/>
      <c r="D5831" s="106"/>
      <c r="E5831" s="52"/>
    </row>
    <row r="5832" spans="1:5" s="103" customFormat="1" ht="13.2" hidden="1" outlineLevel="1" x14ac:dyDescent="0.25">
      <c r="A5832" s="106" t="s">
        <v>11675</v>
      </c>
      <c r="B5832" s="106" t="s">
        <v>11676</v>
      </c>
      <c r="C5832" s="106"/>
      <c r="D5832" s="106"/>
      <c r="E5832" s="52"/>
    </row>
    <row r="5833" spans="1:5" s="103" customFormat="1" ht="13.2" hidden="1" outlineLevel="1" x14ac:dyDescent="0.25">
      <c r="A5833" s="106" t="s">
        <v>11677</v>
      </c>
      <c r="B5833" s="106" t="s">
        <v>11678</v>
      </c>
      <c r="C5833" s="106"/>
      <c r="D5833" s="106"/>
      <c r="E5833" s="52"/>
    </row>
    <row r="5834" spans="1:5" s="103" customFormat="1" ht="13.2" hidden="1" outlineLevel="1" x14ac:dyDescent="0.25">
      <c r="A5834" s="106" t="s">
        <v>11679</v>
      </c>
      <c r="B5834" s="106" t="s">
        <v>11680</v>
      </c>
      <c r="C5834" s="106"/>
      <c r="D5834" s="106"/>
      <c r="E5834" s="52"/>
    </row>
    <row r="5835" spans="1:5" s="103" customFormat="1" ht="13.2" hidden="1" outlineLevel="1" x14ac:dyDescent="0.25">
      <c r="A5835" s="106" t="s">
        <v>11681</v>
      </c>
      <c r="B5835" s="106" t="s">
        <v>11682</v>
      </c>
      <c r="C5835" s="106"/>
      <c r="D5835" s="106"/>
      <c r="E5835" s="52"/>
    </row>
    <row r="5836" spans="1:5" s="103" customFormat="1" ht="13.2" hidden="1" outlineLevel="1" x14ac:dyDescent="0.25">
      <c r="A5836" s="106" t="s">
        <v>11683</v>
      </c>
      <c r="B5836" s="106" t="s">
        <v>11684</v>
      </c>
      <c r="C5836" s="106"/>
      <c r="D5836" s="106"/>
      <c r="E5836" s="52"/>
    </row>
    <row r="5837" spans="1:5" s="103" customFormat="1" ht="13.2" hidden="1" outlineLevel="1" x14ac:dyDescent="0.25">
      <c r="A5837" s="106" t="s">
        <v>11685</v>
      </c>
      <c r="B5837" s="106" t="s">
        <v>11686</v>
      </c>
      <c r="C5837" s="106"/>
      <c r="D5837" s="106"/>
      <c r="E5837" s="52"/>
    </row>
    <row r="5838" spans="1:5" s="103" customFormat="1" ht="13.2" hidden="1" outlineLevel="1" x14ac:dyDescent="0.25">
      <c r="A5838" s="106" t="s">
        <v>11687</v>
      </c>
      <c r="B5838" s="106" t="s">
        <v>11688</v>
      </c>
      <c r="C5838" s="106"/>
      <c r="D5838" s="106"/>
      <c r="E5838" s="52"/>
    </row>
    <row r="5839" spans="1:5" s="103" customFormat="1" ht="13.2" hidden="1" outlineLevel="1" x14ac:dyDescent="0.25">
      <c r="A5839" s="106" t="s">
        <v>11689</v>
      </c>
      <c r="B5839" s="106" t="s">
        <v>11690</v>
      </c>
      <c r="C5839" s="106"/>
      <c r="D5839" s="106"/>
      <c r="E5839" s="52"/>
    </row>
    <row r="5840" spans="1:5" s="103" customFormat="1" ht="13.2" hidden="1" outlineLevel="1" x14ac:dyDescent="0.25">
      <c r="A5840" s="106" t="s">
        <v>11691</v>
      </c>
      <c r="B5840" s="106" t="s">
        <v>11692</v>
      </c>
      <c r="C5840" s="106"/>
      <c r="D5840" s="106"/>
      <c r="E5840" s="52"/>
    </row>
    <row r="5841" spans="1:5" s="103" customFormat="1" ht="13.2" hidden="1" outlineLevel="1" x14ac:dyDescent="0.25">
      <c r="A5841" s="106" t="s">
        <v>11693</v>
      </c>
      <c r="B5841" s="106" t="s">
        <v>11694</v>
      </c>
      <c r="C5841" s="106"/>
      <c r="D5841" s="106"/>
      <c r="E5841" s="52"/>
    </row>
    <row r="5842" spans="1:5" s="103" customFormat="1" ht="13.2" hidden="1" outlineLevel="1" x14ac:dyDescent="0.25">
      <c r="A5842" s="106" t="s">
        <v>11695</v>
      </c>
      <c r="B5842" s="106" t="s">
        <v>11696</v>
      </c>
      <c r="C5842" s="106"/>
      <c r="D5842" s="106"/>
      <c r="E5842" s="52"/>
    </row>
    <row r="5843" spans="1:5" s="103" customFormat="1" ht="13.2" hidden="1" outlineLevel="1" x14ac:dyDescent="0.25">
      <c r="A5843" s="106" t="s">
        <v>11697</v>
      </c>
      <c r="B5843" s="106" t="s">
        <v>11698</v>
      </c>
      <c r="C5843" s="106"/>
      <c r="D5843" s="106"/>
      <c r="E5843" s="52"/>
    </row>
    <row r="5844" spans="1:5" s="103" customFormat="1" ht="13.2" hidden="1" outlineLevel="1" x14ac:dyDescent="0.25">
      <c r="A5844" s="106" t="s">
        <v>11699</v>
      </c>
      <c r="B5844" s="106" t="s">
        <v>11700</v>
      </c>
      <c r="C5844" s="106"/>
      <c r="D5844" s="106"/>
      <c r="E5844" s="52"/>
    </row>
    <row r="5845" spans="1:5" s="103" customFormat="1" ht="13.2" hidden="1" outlineLevel="1" x14ac:dyDescent="0.25">
      <c r="A5845" s="106" t="s">
        <v>11701</v>
      </c>
      <c r="B5845" s="106" t="s">
        <v>11702</v>
      </c>
      <c r="C5845" s="106"/>
      <c r="D5845" s="106"/>
      <c r="E5845" s="52"/>
    </row>
    <row r="5846" spans="1:5" s="103" customFormat="1" ht="13.2" hidden="1" outlineLevel="1" x14ac:dyDescent="0.25">
      <c r="A5846" s="106" t="s">
        <v>11703</v>
      </c>
      <c r="B5846" s="106" t="s">
        <v>11704</v>
      </c>
      <c r="C5846" s="106"/>
      <c r="D5846" s="106"/>
      <c r="E5846" s="52"/>
    </row>
    <row r="5847" spans="1:5" s="103" customFormat="1" ht="13.2" hidden="1" outlineLevel="1" x14ac:dyDescent="0.25">
      <c r="A5847" s="106" t="s">
        <v>11705</v>
      </c>
      <c r="B5847" s="106" t="s">
        <v>11706</v>
      </c>
      <c r="C5847" s="106"/>
      <c r="D5847" s="106"/>
      <c r="E5847" s="52"/>
    </row>
    <row r="5848" spans="1:5" s="103" customFormat="1" ht="13.2" hidden="1" outlineLevel="1" x14ac:dyDescent="0.25">
      <c r="A5848" s="106" t="s">
        <v>11707</v>
      </c>
      <c r="B5848" s="106" t="s">
        <v>11708</v>
      </c>
      <c r="C5848" s="106"/>
      <c r="D5848" s="106"/>
      <c r="E5848" s="52"/>
    </row>
    <row r="5849" spans="1:5" s="103" customFormat="1" ht="13.2" hidden="1" outlineLevel="1" x14ac:dyDescent="0.25">
      <c r="A5849" s="106" t="s">
        <v>11709</v>
      </c>
      <c r="B5849" s="106" t="s">
        <v>11710</v>
      </c>
      <c r="C5849" s="106"/>
      <c r="D5849" s="106"/>
      <c r="E5849" s="52"/>
    </row>
    <row r="5850" spans="1:5" s="103" customFormat="1" ht="13.2" hidden="1" outlineLevel="1" x14ac:dyDescent="0.25">
      <c r="A5850" s="106" t="s">
        <v>11711</v>
      </c>
      <c r="B5850" s="106" t="s">
        <v>11712</v>
      </c>
      <c r="C5850" s="106"/>
      <c r="D5850" s="106"/>
      <c r="E5850" s="52"/>
    </row>
    <row r="5851" spans="1:5" s="103" customFormat="1" ht="13.2" hidden="1" outlineLevel="1" x14ac:dyDescent="0.25">
      <c r="A5851" s="106" t="s">
        <v>11713</v>
      </c>
      <c r="B5851" s="106" t="s">
        <v>11714</v>
      </c>
      <c r="C5851" s="106"/>
      <c r="D5851" s="106"/>
      <c r="E5851" s="52"/>
    </row>
    <row r="5852" spans="1:5" s="103" customFormat="1" ht="13.2" hidden="1" outlineLevel="1" x14ac:dyDescent="0.25">
      <c r="A5852" s="106" t="s">
        <v>11715</v>
      </c>
      <c r="B5852" s="106" t="s">
        <v>11716</v>
      </c>
      <c r="C5852" s="106"/>
      <c r="D5852" s="106"/>
      <c r="E5852" s="52"/>
    </row>
    <row r="5853" spans="1:5" s="103" customFormat="1" ht="13.2" hidden="1" outlineLevel="1" x14ac:dyDescent="0.25">
      <c r="A5853" s="106" t="s">
        <v>11717</v>
      </c>
      <c r="B5853" s="106" t="s">
        <v>11718</v>
      </c>
      <c r="C5853" s="106"/>
      <c r="D5853" s="106"/>
      <c r="E5853" s="52"/>
    </row>
    <row r="5854" spans="1:5" s="103" customFormat="1" ht="13.2" hidden="1" outlineLevel="1" x14ac:dyDescent="0.25">
      <c r="A5854" s="106" t="s">
        <v>11719</v>
      </c>
      <c r="B5854" s="106" t="s">
        <v>11720</v>
      </c>
      <c r="C5854" s="106"/>
      <c r="D5854" s="106"/>
      <c r="E5854" s="52"/>
    </row>
    <row r="5855" spans="1:5" s="103" customFormat="1" ht="13.2" hidden="1" outlineLevel="1" x14ac:dyDescent="0.25">
      <c r="A5855" s="106" t="s">
        <v>11721</v>
      </c>
      <c r="B5855" s="106" t="s">
        <v>11722</v>
      </c>
      <c r="C5855" s="106"/>
      <c r="D5855" s="106"/>
      <c r="E5855" s="52"/>
    </row>
    <row r="5856" spans="1:5" s="103" customFormat="1" ht="13.2" hidden="1" outlineLevel="1" x14ac:dyDescent="0.25">
      <c r="A5856" s="106" t="s">
        <v>11723</v>
      </c>
      <c r="B5856" s="106" t="s">
        <v>11724</v>
      </c>
      <c r="C5856" s="106"/>
      <c r="D5856" s="106"/>
      <c r="E5856" s="52"/>
    </row>
    <row r="5857" spans="1:5" s="103" customFormat="1" ht="13.2" hidden="1" outlineLevel="1" x14ac:dyDescent="0.25">
      <c r="A5857" s="106" t="s">
        <v>11725</v>
      </c>
      <c r="B5857" s="106" t="s">
        <v>11726</v>
      </c>
      <c r="C5857" s="106"/>
      <c r="D5857" s="106"/>
      <c r="E5857" s="52"/>
    </row>
    <row r="5858" spans="1:5" s="103" customFormat="1" ht="13.2" hidden="1" outlineLevel="1" x14ac:dyDescent="0.25">
      <c r="A5858" s="106" t="s">
        <v>11727</v>
      </c>
      <c r="B5858" s="106" t="s">
        <v>11728</v>
      </c>
      <c r="C5858" s="106"/>
      <c r="D5858" s="106"/>
      <c r="E5858" s="52"/>
    </row>
    <row r="5859" spans="1:5" s="103" customFormat="1" ht="13.2" hidden="1" outlineLevel="1" x14ac:dyDescent="0.25">
      <c r="A5859" s="106" t="s">
        <v>11729</v>
      </c>
      <c r="B5859" s="106" t="s">
        <v>11730</v>
      </c>
      <c r="C5859" s="106"/>
      <c r="D5859" s="106"/>
      <c r="E5859" s="52"/>
    </row>
    <row r="5860" spans="1:5" s="103" customFormat="1" ht="13.2" hidden="1" outlineLevel="1" x14ac:dyDescent="0.25">
      <c r="A5860" s="106" t="s">
        <v>11731</v>
      </c>
      <c r="B5860" s="106" t="s">
        <v>11732</v>
      </c>
      <c r="C5860" s="106"/>
      <c r="D5860" s="106"/>
      <c r="E5860" s="52"/>
    </row>
    <row r="5861" spans="1:5" s="103" customFormat="1" ht="13.2" hidden="1" outlineLevel="1" x14ac:dyDescent="0.25">
      <c r="A5861" s="106" t="s">
        <v>11733</v>
      </c>
      <c r="B5861" s="106" t="s">
        <v>11734</v>
      </c>
      <c r="C5861" s="106"/>
      <c r="D5861" s="106"/>
      <c r="E5861" s="52"/>
    </row>
    <row r="5862" spans="1:5" s="103" customFormat="1" ht="13.2" hidden="1" outlineLevel="1" x14ac:dyDescent="0.25">
      <c r="A5862" s="106" t="s">
        <v>11735</v>
      </c>
      <c r="B5862" s="106" t="s">
        <v>11736</v>
      </c>
      <c r="C5862" s="106"/>
      <c r="D5862" s="106"/>
      <c r="E5862" s="52"/>
    </row>
    <row r="5863" spans="1:5" s="103" customFormat="1" ht="13.2" hidden="1" outlineLevel="1" x14ac:dyDescent="0.25">
      <c r="A5863" s="106" t="s">
        <v>11737</v>
      </c>
      <c r="B5863" s="106" t="s">
        <v>11738</v>
      </c>
      <c r="C5863" s="106"/>
      <c r="D5863" s="106"/>
      <c r="E5863" s="52"/>
    </row>
    <row r="5864" spans="1:5" s="103" customFormat="1" ht="13.2" hidden="1" outlineLevel="1" x14ac:dyDescent="0.25">
      <c r="A5864" s="106" t="s">
        <v>11739</v>
      </c>
      <c r="B5864" s="106" t="s">
        <v>11740</v>
      </c>
      <c r="C5864" s="106"/>
      <c r="D5864" s="106"/>
      <c r="E5864" s="52"/>
    </row>
    <row r="5865" spans="1:5" s="103" customFormat="1" ht="13.2" hidden="1" outlineLevel="1" x14ac:dyDescent="0.25">
      <c r="A5865" s="106" t="s">
        <v>11741</v>
      </c>
      <c r="B5865" s="106" t="s">
        <v>11742</v>
      </c>
      <c r="C5865" s="106"/>
      <c r="D5865" s="106"/>
      <c r="E5865" s="52"/>
    </row>
    <row r="5866" spans="1:5" s="103" customFormat="1" ht="13.2" hidden="1" outlineLevel="1" x14ac:dyDescent="0.25">
      <c r="A5866" s="106" t="s">
        <v>11743</v>
      </c>
      <c r="B5866" s="106" t="s">
        <v>11744</v>
      </c>
      <c r="C5866" s="106"/>
      <c r="D5866" s="106"/>
      <c r="E5866" s="52"/>
    </row>
    <row r="5867" spans="1:5" s="103" customFormat="1" ht="13.2" hidden="1" outlineLevel="1" x14ac:dyDescent="0.25">
      <c r="A5867" s="106" t="s">
        <v>11745</v>
      </c>
      <c r="B5867" s="106" t="s">
        <v>11746</v>
      </c>
      <c r="C5867" s="106"/>
      <c r="D5867" s="106"/>
      <c r="E5867" s="52"/>
    </row>
    <row r="5868" spans="1:5" s="103" customFormat="1" ht="13.2" hidden="1" outlineLevel="1" x14ac:dyDescent="0.25">
      <c r="A5868" s="106" t="s">
        <v>11747</v>
      </c>
      <c r="B5868" s="106" t="s">
        <v>11748</v>
      </c>
      <c r="C5868" s="106"/>
      <c r="D5868" s="106"/>
      <c r="E5868" s="52"/>
    </row>
    <row r="5869" spans="1:5" s="103" customFormat="1" ht="13.2" hidden="1" outlineLevel="1" x14ac:dyDescent="0.25">
      <c r="A5869" s="106" t="s">
        <v>11749</v>
      </c>
      <c r="B5869" s="106" t="s">
        <v>11750</v>
      </c>
      <c r="C5869" s="106"/>
      <c r="D5869" s="106"/>
      <c r="E5869" s="52"/>
    </row>
    <row r="5870" spans="1:5" s="103" customFormat="1" ht="13.2" hidden="1" outlineLevel="1" x14ac:dyDescent="0.25">
      <c r="A5870" s="106" t="s">
        <v>11751</v>
      </c>
      <c r="B5870" s="106" t="s">
        <v>11752</v>
      </c>
      <c r="C5870" s="106"/>
      <c r="D5870" s="106"/>
      <c r="E5870" s="52"/>
    </row>
    <row r="5871" spans="1:5" s="103" customFormat="1" ht="13.2" hidden="1" outlineLevel="1" x14ac:dyDescent="0.25">
      <c r="A5871" s="106" t="s">
        <v>11753</v>
      </c>
      <c r="B5871" s="106" t="s">
        <v>11754</v>
      </c>
      <c r="C5871" s="106"/>
      <c r="D5871" s="106"/>
      <c r="E5871" s="52"/>
    </row>
    <row r="5872" spans="1:5" s="103" customFormat="1" ht="13.2" hidden="1" outlineLevel="1" x14ac:dyDescent="0.25">
      <c r="A5872" s="106" t="s">
        <v>11755</v>
      </c>
      <c r="B5872" s="106" t="s">
        <v>11756</v>
      </c>
      <c r="C5872" s="106"/>
      <c r="D5872" s="106"/>
      <c r="E5872" s="52"/>
    </row>
    <row r="5873" spans="1:5" s="103" customFormat="1" ht="13.2" hidden="1" outlineLevel="1" x14ac:dyDescent="0.25">
      <c r="A5873" s="106" t="s">
        <v>11757</v>
      </c>
      <c r="B5873" s="106" t="s">
        <v>11758</v>
      </c>
      <c r="C5873" s="106"/>
      <c r="D5873" s="106"/>
      <c r="E5873" s="52"/>
    </row>
    <row r="5874" spans="1:5" s="103" customFormat="1" ht="13.2" hidden="1" outlineLevel="1" x14ac:dyDescent="0.25">
      <c r="A5874" s="106" t="s">
        <v>11759</v>
      </c>
      <c r="B5874" s="106" t="s">
        <v>11760</v>
      </c>
      <c r="C5874" s="106"/>
      <c r="D5874" s="106"/>
      <c r="E5874" s="52"/>
    </row>
    <row r="5875" spans="1:5" s="103" customFormat="1" ht="13.2" hidden="1" outlineLevel="1" x14ac:dyDescent="0.25">
      <c r="A5875" s="106" t="s">
        <v>11761</v>
      </c>
      <c r="B5875" s="106" t="s">
        <v>11762</v>
      </c>
      <c r="C5875" s="106"/>
      <c r="D5875" s="106"/>
      <c r="E5875" s="52"/>
    </row>
    <row r="5876" spans="1:5" s="103" customFormat="1" ht="13.2" hidden="1" outlineLevel="1" x14ac:dyDescent="0.25">
      <c r="A5876" s="106" t="s">
        <v>11763</v>
      </c>
      <c r="B5876" s="106" t="s">
        <v>11764</v>
      </c>
      <c r="C5876" s="106"/>
      <c r="D5876" s="106"/>
      <c r="E5876" s="52"/>
    </row>
    <row r="5877" spans="1:5" s="103" customFormat="1" ht="13.2" hidden="1" outlineLevel="1" x14ac:dyDescent="0.25">
      <c r="A5877" s="106" t="s">
        <v>11765</v>
      </c>
      <c r="B5877" s="106" t="s">
        <v>11766</v>
      </c>
      <c r="C5877" s="106"/>
      <c r="D5877" s="106"/>
      <c r="E5877" s="52"/>
    </row>
    <row r="5878" spans="1:5" s="103" customFormat="1" ht="13.2" hidden="1" outlineLevel="1" x14ac:dyDescent="0.25">
      <c r="A5878" s="106" t="s">
        <v>11767</v>
      </c>
      <c r="B5878" s="106" t="s">
        <v>11768</v>
      </c>
      <c r="C5878" s="106"/>
      <c r="D5878" s="106"/>
      <c r="E5878" s="52"/>
    </row>
    <row r="5879" spans="1:5" s="103" customFormat="1" ht="13.2" hidden="1" outlineLevel="1" x14ac:dyDescent="0.25">
      <c r="A5879" s="106" t="s">
        <v>11769</v>
      </c>
      <c r="B5879" s="106" t="s">
        <v>11770</v>
      </c>
      <c r="C5879" s="106"/>
      <c r="D5879" s="106"/>
      <c r="E5879" s="52"/>
    </row>
    <row r="5880" spans="1:5" s="103" customFormat="1" ht="13.2" hidden="1" outlineLevel="1" x14ac:dyDescent="0.25">
      <c r="A5880" s="106" t="s">
        <v>11771</v>
      </c>
      <c r="B5880" s="106" t="s">
        <v>11772</v>
      </c>
      <c r="C5880" s="106"/>
      <c r="D5880" s="106"/>
      <c r="E5880" s="52"/>
    </row>
    <row r="5881" spans="1:5" s="103" customFormat="1" ht="13.2" hidden="1" outlineLevel="1" x14ac:dyDescent="0.25">
      <c r="A5881" s="106" t="s">
        <v>11773</v>
      </c>
      <c r="B5881" s="106" t="s">
        <v>11774</v>
      </c>
      <c r="C5881" s="106"/>
      <c r="D5881" s="106"/>
      <c r="E5881" s="52"/>
    </row>
    <row r="5882" spans="1:5" s="103" customFormat="1" ht="13.2" hidden="1" outlineLevel="1" x14ac:dyDescent="0.25">
      <c r="A5882" s="106" t="s">
        <v>11775</v>
      </c>
      <c r="B5882" s="106" t="s">
        <v>11776</v>
      </c>
      <c r="C5882" s="106"/>
      <c r="D5882" s="106"/>
      <c r="E5882" s="52"/>
    </row>
    <row r="5883" spans="1:5" s="103" customFormat="1" ht="13.2" hidden="1" outlineLevel="1" x14ac:dyDescent="0.25">
      <c r="A5883" s="106" t="s">
        <v>11777</v>
      </c>
      <c r="B5883" s="106" t="s">
        <v>11778</v>
      </c>
      <c r="C5883" s="106"/>
      <c r="D5883" s="106"/>
      <c r="E5883" s="52"/>
    </row>
    <row r="5884" spans="1:5" s="103" customFormat="1" ht="13.2" hidden="1" outlineLevel="1" x14ac:dyDescent="0.25">
      <c r="A5884" s="106" t="s">
        <v>11779</v>
      </c>
      <c r="B5884" s="106" t="s">
        <v>11780</v>
      </c>
      <c r="C5884" s="106"/>
      <c r="D5884" s="106"/>
      <c r="E5884" s="52"/>
    </row>
    <row r="5885" spans="1:5" s="103" customFormat="1" ht="13.2" hidden="1" outlineLevel="1" x14ac:dyDescent="0.25">
      <c r="A5885" s="106" t="s">
        <v>11781</v>
      </c>
      <c r="B5885" s="106" t="s">
        <v>11782</v>
      </c>
      <c r="C5885" s="106"/>
      <c r="D5885" s="106"/>
      <c r="E5885" s="52"/>
    </row>
    <row r="5886" spans="1:5" s="103" customFormat="1" ht="13.2" hidden="1" outlineLevel="1" x14ac:dyDescent="0.25">
      <c r="A5886" s="106" t="s">
        <v>11783</v>
      </c>
      <c r="B5886" s="106" t="s">
        <v>11784</v>
      </c>
      <c r="C5886" s="106"/>
      <c r="D5886" s="106"/>
      <c r="E5886" s="52"/>
    </row>
    <row r="5887" spans="1:5" s="103" customFormat="1" ht="13.2" hidden="1" outlineLevel="1" x14ac:dyDescent="0.25">
      <c r="A5887" s="106" t="s">
        <v>11785</v>
      </c>
      <c r="B5887" s="106" t="s">
        <v>11786</v>
      </c>
      <c r="C5887" s="106"/>
      <c r="D5887" s="106"/>
      <c r="E5887" s="52"/>
    </row>
    <row r="5888" spans="1:5" s="103" customFormat="1" ht="13.2" hidden="1" outlineLevel="1" x14ac:dyDescent="0.25">
      <c r="A5888" s="106" t="s">
        <v>11787</v>
      </c>
      <c r="B5888" s="106" t="s">
        <v>11788</v>
      </c>
      <c r="C5888" s="106"/>
      <c r="D5888" s="106"/>
      <c r="E5888" s="52"/>
    </row>
    <row r="5889" spans="1:5" s="103" customFormat="1" ht="13.2" hidden="1" outlineLevel="1" x14ac:dyDescent="0.25">
      <c r="A5889" s="106" t="s">
        <v>11789</v>
      </c>
      <c r="B5889" s="106" t="s">
        <v>11790</v>
      </c>
      <c r="C5889" s="106"/>
      <c r="D5889" s="106"/>
      <c r="E5889" s="52"/>
    </row>
    <row r="5890" spans="1:5" s="103" customFormat="1" ht="13.2" hidden="1" outlineLevel="1" x14ac:dyDescent="0.25">
      <c r="A5890" s="106" t="s">
        <v>11791</v>
      </c>
      <c r="B5890" s="106" t="s">
        <v>11792</v>
      </c>
      <c r="C5890" s="106"/>
      <c r="D5890" s="106"/>
      <c r="E5890" s="52"/>
    </row>
    <row r="5891" spans="1:5" s="103" customFormat="1" ht="13.2" hidden="1" outlineLevel="1" x14ac:dyDescent="0.25">
      <c r="A5891" s="106" t="s">
        <v>11793</v>
      </c>
      <c r="B5891" s="106" t="s">
        <v>11794</v>
      </c>
      <c r="C5891" s="106"/>
      <c r="D5891" s="106"/>
      <c r="E5891" s="52"/>
    </row>
    <row r="5892" spans="1:5" s="103" customFormat="1" ht="13.2" hidden="1" outlineLevel="1" x14ac:dyDescent="0.25">
      <c r="A5892" s="106" t="s">
        <v>11795</v>
      </c>
      <c r="B5892" s="106" t="s">
        <v>11796</v>
      </c>
      <c r="C5892" s="106"/>
      <c r="D5892" s="106"/>
      <c r="E5892" s="52"/>
    </row>
    <row r="5893" spans="1:5" s="103" customFormat="1" ht="13.2" hidden="1" outlineLevel="1" x14ac:dyDescent="0.25">
      <c r="A5893" s="106" t="s">
        <v>11797</v>
      </c>
      <c r="B5893" s="106" t="s">
        <v>11798</v>
      </c>
      <c r="C5893" s="106"/>
      <c r="D5893" s="106"/>
      <c r="E5893" s="52"/>
    </row>
    <row r="5894" spans="1:5" s="103" customFormat="1" ht="13.2" hidden="1" outlineLevel="1" x14ac:dyDescent="0.25">
      <c r="A5894" s="106" t="s">
        <v>11799</v>
      </c>
      <c r="B5894" s="106" t="s">
        <v>11800</v>
      </c>
      <c r="C5894" s="106"/>
      <c r="D5894" s="106"/>
      <c r="E5894" s="52"/>
    </row>
    <row r="5895" spans="1:5" s="103" customFormat="1" ht="13.2" hidden="1" outlineLevel="1" x14ac:dyDescent="0.25">
      <c r="A5895" s="106" t="s">
        <v>11801</v>
      </c>
      <c r="B5895" s="106" t="s">
        <v>11802</v>
      </c>
      <c r="C5895" s="106"/>
      <c r="D5895" s="106"/>
      <c r="E5895" s="52"/>
    </row>
    <row r="5896" spans="1:5" s="103" customFormat="1" ht="13.2" hidden="1" outlineLevel="1" x14ac:dyDescent="0.25">
      <c r="A5896" s="106" t="s">
        <v>11803</v>
      </c>
      <c r="B5896" s="106" t="s">
        <v>11804</v>
      </c>
      <c r="C5896" s="106"/>
      <c r="D5896" s="106"/>
      <c r="E5896" s="52"/>
    </row>
    <row r="5897" spans="1:5" s="103" customFormat="1" ht="13.2" hidden="1" outlineLevel="1" x14ac:dyDescent="0.25">
      <c r="A5897" s="106" t="s">
        <v>11805</v>
      </c>
      <c r="B5897" s="106" t="s">
        <v>11806</v>
      </c>
      <c r="C5897" s="106"/>
      <c r="D5897" s="106"/>
      <c r="E5897" s="52"/>
    </row>
    <row r="5898" spans="1:5" s="103" customFormat="1" ht="13.2" hidden="1" outlineLevel="1" x14ac:dyDescent="0.25">
      <c r="A5898" s="106" t="s">
        <v>11807</v>
      </c>
      <c r="B5898" s="106" t="s">
        <v>11808</v>
      </c>
      <c r="C5898" s="106"/>
      <c r="D5898" s="106"/>
      <c r="E5898" s="52"/>
    </row>
    <row r="5899" spans="1:5" s="103" customFormat="1" ht="13.2" hidden="1" outlineLevel="1" x14ac:dyDescent="0.25">
      <c r="A5899" s="106" t="s">
        <v>11809</v>
      </c>
      <c r="B5899" s="106" t="s">
        <v>11810</v>
      </c>
      <c r="C5899" s="106"/>
      <c r="D5899" s="106"/>
      <c r="E5899" s="52"/>
    </row>
    <row r="5900" spans="1:5" s="103" customFormat="1" ht="13.2" hidden="1" outlineLevel="1" x14ac:dyDescent="0.25">
      <c r="A5900" s="106" t="s">
        <v>11811</v>
      </c>
      <c r="B5900" s="106" t="s">
        <v>11812</v>
      </c>
      <c r="C5900" s="106"/>
      <c r="D5900" s="106"/>
      <c r="E5900" s="52"/>
    </row>
    <row r="5901" spans="1:5" s="103" customFormat="1" ht="13.2" hidden="1" outlineLevel="1" x14ac:dyDescent="0.25">
      <c r="A5901" s="106" t="s">
        <v>11813</v>
      </c>
      <c r="B5901" s="106" t="s">
        <v>11814</v>
      </c>
      <c r="C5901" s="106"/>
      <c r="D5901" s="106"/>
      <c r="E5901" s="52"/>
    </row>
    <row r="5902" spans="1:5" s="103" customFormat="1" ht="13.2" hidden="1" outlineLevel="1" x14ac:dyDescent="0.25">
      <c r="A5902" s="106" t="s">
        <v>11815</v>
      </c>
      <c r="B5902" s="106" t="s">
        <v>11816</v>
      </c>
      <c r="C5902" s="106"/>
      <c r="D5902" s="106"/>
      <c r="E5902" s="52"/>
    </row>
    <row r="5903" spans="1:5" s="103" customFormat="1" ht="13.2" hidden="1" outlineLevel="1" x14ac:dyDescent="0.25">
      <c r="A5903" s="106" t="s">
        <v>11817</v>
      </c>
      <c r="B5903" s="106" t="s">
        <v>11818</v>
      </c>
      <c r="C5903" s="106"/>
      <c r="D5903" s="106"/>
      <c r="E5903" s="52"/>
    </row>
    <row r="5904" spans="1:5" s="103" customFormat="1" ht="13.2" hidden="1" outlineLevel="1" x14ac:dyDescent="0.25">
      <c r="A5904" s="106" t="s">
        <v>11819</v>
      </c>
      <c r="B5904" s="106" t="s">
        <v>11820</v>
      </c>
      <c r="C5904" s="106"/>
      <c r="D5904" s="106"/>
      <c r="E5904" s="52"/>
    </row>
    <row r="5905" spans="1:5" s="103" customFormat="1" ht="13.2" hidden="1" outlineLevel="1" x14ac:dyDescent="0.25">
      <c r="A5905" s="106" t="s">
        <v>11821</v>
      </c>
      <c r="B5905" s="106" t="s">
        <v>11822</v>
      </c>
      <c r="C5905" s="106"/>
      <c r="D5905" s="106"/>
      <c r="E5905" s="52"/>
    </row>
    <row r="5906" spans="1:5" s="103" customFormat="1" ht="13.2" hidden="1" outlineLevel="1" x14ac:dyDescent="0.25">
      <c r="A5906" s="106" t="s">
        <v>11823</v>
      </c>
      <c r="B5906" s="106" t="s">
        <v>11824</v>
      </c>
      <c r="C5906" s="106"/>
      <c r="D5906" s="106"/>
      <c r="E5906" s="52"/>
    </row>
    <row r="5907" spans="1:5" s="103" customFormat="1" ht="13.2" hidden="1" outlineLevel="1" x14ac:dyDescent="0.25">
      <c r="A5907" s="106" t="s">
        <v>11825</v>
      </c>
      <c r="B5907" s="106" t="s">
        <v>11826</v>
      </c>
      <c r="C5907" s="106"/>
      <c r="D5907" s="106"/>
      <c r="E5907" s="52"/>
    </row>
    <row r="5908" spans="1:5" s="103" customFormat="1" ht="13.2" hidden="1" outlineLevel="1" x14ac:dyDescent="0.25">
      <c r="A5908" s="106" t="s">
        <v>11827</v>
      </c>
      <c r="B5908" s="106" t="s">
        <v>11828</v>
      </c>
      <c r="C5908" s="106"/>
      <c r="D5908" s="106"/>
      <c r="E5908" s="52"/>
    </row>
    <row r="5909" spans="1:5" s="103" customFormat="1" ht="13.2" hidden="1" outlineLevel="1" x14ac:dyDescent="0.25">
      <c r="A5909" s="106" t="s">
        <v>11829</v>
      </c>
      <c r="B5909" s="106" t="s">
        <v>11830</v>
      </c>
      <c r="C5909" s="106"/>
      <c r="D5909" s="106"/>
      <c r="E5909" s="52"/>
    </row>
    <row r="5910" spans="1:5" s="103" customFormat="1" ht="13.2" hidden="1" outlineLevel="1" x14ac:dyDescent="0.25">
      <c r="A5910" s="106" t="s">
        <v>11831</v>
      </c>
      <c r="B5910" s="106" t="s">
        <v>11832</v>
      </c>
      <c r="C5910" s="106"/>
      <c r="D5910" s="106"/>
      <c r="E5910" s="52"/>
    </row>
    <row r="5911" spans="1:5" s="103" customFormat="1" ht="13.2" hidden="1" outlineLevel="1" x14ac:dyDescent="0.25">
      <c r="A5911" s="106" t="s">
        <v>11833</v>
      </c>
      <c r="B5911" s="106" t="s">
        <v>11834</v>
      </c>
      <c r="C5911" s="106"/>
      <c r="D5911" s="106"/>
      <c r="E5911" s="52"/>
    </row>
    <row r="5912" spans="1:5" s="103" customFormat="1" ht="13.2" hidden="1" outlineLevel="1" x14ac:dyDescent="0.25">
      <c r="A5912" s="106" t="s">
        <v>11835</v>
      </c>
      <c r="B5912" s="106" t="s">
        <v>11836</v>
      </c>
      <c r="C5912" s="106"/>
      <c r="D5912" s="106"/>
      <c r="E5912" s="52"/>
    </row>
    <row r="5913" spans="1:5" s="103" customFormat="1" ht="13.2" hidden="1" outlineLevel="1" x14ac:dyDescent="0.25">
      <c r="A5913" s="106" t="s">
        <v>11837</v>
      </c>
      <c r="B5913" s="106" t="s">
        <v>11838</v>
      </c>
      <c r="C5913" s="106"/>
      <c r="D5913" s="106"/>
      <c r="E5913" s="52"/>
    </row>
    <row r="5914" spans="1:5" s="103" customFormat="1" ht="13.2" hidden="1" outlineLevel="1" x14ac:dyDescent="0.25">
      <c r="A5914" s="106" t="s">
        <v>11839</v>
      </c>
      <c r="B5914" s="106" t="s">
        <v>11840</v>
      </c>
      <c r="C5914" s="106"/>
      <c r="D5914" s="106"/>
      <c r="E5914" s="52"/>
    </row>
    <row r="5915" spans="1:5" s="103" customFormat="1" ht="13.2" hidden="1" outlineLevel="1" x14ac:dyDescent="0.25">
      <c r="A5915" s="106" t="s">
        <v>11841</v>
      </c>
      <c r="B5915" s="106" t="s">
        <v>11842</v>
      </c>
      <c r="C5915" s="106"/>
      <c r="D5915" s="106"/>
      <c r="E5915" s="52"/>
    </row>
    <row r="5916" spans="1:5" s="103" customFormat="1" ht="13.2" hidden="1" outlineLevel="1" x14ac:dyDescent="0.25">
      <c r="A5916" s="106" t="s">
        <v>11843</v>
      </c>
      <c r="B5916" s="106" t="s">
        <v>11844</v>
      </c>
      <c r="C5916" s="106"/>
      <c r="D5916" s="106"/>
      <c r="E5916" s="52"/>
    </row>
    <row r="5917" spans="1:5" s="103" customFormat="1" ht="13.2" hidden="1" outlineLevel="1" x14ac:dyDescent="0.25">
      <c r="A5917" s="106" t="s">
        <v>11845</v>
      </c>
      <c r="B5917" s="106" t="s">
        <v>11846</v>
      </c>
      <c r="C5917" s="106"/>
      <c r="D5917" s="106"/>
      <c r="E5917" s="52"/>
    </row>
    <row r="5918" spans="1:5" s="103" customFormat="1" ht="13.2" hidden="1" outlineLevel="1" x14ac:dyDescent="0.25">
      <c r="A5918" s="106" t="s">
        <v>11847</v>
      </c>
      <c r="B5918" s="106" t="s">
        <v>11848</v>
      </c>
      <c r="C5918" s="106"/>
      <c r="D5918" s="106"/>
      <c r="E5918" s="52"/>
    </row>
    <row r="5919" spans="1:5" s="103" customFormat="1" ht="13.2" hidden="1" outlineLevel="1" x14ac:dyDescent="0.25">
      <c r="A5919" s="106" t="s">
        <v>11849</v>
      </c>
      <c r="B5919" s="106" t="s">
        <v>11850</v>
      </c>
      <c r="C5919" s="106"/>
      <c r="D5919" s="106"/>
      <c r="E5919" s="52"/>
    </row>
    <row r="5920" spans="1:5" s="103" customFormat="1" ht="13.2" hidden="1" outlineLevel="1" x14ac:dyDescent="0.25">
      <c r="A5920" s="106" t="s">
        <v>11851</v>
      </c>
      <c r="B5920" s="106" t="s">
        <v>11852</v>
      </c>
      <c r="C5920" s="106"/>
      <c r="D5920" s="106"/>
      <c r="E5920" s="52"/>
    </row>
    <row r="5921" spans="1:5" s="103" customFormat="1" ht="13.2" hidden="1" outlineLevel="1" x14ac:dyDescent="0.25">
      <c r="A5921" s="106" t="s">
        <v>11853</v>
      </c>
      <c r="B5921" s="106" t="s">
        <v>11854</v>
      </c>
      <c r="C5921" s="106"/>
      <c r="D5921" s="106"/>
      <c r="E5921" s="52"/>
    </row>
    <row r="5922" spans="1:5" s="103" customFormat="1" ht="13.2" hidden="1" outlineLevel="1" x14ac:dyDescent="0.25">
      <c r="A5922" s="106" t="s">
        <v>11855</v>
      </c>
      <c r="B5922" s="106" t="s">
        <v>11856</v>
      </c>
      <c r="C5922" s="106"/>
      <c r="D5922" s="106"/>
      <c r="E5922" s="52"/>
    </row>
    <row r="5923" spans="1:5" s="103" customFormat="1" ht="13.2" hidden="1" outlineLevel="1" x14ac:dyDescent="0.25">
      <c r="A5923" s="106" t="s">
        <v>11857</v>
      </c>
      <c r="B5923" s="106" t="s">
        <v>11858</v>
      </c>
      <c r="C5923" s="106"/>
      <c r="D5923" s="106"/>
      <c r="E5923" s="52"/>
    </row>
    <row r="5924" spans="1:5" s="103" customFormat="1" ht="13.2" hidden="1" outlineLevel="1" x14ac:dyDescent="0.25">
      <c r="A5924" s="106" t="s">
        <v>11859</v>
      </c>
      <c r="B5924" s="106" t="s">
        <v>11860</v>
      </c>
      <c r="C5924" s="106"/>
      <c r="D5924" s="106"/>
      <c r="E5924" s="52"/>
    </row>
    <row r="5925" spans="1:5" s="103" customFormat="1" ht="13.2" hidden="1" outlineLevel="1" x14ac:dyDescent="0.25">
      <c r="A5925" s="106" t="s">
        <v>11861</v>
      </c>
      <c r="B5925" s="106" t="s">
        <v>11862</v>
      </c>
      <c r="C5925" s="106"/>
      <c r="D5925" s="106"/>
      <c r="E5925" s="52"/>
    </row>
    <row r="5926" spans="1:5" s="103" customFormat="1" ht="13.2" hidden="1" outlineLevel="1" x14ac:dyDescent="0.25">
      <c r="A5926" s="106" t="s">
        <v>11863</v>
      </c>
      <c r="B5926" s="106" t="s">
        <v>11864</v>
      </c>
      <c r="C5926" s="106"/>
      <c r="D5926" s="106"/>
      <c r="E5926" s="52"/>
    </row>
    <row r="5927" spans="1:5" s="103" customFormat="1" ht="13.2" hidden="1" outlineLevel="1" x14ac:dyDescent="0.25">
      <c r="A5927" s="106" t="s">
        <v>11865</v>
      </c>
      <c r="B5927" s="106" t="s">
        <v>11866</v>
      </c>
      <c r="C5927" s="106"/>
      <c r="D5927" s="106"/>
      <c r="E5927" s="52"/>
    </row>
    <row r="5928" spans="1:5" s="103" customFormat="1" ht="13.2" hidden="1" outlineLevel="1" x14ac:dyDescent="0.25">
      <c r="A5928" s="106" t="s">
        <v>11867</v>
      </c>
      <c r="B5928" s="106" t="s">
        <v>11868</v>
      </c>
      <c r="C5928" s="106"/>
      <c r="D5928" s="106"/>
      <c r="E5928" s="52"/>
    </row>
    <row r="5929" spans="1:5" s="103" customFormat="1" ht="13.2" hidden="1" outlineLevel="1" x14ac:dyDescent="0.25">
      <c r="A5929" s="106" t="s">
        <v>11869</v>
      </c>
      <c r="B5929" s="106" t="s">
        <v>11870</v>
      </c>
      <c r="C5929" s="106"/>
      <c r="D5929" s="106"/>
      <c r="E5929" s="52"/>
    </row>
    <row r="5930" spans="1:5" s="103" customFormat="1" ht="13.2" hidden="1" outlineLevel="1" x14ac:dyDescent="0.25">
      <c r="A5930" s="106" t="s">
        <v>11871</v>
      </c>
      <c r="B5930" s="106" t="s">
        <v>11872</v>
      </c>
      <c r="C5930" s="106"/>
      <c r="D5930" s="106"/>
      <c r="E5930" s="52"/>
    </row>
    <row r="5931" spans="1:5" s="103" customFormat="1" ht="13.2" hidden="1" outlineLevel="1" x14ac:dyDescent="0.25">
      <c r="A5931" s="106" t="s">
        <v>11873</v>
      </c>
      <c r="B5931" s="106" t="s">
        <v>11874</v>
      </c>
      <c r="C5931" s="106"/>
      <c r="D5931" s="106"/>
      <c r="E5931" s="52"/>
    </row>
    <row r="5932" spans="1:5" s="103" customFormat="1" ht="13.2" hidden="1" outlineLevel="1" x14ac:dyDescent="0.25">
      <c r="A5932" s="106" t="s">
        <v>11875</v>
      </c>
      <c r="B5932" s="106" t="s">
        <v>11876</v>
      </c>
      <c r="C5932" s="106"/>
      <c r="D5932" s="106"/>
      <c r="E5932" s="52"/>
    </row>
    <row r="5933" spans="1:5" s="103" customFormat="1" ht="13.2" hidden="1" outlineLevel="1" x14ac:dyDescent="0.25">
      <c r="A5933" s="106" t="s">
        <v>11877</v>
      </c>
      <c r="B5933" s="106" t="s">
        <v>11878</v>
      </c>
      <c r="C5933" s="106"/>
      <c r="D5933" s="106"/>
      <c r="E5933" s="52"/>
    </row>
    <row r="5934" spans="1:5" s="103" customFormat="1" ht="13.2" hidden="1" outlineLevel="1" x14ac:dyDescent="0.25">
      <c r="A5934" s="106" t="s">
        <v>11879</v>
      </c>
      <c r="B5934" s="106" t="s">
        <v>11880</v>
      </c>
      <c r="C5934" s="106"/>
      <c r="D5934" s="106"/>
      <c r="E5934" s="52"/>
    </row>
    <row r="5935" spans="1:5" s="103" customFormat="1" ht="13.2" hidden="1" outlineLevel="1" x14ac:dyDescent="0.25">
      <c r="A5935" s="106" t="s">
        <v>11881</v>
      </c>
      <c r="B5935" s="106" t="s">
        <v>11882</v>
      </c>
      <c r="C5935" s="106"/>
      <c r="D5935" s="106"/>
      <c r="E5935" s="52"/>
    </row>
    <row r="5936" spans="1:5" s="103" customFormat="1" ht="13.2" hidden="1" outlineLevel="1" x14ac:dyDescent="0.25">
      <c r="A5936" s="106" t="s">
        <v>11883</v>
      </c>
      <c r="B5936" s="106" t="s">
        <v>11884</v>
      </c>
      <c r="C5936" s="106"/>
      <c r="D5936" s="106"/>
      <c r="E5936" s="52"/>
    </row>
    <row r="5937" spans="1:5" s="103" customFormat="1" ht="13.2" hidden="1" outlineLevel="1" x14ac:dyDescent="0.25">
      <c r="A5937" s="106" t="s">
        <v>11885</v>
      </c>
      <c r="B5937" s="106" t="s">
        <v>11886</v>
      </c>
      <c r="C5937" s="106"/>
      <c r="D5937" s="106"/>
      <c r="E5937" s="52"/>
    </row>
    <row r="5938" spans="1:5" s="103" customFormat="1" ht="13.2" hidden="1" outlineLevel="1" x14ac:dyDescent="0.25">
      <c r="A5938" s="106" t="s">
        <v>11887</v>
      </c>
      <c r="B5938" s="106" t="s">
        <v>11888</v>
      </c>
      <c r="C5938" s="106"/>
      <c r="D5938" s="106"/>
      <c r="E5938" s="52"/>
    </row>
    <row r="5939" spans="1:5" s="103" customFormat="1" ht="13.2" hidden="1" outlineLevel="1" x14ac:dyDescent="0.25">
      <c r="A5939" s="106" t="s">
        <v>11889</v>
      </c>
      <c r="B5939" s="106" t="s">
        <v>11890</v>
      </c>
      <c r="C5939" s="106"/>
      <c r="D5939" s="106"/>
      <c r="E5939" s="52"/>
    </row>
    <row r="5940" spans="1:5" s="103" customFormat="1" ht="13.2" hidden="1" outlineLevel="1" x14ac:dyDescent="0.25">
      <c r="A5940" s="106" t="s">
        <v>11891</v>
      </c>
      <c r="B5940" s="106" t="s">
        <v>11892</v>
      </c>
      <c r="C5940" s="106"/>
      <c r="D5940" s="106"/>
      <c r="E5940" s="52"/>
    </row>
    <row r="5941" spans="1:5" s="103" customFormat="1" ht="13.2" hidden="1" outlineLevel="1" x14ac:dyDescent="0.25">
      <c r="A5941" s="106" t="s">
        <v>11893</v>
      </c>
      <c r="B5941" s="106" t="s">
        <v>11894</v>
      </c>
      <c r="C5941" s="106"/>
      <c r="D5941" s="106"/>
      <c r="E5941" s="52"/>
    </row>
    <row r="5942" spans="1:5" s="103" customFormat="1" ht="13.2" hidden="1" outlineLevel="1" x14ac:dyDescent="0.25">
      <c r="A5942" s="106" t="s">
        <v>11895</v>
      </c>
      <c r="B5942" s="106" t="s">
        <v>11896</v>
      </c>
      <c r="C5942" s="106"/>
      <c r="D5942" s="106"/>
      <c r="E5942" s="52"/>
    </row>
    <row r="5943" spans="1:5" s="103" customFormat="1" ht="13.2" hidden="1" outlineLevel="1" x14ac:dyDescent="0.25">
      <c r="A5943" s="106" t="s">
        <v>11897</v>
      </c>
      <c r="B5943" s="106" t="s">
        <v>11898</v>
      </c>
      <c r="C5943" s="106"/>
      <c r="D5943" s="106"/>
      <c r="E5943" s="52"/>
    </row>
    <row r="5944" spans="1:5" s="103" customFormat="1" ht="13.2" hidden="1" outlineLevel="1" x14ac:dyDescent="0.25">
      <c r="A5944" s="106" t="s">
        <v>11899</v>
      </c>
      <c r="B5944" s="106" t="s">
        <v>11900</v>
      </c>
      <c r="C5944" s="106"/>
      <c r="D5944" s="106"/>
      <c r="E5944" s="52"/>
    </row>
    <row r="5945" spans="1:5" s="103" customFormat="1" ht="13.2" hidden="1" outlineLevel="1" x14ac:dyDescent="0.25">
      <c r="A5945" s="106" t="s">
        <v>11901</v>
      </c>
      <c r="B5945" s="106" t="s">
        <v>11902</v>
      </c>
      <c r="C5945" s="106"/>
      <c r="D5945" s="106"/>
      <c r="E5945" s="52"/>
    </row>
    <row r="5946" spans="1:5" s="103" customFormat="1" ht="13.2" hidden="1" outlineLevel="1" x14ac:dyDescent="0.25">
      <c r="A5946" s="106" t="s">
        <v>11903</v>
      </c>
      <c r="B5946" s="106" t="s">
        <v>11904</v>
      </c>
      <c r="C5946" s="106"/>
      <c r="D5946" s="106"/>
      <c r="E5946" s="52"/>
    </row>
    <row r="5947" spans="1:5" s="103" customFormat="1" ht="13.2" hidden="1" outlineLevel="1" x14ac:dyDescent="0.25">
      <c r="A5947" s="106" t="s">
        <v>11905</v>
      </c>
      <c r="B5947" s="106" t="s">
        <v>11906</v>
      </c>
      <c r="C5947" s="106"/>
      <c r="D5947" s="106"/>
      <c r="E5947" s="52"/>
    </row>
    <row r="5948" spans="1:5" s="103" customFormat="1" ht="13.2" hidden="1" outlineLevel="1" x14ac:dyDescent="0.25">
      <c r="A5948" s="106" t="s">
        <v>11907</v>
      </c>
      <c r="B5948" s="106" t="s">
        <v>11908</v>
      </c>
      <c r="C5948" s="106"/>
      <c r="D5948" s="106"/>
      <c r="E5948" s="52"/>
    </row>
    <row r="5949" spans="1:5" s="103" customFormat="1" ht="13.2" hidden="1" outlineLevel="1" x14ac:dyDescent="0.25">
      <c r="A5949" s="106" t="s">
        <v>11909</v>
      </c>
      <c r="B5949" s="106" t="s">
        <v>11910</v>
      </c>
      <c r="C5949" s="106"/>
      <c r="D5949" s="106"/>
      <c r="E5949" s="52"/>
    </row>
    <row r="5950" spans="1:5" s="103" customFormat="1" ht="13.2" hidden="1" outlineLevel="1" x14ac:dyDescent="0.25">
      <c r="A5950" s="106" t="s">
        <v>11911</v>
      </c>
      <c r="B5950" s="106" t="s">
        <v>11912</v>
      </c>
      <c r="C5950" s="106"/>
      <c r="D5950" s="106"/>
      <c r="E5950" s="52"/>
    </row>
    <row r="5951" spans="1:5" s="103" customFormat="1" ht="13.2" hidden="1" outlineLevel="1" x14ac:dyDescent="0.25">
      <c r="A5951" s="106" t="s">
        <v>11913</v>
      </c>
      <c r="B5951" s="106" t="s">
        <v>11914</v>
      </c>
      <c r="C5951" s="106"/>
      <c r="D5951" s="106"/>
      <c r="E5951" s="52"/>
    </row>
    <row r="5952" spans="1:5" s="103" customFormat="1" ht="13.2" hidden="1" outlineLevel="1" x14ac:dyDescent="0.25">
      <c r="A5952" s="106" t="s">
        <v>11915</v>
      </c>
      <c r="B5952" s="106" t="s">
        <v>11916</v>
      </c>
      <c r="C5952" s="106"/>
      <c r="D5952" s="106"/>
      <c r="E5952" s="52"/>
    </row>
    <row r="5953" spans="1:5" s="103" customFormat="1" ht="13.2" hidden="1" outlineLevel="1" x14ac:dyDescent="0.25">
      <c r="A5953" s="106" t="s">
        <v>11917</v>
      </c>
      <c r="B5953" s="106" t="s">
        <v>11918</v>
      </c>
      <c r="C5953" s="106"/>
      <c r="D5953" s="106"/>
      <c r="E5953" s="52"/>
    </row>
    <row r="5954" spans="1:5" s="103" customFormat="1" ht="13.2" hidden="1" outlineLevel="1" x14ac:dyDescent="0.25">
      <c r="A5954" s="106" t="s">
        <v>11919</v>
      </c>
      <c r="B5954" s="106" t="s">
        <v>11920</v>
      </c>
      <c r="C5954" s="106"/>
      <c r="D5954" s="106"/>
      <c r="E5954" s="52"/>
    </row>
    <row r="5955" spans="1:5" s="103" customFormat="1" ht="13.2" hidden="1" outlineLevel="1" x14ac:dyDescent="0.25">
      <c r="A5955" s="106" t="s">
        <v>11921</v>
      </c>
      <c r="B5955" s="106" t="s">
        <v>11922</v>
      </c>
      <c r="C5955" s="106"/>
      <c r="D5955" s="106"/>
      <c r="E5955" s="52"/>
    </row>
    <row r="5956" spans="1:5" s="103" customFormat="1" ht="13.2" hidden="1" outlineLevel="1" x14ac:dyDescent="0.25">
      <c r="A5956" s="106" t="s">
        <v>11923</v>
      </c>
      <c r="B5956" s="106" t="s">
        <v>11924</v>
      </c>
      <c r="C5956" s="106"/>
      <c r="D5956" s="106"/>
      <c r="E5956" s="52"/>
    </row>
    <row r="5957" spans="1:5" s="103" customFormat="1" ht="13.2" hidden="1" outlineLevel="1" x14ac:dyDescent="0.25">
      <c r="A5957" s="106" t="s">
        <v>11925</v>
      </c>
      <c r="B5957" s="106" t="s">
        <v>11926</v>
      </c>
      <c r="C5957" s="106"/>
      <c r="D5957" s="106"/>
      <c r="E5957" s="52"/>
    </row>
    <row r="5958" spans="1:5" s="103" customFormat="1" ht="13.2" hidden="1" outlineLevel="1" x14ac:dyDescent="0.25">
      <c r="A5958" s="106" t="s">
        <v>11927</v>
      </c>
      <c r="B5958" s="106" t="s">
        <v>11928</v>
      </c>
      <c r="C5958" s="106"/>
      <c r="D5958" s="106"/>
      <c r="E5958" s="52"/>
    </row>
    <row r="5959" spans="1:5" s="103" customFormat="1" ht="13.2" hidden="1" outlineLevel="1" x14ac:dyDescent="0.25">
      <c r="A5959" s="106" t="s">
        <v>11929</v>
      </c>
      <c r="B5959" s="106" t="s">
        <v>11930</v>
      </c>
      <c r="C5959" s="106"/>
      <c r="D5959" s="106"/>
      <c r="E5959" s="52"/>
    </row>
    <row r="5960" spans="1:5" s="103" customFormat="1" ht="13.2" hidden="1" outlineLevel="1" x14ac:dyDescent="0.25">
      <c r="A5960" s="106" t="s">
        <v>11931</v>
      </c>
      <c r="B5960" s="106" t="s">
        <v>11932</v>
      </c>
      <c r="C5960" s="106"/>
      <c r="D5960" s="106"/>
      <c r="E5960" s="52"/>
    </row>
    <row r="5961" spans="1:5" s="103" customFormat="1" ht="13.2" hidden="1" outlineLevel="1" x14ac:dyDescent="0.25">
      <c r="A5961" s="106" t="s">
        <v>11933</v>
      </c>
      <c r="B5961" s="106" t="s">
        <v>11934</v>
      </c>
      <c r="C5961" s="106"/>
      <c r="D5961" s="106"/>
      <c r="E5961" s="52"/>
    </row>
    <row r="5962" spans="1:5" s="103" customFormat="1" ht="13.2" hidden="1" outlineLevel="1" x14ac:dyDescent="0.25">
      <c r="A5962" s="106" t="s">
        <v>11935</v>
      </c>
      <c r="B5962" s="106" t="s">
        <v>11936</v>
      </c>
      <c r="C5962" s="106"/>
      <c r="D5962" s="106"/>
      <c r="E5962" s="52"/>
    </row>
    <row r="5963" spans="1:5" s="103" customFormat="1" ht="13.2" hidden="1" outlineLevel="1" x14ac:dyDescent="0.25">
      <c r="A5963" s="106" t="s">
        <v>11937</v>
      </c>
      <c r="B5963" s="106" t="s">
        <v>11938</v>
      </c>
      <c r="C5963" s="106"/>
      <c r="D5963" s="106"/>
      <c r="E5963" s="52"/>
    </row>
    <row r="5964" spans="1:5" s="103" customFormat="1" ht="13.2" hidden="1" outlineLevel="1" x14ac:dyDescent="0.25">
      <c r="A5964" s="106" t="s">
        <v>11939</v>
      </c>
      <c r="B5964" s="106" t="s">
        <v>11940</v>
      </c>
      <c r="C5964" s="106"/>
      <c r="D5964" s="106"/>
      <c r="E5964" s="52"/>
    </row>
    <row r="5965" spans="1:5" s="103" customFormat="1" ht="13.2" hidden="1" outlineLevel="1" x14ac:dyDescent="0.25">
      <c r="A5965" s="106" t="s">
        <v>11941</v>
      </c>
      <c r="B5965" s="106" t="s">
        <v>11942</v>
      </c>
      <c r="C5965" s="106"/>
      <c r="D5965" s="106"/>
      <c r="E5965" s="52"/>
    </row>
    <row r="5966" spans="1:5" s="103" customFormat="1" ht="13.2" hidden="1" outlineLevel="1" x14ac:dyDescent="0.25">
      <c r="A5966" s="106" t="s">
        <v>11943</v>
      </c>
      <c r="B5966" s="106" t="s">
        <v>11944</v>
      </c>
      <c r="C5966" s="106"/>
      <c r="D5966" s="106"/>
      <c r="E5966" s="52"/>
    </row>
    <row r="5967" spans="1:5" s="103" customFormat="1" ht="13.2" hidden="1" outlineLevel="1" x14ac:dyDescent="0.25">
      <c r="A5967" s="106" t="s">
        <v>11945</v>
      </c>
      <c r="B5967" s="106" t="s">
        <v>11946</v>
      </c>
      <c r="C5967" s="106"/>
      <c r="D5967" s="106"/>
      <c r="E5967" s="52"/>
    </row>
    <row r="5968" spans="1:5" s="103" customFormat="1" ht="13.2" hidden="1" outlineLevel="1" x14ac:dyDescent="0.25">
      <c r="A5968" s="106" t="s">
        <v>11947</v>
      </c>
      <c r="B5968" s="106" t="s">
        <v>11948</v>
      </c>
      <c r="C5968" s="106"/>
      <c r="D5968" s="106"/>
      <c r="E5968" s="52"/>
    </row>
    <row r="5969" spans="1:5" s="103" customFormat="1" ht="13.2" hidden="1" outlineLevel="1" x14ac:dyDescent="0.25">
      <c r="A5969" s="106" t="s">
        <v>11949</v>
      </c>
      <c r="B5969" s="106" t="s">
        <v>11950</v>
      </c>
      <c r="C5969" s="106"/>
      <c r="D5969" s="106"/>
      <c r="E5969" s="52"/>
    </row>
    <row r="5970" spans="1:5" s="103" customFormat="1" ht="13.2" hidden="1" outlineLevel="1" x14ac:dyDescent="0.25">
      <c r="A5970" s="106" t="s">
        <v>11951</v>
      </c>
      <c r="B5970" s="106" t="s">
        <v>11952</v>
      </c>
      <c r="C5970" s="106"/>
      <c r="D5970" s="106"/>
      <c r="E5970" s="52"/>
    </row>
    <row r="5971" spans="1:5" s="103" customFormat="1" ht="13.2" hidden="1" outlineLevel="1" x14ac:dyDescent="0.25">
      <c r="A5971" s="106" t="s">
        <v>11953</v>
      </c>
      <c r="B5971" s="106" t="s">
        <v>11954</v>
      </c>
      <c r="C5971" s="106"/>
      <c r="D5971" s="106"/>
      <c r="E5971" s="52"/>
    </row>
    <row r="5972" spans="1:5" s="103" customFormat="1" ht="13.2" hidden="1" outlineLevel="1" x14ac:dyDescent="0.25">
      <c r="A5972" s="106" t="s">
        <v>11955</v>
      </c>
      <c r="B5972" s="106" t="s">
        <v>11956</v>
      </c>
      <c r="C5972" s="106"/>
      <c r="D5972" s="106"/>
      <c r="E5972" s="52"/>
    </row>
    <row r="5973" spans="1:5" s="103" customFormat="1" ht="13.2" hidden="1" outlineLevel="1" x14ac:dyDescent="0.25">
      <c r="A5973" s="106" t="s">
        <v>11957</v>
      </c>
      <c r="B5973" s="106" t="s">
        <v>11958</v>
      </c>
      <c r="C5973" s="106"/>
      <c r="D5973" s="106"/>
      <c r="E5973" s="52"/>
    </row>
    <row r="5974" spans="1:5" s="103" customFormat="1" ht="13.2" hidden="1" outlineLevel="1" x14ac:dyDescent="0.25">
      <c r="A5974" s="106" t="s">
        <v>11959</v>
      </c>
      <c r="B5974" s="106" t="s">
        <v>11960</v>
      </c>
      <c r="C5974" s="106"/>
      <c r="D5974" s="106"/>
      <c r="E5974" s="52"/>
    </row>
    <row r="5975" spans="1:5" s="103" customFormat="1" ht="13.2" hidden="1" outlineLevel="1" x14ac:dyDescent="0.25">
      <c r="A5975" s="106" t="s">
        <v>11961</v>
      </c>
      <c r="B5975" s="106" t="s">
        <v>11962</v>
      </c>
      <c r="C5975" s="106"/>
      <c r="D5975" s="106"/>
      <c r="E5975" s="52"/>
    </row>
    <row r="5976" spans="1:5" s="103" customFormat="1" ht="13.2" hidden="1" outlineLevel="1" x14ac:dyDescent="0.25">
      <c r="A5976" s="106" t="s">
        <v>11963</v>
      </c>
      <c r="B5976" s="106" t="s">
        <v>11964</v>
      </c>
      <c r="C5976" s="106"/>
      <c r="D5976" s="106"/>
      <c r="E5976" s="52"/>
    </row>
    <row r="5977" spans="1:5" s="103" customFormat="1" ht="13.2" hidden="1" outlineLevel="1" x14ac:dyDescent="0.25">
      <c r="A5977" s="106" t="s">
        <v>11965</v>
      </c>
      <c r="B5977" s="106" t="s">
        <v>11966</v>
      </c>
      <c r="C5977" s="106"/>
      <c r="D5977" s="106"/>
      <c r="E5977" s="52"/>
    </row>
    <row r="5978" spans="1:5" s="103" customFormat="1" ht="26.4" collapsed="1" x14ac:dyDescent="0.25">
      <c r="A5978" s="104" t="s">
        <v>11967</v>
      </c>
      <c r="B5978" s="107" t="s">
        <v>11968</v>
      </c>
      <c r="C5978" s="105"/>
      <c r="D5978" s="105"/>
      <c r="E5978" s="51"/>
    </row>
    <row r="5979" spans="1:5" s="103" customFormat="1" ht="13.2" hidden="1" outlineLevel="1" x14ac:dyDescent="0.25">
      <c r="A5979" s="106" t="s">
        <v>11969</v>
      </c>
      <c r="B5979" s="106" t="s">
        <v>11970</v>
      </c>
      <c r="C5979" s="106"/>
      <c r="D5979" s="106"/>
      <c r="E5979" s="52"/>
    </row>
    <row r="5980" spans="1:5" s="103" customFormat="1" ht="13.2" hidden="1" outlineLevel="1" x14ac:dyDescent="0.25">
      <c r="A5980" s="106" t="s">
        <v>11971</v>
      </c>
      <c r="B5980" s="106" t="s">
        <v>11972</v>
      </c>
      <c r="C5980" s="106"/>
      <c r="D5980" s="106"/>
      <c r="E5980" s="52"/>
    </row>
    <row r="5981" spans="1:5" s="103" customFormat="1" ht="13.2" hidden="1" outlineLevel="1" x14ac:dyDescent="0.25">
      <c r="A5981" s="106" t="s">
        <v>11973</v>
      </c>
      <c r="B5981" s="106" t="s">
        <v>11974</v>
      </c>
      <c r="C5981" s="106"/>
      <c r="D5981" s="106"/>
      <c r="E5981" s="52"/>
    </row>
    <row r="5982" spans="1:5" s="103" customFormat="1" ht="13.2" hidden="1" outlineLevel="1" x14ac:dyDescent="0.25">
      <c r="A5982" s="106" t="s">
        <v>11975</v>
      </c>
      <c r="B5982" s="106" t="s">
        <v>11976</v>
      </c>
      <c r="C5982" s="106"/>
      <c r="D5982" s="106"/>
      <c r="E5982" s="52"/>
    </row>
    <row r="5983" spans="1:5" s="103" customFormat="1" ht="13.2" hidden="1" outlineLevel="1" x14ac:dyDescent="0.25">
      <c r="A5983" s="106" t="s">
        <v>11977</v>
      </c>
      <c r="B5983" s="106" t="s">
        <v>11978</v>
      </c>
      <c r="C5983" s="106"/>
      <c r="D5983" s="106"/>
      <c r="E5983" s="52"/>
    </row>
    <row r="5984" spans="1:5" s="103" customFormat="1" ht="13.2" hidden="1" outlineLevel="1" x14ac:dyDescent="0.25">
      <c r="A5984" s="106" t="s">
        <v>11979</v>
      </c>
      <c r="B5984" s="106" t="s">
        <v>11980</v>
      </c>
      <c r="C5984" s="106"/>
      <c r="D5984" s="106"/>
      <c r="E5984" s="52"/>
    </row>
    <row r="5985" spans="1:5" s="103" customFormat="1" ht="13.2" hidden="1" outlineLevel="1" x14ac:dyDescent="0.25">
      <c r="A5985" s="106" t="s">
        <v>11981</v>
      </c>
      <c r="B5985" s="106" t="s">
        <v>11982</v>
      </c>
      <c r="C5985" s="106"/>
      <c r="D5985" s="106"/>
      <c r="E5985" s="52"/>
    </row>
    <row r="5986" spans="1:5" s="103" customFormat="1" ht="13.2" hidden="1" outlineLevel="1" x14ac:dyDescent="0.25">
      <c r="A5986" s="106" t="s">
        <v>11983</v>
      </c>
      <c r="B5986" s="106" t="s">
        <v>11984</v>
      </c>
      <c r="C5986" s="106"/>
      <c r="D5986" s="106"/>
      <c r="E5986" s="52"/>
    </row>
    <row r="5987" spans="1:5" s="103" customFormat="1" ht="13.2" hidden="1" outlineLevel="1" x14ac:dyDescent="0.25">
      <c r="A5987" s="106" t="s">
        <v>11985</v>
      </c>
      <c r="B5987" s="106" t="s">
        <v>11986</v>
      </c>
      <c r="C5987" s="106"/>
      <c r="D5987" s="106"/>
      <c r="E5987" s="52"/>
    </row>
    <row r="5988" spans="1:5" s="103" customFormat="1" ht="13.2" hidden="1" outlineLevel="1" x14ac:dyDescent="0.25">
      <c r="A5988" s="106" t="s">
        <v>11987</v>
      </c>
      <c r="B5988" s="106" t="s">
        <v>11988</v>
      </c>
      <c r="C5988" s="106"/>
      <c r="D5988" s="106"/>
      <c r="E5988" s="52"/>
    </row>
    <row r="5989" spans="1:5" s="103" customFormat="1" ht="13.2" hidden="1" outlineLevel="1" x14ac:dyDescent="0.25">
      <c r="A5989" s="106" t="s">
        <v>11989</v>
      </c>
      <c r="B5989" s="106" t="s">
        <v>11990</v>
      </c>
      <c r="C5989" s="106"/>
      <c r="D5989" s="106"/>
      <c r="E5989" s="52"/>
    </row>
    <row r="5990" spans="1:5" s="103" customFormat="1" ht="13.2" hidden="1" outlineLevel="1" x14ac:dyDescent="0.25">
      <c r="A5990" s="106" t="s">
        <v>11991</v>
      </c>
      <c r="B5990" s="106" t="s">
        <v>11992</v>
      </c>
      <c r="C5990" s="106"/>
      <c r="D5990" s="106"/>
      <c r="E5990" s="52"/>
    </row>
    <row r="5991" spans="1:5" s="103" customFormat="1" ht="13.2" hidden="1" outlineLevel="1" x14ac:dyDescent="0.25">
      <c r="A5991" s="106" t="s">
        <v>11993</v>
      </c>
      <c r="B5991" s="106" t="s">
        <v>11994</v>
      </c>
      <c r="C5991" s="106"/>
      <c r="D5991" s="106"/>
      <c r="E5991" s="52"/>
    </row>
    <row r="5992" spans="1:5" s="103" customFormat="1" ht="13.2" hidden="1" outlineLevel="1" x14ac:dyDescent="0.25">
      <c r="A5992" s="106" t="s">
        <v>11995</v>
      </c>
      <c r="B5992" s="106" t="s">
        <v>11996</v>
      </c>
      <c r="C5992" s="106"/>
      <c r="D5992" s="106"/>
      <c r="E5992" s="52"/>
    </row>
    <row r="5993" spans="1:5" s="103" customFormat="1" ht="13.2" hidden="1" outlineLevel="1" x14ac:dyDescent="0.25">
      <c r="A5993" s="106" t="s">
        <v>11997</v>
      </c>
      <c r="B5993" s="106" t="s">
        <v>11998</v>
      </c>
      <c r="C5993" s="106"/>
      <c r="D5993" s="106"/>
      <c r="E5993" s="52"/>
    </row>
    <row r="5994" spans="1:5" s="103" customFormat="1" ht="13.2" hidden="1" outlineLevel="1" x14ac:dyDescent="0.25">
      <c r="A5994" s="106" t="s">
        <v>11999</v>
      </c>
      <c r="B5994" s="106" t="s">
        <v>12000</v>
      </c>
      <c r="C5994" s="106"/>
      <c r="D5994" s="106"/>
      <c r="E5994" s="52"/>
    </row>
    <row r="5995" spans="1:5" s="103" customFormat="1" ht="13.2" hidden="1" outlineLevel="1" x14ac:dyDescent="0.25">
      <c r="A5995" s="106" t="s">
        <v>12001</v>
      </c>
      <c r="B5995" s="106" t="s">
        <v>12002</v>
      </c>
      <c r="C5995" s="106"/>
      <c r="D5995" s="106"/>
      <c r="E5995" s="52"/>
    </row>
    <row r="5996" spans="1:5" s="103" customFormat="1" ht="13.2" hidden="1" outlineLevel="1" x14ac:dyDescent="0.25">
      <c r="A5996" s="106" t="s">
        <v>12003</v>
      </c>
      <c r="B5996" s="106" t="s">
        <v>12004</v>
      </c>
      <c r="C5996" s="106"/>
      <c r="D5996" s="106"/>
      <c r="E5996" s="52"/>
    </row>
    <row r="5997" spans="1:5" s="103" customFormat="1" ht="13.2" hidden="1" outlineLevel="1" x14ac:dyDescent="0.25">
      <c r="A5997" s="106" t="s">
        <v>12005</v>
      </c>
      <c r="B5997" s="106" t="s">
        <v>12006</v>
      </c>
      <c r="C5997" s="106"/>
      <c r="D5997" s="106"/>
      <c r="E5997" s="52"/>
    </row>
    <row r="5998" spans="1:5" s="103" customFormat="1" ht="13.2" hidden="1" outlineLevel="1" x14ac:dyDescent="0.25">
      <c r="A5998" s="106" t="s">
        <v>12007</v>
      </c>
      <c r="B5998" s="106" t="s">
        <v>12008</v>
      </c>
      <c r="C5998" s="106"/>
      <c r="D5998" s="106"/>
      <c r="E5998" s="52"/>
    </row>
    <row r="5999" spans="1:5" s="103" customFormat="1" ht="13.2" hidden="1" outlineLevel="1" x14ac:dyDescent="0.25">
      <c r="A5999" s="106" t="s">
        <v>12009</v>
      </c>
      <c r="B5999" s="106" t="s">
        <v>12010</v>
      </c>
      <c r="C5999" s="106"/>
      <c r="D5999" s="106"/>
      <c r="E5999" s="52"/>
    </row>
    <row r="6000" spans="1:5" s="103" customFormat="1" ht="13.2" hidden="1" outlineLevel="1" x14ac:dyDescent="0.25">
      <c r="A6000" s="106" t="s">
        <v>12011</v>
      </c>
      <c r="B6000" s="106" t="s">
        <v>12012</v>
      </c>
      <c r="C6000" s="106"/>
      <c r="D6000" s="106"/>
      <c r="E6000" s="52"/>
    </row>
    <row r="6001" spans="1:5" s="103" customFormat="1" ht="13.2" hidden="1" outlineLevel="1" x14ac:dyDescent="0.25">
      <c r="A6001" s="106" t="s">
        <v>12013</v>
      </c>
      <c r="B6001" s="106" t="s">
        <v>12014</v>
      </c>
      <c r="C6001" s="106"/>
      <c r="D6001" s="106"/>
      <c r="E6001" s="52"/>
    </row>
    <row r="6002" spans="1:5" s="103" customFormat="1" ht="13.2" hidden="1" outlineLevel="1" x14ac:dyDescent="0.25">
      <c r="A6002" s="106" t="s">
        <v>12015</v>
      </c>
      <c r="B6002" s="106" t="s">
        <v>12016</v>
      </c>
      <c r="C6002" s="106"/>
      <c r="D6002" s="106"/>
      <c r="E6002" s="52"/>
    </row>
    <row r="6003" spans="1:5" s="103" customFormat="1" ht="13.2" hidden="1" outlineLevel="1" x14ac:dyDescent="0.25">
      <c r="A6003" s="106" t="s">
        <v>12017</v>
      </c>
      <c r="B6003" s="106" t="s">
        <v>12018</v>
      </c>
      <c r="C6003" s="106"/>
      <c r="D6003" s="106"/>
      <c r="E6003" s="52"/>
    </row>
    <row r="6004" spans="1:5" s="103" customFormat="1" ht="13.2" hidden="1" outlineLevel="1" x14ac:dyDescent="0.25">
      <c r="A6004" s="106" t="s">
        <v>12019</v>
      </c>
      <c r="B6004" s="106" t="s">
        <v>12020</v>
      </c>
      <c r="C6004" s="106"/>
      <c r="D6004" s="106"/>
      <c r="E6004" s="52"/>
    </row>
    <row r="6005" spans="1:5" s="103" customFormat="1" ht="13.2" hidden="1" outlineLevel="1" x14ac:dyDescent="0.25">
      <c r="A6005" s="106" t="s">
        <v>12021</v>
      </c>
      <c r="B6005" s="106" t="s">
        <v>12022</v>
      </c>
      <c r="C6005" s="106"/>
      <c r="D6005" s="106"/>
      <c r="E6005" s="52"/>
    </row>
    <row r="6006" spans="1:5" s="103" customFormat="1" ht="13.2" hidden="1" outlineLevel="1" x14ac:dyDescent="0.25">
      <c r="A6006" s="106" t="s">
        <v>12023</v>
      </c>
      <c r="B6006" s="106" t="s">
        <v>12024</v>
      </c>
      <c r="C6006" s="106"/>
      <c r="D6006" s="106"/>
      <c r="E6006" s="52"/>
    </row>
    <row r="6007" spans="1:5" s="103" customFormat="1" ht="13.2" hidden="1" outlineLevel="1" x14ac:dyDescent="0.25">
      <c r="A6007" s="106" t="s">
        <v>12025</v>
      </c>
      <c r="B6007" s="106" t="s">
        <v>12026</v>
      </c>
      <c r="C6007" s="106"/>
      <c r="D6007" s="106"/>
      <c r="E6007" s="52"/>
    </row>
    <row r="6008" spans="1:5" s="103" customFormat="1" ht="13.2" hidden="1" outlineLevel="1" x14ac:dyDescent="0.25">
      <c r="A6008" s="106" t="s">
        <v>12027</v>
      </c>
      <c r="B6008" s="106" t="s">
        <v>12028</v>
      </c>
      <c r="C6008" s="106"/>
      <c r="D6008" s="106"/>
      <c r="E6008" s="52"/>
    </row>
    <row r="6009" spans="1:5" s="103" customFormat="1" ht="13.2" hidden="1" outlineLevel="1" x14ac:dyDescent="0.25">
      <c r="A6009" s="106" t="s">
        <v>12029</v>
      </c>
      <c r="B6009" s="106" t="s">
        <v>12030</v>
      </c>
      <c r="C6009" s="106"/>
      <c r="D6009" s="106"/>
      <c r="E6009" s="52"/>
    </row>
    <row r="6010" spans="1:5" s="103" customFormat="1" ht="13.2" hidden="1" outlineLevel="1" x14ac:dyDescent="0.25">
      <c r="A6010" s="106" t="s">
        <v>12031</v>
      </c>
      <c r="B6010" s="106" t="s">
        <v>12032</v>
      </c>
      <c r="C6010" s="106"/>
      <c r="D6010" s="106"/>
      <c r="E6010" s="52"/>
    </row>
    <row r="6011" spans="1:5" s="103" customFormat="1" ht="13.2" hidden="1" outlineLevel="1" x14ac:dyDescent="0.25">
      <c r="A6011" s="106" t="s">
        <v>12033</v>
      </c>
      <c r="B6011" s="106" t="s">
        <v>12034</v>
      </c>
      <c r="C6011" s="106"/>
      <c r="D6011" s="106"/>
      <c r="E6011" s="52"/>
    </row>
    <row r="6012" spans="1:5" s="103" customFormat="1" ht="13.2" hidden="1" outlineLevel="1" x14ac:dyDescent="0.25">
      <c r="A6012" s="106" t="s">
        <v>12035</v>
      </c>
      <c r="B6012" s="106" t="s">
        <v>12036</v>
      </c>
      <c r="C6012" s="106"/>
      <c r="D6012" s="106"/>
      <c r="E6012" s="52"/>
    </row>
    <row r="6013" spans="1:5" s="103" customFormat="1" ht="13.2" hidden="1" outlineLevel="1" x14ac:dyDescent="0.25">
      <c r="A6013" s="106" t="s">
        <v>12037</v>
      </c>
      <c r="B6013" s="106" t="s">
        <v>12038</v>
      </c>
      <c r="C6013" s="106"/>
      <c r="D6013" s="106"/>
      <c r="E6013" s="52"/>
    </row>
    <row r="6014" spans="1:5" s="103" customFormat="1" ht="13.2" hidden="1" outlineLevel="1" x14ac:dyDescent="0.25">
      <c r="A6014" s="106" t="s">
        <v>12039</v>
      </c>
      <c r="B6014" s="106" t="s">
        <v>12040</v>
      </c>
      <c r="C6014" s="106"/>
      <c r="D6014" s="106"/>
      <c r="E6014" s="52"/>
    </row>
    <row r="6015" spans="1:5" s="103" customFormat="1" ht="13.2" hidden="1" outlineLevel="1" x14ac:dyDescent="0.25">
      <c r="A6015" s="106" t="s">
        <v>12041</v>
      </c>
      <c r="B6015" s="106" t="s">
        <v>12042</v>
      </c>
      <c r="C6015" s="106"/>
      <c r="D6015" s="106"/>
      <c r="E6015" s="52"/>
    </row>
    <row r="6016" spans="1:5" s="103" customFormat="1" ht="13.2" hidden="1" outlineLevel="1" x14ac:dyDescent="0.25">
      <c r="A6016" s="106" t="s">
        <v>12043</v>
      </c>
      <c r="B6016" s="106" t="s">
        <v>12044</v>
      </c>
      <c r="C6016" s="106"/>
      <c r="D6016" s="106"/>
      <c r="E6016" s="52"/>
    </row>
    <row r="6017" spans="1:5" s="103" customFormat="1" ht="13.2" hidden="1" outlineLevel="1" x14ac:dyDescent="0.25">
      <c r="A6017" s="106" t="s">
        <v>12045</v>
      </c>
      <c r="B6017" s="106" t="s">
        <v>12046</v>
      </c>
      <c r="C6017" s="106"/>
      <c r="D6017" s="106"/>
      <c r="E6017" s="52"/>
    </row>
    <row r="6018" spans="1:5" s="103" customFormat="1" ht="13.2" hidden="1" outlineLevel="1" x14ac:dyDescent="0.25">
      <c r="A6018" s="106" t="s">
        <v>12047</v>
      </c>
      <c r="B6018" s="106" t="s">
        <v>12048</v>
      </c>
      <c r="C6018" s="106"/>
      <c r="D6018" s="106"/>
      <c r="E6018" s="52"/>
    </row>
    <row r="6019" spans="1:5" s="103" customFormat="1" ht="13.2" hidden="1" outlineLevel="1" x14ac:dyDescent="0.25">
      <c r="A6019" s="106" t="s">
        <v>12049</v>
      </c>
      <c r="B6019" s="106" t="s">
        <v>12050</v>
      </c>
      <c r="C6019" s="106"/>
      <c r="D6019" s="106"/>
      <c r="E6019" s="52"/>
    </row>
    <row r="6020" spans="1:5" s="103" customFormat="1" ht="13.2" hidden="1" outlineLevel="1" x14ac:dyDescent="0.25">
      <c r="A6020" s="106" t="s">
        <v>12051</v>
      </c>
      <c r="B6020" s="106" t="s">
        <v>12052</v>
      </c>
      <c r="C6020" s="106"/>
      <c r="D6020" s="106"/>
      <c r="E6020" s="52"/>
    </row>
    <row r="6021" spans="1:5" s="103" customFormat="1" ht="13.2" hidden="1" outlineLevel="1" x14ac:dyDescent="0.25">
      <c r="A6021" s="106" t="s">
        <v>12053</v>
      </c>
      <c r="B6021" s="106" t="s">
        <v>12054</v>
      </c>
      <c r="C6021" s="106"/>
      <c r="D6021" s="106"/>
      <c r="E6021" s="52"/>
    </row>
    <row r="6022" spans="1:5" s="103" customFormat="1" ht="13.2" hidden="1" outlineLevel="1" x14ac:dyDescent="0.25">
      <c r="A6022" s="106" t="s">
        <v>12055</v>
      </c>
      <c r="B6022" s="106" t="s">
        <v>12056</v>
      </c>
      <c r="C6022" s="106"/>
      <c r="D6022" s="106"/>
      <c r="E6022" s="52"/>
    </row>
    <row r="6023" spans="1:5" s="103" customFormat="1" ht="13.2" hidden="1" outlineLevel="1" x14ac:dyDescent="0.25">
      <c r="A6023" s="106" t="s">
        <v>12057</v>
      </c>
      <c r="B6023" s="106" t="s">
        <v>12058</v>
      </c>
      <c r="C6023" s="106"/>
      <c r="D6023" s="106"/>
      <c r="E6023" s="52"/>
    </row>
    <row r="6024" spans="1:5" s="103" customFormat="1" ht="13.2" hidden="1" outlineLevel="1" x14ac:dyDescent="0.25">
      <c r="A6024" s="106" t="s">
        <v>12059</v>
      </c>
      <c r="B6024" s="106" t="s">
        <v>12060</v>
      </c>
      <c r="C6024" s="106"/>
      <c r="D6024" s="106"/>
      <c r="E6024" s="52"/>
    </row>
    <row r="6025" spans="1:5" s="103" customFormat="1" ht="13.2" hidden="1" outlineLevel="1" x14ac:dyDescent="0.25">
      <c r="A6025" s="106" t="s">
        <v>12061</v>
      </c>
      <c r="B6025" s="106" t="s">
        <v>12062</v>
      </c>
      <c r="C6025" s="106"/>
      <c r="D6025" s="106"/>
      <c r="E6025" s="52"/>
    </row>
    <row r="6026" spans="1:5" s="103" customFormat="1" ht="13.2" hidden="1" outlineLevel="1" x14ac:dyDescent="0.25">
      <c r="A6026" s="106" t="s">
        <v>12063</v>
      </c>
      <c r="B6026" s="106" t="s">
        <v>12064</v>
      </c>
      <c r="C6026" s="106"/>
      <c r="D6026" s="106"/>
      <c r="E6026" s="52"/>
    </row>
    <row r="6027" spans="1:5" s="103" customFormat="1" ht="13.2" hidden="1" outlineLevel="1" x14ac:dyDescent="0.25">
      <c r="A6027" s="106" t="s">
        <v>12065</v>
      </c>
      <c r="B6027" s="106" t="s">
        <v>12066</v>
      </c>
      <c r="C6027" s="106"/>
      <c r="D6027" s="106"/>
      <c r="E6027" s="52"/>
    </row>
    <row r="6028" spans="1:5" s="103" customFormat="1" ht="13.2" hidden="1" outlineLevel="1" x14ac:dyDescent="0.25">
      <c r="A6028" s="106" t="s">
        <v>12067</v>
      </c>
      <c r="B6028" s="106" t="s">
        <v>12068</v>
      </c>
      <c r="C6028" s="106"/>
      <c r="D6028" s="106"/>
      <c r="E6028" s="52"/>
    </row>
    <row r="6029" spans="1:5" s="103" customFormat="1" ht="13.2" hidden="1" outlineLevel="1" x14ac:dyDescent="0.25">
      <c r="A6029" s="106" t="s">
        <v>12069</v>
      </c>
      <c r="B6029" s="106" t="s">
        <v>12070</v>
      </c>
      <c r="C6029" s="106"/>
      <c r="D6029" s="106"/>
      <c r="E6029" s="52"/>
    </row>
    <row r="6030" spans="1:5" s="103" customFormat="1" ht="13.2" hidden="1" outlineLevel="1" x14ac:dyDescent="0.25">
      <c r="A6030" s="106" t="s">
        <v>12071</v>
      </c>
      <c r="B6030" s="106" t="s">
        <v>12072</v>
      </c>
      <c r="C6030" s="106"/>
      <c r="D6030" s="106"/>
      <c r="E6030" s="52"/>
    </row>
    <row r="6031" spans="1:5" s="103" customFormat="1" ht="13.2" hidden="1" outlineLevel="1" x14ac:dyDescent="0.25">
      <c r="A6031" s="106" t="s">
        <v>12073</v>
      </c>
      <c r="B6031" s="106" t="s">
        <v>12074</v>
      </c>
      <c r="C6031" s="106"/>
      <c r="D6031" s="106"/>
      <c r="E6031" s="52"/>
    </row>
    <row r="6032" spans="1:5" s="103" customFormat="1" ht="13.2" hidden="1" outlineLevel="1" x14ac:dyDescent="0.25">
      <c r="A6032" s="106" t="s">
        <v>12075</v>
      </c>
      <c r="B6032" s="106" t="s">
        <v>12076</v>
      </c>
      <c r="C6032" s="106"/>
      <c r="D6032" s="106"/>
      <c r="E6032" s="52"/>
    </row>
    <row r="6033" spans="1:5" s="103" customFormat="1" ht="13.2" hidden="1" outlineLevel="1" x14ac:dyDescent="0.25">
      <c r="A6033" s="106" t="s">
        <v>12077</v>
      </c>
      <c r="B6033" s="106" t="s">
        <v>12078</v>
      </c>
      <c r="C6033" s="106"/>
      <c r="D6033" s="106"/>
      <c r="E6033" s="52"/>
    </row>
    <row r="6034" spans="1:5" s="103" customFormat="1" ht="13.2" hidden="1" outlineLevel="1" x14ac:dyDescent="0.25">
      <c r="A6034" s="106" t="s">
        <v>12079</v>
      </c>
      <c r="B6034" s="106" t="s">
        <v>12080</v>
      </c>
      <c r="C6034" s="106"/>
      <c r="D6034" s="106"/>
      <c r="E6034" s="52"/>
    </row>
    <row r="6035" spans="1:5" s="103" customFormat="1" ht="13.2" hidden="1" outlineLevel="1" x14ac:dyDescent="0.25">
      <c r="A6035" s="106" t="s">
        <v>12081</v>
      </c>
      <c r="B6035" s="106" t="s">
        <v>12082</v>
      </c>
      <c r="C6035" s="106"/>
      <c r="D6035" s="106"/>
      <c r="E6035" s="52"/>
    </row>
    <row r="6036" spans="1:5" s="103" customFormat="1" ht="13.2" hidden="1" outlineLevel="1" x14ac:dyDescent="0.25">
      <c r="A6036" s="106" t="s">
        <v>12083</v>
      </c>
      <c r="B6036" s="106" t="s">
        <v>12084</v>
      </c>
      <c r="C6036" s="106"/>
      <c r="D6036" s="106"/>
      <c r="E6036" s="52"/>
    </row>
    <row r="6037" spans="1:5" s="103" customFormat="1" ht="13.2" hidden="1" outlineLevel="1" x14ac:dyDescent="0.25">
      <c r="A6037" s="106" t="s">
        <v>12085</v>
      </c>
      <c r="B6037" s="106" t="s">
        <v>12086</v>
      </c>
      <c r="C6037" s="106"/>
      <c r="D6037" s="106"/>
      <c r="E6037" s="52"/>
    </row>
    <row r="6038" spans="1:5" s="103" customFormat="1" ht="13.2" hidden="1" outlineLevel="1" x14ac:dyDescent="0.25">
      <c r="A6038" s="106" t="s">
        <v>12087</v>
      </c>
      <c r="B6038" s="106" t="s">
        <v>12088</v>
      </c>
      <c r="C6038" s="106"/>
      <c r="D6038" s="106"/>
      <c r="E6038" s="52"/>
    </row>
    <row r="6039" spans="1:5" s="103" customFormat="1" ht="13.2" hidden="1" outlineLevel="1" x14ac:dyDescent="0.25">
      <c r="A6039" s="106" t="s">
        <v>12089</v>
      </c>
      <c r="B6039" s="106" t="s">
        <v>12090</v>
      </c>
      <c r="C6039" s="106"/>
      <c r="D6039" s="106"/>
      <c r="E6039" s="52"/>
    </row>
    <row r="6040" spans="1:5" s="103" customFormat="1" ht="13.2" hidden="1" outlineLevel="1" x14ac:dyDescent="0.25">
      <c r="A6040" s="106" t="s">
        <v>12091</v>
      </c>
      <c r="B6040" s="106" t="s">
        <v>12092</v>
      </c>
      <c r="C6040" s="106"/>
      <c r="D6040" s="106"/>
      <c r="E6040" s="52"/>
    </row>
    <row r="6041" spans="1:5" s="103" customFormat="1" ht="13.2" hidden="1" outlineLevel="1" x14ac:dyDescent="0.25">
      <c r="A6041" s="106" t="s">
        <v>12093</v>
      </c>
      <c r="B6041" s="106" t="s">
        <v>12094</v>
      </c>
      <c r="C6041" s="106"/>
      <c r="D6041" s="106"/>
      <c r="E6041" s="52"/>
    </row>
    <row r="6042" spans="1:5" s="103" customFormat="1" ht="13.2" hidden="1" outlineLevel="1" x14ac:dyDescent="0.25">
      <c r="A6042" s="106" t="s">
        <v>12095</v>
      </c>
      <c r="B6042" s="106" t="s">
        <v>12096</v>
      </c>
      <c r="C6042" s="106"/>
      <c r="D6042" s="106"/>
      <c r="E6042" s="52"/>
    </row>
    <row r="6043" spans="1:5" s="103" customFormat="1" ht="13.2" hidden="1" outlineLevel="1" x14ac:dyDescent="0.25">
      <c r="A6043" s="106" t="s">
        <v>12097</v>
      </c>
      <c r="B6043" s="106" t="s">
        <v>12098</v>
      </c>
      <c r="C6043" s="106"/>
      <c r="D6043" s="106"/>
      <c r="E6043" s="52"/>
    </row>
    <row r="6044" spans="1:5" s="103" customFormat="1" ht="13.2" hidden="1" outlineLevel="1" x14ac:dyDescent="0.25">
      <c r="A6044" s="106" t="s">
        <v>12099</v>
      </c>
      <c r="B6044" s="106" t="s">
        <v>12100</v>
      </c>
      <c r="C6044" s="106"/>
      <c r="D6044" s="106"/>
      <c r="E6044" s="52"/>
    </row>
    <row r="6045" spans="1:5" s="103" customFormat="1" ht="13.2" hidden="1" outlineLevel="1" x14ac:dyDescent="0.25">
      <c r="A6045" s="106" t="s">
        <v>12101</v>
      </c>
      <c r="B6045" s="106" t="s">
        <v>12102</v>
      </c>
      <c r="C6045" s="106"/>
      <c r="D6045" s="106"/>
      <c r="E6045" s="52"/>
    </row>
    <row r="6046" spans="1:5" s="103" customFormat="1" ht="13.2" hidden="1" outlineLevel="1" x14ac:dyDescent="0.25">
      <c r="A6046" s="106" t="s">
        <v>12103</v>
      </c>
      <c r="B6046" s="106" t="s">
        <v>12104</v>
      </c>
      <c r="C6046" s="106"/>
      <c r="D6046" s="106"/>
      <c r="E6046" s="52"/>
    </row>
    <row r="6047" spans="1:5" s="103" customFormat="1" ht="13.2" hidden="1" outlineLevel="1" x14ac:dyDescent="0.25">
      <c r="A6047" s="106" t="s">
        <v>12105</v>
      </c>
      <c r="B6047" s="106" t="s">
        <v>12106</v>
      </c>
      <c r="C6047" s="106"/>
      <c r="D6047" s="106"/>
      <c r="E6047" s="52"/>
    </row>
    <row r="6048" spans="1:5" s="103" customFormat="1" ht="13.2" hidden="1" outlineLevel="1" x14ac:dyDescent="0.25">
      <c r="A6048" s="106" t="s">
        <v>12107</v>
      </c>
      <c r="B6048" s="106" t="s">
        <v>12108</v>
      </c>
      <c r="C6048" s="106"/>
      <c r="D6048" s="106"/>
      <c r="E6048" s="52"/>
    </row>
    <row r="6049" spans="1:5" s="103" customFormat="1" ht="13.2" hidden="1" outlineLevel="1" x14ac:dyDescent="0.25">
      <c r="A6049" s="106" t="s">
        <v>12109</v>
      </c>
      <c r="B6049" s="106" t="s">
        <v>12110</v>
      </c>
      <c r="C6049" s="106"/>
      <c r="D6049" s="106"/>
      <c r="E6049" s="52"/>
    </row>
    <row r="6050" spans="1:5" s="103" customFormat="1" ht="13.2" hidden="1" outlineLevel="1" x14ac:dyDescent="0.25">
      <c r="A6050" s="106" t="s">
        <v>12111</v>
      </c>
      <c r="B6050" s="106" t="s">
        <v>12112</v>
      </c>
      <c r="C6050" s="106"/>
      <c r="D6050" s="106"/>
      <c r="E6050" s="52"/>
    </row>
    <row r="6051" spans="1:5" s="103" customFormat="1" ht="13.2" hidden="1" outlineLevel="1" x14ac:dyDescent="0.25">
      <c r="A6051" s="106" t="s">
        <v>12113</v>
      </c>
      <c r="B6051" s="106" t="s">
        <v>12114</v>
      </c>
      <c r="C6051" s="106"/>
      <c r="D6051" s="106"/>
      <c r="E6051" s="52"/>
    </row>
    <row r="6052" spans="1:5" s="103" customFormat="1" ht="13.2" hidden="1" outlineLevel="1" x14ac:dyDescent="0.25">
      <c r="A6052" s="106" t="s">
        <v>12115</v>
      </c>
      <c r="B6052" s="106" t="s">
        <v>12116</v>
      </c>
      <c r="C6052" s="106"/>
      <c r="D6052" s="106"/>
      <c r="E6052" s="52"/>
    </row>
    <row r="6053" spans="1:5" s="103" customFormat="1" ht="13.2" hidden="1" outlineLevel="1" x14ac:dyDescent="0.25">
      <c r="A6053" s="106" t="s">
        <v>12117</v>
      </c>
      <c r="B6053" s="106" t="s">
        <v>12118</v>
      </c>
      <c r="C6053" s="106"/>
      <c r="D6053" s="106"/>
      <c r="E6053" s="52"/>
    </row>
    <row r="6054" spans="1:5" s="103" customFormat="1" ht="13.2" hidden="1" outlineLevel="1" x14ac:dyDescent="0.25">
      <c r="A6054" s="106" t="s">
        <v>12119</v>
      </c>
      <c r="B6054" s="106" t="s">
        <v>12120</v>
      </c>
      <c r="C6054" s="106"/>
      <c r="D6054" s="106"/>
      <c r="E6054" s="52"/>
    </row>
    <row r="6055" spans="1:5" s="103" customFormat="1" ht="13.2" hidden="1" outlineLevel="1" x14ac:dyDescent="0.25">
      <c r="A6055" s="106" t="s">
        <v>12121</v>
      </c>
      <c r="B6055" s="106" t="s">
        <v>12122</v>
      </c>
      <c r="C6055" s="106"/>
      <c r="D6055" s="106"/>
      <c r="E6055" s="52"/>
    </row>
    <row r="6056" spans="1:5" s="103" customFormat="1" ht="13.2" hidden="1" outlineLevel="1" x14ac:dyDescent="0.25">
      <c r="A6056" s="106" t="s">
        <v>12123</v>
      </c>
      <c r="B6056" s="106" t="s">
        <v>12124</v>
      </c>
      <c r="C6056" s="106"/>
      <c r="D6056" s="106"/>
      <c r="E6056" s="52"/>
    </row>
    <row r="6057" spans="1:5" s="103" customFormat="1" ht="13.2" hidden="1" outlineLevel="1" x14ac:dyDescent="0.25">
      <c r="A6057" s="106" t="s">
        <v>12125</v>
      </c>
      <c r="B6057" s="106" t="s">
        <v>12126</v>
      </c>
      <c r="C6057" s="106"/>
      <c r="D6057" s="106"/>
      <c r="E6057" s="52"/>
    </row>
    <row r="6058" spans="1:5" s="103" customFormat="1" ht="13.2" hidden="1" outlineLevel="1" x14ac:dyDescent="0.25">
      <c r="A6058" s="106" t="s">
        <v>12127</v>
      </c>
      <c r="B6058" s="106" t="s">
        <v>12128</v>
      </c>
      <c r="C6058" s="106"/>
      <c r="D6058" s="106"/>
      <c r="E6058" s="52"/>
    </row>
    <row r="6059" spans="1:5" s="103" customFormat="1" ht="13.2" hidden="1" outlineLevel="1" x14ac:dyDescent="0.25">
      <c r="A6059" s="106" t="s">
        <v>12129</v>
      </c>
      <c r="B6059" s="106" t="s">
        <v>12130</v>
      </c>
      <c r="C6059" s="106"/>
      <c r="D6059" s="106"/>
      <c r="E6059" s="52"/>
    </row>
    <row r="6060" spans="1:5" s="103" customFormat="1" ht="13.2" hidden="1" outlineLevel="1" x14ac:dyDescent="0.25">
      <c r="A6060" s="106" t="s">
        <v>12131</v>
      </c>
      <c r="B6060" s="106" t="s">
        <v>12132</v>
      </c>
      <c r="C6060" s="106"/>
      <c r="D6060" s="106"/>
      <c r="E6060" s="52"/>
    </row>
    <row r="6061" spans="1:5" s="103" customFormat="1" ht="13.2" hidden="1" outlineLevel="1" x14ac:dyDescent="0.25">
      <c r="A6061" s="106" t="s">
        <v>12133</v>
      </c>
      <c r="B6061" s="106" t="s">
        <v>12134</v>
      </c>
      <c r="C6061" s="106"/>
      <c r="D6061" s="106"/>
      <c r="E6061" s="52"/>
    </row>
    <row r="6062" spans="1:5" s="103" customFormat="1" ht="13.2" hidden="1" outlineLevel="1" x14ac:dyDescent="0.25">
      <c r="A6062" s="106" t="s">
        <v>12135</v>
      </c>
      <c r="B6062" s="106" t="s">
        <v>12136</v>
      </c>
      <c r="C6062" s="106"/>
      <c r="D6062" s="106"/>
      <c r="E6062" s="52"/>
    </row>
    <row r="6063" spans="1:5" s="103" customFormat="1" ht="13.2" hidden="1" outlineLevel="1" x14ac:dyDescent="0.25">
      <c r="A6063" s="106" t="s">
        <v>12137</v>
      </c>
      <c r="B6063" s="106" t="s">
        <v>12138</v>
      </c>
      <c r="C6063" s="106"/>
      <c r="D6063" s="106"/>
      <c r="E6063" s="52"/>
    </row>
    <row r="6064" spans="1:5" s="103" customFormat="1" ht="13.2" hidden="1" outlineLevel="1" x14ac:dyDescent="0.25">
      <c r="A6064" s="106" t="s">
        <v>12139</v>
      </c>
      <c r="B6064" s="106" t="s">
        <v>12140</v>
      </c>
      <c r="C6064" s="106"/>
      <c r="D6064" s="106"/>
      <c r="E6064" s="52"/>
    </row>
    <row r="6065" spans="1:5" s="103" customFormat="1" ht="13.2" hidden="1" outlineLevel="1" x14ac:dyDescent="0.25">
      <c r="A6065" s="106" t="s">
        <v>12141</v>
      </c>
      <c r="B6065" s="106" t="s">
        <v>12142</v>
      </c>
      <c r="C6065" s="106"/>
      <c r="D6065" s="106"/>
      <c r="E6065" s="52"/>
    </row>
    <row r="6066" spans="1:5" s="103" customFormat="1" ht="13.2" hidden="1" outlineLevel="1" x14ac:dyDescent="0.25">
      <c r="A6066" s="106" t="s">
        <v>12143</v>
      </c>
      <c r="B6066" s="106" t="s">
        <v>12144</v>
      </c>
      <c r="C6066" s="106"/>
      <c r="D6066" s="106"/>
      <c r="E6066" s="52"/>
    </row>
    <row r="6067" spans="1:5" s="103" customFormat="1" ht="13.2" hidden="1" outlineLevel="1" x14ac:dyDescent="0.25">
      <c r="A6067" s="106" t="s">
        <v>12145</v>
      </c>
      <c r="B6067" s="106" t="s">
        <v>12146</v>
      </c>
      <c r="C6067" s="106"/>
      <c r="D6067" s="106"/>
      <c r="E6067" s="52"/>
    </row>
    <row r="6068" spans="1:5" s="103" customFormat="1" ht="13.2" hidden="1" outlineLevel="1" x14ac:dyDescent="0.25">
      <c r="A6068" s="106" t="s">
        <v>12147</v>
      </c>
      <c r="B6068" s="106" t="s">
        <v>12148</v>
      </c>
      <c r="C6068" s="106"/>
      <c r="D6068" s="106"/>
      <c r="E6068" s="52"/>
    </row>
    <row r="6069" spans="1:5" s="103" customFormat="1" ht="13.2" hidden="1" outlineLevel="1" x14ac:dyDescent="0.25">
      <c r="A6069" s="106" t="s">
        <v>12149</v>
      </c>
      <c r="B6069" s="106" t="s">
        <v>12150</v>
      </c>
      <c r="C6069" s="106"/>
      <c r="D6069" s="106"/>
      <c r="E6069" s="52"/>
    </row>
    <row r="6070" spans="1:5" s="103" customFormat="1" ht="13.2" hidden="1" outlineLevel="1" x14ac:dyDescent="0.25">
      <c r="A6070" s="106" t="s">
        <v>12151</v>
      </c>
      <c r="B6070" s="106" t="s">
        <v>12152</v>
      </c>
      <c r="C6070" s="106"/>
      <c r="D6070" s="106"/>
      <c r="E6070" s="52"/>
    </row>
    <row r="6071" spans="1:5" s="103" customFormat="1" ht="13.2" hidden="1" outlineLevel="1" x14ac:dyDescent="0.25">
      <c r="A6071" s="106" t="s">
        <v>12153</v>
      </c>
      <c r="B6071" s="106" t="s">
        <v>12154</v>
      </c>
      <c r="C6071" s="106"/>
      <c r="D6071" s="106"/>
      <c r="E6071" s="52"/>
    </row>
    <row r="6072" spans="1:5" s="103" customFormat="1" ht="13.2" hidden="1" outlineLevel="1" x14ac:dyDescent="0.25">
      <c r="A6072" s="106" t="s">
        <v>12155</v>
      </c>
      <c r="B6072" s="106" t="s">
        <v>12156</v>
      </c>
      <c r="C6072" s="106"/>
      <c r="D6072" s="106"/>
      <c r="E6072" s="52"/>
    </row>
    <row r="6073" spans="1:5" s="103" customFormat="1" ht="13.2" hidden="1" outlineLevel="1" x14ac:dyDescent="0.25">
      <c r="A6073" s="106" t="s">
        <v>12157</v>
      </c>
      <c r="B6073" s="106" t="s">
        <v>12158</v>
      </c>
      <c r="C6073" s="106"/>
      <c r="D6073" s="106"/>
      <c r="E6073" s="52"/>
    </row>
    <row r="6074" spans="1:5" s="103" customFormat="1" ht="13.2" hidden="1" outlineLevel="1" x14ac:dyDescent="0.25">
      <c r="A6074" s="106" t="s">
        <v>12159</v>
      </c>
      <c r="B6074" s="106" t="s">
        <v>12160</v>
      </c>
      <c r="C6074" s="106"/>
      <c r="D6074" s="106"/>
      <c r="E6074" s="52"/>
    </row>
    <row r="6075" spans="1:5" s="103" customFormat="1" ht="13.2" hidden="1" outlineLevel="1" x14ac:dyDescent="0.25">
      <c r="A6075" s="106" t="s">
        <v>12161</v>
      </c>
      <c r="B6075" s="106" t="s">
        <v>12162</v>
      </c>
      <c r="C6075" s="106"/>
      <c r="D6075" s="106"/>
      <c r="E6075" s="52"/>
    </row>
    <row r="6076" spans="1:5" s="103" customFormat="1" ht="13.2" hidden="1" outlineLevel="1" x14ac:dyDescent="0.25">
      <c r="A6076" s="106" t="s">
        <v>12163</v>
      </c>
      <c r="B6076" s="106" t="s">
        <v>12164</v>
      </c>
      <c r="C6076" s="106"/>
      <c r="D6076" s="106"/>
      <c r="E6076" s="52"/>
    </row>
    <row r="6077" spans="1:5" s="103" customFormat="1" ht="13.2" hidden="1" outlineLevel="1" x14ac:dyDescent="0.25">
      <c r="A6077" s="106" t="s">
        <v>12165</v>
      </c>
      <c r="B6077" s="106" t="s">
        <v>12166</v>
      </c>
      <c r="C6077" s="106"/>
      <c r="D6077" s="106"/>
      <c r="E6077" s="52"/>
    </row>
    <row r="6078" spans="1:5" s="103" customFormat="1" ht="13.2" hidden="1" outlineLevel="1" x14ac:dyDescent="0.25">
      <c r="A6078" s="106" t="s">
        <v>12167</v>
      </c>
      <c r="B6078" s="106" t="s">
        <v>12168</v>
      </c>
      <c r="C6078" s="106"/>
      <c r="D6078" s="106"/>
      <c r="E6078" s="52"/>
    </row>
    <row r="6079" spans="1:5" s="103" customFormat="1" ht="13.2" hidden="1" outlineLevel="1" x14ac:dyDescent="0.25">
      <c r="A6079" s="106" t="s">
        <v>12169</v>
      </c>
      <c r="B6079" s="106" t="s">
        <v>12170</v>
      </c>
      <c r="C6079" s="106"/>
      <c r="D6079" s="106"/>
      <c r="E6079" s="52"/>
    </row>
    <row r="6080" spans="1:5" s="103" customFormat="1" ht="13.2" hidden="1" outlineLevel="1" x14ac:dyDescent="0.25">
      <c r="A6080" s="106" t="s">
        <v>12171</v>
      </c>
      <c r="B6080" s="106" t="s">
        <v>12172</v>
      </c>
      <c r="C6080" s="106"/>
      <c r="D6080" s="106"/>
      <c r="E6080" s="52"/>
    </row>
    <row r="6081" spans="1:5" s="103" customFormat="1" ht="13.2" hidden="1" outlineLevel="1" x14ac:dyDescent="0.25">
      <c r="A6081" s="106" t="s">
        <v>12173</v>
      </c>
      <c r="B6081" s="106" t="s">
        <v>12174</v>
      </c>
      <c r="C6081" s="106"/>
      <c r="D6081" s="106"/>
      <c r="E6081" s="52"/>
    </row>
    <row r="6082" spans="1:5" s="103" customFormat="1" ht="13.2" hidden="1" outlineLevel="1" x14ac:dyDescent="0.25">
      <c r="A6082" s="106" t="s">
        <v>12175</v>
      </c>
      <c r="B6082" s="106" t="s">
        <v>12176</v>
      </c>
      <c r="C6082" s="106"/>
      <c r="D6082" s="106"/>
      <c r="E6082" s="52"/>
    </row>
    <row r="6083" spans="1:5" s="103" customFormat="1" ht="13.2" hidden="1" outlineLevel="1" x14ac:dyDescent="0.25">
      <c r="A6083" s="106" t="s">
        <v>12177</v>
      </c>
      <c r="B6083" s="106" t="s">
        <v>12178</v>
      </c>
      <c r="C6083" s="106"/>
      <c r="D6083" s="106"/>
      <c r="E6083" s="52"/>
    </row>
    <row r="6084" spans="1:5" s="103" customFormat="1" ht="13.2" hidden="1" outlineLevel="1" x14ac:dyDescent="0.25">
      <c r="A6084" s="106" t="s">
        <v>12179</v>
      </c>
      <c r="B6084" s="106" t="s">
        <v>12180</v>
      </c>
      <c r="C6084" s="106"/>
      <c r="D6084" s="106"/>
      <c r="E6084" s="52"/>
    </row>
    <row r="6085" spans="1:5" s="103" customFormat="1" ht="13.2" hidden="1" outlineLevel="1" x14ac:dyDescent="0.25">
      <c r="A6085" s="106" t="s">
        <v>12181</v>
      </c>
      <c r="B6085" s="106" t="s">
        <v>12182</v>
      </c>
      <c r="C6085" s="106"/>
      <c r="D6085" s="106"/>
      <c r="E6085" s="52"/>
    </row>
    <row r="6086" spans="1:5" s="103" customFormat="1" ht="13.2" hidden="1" outlineLevel="1" x14ac:dyDescent="0.25">
      <c r="A6086" s="106" t="s">
        <v>12183</v>
      </c>
      <c r="B6086" s="106" t="s">
        <v>12184</v>
      </c>
      <c r="C6086" s="106"/>
      <c r="D6086" s="106"/>
      <c r="E6086" s="52"/>
    </row>
    <row r="6087" spans="1:5" s="103" customFormat="1" ht="13.2" hidden="1" outlineLevel="1" x14ac:dyDescent="0.25">
      <c r="A6087" s="106" t="s">
        <v>12185</v>
      </c>
      <c r="B6087" s="106" t="s">
        <v>12186</v>
      </c>
      <c r="C6087" s="106"/>
      <c r="D6087" s="106"/>
      <c r="E6087" s="52"/>
    </row>
    <row r="6088" spans="1:5" s="103" customFormat="1" ht="13.2" hidden="1" outlineLevel="1" x14ac:dyDescent="0.25">
      <c r="A6088" s="106" t="s">
        <v>12187</v>
      </c>
      <c r="B6088" s="106" t="s">
        <v>12188</v>
      </c>
      <c r="C6088" s="106"/>
      <c r="D6088" s="106"/>
      <c r="E6088" s="52"/>
    </row>
    <row r="6089" spans="1:5" s="103" customFormat="1" ht="13.2" hidden="1" outlineLevel="1" x14ac:dyDescent="0.25">
      <c r="A6089" s="106" t="s">
        <v>12189</v>
      </c>
      <c r="B6089" s="106" t="s">
        <v>12190</v>
      </c>
      <c r="C6089" s="106"/>
      <c r="D6089" s="106"/>
      <c r="E6089" s="52"/>
    </row>
    <row r="6090" spans="1:5" s="103" customFormat="1" ht="13.2" hidden="1" outlineLevel="1" x14ac:dyDescent="0.25">
      <c r="A6090" s="106" t="s">
        <v>12191</v>
      </c>
      <c r="B6090" s="106" t="s">
        <v>12192</v>
      </c>
      <c r="C6090" s="106"/>
      <c r="D6090" s="106"/>
      <c r="E6090" s="52"/>
    </row>
    <row r="6091" spans="1:5" s="103" customFormat="1" ht="13.2" hidden="1" outlineLevel="1" x14ac:dyDescent="0.25">
      <c r="A6091" s="106" t="s">
        <v>12193</v>
      </c>
      <c r="B6091" s="106" t="s">
        <v>12194</v>
      </c>
      <c r="C6091" s="106"/>
      <c r="D6091" s="106"/>
      <c r="E6091" s="52"/>
    </row>
    <row r="6092" spans="1:5" s="103" customFormat="1" ht="13.2" hidden="1" outlineLevel="1" x14ac:dyDescent="0.25">
      <c r="A6092" s="106" t="s">
        <v>12195</v>
      </c>
      <c r="B6092" s="106" t="s">
        <v>12196</v>
      </c>
      <c r="C6092" s="106"/>
      <c r="D6092" s="106"/>
      <c r="E6092" s="52"/>
    </row>
    <row r="6093" spans="1:5" s="103" customFormat="1" ht="13.2" hidden="1" outlineLevel="1" x14ac:dyDescent="0.25">
      <c r="A6093" s="106" t="s">
        <v>12197</v>
      </c>
      <c r="B6093" s="106" t="s">
        <v>12198</v>
      </c>
      <c r="C6093" s="106"/>
      <c r="D6093" s="106"/>
      <c r="E6093" s="52"/>
    </row>
    <row r="6094" spans="1:5" s="103" customFormat="1" ht="13.2" hidden="1" outlineLevel="1" x14ac:dyDescent="0.25">
      <c r="A6094" s="106" t="s">
        <v>12199</v>
      </c>
      <c r="B6094" s="106" t="s">
        <v>6129</v>
      </c>
      <c r="C6094" s="106"/>
      <c r="D6094" s="106"/>
      <c r="E6094" s="52"/>
    </row>
    <row r="6095" spans="1:5" s="103" customFormat="1" ht="13.2" hidden="1" outlineLevel="1" x14ac:dyDescent="0.25">
      <c r="A6095" s="106" t="s">
        <v>12200</v>
      </c>
      <c r="B6095" s="106" t="s">
        <v>12201</v>
      </c>
      <c r="C6095" s="106"/>
      <c r="D6095" s="106"/>
      <c r="E6095" s="52"/>
    </row>
    <row r="6096" spans="1:5" s="103" customFormat="1" ht="13.2" hidden="1" outlineLevel="1" x14ac:dyDescent="0.25">
      <c r="A6096" s="106" t="s">
        <v>12202</v>
      </c>
      <c r="B6096" s="106" t="s">
        <v>12203</v>
      </c>
      <c r="C6096" s="106"/>
      <c r="D6096" s="106"/>
      <c r="E6096" s="52"/>
    </row>
    <row r="6097" spans="1:5" s="103" customFormat="1" ht="13.2" hidden="1" outlineLevel="1" x14ac:dyDescent="0.25">
      <c r="A6097" s="106" t="s">
        <v>12204</v>
      </c>
      <c r="B6097" s="106" t="s">
        <v>12205</v>
      </c>
      <c r="C6097" s="106"/>
      <c r="D6097" s="106"/>
      <c r="E6097" s="52"/>
    </row>
    <row r="6098" spans="1:5" s="103" customFormat="1" ht="13.2" hidden="1" outlineLevel="1" x14ac:dyDescent="0.25">
      <c r="A6098" s="106" t="s">
        <v>12206</v>
      </c>
      <c r="B6098" s="106" t="s">
        <v>12207</v>
      </c>
      <c r="C6098" s="106"/>
      <c r="D6098" s="106"/>
      <c r="E6098" s="52"/>
    </row>
    <row r="6099" spans="1:5" s="103" customFormat="1" ht="13.2" hidden="1" outlineLevel="1" x14ac:dyDescent="0.25">
      <c r="A6099" s="106" t="s">
        <v>12208</v>
      </c>
      <c r="B6099" s="106" t="s">
        <v>12209</v>
      </c>
      <c r="C6099" s="106"/>
      <c r="D6099" s="106"/>
      <c r="E6099" s="52"/>
    </row>
    <row r="6100" spans="1:5" s="103" customFormat="1" ht="13.2" hidden="1" outlineLevel="1" x14ac:dyDescent="0.25">
      <c r="A6100" s="106" t="s">
        <v>12210</v>
      </c>
      <c r="B6100" s="106" t="s">
        <v>12211</v>
      </c>
      <c r="C6100" s="106"/>
      <c r="D6100" s="106"/>
      <c r="E6100" s="52"/>
    </row>
    <row r="6101" spans="1:5" s="103" customFormat="1" ht="13.2" hidden="1" outlineLevel="1" x14ac:dyDescent="0.25">
      <c r="A6101" s="106" t="s">
        <v>12212</v>
      </c>
      <c r="B6101" s="106" t="s">
        <v>12213</v>
      </c>
      <c r="C6101" s="106"/>
      <c r="D6101" s="106"/>
      <c r="E6101" s="52"/>
    </row>
    <row r="6102" spans="1:5" s="103" customFormat="1" ht="13.2" hidden="1" outlineLevel="1" x14ac:dyDescent="0.25">
      <c r="A6102" s="106" t="s">
        <v>12214</v>
      </c>
      <c r="B6102" s="106" t="s">
        <v>12215</v>
      </c>
      <c r="C6102" s="106"/>
      <c r="D6102" s="106"/>
      <c r="E6102" s="52"/>
    </row>
    <row r="6103" spans="1:5" s="103" customFormat="1" ht="13.2" hidden="1" outlineLevel="1" x14ac:dyDescent="0.25">
      <c r="A6103" s="106" t="s">
        <v>12216</v>
      </c>
      <c r="B6103" s="106" t="s">
        <v>12217</v>
      </c>
      <c r="C6103" s="106"/>
      <c r="D6103" s="106"/>
      <c r="E6103" s="52"/>
    </row>
    <row r="6104" spans="1:5" s="103" customFormat="1" ht="13.2" hidden="1" outlineLevel="1" x14ac:dyDescent="0.25">
      <c r="A6104" s="106" t="s">
        <v>12218</v>
      </c>
      <c r="B6104" s="106" t="s">
        <v>12219</v>
      </c>
      <c r="C6104" s="106"/>
      <c r="D6104" s="106"/>
      <c r="E6104" s="52"/>
    </row>
    <row r="6105" spans="1:5" s="103" customFormat="1" ht="13.2" hidden="1" outlineLevel="1" x14ac:dyDescent="0.25">
      <c r="A6105" s="106" t="s">
        <v>12220</v>
      </c>
      <c r="B6105" s="106" t="s">
        <v>12221</v>
      </c>
      <c r="C6105" s="106"/>
      <c r="D6105" s="106"/>
      <c r="E6105" s="52"/>
    </row>
    <row r="6106" spans="1:5" s="103" customFormat="1" ht="13.2" hidden="1" outlineLevel="1" x14ac:dyDescent="0.25">
      <c r="A6106" s="106" t="s">
        <v>12222</v>
      </c>
      <c r="B6106" s="106" t="s">
        <v>12223</v>
      </c>
      <c r="C6106" s="106"/>
      <c r="D6106" s="106"/>
      <c r="E6106" s="52"/>
    </row>
    <row r="6107" spans="1:5" s="103" customFormat="1" ht="13.2" hidden="1" outlineLevel="1" x14ac:dyDescent="0.25">
      <c r="A6107" s="106" t="s">
        <v>12224</v>
      </c>
      <c r="B6107" s="106" t="s">
        <v>12225</v>
      </c>
      <c r="C6107" s="106"/>
      <c r="D6107" s="106"/>
      <c r="E6107" s="52"/>
    </row>
    <row r="6108" spans="1:5" s="103" customFormat="1" ht="13.2" hidden="1" outlineLevel="1" x14ac:dyDescent="0.25">
      <c r="A6108" s="106" t="s">
        <v>12226</v>
      </c>
      <c r="B6108" s="106" t="s">
        <v>12227</v>
      </c>
      <c r="C6108" s="106"/>
      <c r="D6108" s="106"/>
      <c r="E6108" s="52"/>
    </row>
    <row r="6109" spans="1:5" s="103" customFormat="1" ht="13.2" hidden="1" outlineLevel="1" x14ac:dyDescent="0.25">
      <c r="A6109" s="106" t="s">
        <v>12228</v>
      </c>
      <c r="B6109" s="106" t="s">
        <v>12229</v>
      </c>
      <c r="C6109" s="106"/>
      <c r="D6109" s="106"/>
      <c r="E6109" s="52"/>
    </row>
    <row r="6110" spans="1:5" s="103" customFormat="1" ht="13.2" hidden="1" outlineLevel="1" x14ac:dyDescent="0.25">
      <c r="A6110" s="106" t="s">
        <v>12230</v>
      </c>
      <c r="B6110" s="106" t="s">
        <v>12231</v>
      </c>
      <c r="C6110" s="106"/>
      <c r="D6110" s="106"/>
      <c r="E6110" s="52"/>
    </row>
    <row r="6111" spans="1:5" s="103" customFormat="1" ht="13.2" hidden="1" outlineLevel="1" x14ac:dyDescent="0.25">
      <c r="A6111" s="106" t="s">
        <v>12232</v>
      </c>
      <c r="B6111" s="106" t="s">
        <v>12233</v>
      </c>
      <c r="C6111" s="106"/>
      <c r="D6111" s="106"/>
      <c r="E6111" s="52"/>
    </row>
    <row r="6112" spans="1:5" s="103" customFormat="1" ht="13.2" hidden="1" outlineLevel="1" x14ac:dyDescent="0.25">
      <c r="A6112" s="106" t="s">
        <v>12234</v>
      </c>
      <c r="B6112" s="106" t="s">
        <v>12235</v>
      </c>
      <c r="C6112" s="106"/>
      <c r="D6112" s="106"/>
      <c r="E6112" s="52"/>
    </row>
    <row r="6113" spans="1:5" s="103" customFormat="1" ht="13.2" hidden="1" outlineLevel="1" x14ac:dyDescent="0.25">
      <c r="A6113" s="106" t="s">
        <v>12236</v>
      </c>
      <c r="B6113" s="106" t="s">
        <v>12237</v>
      </c>
      <c r="C6113" s="106"/>
      <c r="D6113" s="106"/>
      <c r="E6113" s="52"/>
    </row>
    <row r="6114" spans="1:5" s="103" customFormat="1" ht="13.2" hidden="1" outlineLevel="1" x14ac:dyDescent="0.25">
      <c r="A6114" s="106" t="s">
        <v>12238</v>
      </c>
      <c r="B6114" s="106" t="s">
        <v>12239</v>
      </c>
      <c r="C6114" s="106"/>
      <c r="D6114" s="106"/>
      <c r="E6114" s="52"/>
    </row>
    <row r="6115" spans="1:5" s="103" customFormat="1" ht="13.2" hidden="1" outlineLevel="1" x14ac:dyDescent="0.25">
      <c r="A6115" s="106" t="s">
        <v>12240</v>
      </c>
      <c r="B6115" s="106" t="s">
        <v>12241</v>
      </c>
      <c r="C6115" s="106"/>
      <c r="D6115" s="106"/>
      <c r="E6115" s="52"/>
    </row>
    <row r="6116" spans="1:5" s="103" customFormat="1" ht="13.2" hidden="1" outlineLevel="1" x14ac:dyDescent="0.25">
      <c r="A6116" s="106" t="s">
        <v>12242</v>
      </c>
      <c r="B6116" s="106" t="s">
        <v>12243</v>
      </c>
      <c r="C6116" s="106"/>
      <c r="D6116" s="106"/>
      <c r="E6116" s="52"/>
    </row>
    <row r="6117" spans="1:5" s="103" customFormat="1" ht="13.2" hidden="1" outlineLevel="1" x14ac:dyDescent="0.25">
      <c r="A6117" s="106" t="s">
        <v>12244</v>
      </c>
      <c r="B6117" s="106" t="s">
        <v>12245</v>
      </c>
      <c r="C6117" s="106"/>
      <c r="D6117" s="106"/>
      <c r="E6117" s="52"/>
    </row>
    <row r="6118" spans="1:5" s="103" customFormat="1" ht="13.2" hidden="1" outlineLevel="1" x14ac:dyDescent="0.25">
      <c r="A6118" s="106" t="s">
        <v>12246</v>
      </c>
      <c r="B6118" s="106" t="s">
        <v>12247</v>
      </c>
      <c r="C6118" s="106"/>
      <c r="D6118" s="106"/>
      <c r="E6118" s="52"/>
    </row>
    <row r="6119" spans="1:5" s="103" customFormat="1" ht="13.2" hidden="1" outlineLevel="1" x14ac:dyDescent="0.25">
      <c r="A6119" s="106" t="s">
        <v>12248</v>
      </c>
      <c r="B6119" s="106" t="s">
        <v>12249</v>
      </c>
      <c r="C6119" s="106"/>
      <c r="D6119" s="106"/>
      <c r="E6119" s="52"/>
    </row>
    <row r="6120" spans="1:5" s="103" customFormat="1" ht="13.2" hidden="1" outlineLevel="1" x14ac:dyDescent="0.25">
      <c r="A6120" s="106" t="s">
        <v>12250</v>
      </c>
      <c r="B6120" s="106" t="s">
        <v>12251</v>
      </c>
      <c r="C6120" s="106"/>
      <c r="D6120" s="106"/>
      <c r="E6120" s="52"/>
    </row>
    <row r="6121" spans="1:5" s="103" customFormat="1" ht="13.2" hidden="1" outlineLevel="1" x14ac:dyDescent="0.25">
      <c r="A6121" s="106" t="s">
        <v>12252</v>
      </c>
      <c r="B6121" s="106" t="s">
        <v>12253</v>
      </c>
      <c r="C6121" s="106"/>
      <c r="D6121" s="106"/>
      <c r="E6121" s="52"/>
    </row>
    <row r="6122" spans="1:5" s="103" customFormat="1" ht="13.2" hidden="1" outlineLevel="1" x14ac:dyDescent="0.25">
      <c r="A6122" s="106" t="s">
        <v>12254</v>
      </c>
      <c r="B6122" s="106" t="s">
        <v>12255</v>
      </c>
      <c r="C6122" s="106"/>
      <c r="D6122" s="106"/>
      <c r="E6122" s="52"/>
    </row>
    <row r="6123" spans="1:5" s="103" customFormat="1" ht="13.2" hidden="1" outlineLevel="1" x14ac:dyDescent="0.25">
      <c r="A6123" s="106" t="s">
        <v>12256</v>
      </c>
      <c r="B6123" s="106" t="s">
        <v>12257</v>
      </c>
      <c r="C6123" s="106"/>
      <c r="D6123" s="106"/>
      <c r="E6123" s="52"/>
    </row>
    <row r="6124" spans="1:5" s="103" customFormat="1" ht="13.2" hidden="1" outlineLevel="1" x14ac:dyDescent="0.25">
      <c r="A6124" s="106" t="s">
        <v>12258</v>
      </c>
      <c r="B6124" s="106" t="s">
        <v>12259</v>
      </c>
      <c r="C6124" s="106"/>
      <c r="D6124" s="106"/>
      <c r="E6124" s="52"/>
    </row>
    <row r="6125" spans="1:5" s="103" customFormat="1" ht="13.2" hidden="1" outlineLevel="1" x14ac:dyDescent="0.25">
      <c r="A6125" s="106" t="s">
        <v>12260</v>
      </c>
      <c r="B6125" s="106" t="s">
        <v>12261</v>
      </c>
      <c r="C6125" s="106"/>
      <c r="D6125" s="106"/>
      <c r="E6125" s="52"/>
    </row>
    <row r="6126" spans="1:5" s="103" customFormat="1" ht="13.2" hidden="1" outlineLevel="1" x14ac:dyDescent="0.25">
      <c r="A6126" s="106" t="s">
        <v>12262</v>
      </c>
      <c r="B6126" s="106" t="s">
        <v>12263</v>
      </c>
      <c r="C6126" s="106"/>
      <c r="D6126" s="106"/>
      <c r="E6126" s="52"/>
    </row>
    <row r="6127" spans="1:5" s="103" customFormat="1" ht="13.2" hidden="1" outlineLevel="1" x14ac:dyDescent="0.25">
      <c r="A6127" s="106" t="s">
        <v>12264</v>
      </c>
      <c r="B6127" s="106" t="s">
        <v>12265</v>
      </c>
      <c r="C6127" s="106"/>
      <c r="D6127" s="106"/>
      <c r="E6127" s="52"/>
    </row>
    <row r="6128" spans="1:5" s="103" customFormat="1" ht="13.2" hidden="1" outlineLevel="1" x14ac:dyDescent="0.25">
      <c r="A6128" s="106" t="s">
        <v>12266</v>
      </c>
      <c r="B6128" s="106" t="s">
        <v>12267</v>
      </c>
      <c r="C6128" s="106"/>
      <c r="D6128" s="106"/>
      <c r="E6128" s="52"/>
    </row>
    <row r="6129" spans="1:5" s="103" customFormat="1" ht="13.2" hidden="1" outlineLevel="1" x14ac:dyDescent="0.25">
      <c r="A6129" s="106" t="s">
        <v>12268</v>
      </c>
      <c r="B6129" s="106" t="s">
        <v>12269</v>
      </c>
      <c r="C6129" s="106"/>
      <c r="D6129" s="106"/>
      <c r="E6129" s="52"/>
    </row>
    <row r="6130" spans="1:5" s="103" customFormat="1" ht="13.2" hidden="1" outlineLevel="1" x14ac:dyDescent="0.25">
      <c r="A6130" s="106" t="s">
        <v>12270</v>
      </c>
      <c r="B6130" s="106" t="s">
        <v>12271</v>
      </c>
      <c r="C6130" s="106"/>
      <c r="D6130" s="106"/>
      <c r="E6130" s="52"/>
    </row>
    <row r="6131" spans="1:5" s="103" customFormat="1" ht="13.2" hidden="1" outlineLevel="1" x14ac:dyDescent="0.25">
      <c r="A6131" s="106" t="s">
        <v>12272</v>
      </c>
      <c r="B6131" s="106" t="s">
        <v>12273</v>
      </c>
      <c r="C6131" s="106"/>
      <c r="D6131" s="106"/>
      <c r="E6131" s="52"/>
    </row>
    <row r="6132" spans="1:5" s="103" customFormat="1" ht="13.2" hidden="1" outlineLevel="1" x14ac:dyDescent="0.25">
      <c r="A6132" s="106" t="s">
        <v>12274</v>
      </c>
      <c r="B6132" s="106" t="s">
        <v>12275</v>
      </c>
      <c r="C6132" s="106"/>
      <c r="D6132" s="106"/>
      <c r="E6132" s="52"/>
    </row>
    <row r="6133" spans="1:5" s="103" customFormat="1" ht="13.2" hidden="1" outlineLevel="1" x14ac:dyDescent="0.25">
      <c r="A6133" s="106" t="s">
        <v>12276</v>
      </c>
      <c r="B6133" s="106" t="s">
        <v>12277</v>
      </c>
      <c r="C6133" s="106"/>
      <c r="D6133" s="106"/>
      <c r="E6133" s="52"/>
    </row>
    <row r="6134" spans="1:5" s="103" customFormat="1" ht="13.2" hidden="1" outlineLevel="1" x14ac:dyDescent="0.25">
      <c r="A6134" s="106" t="s">
        <v>12278</v>
      </c>
      <c r="B6134" s="106" t="s">
        <v>12279</v>
      </c>
      <c r="C6134" s="106"/>
      <c r="D6134" s="106"/>
      <c r="E6134" s="52"/>
    </row>
    <row r="6135" spans="1:5" s="103" customFormat="1" ht="13.2" hidden="1" outlineLevel="1" x14ac:dyDescent="0.25">
      <c r="A6135" s="106" t="s">
        <v>12280</v>
      </c>
      <c r="B6135" s="106" t="s">
        <v>12281</v>
      </c>
      <c r="C6135" s="106"/>
      <c r="D6135" s="106"/>
      <c r="E6135" s="52"/>
    </row>
    <row r="6136" spans="1:5" s="103" customFormat="1" ht="13.2" hidden="1" outlineLevel="1" x14ac:dyDescent="0.25">
      <c r="A6136" s="106" t="s">
        <v>12282</v>
      </c>
      <c r="B6136" s="106" t="s">
        <v>12283</v>
      </c>
      <c r="C6136" s="106"/>
      <c r="D6136" s="106"/>
      <c r="E6136" s="52"/>
    </row>
    <row r="6137" spans="1:5" s="103" customFormat="1" ht="13.2" hidden="1" outlineLevel="1" x14ac:dyDescent="0.25">
      <c r="A6137" s="106" t="s">
        <v>12284</v>
      </c>
      <c r="B6137" s="106" t="s">
        <v>12285</v>
      </c>
      <c r="C6137" s="106"/>
      <c r="D6137" s="106"/>
      <c r="E6137" s="52"/>
    </row>
    <row r="6138" spans="1:5" s="103" customFormat="1" ht="13.2" hidden="1" outlineLevel="1" x14ac:dyDescent="0.25">
      <c r="A6138" s="106" t="s">
        <v>12286</v>
      </c>
      <c r="B6138" s="106" t="s">
        <v>12287</v>
      </c>
      <c r="C6138" s="106"/>
      <c r="D6138" s="106"/>
      <c r="E6138" s="52"/>
    </row>
    <row r="6139" spans="1:5" s="103" customFormat="1" ht="13.2" hidden="1" outlineLevel="1" x14ac:dyDescent="0.25">
      <c r="A6139" s="106" t="s">
        <v>12288</v>
      </c>
      <c r="B6139" s="106" t="s">
        <v>12289</v>
      </c>
      <c r="C6139" s="106"/>
      <c r="D6139" s="106"/>
      <c r="E6139" s="52"/>
    </row>
    <row r="6140" spans="1:5" s="103" customFormat="1" ht="13.2" hidden="1" outlineLevel="1" x14ac:dyDescent="0.25">
      <c r="A6140" s="106" t="s">
        <v>12290</v>
      </c>
      <c r="B6140" s="106" t="s">
        <v>12291</v>
      </c>
      <c r="C6140" s="106"/>
      <c r="D6140" s="106"/>
      <c r="E6140" s="52"/>
    </row>
    <row r="6141" spans="1:5" s="103" customFormat="1" ht="13.2" hidden="1" outlineLevel="1" x14ac:dyDescent="0.25">
      <c r="A6141" s="106" t="s">
        <v>12292</v>
      </c>
      <c r="B6141" s="106" t="s">
        <v>12293</v>
      </c>
      <c r="C6141" s="106"/>
      <c r="D6141" s="106"/>
      <c r="E6141" s="52"/>
    </row>
    <row r="6142" spans="1:5" s="103" customFormat="1" ht="13.2" hidden="1" outlineLevel="1" x14ac:dyDescent="0.25">
      <c r="A6142" s="106" t="s">
        <v>12294</v>
      </c>
      <c r="B6142" s="106" t="s">
        <v>12295</v>
      </c>
      <c r="C6142" s="106"/>
      <c r="D6142" s="106"/>
      <c r="E6142" s="52"/>
    </row>
    <row r="6143" spans="1:5" s="103" customFormat="1" ht="13.2" hidden="1" outlineLevel="1" x14ac:dyDescent="0.25">
      <c r="A6143" s="106" t="s">
        <v>12296</v>
      </c>
      <c r="B6143" s="106" t="s">
        <v>12297</v>
      </c>
      <c r="C6143" s="106"/>
      <c r="D6143" s="106"/>
      <c r="E6143" s="52"/>
    </row>
    <row r="6144" spans="1:5" s="103" customFormat="1" ht="13.2" hidden="1" outlineLevel="1" x14ac:dyDescent="0.25">
      <c r="A6144" s="106" t="s">
        <v>12298</v>
      </c>
      <c r="B6144" s="106" t="s">
        <v>12299</v>
      </c>
      <c r="C6144" s="106"/>
      <c r="D6144" s="106"/>
      <c r="E6144" s="52"/>
    </row>
    <row r="6145" spans="1:5" s="103" customFormat="1" ht="13.2" hidden="1" outlineLevel="1" x14ac:dyDescent="0.25">
      <c r="A6145" s="106" t="s">
        <v>12300</v>
      </c>
      <c r="B6145" s="106" t="s">
        <v>12301</v>
      </c>
      <c r="C6145" s="106"/>
      <c r="D6145" s="106"/>
      <c r="E6145" s="52"/>
    </row>
    <row r="6146" spans="1:5" s="103" customFormat="1" ht="13.2" hidden="1" outlineLevel="1" x14ac:dyDescent="0.25">
      <c r="A6146" s="106" t="s">
        <v>12302</v>
      </c>
      <c r="B6146" s="106" t="s">
        <v>12303</v>
      </c>
      <c r="C6146" s="106"/>
      <c r="D6146" s="106"/>
      <c r="E6146" s="52"/>
    </row>
    <row r="6147" spans="1:5" s="103" customFormat="1" ht="13.2" hidden="1" outlineLevel="1" x14ac:dyDescent="0.25">
      <c r="A6147" s="106" t="s">
        <v>12304</v>
      </c>
      <c r="B6147" s="106" t="s">
        <v>12305</v>
      </c>
      <c r="C6147" s="106"/>
      <c r="D6147" s="106"/>
      <c r="E6147" s="52"/>
    </row>
    <row r="6148" spans="1:5" s="103" customFormat="1" ht="13.2" hidden="1" outlineLevel="1" x14ac:dyDescent="0.25">
      <c r="A6148" s="106" t="s">
        <v>12306</v>
      </c>
      <c r="B6148" s="106" t="s">
        <v>12307</v>
      </c>
      <c r="C6148" s="106"/>
      <c r="D6148" s="106"/>
      <c r="E6148" s="52"/>
    </row>
    <row r="6149" spans="1:5" s="103" customFormat="1" ht="13.2" hidden="1" outlineLevel="1" x14ac:dyDescent="0.25">
      <c r="A6149" s="106" t="s">
        <v>12308</v>
      </c>
      <c r="B6149" s="106" t="s">
        <v>12309</v>
      </c>
      <c r="C6149" s="106"/>
      <c r="D6149" s="106"/>
      <c r="E6149" s="52"/>
    </row>
    <row r="6150" spans="1:5" s="103" customFormat="1" ht="13.2" hidden="1" outlineLevel="1" x14ac:dyDescent="0.25">
      <c r="A6150" s="106" t="s">
        <v>12310</v>
      </c>
      <c r="B6150" s="106" t="s">
        <v>12311</v>
      </c>
      <c r="C6150" s="106"/>
      <c r="D6150" s="106"/>
      <c r="E6150" s="52"/>
    </row>
    <row r="6151" spans="1:5" s="103" customFormat="1" ht="13.2" hidden="1" outlineLevel="1" x14ac:dyDescent="0.25">
      <c r="A6151" s="106" t="s">
        <v>12312</v>
      </c>
      <c r="B6151" s="106" t="s">
        <v>12313</v>
      </c>
      <c r="C6151" s="106"/>
      <c r="D6151" s="106"/>
      <c r="E6151" s="52"/>
    </row>
    <row r="6152" spans="1:5" s="103" customFormat="1" ht="13.2" hidden="1" outlineLevel="1" x14ac:dyDescent="0.25">
      <c r="A6152" s="106" t="s">
        <v>12314</v>
      </c>
      <c r="B6152" s="106" t="s">
        <v>12315</v>
      </c>
      <c r="C6152" s="106"/>
      <c r="D6152" s="106"/>
      <c r="E6152" s="52"/>
    </row>
    <row r="6153" spans="1:5" s="103" customFormat="1" ht="13.2" hidden="1" outlineLevel="1" x14ac:dyDescent="0.25">
      <c r="A6153" s="106" t="s">
        <v>12316</v>
      </c>
      <c r="B6153" s="106" t="s">
        <v>12317</v>
      </c>
      <c r="C6153" s="106"/>
      <c r="D6153" s="106"/>
      <c r="E6153" s="52"/>
    </row>
    <row r="6154" spans="1:5" s="103" customFormat="1" ht="13.2" hidden="1" outlineLevel="1" x14ac:dyDescent="0.25">
      <c r="A6154" s="106" t="s">
        <v>12318</v>
      </c>
      <c r="B6154" s="106" t="s">
        <v>12319</v>
      </c>
      <c r="C6154" s="106"/>
      <c r="D6154" s="106"/>
      <c r="E6154" s="52"/>
    </row>
    <row r="6155" spans="1:5" s="103" customFormat="1" ht="13.2" hidden="1" outlineLevel="1" x14ac:dyDescent="0.25">
      <c r="A6155" s="106" t="s">
        <v>12320</v>
      </c>
      <c r="B6155" s="106" t="s">
        <v>12321</v>
      </c>
      <c r="C6155" s="106"/>
      <c r="D6155" s="106"/>
      <c r="E6155" s="52"/>
    </row>
    <row r="6156" spans="1:5" s="103" customFormat="1" ht="13.2" hidden="1" outlineLevel="1" x14ac:dyDescent="0.25">
      <c r="A6156" s="106" t="s">
        <v>12322</v>
      </c>
      <c r="B6156" s="106" t="s">
        <v>12323</v>
      </c>
      <c r="C6156" s="106"/>
      <c r="D6156" s="106"/>
      <c r="E6156" s="52"/>
    </row>
    <row r="6157" spans="1:5" s="103" customFormat="1" ht="13.2" hidden="1" outlineLevel="1" x14ac:dyDescent="0.25">
      <c r="A6157" s="106" t="s">
        <v>12324</v>
      </c>
      <c r="B6157" s="106" t="s">
        <v>12325</v>
      </c>
      <c r="C6157" s="106"/>
      <c r="D6157" s="106"/>
      <c r="E6157" s="52"/>
    </row>
    <row r="6158" spans="1:5" s="103" customFormat="1" ht="13.2" hidden="1" outlineLevel="1" x14ac:dyDescent="0.25">
      <c r="A6158" s="106" t="s">
        <v>12326</v>
      </c>
      <c r="B6158" s="106" t="s">
        <v>12327</v>
      </c>
      <c r="C6158" s="106"/>
      <c r="D6158" s="106"/>
      <c r="E6158" s="52"/>
    </row>
    <row r="6159" spans="1:5" s="103" customFormat="1" ht="13.2" hidden="1" outlineLevel="1" x14ac:dyDescent="0.25">
      <c r="A6159" s="106" t="s">
        <v>12328</v>
      </c>
      <c r="B6159" s="106" t="s">
        <v>12329</v>
      </c>
      <c r="C6159" s="106"/>
      <c r="D6159" s="106"/>
      <c r="E6159" s="52"/>
    </row>
    <row r="6160" spans="1:5" s="103" customFormat="1" ht="13.2" hidden="1" outlineLevel="1" x14ac:dyDescent="0.25">
      <c r="A6160" s="106" t="s">
        <v>12330</v>
      </c>
      <c r="B6160" s="106" t="s">
        <v>12331</v>
      </c>
      <c r="C6160" s="106"/>
      <c r="D6160" s="106"/>
      <c r="E6160" s="52"/>
    </row>
    <row r="6161" spans="1:5" s="103" customFormat="1" ht="13.2" hidden="1" outlineLevel="1" x14ac:dyDescent="0.25">
      <c r="A6161" s="106" t="s">
        <v>12332</v>
      </c>
      <c r="B6161" s="106" t="s">
        <v>12333</v>
      </c>
      <c r="C6161" s="106"/>
      <c r="D6161" s="106"/>
      <c r="E6161" s="52"/>
    </row>
    <row r="6162" spans="1:5" s="103" customFormat="1" ht="13.2" hidden="1" outlineLevel="1" x14ac:dyDescent="0.25">
      <c r="A6162" s="106" t="s">
        <v>12334</v>
      </c>
      <c r="B6162" s="106" t="s">
        <v>12335</v>
      </c>
      <c r="C6162" s="106"/>
      <c r="D6162" s="106"/>
      <c r="E6162" s="52"/>
    </row>
    <row r="6163" spans="1:5" s="103" customFormat="1" ht="13.2" hidden="1" outlineLevel="1" x14ac:dyDescent="0.25">
      <c r="A6163" s="106" t="s">
        <v>12336</v>
      </c>
      <c r="B6163" s="106" t="s">
        <v>12337</v>
      </c>
      <c r="C6163" s="106"/>
      <c r="D6163" s="106"/>
      <c r="E6163" s="52"/>
    </row>
    <row r="6164" spans="1:5" s="103" customFormat="1" ht="13.2" hidden="1" outlineLevel="1" x14ac:dyDescent="0.25">
      <c r="A6164" s="106" t="s">
        <v>12338</v>
      </c>
      <c r="B6164" s="106" t="s">
        <v>12339</v>
      </c>
      <c r="C6164" s="106"/>
      <c r="D6164" s="106"/>
      <c r="E6164" s="52"/>
    </row>
    <row r="6165" spans="1:5" s="103" customFormat="1" ht="13.2" hidden="1" outlineLevel="1" x14ac:dyDescent="0.25">
      <c r="A6165" s="106" t="s">
        <v>12340</v>
      </c>
      <c r="B6165" s="106" t="s">
        <v>12341</v>
      </c>
      <c r="C6165" s="106"/>
      <c r="D6165" s="106"/>
      <c r="E6165" s="52"/>
    </row>
    <row r="6166" spans="1:5" s="103" customFormat="1" ht="13.2" hidden="1" outlineLevel="1" x14ac:dyDescent="0.25">
      <c r="A6166" s="106" t="s">
        <v>12342</v>
      </c>
      <c r="B6166" s="106" t="s">
        <v>12343</v>
      </c>
      <c r="C6166" s="106"/>
      <c r="D6166" s="106"/>
      <c r="E6166" s="52"/>
    </row>
    <row r="6167" spans="1:5" s="103" customFormat="1" ht="13.2" hidden="1" outlineLevel="1" x14ac:dyDescent="0.25">
      <c r="A6167" s="106" t="s">
        <v>12344</v>
      </c>
      <c r="B6167" s="106" t="s">
        <v>12345</v>
      </c>
      <c r="C6167" s="106"/>
      <c r="D6167" s="106"/>
      <c r="E6167" s="52"/>
    </row>
    <row r="6168" spans="1:5" s="103" customFormat="1" ht="13.2" hidden="1" outlineLevel="1" x14ac:dyDescent="0.25">
      <c r="A6168" s="106" t="s">
        <v>12346</v>
      </c>
      <c r="B6168" s="106" t="s">
        <v>12347</v>
      </c>
      <c r="C6168" s="106"/>
      <c r="D6168" s="106"/>
      <c r="E6168" s="52"/>
    </row>
    <row r="6169" spans="1:5" s="103" customFormat="1" ht="13.2" hidden="1" outlineLevel="1" x14ac:dyDescent="0.25">
      <c r="A6169" s="106" t="s">
        <v>12348</v>
      </c>
      <c r="B6169" s="106" t="s">
        <v>12349</v>
      </c>
      <c r="C6169" s="106"/>
      <c r="D6169" s="106"/>
      <c r="E6169" s="52"/>
    </row>
    <row r="6170" spans="1:5" s="103" customFormat="1" ht="13.2" hidden="1" outlineLevel="1" x14ac:dyDescent="0.25">
      <c r="A6170" s="106" t="s">
        <v>12350</v>
      </c>
      <c r="B6170" s="106" t="s">
        <v>12351</v>
      </c>
      <c r="C6170" s="106"/>
      <c r="D6170" s="106"/>
      <c r="E6170" s="52"/>
    </row>
    <row r="6171" spans="1:5" s="103" customFormat="1" ht="13.2" hidden="1" outlineLevel="1" x14ac:dyDescent="0.25">
      <c r="A6171" s="106" t="s">
        <v>12352</v>
      </c>
      <c r="B6171" s="106" t="s">
        <v>12353</v>
      </c>
      <c r="C6171" s="106"/>
      <c r="D6171" s="106"/>
      <c r="E6171" s="52"/>
    </row>
    <row r="6172" spans="1:5" s="103" customFormat="1" ht="13.2" hidden="1" outlineLevel="1" x14ac:dyDescent="0.25">
      <c r="A6172" s="106" t="s">
        <v>12354</v>
      </c>
      <c r="B6172" s="106" t="s">
        <v>12355</v>
      </c>
      <c r="C6172" s="106"/>
      <c r="D6172" s="106"/>
      <c r="E6172" s="52"/>
    </row>
    <row r="6173" spans="1:5" s="103" customFormat="1" ht="13.2" hidden="1" outlineLevel="1" x14ac:dyDescent="0.25">
      <c r="A6173" s="106" t="s">
        <v>12356</v>
      </c>
      <c r="B6173" s="106" t="s">
        <v>12357</v>
      </c>
      <c r="C6173" s="106"/>
      <c r="D6173" s="106"/>
      <c r="E6173" s="52"/>
    </row>
    <row r="6174" spans="1:5" s="103" customFormat="1" ht="13.2" hidden="1" outlineLevel="1" x14ac:dyDescent="0.25">
      <c r="A6174" s="106" t="s">
        <v>12358</v>
      </c>
      <c r="B6174" s="106" t="s">
        <v>4763</v>
      </c>
      <c r="C6174" s="106"/>
      <c r="D6174" s="106"/>
      <c r="E6174" s="52"/>
    </row>
    <row r="6175" spans="1:5" s="103" customFormat="1" ht="13.2" hidden="1" outlineLevel="1" x14ac:dyDescent="0.25">
      <c r="A6175" s="106" t="s">
        <v>12359</v>
      </c>
      <c r="B6175" s="106" t="s">
        <v>12360</v>
      </c>
      <c r="C6175" s="106"/>
      <c r="D6175" s="106"/>
      <c r="E6175" s="52"/>
    </row>
    <row r="6176" spans="1:5" s="103" customFormat="1" ht="13.2" hidden="1" outlineLevel="1" x14ac:dyDescent="0.25">
      <c r="A6176" s="106" t="s">
        <v>12361</v>
      </c>
      <c r="B6176" s="106" t="s">
        <v>12362</v>
      </c>
      <c r="C6176" s="106"/>
      <c r="D6176" s="106"/>
      <c r="E6176" s="52"/>
    </row>
    <row r="6177" spans="1:5" s="103" customFormat="1" ht="13.2" hidden="1" outlineLevel="1" x14ac:dyDescent="0.25">
      <c r="A6177" s="106" t="s">
        <v>12363</v>
      </c>
      <c r="B6177" s="106" t="s">
        <v>12364</v>
      </c>
      <c r="C6177" s="106"/>
      <c r="D6177" s="106"/>
      <c r="E6177" s="52"/>
    </row>
    <row r="6178" spans="1:5" s="103" customFormat="1" ht="13.2" hidden="1" outlineLevel="1" x14ac:dyDescent="0.25">
      <c r="A6178" s="106" t="s">
        <v>12365</v>
      </c>
      <c r="B6178" s="106" t="s">
        <v>12366</v>
      </c>
      <c r="C6178" s="106"/>
      <c r="D6178" s="106"/>
      <c r="E6178" s="52"/>
    </row>
    <row r="6179" spans="1:5" s="103" customFormat="1" ht="13.2" hidden="1" outlineLevel="1" x14ac:dyDescent="0.25">
      <c r="A6179" s="106" t="s">
        <v>12367</v>
      </c>
      <c r="B6179" s="106" t="s">
        <v>12368</v>
      </c>
      <c r="C6179" s="106"/>
      <c r="D6179" s="106"/>
      <c r="E6179" s="52"/>
    </row>
    <row r="6180" spans="1:5" s="103" customFormat="1" ht="13.2" hidden="1" outlineLevel="1" x14ac:dyDescent="0.25">
      <c r="A6180" s="106" t="s">
        <v>12369</v>
      </c>
      <c r="B6180" s="106" t="s">
        <v>12370</v>
      </c>
      <c r="C6180" s="106"/>
      <c r="D6180" s="106"/>
      <c r="E6180" s="52"/>
    </row>
    <row r="6181" spans="1:5" s="103" customFormat="1" ht="13.2" hidden="1" outlineLevel="1" x14ac:dyDescent="0.25">
      <c r="A6181" s="106" t="s">
        <v>12371</v>
      </c>
      <c r="B6181" s="106" t="s">
        <v>12372</v>
      </c>
      <c r="C6181" s="106"/>
      <c r="D6181" s="106"/>
      <c r="E6181" s="52"/>
    </row>
    <row r="6182" spans="1:5" s="103" customFormat="1" ht="13.2" hidden="1" outlineLevel="1" x14ac:dyDescent="0.25">
      <c r="A6182" s="106" t="s">
        <v>12373</v>
      </c>
      <c r="B6182" s="106" t="s">
        <v>12374</v>
      </c>
      <c r="C6182" s="106"/>
      <c r="D6182" s="106"/>
      <c r="E6182" s="52"/>
    </row>
    <row r="6183" spans="1:5" s="103" customFormat="1" ht="13.2" hidden="1" outlineLevel="1" x14ac:dyDescent="0.25">
      <c r="A6183" s="106" t="s">
        <v>12375</v>
      </c>
      <c r="B6183" s="106" t="s">
        <v>12376</v>
      </c>
      <c r="C6183" s="106"/>
      <c r="D6183" s="106"/>
      <c r="E6183" s="52"/>
    </row>
    <row r="6184" spans="1:5" s="103" customFormat="1" ht="13.2" hidden="1" outlineLevel="1" x14ac:dyDescent="0.25">
      <c r="A6184" s="106" t="s">
        <v>12377</v>
      </c>
      <c r="B6184" s="106" t="s">
        <v>12378</v>
      </c>
      <c r="C6184" s="106"/>
      <c r="D6184" s="106"/>
      <c r="E6184" s="52"/>
    </row>
    <row r="6185" spans="1:5" s="103" customFormat="1" ht="13.2" hidden="1" outlineLevel="1" x14ac:dyDescent="0.25">
      <c r="A6185" s="106" t="s">
        <v>12379</v>
      </c>
      <c r="B6185" s="106" t="s">
        <v>12380</v>
      </c>
      <c r="C6185" s="106"/>
      <c r="D6185" s="106"/>
      <c r="E6185" s="52"/>
    </row>
    <row r="6186" spans="1:5" s="103" customFormat="1" ht="13.2" hidden="1" outlineLevel="1" x14ac:dyDescent="0.25">
      <c r="A6186" s="106" t="s">
        <v>12381</v>
      </c>
      <c r="B6186" s="106" t="s">
        <v>12382</v>
      </c>
      <c r="C6186" s="106"/>
      <c r="D6186" s="106"/>
      <c r="E6186" s="52"/>
    </row>
    <row r="6187" spans="1:5" s="103" customFormat="1" ht="13.2" hidden="1" outlineLevel="1" x14ac:dyDescent="0.25">
      <c r="A6187" s="106" t="s">
        <v>12383</v>
      </c>
      <c r="B6187" s="106" t="s">
        <v>12327</v>
      </c>
      <c r="C6187" s="106"/>
      <c r="D6187" s="106"/>
      <c r="E6187" s="52"/>
    </row>
    <row r="6188" spans="1:5" s="103" customFormat="1" ht="13.2" hidden="1" outlineLevel="1" x14ac:dyDescent="0.25">
      <c r="A6188" s="106" t="s">
        <v>12384</v>
      </c>
      <c r="B6188" s="106" t="s">
        <v>12385</v>
      </c>
      <c r="C6188" s="106"/>
      <c r="D6188" s="106"/>
      <c r="E6188" s="52"/>
    </row>
    <row r="6189" spans="1:5" s="103" customFormat="1" ht="13.2" hidden="1" outlineLevel="1" x14ac:dyDescent="0.25">
      <c r="A6189" s="106" t="s">
        <v>12386</v>
      </c>
      <c r="B6189" s="106" t="s">
        <v>12331</v>
      </c>
      <c r="C6189" s="106"/>
      <c r="D6189" s="106"/>
      <c r="E6189" s="52"/>
    </row>
    <row r="6190" spans="1:5" s="103" customFormat="1" ht="13.2" hidden="1" outlineLevel="1" x14ac:dyDescent="0.25">
      <c r="A6190" s="106" t="s">
        <v>12387</v>
      </c>
      <c r="B6190" s="106" t="s">
        <v>12388</v>
      </c>
      <c r="C6190" s="106"/>
      <c r="D6190" s="106"/>
      <c r="E6190" s="52"/>
    </row>
    <row r="6191" spans="1:5" s="103" customFormat="1" ht="13.2" hidden="1" outlineLevel="1" x14ac:dyDescent="0.25">
      <c r="A6191" s="106" t="s">
        <v>12389</v>
      </c>
      <c r="B6191" s="106" t="s">
        <v>12390</v>
      </c>
      <c r="C6191" s="106"/>
      <c r="D6191" s="106"/>
      <c r="E6191" s="52"/>
    </row>
    <row r="6192" spans="1:5" s="103" customFormat="1" ht="13.2" hidden="1" outlineLevel="1" x14ac:dyDescent="0.25">
      <c r="A6192" s="106" t="s">
        <v>12391</v>
      </c>
      <c r="B6192" s="106" t="s">
        <v>12392</v>
      </c>
      <c r="C6192" s="106"/>
      <c r="D6192" s="106"/>
      <c r="E6192" s="52"/>
    </row>
    <row r="6193" spans="1:5" s="103" customFormat="1" ht="13.2" hidden="1" outlineLevel="1" x14ac:dyDescent="0.25">
      <c r="A6193" s="106" t="s">
        <v>12393</v>
      </c>
      <c r="B6193" s="106" t="s">
        <v>12394</v>
      </c>
      <c r="C6193" s="106"/>
      <c r="D6193" s="106"/>
      <c r="E6193" s="52"/>
    </row>
    <row r="6194" spans="1:5" s="103" customFormat="1" ht="13.2" hidden="1" outlineLevel="1" x14ac:dyDescent="0.25">
      <c r="A6194" s="106" t="s">
        <v>12395</v>
      </c>
      <c r="B6194" s="106" t="s">
        <v>12396</v>
      </c>
      <c r="C6194" s="106"/>
      <c r="D6194" s="106"/>
      <c r="E6194" s="52"/>
    </row>
    <row r="6195" spans="1:5" s="103" customFormat="1" ht="13.2" hidden="1" outlineLevel="1" x14ac:dyDescent="0.25">
      <c r="A6195" s="106" t="s">
        <v>12397</v>
      </c>
      <c r="B6195" s="106" t="s">
        <v>12398</v>
      </c>
      <c r="C6195" s="106"/>
      <c r="D6195" s="106"/>
      <c r="E6195" s="52"/>
    </row>
    <row r="6196" spans="1:5" s="103" customFormat="1" ht="13.2" hidden="1" outlineLevel="1" x14ac:dyDescent="0.25">
      <c r="A6196" s="106" t="s">
        <v>12399</v>
      </c>
      <c r="B6196" s="106" t="s">
        <v>12400</v>
      </c>
      <c r="C6196" s="106"/>
      <c r="D6196" s="106"/>
      <c r="E6196" s="52"/>
    </row>
    <row r="6197" spans="1:5" s="103" customFormat="1" ht="13.2" hidden="1" outlineLevel="1" x14ac:dyDescent="0.25">
      <c r="A6197" s="106" t="s">
        <v>12401</v>
      </c>
      <c r="B6197" s="106" t="s">
        <v>12402</v>
      </c>
      <c r="C6197" s="106"/>
      <c r="D6197" s="106"/>
      <c r="E6197" s="52"/>
    </row>
    <row r="6198" spans="1:5" s="103" customFormat="1" ht="13.2" hidden="1" outlineLevel="1" x14ac:dyDescent="0.25">
      <c r="A6198" s="106" t="s">
        <v>12403</v>
      </c>
      <c r="B6198" s="106" t="s">
        <v>12404</v>
      </c>
      <c r="C6198" s="106"/>
      <c r="D6198" s="106"/>
      <c r="E6198" s="52"/>
    </row>
    <row r="6199" spans="1:5" s="103" customFormat="1" ht="13.2" hidden="1" outlineLevel="1" x14ac:dyDescent="0.25">
      <c r="A6199" s="106" t="s">
        <v>12405</v>
      </c>
      <c r="B6199" s="106" t="s">
        <v>12406</v>
      </c>
      <c r="C6199" s="106"/>
      <c r="D6199" s="106"/>
      <c r="E6199" s="52"/>
    </row>
    <row r="6200" spans="1:5" s="103" customFormat="1" ht="13.2" hidden="1" outlineLevel="1" x14ac:dyDescent="0.25">
      <c r="A6200" s="106" t="s">
        <v>12407</v>
      </c>
      <c r="B6200" s="106" t="s">
        <v>12408</v>
      </c>
      <c r="C6200" s="106"/>
      <c r="D6200" s="106"/>
      <c r="E6200" s="52"/>
    </row>
    <row r="6201" spans="1:5" s="103" customFormat="1" ht="13.2" hidden="1" outlineLevel="1" x14ac:dyDescent="0.25">
      <c r="A6201" s="106" t="s">
        <v>12409</v>
      </c>
      <c r="B6201" s="106" t="s">
        <v>12410</v>
      </c>
      <c r="C6201" s="106"/>
      <c r="D6201" s="106"/>
      <c r="E6201" s="52"/>
    </row>
    <row r="6202" spans="1:5" s="103" customFormat="1" ht="13.2" hidden="1" outlineLevel="1" x14ac:dyDescent="0.25">
      <c r="A6202" s="106" t="s">
        <v>12411</v>
      </c>
      <c r="B6202" s="106" t="s">
        <v>12412</v>
      </c>
      <c r="C6202" s="106"/>
      <c r="D6202" s="106"/>
      <c r="E6202" s="52"/>
    </row>
    <row r="6203" spans="1:5" s="103" customFormat="1" ht="13.2" hidden="1" outlineLevel="1" x14ac:dyDescent="0.25">
      <c r="A6203" s="106" t="s">
        <v>12413</v>
      </c>
      <c r="B6203" s="106" t="s">
        <v>12414</v>
      </c>
      <c r="C6203" s="106"/>
      <c r="D6203" s="106"/>
      <c r="E6203" s="52"/>
    </row>
    <row r="6204" spans="1:5" s="103" customFormat="1" ht="13.2" hidden="1" outlineLevel="1" x14ac:dyDescent="0.25">
      <c r="A6204" s="106" t="s">
        <v>12415</v>
      </c>
      <c r="B6204" s="106" t="s">
        <v>12416</v>
      </c>
      <c r="C6204" s="106"/>
      <c r="D6204" s="106"/>
      <c r="E6204" s="52"/>
    </row>
    <row r="6205" spans="1:5" s="103" customFormat="1" ht="13.2" hidden="1" outlineLevel="1" x14ac:dyDescent="0.25">
      <c r="A6205" s="106" t="s">
        <v>12417</v>
      </c>
      <c r="B6205" s="106" t="s">
        <v>12418</v>
      </c>
      <c r="C6205" s="106"/>
      <c r="D6205" s="106"/>
      <c r="E6205" s="52"/>
    </row>
    <row r="6206" spans="1:5" s="103" customFormat="1" ht="13.2" hidden="1" outlineLevel="1" x14ac:dyDescent="0.25">
      <c r="A6206" s="106" t="s">
        <v>12419</v>
      </c>
      <c r="B6206" s="106" t="s">
        <v>12420</v>
      </c>
      <c r="C6206" s="106"/>
      <c r="D6206" s="106"/>
      <c r="E6206" s="52"/>
    </row>
    <row r="6207" spans="1:5" s="103" customFormat="1" ht="13.2" hidden="1" outlineLevel="1" x14ac:dyDescent="0.25">
      <c r="A6207" s="106" t="s">
        <v>12421</v>
      </c>
      <c r="B6207" s="106" t="s">
        <v>12422</v>
      </c>
      <c r="C6207" s="106"/>
      <c r="D6207" s="106"/>
      <c r="E6207" s="52"/>
    </row>
    <row r="6208" spans="1:5" s="103" customFormat="1" ht="13.2" hidden="1" outlineLevel="1" x14ac:dyDescent="0.25">
      <c r="A6208" s="106" t="s">
        <v>12423</v>
      </c>
      <c r="B6208" s="106" t="s">
        <v>12424</v>
      </c>
      <c r="C6208" s="106"/>
      <c r="D6208" s="106"/>
      <c r="E6208" s="52"/>
    </row>
    <row r="6209" spans="1:5" s="103" customFormat="1" ht="13.2" hidden="1" outlineLevel="1" x14ac:dyDescent="0.25">
      <c r="A6209" s="106" t="s">
        <v>12425</v>
      </c>
      <c r="B6209" s="106" t="s">
        <v>12426</v>
      </c>
      <c r="C6209" s="106"/>
      <c r="D6209" s="106"/>
      <c r="E6209" s="52"/>
    </row>
    <row r="6210" spans="1:5" s="103" customFormat="1" ht="13.2" hidden="1" outlineLevel="1" x14ac:dyDescent="0.25">
      <c r="A6210" s="106" t="s">
        <v>12427</v>
      </c>
      <c r="B6210" s="106" t="s">
        <v>12428</v>
      </c>
      <c r="C6210" s="106"/>
      <c r="D6210" s="106"/>
      <c r="E6210" s="52"/>
    </row>
    <row r="6211" spans="1:5" s="103" customFormat="1" ht="13.2" hidden="1" outlineLevel="1" x14ac:dyDescent="0.25">
      <c r="A6211" s="106" t="s">
        <v>12429</v>
      </c>
      <c r="B6211" s="106" t="s">
        <v>12430</v>
      </c>
      <c r="C6211" s="106"/>
      <c r="D6211" s="106"/>
      <c r="E6211" s="52"/>
    </row>
    <row r="6212" spans="1:5" s="103" customFormat="1" ht="13.2" hidden="1" outlineLevel="1" x14ac:dyDescent="0.25">
      <c r="A6212" s="106" t="s">
        <v>12431</v>
      </c>
      <c r="B6212" s="106" t="s">
        <v>12432</v>
      </c>
      <c r="C6212" s="106"/>
      <c r="D6212" s="106"/>
      <c r="E6212" s="52"/>
    </row>
    <row r="6213" spans="1:5" s="103" customFormat="1" ht="13.2" hidden="1" outlineLevel="1" x14ac:dyDescent="0.25">
      <c r="A6213" s="106" t="s">
        <v>12433</v>
      </c>
      <c r="B6213" s="106" t="s">
        <v>12434</v>
      </c>
      <c r="C6213" s="106"/>
      <c r="D6213" s="106"/>
      <c r="E6213" s="52"/>
    </row>
    <row r="6214" spans="1:5" s="103" customFormat="1" ht="13.2" hidden="1" outlineLevel="1" x14ac:dyDescent="0.25">
      <c r="A6214" s="106" t="s">
        <v>12435</v>
      </c>
      <c r="B6214" s="106" t="s">
        <v>12436</v>
      </c>
      <c r="C6214" s="106"/>
      <c r="D6214" s="106"/>
      <c r="E6214" s="52"/>
    </row>
    <row r="6215" spans="1:5" s="103" customFormat="1" ht="13.2" hidden="1" outlineLevel="1" x14ac:dyDescent="0.25">
      <c r="A6215" s="106" t="s">
        <v>12437</v>
      </c>
      <c r="B6215" s="106" t="s">
        <v>12438</v>
      </c>
      <c r="C6215" s="106"/>
      <c r="D6215" s="106"/>
      <c r="E6215" s="52"/>
    </row>
    <row r="6216" spans="1:5" s="103" customFormat="1" ht="13.2" hidden="1" outlineLevel="1" x14ac:dyDescent="0.25">
      <c r="A6216" s="106" t="s">
        <v>12439</v>
      </c>
      <c r="B6216" s="106" t="s">
        <v>12440</v>
      </c>
      <c r="C6216" s="106"/>
      <c r="D6216" s="106"/>
      <c r="E6216" s="52"/>
    </row>
    <row r="6217" spans="1:5" s="103" customFormat="1" ht="13.2" hidden="1" outlineLevel="1" x14ac:dyDescent="0.25">
      <c r="A6217" s="106" t="s">
        <v>12441</v>
      </c>
      <c r="B6217" s="106" t="s">
        <v>12442</v>
      </c>
      <c r="C6217" s="106"/>
      <c r="D6217" s="106"/>
      <c r="E6217" s="52"/>
    </row>
    <row r="6218" spans="1:5" s="103" customFormat="1" ht="13.2" hidden="1" outlineLevel="1" x14ac:dyDescent="0.25">
      <c r="A6218" s="106" t="s">
        <v>12443</v>
      </c>
      <c r="B6218" s="106" t="s">
        <v>12444</v>
      </c>
      <c r="C6218" s="106"/>
      <c r="D6218" s="106"/>
      <c r="E6218" s="52"/>
    </row>
    <row r="6219" spans="1:5" s="103" customFormat="1" ht="13.2" hidden="1" outlineLevel="1" x14ac:dyDescent="0.25">
      <c r="A6219" s="106" t="s">
        <v>12445</v>
      </c>
      <c r="B6219" s="106" t="s">
        <v>12446</v>
      </c>
      <c r="C6219" s="106"/>
      <c r="D6219" s="106"/>
      <c r="E6219" s="52"/>
    </row>
    <row r="6220" spans="1:5" s="103" customFormat="1" ht="13.2" hidden="1" outlineLevel="1" x14ac:dyDescent="0.25">
      <c r="A6220" s="106" t="s">
        <v>12447</v>
      </c>
      <c r="B6220" s="106" t="s">
        <v>12448</v>
      </c>
      <c r="C6220" s="106"/>
      <c r="D6220" s="106"/>
      <c r="E6220" s="52"/>
    </row>
    <row r="6221" spans="1:5" s="103" customFormat="1" ht="13.2" hidden="1" outlineLevel="1" x14ac:dyDescent="0.25">
      <c r="A6221" s="106" t="s">
        <v>12449</v>
      </c>
      <c r="B6221" s="106" t="s">
        <v>12450</v>
      </c>
      <c r="C6221" s="106"/>
      <c r="D6221" s="106"/>
      <c r="E6221" s="52"/>
    </row>
    <row r="6222" spans="1:5" s="103" customFormat="1" ht="13.2" hidden="1" outlineLevel="1" x14ac:dyDescent="0.25">
      <c r="A6222" s="106" t="s">
        <v>12451</v>
      </c>
      <c r="B6222" s="106" t="s">
        <v>12452</v>
      </c>
      <c r="C6222" s="106"/>
      <c r="D6222" s="106"/>
      <c r="E6222" s="52"/>
    </row>
    <row r="6223" spans="1:5" s="103" customFormat="1" ht="13.2" hidden="1" outlineLevel="1" x14ac:dyDescent="0.25">
      <c r="A6223" s="106" t="s">
        <v>12453</v>
      </c>
      <c r="B6223" s="106" t="s">
        <v>12454</v>
      </c>
      <c r="C6223" s="106"/>
      <c r="D6223" s="106"/>
      <c r="E6223" s="52"/>
    </row>
    <row r="6224" spans="1:5" s="103" customFormat="1" ht="13.2" hidden="1" outlineLevel="1" x14ac:dyDescent="0.25">
      <c r="A6224" s="106" t="s">
        <v>12455</v>
      </c>
      <c r="B6224" s="106" t="s">
        <v>12456</v>
      </c>
      <c r="C6224" s="106"/>
      <c r="D6224" s="106"/>
      <c r="E6224" s="52"/>
    </row>
    <row r="6225" spans="1:5" s="103" customFormat="1" ht="13.2" hidden="1" outlineLevel="1" x14ac:dyDescent="0.25">
      <c r="A6225" s="106" t="s">
        <v>12457</v>
      </c>
      <c r="B6225" s="106" t="s">
        <v>12458</v>
      </c>
      <c r="C6225" s="106"/>
      <c r="D6225" s="106"/>
      <c r="E6225" s="52"/>
    </row>
    <row r="6226" spans="1:5" s="103" customFormat="1" ht="13.2" hidden="1" outlineLevel="1" x14ac:dyDescent="0.25">
      <c r="A6226" s="106" t="s">
        <v>12459</v>
      </c>
      <c r="B6226" s="106" t="s">
        <v>12460</v>
      </c>
      <c r="C6226" s="106"/>
      <c r="D6226" s="106"/>
      <c r="E6226" s="52"/>
    </row>
    <row r="6227" spans="1:5" s="103" customFormat="1" ht="13.2" hidden="1" outlineLevel="1" x14ac:dyDescent="0.25">
      <c r="A6227" s="106" t="s">
        <v>12461</v>
      </c>
      <c r="B6227" s="106" t="s">
        <v>12462</v>
      </c>
      <c r="C6227" s="106"/>
      <c r="D6227" s="106"/>
      <c r="E6227" s="52"/>
    </row>
    <row r="6228" spans="1:5" s="103" customFormat="1" ht="13.2" hidden="1" outlineLevel="1" x14ac:dyDescent="0.25">
      <c r="A6228" s="106" t="s">
        <v>12463</v>
      </c>
      <c r="B6228" s="106" t="s">
        <v>12464</v>
      </c>
      <c r="C6228" s="106"/>
      <c r="D6228" s="106"/>
      <c r="E6228" s="52"/>
    </row>
    <row r="6229" spans="1:5" s="103" customFormat="1" ht="13.2" hidden="1" outlineLevel="1" x14ac:dyDescent="0.25">
      <c r="A6229" s="106" t="s">
        <v>12465</v>
      </c>
      <c r="B6229" s="106" t="s">
        <v>12466</v>
      </c>
      <c r="C6229" s="106"/>
      <c r="D6229" s="106"/>
      <c r="E6229" s="52"/>
    </row>
    <row r="6230" spans="1:5" s="103" customFormat="1" ht="13.2" hidden="1" outlineLevel="1" x14ac:dyDescent="0.25">
      <c r="A6230" s="106" t="s">
        <v>12467</v>
      </c>
      <c r="B6230" s="106" t="s">
        <v>12468</v>
      </c>
      <c r="C6230" s="106"/>
      <c r="D6230" s="106"/>
      <c r="E6230" s="52"/>
    </row>
    <row r="6231" spans="1:5" s="103" customFormat="1" ht="13.2" hidden="1" outlineLevel="1" x14ac:dyDescent="0.25">
      <c r="A6231" s="106" t="s">
        <v>12469</v>
      </c>
      <c r="B6231" s="106" t="s">
        <v>12470</v>
      </c>
      <c r="C6231" s="106"/>
      <c r="D6231" s="106"/>
      <c r="E6231" s="52"/>
    </row>
    <row r="6232" spans="1:5" s="103" customFormat="1" ht="13.2" hidden="1" outlineLevel="1" x14ac:dyDescent="0.25">
      <c r="A6232" s="106" t="s">
        <v>12471</v>
      </c>
      <c r="B6232" s="106" t="s">
        <v>12472</v>
      </c>
      <c r="C6232" s="106"/>
      <c r="D6232" s="106"/>
      <c r="E6232" s="52"/>
    </row>
    <row r="6233" spans="1:5" s="103" customFormat="1" ht="13.2" hidden="1" outlineLevel="1" x14ac:dyDescent="0.25">
      <c r="A6233" s="106" t="s">
        <v>12473</v>
      </c>
      <c r="B6233" s="106" t="s">
        <v>12474</v>
      </c>
      <c r="C6233" s="106"/>
      <c r="D6233" s="106"/>
      <c r="E6233" s="52"/>
    </row>
    <row r="6234" spans="1:5" s="103" customFormat="1" ht="13.2" hidden="1" outlineLevel="1" x14ac:dyDescent="0.25">
      <c r="A6234" s="106" t="s">
        <v>12475</v>
      </c>
      <c r="B6234" s="106" t="s">
        <v>12476</v>
      </c>
      <c r="C6234" s="106"/>
      <c r="D6234" s="106"/>
      <c r="E6234" s="52"/>
    </row>
    <row r="6235" spans="1:5" s="103" customFormat="1" ht="13.2" hidden="1" outlineLevel="1" x14ac:dyDescent="0.25">
      <c r="A6235" s="106" t="s">
        <v>12477</v>
      </c>
      <c r="B6235" s="106" t="s">
        <v>12478</v>
      </c>
      <c r="C6235" s="106"/>
      <c r="D6235" s="106"/>
      <c r="E6235" s="52"/>
    </row>
    <row r="6236" spans="1:5" s="103" customFormat="1" ht="13.2" hidden="1" outlineLevel="1" x14ac:dyDescent="0.25">
      <c r="A6236" s="106" t="s">
        <v>12479</v>
      </c>
      <c r="B6236" s="106" t="s">
        <v>12480</v>
      </c>
      <c r="C6236" s="106"/>
      <c r="D6236" s="106"/>
      <c r="E6236" s="52"/>
    </row>
    <row r="6237" spans="1:5" s="103" customFormat="1" ht="13.2" hidden="1" outlineLevel="1" x14ac:dyDescent="0.25">
      <c r="A6237" s="106" t="s">
        <v>12481</v>
      </c>
      <c r="B6237" s="106" t="s">
        <v>12482</v>
      </c>
      <c r="C6237" s="106"/>
      <c r="D6237" s="106"/>
      <c r="E6237" s="52"/>
    </row>
    <row r="6238" spans="1:5" s="103" customFormat="1" ht="13.2" hidden="1" outlineLevel="1" x14ac:dyDescent="0.25">
      <c r="A6238" s="106" t="s">
        <v>12483</v>
      </c>
      <c r="B6238" s="106" t="s">
        <v>12484</v>
      </c>
      <c r="C6238" s="106"/>
      <c r="D6238" s="106"/>
      <c r="E6238" s="52"/>
    </row>
    <row r="6239" spans="1:5" s="103" customFormat="1" ht="13.2" hidden="1" outlineLevel="1" x14ac:dyDescent="0.25">
      <c r="A6239" s="106" t="s">
        <v>12485</v>
      </c>
      <c r="B6239" s="106" t="s">
        <v>12486</v>
      </c>
      <c r="C6239" s="106"/>
      <c r="D6239" s="106"/>
      <c r="E6239" s="52"/>
    </row>
    <row r="6240" spans="1:5" s="103" customFormat="1" ht="13.2" hidden="1" outlineLevel="1" x14ac:dyDescent="0.25">
      <c r="A6240" s="106" t="s">
        <v>12487</v>
      </c>
      <c r="B6240" s="106" t="s">
        <v>12488</v>
      </c>
      <c r="C6240" s="106"/>
      <c r="D6240" s="106"/>
      <c r="E6240" s="52"/>
    </row>
    <row r="6241" spans="1:5" s="103" customFormat="1" ht="13.2" hidden="1" outlineLevel="1" x14ac:dyDescent="0.25">
      <c r="A6241" s="106" t="s">
        <v>12489</v>
      </c>
      <c r="B6241" s="106" t="s">
        <v>12490</v>
      </c>
      <c r="C6241" s="106"/>
      <c r="D6241" s="106"/>
      <c r="E6241" s="52"/>
    </row>
    <row r="6242" spans="1:5" s="103" customFormat="1" ht="13.2" hidden="1" outlineLevel="1" x14ac:dyDescent="0.25">
      <c r="A6242" s="106" t="s">
        <v>12491</v>
      </c>
      <c r="B6242" s="106" t="s">
        <v>12492</v>
      </c>
      <c r="C6242" s="106"/>
      <c r="D6242" s="106"/>
      <c r="E6242" s="52"/>
    </row>
    <row r="6243" spans="1:5" s="103" customFormat="1" ht="13.2" hidden="1" outlineLevel="1" x14ac:dyDescent="0.25">
      <c r="A6243" s="106" t="s">
        <v>12493</v>
      </c>
      <c r="B6243" s="106" t="s">
        <v>12494</v>
      </c>
      <c r="C6243" s="106"/>
      <c r="D6243" s="106"/>
      <c r="E6243" s="52"/>
    </row>
    <row r="6244" spans="1:5" s="103" customFormat="1" ht="13.2" hidden="1" outlineLevel="1" x14ac:dyDescent="0.25">
      <c r="A6244" s="106" t="s">
        <v>12495</v>
      </c>
      <c r="B6244" s="106" t="s">
        <v>12496</v>
      </c>
      <c r="C6244" s="106"/>
      <c r="D6244" s="106"/>
      <c r="E6244" s="52"/>
    </row>
    <row r="6245" spans="1:5" s="103" customFormat="1" ht="13.2" hidden="1" outlineLevel="1" x14ac:dyDescent="0.25">
      <c r="A6245" s="106" t="s">
        <v>12497</v>
      </c>
      <c r="B6245" s="106" t="s">
        <v>12498</v>
      </c>
      <c r="C6245" s="106"/>
      <c r="D6245" s="106"/>
      <c r="E6245" s="52"/>
    </row>
    <row r="6246" spans="1:5" s="103" customFormat="1" ht="13.2" hidden="1" outlineLevel="1" x14ac:dyDescent="0.25">
      <c r="A6246" s="106" t="s">
        <v>12499</v>
      </c>
      <c r="B6246" s="106" t="s">
        <v>12500</v>
      </c>
      <c r="C6246" s="106"/>
      <c r="D6246" s="106"/>
      <c r="E6246" s="52"/>
    </row>
    <row r="6247" spans="1:5" s="103" customFormat="1" ht="13.2" hidden="1" outlineLevel="1" x14ac:dyDescent="0.25">
      <c r="A6247" s="106" t="s">
        <v>12501</v>
      </c>
      <c r="B6247" s="106" t="s">
        <v>12502</v>
      </c>
      <c r="C6247" s="106"/>
      <c r="D6247" s="106"/>
      <c r="E6247" s="52"/>
    </row>
    <row r="6248" spans="1:5" s="103" customFormat="1" ht="13.2" hidden="1" outlineLevel="1" x14ac:dyDescent="0.25">
      <c r="A6248" s="106" t="s">
        <v>12503</v>
      </c>
      <c r="B6248" s="106" t="s">
        <v>12504</v>
      </c>
      <c r="C6248" s="106"/>
      <c r="D6248" s="106"/>
      <c r="E6248" s="52"/>
    </row>
    <row r="6249" spans="1:5" s="103" customFormat="1" ht="13.2" hidden="1" outlineLevel="1" x14ac:dyDescent="0.25">
      <c r="A6249" s="106" t="s">
        <v>12505</v>
      </c>
      <c r="B6249" s="106" t="s">
        <v>12506</v>
      </c>
      <c r="C6249" s="106"/>
      <c r="D6249" s="106"/>
      <c r="E6249" s="52"/>
    </row>
    <row r="6250" spans="1:5" s="103" customFormat="1" ht="13.2" hidden="1" outlineLevel="1" x14ac:dyDescent="0.25">
      <c r="A6250" s="106" t="s">
        <v>12507</v>
      </c>
      <c r="B6250" s="106" t="s">
        <v>12508</v>
      </c>
      <c r="C6250" s="106"/>
      <c r="D6250" s="106"/>
      <c r="E6250" s="52"/>
    </row>
    <row r="6251" spans="1:5" s="103" customFormat="1" ht="13.2" hidden="1" outlineLevel="1" x14ac:dyDescent="0.25">
      <c r="A6251" s="106" t="s">
        <v>12509</v>
      </c>
      <c r="B6251" s="106" t="s">
        <v>12510</v>
      </c>
      <c r="C6251" s="106"/>
      <c r="D6251" s="106"/>
      <c r="E6251" s="52"/>
    </row>
    <row r="6252" spans="1:5" s="103" customFormat="1" ht="13.2" hidden="1" outlineLevel="1" x14ac:dyDescent="0.25">
      <c r="A6252" s="106" t="s">
        <v>12511</v>
      </c>
      <c r="B6252" s="106" t="s">
        <v>12512</v>
      </c>
      <c r="C6252" s="106"/>
      <c r="D6252" s="106"/>
      <c r="E6252" s="52"/>
    </row>
    <row r="6253" spans="1:5" s="103" customFormat="1" ht="13.2" hidden="1" outlineLevel="1" x14ac:dyDescent="0.25">
      <c r="A6253" s="106" t="s">
        <v>12513</v>
      </c>
      <c r="B6253" s="106" t="s">
        <v>12514</v>
      </c>
      <c r="C6253" s="106"/>
      <c r="D6253" s="106"/>
      <c r="E6253" s="52"/>
    </row>
    <row r="6254" spans="1:5" s="103" customFormat="1" ht="13.2" hidden="1" outlineLevel="1" x14ac:dyDescent="0.25">
      <c r="A6254" s="106" t="s">
        <v>12515</v>
      </c>
      <c r="B6254" s="106" t="s">
        <v>12516</v>
      </c>
      <c r="C6254" s="106"/>
      <c r="D6254" s="106"/>
      <c r="E6254" s="52"/>
    </row>
    <row r="6255" spans="1:5" s="103" customFormat="1" ht="13.2" hidden="1" outlineLevel="1" x14ac:dyDescent="0.25">
      <c r="A6255" s="106" t="s">
        <v>12517</v>
      </c>
      <c r="B6255" s="106" t="s">
        <v>12518</v>
      </c>
      <c r="C6255" s="106"/>
      <c r="D6255" s="106"/>
      <c r="E6255" s="52"/>
    </row>
    <row r="6256" spans="1:5" s="103" customFormat="1" ht="13.2" hidden="1" outlineLevel="1" x14ac:dyDescent="0.25">
      <c r="A6256" s="106" t="s">
        <v>12519</v>
      </c>
      <c r="B6256" s="106" t="s">
        <v>12520</v>
      </c>
      <c r="C6256" s="106"/>
      <c r="D6256" s="106"/>
      <c r="E6256" s="52"/>
    </row>
    <row r="6257" spans="1:5" s="103" customFormat="1" ht="13.2" hidden="1" outlineLevel="1" x14ac:dyDescent="0.25">
      <c r="A6257" s="106" t="s">
        <v>12521</v>
      </c>
      <c r="B6257" s="106" t="s">
        <v>12522</v>
      </c>
      <c r="C6257" s="106"/>
      <c r="D6257" s="106"/>
      <c r="E6257" s="52"/>
    </row>
    <row r="6258" spans="1:5" s="103" customFormat="1" ht="13.2" hidden="1" outlineLevel="1" x14ac:dyDescent="0.25">
      <c r="A6258" s="106" t="s">
        <v>12523</v>
      </c>
      <c r="B6258" s="106" t="s">
        <v>12524</v>
      </c>
      <c r="C6258" s="106"/>
      <c r="D6258" s="106"/>
      <c r="E6258" s="52"/>
    </row>
    <row r="6259" spans="1:5" s="103" customFormat="1" ht="13.2" hidden="1" outlineLevel="1" x14ac:dyDescent="0.25">
      <c r="A6259" s="106" t="s">
        <v>12525</v>
      </c>
      <c r="B6259" s="106" t="s">
        <v>12526</v>
      </c>
      <c r="C6259" s="106"/>
      <c r="D6259" s="106"/>
      <c r="E6259" s="52"/>
    </row>
    <row r="6260" spans="1:5" s="103" customFormat="1" ht="13.2" hidden="1" outlineLevel="1" x14ac:dyDescent="0.25">
      <c r="A6260" s="106" t="s">
        <v>12527</v>
      </c>
      <c r="B6260" s="106" t="s">
        <v>12528</v>
      </c>
      <c r="C6260" s="106"/>
      <c r="D6260" s="106"/>
      <c r="E6260" s="52"/>
    </row>
    <row r="6261" spans="1:5" s="103" customFormat="1" ht="13.2" hidden="1" outlineLevel="1" x14ac:dyDescent="0.25">
      <c r="A6261" s="106" t="s">
        <v>12529</v>
      </c>
      <c r="B6261" s="106" t="s">
        <v>12530</v>
      </c>
      <c r="C6261" s="106"/>
      <c r="D6261" s="106"/>
      <c r="E6261" s="52"/>
    </row>
    <row r="6262" spans="1:5" s="103" customFormat="1" ht="13.2" hidden="1" outlineLevel="1" x14ac:dyDescent="0.25">
      <c r="A6262" s="106" t="s">
        <v>12531</v>
      </c>
      <c r="B6262" s="106" t="s">
        <v>12532</v>
      </c>
      <c r="C6262" s="106"/>
      <c r="D6262" s="106"/>
      <c r="E6262" s="52"/>
    </row>
    <row r="6263" spans="1:5" s="103" customFormat="1" ht="13.2" hidden="1" outlineLevel="1" x14ac:dyDescent="0.25">
      <c r="A6263" s="106" t="s">
        <v>12533</v>
      </c>
      <c r="B6263" s="106" t="s">
        <v>12534</v>
      </c>
      <c r="C6263" s="106"/>
      <c r="D6263" s="106"/>
      <c r="E6263" s="52"/>
    </row>
    <row r="6264" spans="1:5" s="103" customFormat="1" ht="13.2" hidden="1" outlineLevel="1" x14ac:dyDescent="0.25">
      <c r="A6264" s="106" t="s">
        <v>12535</v>
      </c>
      <c r="B6264" s="106" t="s">
        <v>12536</v>
      </c>
      <c r="C6264" s="106"/>
      <c r="D6264" s="106"/>
      <c r="E6264" s="52"/>
    </row>
    <row r="6265" spans="1:5" s="103" customFormat="1" ht="13.2" hidden="1" outlineLevel="1" x14ac:dyDescent="0.25">
      <c r="A6265" s="106" t="s">
        <v>12537</v>
      </c>
      <c r="B6265" s="106" t="s">
        <v>12538</v>
      </c>
      <c r="C6265" s="106"/>
      <c r="D6265" s="106"/>
      <c r="E6265" s="52"/>
    </row>
    <row r="6266" spans="1:5" s="103" customFormat="1" ht="13.2" hidden="1" outlineLevel="1" x14ac:dyDescent="0.25">
      <c r="A6266" s="106" t="s">
        <v>12539</v>
      </c>
      <c r="B6266" s="106" t="s">
        <v>12540</v>
      </c>
      <c r="C6266" s="106"/>
      <c r="D6266" s="106"/>
      <c r="E6266" s="52"/>
    </row>
    <row r="6267" spans="1:5" s="103" customFormat="1" ht="13.2" hidden="1" outlineLevel="1" x14ac:dyDescent="0.25">
      <c r="A6267" s="106" t="s">
        <v>12541</v>
      </c>
      <c r="B6267" s="106" t="s">
        <v>12542</v>
      </c>
      <c r="C6267" s="106"/>
      <c r="D6267" s="106"/>
      <c r="E6267" s="52"/>
    </row>
    <row r="6268" spans="1:5" s="103" customFormat="1" ht="13.2" hidden="1" outlineLevel="1" x14ac:dyDescent="0.25">
      <c r="A6268" s="106" t="s">
        <v>12543</v>
      </c>
      <c r="B6268" s="106" t="s">
        <v>12544</v>
      </c>
      <c r="C6268" s="106"/>
      <c r="D6268" s="106"/>
      <c r="E6268" s="52"/>
    </row>
    <row r="6269" spans="1:5" s="103" customFormat="1" ht="13.2" hidden="1" outlineLevel="1" x14ac:dyDescent="0.25">
      <c r="A6269" s="106" t="s">
        <v>12545</v>
      </c>
      <c r="B6269" s="106" t="s">
        <v>12546</v>
      </c>
      <c r="C6269" s="106"/>
      <c r="D6269" s="106"/>
      <c r="E6269" s="52"/>
    </row>
    <row r="6270" spans="1:5" s="103" customFormat="1" ht="13.2" hidden="1" outlineLevel="1" x14ac:dyDescent="0.25">
      <c r="A6270" s="106" t="s">
        <v>12547</v>
      </c>
      <c r="B6270" s="106" t="s">
        <v>12548</v>
      </c>
      <c r="C6270" s="106"/>
      <c r="D6270" s="106"/>
      <c r="E6270" s="52"/>
    </row>
    <row r="6271" spans="1:5" s="103" customFormat="1" ht="13.2" hidden="1" outlineLevel="1" x14ac:dyDescent="0.25">
      <c r="A6271" s="106" t="s">
        <v>12549</v>
      </c>
      <c r="B6271" s="106" t="s">
        <v>12550</v>
      </c>
      <c r="C6271" s="106"/>
      <c r="D6271" s="106"/>
      <c r="E6271" s="52"/>
    </row>
    <row r="6272" spans="1:5" s="103" customFormat="1" ht="13.2" hidden="1" outlineLevel="1" x14ac:dyDescent="0.25">
      <c r="A6272" s="106" t="s">
        <v>12551</v>
      </c>
      <c r="B6272" s="106" t="s">
        <v>12552</v>
      </c>
      <c r="C6272" s="106"/>
      <c r="D6272" s="106"/>
      <c r="E6272" s="52"/>
    </row>
    <row r="6273" spans="1:5" s="103" customFormat="1" ht="13.2" hidden="1" outlineLevel="1" x14ac:dyDescent="0.25">
      <c r="A6273" s="106" t="s">
        <v>12553</v>
      </c>
      <c r="B6273" s="106" t="s">
        <v>12554</v>
      </c>
      <c r="C6273" s="106"/>
      <c r="D6273" s="106"/>
      <c r="E6273" s="52"/>
    </row>
    <row r="6274" spans="1:5" s="103" customFormat="1" ht="13.2" hidden="1" outlineLevel="1" x14ac:dyDescent="0.25">
      <c r="A6274" s="106" t="s">
        <v>12555</v>
      </c>
      <c r="B6274" s="106" t="s">
        <v>12556</v>
      </c>
      <c r="C6274" s="106"/>
      <c r="D6274" s="106"/>
      <c r="E6274" s="52"/>
    </row>
    <row r="6275" spans="1:5" s="103" customFormat="1" ht="13.2" hidden="1" outlineLevel="1" x14ac:dyDescent="0.25">
      <c r="A6275" s="106" t="s">
        <v>12557</v>
      </c>
      <c r="B6275" s="106" t="s">
        <v>12558</v>
      </c>
      <c r="C6275" s="106"/>
      <c r="D6275" s="106"/>
      <c r="E6275" s="52"/>
    </row>
    <row r="6276" spans="1:5" s="103" customFormat="1" ht="13.2" hidden="1" outlineLevel="1" x14ac:dyDescent="0.25">
      <c r="A6276" s="106" t="s">
        <v>12559</v>
      </c>
      <c r="B6276" s="106" t="s">
        <v>12560</v>
      </c>
      <c r="C6276" s="106"/>
      <c r="D6276" s="106"/>
      <c r="E6276" s="52"/>
    </row>
    <row r="6277" spans="1:5" s="103" customFormat="1" ht="13.2" hidden="1" outlineLevel="1" x14ac:dyDescent="0.25">
      <c r="A6277" s="106" t="s">
        <v>12561</v>
      </c>
      <c r="B6277" s="106" t="s">
        <v>12562</v>
      </c>
      <c r="C6277" s="106"/>
      <c r="D6277" s="106"/>
      <c r="E6277" s="52"/>
    </row>
    <row r="6278" spans="1:5" s="103" customFormat="1" ht="13.2" hidden="1" outlineLevel="1" x14ac:dyDescent="0.25">
      <c r="A6278" s="106" t="s">
        <v>12563</v>
      </c>
      <c r="B6278" s="106" t="s">
        <v>12564</v>
      </c>
      <c r="C6278" s="106"/>
      <c r="D6278" s="106"/>
      <c r="E6278" s="52"/>
    </row>
    <row r="6279" spans="1:5" s="103" customFormat="1" ht="13.2" hidden="1" outlineLevel="1" x14ac:dyDescent="0.25">
      <c r="A6279" s="106" t="s">
        <v>12565</v>
      </c>
      <c r="B6279" s="106" t="s">
        <v>12566</v>
      </c>
      <c r="C6279" s="106"/>
      <c r="D6279" s="106"/>
      <c r="E6279" s="52"/>
    </row>
    <row r="6280" spans="1:5" s="103" customFormat="1" ht="13.2" hidden="1" outlineLevel="1" x14ac:dyDescent="0.25">
      <c r="A6280" s="106" t="s">
        <v>12567</v>
      </c>
      <c r="B6280" s="106" t="s">
        <v>12568</v>
      </c>
      <c r="C6280" s="106"/>
      <c r="D6280" s="106"/>
      <c r="E6280" s="52"/>
    </row>
    <row r="6281" spans="1:5" s="103" customFormat="1" ht="13.2" hidden="1" outlineLevel="1" x14ac:dyDescent="0.25">
      <c r="A6281" s="106" t="s">
        <v>12569</v>
      </c>
      <c r="B6281" s="106" t="s">
        <v>12570</v>
      </c>
      <c r="C6281" s="106"/>
      <c r="D6281" s="106"/>
      <c r="E6281" s="52"/>
    </row>
    <row r="6282" spans="1:5" s="103" customFormat="1" ht="13.2" hidden="1" outlineLevel="1" x14ac:dyDescent="0.25">
      <c r="A6282" s="106" t="s">
        <v>12571</v>
      </c>
      <c r="B6282" s="106" t="s">
        <v>12572</v>
      </c>
      <c r="C6282" s="106"/>
      <c r="D6282" s="106"/>
      <c r="E6282" s="52"/>
    </row>
    <row r="6283" spans="1:5" s="103" customFormat="1" ht="13.2" hidden="1" outlineLevel="1" x14ac:dyDescent="0.25">
      <c r="A6283" s="106" t="s">
        <v>12573</v>
      </c>
      <c r="B6283" s="106" t="s">
        <v>12574</v>
      </c>
      <c r="C6283" s="106"/>
      <c r="D6283" s="106"/>
      <c r="E6283" s="52"/>
    </row>
    <row r="6284" spans="1:5" s="103" customFormat="1" ht="13.2" hidden="1" outlineLevel="1" x14ac:dyDescent="0.25">
      <c r="A6284" s="106" t="s">
        <v>12575</v>
      </c>
      <c r="B6284" s="106" t="s">
        <v>12576</v>
      </c>
      <c r="C6284" s="106"/>
      <c r="D6284" s="106"/>
      <c r="E6284" s="52"/>
    </row>
    <row r="6285" spans="1:5" s="103" customFormat="1" ht="13.2" hidden="1" outlineLevel="1" x14ac:dyDescent="0.25">
      <c r="A6285" s="106" t="s">
        <v>12577</v>
      </c>
      <c r="B6285" s="106" t="s">
        <v>12578</v>
      </c>
      <c r="C6285" s="106"/>
      <c r="D6285" s="106"/>
      <c r="E6285" s="52"/>
    </row>
    <row r="6286" spans="1:5" s="103" customFormat="1" ht="13.2" hidden="1" outlineLevel="1" x14ac:dyDescent="0.25">
      <c r="A6286" s="106" t="s">
        <v>12579</v>
      </c>
      <c r="B6286" s="106" t="s">
        <v>12580</v>
      </c>
      <c r="C6286" s="106"/>
      <c r="D6286" s="106"/>
      <c r="E6286" s="52"/>
    </row>
    <row r="6287" spans="1:5" s="103" customFormat="1" ht="13.2" hidden="1" outlineLevel="1" x14ac:dyDescent="0.25">
      <c r="A6287" s="106" t="s">
        <v>12581</v>
      </c>
      <c r="B6287" s="106" t="s">
        <v>4421</v>
      </c>
      <c r="C6287" s="106"/>
      <c r="D6287" s="106"/>
      <c r="E6287" s="52"/>
    </row>
    <row r="6288" spans="1:5" s="103" customFormat="1" ht="13.2" hidden="1" outlineLevel="1" x14ac:dyDescent="0.25">
      <c r="A6288" s="106" t="s">
        <v>12582</v>
      </c>
      <c r="B6288" s="106" t="s">
        <v>12583</v>
      </c>
      <c r="C6288" s="106"/>
      <c r="D6288" s="106"/>
      <c r="E6288" s="52"/>
    </row>
    <row r="6289" spans="1:5" s="103" customFormat="1" ht="13.2" hidden="1" outlineLevel="1" x14ac:dyDescent="0.25">
      <c r="A6289" s="106" t="s">
        <v>12584</v>
      </c>
      <c r="B6289" s="106" t="s">
        <v>12585</v>
      </c>
      <c r="C6289" s="106"/>
      <c r="D6289" s="106"/>
      <c r="E6289" s="52"/>
    </row>
    <row r="6290" spans="1:5" s="103" customFormat="1" ht="13.2" hidden="1" outlineLevel="1" x14ac:dyDescent="0.25">
      <c r="A6290" s="106" t="s">
        <v>12586</v>
      </c>
      <c r="B6290" s="106" t="s">
        <v>12587</v>
      </c>
      <c r="C6290" s="106"/>
      <c r="D6290" s="106"/>
      <c r="E6290" s="52"/>
    </row>
    <row r="6291" spans="1:5" s="103" customFormat="1" ht="13.2" hidden="1" outlineLevel="1" x14ac:dyDescent="0.25">
      <c r="A6291" s="106" t="s">
        <v>12588</v>
      </c>
      <c r="B6291" s="106" t="s">
        <v>12589</v>
      </c>
      <c r="C6291" s="106"/>
      <c r="D6291" s="106"/>
      <c r="E6291" s="52"/>
    </row>
    <row r="6292" spans="1:5" s="103" customFormat="1" ht="13.2" hidden="1" outlineLevel="1" x14ac:dyDescent="0.25">
      <c r="A6292" s="106" t="s">
        <v>12590</v>
      </c>
      <c r="B6292" s="106" t="s">
        <v>12591</v>
      </c>
      <c r="C6292" s="106"/>
      <c r="D6292" s="106"/>
      <c r="E6292" s="52"/>
    </row>
    <row r="6293" spans="1:5" s="103" customFormat="1" ht="13.2" hidden="1" outlineLevel="1" x14ac:dyDescent="0.25">
      <c r="A6293" s="106" t="s">
        <v>12592</v>
      </c>
      <c r="B6293" s="106" t="s">
        <v>12593</v>
      </c>
      <c r="C6293" s="106"/>
      <c r="D6293" s="106"/>
      <c r="E6293" s="52"/>
    </row>
    <row r="6294" spans="1:5" s="103" customFormat="1" ht="13.2" hidden="1" outlineLevel="1" x14ac:dyDescent="0.25">
      <c r="A6294" s="106" t="s">
        <v>12594</v>
      </c>
      <c r="B6294" s="106" t="s">
        <v>12595</v>
      </c>
      <c r="C6294" s="106"/>
      <c r="D6294" s="106"/>
      <c r="E6294" s="52"/>
    </row>
    <row r="6295" spans="1:5" s="103" customFormat="1" ht="13.2" hidden="1" outlineLevel="1" x14ac:dyDescent="0.25">
      <c r="A6295" s="106" t="s">
        <v>12596</v>
      </c>
      <c r="B6295" s="106" t="s">
        <v>12597</v>
      </c>
      <c r="C6295" s="106"/>
      <c r="D6295" s="106"/>
      <c r="E6295" s="52"/>
    </row>
    <row r="6296" spans="1:5" s="103" customFormat="1" ht="13.2" hidden="1" outlineLevel="1" x14ac:dyDescent="0.25">
      <c r="A6296" s="106" t="s">
        <v>12598</v>
      </c>
      <c r="B6296" s="106" t="s">
        <v>12599</v>
      </c>
      <c r="C6296" s="106"/>
      <c r="D6296" s="106"/>
      <c r="E6296" s="52"/>
    </row>
    <row r="6297" spans="1:5" s="103" customFormat="1" ht="13.2" hidden="1" outlineLevel="1" x14ac:dyDescent="0.25">
      <c r="A6297" s="106" t="s">
        <v>12600</v>
      </c>
      <c r="B6297" s="106" t="s">
        <v>12601</v>
      </c>
      <c r="C6297" s="106"/>
      <c r="D6297" s="106"/>
      <c r="E6297" s="52"/>
    </row>
    <row r="6298" spans="1:5" s="103" customFormat="1" ht="13.2" hidden="1" outlineLevel="1" x14ac:dyDescent="0.25">
      <c r="A6298" s="106" t="s">
        <v>12602</v>
      </c>
      <c r="B6298" s="106" t="s">
        <v>12603</v>
      </c>
      <c r="C6298" s="106"/>
      <c r="D6298" s="106"/>
      <c r="E6298" s="52"/>
    </row>
    <row r="6299" spans="1:5" s="103" customFormat="1" ht="13.2" hidden="1" outlineLevel="1" x14ac:dyDescent="0.25">
      <c r="A6299" s="106" t="s">
        <v>12604</v>
      </c>
      <c r="B6299" s="106" t="s">
        <v>12605</v>
      </c>
      <c r="C6299" s="106"/>
      <c r="D6299" s="106"/>
      <c r="E6299" s="52"/>
    </row>
    <row r="6300" spans="1:5" s="103" customFormat="1" ht="13.2" hidden="1" outlineLevel="1" x14ac:dyDescent="0.25">
      <c r="A6300" s="106" t="s">
        <v>12606</v>
      </c>
      <c r="B6300" s="106" t="s">
        <v>12607</v>
      </c>
      <c r="C6300" s="106"/>
      <c r="D6300" s="106"/>
      <c r="E6300" s="52"/>
    </row>
    <row r="6301" spans="1:5" s="103" customFormat="1" ht="13.2" hidden="1" outlineLevel="1" x14ac:dyDescent="0.25">
      <c r="A6301" s="106" t="s">
        <v>12608</v>
      </c>
      <c r="B6301" s="106" t="s">
        <v>12609</v>
      </c>
      <c r="C6301" s="106"/>
      <c r="D6301" s="106"/>
      <c r="E6301" s="52"/>
    </row>
    <row r="6302" spans="1:5" s="103" customFormat="1" ht="13.2" hidden="1" outlineLevel="1" x14ac:dyDescent="0.25">
      <c r="A6302" s="106" t="s">
        <v>12610</v>
      </c>
      <c r="B6302" s="106" t="s">
        <v>12611</v>
      </c>
      <c r="C6302" s="106"/>
      <c r="D6302" s="106"/>
      <c r="E6302" s="52"/>
    </row>
    <row r="6303" spans="1:5" s="103" customFormat="1" ht="13.2" hidden="1" outlineLevel="1" x14ac:dyDescent="0.25">
      <c r="A6303" s="106" t="s">
        <v>12612</v>
      </c>
      <c r="B6303" s="106" t="s">
        <v>12613</v>
      </c>
      <c r="C6303" s="106"/>
      <c r="D6303" s="106"/>
      <c r="E6303" s="52"/>
    </row>
    <row r="6304" spans="1:5" s="103" customFormat="1" ht="13.2" hidden="1" outlineLevel="1" x14ac:dyDescent="0.25">
      <c r="A6304" s="106" t="s">
        <v>12614</v>
      </c>
      <c r="B6304" s="106" t="s">
        <v>12615</v>
      </c>
      <c r="C6304" s="106"/>
      <c r="D6304" s="106"/>
      <c r="E6304" s="52"/>
    </row>
    <row r="6305" spans="1:5" s="103" customFormat="1" ht="13.2" hidden="1" outlineLevel="1" x14ac:dyDescent="0.25">
      <c r="A6305" s="106" t="s">
        <v>12616</v>
      </c>
      <c r="B6305" s="106" t="s">
        <v>12617</v>
      </c>
      <c r="C6305" s="106"/>
      <c r="D6305" s="106"/>
      <c r="E6305" s="52"/>
    </row>
    <row r="6306" spans="1:5" s="103" customFormat="1" ht="13.2" hidden="1" outlineLevel="1" x14ac:dyDescent="0.25">
      <c r="A6306" s="106" t="s">
        <v>12618</v>
      </c>
      <c r="B6306" s="106" t="s">
        <v>12619</v>
      </c>
      <c r="C6306" s="106"/>
      <c r="D6306" s="106"/>
      <c r="E6306" s="52"/>
    </row>
    <row r="6307" spans="1:5" s="103" customFormat="1" ht="13.2" hidden="1" outlineLevel="1" x14ac:dyDescent="0.25">
      <c r="A6307" s="106" t="s">
        <v>12620</v>
      </c>
      <c r="B6307" s="106" t="s">
        <v>12621</v>
      </c>
      <c r="C6307" s="106"/>
      <c r="D6307" s="106"/>
      <c r="E6307" s="52"/>
    </row>
    <row r="6308" spans="1:5" s="103" customFormat="1" ht="13.2" hidden="1" outlineLevel="1" x14ac:dyDescent="0.25">
      <c r="A6308" s="106" t="s">
        <v>12622</v>
      </c>
      <c r="B6308" s="106" t="s">
        <v>12623</v>
      </c>
      <c r="C6308" s="106"/>
      <c r="D6308" s="106"/>
      <c r="E6308" s="52"/>
    </row>
    <row r="6309" spans="1:5" s="103" customFormat="1" ht="13.2" hidden="1" outlineLevel="1" x14ac:dyDescent="0.25">
      <c r="A6309" s="106" t="s">
        <v>12624</v>
      </c>
      <c r="B6309" s="106" t="s">
        <v>12625</v>
      </c>
      <c r="C6309" s="106"/>
      <c r="D6309" s="106"/>
      <c r="E6309" s="52"/>
    </row>
    <row r="6310" spans="1:5" s="103" customFormat="1" ht="13.2" hidden="1" outlineLevel="1" x14ac:dyDescent="0.25">
      <c r="A6310" s="106" t="s">
        <v>12626</v>
      </c>
      <c r="B6310" s="106" t="s">
        <v>12627</v>
      </c>
      <c r="C6310" s="106"/>
      <c r="D6310" s="106"/>
      <c r="E6310" s="52"/>
    </row>
    <row r="6311" spans="1:5" s="103" customFormat="1" ht="13.2" hidden="1" outlineLevel="1" x14ac:dyDescent="0.25">
      <c r="A6311" s="106" t="s">
        <v>12628</v>
      </c>
      <c r="B6311" s="106" t="s">
        <v>12629</v>
      </c>
      <c r="C6311" s="106"/>
      <c r="D6311" s="106"/>
      <c r="E6311" s="52"/>
    </row>
    <row r="6312" spans="1:5" s="103" customFormat="1" ht="13.2" hidden="1" outlineLevel="1" x14ac:dyDescent="0.25">
      <c r="A6312" s="106" t="s">
        <v>12630</v>
      </c>
      <c r="B6312" s="106" t="s">
        <v>12631</v>
      </c>
      <c r="C6312" s="106"/>
      <c r="D6312" s="106"/>
      <c r="E6312" s="52"/>
    </row>
    <row r="6313" spans="1:5" s="103" customFormat="1" ht="13.2" hidden="1" outlineLevel="1" x14ac:dyDescent="0.25">
      <c r="A6313" s="106" t="s">
        <v>12632</v>
      </c>
      <c r="B6313" s="106" t="s">
        <v>12633</v>
      </c>
      <c r="C6313" s="106"/>
      <c r="D6313" s="106"/>
      <c r="E6313" s="52"/>
    </row>
    <row r="6314" spans="1:5" s="103" customFormat="1" ht="13.2" hidden="1" outlineLevel="1" x14ac:dyDescent="0.25">
      <c r="A6314" s="106" t="s">
        <v>12634</v>
      </c>
      <c r="B6314" s="106" t="s">
        <v>12635</v>
      </c>
      <c r="C6314" s="106"/>
      <c r="D6314" s="106"/>
      <c r="E6314" s="52"/>
    </row>
    <row r="6315" spans="1:5" s="103" customFormat="1" ht="13.2" hidden="1" outlineLevel="1" x14ac:dyDescent="0.25">
      <c r="A6315" s="106" t="s">
        <v>12636</v>
      </c>
      <c r="B6315" s="106" t="s">
        <v>12637</v>
      </c>
      <c r="C6315" s="106"/>
      <c r="D6315" s="106"/>
      <c r="E6315" s="52"/>
    </row>
    <row r="6316" spans="1:5" s="103" customFormat="1" ht="13.2" hidden="1" outlineLevel="1" x14ac:dyDescent="0.25">
      <c r="A6316" s="106" t="s">
        <v>12638</v>
      </c>
      <c r="B6316" s="106" t="s">
        <v>12639</v>
      </c>
      <c r="C6316" s="106"/>
      <c r="D6316" s="106"/>
      <c r="E6316" s="52"/>
    </row>
    <row r="6317" spans="1:5" s="103" customFormat="1" ht="13.2" hidden="1" outlineLevel="1" x14ac:dyDescent="0.25">
      <c r="A6317" s="106" t="s">
        <v>12640</v>
      </c>
      <c r="B6317" s="106" t="s">
        <v>12641</v>
      </c>
      <c r="C6317" s="106"/>
      <c r="D6317" s="106"/>
      <c r="E6317" s="52"/>
    </row>
    <row r="6318" spans="1:5" s="103" customFormat="1" ht="13.2" hidden="1" outlineLevel="1" x14ac:dyDescent="0.25">
      <c r="A6318" s="106" t="s">
        <v>12642</v>
      </c>
      <c r="B6318" s="106" t="s">
        <v>12643</v>
      </c>
      <c r="C6318" s="106"/>
      <c r="D6318" s="106"/>
      <c r="E6318" s="52"/>
    </row>
    <row r="6319" spans="1:5" s="103" customFormat="1" ht="13.2" hidden="1" outlineLevel="1" x14ac:dyDescent="0.25">
      <c r="A6319" s="106" t="s">
        <v>12644</v>
      </c>
      <c r="B6319" s="106" t="s">
        <v>12645</v>
      </c>
      <c r="C6319" s="106"/>
      <c r="D6319" s="106"/>
      <c r="E6319" s="52"/>
    </row>
    <row r="6320" spans="1:5" s="103" customFormat="1" ht="13.2" hidden="1" outlineLevel="1" x14ac:dyDescent="0.25">
      <c r="A6320" s="106" t="s">
        <v>12646</v>
      </c>
      <c r="B6320" s="106" t="s">
        <v>12647</v>
      </c>
      <c r="C6320" s="106"/>
      <c r="D6320" s="106"/>
      <c r="E6320" s="52"/>
    </row>
    <row r="6321" spans="1:5" s="103" customFormat="1" ht="13.2" hidden="1" outlineLevel="1" x14ac:dyDescent="0.25">
      <c r="A6321" s="106" t="s">
        <v>12648</v>
      </c>
      <c r="B6321" s="106" t="s">
        <v>12649</v>
      </c>
      <c r="C6321" s="106"/>
      <c r="D6321" s="106"/>
      <c r="E6321" s="52"/>
    </row>
    <row r="6322" spans="1:5" s="103" customFormat="1" ht="13.2" hidden="1" outlineLevel="1" x14ac:dyDescent="0.25">
      <c r="A6322" s="106" t="s">
        <v>12650</v>
      </c>
      <c r="B6322" s="106" t="s">
        <v>12651</v>
      </c>
      <c r="C6322" s="106"/>
      <c r="D6322" s="106"/>
      <c r="E6322" s="52"/>
    </row>
    <row r="6323" spans="1:5" s="103" customFormat="1" ht="13.2" hidden="1" outlineLevel="1" x14ac:dyDescent="0.25">
      <c r="A6323" s="106" t="s">
        <v>12652</v>
      </c>
      <c r="B6323" s="106" t="s">
        <v>12653</v>
      </c>
      <c r="C6323" s="106"/>
      <c r="D6323" s="106"/>
      <c r="E6323" s="52"/>
    </row>
    <row r="6324" spans="1:5" s="103" customFormat="1" ht="13.2" hidden="1" outlineLevel="1" x14ac:dyDescent="0.25">
      <c r="A6324" s="106" t="s">
        <v>12654</v>
      </c>
      <c r="B6324" s="106" t="s">
        <v>12655</v>
      </c>
      <c r="C6324" s="106"/>
      <c r="D6324" s="106"/>
      <c r="E6324" s="52"/>
    </row>
    <row r="6325" spans="1:5" s="103" customFormat="1" ht="13.2" hidden="1" outlineLevel="1" x14ac:dyDescent="0.25">
      <c r="A6325" s="106" t="s">
        <v>12656</v>
      </c>
      <c r="B6325" s="106" t="s">
        <v>12657</v>
      </c>
      <c r="C6325" s="106"/>
      <c r="D6325" s="106"/>
      <c r="E6325" s="52"/>
    </row>
    <row r="6326" spans="1:5" s="103" customFormat="1" ht="13.2" hidden="1" outlineLevel="1" x14ac:dyDescent="0.25">
      <c r="A6326" s="106" t="s">
        <v>12658</v>
      </c>
      <c r="B6326" s="106" t="s">
        <v>12659</v>
      </c>
      <c r="C6326" s="106"/>
      <c r="D6326" s="106"/>
      <c r="E6326" s="52"/>
    </row>
    <row r="6327" spans="1:5" s="103" customFormat="1" ht="13.2" hidden="1" outlineLevel="1" x14ac:dyDescent="0.25">
      <c r="A6327" s="106" t="s">
        <v>12660</v>
      </c>
      <c r="B6327" s="106" t="s">
        <v>12661</v>
      </c>
      <c r="C6327" s="106"/>
      <c r="D6327" s="106"/>
      <c r="E6327" s="52"/>
    </row>
    <row r="6328" spans="1:5" s="103" customFormat="1" ht="13.2" hidden="1" outlineLevel="1" x14ac:dyDescent="0.25">
      <c r="A6328" s="106" t="s">
        <v>12662</v>
      </c>
      <c r="B6328" s="106" t="s">
        <v>12663</v>
      </c>
      <c r="C6328" s="106"/>
      <c r="D6328" s="106"/>
      <c r="E6328" s="52"/>
    </row>
    <row r="6329" spans="1:5" s="103" customFormat="1" ht="13.2" hidden="1" outlineLevel="1" x14ac:dyDescent="0.25">
      <c r="A6329" s="106" t="s">
        <v>12664</v>
      </c>
      <c r="B6329" s="106" t="s">
        <v>12665</v>
      </c>
      <c r="C6329" s="106"/>
      <c r="D6329" s="106"/>
      <c r="E6329" s="52"/>
    </row>
    <row r="6330" spans="1:5" s="103" customFormat="1" ht="13.2" hidden="1" outlineLevel="1" x14ac:dyDescent="0.25">
      <c r="A6330" s="106" t="s">
        <v>12666</v>
      </c>
      <c r="B6330" s="106" t="s">
        <v>12667</v>
      </c>
      <c r="C6330" s="106"/>
      <c r="D6330" s="106"/>
      <c r="E6330" s="52"/>
    </row>
    <row r="6331" spans="1:5" s="103" customFormat="1" ht="13.2" hidden="1" outlineLevel="1" x14ac:dyDescent="0.25">
      <c r="A6331" s="106" t="s">
        <v>12668</v>
      </c>
      <c r="B6331" s="106" t="s">
        <v>12669</v>
      </c>
      <c r="C6331" s="106"/>
      <c r="D6331" s="106"/>
      <c r="E6331" s="52"/>
    </row>
    <row r="6332" spans="1:5" s="103" customFormat="1" ht="13.2" hidden="1" outlineLevel="1" x14ac:dyDescent="0.25">
      <c r="A6332" s="106" t="s">
        <v>12670</v>
      </c>
      <c r="B6332" s="106" t="s">
        <v>12671</v>
      </c>
      <c r="C6332" s="106"/>
      <c r="D6332" s="106"/>
      <c r="E6332" s="52"/>
    </row>
    <row r="6333" spans="1:5" s="103" customFormat="1" ht="26.4" collapsed="1" x14ac:dyDescent="0.25">
      <c r="A6333" s="104" t="s">
        <v>12672</v>
      </c>
      <c r="B6333" s="107" t="s">
        <v>12673</v>
      </c>
      <c r="C6333" s="105"/>
      <c r="D6333" s="105"/>
      <c r="E6333" s="51"/>
    </row>
    <row r="6334" spans="1:5" s="103" customFormat="1" ht="13.2" hidden="1" outlineLevel="1" x14ac:dyDescent="0.25">
      <c r="A6334" s="106" t="s">
        <v>12674</v>
      </c>
      <c r="B6334" s="106" t="s">
        <v>12675</v>
      </c>
      <c r="C6334" s="106"/>
      <c r="D6334" s="106"/>
      <c r="E6334" s="52"/>
    </row>
    <row r="6335" spans="1:5" s="103" customFormat="1" ht="13.2" hidden="1" outlineLevel="1" x14ac:dyDescent="0.25">
      <c r="A6335" s="106" t="s">
        <v>12676</v>
      </c>
      <c r="B6335" s="106" t="s">
        <v>12677</v>
      </c>
      <c r="C6335" s="106"/>
      <c r="D6335" s="106"/>
      <c r="E6335" s="52"/>
    </row>
    <row r="6336" spans="1:5" s="103" customFormat="1" ht="13.2" hidden="1" outlineLevel="1" x14ac:dyDescent="0.25">
      <c r="A6336" s="106" t="s">
        <v>12678</v>
      </c>
      <c r="B6336" s="106" t="s">
        <v>12679</v>
      </c>
      <c r="C6336" s="106"/>
      <c r="D6336" s="106"/>
      <c r="E6336" s="52"/>
    </row>
    <row r="6337" spans="1:5" s="103" customFormat="1" ht="13.2" hidden="1" outlineLevel="1" x14ac:dyDescent="0.25">
      <c r="A6337" s="106" t="s">
        <v>12680</v>
      </c>
      <c r="B6337" s="106" t="s">
        <v>12681</v>
      </c>
      <c r="C6337" s="106"/>
      <c r="D6337" s="106"/>
      <c r="E6337" s="52"/>
    </row>
    <row r="6338" spans="1:5" s="103" customFormat="1" ht="13.2" hidden="1" outlineLevel="1" x14ac:dyDescent="0.25">
      <c r="A6338" s="106" t="s">
        <v>12682</v>
      </c>
      <c r="B6338" s="106" t="s">
        <v>12683</v>
      </c>
      <c r="C6338" s="106"/>
      <c r="D6338" s="106"/>
      <c r="E6338" s="52"/>
    </row>
    <row r="6339" spans="1:5" s="103" customFormat="1" ht="13.2" hidden="1" outlineLevel="1" x14ac:dyDescent="0.25">
      <c r="A6339" s="106" t="s">
        <v>12684</v>
      </c>
      <c r="B6339" s="106" t="s">
        <v>12685</v>
      </c>
      <c r="C6339" s="106"/>
      <c r="D6339" s="106"/>
      <c r="E6339" s="52"/>
    </row>
    <row r="6340" spans="1:5" s="103" customFormat="1" ht="13.2" hidden="1" outlineLevel="1" x14ac:dyDescent="0.25">
      <c r="A6340" s="106" t="s">
        <v>12686</v>
      </c>
      <c r="B6340" s="106" t="s">
        <v>12687</v>
      </c>
      <c r="C6340" s="106"/>
      <c r="D6340" s="106"/>
      <c r="E6340" s="52"/>
    </row>
    <row r="6341" spans="1:5" s="103" customFormat="1" ht="13.2" hidden="1" outlineLevel="1" x14ac:dyDescent="0.25">
      <c r="A6341" s="106" t="s">
        <v>12688</v>
      </c>
      <c r="B6341" s="106" t="s">
        <v>12689</v>
      </c>
      <c r="C6341" s="106"/>
      <c r="D6341" s="106"/>
      <c r="E6341" s="52"/>
    </row>
    <row r="6342" spans="1:5" s="103" customFormat="1" ht="13.2" hidden="1" outlineLevel="1" x14ac:dyDescent="0.25">
      <c r="A6342" s="106" t="s">
        <v>12690</v>
      </c>
      <c r="B6342" s="106" t="s">
        <v>12691</v>
      </c>
      <c r="C6342" s="106"/>
      <c r="D6342" s="106"/>
      <c r="E6342" s="52"/>
    </row>
    <row r="6343" spans="1:5" s="103" customFormat="1" ht="13.2" hidden="1" outlineLevel="1" x14ac:dyDescent="0.25">
      <c r="A6343" s="106" t="s">
        <v>12692</v>
      </c>
      <c r="B6343" s="106" t="s">
        <v>12693</v>
      </c>
      <c r="C6343" s="106"/>
      <c r="D6343" s="106"/>
      <c r="E6343" s="52"/>
    </row>
    <row r="6344" spans="1:5" s="103" customFormat="1" ht="13.2" hidden="1" outlineLevel="1" x14ac:dyDescent="0.25">
      <c r="A6344" s="106" t="s">
        <v>12694</v>
      </c>
      <c r="B6344" s="106" t="s">
        <v>12695</v>
      </c>
      <c r="C6344" s="106"/>
      <c r="D6344" s="106"/>
      <c r="E6344" s="52"/>
    </row>
    <row r="6345" spans="1:5" s="103" customFormat="1" ht="13.2" hidden="1" outlineLevel="1" x14ac:dyDescent="0.25">
      <c r="A6345" s="106" t="s">
        <v>12696</v>
      </c>
      <c r="B6345" s="106" t="s">
        <v>12697</v>
      </c>
      <c r="C6345" s="106"/>
      <c r="D6345" s="106"/>
      <c r="E6345" s="52"/>
    </row>
    <row r="6346" spans="1:5" s="103" customFormat="1" ht="13.2" hidden="1" outlineLevel="1" x14ac:dyDescent="0.25">
      <c r="A6346" s="106" t="s">
        <v>12698</v>
      </c>
      <c r="B6346" s="106" t="s">
        <v>12699</v>
      </c>
      <c r="C6346" s="106"/>
      <c r="D6346" s="106"/>
      <c r="E6346" s="52"/>
    </row>
    <row r="6347" spans="1:5" s="103" customFormat="1" ht="13.2" hidden="1" outlineLevel="1" x14ac:dyDescent="0.25">
      <c r="A6347" s="106" t="s">
        <v>12700</v>
      </c>
      <c r="B6347" s="106" t="s">
        <v>12701</v>
      </c>
      <c r="C6347" s="106"/>
      <c r="D6347" s="106"/>
      <c r="E6347" s="52"/>
    </row>
    <row r="6348" spans="1:5" s="103" customFormat="1" ht="13.2" hidden="1" outlineLevel="1" x14ac:dyDescent="0.25">
      <c r="A6348" s="106" t="s">
        <v>12702</v>
      </c>
      <c r="B6348" s="106" t="s">
        <v>12703</v>
      </c>
      <c r="C6348" s="106"/>
      <c r="D6348" s="106"/>
      <c r="E6348" s="52"/>
    </row>
    <row r="6349" spans="1:5" s="103" customFormat="1" ht="13.2" hidden="1" outlineLevel="1" x14ac:dyDescent="0.25">
      <c r="A6349" s="106" t="s">
        <v>12704</v>
      </c>
      <c r="B6349" s="106" t="s">
        <v>12705</v>
      </c>
      <c r="C6349" s="106"/>
      <c r="D6349" s="106"/>
      <c r="E6349" s="52"/>
    </row>
    <row r="6350" spans="1:5" s="103" customFormat="1" ht="13.2" hidden="1" outlineLevel="1" x14ac:dyDescent="0.25">
      <c r="A6350" s="106" t="s">
        <v>12706</v>
      </c>
      <c r="B6350" s="106" t="s">
        <v>12707</v>
      </c>
      <c r="C6350" s="106"/>
      <c r="D6350" s="106"/>
      <c r="E6350" s="52"/>
    </row>
    <row r="6351" spans="1:5" s="103" customFormat="1" ht="13.2" hidden="1" outlineLevel="1" x14ac:dyDescent="0.25">
      <c r="A6351" s="106" t="s">
        <v>12708</v>
      </c>
      <c r="B6351" s="106" t="s">
        <v>12709</v>
      </c>
      <c r="C6351" s="106"/>
      <c r="D6351" s="106"/>
      <c r="E6351" s="52"/>
    </row>
    <row r="6352" spans="1:5" s="103" customFormat="1" ht="13.2" hidden="1" outlineLevel="1" x14ac:dyDescent="0.25">
      <c r="A6352" s="106" t="s">
        <v>12710</v>
      </c>
      <c r="B6352" s="106" t="s">
        <v>12711</v>
      </c>
      <c r="C6352" s="106"/>
      <c r="D6352" s="106"/>
      <c r="E6352" s="52"/>
    </row>
    <row r="6353" spans="1:5" s="103" customFormat="1" ht="13.2" hidden="1" outlineLevel="1" x14ac:dyDescent="0.25">
      <c r="A6353" s="106" t="s">
        <v>12712</v>
      </c>
      <c r="B6353" s="106" t="s">
        <v>12713</v>
      </c>
      <c r="C6353" s="106"/>
      <c r="D6353" s="106"/>
      <c r="E6353" s="52"/>
    </row>
    <row r="6354" spans="1:5" s="103" customFormat="1" ht="13.2" hidden="1" outlineLevel="1" x14ac:dyDescent="0.25">
      <c r="A6354" s="106" t="s">
        <v>12714</v>
      </c>
      <c r="B6354" s="106" t="s">
        <v>12715</v>
      </c>
      <c r="C6354" s="106"/>
      <c r="D6354" s="106"/>
      <c r="E6354" s="52"/>
    </row>
    <row r="6355" spans="1:5" s="103" customFormat="1" ht="13.2" hidden="1" outlineLevel="1" x14ac:dyDescent="0.25">
      <c r="A6355" s="106" t="s">
        <v>12716</v>
      </c>
      <c r="B6355" s="106" t="s">
        <v>12717</v>
      </c>
      <c r="C6355" s="106"/>
      <c r="D6355" s="106"/>
      <c r="E6355" s="52"/>
    </row>
    <row r="6356" spans="1:5" s="103" customFormat="1" ht="13.2" hidden="1" outlineLevel="1" x14ac:dyDescent="0.25">
      <c r="A6356" s="106" t="s">
        <v>12718</v>
      </c>
      <c r="B6356" s="106" t="s">
        <v>12719</v>
      </c>
      <c r="C6356" s="106"/>
      <c r="D6356" s="106"/>
      <c r="E6356" s="52"/>
    </row>
    <row r="6357" spans="1:5" s="103" customFormat="1" ht="13.2" hidden="1" outlineLevel="1" x14ac:dyDescent="0.25">
      <c r="A6357" s="106" t="s">
        <v>12720</v>
      </c>
      <c r="B6357" s="106" t="s">
        <v>12721</v>
      </c>
      <c r="C6357" s="106"/>
      <c r="D6357" s="106"/>
      <c r="E6357" s="52"/>
    </row>
    <row r="6358" spans="1:5" s="103" customFormat="1" ht="13.2" hidden="1" outlineLevel="1" x14ac:dyDescent="0.25">
      <c r="A6358" s="106" t="s">
        <v>12722</v>
      </c>
      <c r="B6358" s="106" t="s">
        <v>12723</v>
      </c>
      <c r="C6358" s="106"/>
      <c r="D6358" s="106"/>
      <c r="E6358" s="52"/>
    </row>
    <row r="6359" spans="1:5" s="103" customFormat="1" ht="13.2" hidden="1" outlineLevel="1" x14ac:dyDescent="0.25">
      <c r="A6359" s="106" t="s">
        <v>12724</v>
      </c>
      <c r="B6359" s="106" t="s">
        <v>12725</v>
      </c>
      <c r="C6359" s="106"/>
      <c r="D6359" s="106"/>
      <c r="E6359" s="52"/>
    </row>
    <row r="6360" spans="1:5" s="103" customFormat="1" ht="13.2" hidden="1" outlineLevel="1" x14ac:dyDescent="0.25">
      <c r="A6360" s="106" t="s">
        <v>12726</v>
      </c>
      <c r="B6360" s="106" t="s">
        <v>12727</v>
      </c>
      <c r="C6360" s="106"/>
      <c r="D6360" s="106"/>
      <c r="E6360" s="52"/>
    </row>
    <row r="6361" spans="1:5" s="103" customFormat="1" ht="13.2" hidden="1" outlineLevel="1" x14ac:dyDescent="0.25">
      <c r="A6361" s="106" t="s">
        <v>12728</v>
      </c>
      <c r="B6361" s="106" t="s">
        <v>12729</v>
      </c>
      <c r="C6361" s="106"/>
      <c r="D6361" s="106"/>
      <c r="E6361" s="52"/>
    </row>
    <row r="6362" spans="1:5" s="103" customFormat="1" ht="13.2" hidden="1" outlineLevel="1" x14ac:dyDescent="0.25">
      <c r="A6362" s="106" t="s">
        <v>12730</v>
      </c>
      <c r="B6362" s="106" t="s">
        <v>12731</v>
      </c>
      <c r="C6362" s="106"/>
      <c r="D6362" s="106"/>
      <c r="E6362" s="52"/>
    </row>
    <row r="6363" spans="1:5" s="103" customFormat="1" ht="13.2" hidden="1" outlineLevel="1" x14ac:dyDescent="0.25">
      <c r="A6363" s="106" t="s">
        <v>12732</v>
      </c>
      <c r="B6363" s="106" t="s">
        <v>12733</v>
      </c>
      <c r="C6363" s="106"/>
      <c r="D6363" s="106"/>
      <c r="E6363" s="52"/>
    </row>
    <row r="6364" spans="1:5" s="103" customFormat="1" ht="13.2" hidden="1" outlineLevel="1" x14ac:dyDescent="0.25">
      <c r="A6364" s="106" t="s">
        <v>12734</v>
      </c>
      <c r="B6364" s="106" t="s">
        <v>12735</v>
      </c>
      <c r="C6364" s="106"/>
      <c r="D6364" s="106"/>
      <c r="E6364" s="52"/>
    </row>
    <row r="6365" spans="1:5" s="103" customFormat="1" ht="13.2" hidden="1" outlineLevel="1" x14ac:dyDescent="0.25">
      <c r="A6365" s="106" t="s">
        <v>12736</v>
      </c>
      <c r="B6365" s="106" t="s">
        <v>12737</v>
      </c>
      <c r="C6365" s="106"/>
      <c r="D6365" s="106"/>
      <c r="E6365" s="52"/>
    </row>
    <row r="6366" spans="1:5" s="103" customFormat="1" ht="13.2" hidden="1" outlineLevel="1" x14ac:dyDescent="0.25">
      <c r="A6366" s="106" t="s">
        <v>12738</v>
      </c>
      <c r="B6366" s="106" t="s">
        <v>12739</v>
      </c>
      <c r="C6366" s="106"/>
      <c r="D6366" s="106"/>
      <c r="E6366" s="52"/>
    </row>
    <row r="6367" spans="1:5" s="103" customFormat="1" ht="13.2" hidden="1" outlineLevel="1" x14ac:dyDescent="0.25">
      <c r="A6367" s="106" t="s">
        <v>12740</v>
      </c>
      <c r="B6367" s="106" t="s">
        <v>12741</v>
      </c>
      <c r="C6367" s="106"/>
      <c r="D6367" s="106"/>
      <c r="E6367" s="52"/>
    </row>
    <row r="6368" spans="1:5" s="103" customFormat="1" ht="13.2" hidden="1" outlineLevel="1" x14ac:dyDescent="0.25">
      <c r="A6368" s="106" t="s">
        <v>12742</v>
      </c>
      <c r="B6368" s="106" t="s">
        <v>12743</v>
      </c>
      <c r="C6368" s="106"/>
      <c r="D6368" s="106"/>
      <c r="E6368" s="52"/>
    </row>
    <row r="6369" spans="1:5" s="103" customFormat="1" ht="13.2" hidden="1" outlineLevel="1" x14ac:dyDescent="0.25">
      <c r="A6369" s="106" t="s">
        <v>12744</v>
      </c>
      <c r="B6369" s="106" t="s">
        <v>12745</v>
      </c>
      <c r="C6369" s="106"/>
      <c r="D6369" s="106"/>
      <c r="E6369" s="52"/>
    </row>
    <row r="6370" spans="1:5" s="103" customFormat="1" ht="13.2" hidden="1" outlineLevel="1" x14ac:dyDescent="0.25">
      <c r="A6370" s="106" t="s">
        <v>12746</v>
      </c>
      <c r="B6370" s="106" t="s">
        <v>12747</v>
      </c>
      <c r="C6370" s="106"/>
      <c r="D6370" s="106"/>
      <c r="E6370" s="52"/>
    </row>
    <row r="6371" spans="1:5" s="103" customFormat="1" ht="13.2" hidden="1" outlineLevel="1" x14ac:dyDescent="0.25">
      <c r="A6371" s="106" t="s">
        <v>12748</v>
      </c>
      <c r="B6371" s="106" t="s">
        <v>12749</v>
      </c>
      <c r="C6371" s="106"/>
      <c r="D6371" s="106"/>
      <c r="E6371" s="52"/>
    </row>
    <row r="6372" spans="1:5" s="103" customFormat="1" ht="13.2" hidden="1" outlineLevel="1" x14ac:dyDescent="0.25">
      <c r="A6372" s="106" t="s">
        <v>12750</v>
      </c>
      <c r="B6372" s="106" t="s">
        <v>12751</v>
      </c>
      <c r="C6372" s="106"/>
      <c r="D6372" s="106"/>
      <c r="E6372" s="52"/>
    </row>
    <row r="6373" spans="1:5" s="103" customFormat="1" ht="13.2" hidden="1" outlineLevel="1" x14ac:dyDescent="0.25">
      <c r="A6373" s="106" t="s">
        <v>12752</v>
      </c>
      <c r="B6373" s="106" t="s">
        <v>12753</v>
      </c>
      <c r="C6373" s="106"/>
      <c r="D6373" s="106"/>
      <c r="E6373" s="52"/>
    </row>
    <row r="6374" spans="1:5" s="103" customFormat="1" ht="13.2" hidden="1" outlineLevel="1" x14ac:dyDescent="0.25">
      <c r="A6374" s="106" t="s">
        <v>12754</v>
      </c>
      <c r="B6374" s="106" t="s">
        <v>12755</v>
      </c>
      <c r="C6374" s="106"/>
      <c r="D6374" s="106"/>
      <c r="E6374" s="52"/>
    </row>
    <row r="6375" spans="1:5" s="103" customFormat="1" ht="13.2" hidden="1" outlineLevel="1" x14ac:dyDescent="0.25">
      <c r="A6375" s="106" t="s">
        <v>12756</v>
      </c>
      <c r="B6375" s="106" t="s">
        <v>12757</v>
      </c>
      <c r="C6375" s="106"/>
      <c r="D6375" s="106"/>
      <c r="E6375" s="52"/>
    </row>
    <row r="6376" spans="1:5" s="103" customFormat="1" ht="13.2" hidden="1" outlineLevel="1" x14ac:dyDescent="0.25">
      <c r="A6376" s="106" t="s">
        <v>12758</v>
      </c>
      <c r="B6376" s="106" t="s">
        <v>12759</v>
      </c>
      <c r="C6376" s="106"/>
      <c r="D6376" s="106"/>
      <c r="E6376" s="52"/>
    </row>
    <row r="6377" spans="1:5" s="103" customFormat="1" ht="13.2" hidden="1" outlineLevel="1" x14ac:dyDescent="0.25">
      <c r="A6377" s="106" t="s">
        <v>12760</v>
      </c>
      <c r="B6377" s="106" t="s">
        <v>12761</v>
      </c>
      <c r="C6377" s="106"/>
      <c r="D6377" s="106"/>
      <c r="E6377" s="52"/>
    </row>
    <row r="6378" spans="1:5" s="103" customFormat="1" ht="13.2" hidden="1" outlineLevel="1" x14ac:dyDescent="0.25">
      <c r="A6378" s="106" t="s">
        <v>12762</v>
      </c>
      <c r="B6378" s="106" t="s">
        <v>12763</v>
      </c>
      <c r="C6378" s="106"/>
      <c r="D6378" s="106"/>
      <c r="E6378" s="52"/>
    </row>
    <row r="6379" spans="1:5" s="103" customFormat="1" ht="13.2" hidden="1" outlineLevel="1" x14ac:dyDescent="0.25">
      <c r="A6379" s="106" t="s">
        <v>12764</v>
      </c>
      <c r="B6379" s="106" t="s">
        <v>12765</v>
      </c>
      <c r="C6379" s="106"/>
      <c r="D6379" s="106"/>
      <c r="E6379" s="52"/>
    </row>
    <row r="6380" spans="1:5" s="103" customFormat="1" ht="13.2" hidden="1" outlineLevel="1" x14ac:dyDescent="0.25">
      <c r="A6380" s="106" t="s">
        <v>12766</v>
      </c>
      <c r="B6380" s="106" t="s">
        <v>12767</v>
      </c>
      <c r="C6380" s="106"/>
      <c r="D6380" s="106"/>
      <c r="E6380" s="52"/>
    </row>
    <row r="6381" spans="1:5" s="103" customFormat="1" ht="13.2" hidden="1" outlineLevel="1" x14ac:dyDescent="0.25">
      <c r="A6381" s="106" t="s">
        <v>12768</v>
      </c>
      <c r="B6381" s="106" t="s">
        <v>12769</v>
      </c>
      <c r="C6381" s="106"/>
      <c r="D6381" s="106"/>
      <c r="E6381" s="52"/>
    </row>
    <row r="6382" spans="1:5" s="103" customFormat="1" ht="13.2" hidden="1" outlineLevel="1" x14ac:dyDescent="0.25">
      <c r="A6382" s="106" t="s">
        <v>12770</v>
      </c>
      <c r="B6382" s="106" t="s">
        <v>12771</v>
      </c>
      <c r="C6382" s="106"/>
      <c r="D6382" s="106"/>
      <c r="E6382" s="52"/>
    </row>
    <row r="6383" spans="1:5" s="103" customFormat="1" ht="13.2" hidden="1" outlineLevel="1" x14ac:dyDescent="0.25">
      <c r="A6383" s="106" t="s">
        <v>12772</v>
      </c>
      <c r="B6383" s="106" t="s">
        <v>12773</v>
      </c>
      <c r="C6383" s="106"/>
      <c r="D6383" s="106"/>
      <c r="E6383" s="52"/>
    </row>
    <row r="6384" spans="1:5" s="103" customFormat="1" ht="13.2" hidden="1" outlineLevel="1" x14ac:dyDescent="0.25">
      <c r="A6384" s="106" t="s">
        <v>12774</v>
      </c>
      <c r="B6384" s="106" t="s">
        <v>12775</v>
      </c>
      <c r="C6384" s="106"/>
      <c r="D6384" s="106"/>
      <c r="E6384" s="52"/>
    </row>
    <row r="6385" spans="1:5" s="103" customFormat="1" ht="13.2" hidden="1" outlineLevel="1" x14ac:dyDescent="0.25">
      <c r="A6385" s="106" t="s">
        <v>12776</v>
      </c>
      <c r="B6385" s="106" t="s">
        <v>12777</v>
      </c>
      <c r="C6385" s="106"/>
      <c r="D6385" s="106"/>
      <c r="E6385" s="52"/>
    </row>
    <row r="6386" spans="1:5" s="103" customFormat="1" ht="13.2" hidden="1" outlineLevel="1" x14ac:dyDescent="0.25">
      <c r="A6386" s="106" t="s">
        <v>12778</v>
      </c>
      <c r="B6386" s="106" t="s">
        <v>12779</v>
      </c>
      <c r="C6386" s="106"/>
      <c r="D6386" s="106"/>
      <c r="E6386" s="52"/>
    </row>
    <row r="6387" spans="1:5" s="103" customFormat="1" ht="13.2" hidden="1" outlineLevel="1" x14ac:dyDescent="0.25">
      <c r="A6387" s="106" t="s">
        <v>12780</v>
      </c>
      <c r="B6387" s="106" t="s">
        <v>12781</v>
      </c>
      <c r="C6387" s="106"/>
      <c r="D6387" s="106"/>
      <c r="E6387" s="52"/>
    </row>
    <row r="6388" spans="1:5" s="103" customFormat="1" ht="13.2" hidden="1" outlineLevel="1" x14ac:dyDescent="0.25">
      <c r="A6388" s="106" t="s">
        <v>12782</v>
      </c>
      <c r="B6388" s="106" t="s">
        <v>12783</v>
      </c>
      <c r="C6388" s="106"/>
      <c r="D6388" s="106"/>
      <c r="E6388" s="52"/>
    </row>
    <row r="6389" spans="1:5" s="103" customFormat="1" ht="13.2" hidden="1" outlineLevel="1" x14ac:dyDescent="0.25">
      <c r="A6389" s="106" t="s">
        <v>12784</v>
      </c>
      <c r="B6389" s="106" t="s">
        <v>12785</v>
      </c>
      <c r="C6389" s="106"/>
      <c r="D6389" s="106"/>
      <c r="E6389" s="52"/>
    </row>
    <row r="6390" spans="1:5" s="103" customFormat="1" ht="13.2" hidden="1" outlineLevel="1" x14ac:dyDescent="0.25">
      <c r="A6390" s="106" t="s">
        <v>12786</v>
      </c>
      <c r="B6390" s="106" t="s">
        <v>12787</v>
      </c>
      <c r="C6390" s="106"/>
      <c r="D6390" s="106"/>
      <c r="E6390" s="52"/>
    </row>
    <row r="6391" spans="1:5" s="103" customFormat="1" ht="13.2" hidden="1" outlineLevel="1" x14ac:dyDescent="0.25">
      <c r="A6391" s="106" t="s">
        <v>12788</v>
      </c>
      <c r="B6391" s="106" t="s">
        <v>12789</v>
      </c>
      <c r="C6391" s="106"/>
      <c r="D6391" s="106"/>
      <c r="E6391" s="52"/>
    </row>
    <row r="6392" spans="1:5" s="103" customFormat="1" ht="13.2" hidden="1" outlineLevel="1" x14ac:dyDescent="0.25">
      <c r="A6392" s="106" t="s">
        <v>12790</v>
      </c>
      <c r="B6392" s="106" t="s">
        <v>12791</v>
      </c>
      <c r="C6392" s="106"/>
      <c r="D6392" s="106"/>
      <c r="E6392" s="52"/>
    </row>
    <row r="6393" spans="1:5" s="103" customFormat="1" ht="13.2" hidden="1" outlineLevel="1" x14ac:dyDescent="0.25">
      <c r="A6393" s="106" t="s">
        <v>12792</v>
      </c>
      <c r="B6393" s="106" t="s">
        <v>12793</v>
      </c>
      <c r="C6393" s="106"/>
      <c r="D6393" s="106"/>
      <c r="E6393" s="52"/>
    </row>
    <row r="6394" spans="1:5" s="103" customFormat="1" ht="13.2" hidden="1" outlineLevel="1" x14ac:dyDescent="0.25">
      <c r="A6394" s="106" t="s">
        <v>12794</v>
      </c>
      <c r="B6394" s="106" t="s">
        <v>12795</v>
      </c>
      <c r="C6394" s="106"/>
      <c r="D6394" s="106"/>
      <c r="E6394" s="52"/>
    </row>
    <row r="6395" spans="1:5" s="103" customFormat="1" ht="13.2" hidden="1" outlineLevel="1" x14ac:dyDescent="0.25">
      <c r="A6395" s="106" t="s">
        <v>12796</v>
      </c>
      <c r="B6395" s="106" t="s">
        <v>12797</v>
      </c>
      <c r="C6395" s="106"/>
      <c r="D6395" s="106"/>
      <c r="E6395" s="52"/>
    </row>
    <row r="6396" spans="1:5" s="103" customFormat="1" ht="13.2" hidden="1" outlineLevel="1" x14ac:dyDescent="0.25">
      <c r="A6396" s="106" t="s">
        <v>12798</v>
      </c>
      <c r="B6396" s="106" t="s">
        <v>12799</v>
      </c>
      <c r="C6396" s="106"/>
      <c r="D6396" s="106"/>
      <c r="E6396" s="52"/>
    </row>
    <row r="6397" spans="1:5" s="103" customFormat="1" ht="13.2" hidden="1" outlineLevel="1" x14ac:dyDescent="0.25">
      <c r="A6397" s="106" t="s">
        <v>12800</v>
      </c>
      <c r="B6397" s="106" t="s">
        <v>12801</v>
      </c>
      <c r="C6397" s="106"/>
      <c r="D6397" s="106"/>
      <c r="E6397" s="52"/>
    </row>
    <row r="6398" spans="1:5" s="103" customFormat="1" ht="13.2" hidden="1" outlineLevel="1" x14ac:dyDescent="0.25">
      <c r="A6398" s="106" t="s">
        <v>12802</v>
      </c>
      <c r="B6398" s="106" t="s">
        <v>12803</v>
      </c>
      <c r="C6398" s="106"/>
      <c r="D6398" s="106"/>
      <c r="E6398" s="52"/>
    </row>
    <row r="6399" spans="1:5" s="103" customFormat="1" ht="13.2" hidden="1" outlineLevel="1" x14ac:dyDescent="0.25">
      <c r="A6399" s="106" t="s">
        <v>12804</v>
      </c>
      <c r="B6399" s="106" t="s">
        <v>12805</v>
      </c>
      <c r="C6399" s="106"/>
      <c r="D6399" s="106"/>
      <c r="E6399" s="52"/>
    </row>
    <row r="6400" spans="1:5" s="103" customFormat="1" ht="13.2" hidden="1" outlineLevel="1" x14ac:dyDescent="0.25">
      <c r="A6400" s="106" t="s">
        <v>12806</v>
      </c>
      <c r="B6400" s="106" t="s">
        <v>12807</v>
      </c>
      <c r="C6400" s="106"/>
      <c r="D6400" s="106"/>
      <c r="E6400" s="52"/>
    </row>
    <row r="6401" spans="1:5" s="103" customFormat="1" ht="13.2" hidden="1" outlineLevel="1" x14ac:dyDescent="0.25">
      <c r="A6401" s="106" t="s">
        <v>12808</v>
      </c>
      <c r="B6401" s="106" t="s">
        <v>12809</v>
      </c>
      <c r="C6401" s="106"/>
      <c r="D6401" s="106"/>
      <c r="E6401" s="52"/>
    </row>
    <row r="6402" spans="1:5" s="103" customFormat="1" ht="13.2" hidden="1" outlineLevel="1" x14ac:dyDescent="0.25">
      <c r="A6402" s="106" t="s">
        <v>12810</v>
      </c>
      <c r="B6402" s="106" t="s">
        <v>12811</v>
      </c>
      <c r="C6402" s="106"/>
      <c r="D6402" s="106"/>
      <c r="E6402" s="52"/>
    </row>
    <row r="6403" spans="1:5" s="103" customFormat="1" ht="13.2" hidden="1" outlineLevel="1" x14ac:dyDescent="0.25">
      <c r="A6403" s="106" t="s">
        <v>12812</v>
      </c>
      <c r="B6403" s="106" t="s">
        <v>12813</v>
      </c>
      <c r="C6403" s="106"/>
      <c r="D6403" s="106"/>
      <c r="E6403" s="52"/>
    </row>
    <row r="6404" spans="1:5" s="103" customFormat="1" ht="13.2" hidden="1" outlineLevel="1" x14ac:dyDescent="0.25">
      <c r="A6404" s="106" t="s">
        <v>12814</v>
      </c>
      <c r="B6404" s="106" t="s">
        <v>12815</v>
      </c>
      <c r="C6404" s="106"/>
      <c r="D6404" s="106"/>
      <c r="E6404" s="52"/>
    </row>
    <row r="6405" spans="1:5" s="103" customFormat="1" ht="13.2" hidden="1" outlineLevel="1" x14ac:dyDescent="0.25">
      <c r="A6405" s="106" t="s">
        <v>12816</v>
      </c>
      <c r="B6405" s="106" t="s">
        <v>12817</v>
      </c>
      <c r="C6405" s="106"/>
      <c r="D6405" s="106"/>
      <c r="E6405" s="52"/>
    </row>
    <row r="6406" spans="1:5" s="103" customFormat="1" ht="13.2" hidden="1" outlineLevel="1" x14ac:dyDescent="0.25">
      <c r="A6406" s="106" t="s">
        <v>12818</v>
      </c>
      <c r="B6406" s="106" t="s">
        <v>12819</v>
      </c>
      <c r="C6406" s="106"/>
      <c r="D6406" s="106"/>
      <c r="E6406" s="52"/>
    </row>
    <row r="6407" spans="1:5" s="103" customFormat="1" ht="13.2" hidden="1" outlineLevel="1" x14ac:dyDescent="0.25">
      <c r="A6407" s="106" t="s">
        <v>12820</v>
      </c>
      <c r="B6407" s="106" t="s">
        <v>12821</v>
      </c>
      <c r="C6407" s="106"/>
      <c r="D6407" s="106"/>
      <c r="E6407" s="52"/>
    </row>
    <row r="6408" spans="1:5" s="103" customFormat="1" ht="13.2" hidden="1" outlineLevel="1" x14ac:dyDescent="0.25">
      <c r="A6408" s="106" t="s">
        <v>12822</v>
      </c>
      <c r="B6408" s="106" t="s">
        <v>12823</v>
      </c>
      <c r="C6408" s="106"/>
      <c r="D6408" s="106"/>
      <c r="E6408" s="52"/>
    </row>
    <row r="6409" spans="1:5" s="103" customFormat="1" ht="13.2" hidden="1" outlineLevel="1" x14ac:dyDescent="0.25">
      <c r="A6409" s="106" t="s">
        <v>12824</v>
      </c>
      <c r="B6409" s="106" t="s">
        <v>12825</v>
      </c>
      <c r="C6409" s="106"/>
      <c r="D6409" s="106"/>
      <c r="E6409" s="52"/>
    </row>
    <row r="6410" spans="1:5" s="103" customFormat="1" ht="13.2" hidden="1" outlineLevel="1" x14ac:dyDescent="0.25">
      <c r="A6410" s="106" t="s">
        <v>12826</v>
      </c>
      <c r="B6410" s="106" t="s">
        <v>12827</v>
      </c>
      <c r="C6410" s="106"/>
      <c r="D6410" s="106"/>
      <c r="E6410" s="52"/>
    </row>
    <row r="6411" spans="1:5" s="103" customFormat="1" ht="13.2" hidden="1" outlineLevel="1" x14ac:dyDescent="0.25">
      <c r="A6411" s="106" t="s">
        <v>12828</v>
      </c>
      <c r="B6411" s="106" t="s">
        <v>12829</v>
      </c>
      <c r="C6411" s="106"/>
      <c r="D6411" s="106"/>
      <c r="E6411" s="52"/>
    </row>
    <row r="6412" spans="1:5" s="103" customFormat="1" ht="13.2" hidden="1" outlineLevel="1" x14ac:dyDescent="0.25">
      <c r="A6412" s="106" t="s">
        <v>12830</v>
      </c>
      <c r="B6412" s="106" t="s">
        <v>12831</v>
      </c>
      <c r="C6412" s="106"/>
      <c r="D6412" s="106"/>
      <c r="E6412" s="52"/>
    </row>
    <row r="6413" spans="1:5" s="103" customFormat="1" ht="13.2" hidden="1" outlineLevel="1" x14ac:dyDescent="0.25">
      <c r="A6413" s="106" t="s">
        <v>12832</v>
      </c>
      <c r="B6413" s="106" t="s">
        <v>12833</v>
      </c>
      <c r="C6413" s="106"/>
      <c r="D6413" s="106"/>
      <c r="E6413" s="52"/>
    </row>
    <row r="6414" spans="1:5" s="103" customFormat="1" ht="13.2" hidden="1" outlineLevel="1" x14ac:dyDescent="0.25">
      <c r="A6414" s="106" t="s">
        <v>12834</v>
      </c>
      <c r="B6414" s="106" t="s">
        <v>12835</v>
      </c>
      <c r="C6414" s="106"/>
      <c r="D6414" s="106"/>
      <c r="E6414" s="52"/>
    </row>
    <row r="6415" spans="1:5" s="103" customFormat="1" ht="26.4" collapsed="1" x14ac:dyDescent="0.25">
      <c r="A6415" s="104" t="s">
        <v>12836</v>
      </c>
      <c r="B6415" s="107" t="s">
        <v>12837</v>
      </c>
      <c r="C6415" s="105"/>
      <c r="D6415" s="105"/>
      <c r="E6415" s="51"/>
    </row>
    <row r="6416" spans="1:5" s="103" customFormat="1" ht="13.2" hidden="1" outlineLevel="1" x14ac:dyDescent="0.25">
      <c r="A6416" s="106" t="s">
        <v>12838</v>
      </c>
      <c r="B6416" s="106" t="s">
        <v>12839</v>
      </c>
      <c r="C6416" s="106"/>
      <c r="D6416" s="106"/>
      <c r="E6416" s="52"/>
    </row>
    <row r="6417" spans="1:5" s="103" customFormat="1" ht="13.2" hidden="1" outlineLevel="1" x14ac:dyDescent="0.25">
      <c r="A6417" s="106" t="s">
        <v>12840</v>
      </c>
      <c r="B6417" s="106" t="s">
        <v>12841</v>
      </c>
      <c r="C6417" s="106"/>
      <c r="D6417" s="106"/>
      <c r="E6417" s="52"/>
    </row>
    <row r="6418" spans="1:5" s="103" customFormat="1" ht="13.2" hidden="1" outlineLevel="1" x14ac:dyDescent="0.25">
      <c r="A6418" s="106" t="s">
        <v>12842</v>
      </c>
      <c r="B6418" s="106" t="s">
        <v>12843</v>
      </c>
      <c r="C6418" s="106"/>
      <c r="D6418" s="106"/>
      <c r="E6418" s="52"/>
    </row>
    <row r="6419" spans="1:5" s="103" customFormat="1" ht="13.2" hidden="1" outlineLevel="1" x14ac:dyDescent="0.25">
      <c r="A6419" s="106" t="s">
        <v>12844</v>
      </c>
      <c r="B6419" s="106" t="s">
        <v>12845</v>
      </c>
      <c r="C6419" s="106"/>
      <c r="D6419" s="106"/>
      <c r="E6419" s="52"/>
    </row>
    <row r="6420" spans="1:5" s="103" customFormat="1" ht="13.2" hidden="1" outlineLevel="1" x14ac:dyDescent="0.25">
      <c r="A6420" s="106" t="s">
        <v>12846</v>
      </c>
      <c r="B6420" s="106" t="s">
        <v>12847</v>
      </c>
      <c r="C6420" s="106"/>
      <c r="D6420" s="106"/>
      <c r="E6420" s="52"/>
    </row>
    <row r="6421" spans="1:5" s="103" customFormat="1" ht="13.2" hidden="1" outlineLevel="1" x14ac:dyDescent="0.25">
      <c r="A6421" s="106" t="s">
        <v>12848</v>
      </c>
      <c r="B6421" s="106" t="s">
        <v>12849</v>
      </c>
      <c r="C6421" s="106"/>
      <c r="D6421" s="106"/>
      <c r="E6421" s="52"/>
    </row>
    <row r="6422" spans="1:5" s="103" customFormat="1" ht="13.2" hidden="1" outlineLevel="1" x14ac:dyDescent="0.25">
      <c r="A6422" s="106" t="s">
        <v>12850</v>
      </c>
      <c r="B6422" s="106" t="s">
        <v>12851</v>
      </c>
      <c r="C6422" s="106"/>
      <c r="D6422" s="106"/>
      <c r="E6422" s="52"/>
    </row>
    <row r="6423" spans="1:5" s="103" customFormat="1" ht="13.2" hidden="1" outlineLevel="1" x14ac:dyDescent="0.25">
      <c r="A6423" s="106" t="s">
        <v>12852</v>
      </c>
      <c r="B6423" s="106" t="s">
        <v>12853</v>
      </c>
      <c r="C6423" s="106"/>
      <c r="D6423" s="106"/>
      <c r="E6423" s="52"/>
    </row>
    <row r="6424" spans="1:5" s="103" customFormat="1" ht="13.2" hidden="1" outlineLevel="1" x14ac:dyDescent="0.25">
      <c r="A6424" s="106" t="s">
        <v>12854</v>
      </c>
      <c r="B6424" s="106" t="s">
        <v>12855</v>
      </c>
      <c r="C6424" s="106"/>
      <c r="D6424" s="106"/>
      <c r="E6424" s="52"/>
    </row>
    <row r="6425" spans="1:5" s="103" customFormat="1" ht="13.2" hidden="1" outlineLevel="1" x14ac:dyDescent="0.25">
      <c r="A6425" s="106" t="s">
        <v>12856</v>
      </c>
      <c r="B6425" s="106" t="s">
        <v>12857</v>
      </c>
      <c r="C6425" s="106"/>
      <c r="D6425" s="106"/>
      <c r="E6425" s="52"/>
    </row>
    <row r="6426" spans="1:5" s="103" customFormat="1" ht="13.2" hidden="1" outlineLevel="1" x14ac:dyDescent="0.25">
      <c r="A6426" s="106" t="s">
        <v>12858</v>
      </c>
      <c r="B6426" s="106" t="s">
        <v>12859</v>
      </c>
      <c r="C6426" s="106"/>
      <c r="D6426" s="106"/>
      <c r="E6426" s="52"/>
    </row>
    <row r="6427" spans="1:5" s="103" customFormat="1" ht="13.2" hidden="1" outlineLevel="1" x14ac:dyDescent="0.25">
      <c r="A6427" s="106" t="s">
        <v>12860</v>
      </c>
      <c r="B6427" s="106" t="s">
        <v>12861</v>
      </c>
      <c r="C6427" s="106"/>
      <c r="D6427" s="106"/>
      <c r="E6427" s="52"/>
    </row>
    <row r="6428" spans="1:5" s="103" customFormat="1" ht="13.2" hidden="1" outlineLevel="1" x14ac:dyDescent="0.25">
      <c r="A6428" s="106" t="s">
        <v>12862</v>
      </c>
      <c r="B6428" s="106" t="s">
        <v>12863</v>
      </c>
      <c r="C6428" s="106"/>
      <c r="D6428" s="106"/>
      <c r="E6428" s="52"/>
    </row>
    <row r="6429" spans="1:5" s="103" customFormat="1" ht="13.2" hidden="1" outlineLevel="1" x14ac:dyDescent="0.25">
      <c r="A6429" s="106" t="s">
        <v>12864</v>
      </c>
      <c r="B6429" s="106" t="s">
        <v>12865</v>
      </c>
      <c r="C6429" s="106"/>
      <c r="D6429" s="106"/>
      <c r="E6429" s="52"/>
    </row>
    <row r="6430" spans="1:5" s="103" customFormat="1" ht="13.2" hidden="1" outlineLevel="1" x14ac:dyDescent="0.25">
      <c r="A6430" s="106" t="s">
        <v>12866</v>
      </c>
      <c r="B6430" s="106" t="s">
        <v>12867</v>
      </c>
      <c r="C6430" s="106"/>
      <c r="D6430" s="106"/>
      <c r="E6430" s="52"/>
    </row>
    <row r="6431" spans="1:5" s="103" customFormat="1" ht="13.2" hidden="1" outlineLevel="1" x14ac:dyDescent="0.25">
      <c r="A6431" s="106" t="s">
        <v>12868</v>
      </c>
      <c r="B6431" s="106" t="s">
        <v>12869</v>
      </c>
      <c r="C6431" s="106"/>
      <c r="D6431" s="106"/>
      <c r="E6431" s="52"/>
    </row>
    <row r="6432" spans="1:5" s="103" customFormat="1" ht="13.2" hidden="1" outlineLevel="1" x14ac:dyDescent="0.25">
      <c r="A6432" s="106" t="s">
        <v>12870</v>
      </c>
      <c r="B6432" s="106" t="s">
        <v>12871</v>
      </c>
      <c r="C6432" s="106"/>
      <c r="D6432" s="106"/>
      <c r="E6432" s="52"/>
    </row>
    <row r="6433" spans="1:5" s="103" customFormat="1" ht="13.2" hidden="1" outlineLevel="1" x14ac:dyDescent="0.25">
      <c r="A6433" s="106" t="s">
        <v>12872</v>
      </c>
      <c r="B6433" s="106" t="s">
        <v>12873</v>
      </c>
      <c r="C6433" s="106"/>
      <c r="D6433" s="106"/>
      <c r="E6433" s="52"/>
    </row>
    <row r="6434" spans="1:5" s="103" customFormat="1" ht="13.2" hidden="1" outlineLevel="1" x14ac:dyDescent="0.25">
      <c r="A6434" s="106" t="s">
        <v>12874</v>
      </c>
      <c r="B6434" s="106" t="s">
        <v>12875</v>
      </c>
      <c r="C6434" s="106"/>
      <c r="D6434" s="106"/>
      <c r="E6434" s="52"/>
    </row>
    <row r="6435" spans="1:5" s="103" customFormat="1" ht="13.2" hidden="1" outlineLevel="1" x14ac:dyDescent="0.25">
      <c r="A6435" s="106" t="s">
        <v>12876</v>
      </c>
      <c r="B6435" s="106" t="s">
        <v>12877</v>
      </c>
      <c r="C6435" s="106"/>
      <c r="D6435" s="106"/>
      <c r="E6435" s="52"/>
    </row>
    <row r="6436" spans="1:5" s="103" customFormat="1" ht="13.2" hidden="1" outlineLevel="1" x14ac:dyDescent="0.25">
      <c r="A6436" s="106" t="s">
        <v>12878</v>
      </c>
      <c r="B6436" s="106" t="s">
        <v>12879</v>
      </c>
      <c r="C6436" s="106"/>
      <c r="D6436" s="106"/>
      <c r="E6436" s="52"/>
    </row>
    <row r="6437" spans="1:5" s="103" customFormat="1" ht="13.2" hidden="1" outlineLevel="1" x14ac:dyDescent="0.25">
      <c r="A6437" s="106" t="s">
        <v>12880</v>
      </c>
      <c r="B6437" s="106" t="s">
        <v>12881</v>
      </c>
      <c r="C6437" s="106"/>
      <c r="D6437" s="106"/>
      <c r="E6437" s="52"/>
    </row>
    <row r="6438" spans="1:5" s="103" customFormat="1" ht="13.2" hidden="1" outlineLevel="1" x14ac:dyDescent="0.25">
      <c r="A6438" s="106" t="s">
        <v>12882</v>
      </c>
      <c r="B6438" s="106" t="s">
        <v>12883</v>
      </c>
      <c r="C6438" s="106"/>
      <c r="D6438" s="106"/>
      <c r="E6438" s="52"/>
    </row>
    <row r="6439" spans="1:5" s="103" customFormat="1" ht="13.2" hidden="1" outlineLevel="1" x14ac:dyDescent="0.25">
      <c r="A6439" s="106" t="s">
        <v>12884</v>
      </c>
      <c r="B6439" s="106" t="s">
        <v>12885</v>
      </c>
      <c r="C6439" s="106"/>
      <c r="D6439" s="106"/>
      <c r="E6439" s="52"/>
    </row>
    <row r="6440" spans="1:5" s="103" customFormat="1" ht="13.2" hidden="1" outlineLevel="1" x14ac:dyDescent="0.25">
      <c r="A6440" s="106" t="s">
        <v>12886</v>
      </c>
      <c r="B6440" s="106" t="s">
        <v>12887</v>
      </c>
      <c r="C6440" s="106"/>
      <c r="D6440" s="106"/>
      <c r="E6440" s="52"/>
    </row>
    <row r="6441" spans="1:5" s="103" customFormat="1" ht="13.2" hidden="1" outlineLevel="1" x14ac:dyDescent="0.25">
      <c r="A6441" s="106" t="s">
        <v>12888</v>
      </c>
      <c r="B6441" s="106" t="s">
        <v>12889</v>
      </c>
      <c r="C6441" s="106"/>
      <c r="D6441" s="106"/>
      <c r="E6441" s="52"/>
    </row>
    <row r="6442" spans="1:5" s="103" customFormat="1" ht="13.2" hidden="1" outlineLevel="1" x14ac:dyDescent="0.25">
      <c r="A6442" s="106" t="s">
        <v>12890</v>
      </c>
      <c r="B6442" s="106" t="s">
        <v>12891</v>
      </c>
      <c r="C6442" s="106"/>
      <c r="D6442" s="106"/>
      <c r="E6442" s="52"/>
    </row>
    <row r="6443" spans="1:5" s="103" customFormat="1" ht="13.2" hidden="1" outlineLevel="1" x14ac:dyDescent="0.25">
      <c r="A6443" s="106" t="s">
        <v>12892</v>
      </c>
      <c r="B6443" s="106" t="s">
        <v>12893</v>
      </c>
      <c r="C6443" s="106"/>
      <c r="D6443" s="106"/>
      <c r="E6443" s="52"/>
    </row>
    <row r="6444" spans="1:5" s="103" customFormat="1" ht="13.2" hidden="1" outlineLevel="1" x14ac:dyDescent="0.25">
      <c r="A6444" s="106" t="s">
        <v>12894</v>
      </c>
      <c r="B6444" s="106" t="s">
        <v>12895</v>
      </c>
      <c r="C6444" s="106"/>
      <c r="D6444" s="106"/>
      <c r="E6444" s="52"/>
    </row>
    <row r="6445" spans="1:5" s="103" customFormat="1" ht="13.2" hidden="1" outlineLevel="1" x14ac:dyDescent="0.25">
      <c r="A6445" s="106" t="s">
        <v>12896</v>
      </c>
      <c r="B6445" s="106" t="s">
        <v>12897</v>
      </c>
      <c r="C6445" s="106"/>
      <c r="D6445" s="106"/>
      <c r="E6445" s="52"/>
    </row>
    <row r="6446" spans="1:5" s="103" customFormat="1" ht="13.2" hidden="1" outlineLevel="1" x14ac:dyDescent="0.25">
      <c r="A6446" s="106" t="s">
        <v>12898</v>
      </c>
      <c r="B6446" s="106" t="s">
        <v>12899</v>
      </c>
      <c r="C6446" s="106"/>
      <c r="D6446" s="106"/>
      <c r="E6446" s="52"/>
    </row>
    <row r="6447" spans="1:5" s="103" customFormat="1" ht="13.2" hidden="1" outlineLevel="1" x14ac:dyDescent="0.25">
      <c r="A6447" s="106" t="s">
        <v>12900</v>
      </c>
      <c r="B6447" s="106" t="s">
        <v>12901</v>
      </c>
      <c r="C6447" s="106"/>
      <c r="D6447" s="106"/>
      <c r="E6447" s="52"/>
    </row>
    <row r="6448" spans="1:5" s="103" customFormat="1" ht="13.2" hidden="1" outlineLevel="1" x14ac:dyDescent="0.25">
      <c r="A6448" s="106" t="s">
        <v>12902</v>
      </c>
      <c r="B6448" s="106" t="s">
        <v>12903</v>
      </c>
      <c r="C6448" s="106"/>
      <c r="D6448" s="106"/>
      <c r="E6448" s="52"/>
    </row>
    <row r="6449" spans="1:5" s="103" customFormat="1" ht="13.2" hidden="1" outlineLevel="1" x14ac:dyDescent="0.25">
      <c r="A6449" s="106" t="s">
        <v>12904</v>
      </c>
      <c r="B6449" s="106" t="s">
        <v>12905</v>
      </c>
      <c r="C6449" s="106"/>
      <c r="D6449" s="106"/>
      <c r="E6449" s="52"/>
    </row>
    <row r="6450" spans="1:5" s="103" customFormat="1" ht="13.2" hidden="1" outlineLevel="1" x14ac:dyDescent="0.25">
      <c r="A6450" s="106" t="s">
        <v>12906</v>
      </c>
      <c r="B6450" s="106" t="s">
        <v>12907</v>
      </c>
      <c r="C6450" s="106"/>
      <c r="D6450" s="106"/>
      <c r="E6450" s="52"/>
    </row>
    <row r="6451" spans="1:5" s="103" customFormat="1" ht="13.2" hidden="1" outlineLevel="1" x14ac:dyDescent="0.25">
      <c r="A6451" s="106" t="s">
        <v>12908</v>
      </c>
      <c r="B6451" s="106" t="s">
        <v>12909</v>
      </c>
      <c r="C6451" s="106"/>
      <c r="D6451" s="106"/>
      <c r="E6451" s="52"/>
    </row>
    <row r="6452" spans="1:5" s="103" customFormat="1" ht="13.2" hidden="1" outlineLevel="1" x14ac:dyDescent="0.25">
      <c r="A6452" s="106" t="s">
        <v>12910</v>
      </c>
      <c r="B6452" s="106" t="s">
        <v>12911</v>
      </c>
      <c r="C6452" s="106"/>
      <c r="D6452" s="106"/>
      <c r="E6452" s="52"/>
    </row>
    <row r="6453" spans="1:5" s="103" customFormat="1" ht="13.2" hidden="1" outlineLevel="1" x14ac:dyDescent="0.25">
      <c r="A6453" s="106" t="s">
        <v>12912</v>
      </c>
      <c r="B6453" s="106" t="s">
        <v>12913</v>
      </c>
      <c r="C6453" s="106"/>
      <c r="D6453" s="106"/>
      <c r="E6453" s="52"/>
    </row>
    <row r="6454" spans="1:5" s="103" customFormat="1" ht="13.2" hidden="1" outlineLevel="1" x14ac:dyDescent="0.25">
      <c r="A6454" s="106" t="s">
        <v>12914</v>
      </c>
      <c r="B6454" s="106" t="s">
        <v>12915</v>
      </c>
      <c r="C6454" s="106"/>
      <c r="D6454" s="106"/>
      <c r="E6454" s="52"/>
    </row>
    <row r="6455" spans="1:5" s="103" customFormat="1" ht="13.2" hidden="1" outlineLevel="1" x14ac:dyDescent="0.25">
      <c r="A6455" s="106" t="s">
        <v>12916</v>
      </c>
      <c r="B6455" s="106" t="s">
        <v>12917</v>
      </c>
      <c r="C6455" s="106"/>
      <c r="D6455" s="106"/>
      <c r="E6455" s="52"/>
    </row>
    <row r="6456" spans="1:5" s="103" customFormat="1" ht="13.2" hidden="1" outlineLevel="1" x14ac:dyDescent="0.25">
      <c r="A6456" s="106" t="s">
        <v>12918</v>
      </c>
      <c r="B6456" s="106" t="s">
        <v>12919</v>
      </c>
      <c r="C6456" s="106"/>
      <c r="D6456" s="106"/>
      <c r="E6456" s="52"/>
    </row>
    <row r="6457" spans="1:5" s="103" customFormat="1" ht="13.2" hidden="1" outlineLevel="1" x14ac:dyDescent="0.25">
      <c r="A6457" s="106" t="s">
        <v>12920</v>
      </c>
      <c r="B6457" s="106" t="s">
        <v>12921</v>
      </c>
      <c r="C6457" s="106"/>
      <c r="D6457" s="106"/>
      <c r="E6457" s="52"/>
    </row>
    <row r="6458" spans="1:5" s="103" customFormat="1" ht="13.2" hidden="1" outlineLevel="1" x14ac:dyDescent="0.25">
      <c r="A6458" s="106" t="s">
        <v>12922</v>
      </c>
      <c r="B6458" s="106" t="s">
        <v>12923</v>
      </c>
      <c r="C6458" s="106"/>
      <c r="D6458" s="106"/>
      <c r="E6458" s="52"/>
    </row>
    <row r="6459" spans="1:5" s="103" customFormat="1" ht="13.2" hidden="1" outlineLevel="1" x14ac:dyDescent="0.25">
      <c r="A6459" s="106" t="s">
        <v>12924</v>
      </c>
      <c r="B6459" s="106" t="s">
        <v>12925</v>
      </c>
      <c r="C6459" s="106"/>
      <c r="D6459" s="106"/>
      <c r="E6459" s="52"/>
    </row>
    <row r="6460" spans="1:5" s="103" customFormat="1" ht="13.2" hidden="1" outlineLevel="1" x14ac:dyDescent="0.25">
      <c r="A6460" s="106" t="s">
        <v>12926</v>
      </c>
      <c r="B6460" s="106" t="s">
        <v>12927</v>
      </c>
      <c r="C6460" s="106"/>
      <c r="D6460" s="106"/>
      <c r="E6460" s="52"/>
    </row>
    <row r="6461" spans="1:5" s="103" customFormat="1" ht="13.2" hidden="1" outlineLevel="1" x14ac:dyDescent="0.25">
      <c r="A6461" s="106" t="s">
        <v>12928</v>
      </c>
      <c r="B6461" s="106" t="s">
        <v>12929</v>
      </c>
      <c r="C6461" s="106"/>
      <c r="D6461" s="106"/>
      <c r="E6461" s="52"/>
    </row>
    <row r="6462" spans="1:5" s="103" customFormat="1" ht="13.2" hidden="1" outlineLevel="1" x14ac:dyDescent="0.25">
      <c r="A6462" s="106" t="s">
        <v>12930</v>
      </c>
      <c r="B6462" s="106" t="s">
        <v>12931</v>
      </c>
      <c r="C6462" s="106"/>
      <c r="D6462" s="106"/>
      <c r="E6462" s="52"/>
    </row>
    <row r="6463" spans="1:5" s="103" customFormat="1" ht="13.2" hidden="1" outlineLevel="1" x14ac:dyDescent="0.25">
      <c r="A6463" s="106" t="s">
        <v>12932</v>
      </c>
      <c r="B6463" s="106" t="s">
        <v>12933</v>
      </c>
      <c r="C6463" s="106"/>
      <c r="D6463" s="106"/>
      <c r="E6463" s="52"/>
    </row>
    <row r="6464" spans="1:5" s="103" customFormat="1" ht="13.2" hidden="1" outlineLevel="1" x14ac:dyDescent="0.25">
      <c r="A6464" s="106" t="s">
        <v>12934</v>
      </c>
      <c r="B6464" s="106" t="s">
        <v>12935</v>
      </c>
      <c r="C6464" s="106"/>
      <c r="D6464" s="106"/>
      <c r="E6464" s="52"/>
    </row>
    <row r="6465" spans="1:5" s="103" customFormat="1" ht="13.2" hidden="1" outlineLevel="1" x14ac:dyDescent="0.25">
      <c r="A6465" s="106" t="s">
        <v>12936</v>
      </c>
      <c r="B6465" s="106" t="s">
        <v>12937</v>
      </c>
      <c r="C6465" s="106"/>
      <c r="D6465" s="106"/>
      <c r="E6465" s="52"/>
    </row>
    <row r="6466" spans="1:5" s="103" customFormat="1" ht="13.2" hidden="1" outlineLevel="1" x14ac:dyDescent="0.25">
      <c r="A6466" s="106" t="s">
        <v>12938</v>
      </c>
      <c r="B6466" s="106" t="s">
        <v>12939</v>
      </c>
      <c r="C6466" s="106"/>
      <c r="D6466" s="106"/>
      <c r="E6466" s="52"/>
    </row>
    <row r="6467" spans="1:5" s="103" customFormat="1" ht="13.2" hidden="1" outlineLevel="1" x14ac:dyDescent="0.25">
      <c r="A6467" s="106" t="s">
        <v>12940</v>
      </c>
      <c r="B6467" s="106" t="s">
        <v>12941</v>
      </c>
      <c r="C6467" s="106"/>
      <c r="D6467" s="106"/>
      <c r="E6467" s="52"/>
    </row>
    <row r="6468" spans="1:5" s="103" customFormat="1" ht="13.2" hidden="1" outlineLevel="1" x14ac:dyDescent="0.25">
      <c r="A6468" s="106" t="s">
        <v>12942</v>
      </c>
      <c r="B6468" s="106" t="s">
        <v>12943</v>
      </c>
      <c r="C6468" s="106"/>
      <c r="D6468" s="106"/>
      <c r="E6468" s="52"/>
    </row>
    <row r="6469" spans="1:5" s="103" customFormat="1" ht="13.2" hidden="1" outlineLevel="1" x14ac:dyDescent="0.25">
      <c r="A6469" s="106" t="s">
        <v>12944</v>
      </c>
      <c r="B6469" s="106" t="s">
        <v>12945</v>
      </c>
      <c r="C6469" s="106"/>
      <c r="D6469" s="106"/>
      <c r="E6469" s="52"/>
    </row>
    <row r="6470" spans="1:5" s="103" customFormat="1" ht="13.2" hidden="1" outlineLevel="1" x14ac:dyDescent="0.25">
      <c r="A6470" s="106" t="s">
        <v>12946</v>
      </c>
      <c r="B6470" s="106" t="s">
        <v>12947</v>
      </c>
      <c r="C6470" s="106"/>
      <c r="D6470" s="106"/>
      <c r="E6470" s="52"/>
    </row>
    <row r="6471" spans="1:5" s="103" customFormat="1" ht="13.2" hidden="1" outlineLevel="1" x14ac:dyDescent="0.25">
      <c r="A6471" s="106" t="s">
        <v>12948</v>
      </c>
      <c r="B6471" s="106" t="s">
        <v>12949</v>
      </c>
      <c r="C6471" s="106"/>
      <c r="D6471" s="106"/>
      <c r="E6471" s="52"/>
    </row>
    <row r="6472" spans="1:5" s="103" customFormat="1" ht="13.2" hidden="1" outlineLevel="1" x14ac:dyDescent="0.25">
      <c r="A6472" s="106" t="s">
        <v>12950</v>
      </c>
      <c r="B6472" s="106" t="s">
        <v>12951</v>
      </c>
      <c r="C6472" s="106"/>
      <c r="D6472" s="106"/>
      <c r="E6472" s="52"/>
    </row>
    <row r="6473" spans="1:5" s="103" customFormat="1" ht="13.2" hidden="1" outlineLevel="1" x14ac:dyDescent="0.25">
      <c r="A6473" s="106" t="s">
        <v>12952</v>
      </c>
      <c r="B6473" s="106" t="s">
        <v>12953</v>
      </c>
      <c r="C6473" s="106"/>
      <c r="D6473" s="106"/>
      <c r="E6473" s="52"/>
    </row>
    <row r="6474" spans="1:5" s="103" customFormat="1" ht="13.2" hidden="1" outlineLevel="1" x14ac:dyDescent="0.25">
      <c r="A6474" s="106" t="s">
        <v>12954</v>
      </c>
      <c r="B6474" s="106" t="s">
        <v>12955</v>
      </c>
      <c r="C6474" s="106"/>
      <c r="D6474" s="106"/>
      <c r="E6474" s="52"/>
    </row>
    <row r="6475" spans="1:5" s="103" customFormat="1" ht="13.2" hidden="1" outlineLevel="1" x14ac:dyDescent="0.25">
      <c r="A6475" s="106" t="s">
        <v>12956</v>
      </c>
      <c r="B6475" s="106" t="s">
        <v>12957</v>
      </c>
      <c r="C6475" s="106"/>
      <c r="D6475" s="106"/>
      <c r="E6475" s="52"/>
    </row>
    <row r="6476" spans="1:5" s="103" customFormat="1" ht="13.2" hidden="1" outlineLevel="1" x14ac:dyDescent="0.25">
      <c r="A6476" s="106" t="s">
        <v>12958</v>
      </c>
      <c r="B6476" s="106" t="s">
        <v>12959</v>
      </c>
      <c r="C6476" s="106"/>
      <c r="D6476" s="106"/>
      <c r="E6476" s="52"/>
    </row>
    <row r="6477" spans="1:5" s="103" customFormat="1" ht="13.2" hidden="1" outlineLevel="1" x14ac:dyDescent="0.25">
      <c r="A6477" s="106" t="s">
        <v>12960</v>
      </c>
      <c r="B6477" s="106" t="s">
        <v>12961</v>
      </c>
      <c r="C6477" s="106"/>
      <c r="D6477" s="106"/>
      <c r="E6477" s="52"/>
    </row>
    <row r="6478" spans="1:5" s="103" customFormat="1" ht="13.2" hidden="1" outlineLevel="1" x14ac:dyDescent="0.25">
      <c r="A6478" s="106" t="s">
        <v>12962</v>
      </c>
      <c r="B6478" s="106" t="s">
        <v>12963</v>
      </c>
      <c r="C6478" s="106"/>
      <c r="D6478" s="106"/>
      <c r="E6478" s="52"/>
    </row>
    <row r="6479" spans="1:5" s="103" customFormat="1" ht="13.2" hidden="1" outlineLevel="1" x14ac:dyDescent="0.25">
      <c r="A6479" s="106" t="s">
        <v>12964</v>
      </c>
      <c r="B6479" s="106" t="s">
        <v>12965</v>
      </c>
      <c r="C6479" s="106"/>
      <c r="D6479" s="106"/>
      <c r="E6479" s="52"/>
    </row>
    <row r="6480" spans="1:5" s="103" customFormat="1" ht="13.2" hidden="1" outlineLevel="1" x14ac:dyDescent="0.25">
      <c r="A6480" s="106" t="s">
        <v>12966</v>
      </c>
      <c r="B6480" s="106" t="s">
        <v>12967</v>
      </c>
      <c r="C6480" s="106"/>
      <c r="D6480" s="106"/>
      <c r="E6480" s="52"/>
    </row>
    <row r="6481" spans="1:5" s="103" customFormat="1" ht="13.2" hidden="1" outlineLevel="1" x14ac:dyDescent="0.25">
      <c r="A6481" s="106" t="s">
        <v>12968</v>
      </c>
      <c r="B6481" s="106" t="s">
        <v>12969</v>
      </c>
      <c r="C6481" s="106"/>
      <c r="D6481" s="106"/>
      <c r="E6481" s="52"/>
    </row>
    <row r="6482" spans="1:5" s="103" customFormat="1" ht="13.2" hidden="1" outlineLevel="1" x14ac:dyDescent="0.25">
      <c r="A6482" s="106" t="s">
        <v>12970</v>
      </c>
      <c r="B6482" s="106" t="s">
        <v>12971</v>
      </c>
      <c r="C6482" s="106"/>
      <c r="D6482" s="106"/>
      <c r="E6482" s="52"/>
    </row>
    <row r="6483" spans="1:5" s="103" customFormat="1" ht="13.2" hidden="1" outlineLevel="1" x14ac:dyDescent="0.25">
      <c r="A6483" s="106" t="s">
        <v>12972</v>
      </c>
      <c r="B6483" s="106" t="s">
        <v>12973</v>
      </c>
      <c r="C6483" s="106"/>
      <c r="D6483" s="106"/>
      <c r="E6483" s="52"/>
    </row>
    <row r="6484" spans="1:5" s="103" customFormat="1" ht="13.2" hidden="1" outlineLevel="1" x14ac:dyDescent="0.25">
      <c r="A6484" s="106" t="s">
        <v>12974</v>
      </c>
      <c r="B6484" s="106" t="s">
        <v>12975</v>
      </c>
      <c r="C6484" s="106"/>
      <c r="D6484" s="106"/>
      <c r="E6484" s="52"/>
    </row>
    <row r="6485" spans="1:5" s="103" customFormat="1" ht="13.2" hidden="1" outlineLevel="1" x14ac:dyDescent="0.25">
      <c r="A6485" s="106" t="s">
        <v>12976</v>
      </c>
      <c r="B6485" s="106" t="s">
        <v>12977</v>
      </c>
      <c r="C6485" s="106"/>
      <c r="D6485" s="106"/>
      <c r="E6485" s="52"/>
    </row>
    <row r="6486" spans="1:5" s="103" customFormat="1" ht="13.2" hidden="1" outlineLevel="1" x14ac:dyDescent="0.25">
      <c r="A6486" s="106" t="s">
        <v>12978</v>
      </c>
      <c r="B6486" s="106" t="s">
        <v>12979</v>
      </c>
      <c r="C6486" s="106"/>
      <c r="D6486" s="106"/>
      <c r="E6486" s="52"/>
    </row>
    <row r="6487" spans="1:5" s="103" customFormat="1" ht="13.2" hidden="1" outlineLevel="1" x14ac:dyDescent="0.25">
      <c r="A6487" s="106" t="s">
        <v>12980</v>
      </c>
      <c r="B6487" s="106" t="s">
        <v>12981</v>
      </c>
      <c r="C6487" s="106"/>
      <c r="D6487" s="106"/>
      <c r="E6487" s="52"/>
    </row>
    <row r="6488" spans="1:5" s="103" customFormat="1" ht="13.2" hidden="1" outlineLevel="1" x14ac:dyDescent="0.25">
      <c r="A6488" s="106" t="s">
        <v>12982</v>
      </c>
      <c r="B6488" s="106" t="s">
        <v>12983</v>
      </c>
      <c r="C6488" s="106"/>
      <c r="D6488" s="106"/>
      <c r="E6488" s="52"/>
    </row>
    <row r="6489" spans="1:5" s="103" customFormat="1" ht="13.2" hidden="1" outlineLevel="1" x14ac:dyDescent="0.25">
      <c r="A6489" s="106" t="s">
        <v>12984</v>
      </c>
      <c r="B6489" s="106" t="s">
        <v>12985</v>
      </c>
      <c r="C6489" s="106"/>
      <c r="D6489" s="106"/>
      <c r="E6489" s="52"/>
    </row>
    <row r="6490" spans="1:5" s="103" customFormat="1" ht="13.2" hidden="1" outlineLevel="1" x14ac:dyDescent="0.25">
      <c r="A6490" s="106" t="s">
        <v>12986</v>
      </c>
      <c r="B6490" s="106" t="s">
        <v>12987</v>
      </c>
      <c r="C6490" s="106"/>
      <c r="D6490" s="106"/>
      <c r="E6490" s="52"/>
    </row>
    <row r="6491" spans="1:5" s="103" customFormat="1" ht="13.2" hidden="1" outlineLevel="1" x14ac:dyDescent="0.25">
      <c r="A6491" s="106" t="s">
        <v>12988</v>
      </c>
      <c r="B6491" s="106" t="s">
        <v>12989</v>
      </c>
      <c r="C6491" s="106"/>
      <c r="D6491" s="106"/>
      <c r="E6491" s="52"/>
    </row>
    <row r="6492" spans="1:5" s="103" customFormat="1" ht="13.2" hidden="1" outlineLevel="1" x14ac:dyDescent="0.25">
      <c r="A6492" s="106" t="s">
        <v>12990</v>
      </c>
      <c r="B6492" s="106" t="s">
        <v>12991</v>
      </c>
      <c r="C6492" s="106"/>
      <c r="D6492" s="106"/>
      <c r="E6492" s="52"/>
    </row>
    <row r="6493" spans="1:5" s="103" customFormat="1" ht="13.2" hidden="1" outlineLevel="1" x14ac:dyDescent="0.25">
      <c r="A6493" s="106" t="s">
        <v>12992</v>
      </c>
      <c r="B6493" s="106" t="s">
        <v>12993</v>
      </c>
      <c r="C6493" s="106"/>
      <c r="D6493" s="106"/>
      <c r="E6493" s="52"/>
    </row>
    <row r="6494" spans="1:5" s="103" customFormat="1" ht="13.2" hidden="1" outlineLevel="1" x14ac:dyDescent="0.25">
      <c r="A6494" s="106" t="s">
        <v>12994</v>
      </c>
      <c r="B6494" s="106" t="s">
        <v>12995</v>
      </c>
      <c r="C6494" s="106"/>
      <c r="D6494" s="106"/>
      <c r="E6494" s="52"/>
    </row>
    <row r="6495" spans="1:5" s="103" customFormat="1" ht="13.2" hidden="1" outlineLevel="1" x14ac:dyDescent="0.25">
      <c r="A6495" s="106" t="s">
        <v>12996</v>
      </c>
      <c r="B6495" s="106" t="s">
        <v>12997</v>
      </c>
      <c r="C6495" s="106"/>
      <c r="D6495" s="106"/>
      <c r="E6495" s="52"/>
    </row>
    <row r="6496" spans="1:5" s="103" customFormat="1" ht="13.2" hidden="1" outlineLevel="1" x14ac:dyDescent="0.25">
      <c r="A6496" s="106" t="s">
        <v>12998</v>
      </c>
      <c r="B6496" s="106" t="s">
        <v>12999</v>
      </c>
      <c r="C6496" s="106"/>
      <c r="D6496" s="106"/>
      <c r="E6496" s="52"/>
    </row>
    <row r="6497" spans="1:5" s="103" customFormat="1" ht="13.2" hidden="1" outlineLevel="1" x14ac:dyDescent="0.25">
      <c r="A6497" s="106" t="s">
        <v>13000</v>
      </c>
      <c r="B6497" s="106" t="s">
        <v>13001</v>
      </c>
      <c r="C6497" s="106"/>
      <c r="D6497" s="106"/>
      <c r="E6497" s="52"/>
    </row>
    <row r="6498" spans="1:5" s="103" customFormat="1" ht="13.2" hidden="1" outlineLevel="1" x14ac:dyDescent="0.25">
      <c r="A6498" s="106" t="s">
        <v>13002</v>
      </c>
      <c r="B6498" s="106" t="s">
        <v>13003</v>
      </c>
      <c r="C6498" s="106"/>
      <c r="D6498" s="106"/>
      <c r="E6498" s="52"/>
    </row>
    <row r="6499" spans="1:5" s="103" customFormat="1" ht="13.2" hidden="1" outlineLevel="1" x14ac:dyDescent="0.25">
      <c r="A6499" s="106" t="s">
        <v>13004</v>
      </c>
      <c r="B6499" s="106" t="s">
        <v>13005</v>
      </c>
      <c r="C6499" s="106"/>
      <c r="D6499" s="106"/>
      <c r="E6499" s="52"/>
    </row>
    <row r="6500" spans="1:5" s="103" customFormat="1" ht="13.2" hidden="1" outlineLevel="1" x14ac:dyDescent="0.25">
      <c r="A6500" s="106" t="s">
        <v>13006</v>
      </c>
      <c r="B6500" s="106" t="s">
        <v>13007</v>
      </c>
      <c r="C6500" s="106"/>
      <c r="D6500" s="106"/>
      <c r="E6500" s="52"/>
    </row>
    <row r="6501" spans="1:5" s="103" customFormat="1" ht="13.2" hidden="1" outlineLevel="1" x14ac:dyDescent="0.25">
      <c r="A6501" s="106" t="s">
        <v>13008</v>
      </c>
      <c r="B6501" s="106" t="s">
        <v>13009</v>
      </c>
      <c r="C6501" s="106"/>
      <c r="D6501" s="106"/>
      <c r="E6501" s="52"/>
    </row>
    <row r="6502" spans="1:5" s="103" customFormat="1" ht="13.2" hidden="1" outlineLevel="1" x14ac:dyDescent="0.25">
      <c r="A6502" s="106" t="s">
        <v>13010</v>
      </c>
      <c r="B6502" s="106" t="s">
        <v>13011</v>
      </c>
      <c r="C6502" s="106"/>
      <c r="D6502" s="106"/>
      <c r="E6502" s="52"/>
    </row>
    <row r="6503" spans="1:5" s="103" customFormat="1" ht="13.2" hidden="1" outlineLevel="1" x14ac:dyDescent="0.25">
      <c r="A6503" s="106" t="s">
        <v>13012</v>
      </c>
      <c r="B6503" s="106" t="s">
        <v>13013</v>
      </c>
      <c r="C6503" s="106"/>
      <c r="D6503" s="106"/>
      <c r="E6503" s="52"/>
    </row>
    <row r="6504" spans="1:5" s="103" customFormat="1" ht="13.2" hidden="1" outlineLevel="1" x14ac:dyDescent="0.25">
      <c r="A6504" s="106" t="s">
        <v>13014</v>
      </c>
      <c r="B6504" s="106" t="s">
        <v>13015</v>
      </c>
      <c r="C6504" s="106"/>
      <c r="D6504" s="106"/>
      <c r="E6504" s="52"/>
    </row>
    <row r="6505" spans="1:5" s="103" customFormat="1" ht="13.2" hidden="1" outlineLevel="1" x14ac:dyDescent="0.25">
      <c r="A6505" s="106" t="s">
        <v>13016</v>
      </c>
      <c r="B6505" s="106" t="s">
        <v>13017</v>
      </c>
      <c r="C6505" s="106"/>
      <c r="D6505" s="106"/>
      <c r="E6505" s="52"/>
    </row>
    <row r="6506" spans="1:5" s="103" customFormat="1" ht="13.2" hidden="1" outlineLevel="1" x14ac:dyDescent="0.25">
      <c r="A6506" s="106" t="s">
        <v>13018</v>
      </c>
      <c r="B6506" s="106" t="s">
        <v>13019</v>
      </c>
      <c r="C6506" s="106"/>
      <c r="D6506" s="106"/>
      <c r="E6506" s="52"/>
    </row>
    <row r="6507" spans="1:5" s="103" customFormat="1" ht="13.2" hidden="1" outlineLevel="1" x14ac:dyDescent="0.25">
      <c r="A6507" s="106" t="s">
        <v>13020</v>
      </c>
      <c r="B6507" s="106" t="s">
        <v>13021</v>
      </c>
      <c r="C6507" s="106"/>
      <c r="D6507" s="106"/>
      <c r="E6507" s="52"/>
    </row>
    <row r="6508" spans="1:5" s="103" customFormat="1" ht="13.2" hidden="1" outlineLevel="1" x14ac:dyDescent="0.25">
      <c r="A6508" s="106" t="s">
        <v>13022</v>
      </c>
      <c r="B6508" s="106" t="s">
        <v>13023</v>
      </c>
      <c r="C6508" s="106"/>
      <c r="D6508" s="106"/>
      <c r="E6508" s="52"/>
    </row>
    <row r="6509" spans="1:5" s="103" customFormat="1" ht="13.2" hidden="1" outlineLevel="1" x14ac:dyDescent="0.25">
      <c r="A6509" s="106" t="s">
        <v>13024</v>
      </c>
      <c r="B6509" s="106" t="s">
        <v>13025</v>
      </c>
      <c r="C6509" s="106"/>
      <c r="D6509" s="106"/>
      <c r="E6509" s="52"/>
    </row>
    <row r="6510" spans="1:5" s="103" customFormat="1" ht="13.2" hidden="1" outlineLevel="1" x14ac:dyDescent="0.25">
      <c r="A6510" s="106" t="s">
        <v>13026</v>
      </c>
      <c r="B6510" s="106" t="s">
        <v>13027</v>
      </c>
      <c r="C6510" s="106"/>
      <c r="D6510" s="106"/>
      <c r="E6510" s="52"/>
    </row>
    <row r="6511" spans="1:5" s="103" customFormat="1" ht="13.2" hidden="1" outlineLevel="1" x14ac:dyDescent="0.25">
      <c r="A6511" s="106" t="s">
        <v>13028</v>
      </c>
      <c r="B6511" s="106" t="s">
        <v>13029</v>
      </c>
      <c r="C6511" s="106"/>
      <c r="D6511" s="106"/>
      <c r="E6511" s="52"/>
    </row>
    <row r="6512" spans="1:5" s="103" customFormat="1" ht="13.2" hidden="1" outlineLevel="1" x14ac:dyDescent="0.25">
      <c r="A6512" s="106" t="s">
        <v>13030</v>
      </c>
      <c r="B6512" s="106" t="s">
        <v>13031</v>
      </c>
      <c r="C6512" s="106"/>
      <c r="D6512" s="106"/>
      <c r="E6512" s="52"/>
    </row>
    <row r="6513" spans="1:5" s="103" customFormat="1" ht="13.2" hidden="1" outlineLevel="1" x14ac:dyDescent="0.25">
      <c r="A6513" s="106" t="s">
        <v>13032</v>
      </c>
      <c r="B6513" s="106" t="s">
        <v>13033</v>
      </c>
      <c r="C6513" s="106"/>
      <c r="D6513" s="106"/>
      <c r="E6513" s="52"/>
    </row>
    <row r="6514" spans="1:5" s="103" customFormat="1" ht="13.2" hidden="1" outlineLevel="1" x14ac:dyDescent="0.25">
      <c r="A6514" s="106" t="s">
        <v>13034</v>
      </c>
      <c r="B6514" s="106" t="s">
        <v>13035</v>
      </c>
      <c r="C6514" s="106"/>
      <c r="D6514" s="106"/>
      <c r="E6514" s="52"/>
    </row>
    <row r="6515" spans="1:5" s="103" customFormat="1" ht="13.2" hidden="1" outlineLevel="1" x14ac:dyDescent="0.25">
      <c r="A6515" s="106" t="s">
        <v>13036</v>
      </c>
      <c r="B6515" s="106" t="s">
        <v>13037</v>
      </c>
      <c r="C6515" s="106"/>
      <c r="D6515" s="106"/>
      <c r="E6515" s="52"/>
    </row>
    <row r="6516" spans="1:5" s="103" customFormat="1" ht="13.2" hidden="1" outlineLevel="1" x14ac:dyDescent="0.25">
      <c r="A6516" s="106" t="s">
        <v>13038</v>
      </c>
      <c r="B6516" s="106" t="s">
        <v>13039</v>
      </c>
      <c r="C6516" s="106"/>
      <c r="D6516" s="106"/>
      <c r="E6516" s="52"/>
    </row>
    <row r="6517" spans="1:5" s="103" customFormat="1" ht="13.2" hidden="1" outlineLevel="1" x14ac:dyDescent="0.25">
      <c r="A6517" s="106" t="s">
        <v>13040</v>
      </c>
      <c r="B6517" s="106" t="s">
        <v>13041</v>
      </c>
      <c r="C6517" s="106"/>
      <c r="D6517" s="106"/>
      <c r="E6517" s="52"/>
    </row>
    <row r="6518" spans="1:5" s="103" customFormat="1" ht="13.2" hidden="1" outlineLevel="1" x14ac:dyDescent="0.25">
      <c r="A6518" s="106" t="s">
        <v>13042</v>
      </c>
      <c r="B6518" s="106" t="s">
        <v>13043</v>
      </c>
      <c r="C6518" s="106"/>
      <c r="D6518" s="106"/>
      <c r="E6518" s="52"/>
    </row>
    <row r="6519" spans="1:5" s="103" customFormat="1" ht="13.2" hidden="1" outlineLevel="1" x14ac:dyDescent="0.25">
      <c r="A6519" s="106" t="s">
        <v>13044</v>
      </c>
      <c r="B6519" s="106" t="s">
        <v>13045</v>
      </c>
      <c r="C6519" s="106"/>
      <c r="D6519" s="106"/>
      <c r="E6519" s="52"/>
    </row>
    <row r="6520" spans="1:5" s="103" customFormat="1" ht="13.2" hidden="1" outlineLevel="1" x14ac:dyDescent="0.25">
      <c r="A6520" s="106" t="s">
        <v>13046</v>
      </c>
      <c r="B6520" s="106" t="s">
        <v>13047</v>
      </c>
      <c r="C6520" s="106"/>
      <c r="D6520" s="106"/>
      <c r="E6520" s="52"/>
    </row>
    <row r="6521" spans="1:5" s="103" customFormat="1" ht="13.2" hidden="1" outlineLevel="1" x14ac:dyDescent="0.25">
      <c r="A6521" s="106" t="s">
        <v>13048</v>
      </c>
      <c r="B6521" s="106" t="s">
        <v>13049</v>
      </c>
      <c r="C6521" s="106"/>
      <c r="D6521" s="106"/>
      <c r="E6521" s="52"/>
    </row>
    <row r="6522" spans="1:5" s="103" customFormat="1" ht="13.2" hidden="1" outlineLevel="1" x14ac:dyDescent="0.25">
      <c r="A6522" s="106" t="s">
        <v>13050</v>
      </c>
      <c r="B6522" s="106" t="s">
        <v>13051</v>
      </c>
      <c r="C6522" s="106"/>
      <c r="D6522" s="106"/>
      <c r="E6522" s="52"/>
    </row>
    <row r="6523" spans="1:5" s="103" customFormat="1" ht="13.2" hidden="1" outlineLevel="1" x14ac:dyDescent="0.25">
      <c r="A6523" s="106" t="s">
        <v>13052</v>
      </c>
      <c r="B6523" s="106" t="s">
        <v>13053</v>
      </c>
      <c r="C6523" s="106"/>
      <c r="D6523" s="106"/>
      <c r="E6523" s="52"/>
    </row>
    <row r="6524" spans="1:5" s="103" customFormat="1" ht="13.2" hidden="1" outlineLevel="1" x14ac:dyDescent="0.25">
      <c r="A6524" s="106" t="s">
        <v>13054</v>
      </c>
      <c r="B6524" s="106" t="s">
        <v>13055</v>
      </c>
      <c r="C6524" s="106"/>
      <c r="D6524" s="106"/>
      <c r="E6524" s="52"/>
    </row>
    <row r="6525" spans="1:5" s="103" customFormat="1" ht="13.2" hidden="1" outlineLevel="1" x14ac:dyDescent="0.25">
      <c r="A6525" s="106" t="s">
        <v>13056</v>
      </c>
      <c r="B6525" s="106" t="s">
        <v>13057</v>
      </c>
      <c r="C6525" s="106"/>
      <c r="D6525" s="106"/>
      <c r="E6525" s="52"/>
    </row>
    <row r="6526" spans="1:5" s="103" customFormat="1" ht="13.2" hidden="1" outlineLevel="1" x14ac:dyDescent="0.25">
      <c r="A6526" s="106" t="s">
        <v>13058</v>
      </c>
      <c r="B6526" s="106" t="s">
        <v>13059</v>
      </c>
      <c r="C6526" s="106"/>
      <c r="D6526" s="106"/>
      <c r="E6526" s="52"/>
    </row>
    <row r="6527" spans="1:5" s="103" customFormat="1" ht="13.2" hidden="1" outlineLevel="1" x14ac:dyDescent="0.25">
      <c r="A6527" s="106" t="s">
        <v>13060</v>
      </c>
      <c r="B6527" s="106" t="s">
        <v>13061</v>
      </c>
      <c r="C6527" s="106"/>
      <c r="D6527" s="106"/>
      <c r="E6527" s="52"/>
    </row>
    <row r="6528" spans="1:5" s="103" customFormat="1" ht="13.2" hidden="1" outlineLevel="1" x14ac:dyDescent="0.25">
      <c r="A6528" s="106" t="s">
        <v>13062</v>
      </c>
      <c r="B6528" s="106" t="s">
        <v>13063</v>
      </c>
      <c r="C6528" s="106"/>
      <c r="D6528" s="106"/>
      <c r="E6528" s="52"/>
    </row>
    <row r="6529" spans="1:5" s="103" customFormat="1" ht="13.2" hidden="1" outlineLevel="1" x14ac:dyDescent="0.25">
      <c r="A6529" s="106" t="s">
        <v>13064</v>
      </c>
      <c r="B6529" s="106" t="s">
        <v>13065</v>
      </c>
      <c r="C6529" s="106"/>
      <c r="D6529" s="106"/>
      <c r="E6529" s="52"/>
    </row>
    <row r="6530" spans="1:5" s="103" customFormat="1" ht="13.2" hidden="1" outlineLevel="1" x14ac:dyDescent="0.25">
      <c r="A6530" s="106" t="s">
        <v>13066</v>
      </c>
      <c r="B6530" s="106" t="s">
        <v>13067</v>
      </c>
      <c r="C6530" s="106"/>
      <c r="D6530" s="106"/>
      <c r="E6530" s="52"/>
    </row>
    <row r="6531" spans="1:5" s="103" customFormat="1" ht="13.2" hidden="1" outlineLevel="1" x14ac:dyDescent="0.25">
      <c r="A6531" s="106" t="s">
        <v>13068</v>
      </c>
      <c r="B6531" s="106" t="s">
        <v>13069</v>
      </c>
      <c r="C6531" s="106"/>
      <c r="D6531" s="106"/>
      <c r="E6531" s="52"/>
    </row>
    <row r="6532" spans="1:5" s="103" customFormat="1" ht="13.2" hidden="1" outlineLevel="1" x14ac:dyDescent="0.25">
      <c r="A6532" s="106" t="s">
        <v>13070</v>
      </c>
      <c r="B6532" s="106" t="s">
        <v>13071</v>
      </c>
      <c r="C6532" s="106"/>
      <c r="D6532" s="106"/>
      <c r="E6532" s="52"/>
    </row>
    <row r="6533" spans="1:5" s="103" customFormat="1" ht="13.2" hidden="1" outlineLevel="1" x14ac:dyDescent="0.25">
      <c r="A6533" s="106" t="s">
        <v>13072</v>
      </c>
      <c r="B6533" s="106" t="s">
        <v>13073</v>
      </c>
      <c r="C6533" s="106"/>
      <c r="D6533" s="106"/>
      <c r="E6533" s="52"/>
    </row>
    <row r="6534" spans="1:5" s="103" customFormat="1" ht="13.2" hidden="1" outlineLevel="1" x14ac:dyDescent="0.25">
      <c r="A6534" s="106" t="s">
        <v>13074</v>
      </c>
      <c r="B6534" s="106" t="s">
        <v>13075</v>
      </c>
      <c r="C6534" s="106"/>
      <c r="D6534" s="106"/>
      <c r="E6534" s="52"/>
    </row>
    <row r="6535" spans="1:5" s="103" customFormat="1" ht="13.2" hidden="1" outlineLevel="1" x14ac:dyDescent="0.25">
      <c r="A6535" s="106" t="s">
        <v>13076</v>
      </c>
      <c r="B6535" s="106" t="s">
        <v>13077</v>
      </c>
      <c r="C6535" s="106"/>
      <c r="D6535" s="106"/>
      <c r="E6535" s="52"/>
    </row>
    <row r="6536" spans="1:5" s="103" customFormat="1" ht="13.2" hidden="1" outlineLevel="1" x14ac:dyDescent="0.25">
      <c r="A6536" s="106" t="s">
        <v>13078</v>
      </c>
      <c r="B6536" s="106" t="s">
        <v>13079</v>
      </c>
      <c r="C6536" s="106"/>
      <c r="D6536" s="106"/>
      <c r="E6536" s="52"/>
    </row>
    <row r="6537" spans="1:5" s="103" customFormat="1" ht="13.2" hidden="1" outlineLevel="1" x14ac:dyDescent="0.25">
      <c r="A6537" s="106" t="s">
        <v>13080</v>
      </c>
      <c r="B6537" s="106" t="s">
        <v>13081</v>
      </c>
      <c r="C6537" s="106"/>
      <c r="D6537" s="106"/>
      <c r="E6537" s="52"/>
    </row>
    <row r="6538" spans="1:5" s="103" customFormat="1" ht="13.2" hidden="1" outlineLevel="1" x14ac:dyDescent="0.25">
      <c r="A6538" s="106" t="s">
        <v>13082</v>
      </c>
      <c r="B6538" s="106" t="s">
        <v>13083</v>
      </c>
      <c r="C6538" s="106"/>
      <c r="D6538" s="106"/>
      <c r="E6538" s="52"/>
    </row>
    <row r="6539" spans="1:5" s="103" customFormat="1" ht="13.2" hidden="1" outlineLevel="1" x14ac:dyDescent="0.25">
      <c r="A6539" s="106" t="s">
        <v>13084</v>
      </c>
      <c r="B6539" s="106" t="s">
        <v>13085</v>
      </c>
      <c r="C6539" s="106"/>
      <c r="D6539" s="106"/>
      <c r="E6539" s="52"/>
    </row>
    <row r="6540" spans="1:5" s="103" customFormat="1" ht="13.2" hidden="1" outlineLevel="1" x14ac:dyDescent="0.25">
      <c r="A6540" s="106" t="s">
        <v>13086</v>
      </c>
      <c r="B6540" s="106" t="s">
        <v>13087</v>
      </c>
      <c r="C6540" s="106"/>
      <c r="D6540" s="106"/>
      <c r="E6540" s="52"/>
    </row>
    <row r="6541" spans="1:5" s="103" customFormat="1" ht="13.2" hidden="1" outlineLevel="1" x14ac:dyDescent="0.25">
      <c r="A6541" s="106" t="s">
        <v>13088</v>
      </c>
      <c r="B6541" s="106" t="s">
        <v>13089</v>
      </c>
      <c r="C6541" s="106"/>
      <c r="D6541" s="106"/>
      <c r="E6541" s="52"/>
    </row>
    <row r="6542" spans="1:5" s="103" customFormat="1" ht="13.2" hidden="1" outlineLevel="1" x14ac:dyDescent="0.25">
      <c r="A6542" s="106" t="s">
        <v>13090</v>
      </c>
      <c r="B6542" s="106" t="s">
        <v>13091</v>
      </c>
      <c r="C6542" s="106"/>
      <c r="D6542" s="106"/>
      <c r="E6542" s="52"/>
    </row>
    <row r="6543" spans="1:5" s="103" customFormat="1" ht="13.2" hidden="1" outlineLevel="1" x14ac:dyDescent="0.25">
      <c r="A6543" s="106" t="s">
        <v>13092</v>
      </c>
      <c r="B6543" s="106" t="s">
        <v>13093</v>
      </c>
      <c r="C6543" s="106"/>
      <c r="D6543" s="106"/>
      <c r="E6543" s="52"/>
    </row>
    <row r="6544" spans="1:5" s="103" customFormat="1" ht="13.2" hidden="1" outlineLevel="1" x14ac:dyDescent="0.25">
      <c r="A6544" s="106" t="s">
        <v>13094</v>
      </c>
      <c r="B6544" s="106" t="s">
        <v>13095</v>
      </c>
      <c r="C6544" s="106"/>
      <c r="D6544" s="106"/>
      <c r="E6544" s="52"/>
    </row>
    <row r="6545" spans="1:5" s="103" customFormat="1" ht="13.2" hidden="1" outlineLevel="1" x14ac:dyDescent="0.25">
      <c r="A6545" s="106" t="s">
        <v>13096</v>
      </c>
      <c r="B6545" s="106" t="s">
        <v>13097</v>
      </c>
      <c r="C6545" s="106"/>
      <c r="D6545" s="106"/>
      <c r="E6545" s="52"/>
    </row>
    <row r="6546" spans="1:5" s="103" customFormat="1" ht="13.2" hidden="1" outlineLevel="1" x14ac:dyDescent="0.25">
      <c r="A6546" s="106" t="s">
        <v>13098</v>
      </c>
      <c r="B6546" s="106" t="s">
        <v>13099</v>
      </c>
      <c r="C6546" s="106"/>
      <c r="D6546" s="106"/>
      <c r="E6546" s="52"/>
    </row>
    <row r="6547" spans="1:5" s="103" customFormat="1" ht="13.2" hidden="1" outlineLevel="1" x14ac:dyDescent="0.25">
      <c r="A6547" s="106" t="s">
        <v>13100</v>
      </c>
      <c r="B6547" s="106" t="s">
        <v>13101</v>
      </c>
      <c r="C6547" s="106"/>
      <c r="D6547" s="106"/>
      <c r="E6547" s="52"/>
    </row>
    <row r="6548" spans="1:5" s="103" customFormat="1" ht="13.2" hidden="1" outlineLevel="1" x14ac:dyDescent="0.25">
      <c r="A6548" s="106" t="s">
        <v>13102</v>
      </c>
      <c r="B6548" s="106" t="s">
        <v>13103</v>
      </c>
      <c r="C6548" s="106"/>
      <c r="D6548" s="106"/>
      <c r="E6548" s="52"/>
    </row>
    <row r="6549" spans="1:5" s="103" customFormat="1" ht="13.2" hidden="1" outlineLevel="1" x14ac:dyDescent="0.25">
      <c r="A6549" s="106" t="s">
        <v>13104</v>
      </c>
      <c r="B6549" s="106" t="s">
        <v>13105</v>
      </c>
      <c r="C6549" s="106"/>
      <c r="D6549" s="106"/>
      <c r="E6549" s="52"/>
    </row>
    <row r="6550" spans="1:5" s="103" customFormat="1" ht="13.2" hidden="1" outlineLevel="1" x14ac:dyDescent="0.25">
      <c r="A6550" s="106" t="s">
        <v>13106</v>
      </c>
      <c r="B6550" s="106" t="s">
        <v>13107</v>
      </c>
      <c r="C6550" s="106"/>
      <c r="D6550" s="106"/>
      <c r="E6550" s="52"/>
    </row>
    <row r="6551" spans="1:5" s="103" customFormat="1" ht="13.2" hidden="1" outlineLevel="1" x14ac:dyDescent="0.25">
      <c r="A6551" s="106" t="s">
        <v>13108</v>
      </c>
      <c r="B6551" s="106" t="s">
        <v>13109</v>
      </c>
      <c r="C6551" s="106"/>
      <c r="D6551" s="106"/>
      <c r="E6551" s="52"/>
    </row>
    <row r="6552" spans="1:5" s="103" customFormat="1" ht="13.2" hidden="1" outlineLevel="1" x14ac:dyDescent="0.25">
      <c r="A6552" s="106" t="s">
        <v>13110</v>
      </c>
      <c r="B6552" s="106" t="s">
        <v>13111</v>
      </c>
      <c r="C6552" s="106"/>
      <c r="D6552" s="106"/>
      <c r="E6552" s="52"/>
    </row>
    <row r="6553" spans="1:5" s="103" customFormat="1" ht="13.2" hidden="1" outlineLevel="1" x14ac:dyDescent="0.25">
      <c r="A6553" s="106" t="s">
        <v>13112</v>
      </c>
      <c r="B6553" s="106" t="s">
        <v>13113</v>
      </c>
      <c r="C6553" s="106"/>
      <c r="D6553" s="106"/>
      <c r="E6553" s="52"/>
    </row>
    <row r="6554" spans="1:5" s="103" customFormat="1" ht="13.2" hidden="1" outlineLevel="1" x14ac:dyDescent="0.25">
      <c r="A6554" s="106" t="s">
        <v>13114</v>
      </c>
      <c r="B6554" s="106" t="s">
        <v>13115</v>
      </c>
      <c r="C6554" s="106"/>
      <c r="D6554" s="106"/>
      <c r="E6554" s="52"/>
    </row>
    <row r="6555" spans="1:5" s="103" customFormat="1" ht="13.2" hidden="1" outlineLevel="1" x14ac:dyDescent="0.25">
      <c r="A6555" s="106" t="s">
        <v>13116</v>
      </c>
      <c r="B6555" s="106" t="s">
        <v>13117</v>
      </c>
      <c r="C6555" s="106"/>
      <c r="D6555" s="106"/>
      <c r="E6555" s="52"/>
    </row>
    <row r="6556" spans="1:5" s="103" customFormat="1" ht="13.2" hidden="1" outlineLevel="1" x14ac:dyDescent="0.25">
      <c r="A6556" s="106" t="s">
        <v>13118</v>
      </c>
      <c r="B6556" s="106" t="s">
        <v>13119</v>
      </c>
      <c r="C6556" s="106"/>
      <c r="D6556" s="106"/>
      <c r="E6556" s="52"/>
    </row>
    <row r="6557" spans="1:5" s="103" customFormat="1" ht="13.2" hidden="1" outlineLevel="1" x14ac:dyDescent="0.25">
      <c r="A6557" s="106" t="s">
        <v>13120</v>
      </c>
      <c r="B6557" s="106" t="s">
        <v>13121</v>
      </c>
      <c r="C6557" s="106"/>
      <c r="D6557" s="106"/>
      <c r="E6557" s="52"/>
    </row>
    <row r="6558" spans="1:5" s="103" customFormat="1" ht="13.2" hidden="1" outlineLevel="1" x14ac:dyDescent="0.25">
      <c r="A6558" s="106" t="s">
        <v>13122</v>
      </c>
      <c r="B6558" s="106" t="s">
        <v>13123</v>
      </c>
      <c r="C6558" s="106"/>
      <c r="D6558" s="106"/>
      <c r="E6558" s="52"/>
    </row>
    <row r="6559" spans="1:5" s="103" customFormat="1" ht="13.2" hidden="1" outlineLevel="1" x14ac:dyDescent="0.25">
      <c r="A6559" s="106" t="s">
        <v>13124</v>
      </c>
      <c r="B6559" s="106" t="s">
        <v>13125</v>
      </c>
      <c r="C6559" s="106"/>
      <c r="D6559" s="106"/>
      <c r="E6559" s="52"/>
    </row>
    <row r="6560" spans="1:5" s="103" customFormat="1" ht="13.2" hidden="1" outlineLevel="1" x14ac:dyDescent="0.25">
      <c r="A6560" s="106" t="s">
        <v>13126</v>
      </c>
      <c r="B6560" s="106" t="s">
        <v>13127</v>
      </c>
      <c r="C6560" s="106"/>
      <c r="D6560" s="106"/>
      <c r="E6560" s="52"/>
    </row>
    <row r="6561" spans="1:5" s="103" customFormat="1" ht="13.2" hidden="1" outlineLevel="1" x14ac:dyDescent="0.25">
      <c r="A6561" s="106" t="s">
        <v>13128</v>
      </c>
      <c r="B6561" s="106" t="s">
        <v>13129</v>
      </c>
      <c r="C6561" s="106"/>
      <c r="D6561" s="106"/>
      <c r="E6561" s="52"/>
    </row>
    <row r="6562" spans="1:5" s="103" customFormat="1" ht="13.2" hidden="1" outlineLevel="1" x14ac:dyDescent="0.25">
      <c r="A6562" s="106" t="s">
        <v>13130</v>
      </c>
      <c r="B6562" s="106" t="s">
        <v>13131</v>
      </c>
      <c r="C6562" s="106"/>
      <c r="D6562" s="106"/>
      <c r="E6562" s="52"/>
    </row>
    <row r="6563" spans="1:5" s="103" customFormat="1" ht="13.2" hidden="1" outlineLevel="1" x14ac:dyDescent="0.25">
      <c r="A6563" s="106" t="s">
        <v>13132</v>
      </c>
      <c r="B6563" s="106" t="s">
        <v>13133</v>
      </c>
      <c r="C6563" s="106"/>
      <c r="D6563" s="106"/>
      <c r="E6563" s="52"/>
    </row>
    <row r="6564" spans="1:5" s="103" customFormat="1" ht="13.2" hidden="1" outlineLevel="1" x14ac:dyDescent="0.25">
      <c r="A6564" s="106" t="s">
        <v>13134</v>
      </c>
      <c r="B6564" s="106" t="s">
        <v>13135</v>
      </c>
      <c r="C6564" s="106"/>
      <c r="D6564" s="106"/>
      <c r="E6564" s="52"/>
    </row>
    <row r="6565" spans="1:5" s="103" customFormat="1" ht="13.2" hidden="1" outlineLevel="1" x14ac:dyDescent="0.25">
      <c r="A6565" s="106" t="s">
        <v>13136</v>
      </c>
      <c r="B6565" s="106" t="s">
        <v>13137</v>
      </c>
      <c r="C6565" s="106"/>
      <c r="D6565" s="106"/>
      <c r="E6565" s="52"/>
    </row>
    <row r="6566" spans="1:5" s="103" customFormat="1" ht="13.2" hidden="1" outlineLevel="1" x14ac:dyDescent="0.25">
      <c r="A6566" s="106" t="s">
        <v>13138</v>
      </c>
      <c r="B6566" s="106" t="s">
        <v>13139</v>
      </c>
      <c r="C6566" s="106"/>
      <c r="D6566" s="106"/>
      <c r="E6566" s="52"/>
    </row>
    <row r="6567" spans="1:5" s="103" customFormat="1" ht="13.2" hidden="1" outlineLevel="1" x14ac:dyDescent="0.25">
      <c r="A6567" s="106" t="s">
        <v>13140</v>
      </c>
      <c r="B6567" s="106" t="s">
        <v>13141</v>
      </c>
      <c r="C6567" s="106"/>
      <c r="D6567" s="106"/>
      <c r="E6567" s="52"/>
    </row>
    <row r="6568" spans="1:5" s="103" customFormat="1" ht="13.2" hidden="1" outlineLevel="1" x14ac:dyDescent="0.25">
      <c r="A6568" s="106" t="s">
        <v>13142</v>
      </c>
      <c r="B6568" s="106" t="s">
        <v>13143</v>
      </c>
      <c r="C6568" s="106"/>
      <c r="D6568" s="106"/>
      <c r="E6568" s="52"/>
    </row>
    <row r="6569" spans="1:5" s="103" customFormat="1" ht="13.2" hidden="1" outlineLevel="1" x14ac:dyDescent="0.25">
      <c r="A6569" s="106" t="s">
        <v>13144</v>
      </c>
      <c r="B6569" s="106" t="s">
        <v>13145</v>
      </c>
      <c r="C6569" s="106"/>
      <c r="D6569" s="106"/>
      <c r="E6569" s="52"/>
    </row>
    <row r="6570" spans="1:5" s="103" customFormat="1" ht="13.2" hidden="1" outlineLevel="1" x14ac:dyDescent="0.25">
      <c r="A6570" s="106" t="s">
        <v>13146</v>
      </c>
      <c r="B6570" s="106" t="s">
        <v>13147</v>
      </c>
      <c r="C6570" s="106"/>
      <c r="D6570" s="106"/>
      <c r="E6570" s="52"/>
    </row>
    <row r="6571" spans="1:5" s="103" customFormat="1" ht="13.2" hidden="1" outlineLevel="1" x14ac:dyDescent="0.25">
      <c r="A6571" s="106" t="s">
        <v>13148</v>
      </c>
      <c r="B6571" s="106" t="s">
        <v>13149</v>
      </c>
      <c r="C6571" s="106"/>
      <c r="D6571" s="106"/>
      <c r="E6571" s="52"/>
    </row>
    <row r="6572" spans="1:5" s="103" customFormat="1" ht="13.2" hidden="1" outlineLevel="1" x14ac:dyDescent="0.25">
      <c r="A6572" s="106" t="s">
        <v>13150</v>
      </c>
      <c r="B6572" s="106" t="s">
        <v>13151</v>
      </c>
      <c r="C6572" s="106"/>
      <c r="D6572" s="106"/>
      <c r="E6572" s="52"/>
    </row>
    <row r="6573" spans="1:5" s="103" customFormat="1" ht="13.2" hidden="1" outlineLevel="1" x14ac:dyDescent="0.25">
      <c r="A6573" s="106" t="s">
        <v>13152</v>
      </c>
      <c r="B6573" s="106" t="s">
        <v>13153</v>
      </c>
      <c r="C6573" s="106"/>
      <c r="D6573" s="106"/>
      <c r="E6573" s="52"/>
    </row>
    <row r="6574" spans="1:5" s="103" customFormat="1" ht="13.2" hidden="1" outlineLevel="1" x14ac:dyDescent="0.25">
      <c r="A6574" s="106" t="s">
        <v>13154</v>
      </c>
      <c r="B6574" s="106" t="s">
        <v>13155</v>
      </c>
      <c r="C6574" s="106"/>
      <c r="D6574" s="106"/>
      <c r="E6574" s="52"/>
    </row>
    <row r="6575" spans="1:5" s="103" customFormat="1" ht="13.2" hidden="1" outlineLevel="1" x14ac:dyDescent="0.25">
      <c r="A6575" s="106" t="s">
        <v>13156</v>
      </c>
      <c r="B6575" s="106" t="s">
        <v>13157</v>
      </c>
      <c r="C6575" s="106"/>
      <c r="D6575" s="106"/>
      <c r="E6575" s="52"/>
    </row>
    <row r="6576" spans="1:5" s="103" customFormat="1" ht="13.2" hidden="1" outlineLevel="1" x14ac:dyDescent="0.25">
      <c r="A6576" s="106" t="s">
        <v>13158</v>
      </c>
      <c r="B6576" s="106" t="s">
        <v>13159</v>
      </c>
      <c r="C6576" s="106"/>
      <c r="D6576" s="106"/>
      <c r="E6576" s="52"/>
    </row>
    <row r="6577" spans="1:5" s="103" customFormat="1" ht="13.2" hidden="1" outlineLevel="1" x14ac:dyDescent="0.25">
      <c r="A6577" s="106" t="s">
        <v>13160</v>
      </c>
      <c r="B6577" s="106" t="s">
        <v>13161</v>
      </c>
      <c r="C6577" s="106"/>
      <c r="D6577" s="106"/>
      <c r="E6577" s="52"/>
    </row>
    <row r="6578" spans="1:5" s="103" customFormat="1" ht="13.2" hidden="1" outlineLevel="1" x14ac:dyDescent="0.25">
      <c r="A6578" s="106" t="s">
        <v>13162</v>
      </c>
      <c r="B6578" s="106" t="s">
        <v>13163</v>
      </c>
      <c r="C6578" s="106"/>
      <c r="D6578" s="106"/>
      <c r="E6578" s="52"/>
    </row>
    <row r="6579" spans="1:5" s="103" customFormat="1" ht="13.2" hidden="1" outlineLevel="1" x14ac:dyDescent="0.25">
      <c r="A6579" s="106" t="s">
        <v>13164</v>
      </c>
      <c r="B6579" s="106" t="s">
        <v>13165</v>
      </c>
      <c r="C6579" s="106"/>
      <c r="D6579" s="106"/>
      <c r="E6579" s="52"/>
    </row>
    <row r="6580" spans="1:5" s="103" customFormat="1" ht="13.2" hidden="1" outlineLevel="1" x14ac:dyDescent="0.25">
      <c r="A6580" s="106" t="s">
        <v>13166</v>
      </c>
      <c r="B6580" s="106" t="s">
        <v>13167</v>
      </c>
      <c r="C6580" s="106"/>
      <c r="D6580" s="106"/>
      <c r="E6580" s="52"/>
    </row>
    <row r="6581" spans="1:5" s="103" customFormat="1" ht="13.2" hidden="1" outlineLevel="1" x14ac:dyDescent="0.25">
      <c r="A6581" s="106" t="s">
        <v>13168</v>
      </c>
      <c r="B6581" s="106" t="s">
        <v>13169</v>
      </c>
      <c r="C6581" s="106"/>
      <c r="D6581" s="106"/>
      <c r="E6581" s="52"/>
    </row>
    <row r="6582" spans="1:5" s="103" customFormat="1" ht="13.2" hidden="1" outlineLevel="1" x14ac:dyDescent="0.25">
      <c r="A6582" s="106" t="s">
        <v>13170</v>
      </c>
      <c r="B6582" s="106" t="s">
        <v>13171</v>
      </c>
      <c r="C6582" s="106"/>
      <c r="D6582" s="106"/>
      <c r="E6582" s="52"/>
    </row>
    <row r="6583" spans="1:5" s="103" customFormat="1" ht="13.2" hidden="1" outlineLevel="1" x14ac:dyDescent="0.25">
      <c r="A6583" s="106" t="s">
        <v>13172</v>
      </c>
      <c r="B6583" s="106" t="s">
        <v>13173</v>
      </c>
      <c r="C6583" s="106"/>
      <c r="D6583" s="106"/>
      <c r="E6583" s="52"/>
    </row>
    <row r="6584" spans="1:5" s="103" customFormat="1" ht="13.2" hidden="1" outlineLevel="1" x14ac:dyDescent="0.25">
      <c r="A6584" s="106" t="s">
        <v>13174</v>
      </c>
      <c r="B6584" s="106" t="s">
        <v>13175</v>
      </c>
      <c r="C6584" s="106"/>
      <c r="D6584" s="106"/>
      <c r="E6584" s="52"/>
    </row>
    <row r="6585" spans="1:5" s="103" customFormat="1" ht="13.2" hidden="1" outlineLevel="1" x14ac:dyDescent="0.25">
      <c r="A6585" s="106" t="s">
        <v>13176</v>
      </c>
      <c r="B6585" s="106" t="s">
        <v>13177</v>
      </c>
      <c r="C6585" s="106"/>
      <c r="D6585" s="106"/>
      <c r="E6585" s="52"/>
    </row>
    <row r="6586" spans="1:5" s="103" customFormat="1" ht="13.2" hidden="1" outlineLevel="1" x14ac:dyDescent="0.25">
      <c r="A6586" s="106" t="s">
        <v>13178</v>
      </c>
      <c r="B6586" s="106" t="s">
        <v>13179</v>
      </c>
      <c r="C6586" s="106"/>
      <c r="D6586" s="106"/>
      <c r="E6586" s="52"/>
    </row>
    <row r="6587" spans="1:5" s="103" customFormat="1" ht="13.2" hidden="1" outlineLevel="1" x14ac:dyDescent="0.25">
      <c r="A6587" s="106" t="s">
        <v>13180</v>
      </c>
      <c r="B6587" s="106" t="s">
        <v>13181</v>
      </c>
      <c r="C6587" s="106"/>
      <c r="D6587" s="106"/>
      <c r="E6587" s="52"/>
    </row>
    <row r="6588" spans="1:5" s="103" customFormat="1" ht="13.2" hidden="1" outlineLevel="1" x14ac:dyDescent="0.25">
      <c r="A6588" s="106" t="s">
        <v>13182</v>
      </c>
      <c r="B6588" s="106" t="s">
        <v>13183</v>
      </c>
      <c r="C6588" s="106"/>
      <c r="D6588" s="106"/>
      <c r="E6588" s="52"/>
    </row>
    <row r="6589" spans="1:5" s="103" customFormat="1" ht="13.2" hidden="1" outlineLevel="1" x14ac:dyDescent="0.25">
      <c r="A6589" s="106" t="s">
        <v>13184</v>
      </c>
      <c r="B6589" s="106" t="s">
        <v>13185</v>
      </c>
      <c r="C6589" s="106"/>
      <c r="D6589" s="106"/>
      <c r="E6589" s="52"/>
    </row>
    <row r="6590" spans="1:5" s="103" customFormat="1" ht="13.2" hidden="1" outlineLevel="1" x14ac:dyDescent="0.25">
      <c r="A6590" s="106" t="s">
        <v>13186</v>
      </c>
      <c r="B6590" s="106" t="s">
        <v>13187</v>
      </c>
      <c r="C6590" s="106"/>
      <c r="D6590" s="106"/>
      <c r="E6590" s="52"/>
    </row>
    <row r="6591" spans="1:5" s="103" customFormat="1" ht="13.2" hidden="1" outlineLevel="1" x14ac:dyDescent="0.25">
      <c r="A6591" s="106" t="s">
        <v>13188</v>
      </c>
      <c r="B6591" s="106" t="s">
        <v>13189</v>
      </c>
      <c r="C6591" s="106"/>
      <c r="D6591" s="106"/>
      <c r="E6591" s="52"/>
    </row>
    <row r="6592" spans="1:5" s="103" customFormat="1" ht="13.2" hidden="1" outlineLevel="1" x14ac:dyDescent="0.25">
      <c r="A6592" s="106" t="s">
        <v>13190</v>
      </c>
      <c r="B6592" s="106" t="s">
        <v>13191</v>
      </c>
      <c r="C6592" s="106"/>
      <c r="D6592" s="106"/>
      <c r="E6592" s="52"/>
    </row>
    <row r="6593" spans="1:5" s="103" customFormat="1" ht="13.2" hidden="1" outlineLevel="1" x14ac:dyDescent="0.25">
      <c r="A6593" s="106" t="s">
        <v>13192</v>
      </c>
      <c r="B6593" s="106" t="s">
        <v>13193</v>
      </c>
      <c r="C6593" s="106"/>
      <c r="D6593" s="106"/>
      <c r="E6593" s="52"/>
    </row>
    <row r="6594" spans="1:5" s="103" customFormat="1" ht="13.2" hidden="1" outlineLevel="1" x14ac:dyDescent="0.25">
      <c r="A6594" s="106" t="s">
        <v>13194</v>
      </c>
      <c r="B6594" s="106" t="s">
        <v>13195</v>
      </c>
      <c r="C6594" s="106"/>
      <c r="D6594" s="106"/>
      <c r="E6594" s="52"/>
    </row>
    <row r="6595" spans="1:5" s="103" customFormat="1" ht="13.2" hidden="1" outlineLevel="1" x14ac:dyDescent="0.25">
      <c r="A6595" s="106" t="s">
        <v>13196</v>
      </c>
      <c r="B6595" s="106" t="s">
        <v>13197</v>
      </c>
      <c r="C6595" s="106"/>
      <c r="D6595" s="106"/>
      <c r="E6595" s="52"/>
    </row>
    <row r="6596" spans="1:5" s="103" customFormat="1" ht="13.2" hidden="1" outlineLevel="1" x14ac:dyDescent="0.25">
      <c r="A6596" s="106" t="s">
        <v>13198</v>
      </c>
      <c r="B6596" s="106" t="s">
        <v>13199</v>
      </c>
      <c r="C6596" s="106"/>
      <c r="D6596" s="106"/>
      <c r="E6596" s="52"/>
    </row>
    <row r="6597" spans="1:5" s="103" customFormat="1" ht="13.2" hidden="1" outlineLevel="1" x14ac:dyDescent="0.25">
      <c r="A6597" s="106" t="s">
        <v>13200</v>
      </c>
      <c r="B6597" s="106" t="s">
        <v>13201</v>
      </c>
      <c r="C6597" s="106"/>
      <c r="D6597" s="106"/>
      <c r="E6597" s="52"/>
    </row>
    <row r="6598" spans="1:5" s="103" customFormat="1" ht="13.2" hidden="1" outlineLevel="1" x14ac:dyDescent="0.25">
      <c r="A6598" s="106" t="s">
        <v>13202</v>
      </c>
      <c r="B6598" s="106" t="s">
        <v>13203</v>
      </c>
      <c r="C6598" s="106"/>
      <c r="D6598" s="106"/>
      <c r="E6598" s="52"/>
    </row>
    <row r="6599" spans="1:5" s="103" customFormat="1" ht="13.2" hidden="1" outlineLevel="1" x14ac:dyDescent="0.25">
      <c r="A6599" s="106" t="s">
        <v>13204</v>
      </c>
      <c r="B6599" s="106" t="s">
        <v>13205</v>
      </c>
      <c r="C6599" s="106"/>
      <c r="D6599" s="106"/>
      <c r="E6599" s="52"/>
    </row>
    <row r="6600" spans="1:5" s="103" customFormat="1" ht="13.2" hidden="1" outlineLevel="1" x14ac:dyDescent="0.25">
      <c r="A6600" s="106" t="s">
        <v>13206</v>
      </c>
      <c r="B6600" s="106" t="s">
        <v>13207</v>
      </c>
      <c r="C6600" s="106"/>
      <c r="D6600" s="106"/>
      <c r="E6600" s="52"/>
    </row>
    <row r="6601" spans="1:5" s="103" customFormat="1" ht="13.2" hidden="1" outlineLevel="1" x14ac:dyDescent="0.25">
      <c r="A6601" s="106" t="s">
        <v>13208</v>
      </c>
      <c r="B6601" s="106" t="s">
        <v>13209</v>
      </c>
      <c r="C6601" s="106"/>
      <c r="D6601" s="106"/>
      <c r="E6601" s="52"/>
    </row>
    <row r="6602" spans="1:5" s="103" customFormat="1" ht="13.2" hidden="1" outlineLevel="1" x14ac:dyDescent="0.25">
      <c r="A6602" s="106" t="s">
        <v>13210</v>
      </c>
      <c r="B6602" s="106" t="s">
        <v>13211</v>
      </c>
      <c r="C6602" s="106"/>
      <c r="D6602" s="106"/>
      <c r="E6602" s="52"/>
    </row>
    <row r="6603" spans="1:5" s="103" customFormat="1" ht="13.2" hidden="1" outlineLevel="1" x14ac:dyDescent="0.25">
      <c r="A6603" s="106" t="s">
        <v>13212</v>
      </c>
      <c r="B6603" s="106" t="s">
        <v>13213</v>
      </c>
      <c r="C6603" s="106"/>
      <c r="D6603" s="106"/>
      <c r="E6603" s="52"/>
    </row>
    <row r="6604" spans="1:5" s="103" customFormat="1" ht="13.2" hidden="1" outlineLevel="1" x14ac:dyDescent="0.25">
      <c r="A6604" s="106" t="s">
        <v>13214</v>
      </c>
      <c r="B6604" s="106" t="s">
        <v>13215</v>
      </c>
      <c r="C6604" s="106"/>
      <c r="D6604" s="106"/>
      <c r="E6604" s="52"/>
    </row>
    <row r="6605" spans="1:5" s="103" customFormat="1" ht="13.2" hidden="1" outlineLevel="1" x14ac:dyDescent="0.25">
      <c r="A6605" s="106" t="s">
        <v>13216</v>
      </c>
      <c r="B6605" s="106" t="s">
        <v>13217</v>
      </c>
      <c r="C6605" s="106"/>
      <c r="D6605" s="106"/>
      <c r="E6605" s="52"/>
    </row>
    <row r="6606" spans="1:5" s="103" customFormat="1" ht="13.2" hidden="1" outlineLevel="1" x14ac:dyDescent="0.25">
      <c r="A6606" s="106" t="s">
        <v>13218</v>
      </c>
      <c r="B6606" s="106" t="s">
        <v>13219</v>
      </c>
      <c r="C6606" s="106"/>
      <c r="D6606" s="106"/>
      <c r="E6606" s="52"/>
    </row>
    <row r="6607" spans="1:5" s="103" customFormat="1" ht="13.2" hidden="1" outlineLevel="1" x14ac:dyDescent="0.25">
      <c r="A6607" s="106" t="s">
        <v>13220</v>
      </c>
      <c r="B6607" s="106" t="s">
        <v>13221</v>
      </c>
      <c r="C6607" s="106"/>
      <c r="D6607" s="106"/>
      <c r="E6607" s="52"/>
    </row>
    <row r="6608" spans="1:5" s="103" customFormat="1" ht="13.2" hidden="1" outlineLevel="1" x14ac:dyDescent="0.25">
      <c r="A6608" s="106" t="s">
        <v>13222</v>
      </c>
      <c r="B6608" s="106" t="s">
        <v>13223</v>
      </c>
      <c r="C6608" s="106"/>
      <c r="D6608" s="106"/>
      <c r="E6608" s="52"/>
    </row>
    <row r="6609" spans="1:5" s="103" customFormat="1" ht="26.4" collapsed="1" x14ac:dyDescent="0.25">
      <c r="A6609" s="104" t="s">
        <v>13224</v>
      </c>
      <c r="B6609" s="107" t="s">
        <v>13225</v>
      </c>
      <c r="C6609" s="105"/>
      <c r="D6609" s="105"/>
      <c r="E6609" s="51"/>
    </row>
    <row r="6610" spans="1:5" s="103" customFormat="1" ht="13.2" hidden="1" outlineLevel="1" x14ac:dyDescent="0.25">
      <c r="A6610" s="106" t="s">
        <v>13226</v>
      </c>
      <c r="B6610" s="106" t="s">
        <v>13227</v>
      </c>
      <c r="C6610" s="106"/>
      <c r="D6610" s="106"/>
      <c r="E6610" s="52"/>
    </row>
    <row r="6611" spans="1:5" s="103" customFormat="1" ht="13.2" hidden="1" outlineLevel="1" x14ac:dyDescent="0.25">
      <c r="A6611" s="106" t="s">
        <v>13228</v>
      </c>
      <c r="B6611" s="106" t="s">
        <v>13229</v>
      </c>
      <c r="C6611" s="106"/>
      <c r="D6611" s="106"/>
      <c r="E6611" s="52"/>
    </row>
    <row r="6612" spans="1:5" s="103" customFormat="1" ht="13.2" hidden="1" outlineLevel="1" x14ac:dyDescent="0.25">
      <c r="A6612" s="106" t="s">
        <v>13230</v>
      </c>
      <c r="B6612" s="106" t="s">
        <v>13231</v>
      </c>
      <c r="C6612" s="106"/>
      <c r="D6612" s="106"/>
      <c r="E6612" s="52"/>
    </row>
    <row r="6613" spans="1:5" s="103" customFormat="1" ht="13.2" hidden="1" outlineLevel="1" x14ac:dyDescent="0.25">
      <c r="A6613" s="106" t="s">
        <v>13232</v>
      </c>
      <c r="B6613" s="106" t="s">
        <v>13233</v>
      </c>
      <c r="C6613" s="106"/>
      <c r="D6613" s="106"/>
      <c r="E6613" s="52"/>
    </row>
    <row r="6614" spans="1:5" s="103" customFormat="1" ht="13.2" hidden="1" outlineLevel="1" x14ac:dyDescent="0.25">
      <c r="A6614" s="106" t="s">
        <v>13234</v>
      </c>
      <c r="B6614" s="106" t="s">
        <v>13235</v>
      </c>
      <c r="C6614" s="106"/>
      <c r="D6614" s="106"/>
      <c r="E6614" s="52"/>
    </row>
    <row r="6615" spans="1:5" s="103" customFormat="1" ht="13.2" hidden="1" outlineLevel="1" x14ac:dyDescent="0.25">
      <c r="A6615" s="106" t="s">
        <v>13236</v>
      </c>
      <c r="B6615" s="106" t="s">
        <v>13237</v>
      </c>
      <c r="C6615" s="106"/>
      <c r="D6615" s="106"/>
      <c r="E6615" s="52"/>
    </row>
    <row r="6616" spans="1:5" s="103" customFormat="1" ht="13.2" hidden="1" outlineLevel="1" x14ac:dyDescent="0.25">
      <c r="A6616" s="106" t="s">
        <v>13238</v>
      </c>
      <c r="B6616" s="106" t="s">
        <v>13239</v>
      </c>
      <c r="C6616" s="106"/>
      <c r="D6616" s="106"/>
      <c r="E6616" s="52"/>
    </row>
    <row r="6617" spans="1:5" s="103" customFormat="1" ht="13.2" hidden="1" outlineLevel="1" x14ac:dyDescent="0.25">
      <c r="A6617" s="106" t="s">
        <v>13240</v>
      </c>
      <c r="B6617" s="106" t="s">
        <v>13241</v>
      </c>
      <c r="C6617" s="106"/>
      <c r="D6617" s="106"/>
      <c r="E6617" s="52"/>
    </row>
    <row r="6618" spans="1:5" s="103" customFormat="1" ht="13.2" hidden="1" outlineLevel="1" x14ac:dyDescent="0.25">
      <c r="A6618" s="106" t="s">
        <v>13242</v>
      </c>
      <c r="B6618" s="106" t="s">
        <v>13243</v>
      </c>
      <c r="C6618" s="106"/>
      <c r="D6618" s="106"/>
      <c r="E6618" s="52"/>
    </row>
    <row r="6619" spans="1:5" s="103" customFormat="1" ht="13.2" hidden="1" outlineLevel="1" x14ac:dyDescent="0.25">
      <c r="A6619" s="106" t="s">
        <v>13244</v>
      </c>
      <c r="B6619" s="106" t="s">
        <v>13245</v>
      </c>
      <c r="C6619" s="106"/>
      <c r="D6619" s="106"/>
      <c r="E6619" s="52"/>
    </row>
    <row r="6620" spans="1:5" s="103" customFormat="1" ht="13.2" hidden="1" outlineLevel="1" x14ac:dyDescent="0.25">
      <c r="A6620" s="106" t="s">
        <v>13246</v>
      </c>
      <c r="B6620" s="106" t="s">
        <v>13247</v>
      </c>
      <c r="C6620" s="106"/>
      <c r="D6620" s="106"/>
      <c r="E6620" s="52"/>
    </row>
    <row r="6621" spans="1:5" s="103" customFormat="1" ht="13.2" hidden="1" outlineLevel="1" x14ac:dyDescent="0.25">
      <c r="A6621" s="106" t="s">
        <v>13248</v>
      </c>
      <c r="B6621" s="106" t="s">
        <v>13249</v>
      </c>
      <c r="C6621" s="106"/>
      <c r="D6621" s="106"/>
      <c r="E6621" s="52"/>
    </row>
    <row r="6622" spans="1:5" s="103" customFormat="1" ht="13.2" hidden="1" outlineLevel="1" x14ac:dyDescent="0.25">
      <c r="A6622" s="106" t="s">
        <v>13250</v>
      </c>
      <c r="B6622" s="106" t="s">
        <v>13251</v>
      </c>
      <c r="C6622" s="106"/>
      <c r="D6622" s="106"/>
      <c r="E6622" s="52"/>
    </row>
    <row r="6623" spans="1:5" s="103" customFormat="1" ht="13.2" hidden="1" outlineLevel="1" x14ac:dyDescent="0.25">
      <c r="A6623" s="106" t="s">
        <v>13252</v>
      </c>
      <c r="B6623" s="106" t="s">
        <v>13253</v>
      </c>
      <c r="C6623" s="106"/>
      <c r="D6623" s="106"/>
      <c r="E6623" s="52"/>
    </row>
    <row r="6624" spans="1:5" s="103" customFormat="1" ht="13.2" hidden="1" outlineLevel="1" x14ac:dyDescent="0.25">
      <c r="A6624" s="106" t="s">
        <v>13254</v>
      </c>
      <c r="B6624" s="106" t="s">
        <v>13255</v>
      </c>
      <c r="C6624" s="106"/>
      <c r="D6624" s="106"/>
      <c r="E6624" s="52"/>
    </row>
    <row r="6625" spans="1:5" s="103" customFormat="1" ht="13.2" hidden="1" outlineLevel="1" x14ac:dyDescent="0.25">
      <c r="A6625" s="106" t="s">
        <v>13256</v>
      </c>
      <c r="B6625" s="106" t="s">
        <v>13257</v>
      </c>
      <c r="C6625" s="106"/>
      <c r="D6625" s="106"/>
      <c r="E6625" s="52"/>
    </row>
    <row r="6626" spans="1:5" s="103" customFormat="1" ht="13.2" hidden="1" outlineLevel="1" x14ac:dyDescent="0.25">
      <c r="A6626" s="106" t="s">
        <v>13258</v>
      </c>
      <c r="B6626" s="106" t="s">
        <v>13259</v>
      </c>
      <c r="C6626" s="106"/>
      <c r="D6626" s="106"/>
      <c r="E6626" s="52"/>
    </row>
    <row r="6627" spans="1:5" s="103" customFormat="1" ht="13.2" hidden="1" outlineLevel="1" x14ac:dyDescent="0.25">
      <c r="A6627" s="106" t="s">
        <v>13260</v>
      </c>
      <c r="B6627" s="106" t="s">
        <v>13261</v>
      </c>
      <c r="C6627" s="106"/>
      <c r="D6627" s="106"/>
      <c r="E6627" s="52"/>
    </row>
    <row r="6628" spans="1:5" s="103" customFormat="1" ht="13.2" hidden="1" outlineLevel="1" x14ac:dyDescent="0.25">
      <c r="A6628" s="106" t="s">
        <v>13262</v>
      </c>
      <c r="B6628" s="106" t="s">
        <v>13263</v>
      </c>
      <c r="C6628" s="106"/>
      <c r="D6628" s="106"/>
      <c r="E6628" s="52"/>
    </row>
    <row r="6629" spans="1:5" s="103" customFormat="1" ht="13.2" hidden="1" outlineLevel="1" x14ac:dyDescent="0.25">
      <c r="A6629" s="106" t="s">
        <v>13264</v>
      </c>
      <c r="B6629" s="106" t="s">
        <v>13265</v>
      </c>
      <c r="C6629" s="106"/>
      <c r="D6629" s="106"/>
      <c r="E6629" s="52"/>
    </row>
    <row r="6630" spans="1:5" s="103" customFormat="1" ht="13.2" hidden="1" outlineLevel="1" x14ac:dyDescent="0.25">
      <c r="A6630" s="106" t="s">
        <v>13266</v>
      </c>
      <c r="B6630" s="106" t="s">
        <v>13267</v>
      </c>
      <c r="C6630" s="106"/>
      <c r="D6630" s="106"/>
      <c r="E6630" s="52"/>
    </row>
    <row r="6631" spans="1:5" s="103" customFormat="1" ht="13.2" hidden="1" outlineLevel="1" x14ac:dyDescent="0.25">
      <c r="A6631" s="106" t="s">
        <v>13268</v>
      </c>
      <c r="B6631" s="106" t="s">
        <v>13269</v>
      </c>
      <c r="C6631" s="106"/>
      <c r="D6631" s="106"/>
      <c r="E6631" s="52"/>
    </row>
    <row r="6632" spans="1:5" s="103" customFormat="1" ht="13.2" hidden="1" outlineLevel="1" x14ac:dyDescent="0.25">
      <c r="A6632" s="106" t="s">
        <v>13270</v>
      </c>
      <c r="B6632" s="106" t="s">
        <v>13271</v>
      </c>
      <c r="C6632" s="106"/>
      <c r="D6632" s="106"/>
      <c r="E6632" s="52"/>
    </row>
    <row r="6633" spans="1:5" s="103" customFormat="1" ht="13.2" hidden="1" outlineLevel="1" x14ac:dyDescent="0.25">
      <c r="A6633" s="106" t="s">
        <v>13272</v>
      </c>
      <c r="B6633" s="106" t="s">
        <v>13273</v>
      </c>
      <c r="C6633" s="106"/>
      <c r="D6633" s="106"/>
      <c r="E6633" s="52"/>
    </row>
    <row r="6634" spans="1:5" s="103" customFormat="1" ht="13.2" hidden="1" outlineLevel="1" x14ac:dyDescent="0.25">
      <c r="A6634" s="106" t="s">
        <v>13274</v>
      </c>
      <c r="B6634" s="106" t="s">
        <v>13275</v>
      </c>
      <c r="C6634" s="106"/>
      <c r="D6634" s="106"/>
      <c r="E6634" s="52"/>
    </row>
    <row r="6635" spans="1:5" s="103" customFormat="1" ht="13.2" hidden="1" outlineLevel="1" x14ac:dyDescent="0.25">
      <c r="A6635" s="106" t="s">
        <v>13276</v>
      </c>
      <c r="B6635" s="106" t="s">
        <v>13277</v>
      </c>
      <c r="C6635" s="106"/>
      <c r="D6635" s="106"/>
      <c r="E6635" s="52"/>
    </row>
    <row r="6636" spans="1:5" s="103" customFormat="1" ht="13.2" hidden="1" outlineLevel="1" x14ac:dyDescent="0.25">
      <c r="A6636" s="106" t="s">
        <v>13278</v>
      </c>
      <c r="B6636" s="106" t="s">
        <v>13279</v>
      </c>
      <c r="C6636" s="106"/>
      <c r="D6636" s="106"/>
      <c r="E6636" s="52"/>
    </row>
    <row r="6637" spans="1:5" s="103" customFormat="1" ht="13.2" hidden="1" outlineLevel="1" x14ac:dyDescent="0.25">
      <c r="A6637" s="106" t="s">
        <v>13280</v>
      </c>
      <c r="B6637" s="106" t="s">
        <v>13281</v>
      </c>
      <c r="C6637" s="106"/>
      <c r="D6637" s="106"/>
      <c r="E6637" s="52"/>
    </row>
    <row r="6638" spans="1:5" s="103" customFormat="1" ht="13.2" hidden="1" outlineLevel="1" x14ac:dyDescent="0.25">
      <c r="A6638" s="106" t="s">
        <v>13282</v>
      </c>
      <c r="B6638" s="106" t="s">
        <v>13283</v>
      </c>
      <c r="C6638" s="106"/>
      <c r="D6638" s="106"/>
      <c r="E6638" s="52"/>
    </row>
    <row r="6639" spans="1:5" s="103" customFormat="1" ht="13.2" hidden="1" outlineLevel="1" x14ac:dyDescent="0.25">
      <c r="A6639" s="106" t="s">
        <v>13284</v>
      </c>
      <c r="B6639" s="106" t="s">
        <v>13285</v>
      </c>
      <c r="C6639" s="106"/>
      <c r="D6639" s="106"/>
      <c r="E6639" s="52"/>
    </row>
    <row r="6640" spans="1:5" s="103" customFormat="1" ht="13.2" hidden="1" outlineLevel="1" x14ac:dyDescent="0.25">
      <c r="A6640" s="106" t="s">
        <v>13286</v>
      </c>
      <c r="B6640" s="106" t="s">
        <v>13287</v>
      </c>
      <c r="C6640" s="106"/>
      <c r="D6640" s="106"/>
      <c r="E6640" s="52"/>
    </row>
    <row r="6641" spans="1:5" s="103" customFormat="1" ht="13.2" hidden="1" outlineLevel="1" x14ac:dyDescent="0.25">
      <c r="A6641" s="106" t="s">
        <v>13288</v>
      </c>
      <c r="B6641" s="106" t="s">
        <v>13289</v>
      </c>
      <c r="C6641" s="106"/>
      <c r="D6641" s="106"/>
      <c r="E6641" s="52"/>
    </row>
    <row r="6642" spans="1:5" s="103" customFormat="1" ht="13.2" hidden="1" outlineLevel="1" x14ac:dyDescent="0.25">
      <c r="A6642" s="106" t="s">
        <v>13290</v>
      </c>
      <c r="B6642" s="106" t="s">
        <v>13291</v>
      </c>
      <c r="C6642" s="106"/>
      <c r="D6642" s="106"/>
      <c r="E6642" s="52"/>
    </row>
    <row r="6643" spans="1:5" s="103" customFormat="1" ht="13.2" hidden="1" outlineLevel="1" x14ac:dyDescent="0.25">
      <c r="A6643" s="106" t="s">
        <v>13292</v>
      </c>
      <c r="B6643" s="106" t="s">
        <v>13293</v>
      </c>
      <c r="C6643" s="106"/>
      <c r="D6643" s="106"/>
      <c r="E6643" s="52"/>
    </row>
    <row r="6644" spans="1:5" s="103" customFormat="1" ht="13.2" hidden="1" outlineLevel="1" x14ac:dyDescent="0.25">
      <c r="A6644" s="106" t="s">
        <v>13294</v>
      </c>
      <c r="B6644" s="106" t="s">
        <v>13295</v>
      </c>
      <c r="C6644" s="106"/>
      <c r="D6644" s="106"/>
      <c r="E6644" s="52"/>
    </row>
    <row r="6645" spans="1:5" s="103" customFormat="1" ht="13.2" hidden="1" outlineLevel="1" x14ac:dyDescent="0.25">
      <c r="A6645" s="106" t="s">
        <v>13296</v>
      </c>
      <c r="B6645" s="106" t="s">
        <v>13297</v>
      </c>
      <c r="C6645" s="106"/>
      <c r="D6645" s="106"/>
      <c r="E6645" s="52"/>
    </row>
    <row r="6646" spans="1:5" s="103" customFormat="1" ht="13.2" hidden="1" outlineLevel="1" x14ac:dyDescent="0.25">
      <c r="A6646" s="106" t="s">
        <v>13298</v>
      </c>
      <c r="B6646" s="106" t="s">
        <v>13299</v>
      </c>
      <c r="C6646" s="106"/>
      <c r="D6646" s="106"/>
      <c r="E6646" s="52"/>
    </row>
    <row r="6647" spans="1:5" s="103" customFormat="1" ht="13.2" hidden="1" outlineLevel="1" x14ac:dyDescent="0.25">
      <c r="A6647" s="106" t="s">
        <v>13300</v>
      </c>
      <c r="B6647" s="106" t="s">
        <v>13301</v>
      </c>
      <c r="C6647" s="106"/>
      <c r="D6647" s="106"/>
      <c r="E6647" s="52"/>
    </row>
    <row r="6648" spans="1:5" s="103" customFormat="1" ht="13.2" hidden="1" outlineLevel="1" x14ac:dyDescent="0.25">
      <c r="A6648" s="106" t="s">
        <v>13302</v>
      </c>
      <c r="B6648" s="106" t="s">
        <v>13303</v>
      </c>
      <c r="C6648" s="106"/>
      <c r="D6648" s="106"/>
      <c r="E6648" s="52"/>
    </row>
    <row r="6649" spans="1:5" s="103" customFormat="1" ht="13.2" hidden="1" outlineLevel="1" x14ac:dyDescent="0.25">
      <c r="A6649" s="106" t="s">
        <v>13304</v>
      </c>
      <c r="B6649" s="106" t="s">
        <v>13305</v>
      </c>
      <c r="C6649" s="106"/>
      <c r="D6649" s="106"/>
      <c r="E6649" s="52"/>
    </row>
    <row r="6650" spans="1:5" s="103" customFormat="1" ht="13.2" hidden="1" outlineLevel="1" x14ac:dyDescent="0.25">
      <c r="A6650" s="106" t="s">
        <v>13306</v>
      </c>
      <c r="B6650" s="106" t="s">
        <v>13307</v>
      </c>
      <c r="C6650" s="106"/>
      <c r="D6650" s="106"/>
      <c r="E6650" s="52"/>
    </row>
    <row r="6651" spans="1:5" s="103" customFormat="1" ht="13.2" hidden="1" outlineLevel="1" x14ac:dyDescent="0.25">
      <c r="A6651" s="106" t="s">
        <v>13308</v>
      </c>
      <c r="B6651" s="106" t="s">
        <v>13309</v>
      </c>
      <c r="C6651" s="106"/>
      <c r="D6651" s="106"/>
      <c r="E6651" s="52"/>
    </row>
    <row r="6652" spans="1:5" s="103" customFormat="1" ht="13.2" hidden="1" outlineLevel="1" x14ac:dyDescent="0.25">
      <c r="A6652" s="106" t="s">
        <v>13310</v>
      </c>
      <c r="B6652" s="106" t="s">
        <v>13311</v>
      </c>
      <c r="C6652" s="106"/>
      <c r="D6652" s="106"/>
      <c r="E6652" s="52"/>
    </row>
    <row r="6653" spans="1:5" s="103" customFormat="1" ht="13.2" hidden="1" outlineLevel="1" x14ac:dyDescent="0.25">
      <c r="A6653" s="106" t="s">
        <v>13312</v>
      </c>
      <c r="B6653" s="106" t="s">
        <v>13313</v>
      </c>
      <c r="C6653" s="106"/>
      <c r="D6653" s="106"/>
      <c r="E6653" s="52"/>
    </row>
    <row r="6654" spans="1:5" s="103" customFormat="1" ht="13.2" hidden="1" outlineLevel="1" x14ac:dyDescent="0.25">
      <c r="A6654" s="106" t="s">
        <v>13314</v>
      </c>
      <c r="B6654" s="106" t="s">
        <v>13315</v>
      </c>
      <c r="C6654" s="106"/>
      <c r="D6654" s="106"/>
      <c r="E6654" s="52"/>
    </row>
    <row r="6655" spans="1:5" s="103" customFormat="1" ht="13.2" hidden="1" outlineLevel="1" x14ac:dyDescent="0.25">
      <c r="A6655" s="106" t="s">
        <v>13316</v>
      </c>
      <c r="B6655" s="106" t="s">
        <v>13317</v>
      </c>
      <c r="C6655" s="106"/>
      <c r="D6655" s="106"/>
      <c r="E6655" s="52"/>
    </row>
    <row r="6656" spans="1:5" s="103" customFormat="1" ht="13.2" hidden="1" outlineLevel="1" x14ac:dyDescent="0.25">
      <c r="A6656" s="106" t="s">
        <v>13318</v>
      </c>
      <c r="B6656" s="106" t="s">
        <v>13319</v>
      </c>
      <c r="C6656" s="106"/>
      <c r="D6656" s="106"/>
      <c r="E6656" s="52"/>
    </row>
    <row r="6657" spans="1:5" s="103" customFormat="1" ht="13.2" hidden="1" outlineLevel="1" x14ac:dyDescent="0.25">
      <c r="A6657" s="106" t="s">
        <v>13320</v>
      </c>
      <c r="B6657" s="106" t="s">
        <v>13321</v>
      </c>
      <c r="C6657" s="106"/>
      <c r="D6657" s="106"/>
      <c r="E6657" s="52"/>
    </row>
    <row r="6658" spans="1:5" s="103" customFormat="1" ht="13.2" hidden="1" outlineLevel="1" x14ac:dyDescent="0.25">
      <c r="A6658" s="106" t="s">
        <v>13322</v>
      </c>
      <c r="B6658" s="106" t="s">
        <v>13323</v>
      </c>
      <c r="C6658" s="106"/>
      <c r="D6658" s="106"/>
      <c r="E6658" s="52"/>
    </row>
    <row r="6659" spans="1:5" s="103" customFormat="1" ht="13.2" hidden="1" outlineLevel="1" x14ac:dyDescent="0.25">
      <c r="A6659" s="106" t="s">
        <v>13324</v>
      </c>
      <c r="B6659" s="106" t="s">
        <v>13325</v>
      </c>
      <c r="C6659" s="106"/>
      <c r="D6659" s="106"/>
      <c r="E6659" s="52"/>
    </row>
    <row r="6660" spans="1:5" s="103" customFormat="1" ht="13.2" hidden="1" outlineLevel="1" x14ac:dyDescent="0.25">
      <c r="A6660" s="106" t="s">
        <v>13326</v>
      </c>
      <c r="B6660" s="106" t="s">
        <v>13327</v>
      </c>
      <c r="C6660" s="106"/>
      <c r="D6660" s="106"/>
      <c r="E6660" s="52"/>
    </row>
    <row r="6661" spans="1:5" s="103" customFormat="1" ht="13.2" hidden="1" outlineLevel="1" x14ac:dyDescent="0.25">
      <c r="A6661" s="106" t="s">
        <v>13328</v>
      </c>
      <c r="B6661" s="106" t="s">
        <v>13329</v>
      </c>
      <c r="C6661" s="106"/>
      <c r="D6661" s="106"/>
      <c r="E6661" s="52"/>
    </row>
    <row r="6662" spans="1:5" s="103" customFormat="1" ht="13.2" hidden="1" outlineLevel="1" x14ac:dyDescent="0.25">
      <c r="A6662" s="106" t="s">
        <v>13330</v>
      </c>
      <c r="B6662" s="106" t="s">
        <v>13331</v>
      </c>
      <c r="C6662" s="106"/>
      <c r="D6662" s="106"/>
      <c r="E6662" s="52"/>
    </row>
    <row r="6663" spans="1:5" s="103" customFormat="1" ht="13.2" hidden="1" outlineLevel="1" x14ac:dyDescent="0.25">
      <c r="A6663" s="106" t="s">
        <v>13332</v>
      </c>
      <c r="B6663" s="106" t="s">
        <v>13333</v>
      </c>
      <c r="C6663" s="106"/>
      <c r="D6663" s="106"/>
      <c r="E6663" s="52"/>
    </row>
    <row r="6664" spans="1:5" s="103" customFormat="1" ht="13.2" hidden="1" outlineLevel="1" x14ac:dyDescent="0.25">
      <c r="A6664" s="106" t="s">
        <v>13334</v>
      </c>
      <c r="B6664" s="106" t="s">
        <v>13335</v>
      </c>
      <c r="C6664" s="106"/>
      <c r="D6664" s="106"/>
      <c r="E6664" s="52"/>
    </row>
    <row r="6665" spans="1:5" s="103" customFormat="1" ht="13.2" hidden="1" outlineLevel="1" x14ac:dyDescent="0.25">
      <c r="A6665" s="106" t="s">
        <v>13336</v>
      </c>
      <c r="B6665" s="106" t="s">
        <v>13337</v>
      </c>
      <c r="C6665" s="106"/>
      <c r="D6665" s="106"/>
      <c r="E6665" s="52"/>
    </row>
    <row r="6666" spans="1:5" s="103" customFormat="1" ht="13.2" hidden="1" outlineLevel="1" x14ac:dyDescent="0.25">
      <c r="A6666" s="106" t="s">
        <v>13338</v>
      </c>
      <c r="B6666" s="106" t="s">
        <v>13339</v>
      </c>
      <c r="C6666" s="106"/>
      <c r="D6666" s="106"/>
      <c r="E6666" s="52"/>
    </row>
    <row r="6667" spans="1:5" s="103" customFormat="1" ht="13.2" hidden="1" outlineLevel="1" x14ac:dyDescent="0.25">
      <c r="A6667" s="106" t="s">
        <v>13340</v>
      </c>
      <c r="B6667" s="106" t="s">
        <v>13341</v>
      </c>
      <c r="C6667" s="106"/>
      <c r="D6667" s="106"/>
      <c r="E6667" s="52"/>
    </row>
    <row r="6668" spans="1:5" s="103" customFormat="1" ht="13.2" hidden="1" outlineLevel="1" x14ac:dyDescent="0.25">
      <c r="A6668" s="106" t="s">
        <v>13342</v>
      </c>
      <c r="B6668" s="106" t="s">
        <v>13343</v>
      </c>
      <c r="C6668" s="106"/>
      <c r="D6668" s="106"/>
      <c r="E6668" s="52"/>
    </row>
    <row r="6669" spans="1:5" s="103" customFormat="1" ht="13.2" hidden="1" outlineLevel="1" x14ac:dyDescent="0.25">
      <c r="A6669" s="106" t="s">
        <v>13344</v>
      </c>
      <c r="B6669" s="106" t="s">
        <v>13345</v>
      </c>
      <c r="C6669" s="106"/>
      <c r="D6669" s="106"/>
      <c r="E6669" s="52"/>
    </row>
    <row r="6670" spans="1:5" s="103" customFormat="1" ht="13.2" hidden="1" outlineLevel="1" x14ac:dyDescent="0.25">
      <c r="A6670" s="106" t="s">
        <v>13346</v>
      </c>
      <c r="B6670" s="106" t="s">
        <v>13347</v>
      </c>
      <c r="C6670" s="106"/>
      <c r="D6670" s="106"/>
      <c r="E6670" s="52"/>
    </row>
    <row r="6671" spans="1:5" s="103" customFormat="1" ht="13.2" hidden="1" outlineLevel="1" x14ac:dyDescent="0.25">
      <c r="A6671" s="106" t="s">
        <v>13348</v>
      </c>
      <c r="B6671" s="106" t="s">
        <v>13349</v>
      </c>
      <c r="C6671" s="106"/>
      <c r="D6671" s="106"/>
      <c r="E6671" s="52"/>
    </row>
    <row r="6672" spans="1:5" s="103" customFormat="1" ht="13.2" hidden="1" outlineLevel="1" x14ac:dyDescent="0.25">
      <c r="A6672" s="106" t="s">
        <v>13350</v>
      </c>
      <c r="B6672" s="106" t="s">
        <v>13351</v>
      </c>
      <c r="C6672" s="106"/>
      <c r="D6672" s="106"/>
      <c r="E6672" s="52"/>
    </row>
    <row r="6673" spans="1:5" s="103" customFormat="1" ht="13.2" hidden="1" outlineLevel="1" x14ac:dyDescent="0.25">
      <c r="A6673" s="106" t="s">
        <v>13352</v>
      </c>
      <c r="B6673" s="106" t="s">
        <v>13353</v>
      </c>
      <c r="C6673" s="106"/>
      <c r="D6673" s="106"/>
      <c r="E6673" s="52"/>
    </row>
    <row r="6674" spans="1:5" s="103" customFormat="1" ht="13.2" hidden="1" outlineLevel="1" x14ac:dyDescent="0.25">
      <c r="A6674" s="106" t="s">
        <v>13354</v>
      </c>
      <c r="B6674" s="106" t="s">
        <v>13355</v>
      </c>
      <c r="C6674" s="106"/>
      <c r="D6674" s="106"/>
      <c r="E6674" s="52"/>
    </row>
    <row r="6675" spans="1:5" s="103" customFormat="1" ht="13.2" hidden="1" outlineLevel="1" x14ac:dyDescent="0.25">
      <c r="A6675" s="106" t="s">
        <v>13356</v>
      </c>
      <c r="B6675" s="106" t="s">
        <v>13357</v>
      </c>
      <c r="C6675" s="106"/>
      <c r="D6675" s="106"/>
      <c r="E6675" s="52"/>
    </row>
    <row r="6676" spans="1:5" s="103" customFormat="1" ht="13.2" hidden="1" outlineLevel="1" x14ac:dyDescent="0.25">
      <c r="A6676" s="106" t="s">
        <v>13358</v>
      </c>
      <c r="B6676" s="106" t="s">
        <v>13359</v>
      </c>
      <c r="C6676" s="106"/>
      <c r="D6676" s="106"/>
      <c r="E6676" s="52"/>
    </row>
    <row r="6677" spans="1:5" s="103" customFormat="1" ht="13.2" hidden="1" outlineLevel="1" x14ac:dyDescent="0.25">
      <c r="A6677" s="106" t="s">
        <v>13360</v>
      </c>
      <c r="B6677" s="106" t="s">
        <v>13361</v>
      </c>
      <c r="C6677" s="106"/>
      <c r="D6677" s="106"/>
      <c r="E6677" s="52"/>
    </row>
    <row r="6678" spans="1:5" s="103" customFormat="1" ht="13.2" hidden="1" outlineLevel="1" x14ac:dyDescent="0.25">
      <c r="A6678" s="106" t="s">
        <v>13362</v>
      </c>
      <c r="B6678" s="106" t="s">
        <v>13363</v>
      </c>
      <c r="C6678" s="106"/>
      <c r="D6678" s="106"/>
      <c r="E6678" s="52"/>
    </row>
    <row r="6679" spans="1:5" s="103" customFormat="1" ht="13.2" hidden="1" outlineLevel="1" x14ac:dyDescent="0.25">
      <c r="A6679" s="106" t="s">
        <v>13364</v>
      </c>
      <c r="B6679" s="106" t="s">
        <v>13365</v>
      </c>
      <c r="C6679" s="106"/>
      <c r="D6679" s="106"/>
      <c r="E6679" s="52"/>
    </row>
    <row r="6680" spans="1:5" s="103" customFormat="1" ht="13.2" hidden="1" outlineLevel="1" x14ac:dyDescent="0.25">
      <c r="A6680" s="106" t="s">
        <v>13366</v>
      </c>
      <c r="B6680" s="106" t="s">
        <v>13367</v>
      </c>
      <c r="C6680" s="106"/>
      <c r="D6680" s="106"/>
      <c r="E6680" s="52"/>
    </row>
    <row r="6681" spans="1:5" s="103" customFormat="1" ht="13.2" hidden="1" outlineLevel="1" x14ac:dyDescent="0.25">
      <c r="A6681" s="106" t="s">
        <v>13368</v>
      </c>
      <c r="B6681" s="106" t="s">
        <v>13369</v>
      </c>
      <c r="C6681" s="106"/>
      <c r="D6681" s="106"/>
      <c r="E6681" s="52"/>
    </row>
    <row r="6682" spans="1:5" s="103" customFormat="1" ht="13.2" hidden="1" outlineLevel="1" x14ac:dyDescent="0.25">
      <c r="A6682" s="106" t="s">
        <v>13370</v>
      </c>
      <c r="B6682" s="106" t="s">
        <v>13371</v>
      </c>
      <c r="C6682" s="106"/>
      <c r="D6682" s="106"/>
      <c r="E6682" s="52"/>
    </row>
    <row r="6683" spans="1:5" s="103" customFormat="1" ht="13.2" hidden="1" outlineLevel="1" x14ac:dyDescent="0.25">
      <c r="A6683" s="106" t="s">
        <v>13372</v>
      </c>
      <c r="B6683" s="106" t="s">
        <v>13373</v>
      </c>
      <c r="C6683" s="106"/>
      <c r="D6683" s="106"/>
      <c r="E6683" s="52"/>
    </row>
    <row r="6684" spans="1:5" s="103" customFormat="1" ht="13.2" hidden="1" outlineLevel="1" x14ac:dyDescent="0.25">
      <c r="A6684" s="106" t="s">
        <v>13374</v>
      </c>
      <c r="B6684" s="106" t="s">
        <v>13375</v>
      </c>
      <c r="C6684" s="106"/>
      <c r="D6684" s="106"/>
      <c r="E6684" s="52"/>
    </row>
    <row r="6685" spans="1:5" s="103" customFormat="1" ht="13.2" hidden="1" outlineLevel="1" x14ac:dyDescent="0.25">
      <c r="A6685" s="106" t="s">
        <v>13376</v>
      </c>
      <c r="B6685" s="106" t="s">
        <v>13377</v>
      </c>
      <c r="C6685" s="106"/>
      <c r="D6685" s="106"/>
      <c r="E6685" s="52"/>
    </row>
    <row r="6686" spans="1:5" s="103" customFormat="1" ht="13.2" hidden="1" outlineLevel="1" x14ac:dyDescent="0.25">
      <c r="A6686" s="106" t="s">
        <v>13378</v>
      </c>
      <c r="B6686" s="106" t="s">
        <v>13379</v>
      </c>
      <c r="C6686" s="106"/>
      <c r="D6686" s="106"/>
      <c r="E6686" s="52"/>
    </row>
    <row r="6687" spans="1:5" s="103" customFormat="1" ht="13.2" hidden="1" outlineLevel="1" x14ac:dyDescent="0.25">
      <c r="A6687" s="106" t="s">
        <v>13380</v>
      </c>
      <c r="B6687" s="106" t="s">
        <v>13381</v>
      </c>
      <c r="C6687" s="106"/>
      <c r="D6687" s="106"/>
      <c r="E6687" s="52"/>
    </row>
    <row r="6688" spans="1:5" s="103" customFormat="1" ht="13.2" hidden="1" outlineLevel="1" x14ac:dyDescent="0.25">
      <c r="A6688" s="106" t="s">
        <v>13382</v>
      </c>
      <c r="B6688" s="106" t="s">
        <v>13383</v>
      </c>
      <c r="C6688" s="106"/>
      <c r="D6688" s="106"/>
      <c r="E6688" s="52"/>
    </row>
    <row r="6689" spans="1:5" s="103" customFormat="1" ht="13.2" hidden="1" outlineLevel="1" x14ac:dyDescent="0.25">
      <c r="A6689" s="106" t="s">
        <v>13384</v>
      </c>
      <c r="B6689" s="106" t="s">
        <v>13385</v>
      </c>
      <c r="C6689" s="106"/>
      <c r="D6689" s="106"/>
      <c r="E6689" s="52"/>
    </row>
    <row r="6690" spans="1:5" s="103" customFormat="1" ht="13.2" hidden="1" outlineLevel="1" x14ac:dyDescent="0.25">
      <c r="A6690" s="106" t="s">
        <v>13386</v>
      </c>
      <c r="B6690" s="106" t="s">
        <v>13387</v>
      </c>
      <c r="C6690" s="106"/>
      <c r="D6690" s="106"/>
      <c r="E6690" s="52"/>
    </row>
    <row r="6691" spans="1:5" s="103" customFormat="1" ht="13.2" hidden="1" outlineLevel="1" x14ac:dyDescent="0.25">
      <c r="A6691" s="106" t="s">
        <v>13388</v>
      </c>
      <c r="B6691" s="106" t="s">
        <v>13389</v>
      </c>
      <c r="C6691" s="106"/>
      <c r="D6691" s="106"/>
      <c r="E6691" s="52"/>
    </row>
    <row r="6692" spans="1:5" s="103" customFormat="1" ht="13.2" hidden="1" outlineLevel="1" x14ac:dyDescent="0.25">
      <c r="A6692" s="106" t="s">
        <v>13390</v>
      </c>
      <c r="B6692" s="106" t="s">
        <v>13391</v>
      </c>
      <c r="C6692" s="106"/>
      <c r="D6692" s="106"/>
      <c r="E6692" s="52"/>
    </row>
    <row r="6693" spans="1:5" s="103" customFormat="1" ht="13.2" hidden="1" outlineLevel="1" x14ac:dyDescent="0.25">
      <c r="A6693" s="106" t="s">
        <v>13392</v>
      </c>
      <c r="B6693" s="106" t="s">
        <v>13393</v>
      </c>
      <c r="C6693" s="106"/>
      <c r="D6693" s="106"/>
      <c r="E6693" s="52"/>
    </row>
    <row r="6694" spans="1:5" s="103" customFormat="1" ht="13.2" hidden="1" outlineLevel="1" x14ac:dyDescent="0.25">
      <c r="A6694" s="106" t="s">
        <v>13394</v>
      </c>
      <c r="B6694" s="106" t="s">
        <v>13395</v>
      </c>
      <c r="C6694" s="106"/>
      <c r="D6694" s="106"/>
      <c r="E6694" s="52"/>
    </row>
    <row r="6695" spans="1:5" s="103" customFormat="1" ht="13.2" hidden="1" outlineLevel="1" x14ac:dyDescent="0.25">
      <c r="A6695" s="106" t="s">
        <v>13396</v>
      </c>
      <c r="B6695" s="106" t="s">
        <v>13397</v>
      </c>
      <c r="C6695" s="106"/>
      <c r="D6695" s="106"/>
      <c r="E6695" s="52"/>
    </row>
    <row r="6696" spans="1:5" s="103" customFormat="1" ht="13.2" hidden="1" outlineLevel="1" x14ac:dyDescent="0.25">
      <c r="A6696" s="106" t="s">
        <v>13398</v>
      </c>
      <c r="B6696" s="106" t="s">
        <v>13399</v>
      </c>
      <c r="C6696" s="106"/>
      <c r="D6696" s="106"/>
      <c r="E6696" s="52"/>
    </row>
    <row r="6697" spans="1:5" s="103" customFormat="1" ht="13.2" hidden="1" outlineLevel="1" x14ac:dyDescent="0.25">
      <c r="A6697" s="106" t="s">
        <v>13400</v>
      </c>
      <c r="B6697" s="106" t="s">
        <v>13401</v>
      </c>
      <c r="C6697" s="106"/>
      <c r="D6697" s="106"/>
      <c r="E6697" s="52"/>
    </row>
    <row r="6698" spans="1:5" s="103" customFormat="1" ht="13.2" hidden="1" outlineLevel="1" x14ac:dyDescent="0.25">
      <c r="A6698" s="106" t="s">
        <v>13402</v>
      </c>
      <c r="B6698" s="106" t="s">
        <v>13403</v>
      </c>
      <c r="C6698" s="106"/>
      <c r="D6698" s="106"/>
      <c r="E6698" s="52"/>
    </row>
    <row r="6699" spans="1:5" s="103" customFormat="1" ht="13.2" hidden="1" outlineLevel="1" x14ac:dyDescent="0.25">
      <c r="A6699" s="106" t="s">
        <v>13404</v>
      </c>
      <c r="B6699" s="106" t="s">
        <v>13405</v>
      </c>
      <c r="C6699" s="106"/>
      <c r="D6699" s="106"/>
      <c r="E6699" s="52"/>
    </row>
    <row r="6700" spans="1:5" s="103" customFormat="1" ht="13.2" hidden="1" outlineLevel="1" x14ac:dyDescent="0.25">
      <c r="A6700" s="106" t="s">
        <v>13406</v>
      </c>
      <c r="B6700" s="106" t="s">
        <v>13407</v>
      </c>
      <c r="C6700" s="106"/>
      <c r="D6700" s="106"/>
      <c r="E6700" s="52"/>
    </row>
    <row r="6701" spans="1:5" s="103" customFormat="1" ht="13.2" hidden="1" outlineLevel="1" x14ac:dyDescent="0.25">
      <c r="A6701" s="106" t="s">
        <v>13408</v>
      </c>
      <c r="B6701" s="106" t="s">
        <v>13409</v>
      </c>
      <c r="C6701" s="106"/>
      <c r="D6701" s="106"/>
      <c r="E6701" s="52"/>
    </row>
    <row r="6702" spans="1:5" s="103" customFormat="1" ht="13.2" hidden="1" outlineLevel="1" x14ac:dyDescent="0.25">
      <c r="A6702" s="106" t="s">
        <v>13410</v>
      </c>
      <c r="B6702" s="106" t="s">
        <v>13411</v>
      </c>
      <c r="C6702" s="106"/>
      <c r="D6702" s="106"/>
      <c r="E6702" s="52"/>
    </row>
    <row r="6703" spans="1:5" s="103" customFormat="1" ht="13.2" hidden="1" outlineLevel="1" x14ac:dyDescent="0.25">
      <c r="A6703" s="106" t="s">
        <v>13412</v>
      </c>
      <c r="B6703" s="106" t="s">
        <v>13413</v>
      </c>
      <c r="C6703" s="106"/>
      <c r="D6703" s="106"/>
      <c r="E6703" s="52"/>
    </row>
    <row r="6704" spans="1:5" s="103" customFormat="1" ht="13.2" hidden="1" outlineLevel="1" x14ac:dyDescent="0.25">
      <c r="A6704" s="106" t="s">
        <v>13414</v>
      </c>
      <c r="B6704" s="106" t="s">
        <v>13415</v>
      </c>
      <c r="C6704" s="106"/>
      <c r="D6704" s="106"/>
      <c r="E6704" s="52"/>
    </row>
    <row r="6705" spans="1:5" s="103" customFormat="1" ht="13.2" hidden="1" outlineLevel="1" x14ac:dyDescent="0.25">
      <c r="A6705" s="106" t="s">
        <v>13416</v>
      </c>
      <c r="B6705" s="106" t="s">
        <v>13417</v>
      </c>
      <c r="C6705" s="106"/>
      <c r="D6705" s="106"/>
      <c r="E6705" s="52"/>
    </row>
    <row r="6706" spans="1:5" s="103" customFormat="1" ht="13.2" hidden="1" outlineLevel="1" x14ac:dyDescent="0.25">
      <c r="A6706" s="106" t="s">
        <v>13418</v>
      </c>
      <c r="B6706" s="106" t="s">
        <v>13419</v>
      </c>
      <c r="C6706" s="106"/>
      <c r="D6706" s="106"/>
      <c r="E6706" s="52"/>
    </row>
    <row r="6707" spans="1:5" s="103" customFormat="1" ht="13.2" hidden="1" outlineLevel="1" x14ac:dyDescent="0.25">
      <c r="A6707" s="106" t="s">
        <v>13420</v>
      </c>
      <c r="B6707" s="106" t="s">
        <v>13421</v>
      </c>
      <c r="C6707" s="106"/>
      <c r="D6707" s="106"/>
      <c r="E6707" s="52"/>
    </row>
    <row r="6708" spans="1:5" s="103" customFormat="1" ht="13.2" hidden="1" outlineLevel="1" x14ac:dyDescent="0.25">
      <c r="A6708" s="106" t="s">
        <v>13422</v>
      </c>
      <c r="B6708" s="106" t="s">
        <v>13423</v>
      </c>
      <c r="C6708" s="106"/>
      <c r="D6708" s="106"/>
      <c r="E6708" s="52"/>
    </row>
    <row r="6709" spans="1:5" s="103" customFormat="1" ht="13.2" hidden="1" outlineLevel="1" x14ac:dyDescent="0.25">
      <c r="A6709" s="106" t="s">
        <v>13424</v>
      </c>
      <c r="B6709" s="106" t="s">
        <v>13425</v>
      </c>
      <c r="C6709" s="106"/>
      <c r="D6709" s="106"/>
      <c r="E6709" s="52"/>
    </row>
    <row r="6710" spans="1:5" s="103" customFormat="1" ht="13.2" hidden="1" outlineLevel="1" x14ac:dyDescent="0.25">
      <c r="A6710" s="106" t="s">
        <v>13426</v>
      </c>
      <c r="B6710" s="106" t="s">
        <v>13427</v>
      </c>
      <c r="C6710" s="106"/>
      <c r="D6710" s="106"/>
      <c r="E6710" s="52"/>
    </row>
    <row r="6711" spans="1:5" s="103" customFormat="1" ht="13.2" hidden="1" outlineLevel="1" x14ac:dyDescent="0.25">
      <c r="A6711" s="106" t="s">
        <v>13428</v>
      </c>
      <c r="B6711" s="106" t="s">
        <v>13429</v>
      </c>
      <c r="C6711" s="106"/>
      <c r="D6711" s="106"/>
      <c r="E6711" s="52"/>
    </row>
    <row r="6712" spans="1:5" s="103" customFormat="1" ht="13.2" hidden="1" outlineLevel="1" x14ac:dyDescent="0.25">
      <c r="A6712" s="106" t="s">
        <v>13430</v>
      </c>
      <c r="B6712" s="106" t="s">
        <v>13431</v>
      </c>
      <c r="C6712" s="106"/>
      <c r="D6712" s="106"/>
      <c r="E6712" s="52"/>
    </row>
    <row r="6713" spans="1:5" s="103" customFormat="1" ht="13.2" hidden="1" outlineLevel="1" x14ac:dyDescent="0.25">
      <c r="A6713" s="106" t="s">
        <v>13432</v>
      </c>
      <c r="B6713" s="106" t="s">
        <v>13433</v>
      </c>
      <c r="C6713" s="106"/>
      <c r="D6713" s="106"/>
      <c r="E6713" s="52"/>
    </row>
    <row r="6714" spans="1:5" s="103" customFormat="1" ht="13.2" hidden="1" outlineLevel="1" x14ac:dyDescent="0.25">
      <c r="A6714" s="106" t="s">
        <v>13434</v>
      </c>
      <c r="B6714" s="106" t="s">
        <v>13435</v>
      </c>
      <c r="C6714" s="106"/>
      <c r="D6714" s="106"/>
      <c r="E6714" s="52"/>
    </row>
    <row r="6715" spans="1:5" s="103" customFormat="1" ht="13.2" hidden="1" outlineLevel="1" x14ac:dyDescent="0.25">
      <c r="A6715" s="106" t="s">
        <v>13436</v>
      </c>
      <c r="B6715" s="106" t="s">
        <v>13437</v>
      </c>
      <c r="C6715" s="106"/>
      <c r="D6715" s="106"/>
      <c r="E6715" s="52"/>
    </row>
    <row r="6716" spans="1:5" s="103" customFormat="1" ht="13.2" hidden="1" outlineLevel="1" x14ac:dyDescent="0.25">
      <c r="A6716" s="106" t="s">
        <v>13438</v>
      </c>
      <c r="B6716" s="106" t="s">
        <v>13439</v>
      </c>
      <c r="C6716" s="106"/>
      <c r="D6716" s="106"/>
      <c r="E6716" s="52"/>
    </row>
    <row r="6717" spans="1:5" s="103" customFormat="1" ht="13.2" hidden="1" outlineLevel="1" x14ac:dyDescent="0.25">
      <c r="A6717" s="106" t="s">
        <v>13440</v>
      </c>
      <c r="B6717" s="106" t="s">
        <v>13441</v>
      </c>
      <c r="C6717" s="106"/>
      <c r="D6717" s="106"/>
      <c r="E6717" s="52"/>
    </row>
    <row r="6718" spans="1:5" s="103" customFormat="1" ht="13.2" hidden="1" outlineLevel="1" x14ac:dyDescent="0.25">
      <c r="A6718" s="106" t="s">
        <v>13442</v>
      </c>
      <c r="B6718" s="106" t="s">
        <v>13443</v>
      </c>
      <c r="C6718" s="106"/>
      <c r="D6718" s="106"/>
      <c r="E6718" s="52"/>
    </row>
    <row r="6719" spans="1:5" s="103" customFormat="1" ht="13.2" hidden="1" outlineLevel="1" x14ac:dyDescent="0.25">
      <c r="A6719" s="106" t="s">
        <v>13444</v>
      </c>
      <c r="B6719" s="106" t="s">
        <v>13445</v>
      </c>
      <c r="C6719" s="106"/>
      <c r="D6719" s="106"/>
      <c r="E6719" s="52"/>
    </row>
    <row r="6720" spans="1:5" s="103" customFormat="1" ht="13.2" hidden="1" outlineLevel="1" x14ac:dyDescent="0.25">
      <c r="A6720" s="106" t="s">
        <v>13446</v>
      </c>
      <c r="B6720" s="106" t="s">
        <v>13447</v>
      </c>
      <c r="C6720" s="106"/>
      <c r="D6720" s="106"/>
      <c r="E6720" s="52"/>
    </row>
    <row r="6721" spans="1:5" s="103" customFormat="1" ht="13.2" hidden="1" outlineLevel="1" x14ac:dyDescent="0.25">
      <c r="A6721" s="106" t="s">
        <v>13448</v>
      </c>
      <c r="B6721" s="106" t="s">
        <v>13449</v>
      </c>
      <c r="C6721" s="106"/>
      <c r="D6721" s="106"/>
      <c r="E6721" s="52"/>
    </row>
    <row r="6722" spans="1:5" s="103" customFormat="1" ht="13.2" hidden="1" outlineLevel="1" x14ac:dyDescent="0.25">
      <c r="A6722" s="106" t="s">
        <v>13450</v>
      </c>
      <c r="B6722" s="106" t="s">
        <v>13451</v>
      </c>
      <c r="C6722" s="106"/>
      <c r="D6722" s="106"/>
      <c r="E6722" s="52"/>
    </row>
    <row r="6723" spans="1:5" s="103" customFormat="1" ht="13.2" hidden="1" outlineLevel="1" x14ac:dyDescent="0.25">
      <c r="A6723" s="106" t="s">
        <v>13452</v>
      </c>
      <c r="B6723" s="106" t="s">
        <v>13453</v>
      </c>
      <c r="C6723" s="106"/>
      <c r="D6723" s="106"/>
      <c r="E6723" s="52"/>
    </row>
    <row r="6724" spans="1:5" s="103" customFormat="1" ht="13.2" hidden="1" outlineLevel="1" x14ac:dyDescent="0.25">
      <c r="A6724" s="106" t="s">
        <v>13454</v>
      </c>
      <c r="B6724" s="106" t="s">
        <v>13455</v>
      </c>
      <c r="C6724" s="106"/>
      <c r="D6724" s="106"/>
      <c r="E6724" s="52"/>
    </row>
    <row r="6725" spans="1:5" s="103" customFormat="1" ht="13.2" hidden="1" outlineLevel="1" x14ac:dyDescent="0.25">
      <c r="A6725" s="106" t="s">
        <v>13456</v>
      </c>
      <c r="B6725" s="106" t="s">
        <v>13457</v>
      </c>
      <c r="C6725" s="106"/>
      <c r="D6725" s="106"/>
      <c r="E6725" s="52"/>
    </row>
    <row r="6726" spans="1:5" s="103" customFormat="1" ht="13.2" hidden="1" outlineLevel="1" x14ac:dyDescent="0.25">
      <c r="A6726" s="106" t="s">
        <v>13458</v>
      </c>
      <c r="B6726" s="106" t="s">
        <v>13459</v>
      </c>
      <c r="C6726" s="106"/>
      <c r="D6726" s="106"/>
      <c r="E6726" s="52"/>
    </row>
    <row r="6727" spans="1:5" s="103" customFormat="1" ht="13.2" hidden="1" outlineLevel="1" x14ac:dyDescent="0.25">
      <c r="A6727" s="106" t="s">
        <v>13460</v>
      </c>
      <c r="B6727" s="106" t="s">
        <v>13461</v>
      </c>
      <c r="C6727" s="106"/>
      <c r="D6727" s="106"/>
      <c r="E6727" s="52"/>
    </row>
    <row r="6728" spans="1:5" s="103" customFormat="1" ht="13.2" hidden="1" outlineLevel="1" x14ac:dyDescent="0.25">
      <c r="A6728" s="106" t="s">
        <v>13462</v>
      </c>
      <c r="B6728" s="106" t="s">
        <v>13463</v>
      </c>
      <c r="C6728" s="106"/>
      <c r="D6728" s="106"/>
      <c r="E6728" s="52"/>
    </row>
    <row r="6729" spans="1:5" s="103" customFormat="1" ht="13.2" hidden="1" outlineLevel="1" x14ac:dyDescent="0.25">
      <c r="A6729" s="106" t="s">
        <v>13464</v>
      </c>
      <c r="B6729" s="106" t="s">
        <v>13465</v>
      </c>
      <c r="C6729" s="106"/>
      <c r="D6729" s="106"/>
      <c r="E6729" s="52"/>
    </row>
    <row r="6730" spans="1:5" s="103" customFormat="1" ht="13.2" hidden="1" outlineLevel="1" x14ac:dyDescent="0.25">
      <c r="A6730" s="106" t="s">
        <v>13466</v>
      </c>
      <c r="B6730" s="106" t="s">
        <v>13467</v>
      </c>
      <c r="C6730" s="106"/>
      <c r="D6730" s="106"/>
      <c r="E6730" s="52"/>
    </row>
    <row r="6731" spans="1:5" s="103" customFormat="1" ht="13.2" hidden="1" outlineLevel="1" x14ac:dyDescent="0.25">
      <c r="A6731" s="106" t="s">
        <v>13468</v>
      </c>
      <c r="B6731" s="106" t="s">
        <v>13469</v>
      </c>
      <c r="C6731" s="106"/>
      <c r="D6731" s="106"/>
      <c r="E6731" s="52"/>
    </row>
    <row r="6732" spans="1:5" s="103" customFormat="1" ht="13.2" hidden="1" outlineLevel="1" x14ac:dyDescent="0.25">
      <c r="A6732" s="106" t="s">
        <v>13470</v>
      </c>
      <c r="B6732" s="106" t="s">
        <v>13471</v>
      </c>
      <c r="C6732" s="106"/>
      <c r="D6732" s="106"/>
      <c r="E6732" s="52"/>
    </row>
    <row r="6733" spans="1:5" s="103" customFormat="1" ht="13.2" hidden="1" outlineLevel="1" x14ac:dyDescent="0.25">
      <c r="A6733" s="106" t="s">
        <v>13472</v>
      </c>
      <c r="B6733" s="106" t="s">
        <v>13473</v>
      </c>
      <c r="C6733" s="106"/>
      <c r="D6733" s="106"/>
      <c r="E6733" s="52"/>
    </row>
    <row r="6734" spans="1:5" s="103" customFormat="1" ht="13.2" hidden="1" outlineLevel="1" x14ac:dyDescent="0.25">
      <c r="A6734" s="106" t="s">
        <v>13474</v>
      </c>
      <c r="B6734" s="106" t="s">
        <v>13475</v>
      </c>
      <c r="C6734" s="106"/>
      <c r="D6734" s="106"/>
      <c r="E6734" s="52"/>
    </row>
    <row r="6735" spans="1:5" s="103" customFormat="1" ht="13.2" hidden="1" outlineLevel="1" x14ac:dyDescent="0.25">
      <c r="A6735" s="106" t="s">
        <v>13476</v>
      </c>
      <c r="B6735" s="106" t="s">
        <v>13477</v>
      </c>
      <c r="C6735" s="106"/>
      <c r="D6735" s="106"/>
      <c r="E6735" s="52"/>
    </row>
    <row r="6736" spans="1:5" s="103" customFormat="1" ht="13.2" hidden="1" outlineLevel="1" x14ac:dyDescent="0.25">
      <c r="A6736" s="106" t="s">
        <v>13478</v>
      </c>
      <c r="B6736" s="106" t="s">
        <v>13479</v>
      </c>
      <c r="C6736" s="106"/>
      <c r="D6736" s="106"/>
      <c r="E6736" s="52"/>
    </row>
    <row r="6737" spans="1:5" s="103" customFormat="1" ht="13.2" hidden="1" outlineLevel="1" x14ac:dyDescent="0.25">
      <c r="A6737" s="106" t="s">
        <v>13480</v>
      </c>
      <c r="B6737" s="106" t="s">
        <v>13481</v>
      </c>
      <c r="C6737" s="106"/>
      <c r="D6737" s="106"/>
      <c r="E6737" s="52"/>
    </row>
    <row r="6738" spans="1:5" s="103" customFormat="1" ht="13.2" hidden="1" outlineLevel="1" x14ac:dyDescent="0.25">
      <c r="A6738" s="106" t="s">
        <v>13482</v>
      </c>
      <c r="B6738" s="106" t="s">
        <v>13483</v>
      </c>
      <c r="C6738" s="106"/>
      <c r="D6738" s="106"/>
      <c r="E6738" s="52"/>
    </row>
    <row r="6739" spans="1:5" s="103" customFormat="1" ht="13.2" hidden="1" outlineLevel="1" x14ac:dyDescent="0.25">
      <c r="A6739" s="106" t="s">
        <v>13484</v>
      </c>
      <c r="B6739" s="106" t="s">
        <v>13485</v>
      </c>
      <c r="C6739" s="106"/>
      <c r="D6739" s="106"/>
      <c r="E6739" s="52"/>
    </row>
    <row r="6740" spans="1:5" s="103" customFormat="1" ht="13.2" hidden="1" outlineLevel="1" x14ac:dyDescent="0.25">
      <c r="A6740" s="106" t="s">
        <v>13486</v>
      </c>
      <c r="B6740" s="106" t="s">
        <v>13487</v>
      </c>
      <c r="C6740" s="106"/>
      <c r="D6740" s="106"/>
      <c r="E6740" s="52"/>
    </row>
    <row r="6741" spans="1:5" s="103" customFormat="1" ht="13.2" hidden="1" outlineLevel="1" x14ac:dyDescent="0.25">
      <c r="A6741" s="106" t="s">
        <v>13488</v>
      </c>
      <c r="B6741" s="106" t="s">
        <v>13489</v>
      </c>
      <c r="C6741" s="106"/>
      <c r="D6741" s="106"/>
      <c r="E6741" s="52"/>
    </row>
    <row r="6742" spans="1:5" s="103" customFormat="1" ht="13.2" hidden="1" outlineLevel="1" x14ac:dyDescent="0.25">
      <c r="A6742" s="106" t="s">
        <v>13490</v>
      </c>
      <c r="B6742" s="106" t="s">
        <v>13491</v>
      </c>
      <c r="C6742" s="106"/>
      <c r="D6742" s="106"/>
      <c r="E6742" s="52"/>
    </row>
    <row r="6743" spans="1:5" s="103" customFormat="1" ht="13.2" hidden="1" outlineLevel="1" x14ac:dyDescent="0.25">
      <c r="A6743" s="106" t="s">
        <v>13492</v>
      </c>
      <c r="B6743" s="106" t="s">
        <v>13493</v>
      </c>
      <c r="C6743" s="106"/>
      <c r="D6743" s="106"/>
      <c r="E6743" s="52"/>
    </row>
    <row r="6744" spans="1:5" s="103" customFormat="1" ht="13.2" hidden="1" outlineLevel="1" x14ac:dyDescent="0.25">
      <c r="A6744" s="106" t="s">
        <v>13494</v>
      </c>
      <c r="B6744" s="106" t="s">
        <v>13495</v>
      </c>
      <c r="C6744" s="106"/>
      <c r="D6744" s="106"/>
      <c r="E6744" s="52"/>
    </row>
    <row r="6745" spans="1:5" s="103" customFormat="1" ht="13.2" hidden="1" outlineLevel="1" x14ac:dyDescent="0.25">
      <c r="A6745" s="106" t="s">
        <v>13496</v>
      </c>
      <c r="B6745" s="106" t="s">
        <v>13497</v>
      </c>
      <c r="C6745" s="106"/>
      <c r="D6745" s="106"/>
      <c r="E6745" s="52"/>
    </row>
    <row r="6746" spans="1:5" s="103" customFormat="1" ht="13.2" hidden="1" outlineLevel="1" x14ac:dyDescent="0.25">
      <c r="A6746" s="106" t="s">
        <v>13498</v>
      </c>
      <c r="B6746" s="106" t="s">
        <v>5097</v>
      </c>
      <c r="C6746" s="106"/>
      <c r="D6746" s="106"/>
      <c r="E6746" s="52"/>
    </row>
    <row r="6747" spans="1:5" s="103" customFormat="1" ht="13.2" hidden="1" outlineLevel="1" x14ac:dyDescent="0.25">
      <c r="A6747" s="106" t="s">
        <v>13499</v>
      </c>
      <c r="B6747" s="106" t="s">
        <v>13500</v>
      </c>
      <c r="C6747" s="106"/>
      <c r="D6747" s="106"/>
      <c r="E6747" s="52"/>
    </row>
    <row r="6748" spans="1:5" s="103" customFormat="1" ht="13.2" hidden="1" outlineLevel="1" x14ac:dyDescent="0.25">
      <c r="A6748" s="106" t="s">
        <v>13501</v>
      </c>
      <c r="B6748" s="106" t="s">
        <v>13502</v>
      </c>
      <c r="C6748" s="106"/>
      <c r="D6748" s="106"/>
      <c r="E6748" s="52"/>
    </row>
    <row r="6749" spans="1:5" s="103" customFormat="1" ht="13.2" hidden="1" outlineLevel="1" x14ac:dyDescent="0.25">
      <c r="A6749" s="106" t="s">
        <v>13503</v>
      </c>
      <c r="B6749" s="106" t="s">
        <v>13504</v>
      </c>
      <c r="C6749" s="106"/>
      <c r="D6749" s="106"/>
      <c r="E6749" s="52"/>
    </row>
    <row r="6750" spans="1:5" s="103" customFormat="1" ht="13.2" hidden="1" outlineLevel="1" x14ac:dyDescent="0.25">
      <c r="A6750" s="106" t="s">
        <v>13505</v>
      </c>
      <c r="B6750" s="106" t="s">
        <v>13506</v>
      </c>
      <c r="C6750" s="106"/>
      <c r="D6750" s="106"/>
      <c r="E6750" s="52"/>
    </row>
    <row r="6751" spans="1:5" s="103" customFormat="1" ht="13.2" hidden="1" outlineLevel="1" x14ac:dyDescent="0.25">
      <c r="A6751" s="106" t="s">
        <v>13507</v>
      </c>
      <c r="B6751" s="106" t="s">
        <v>13508</v>
      </c>
      <c r="C6751" s="106"/>
      <c r="D6751" s="106"/>
      <c r="E6751" s="52"/>
    </row>
    <row r="6752" spans="1:5" s="103" customFormat="1" ht="13.2" hidden="1" outlineLevel="1" x14ac:dyDescent="0.25">
      <c r="A6752" s="106" t="s">
        <v>13509</v>
      </c>
      <c r="B6752" s="106" t="s">
        <v>13510</v>
      </c>
      <c r="C6752" s="106"/>
      <c r="D6752" s="106"/>
      <c r="E6752" s="52"/>
    </row>
    <row r="6753" spans="1:5" s="103" customFormat="1" ht="13.2" hidden="1" outlineLevel="1" x14ac:dyDescent="0.25">
      <c r="A6753" s="106" t="s">
        <v>13511</v>
      </c>
      <c r="B6753" s="106" t="s">
        <v>13512</v>
      </c>
      <c r="C6753" s="106"/>
      <c r="D6753" s="106"/>
      <c r="E6753" s="52"/>
    </row>
    <row r="6754" spans="1:5" s="103" customFormat="1" ht="13.2" hidden="1" outlineLevel="1" x14ac:dyDescent="0.25">
      <c r="A6754" s="106" t="s">
        <v>13513</v>
      </c>
      <c r="B6754" s="106" t="s">
        <v>13514</v>
      </c>
      <c r="C6754" s="106"/>
      <c r="D6754" s="106"/>
      <c r="E6754" s="52"/>
    </row>
    <row r="6755" spans="1:5" s="103" customFormat="1" ht="13.2" hidden="1" outlineLevel="1" x14ac:dyDescent="0.25">
      <c r="A6755" s="106" t="s">
        <v>13515</v>
      </c>
      <c r="B6755" s="106" t="s">
        <v>13516</v>
      </c>
      <c r="C6755" s="106"/>
      <c r="D6755" s="106"/>
      <c r="E6755" s="52"/>
    </row>
    <row r="6756" spans="1:5" s="103" customFormat="1" ht="13.2" hidden="1" outlineLevel="1" x14ac:dyDescent="0.25">
      <c r="A6756" s="106" t="s">
        <v>13517</v>
      </c>
      <c r="B6756" s="106" t="s">
        <v>13518</v>
      </c>
      <c r="C6756" s="106"/>
      <c r="D6756" s="106"/>
      <c r="E6756" s="52"/>
    </row>
    <row r="6757" spans="1:5" s="103" customFormat="1" ht="13.2" hidden="1" outlineLevel="1" x14ac:dyDescent="0.25">
      <c r="A6757" s="106" t="s">
        <v>13519</v>
      </c>
      <c r="B6757" s="106" t="s">
        <v>13520</v>
      </c>
      <c r="C6757" s="106"/>
      <c r="D6757" s="106"/>
      <c r="E6757" s="52"/>
    </row>
    <row r="6758" spans="1:5" s="103" customFormat="1" ht="13.2" hidden="1" outlineLevel="1" x14ac:dyDescent="0.25">
      <c r="A6758" s="106" t="s">
        <v>13521</v>
      </c>
      <c r="B6758" s="106" t="s">
        <v>13522</v>
      </c>
      <c r="C6758" s="106"/>
      <c r="D6758" s="106"/>
      <c r="E6758" s="52"/>
    </row>
    <row r="6759" spans="1:5" s="103" customFormat="1" ht="13.2" hidden="1" outlineLevel="1" x14ac:dyDescent="0.25">
      <c r="A6759" s="106" t="s">
        <v>13523</v>
      </c>
      <c r="B6759" s="106" t="s">
        <v>13524</v>
      </c>
      <c r="C6759" s="106"/>
      <c r="D6759" s="106"/>
      <c r="E6759" s="52"/>
    </row>
    <row r="6760" spans="1:5" s="103" customFormat="1" ht="13.2" hidden="1" outlineLevel="1" x14ac:dyDescent="0.25">
      <c r="A6760" s="106" t="s">
        <v>13525</v>
      </c>
      <c r="B6760" s="106" t="s">
        <v>13526</v>
      </c>
      <c r="C6760" s="106"/>
      <c r="D6760" s="106"/>
      <c r="E6760" s="52"/>
    </row>
    <row r="6761" spans="1:5" s="103" customFormat="1" ht="13.2" hidden="1" outlineLevel="1" x14ac:dyDescent="0.25">
      <c r="A6761" s="106" t="s">
        <v>13527</v>
      </c>
      <c r="B6761" s="106" t="s">
        <v>13528</v>
      </c>
      <c r="C6761" s="106"/>
      <c r="D6761" s="106"/>
      <c r="E6761" s="52"/>
    </row>
    <row r="6762" spans="1:5" s="103" customFormat="1" ht="13.2" hidden="1" outlineLevel="1" x14ac:dyDescent="0.25">
      <c r="A6762" s="106" t="s">
        <v>13529</v>
      </c>
      <c r="B6762" s="106" t="s">
        <v>13530</v>
      </c>
      <c r="C6762" s="106"/>
      <c r="D6762" s="106"/>
      <c r="E6762" s="52"/>
    </row>
    <row r="6763" spans="1:5" s="103" customFormat="1" ht="13.2" hidden="1" outlineLevel="1" x14ac:dyDescent="0.25">
      <c r="A6763" s="106" t="s">
        <v>13531</v>
      </c>
      <c r="B6763" s="106" t="s">
        <v>13532</v>
      </c>
      <c r="C6763" s="106"/>
      <c r="D6763" s="106"/>
      <c r="E6763" s="52"/>
    </row>
    <row r="6764" spans="1:5" s="103" customFormat="1" ht="13.2" hidden="1" outlineLevel="1" x14ac:dyDescent="0.25">
      <c r="A6764" s="106" t="s">
        <v>13533</v>
      </c>
      <c r="B6764" s="106" t="s">
        <v>13534</v>
      </c>
      <c r="C6764" s="106"/>
      <c r="D6764" s="106"/>
      <c r="E6764" s="52"/>
    </row>
    <row r="6765" spans="1:5" s="103" customFormat="1" ht="13.2" hidden="1" outlineLevel="1" x14ac:dyDescent="0.25">
      <c r="A6765" s="106" t="s">
        <v>13535</v>
      </c>
      <c r="B6765" s="106" t="s">
        <v>13536</v>
      </c>
      <c r="C6765" s="106"/>
      <c r="D6765" s="106"/>
      <c r="E6765" s="52"/>
    </row>
    <row r="6766" spans="1:5" s="103" customFormat="1" ht="13.2" hidden="1" outlineLevel="1" x14ac:dyDescent="0.25">
      <c r="A6766" s="106" t="s">
        <v>13537</v>
      </c>
      <c r="B6766" s="106" t="s">
        <v>13538</v>
      </c>
      <c r="C6766" s="106"/>
      <c r="D6766" s="106"/>
      <c r="E6766" s="52"/>
    </row>
    <row r="6767" spans="1:5" s="103" customFormat="1" ht="13.2" hidden="1" outlineLevel="1" x14ac:dyDescent="0.25">
      <c r="A6767" s="106" t="s">
        <v>13539</v>
      </c>
      <c r="B6767" s="106" t="s">
        <v>13540</v>
      </c>
      <c r="C6767" s="106"/>
      <c r="D6767" s="106"/>
      <c r="E6767" s="52"/>
    </row>
    <row r="6768" spans="1:5" s="103" customFormat="1" ht="13.2" hidden="1" outlineLevel="1" x14ac:dyDescent="0.25">
      <c r="A6768" s="106" t="s">
        <v>13541</v>
      </c>
      <c r="B6768" s="106" t="s">
        <v>13542</v>
      </c>
      <c r="C6768" s="106"/>
      <c r="D6768" s="106"/>
      <c r="E6768" s="52"/>
    </row>
    <row r="6769" spans="1:5" s="103" customFormat="1" ht="13.2" hidden="1" outlineLevel="1" x14ac:dyDescent="0.25">
      <c r="A6769" s="106" t="s">
        <v>13543</v>
      </c>
      <c r="B6769" s="106" t="s">
        <v>13544</v>
      </c>
      <c r="C6769" s="106"/>
      <c r="D6769" s="106"/>
      <c r="E6769" s="52"/>
    </row>
    <row r="6770" spans="1:5" s="103" customFormat="1" ht="13.2" hidden="1" outlineLevel="1" x14ac:dyDescent="0.25">
      <c r="A6770" s="106" t="s">
        <v>13545</v>
      </c>
      <c r="B6770" s="106" t="s">
        <v>13546</v>
      </c>
      <c r="C6770" s="106"/>
      <c r="D6770" s="106"/>
      <c r="E6770" s="52"/>
    </row>
    <row r="6771" spans="1:5" s="103" customFormat="1" ht="13.2" hidden="1" outlineLevel="1" x14ac:dyDescent="0.25">
      <c r="A6771" s="106" t="s">
        <v>13547</v>
      </c>
      <c r="B6771" s="106" t="s">
        <v>13548</v>
      </c>
      <c r="C6771" s="106"/>
      <c r="D6771" s="106"/>
      <c r="E6771" s="52"/>
    </row>
    <row r="6772" spans="1:5" s="103" customFormat="1" ht="13.2" hidden="1" outlineLevel="1" x14ac:dyDescent="0.25">
      <c r="A6772" s="106" t="s">
        <v>13549</v>
      </c>
      <c r="B6772" s="106" t="s">
        <v>13550</v>
      </c>
      <c r="C6772" s="106"/>
      <c r="D6772" s="106"/>
      <c r="E6772" s="52"/>
    </row>
    <row r="6773" spans="1:5" s="103" customFormat="1" ht="13.2" hidden="1" outlineLevel="1" x14ac:dyDescent="0.25">
      <c r="A6773" s="106" t="s">
        <v>13551</v>
      </c>
      <c r="B6773" s="106" t="s">
        <v>13552</v>
      </c>
      <c r="C6773" s="106"/>
      <c r="D6773" s="106"/>
      <c r="E6773" s="52"/>
    </row>
    <row r="6774" spans="1:5" s="103" customFormat="1" ht="13.2" hidden="1" outlineLevel="1" x14ac:dyDescent="0.25">
      <c r="A6774" s="106" t="s">
        <v>13553</v>
      </c>
      <c r="B6774" s="106" t="s">
        <v>13554</v>
      </c>
      <c r="C6774" s="106"/>
      <c r="D6774" s="106"/>
      <c r="E6774" s="52"/>
    </row>
    <row r="6775" spans="1:5" s="103" customFormat="1" ht="13.2" hidden="1" outlineLevel="1" x14ac:dyDescent="0.25">
      <c r="A6775" s="106" t="s">
        <v>13555</v>
      </c>
      <c r="B6775" s="106" t="s">
        <v>13556</v>
      </c>
      <c r="C6775" s="106"/>
      <c r="D6775" s="106"/>
      <c r="E6775" s="52"/>
    </row>
    <row r="6776" spans="1:5" s="103" customFormat="1" ht="13.2" hidden="1" outlineLevel="1" x14ac:dyDescent="0.25">
      <c r="A6776" s="106" t="s">
        <v>13557</v>
      </c>
      <c r="B6776" s="106" t="s">
        <v>13558</v>
      </c>
      <c r="C6776" s="106"/>
      <c r="D6776" s="106"/>
      <c r="E6776" s="52"/>
    </row>
    <row r="6777" spans="1:5" s="103" customFormat="1" ht="26.4" collapsed="1" x14ac:dyDescent="0.25">
      <c r="A6777" s="104" t="s">
        <v>13559</v>
      </c>
      <c r="B6777" s="107" t="s">
        <v>13560</v>
      </c>
      <c r="C6777" s="105"/>
      <c r="D6777" s="105"/>
      <c r="E6777" s="51"/>
    </row>
    <row r="6778" spans="1:5" s="103" customFormat="1" ht="13.2" hidden="1" outlineLevel="1" x14ac:dyDescent="0.25">
      <c r="A6778" s="106" t="s">
        <v>13561</v>
      </c>
      <c r="B6778" s="106" t="s">
        <v>13562</v>
      </c>
      <c r="C6778" s="106"/>
      <c r="D6778" s="106"/>
      <c r="E6778" s="52"/>
    </row>
    <row r="6779" spans="1:5" s="103" customFormat="1" ht="13.2" hidden="1" outlineLevel="1" x14ac:dyDescent="0.25">
      <c r="A6779" s="106" t="s">
        <v>13563</v>
      </c>
      <c r="B6779" s="106" t="s">
        <v>13564</v>
      </c>
      <c r="C6779" s="106"/>
      <c r="D6779" s="106"/>
      <c r="E6779" s="52"/>
    </row>
    <row r="6780" spans="1:5" s="103" customFormat="1" ht="13.2" hidden="1" outlineLevel="1" x14ac:dyDescent="0.25">
      <c r="A6780" s="106" t="s">
        <v>13565</v>
      </c>
      <c r="B6780" s="106" t="s">
        <v>13566</v>
      </c>
      <c r="C6780" s="106"/>
      <c r="D6780" s="106"/>
      <c r="E6780" s="52"/>
    </row>
    <row r="6781" spans="1:5" s="103" customFormat="1" ht="13.2" hidden="1" outlineLevel="1" x14ac:dyDescent="0.25">
      <c r="A6781" s="106" t="s">
        <v>13567</v>
      </c>
      <c r="B6781" s="106" t="s">
        <v>13568</v>
      </c>
      <c r="C6781" s="106"/>
      <c r="D6781" s="106"/>
      <c r="E6781" s="52"/>
    </row>
    <row r="6782" spans="1:5" s="103" customFormat="1" ht="13.2" hidden="1" outlineLevel="1" x14ac:dyDescent="0.25">
      <c r="A6782" s="106" t="s">
        <v>13569</v>
      </c>
      <c r="B6782" s="106" t="s">
        <v>13570</v>
      </c>
      <c r="C6782" s="106"/>
      <c r="D6782" s="106"/>
      <c r="E6782" s="52"/>
    </row>
    <row r="6783" spans="1:5" s="103" customFormat="1" ht="13.2" hidden="1" outlineLevel="1" x14ac:dyDescent="0.25">
      <c r="A6783" s="106" t="s">
        <v>13571</v>
      </c>
      <c r="B6783" s="106" t="s">
        <v>13572</v>
      </c>
      <c r="C6783" s="106"/>
      <c r="D6783" s="106"/>
      <c r="E6783" s="52"/>
    </row>
    <row r="6784" spans="1:5" s="103" customFormat="1" ht="13.2" hidden="1" outlineLevel="1" x14ac:dyDescent="0.25">
      <c r="A6784" s="106" t="s">
        <v>13573</v>
      </c>
      <c r="B6784" s="106" t="s">
        <v>13574</v>
      </c>
      <c r="C6784" s="106"/>
      <c r="D6784" s="106"/>
      <c r="E6784" s="52"/>
    </row>
    <row r="6785" spans="1:5" s="103" customFormat="1" ht="13.2" hidden="1" outlineLevel="1" x14ac:dyDescent="0.25">
      <c r="A6785" s="106" t="s">
        <v>13575</v>
      </c>
      <c r="B6785" s="106" t="s">
        <v>13576</v>
      </c>
      <c r="C6785" s="106"/>
      <c r="D6785" s="106"/>
      <c r="E6785" s="52"/>
    </row>
    <row r="6786" spans="1:5" s="103" customFormat="1" ht="13.2" hidden="1" outlineLevel="1" x14ac:dyDescent="0.25">
      <c r="A6786" s="106" t="s">
        <v>13577</v>
      </c>
      <c r="B6786" s="106" t="s">
        <v>13578</v>
      </c>
      <c r="C6786" s="106"/>
      <c r="D6786" s="106"/>
      <c r="E6786" s="52"/>
    </row>
    <row r="6787" spans="1:5" s="103" customFormat="1" ht="13.2" hidden="1" outlineLevel="1" x14ac:dyDescent="0.25">
      <c r="A6787" s="106" t="s">
        <v>13579</v>
      </c>
      <c r="B6787" s="106" t="s">
        <v>13570</v>
      </c>
      <c r="C6787" s="106"/>
      <c r="D6787" s="106"/>
      <c r="E6787" s="52"/>
    </row>
    <row r="6788" spans="1:5" s="103" customFormat="1" ht="13.2" hidden="1" outlineLevel="1" x14ac:dyDescent="0.25">
      <c r="A6788" s="106" t="s">
        <v>13580</v>
      </c>
      <c r="B6788" s="106" t="s">
        <v>13581</v>
      </c>
      <c r="C6788" s="106"/>
      <c r="D6788" s="106"/>
      <c r="E6788" s="52"/>
    </row>
    <row r="6789" spans="1:5" s="103" customFormat="1" ht="13.2" hidden="1" outlineLevel="1" x14ac:dyDescent="0.25">
      <c r="A6789" s="106" t="s">
        <v>13582</v>
      </c>
      <c r="B6789" s="106" t="s">
        <v>13583</v>
      </c>
      <c r="C6789" s="106"/>
      <c r="D6789" s="106"/>
      <c r="E6789" s="52"/>
    </row>
    <row r="6790" spans="1:5" s="103" customFormat="1" ht="13.2" hidden="1" outlineLevel="1" x14ac:dyDescent="0.25">
      <c r="A6790" s="106" t="s">
        <v>13584</v>
      </c>
      <c r="B6790" s="106" t="s">
        <v>13585</v>
      </c>
      <c r="C6790" s="106"/>
      <c r="D6790" s="106"/>
      <c r="E6790" s="52"/>
    </row>
    <row r="6791" spans="1:5" s="103" customFormat="1" ht="13.2" hidden="1" outlineLevel="1" x14ac:dyDescent="0.25">
      <c r="A6791" s="106" t="s">
        <v>13586</v>
      </c>
      <c r="B6791" s="106" t="s">
        <v>13587</v>
      </c>
      <c r="C6791" s="106"/>
      <c r="D6791" s="106"/>
      <c r="E6791" s="52"/>
    </row>
    <row r="6792" spans="1:5" s="103" customFormat="1" ht="13.2" hidden="1" outlineLevel="1" x14ac:dyDescent="0.25">
      <c r="A6792" s="106" t="s">
        <v>13588</v>
      </c>
      <c r="B6792" s="106" t="s">
        <v>13570</v>
      </c>
      <c r="C6792" s="106"/>
      <c r="D6792" s="106"/>
      <c r="E6792" s="52"/>
    </row>
    <row r="6793" spans="1:5" s="103" customFormat="1" ht="13.2" hidden="1" outlineLevel="1" x14ac:dyDescent="0.25">
      <c r="A6793" s="106" t="s">
        <v>13589</v>
      </c>
      <c r="B6793" s="106" t="s">
        <v>13590</v>
      </c>
      <c r="C6793" s="106"/>
      <c r="D6793" s="106"/>
      <c r="E6793" s="52"/>
    </row>
    <row r="6794" spans="1:5" s="103" customFormat="1" ht="13.2" hidden="1" outlineLevel="1" x14ac:dyDescent="0.25">
      <c r="A6794" s="106" t="s">
        <v>13591</v>
      </c>
      <c r="B6794" s="106" t="s">
        <v>13592</v>
      </c>
      <c r="C6794" s="106"/>
      <c r="D6794" s="106"/>
      <c r="E6794" s="52"/>
    </row>
    <row r="6795" spans="1:5" s="103" customFormat="1" ht="13.2" hidden="1" outlineLevel="1" x14ac:dyDescent="0.25">
      <c r="A6795" s="106" t="s">
        <v>13593</v>
      </c>
      <c r="B6795" s="106" t="s">
        <v>13594</v>
      </c>
      <c r="C6795" s="106"/>
      <c r="D6795" s="106"/>
      <c r="E6795" s="52"/>
    </row>
    <row r="6796" spans="1:5" s="103" customFormat="1" ht="13.2" hidden="1" outlineLevel="1" x14ac:dyDescent="0.25">
      <c r="A6796" s="106" t="s">
        <v>13595</v>
      </c>
      <c r="B6796" s="106" t="s">
        <v>13596</v>
      </c>
      <c r="C6796" s="106"/>
      <c r="D6796" s="106"/>
      <c r="E6796" s="52"/>
    </row>
    <row r="6797" spans="1:5" s="103" customFormat="1" ht="13.2" hidden="1" outlineLevel="1" x14ac:dyDescent="0.25">
      <c r="A6797" s="106" t="s">
        <v>13597</v>
      </c>
      <c r="B6797" s="106" t="s">
        <v>13570</v>
      </c>
      <c r="C6797" s="106"/>
      <c r="D6797" s="106"/>
      <c r="E6797" s="52"/>
    </row>
    <row r="6798" spans="1:5" s="103" customFormat="1" ht="13.2" hidden="1" outlineLevel="1" x14ac:dyDescent="0.25">
      <c r="A6798" s="106" t="s">
        <v>13598</v>
      </c>
      <c r="B6798" s="106" t="s">
        <v>13599</v>
      </c>
      <c r="C6798" s="106"/>
      <c r="D6798" s="106"/>
      <c r="E6798" s="52"/>
    </row>
    <row r="6799" spans="1:5" s="103" customFormat="1" ht="13.2" hidden="1" outlineLevel="1" x14ac:dyDescent="0.25">
      <c r="A6799" s="106" t="s">
        <v>13600</v>
      </c>
      <c r="B6799" s="106" t="s">
        <v>13601</v>
      </c>
      <c r="C6799" s="106"/>
      <c r="D6799" s="106"/>
      <c r="E6799" s="52"/>
    </row>
    <row r="6800" spans="1:5" s="103" customFormat="1" ht="13.2" hidden="1" outlineLevel="1" x14ac:dyDescent="0.25">
      <c r="A6800" s="106" t="s">
        <v>13602</v>
      </c>
      <c r="B6800" s="106" t="s">
        <v>13603</v>
      </c>
      <c r="C6800" s="106"/>
      <c r="D6800" s="106"/>
      <c r="E6800" s="52"/>
    </row>
    <row r="6801" spans="1:5" s="103" customFormat="1" ht="13.2" hidden="1" outlineLevel="1" x14ac:dyDescent="0.25">
      <c r="A6801" s="106" t="s">
        <v>13604</v>
      </c>
      <c r="B6801" s="106" t="s">
        <v>13605</v>
      </c>
      <c r="C6801" s="106"/>
      <c r="D6801" s="106"/>
      <c r="E6801" s="52"/>
    </row>
    <row r="6802" spans="1:5" s="103" customFormat="1" ht="13.2" hidden="1" outlineLevel="1" x14ac:dyDescent="0.25">
      <c r="A6802" s="106" t="s">
        <v>13606</v>
      </c>
      <c r="B6802" s="106" t="s">
        <v>13607</v>
      </c>
      <c r="C6802" s="106"/>
      <c r="D6802" s="106"/>
      <c r="E6802" s="52"/>
    </row>
    <row r="6803" spans="1:5" s="103" customFormat="1" ht="13.2" hidden="1" outlineLevel="1" x14ac:dyDescent="0.25">
      <c r="A6803" s="106" t="s">
        <v>13608</v>
      </c>
      <c r="B6803" s="106" t="s">
        <v>13609</v>
      </c>
      <c r="C6803" s="106"/>
      <c r="D6803" s="106"/>
      <c r="E6803" s="52"/>
    </row>
    <row r="6804" spans="1:5" s="103" customFormat="1" ht="13.2" hidden="1" outlineLevel="1" x14ac:dyDescent="0.25">
      <c r="A6804" s="106" t="s">
        <v>13610</v>
      </c>
      <c r="B6804" s="106" t="s">
        <v>13611</v>
      </c>
      <c r="C6804" s="106"/>
      <c r="D6804" s="106"/>
      <c r="E6804" s="52"/>
    </row>
    <row r="6805" spans="1:5" s="103" customFormat="1" ht="13.2" hidden="1" outlineLevel="1" x14ac:dyDescent="0.25">
      <c r="A6805" s="106" t="s">
        <v>13612</v>
      </c>
      <c r="B6805" s="106" t="s">
        <v>13613</v>
      </c>
      <c r="C6805" s="106"/>
      <c r="D6805" s="106"/>
      <c r="E6805" s="52"/>
    </row>
    <row r="6806" spans="1:5" s="103" customFormat="1" ht="13.2" hidden="1" outlineLevel="1" x14ac:dyDescent="0.25">
      <c r="A6806" s="106" t="s">
        <v>13614</v>
      </c>
      <c r="B6806" s="106" t="s">
        <v>13615</v>
      </c>
      <c r="C6806" s="106"/>
      <c r="D6806" s="106"/>
      <c r="E6806" s="52"/>
    </row>
    <row r="6807" spans="1:5" s="103" customFormat="1" ht="13.2" hidden="1" outlineLevel="1" x14ac:dyDescent="0.25">
      <c r="A6807" s="106" t="s">
        <v>13616</v>
      </c>
      <c r="B6807" s="106" t="s">
        <v>13617</v>
      </c>
      <c r="C6807" s="106"/>
      <c r="D6807" s="106"/>
      <c r="E6807" s="52"/>
    </row>
    <row r="6808" spans="1:5" s="103" customFormat="1" ht="13.2" hidden="1" outlineLevel="1" x14ac:dyDescent="0.25">
      <c r="A6808" s="106" t="s">
        <v>13618</v>
      </c>
      <c r="B6808" s="106" t="s">
        <v>13619</v>
      </c>
      <c r="C6808" s="106"/>
      <c r="D6808" s="106"/>
      <c r="E6808" s="52"/>
    </row>
    <row r="6809" spans="1:5" s="103" customFormat="1" ht="13.2" hidden="1" outlineLevel="1" x14ac:dyDescent="0.25">
      <c r="A6809" s="106" t="s">
        <v>13620</v>
      </c>
      <c r="B6809" s="106" t="s">
        <v>13621</v>
      </c>
      <c r="C6809" s="106"/>
      <c r="D6809" s="106"/>
      <c r="E6809" s="52"/>
    </row>
    <row r="6810" spans="1:5" s="103" customFormat="1" ht="13.2" hidden="1" outlineLevel="1" x14ac:dyDescent="0.25">
      <c r="A6810" s="106" t="s">
        <v>13622</v>
      </c>
      <c r="B6810" s="106" t="s">
        <v>13623</v>
      </c>
      <c r="C6810" s="106"/>
      <c r="D6810" s="106"/>
      <c r="E6810" s="52"/>
    </row>
    <row r="6811" spans="1:5" s="103" customFormat="1" ht="13.2" hidden="1" outlineLevel="1" x14ac:dyDescent="0.25">
      <c r="A6811" s="106" t="s">
        <v>13624</v>
      </c>
      <c r="B6811" s="106" t="s">
        <v>13625</v>
      </c>
      <c r="C6811" s="106"/>
      <c r="D6811" s="106"/>
      <c r="E6811" s="52"/>
    </row>
    <row r="6812" spans="1:5" s="103" customFormat="1" ht="13.2" hidden="1" outlineLevel="1" x14ac:dyDescent="0.25">
      <c r="A6812" s="106" t="s">
        <v>13626</v>
      </c>
      <c r="B6812" s="106" t="s">
        <v>13627</v>
      </c>
      <c r="C6812" s="106"/>
      <c r="D6812" s="106"/>
      <c r="E6812" s="52"/>
    </row>
    <row r="6813" spans="1:5" s="103" customFormat="1" ht="13.2" hidden="1" outlineLevel="1" x14ac:dyDescent="0.25">
      <c r="A6813" s="106" t="s">
        <v>13628</v>
      </c>
      <c r="B6813" s="106" t="s">
        <v>13629</v>
      </c>
      <c r="C6813" s="106"/>
      <c r="D6813" s="106"/>
      <c r="E6813" s="52"/>
    </row>
    <row r="6814" spans="1:5" s="103" customFormat="1" ht="13.2" hidden="1" outlineLevel="1" x14ac:dyDescent="0.25">
      <c r="A6814" s="106" t="s">
        <v>13630</v>
      </c>
      <c r="B6814" s="106" t="s">
        <v>13631</v>
      </c>
      <c r="C6814" s="106"/>
      <c r="D6814" s="106"/>
      <c r="E6814" s="52"/>
    </row>
    <row r="6815" spans="1:5" s="103" customFormat="1" ht="13.2" hidden="1" outlineLevel="1" x14ac:dyDescent="0.25">
      <c r="A6815" s="106" t="s">
        <v>13632</v>
      </c>
      <c r="B6815" s="106" t="s">
        <v>13633</v>
      </c>
      <c r="C6815" s="106"/>
      <c r="D6815" s="106"/>
      <c r="E6815" s="52"/>
    </row>
    <row r="6816" spans="1:5" s="103" customFormat="1" ht="13.2" hidden="1" outlineLevel="1" x14ac:dyDescent="0.25">
      <c r="A6816" s="106" t="s">
        <v>13634</v>
      </c>
      <c r="B6816" s="106" t="s">
        <v>13635</v>
      </c>
      <c r="C6816" s="106"/>
      <c r="D6816" s="106"/>
      <c r="E6816" s="52"/>
    </row>
    <row r="6817" spans="1:5" s="103" customFormat="1" ht="13.2" hidden="1" outlineLevel="1" x14ac:dyDescent="0.25">
      <c r="A6817" s="106" t="s">
        <v>13636</v>
      </c>
      <c r="B6817" s="106" t="s">
        <v>13637</v>
      </c>
      <c r="C6817" s="106"/>
      <c r="D6817" s="106"/>
      <c r="E6817" s="52"/>
    </row>
    <row r="6818" spans="1:5" s="103" customFormat="1" ht="13.2" hidden="1" outlineLevel="1" x14ac:dyDescent="0.25">
      <c r="A6818" s="106" t="s">
        <v>13638</v>
      </c>
      <c r="B6818" s="106" t="s">
        <v>13639</v>
      </c>
      <c r="C6818" s="106"/>
      <c r="D6818" s="106"/>
      <c r="E6818" s="52"/>
    </row>
    <row r="6819" spans="1:5" s="103" customFormat="1" ht="13.2" hidden="1" outlineLevel="1" x14ac:dyDescent="0.25">
      <c r="A6819" s="106" t="s">
        <v>13640</v>
      </c>
      <c r="B6819" s="106" t="s">
        <v>13641</v>
      </c>
      <c r="C6819" s="106"/>
      <c r="D6819" s="106"/>
      <c r="E6819" s="52"/>
    </row>
    <row r="6820" spans="1:5" s="103" customFormat="1" ht="13.2" hidden="1" outlineLevel="1" x14ac:dyDescent="0.25">
      <c r="A6820" s="106" t="s">
        <v>13642</v>
      </c>
      <c r="B6820" s="106" t="s">
        <v>13643</v>
      </c>
      <c r="C6820" s="106"/>
      <c r="D6820" s="106"/>
      <c r="E6820" s="52"/>
    </row>
    <row r="6821" spans="1:5" s="103" customFormat="1" ht="13.2" hidden="1" outlineLevel="1" x14ac:dyDescent="0.25">
      <c r="A6821" s="106" t="s">
        <v>13644</v>
      </c>
      <c r="B6821" s="106" t="s">
        <v>13645</v>
      </c>
      <c r="C6821" s="106"/>
      <c r="D6821" s="106"/>
      <c r="E6821" s="52"/>
    </row>
    <row r="6822" spans="1:5" s="103" customFormat="1" ht="13.2" hidden="1" outlineLevel="1" x14ac:dyDescent="0.25">
      <c r="A6822" s="106" t="s">
        <v>13646</v>
      </c>
      <c r="B6822" s="106" t="s">
        <v>13647</v>
      </c>
      <c r="C6822" s="106"/>
      <c r="D6822" s="106"/>
      <c r="E6822" s="52"/>
    </row>
    <row r="6823" spans="1:5" s="103" customFormat="1" ht="13.2" hidden="1" outlineLevel="1" x14ac:dyDescent="0.25">
      <c r="A6823" s="106" t="s">
        <v>13648</v>
      </c>
      <c r="B6823" s="106" t="s">
        <v>13649</v>
      </c>
      <c r="C6823" s="106"/>
      <c r="D6823" s="106"/>
      <c r="E6823" s="52"/>
    </row>
    <row r="6824" spans="1:5" s="103" customFormat="1" ht="13.2" hidden="1" outlineLevel="1" x14ac:dyDescent="0.25">
      <c r="A6824" s="106" t="s">
        <v>13650</v>
      </c>
      <c r="B6824" s="106" t="s">
        <v>13651</v>
      </c>
      <c r="C6824" s="106"/>
      <c r="D6824" s="106"/>
      <c r="E6824" s="52"/>
    </row>
    <row r="6825" spans="1:5" s="103" customFormat="1" ht="13.2" hidden="1" outlineLevel="1" x14ac:dyDescent="0.25">
      <c r="A6825" s="106" t="s">
        <v>13652</v>
      </c>
      <c r="B6825" s="106" t="s">
        <v>13653</v>
      </c>
      <c r="C6825" s="106"/>
      <c r="D6825" s="106"/>
      <c r="E6825" s="52"/>
    </row>
    <row r="6826" spans="1:5" s="103" customFormat="1" ht="13.2" hidden="1" outlineLevel="1" x14ac:dyDescent="0.25">
      <c r="A6826" s="106" t="s">
        <v>13654</v>
      </c>
      <c r="B6826" s="106" t="s">
        <v>13655</v>
      </c>
      <c r="C6826" s="106"/>
      <c r="D6826" s="106"/>
      <c r="E6826" s="52"/>
    </row>
    <row r="6827" spans="1:5" s="103" customFormat="1" ht="13.2" hidden="1" outlineLevel="1" x14ac:dyDescent="0.25">
      <c r="A6827" s="106" t="s">
        <v>13656</v>
      </c>
      <c r="B6827" s="106" t="s">
        <v>13657</v>
      </c>
      <c r="C6827" s="106"/>
      <c r="D6827" s="106"/>
      <c r="E6827" s="52"/>
    </row>
    <row r="6828" spans="1:5" s="103" customFormat="1" ht="13.2" hidden="1" outlineLevel="1" x14ac:dyDescent="0.25">
      <c r="A6828" s="106" t="s">
        <v>13658</v>
      </c>
      <c r="B6828" s="106" t="s">
        <v>13659</v>
      </c>
      <c r="C6828" s="106"/>
      <c r="D6828" s="106"/>
      <c r="E6828" s="52"/>
    </row>
    <row r="6829" spans="1:5" s="103" customFormat="1" ht="13.2" hidden="1" outlineLevel="1" x14ac:dyDescent="0.25">
      <c r="A6829" s="106" t="s">
        <v>13660</v>
      </c>
      <c r="B6829" s="106" t="s">
        <v>13661</v>
      </c>
      <c r="C6829" s="106"/>
      <c r="D6829" s="106"/>
      <c r="E6829" s="52"/>
    </row>
    <row r="6830" spans="1:5" s="103" customFormat="1" ht="13.2" hidden="1" outlineLevel="1" x14ac:dyDescent="0.25">
      <c r="A6830" s="106" t="s">
        <v>13662</v>
      </c>
      <c r="B6830" s="106" t="s">
        <v>13663</v>
      </c>
      <c r="C6830" s="106"/>
      <c r="D6830" s="106"/>
      <c r="E6830" s="52"/>
    </row>
    <row r="6831" spans="1:5" s="103" customFormat="1" ht="13.2" hidden="1" outlineLevel="1" x14ac:dyDescent="0.25">
      <c r="A6831" s="106" t="s">
        <v>13664</v>
      </c>
      <c r="B6831" s="106" t="s">
        <v>13665</v>
      </c>
      <c r="C6831" s="106"/>
      <c r="D6831" s="106"/>
      <c r="E6831" s="52"/>
    </row>
    <row r="6832" spans="1:5" s="103" customFormat="1" ht="13.2" hidden="1" outlineLevel="1" x14ac:dyDescent="0.25">
      <c r="A6832" s="106" t="s">
        <v>13666</v>
      </c>
      <c r="B6832" s="106" t="s">
        <v>13667</v>
      </c>
      <c r="C6832" s="106"/>
      <c r="D6832" s="106"/>
      <c r="E6832" s="52"/>
    </row>
    <row r="6833" spans="1:5" s="103" customFormat="1" ht="13.2" hidden="1" outlineLevel="1" x14ac:dyDescent="0.25">
      <c r="A6833" s="106" t="s">
        <v>13668</v>
      </c>
      <c r="B6833" s="106" t="s">
        <v>13669</v>
      </c>
      <c r="C6833" s="106"/>
      <c r="D6833" s="106"/>
      <c r="E6833" s="52"/>
    </row>
    <row r="6834" spans="1:5" s="103" customFormat="1" ht="13.2" hidden="1" outlineLevel="1" x14ac:dyDescent="0.25">
      <c r="A6834" s="106" t="s">
        <v>13670</v>
      </c>
      <c r="B6834" s="106" t="s">
        <v>13671</v>
      </c>
      <c r="C6834" s="106"/>
      <c r="D6834" s="106"/>
      <c r="E6834" s="52"/>
    </row>
    <row r="6835" spans="1:5" s="103" customFormat="1" ht="13.2" hidden="1" outlineLevel="1" x14ac:dyDescent="0.25">
      <c r="A6835" s="106" t="s">
        <v>13672</v>
      </c>
      <c r="B6835" s="106" t="s">
        <v>13673</v>
      </c>
      <c r="C6835" s="106"/>
      <c r="D6835" s="106"/>
      <c r="E6835" s="52"/>
    </row>
    <row r="6836" spans="1:5" s="103" customFormat="1" ht="13.2" hidden="1" outlineLevel="1" x14ac:dyDescent="0.25">
      <c r="A6836" s="106" t="s">
        <v>13674</v>
      </c>
      <c r="B6836" s="106" t="s">
        <v>13675</v>
      </c>
      <c r="C6836" s="106"/>
      <c r="D6836" s="106"/>
      <c r="E6836" s="52"/>
    </row>
    <row r="6837" spans="1:5" s="103" customFormat="1" ht="13.2" hidden="1" outlineLevel="1" x14ac:dyDescent="0.25">
      <c r="A6837" s="106" t="s">
        <v>13676</v>
      </c>
      <c r="B6837" s="106" t="s">
        <v>13677</v>
      </c>
      <c r="C6837" s="106"/>
      <c r="D6837" s="106"/>
      <c r="E6837" s="52"/>
    </row>
    <row r="6838" spans="1:5" s="103" customFormat="1" ht="13.2" hidden="1" outlineLevel="1" x14ac:dyDescent="0.25">
      <c r="A6838" s="106" t="s">
        <v>13678</v>
      </c>
      <c r="B6838" s="106" t="s">
        <v>13679</v>
      </c>
      <c r="C6838" s="106"/>
      <c r="D6838" s="106"/>
      <c r="E6838" s="52"/>
    </row>
    <row r="6839" spans="1:5" s="103" customFormat="1" ht="13.2" hidden="1" outlineLevel="1" x14ac:dyDescent="0.25">
      <c r="A6839" s="106" t="s">
        <v>13680</v>
      </c>
      <c r="B6839" s="106" t="s">
        <v>13681</v>
      </c>
      <c r="C6839" s="106"/>
      <c r="D6839" s="106"/>
      <c r="E6839" s="52"/>
    </row>
    <row r="6840" spans="1:5" s="103" customFormat="1" ht="13.2" hidden="1" outlineLevel="1" x14ac:dyDescent="0.25">
      <c r="A6840" s="106" t="s">
        <v>13682</v>
      </c>
      <c r="B6840" s="106" t="s">
        <v>13683</v>
      </c>
      <c r="C6840" s="106"/>
      <c r="D6840" s="106"/>
      <c r="E6840" s="52"/>
    </row>
    <row r="6841" spans="1:5" s="103" customFormat="1" ht="13.2" hidden="1" outlineLevel="1" x14ac:dyDescent="0.25">
      <c r="A6841" s="106" t="s">
        <v>13684</v>
      </c>
      <c r="B6841" s="106" t="s">
        <v>13685</v>
      </c>
      <c r="C6841" s="106"/>
      <c r="D6841" s="106"/>
      <c r="E6841" s="52"/>
    </row>
    <row r="6842" spans="1:5" s="103" customFormat="1" ht="13.2" hidden="1" outlineLevel="1" x14ac:dyDescent="0.25">
      <c r="A6842" s="106" t="s">
        <v>13686</v>
      </c>
      <c r="B6842" s="106" t="s">
        <v>13687</v>
      </c>
      <c r="C6842" s="106"/>
      <c r="D6842" s="106"/>
      <c r="E6842" s="52"/>
    </row>
    <row r="6843" spans="1:5" s="103" customFormat="1" ht="13.2" hidden="1" outlineLevel="1" x14ac:dyDescent="0.25">
      <c r="A6843" s="106" t="s">
        <v>13688</v>
      </c>
      <c r="B6843" s="106" t="s">
        <v>13689</v>
      </c>
      <c r="C6843" s="106"/>
      <c r="D6843" s="106"/>
      <c r="E6843" s="52"/>
    </row>
    <row r="6844" spans="1:5" s="103" customFormat="1" ht="13.2" hidden="1" outlineLevel="1" x14ac:dyDescent="0.25">
      <c r="A6844" s="106" t="s">
        <v>13690</v>
      </c>
      <c r="B6844" s="106" t="s">
        <v>13691</v>
      </c>
      <c r="C6844" s="106"/>
      <c r="D6844" s="106"/>
      <c r="E6844" s="52"/>
    </row>
    <row r="6845" spans="1:5" s="103" customFormat="1" ht="13.2" hidden="1" outlineLevel="1" x14ac:dyDescent="0.25">
      <c r="A6845" s="106" t="s">
        <v>13692</v>
      </c>
      <c r="B6845" s="106" t="s">
        <v>13693</v>
      </c>
      <c r="C6845" s="106"/>
      <c r="D6845" s="106"/>
      <c r="E6845" s="52"/>
    </row>
    <row r="6846" spans="1:5" s="103" customFormat="1" ht="13.2" hidden="1" outlineLevel="1" x14ac:dyDescent="0.25">
      <c r="A6846" s="106" t="s">
        <v>13694</v>
      </c>
      <c r="B6846" s="106" t="s">
        <v>13695</v>
      </c>
      <c r="C6846" s="106"/>
      <c r="D6846" s="106"/>
      <c r="E6846" s="52"/>
    </row>
    <row r="6847" spans="1:5" s="103" customFormat="1" ht="13.2" hidden="1" outlineLevel="1" x14ac:dyDescent="0.25">
      <c r="A6847" s="106" t="s">
        <v>13696</v>
      </c>
      <c r="B6847" s="106" t="s">
        <v>13697</v>
      </c>
      <c r="C6847" s="106"/>
      <c r="D6847" s="106"/>
      <c r="E6847" s="52"/>
    </row>
    <row r="6848" spans="1:5" s="103" customFormat="1" ht="13.2" hidden="1" outlineLevel="1" x14ac:dyDescent="0.25">
      <c r="A6848" s="106" t="s">
        <v>13698</v>
      </c>
      <c r="B6848" s="106" t="s">
        <v>13699</v>
      </c>
      <c r="C6848" s="106"/>
      <c r="D6848" s="106"/>
      <c r="E6848" s="52"/>
    </row>
    <row r="6849" spans="1:5" s="103" customFormat="1" ht="13.2" hidden="1" outlineLevel="1" x14ac:dyDescent="0.25">
      <c r="A6849" s="106" t="s">
        <v>13700</v>
      </c>
      <c r="B6849" s="106" t="s">
        <v>13701</v>
      </c>
      <c r="C6849" s="106"/>
      <c r="D6849" s="106"/>
      <c r="E6849" s="52"/>
    </row>
    <row r="6850" spans="1:5" s="103" customFormat="1" ht="13.2" hidden="1" outlineLevel="1" x14ac:dyDescent="0.25">
      <c r="A6850" s="106" t="s">
        <v>13702</v>
      </c>
      <c r="B6850" s="106" t="s">
        <v>13703</v>
      </c>
      <c r="C6850" s="106"/>
      <c r="D6850" s="106"/>
      <c r="E6850" s="52"/>
    </row>
    <row r="6851" spans="1:5" s="103" customFormat="1" ht="13.2" hidden="1" outlineLevel="1" x14ac:dyDescent="0.25">
      <c r="A6851" s="106" t="s">
        <v>13704</v>
      </c>
      <c r="B6851" s="106" t="s">
        <v>13705</v>
      </c>
      <c r="C6851" s="106"/>
      <c r="D6851" s="106"/>
      <c r="E6851" s="52"/>
    </row>
    <row r="6852" spans="1:5" s="103" customFormat="1" ht="13.2" hidden="1" outlineLevel="1" x14ac:dyDescent="0.25">
      <c r="A6852" s="106" t="s">
        <v>13706</v>
      </c>
      <c r="B6852" s="106" t="s">
        <v>13707</v>
      </c>
      <c r="C6852" s="106"/>
      <c r="D6852" s="106"/>
      <c r="E6852" s="52"/>
    </row>
    <row r="6853" spans="1:5" s="103" customFormat="1" ht="13.2" hidden="1" outlineLevel="1" x14ac:dyDescent="0.25">
      <c r="A6853" s="106" t="s">
        <v>13708</v>
      </c>
      <c r="B6853" s="106" t="s">
        <v>13709</v>
      </c>
      <c r="C6853" s="106"/>
      <c r="D6853" s="106"/>
      <c r="E6853" s="52"/>
    </row>
    <row r="6854" spans="1:5" s="103" customFormat="1" ht="13.2" hidden="1" outlineLevel="1" x14ac:dyDescent="0.25">
      <c r="A6854" s="106" t="s">
        <v>13710</v>
      </c>
      <c r="B6854" s="106" t="s">
        <v>13711</v>
      </c>
      <c r="C6854" s="106"/>
      <c r="D6854" s="106"/>
      <c r="E6854" s="52"/>
    </row>
    <row r="6855" spans="1:5" s="103" customFormat="1" ht="13.2" hidden="1" outlineLevel="1" x14ac:dyDescent="0.25">
      <c r="A6855" s="106" t="s">
        <v>13712</v>
      </c>
      <c r="B6855" s="106" t="s">
        <v>13713</v>
      </c>
      <c r="C6855" s="106"/>
      <c r="D6855" s="106"/>
      <c r="E6855" s="52"/>
    </row>
    <row r="6856" spans="1:5" s="103" customFormat="1" ht="13.2" hidden="1" outlineLevel="1" x14ac:dyDescent="0.25">
      <c r="A6856" s="106" t="s">
        <v>13714</v>
      </c>
      <c r="B6856" s="106" t="s">
        <v>13715</v>
      </c>
      <c r="C6856" s="106"/>
      <c r="D6856" s="106"/>
      <c r="E6856" s="52"/>
    </row>
    <row r="6857" spans="1:5" s="103" customFormat="1" ht="13.2" hidden="1" outlineLevel="1" x14ac:dyDescent="0.25">
      <c r="A6857" s="106" t="s">
        <v>13716</v>
      </c>
      <c r="B6857" s="106" t="s">
        <v>13717</v>
      </c>
      <c r="C6857" s="106"/>
      <c r="D6857" s="106"/>
      <c r="E6857" s="52"/>
    </row>
    <row r="6858" spans="1:5" s="103" customFormat="1" ht="13.2" hidden="1" outlineLevel="1" x14ac:dyDescent="0.25">
      <c r="A6858" s="106" t="s">
        <v>13718</v>
      </c>
      <c r="B6858" s="106" t="s">
        <v>13719</v>
      </c>
      <c r="C6858" s="106"/>
      <c r="D6858" s="106"/>
      <c r="E6858" s="52"/>
    </row>
    <row r="6859" spans="1:5" s="103" customFormat="1" ht="13.2" hidden="1" outlineLevel="1" x14ac:dyDescent="0.25">
      <c r="A6859" s="106" t="s">
        <v>13720</v>
      </c>
      <c r="B6859" s="106" t="s">
        <v>13721</v>
      </c>
      <c r="C6859" s="106"/>
      <c r="D6859" s="106"/>
      <c r="E6859" s="52"/>
    </row>
    <row r="6860" spans="1:5" s="103" customFormat="1" ht="13.2" hidden="1" outlineLevel="1" x14ac:dyDescent="0.25">
      <c r="A6860" s="106" t="s">
        <v>13722</v>
      </c>
      <c r="B6860" s="106" t="s">
        <v>13723</v>
      </c>
      <c r="C6860" s="106"/>
      <c r="D6860" s="106"/>
      <c r="E6860" s="52"/>
    </row>
    <row r="6861" spans="1:5" s="103" customFormat="1" ht="13.2" hidden="1" outlineLevel="1" x14ac:dyDescent="0.25">
      <c r="A6861" s="106" t="s">
        <v>13724</v>
      </c>
      <c r="B6861" s="106" t="s">
        <v>13725</v>
      </c>
      <c r="C6861" s="106"/>
      <c r="D6861" s="106"/>
      <c r="E6861" s="52"/>
    </row>
    <row r="6862" spans="1:5" s="103" customFormat="1" ht="13.2" hidden="1" outlineLevel="1" x14ac:dyDescent="0.25">
      <c r="A6862" s="106" t="s">
        <v>13726</v>
      </c>
      <c r="B6862" s="106" t="s">
        <v>13727</v>
      </c>
      <c r="C6862" s="106"/>
      <c r="D6862" s="106"/>
      <c r="E6862" s="52"/>
    </row>
    <row r="6863" spans="1:5" s="103" customFormat="1" ht="13.2" hidden="1" outlineLevel="1" x14ac:dyDescent="0.25">
      <c r="A6863" s="106" t="s">
        <v>13728</v>
      </c>
      <c r="B6863" s="106" t="s">
        <v>13729</v>
      </c>
      <c r="C6863" s="106"/>
      <c r="D6863" s="106"/>
      <c r="E6863" s="52"/>
    </row>
    <row r="6864" spans="1:5" s="103" customFormat="1" ht="13.2" hidden="1" outlineLevel="1" x14ac:dyDescent="0.25">
      <c r="A6864" s="106" t="s">
        <v>13730</v>
      </c>
      <c r="B6864" s="106" t="s">
        <v>13731</v>
      </c>
      <c r="C6864" s="106"/>
      <c r="D6864" s="106"/>
      <c r="E6864" s="52"/>
    </row>
    <row r="6865" spans="1:5" s="103" customFormat="1" ht="13.2" hidden="1" outlineLevel="1" x14ac:dyDescent="0.25">
      <c r="A6865" s="106" t="s">
        <v>13732</v>
      </c>
      <c r="B6865" s="106" t="s">
        <v>13733</v>
      </c>
      <c r="C6865" s="106"/>
      <c r="D6865" s="106"/>
      <c r="E6865" s="52"/>
    </row>
    <row r="6866" spans="1:5" s="103" customFormat="1" ht="13.2" hidden="1" outlineLevel="1" x14ac:dyDescent="0.25">
      <c r="A6866" s="106" t="s">
        <v>13734</v>
      </c>
      <c r="B6866" s="106" t="s">
        <v>13735</v>
      </c>
      <c r="C6866" s="106"/>
      <c r="D6866" s="106"/>
      <c r="E6866" s="52"/>
    </row>
    <row r="6867" spans="1:5" s="103" customFormat="1" ht="13.2" collapsed="1" x14ac:dyDescent="0.25">
      <c r="A6867" s="104" t="s">
        <v>13736</v>
      </c>
      <c r="B6867" s="105" t="s">
        <v>13737</v>
      </c>
      <c r="C6867" s="105"/>
      <c r="D6867" s="105"/>
      <c r="E6867" s="51"/>
    </row>
    <row r="6868" spans="1:5" s="103" customFormat="1" ht="13.2" hidden="1" outlineLevel="1" x14ac:dyDescent="0.25">
      <c r="A6868" s="106" t="s">
        <v>13738</v>
      </c>
      <c r="B6868" s="106" t="s">
        <v>13739</v>
      </c>
      <c r="C6868" s="106"/>
      <c r="D6868" s="106"/>
      <c r="E6868" s="52"/>
    </row>
    <row r="6869" spans="1:5" s="103" customFormat="1" ht="13.2" hidden="1" outlineLevel="1" x14ac:dyDescent="0.25">
      <c r="A6869" s="106" t="s">
        <v>13740</v>
      </c>
      <c r="B6869" s="106" t="s">
        <v>13741</v>
      </c>
      <c r="C6869" s="106"/>
      <c r="D6869" s="106"/>
      <c r="E6869" s="52"/>
    </row>
    <row r="6870" spans="1:5" s="103" customFormat="1" ht="13.2" hidden="1" outlineLevel="1" x14ac:dyDescent="0.25">
      <c r="A6870" s="106" t="s">
        <v>13742</v>
      </c>
      <c r="B6870" s="106" t="s">
        <v>13743</v>
      </c>
      <c r="C6870" s="106"/>
      <c r="D6870" s="106"/>
      <c r="E6870" s="52"/>
    </row>
    <row r="6871" spans="1:5" s="103" customFormat="1" ht="13.2" hidden="1" outlineLevel="1" x14ac:dyDescent="0.25">
      <c r="A6871" s="106" t="s">
        <v>13744</v>
      </c>
      <c r="B6871" s="106" t="s">
        <v>13745</v>
      </c>
      <c r="C6871" s="106"/>
      <c r="D6871" s="106"/>
      <c r="E6871" s="52"/>
    </row>
    <row r="6872" spans="1:5" s="103" customFormat="1" ht="13.2" hidden="1" outlineLevel="1" x14ac:dyDescent="0.25">
      <c r="A6872" s="106" t="s">
        <v>13746</v>
      </c>
      <c r="B6872" s="106" t="s">
        <v>13747</v>
      </c>
      <c r="C6872" s="106"/>
      <c r="D6872" s="106"/>
      <c r="E6872" s="52"/>
    </row>
    <row r="6873" spans="1:5" s="103" customFormat="1" ht="13.2" hidden="1" outlineLevel="1" x14ac:dyDescent="0.25">
      <c r="A6873" s="106" t="s">
        <v>13748</v>
      </c>
      <c r="B6873" s="106" t="s">
        <v>13749</v>
      </c>
      <c r="C6873" s="106"/>
      <c r="D6873" s="106"/>
      <c r="E6873" s="52"/>
    </row>
    <row r="6874" spans="1:5" s="103" customFormat="1" ht="13.2" hidden="1" outlineLevel="1" x14ac:dyDescent="0.25">
      <c r="A6874" s="106" t="s">
        <v>13750</v>
      </c>
      <c r="B6874" s="106" t="s">
        <v>13751</v>
      </c>
      <c r="C6874" s="106"/>
      <c r="D6874" s="106"/>
      <c r="E6874" s="52"/>
    </row>
    <row r="6875" spans="1:5" s="103" customFormat="1" ht="13.2" hidden="1" outlineLevel="1" x14ac:dyDescent="0.25">
      <c r="A6875" s="106" t="s">
        <v>13752</v>
      </c>
      <c r="B6875" s="106" t="s">
        <v>13753</v>
      </c>
      <c r="C6875" s="106"/>
      <c r="D6875" s="106"/>
      <c r="E6875" s="52"/>
    </row>
    <row r="6876" spans="1:5" s="103" customFormat="1" ht="13.2" hidden="1" outlineLevel="1" x14ac:dyDescent="0.25">
      <c r="A6876" s="106" t="s">
        <v>13754</v>
      </c>
      <c r="B6876" s="106" t="s">
        <v>13755</v>
      </c>
      <c r="C6876" s="106"/>
      <c r="D6876" s="106"/>
      <c r="E6876" s="52"/>
    </row>
    <row r="6877" spans="1:5" s="103" customFormat="1" ht="13.2" hidden="1" outlineLevel="1" x14ac:dyDescent="0.25">
      <c r="A6877" s="106" t="s">
        <v>13756</v>
      </c>
      <c r="B6877" s="106" t="s">
        <v>13757</v>
      </c>
      <c r="C6877" s="106"/>
      <c r="D6877" s="106"/>
      <c r="E6877" s="52"/>
    </row>
    <row r="6878" spans="1:5" s="103" customFormat="1" ht="13.2" hidden="1" outlineLevel="1" x14ac:dyDescent="0.25">
      <c r="A6878" s="106" t="s">
        <v>13758</v>
      </c>
      <c r="B6878" s="106" t="s">
        <v>13759</v>
      </c>
      <c r="C6878" s="106"/>
      <c r="D6878" s="106"/>
      <c r="E6878" s="52"/>
    </row>
    <row r="6879" spans="1:5" s="103" customFormat="1" ht="13.2" hidden="1" outlineLevel="1" x14ac:dyDescent="0.25">
      <c r="A6879" s="106" t="s">
        <v>13760</v>
      </c>
      <c r="B6879" s="106" t="s">
        <v>13761</v>
      </c>
      <c r="C6879" s="106"/>
      <c r="D6879" s="106"/>
      <c r="E6879" s="52"/>
    </row>
    <row r="6880" spans="1:5" s="103" customFormat="1" ht="13.2" hidden="1" outlineLevel="1" x14ac:dyDescent="0.25">
      <c r="A6880" s="106" t="s">
        <v>13762</v>
      </c>
      <c r="B6880" s="106" t="s">
        <v>13763</v>
      </c>
      <c r="C6880" s="106"/>
      <c r="D6880" s="106"/>
      <c r="E6880" s="52"/>
    </row>
    <row r="6881" spans="1:5" s="103" customFormat="1" ht="13.2" hidden="1" outlineLevel="1" x14ac:dyDescent="0.25">
      <c r="A6881" s="106" t="s">
        <v>13764</v>
      </c>
      <c r="B6881" s="106" t="s">
        <v>13765</v>
      </c>
      <c r="C6881" s="106"/>
      <c r="D6881" s="106"/>
      <c r="E6881" s="52"/>
    </row>
    <row r="6882" spans="1:5" s="103" customFormat="1" ht="13.2" hidden="1" outlineLevel="1" x14ac:dyDescent="0.25">
      <c r="A6882" s="106" t="s">
        <v>13766</v>
      </c>
      <c r="B6882" s="106" t="s">
        <v>13767</v>
      </c>
      <c r="C6882" s="106"/>
      <c r="D6882" s="106"/>
      <c r="E6882" s="52"/>
    </row>
    <row r="6883" spans="1:5" s="103" customFormat="1" ht="13.2" hidden="1" outlineLevel="1" x14ac:dyDescent="0.25">
      <c r="A6883" s="106" t="s">
        <v>13768</v>
      </c>
      <c r="B6883" s="106" t="s">
        <v>13769</v>
      </c>
      <c r="C6883" s="106"/>
      <c r="D6883" s="106"/>
      <c r="E6883" s="52"/>
    </row>
    <row r="6884" spans="1:5" s="103" customFormat="1" ht="13.2" hidden="1" outlineLevel="1" x14ac:dyDescent="0.25">
      <c r="A6884" s="106" t="s">
        <v>13770</v>
      </c>
      <c r="B6884" s="106" t="s">
        <v>13771</v>
      </c>
      <c r="C6884" s="106"/>
      <c r="D6884" s="106"/>
      <c r="E6884" s="52"/>
    </row>
    <row r="6885" spans="1:5" s="103" customFormat="1" ht="13.2" hidden="1" outlineLevel="1" x14ac:dyDescent="0.25">
      <c r="A6885" s="106" t="s">
        <v>13772</v>
      </c>
      <c r="B6885" s="106" t="s">
        <v>13773</v>
      </c>
      <c r="C6885" s="106"/>
      <c r="D6885" s="106"/>
      <c r="E6885" s="52"/>
    </row>
    <row r="6886" spans="1:5" s="103" customFormat="1" ht="13.2" hidden="1" outlineLevel="1" x14ac:dyDescent="0.25">
      <c r="A6886" s="106" t="s">
        <v>13774</v>
      </c>
      <c r="B6886" s="106" t="s">
        <v>13775</v>
      </c>
      <c r="C6886" s="106"/>
      <c r="D6886" s="106"/>
      <c r="E6886" s="52"/>
    </row>
    <row r="6887" spans="1:5" s="103" customFormat="1" ht="13.2" hidden="1" outlineLevel="1" x14ac:dyDescent="0.25">
      <c r="A6887" s="106" t="s">
        <v>13776</v>
      </c>
      <c r="B6887" s="106" t="s">
        <v>13777</v>
      </c>
      <c r="C6887" s="106"/>
      <c r="D6887" s="106"/>
      <c r="E6887" s="52"/>
    </row>
    <row r="6888" spans="1:5" s="103" customFormat="1" ht="13.2" hidden="1" outlineLevel="1" x14ac:dyDescent="0.25">
      <c r="A6888" s="106" t="s">
        <v>13778</v>
      </c>
      <c r="B6888" s="106" t="s">
        <v>13779</v>
      </c>
      <c r="C6888" s="106"/>
      <c r="D6888" s="106"/>
      <c r="E6888" s="52"/>
    </row>
    <row r="6889" spans="1:5" s="103" customFormat="1" ht="13.2" hidden="1" outlineLevel="1" x14ac:dyDescent="0.25">
      <c r="A6889" s="106" t="s">
        <v>13780</v>
      </c>
      <c r="B6889" s="106" t="s">
        <v>13781</v>
      </c>
      <c r="C6889" s="106"/>
      <c r="D6889" s="106"/>
      <c r="E6889" s="52"/>
    </row>
    <row r="6890" spans="1:5" s="103" customFormat="1" ht="13.2" hidden="1" outlineLevel="1" x14ac:dyDescent="0.25">
      <c r="A6890" s="106" t="s">
        <v>13782</v>
      </c>
      <c r="B6890" s="106" t="s">
        <v>13783</v>
      </c>
      <c r="C6890" s="106"/>
      <c r="D6890" s="106"/>
      <c r="E6890" s="52"/>
    </row>
    <row r="6891" spans="1:5" s="103" customFormat="1" ht="13.2" hidden="1" outlineLevel="1" x14ac:dyDescent="0.25">
      <c r="A6891" s="106" t="s">
        <v>13784</v>
      </c>
      <c r="B6891" s="106" t="s">
        <v>13785</v>
      </c>
      <c r="C6891" s="106"/>
      <c r="D6891" s="106"/>
      <c r="E6891" s="52"/>
    </row>
    <row r="6892" spans="1:5" s="103" customFormat="1" ht="13.2" hidden="1" outlineLevel="1" x14ac:dyDescent="0.25">
      <c r="A6892" s="106" t="s">
        <v>13786</v>
      </c>
      <c r="B6892" s="106" t="s">
        <v>13787</v>
      </c>
      <c r="C6892" s="106"/>
      <c r="D6892" s="106"/>
      <c r="E6892" s="52"/>
    </row>
    <row r="6893" spans="1:5" s="103" customFormat="1" ht="13.2" hidden="1" outlineLevel="1" x14ac:dyDescent="0.25">
      <c r="A6893" s="106" t="s">
        <v>13788</v>
      </c>
      <c r="B6893" s="106" t="s">
        <v>13789</v>
      </c>
      <c r="C6893" s="106"/>
      <c r="D6893" s="106"/>
      <c r="E6893" s="52"/>
    </row>
    <row r="6894" spans="1:5" s="103" customFormat="1" ht="13.2" hidden="1" outlineLevel="1" x14ac:dyDescent="0.25">
      <c r="A6894" s="106" t="s">
        <v>13790</v>
      </c>
      <c r="B6894" s="106" t="s">
        <v>13791</v>
      </c>
      <c r="C6894" s="106"/>
      <c r="D6894" s="106"/>
      <c r="E6894" s="52"/>
    </row>
    <row r="6895" spans="1:5" s="103" customFormat="1" ht="13.2" hidden="1" outlineLevel="1" x14ac:dyDescent="0.25">
      <c r="A6895" s="106" t="s">
        <v>13792</v>
      </c>
      <c r="B6895" s="106" t="s">
        <v>13793</v>
      </c>
      <c r="C6895" s="106"/>
      <c r="D6895" s="106"/>
      <c r="E6895" s="52"/>
    </row>
    <row r="6896" spans="1:5" s="103" customFormat="1" ht="13.2" hidden="1" outlineLevel="1" x14ac:dyDescent="0.25">
      <c r="A6896" s="106" t="s">
        <v>13794</v>
      </c>
      <c r="B6896" s="106" t="s">
        <v>13795</v>
      </c>
      <c r="C6896" s="106"/>
      <c r="D6896" s="106"/>
      <c r="E6896" s="52"/>
    </row>
    <row r="6897" spans="1:5" s="103" customFormat="1" ht="13.2" hidden="1" outlineLevel="1" x14ac:dyDescent="0.25">
      <c r="A6897" s="106" t="s">
        <v>13796</v>
      </c>
      <c r="B6897" s="106" t="s">
        <v>13797</v>
      </c>
      <c r="C6897" s="106"/>
      <c r="D6897" s="106"/>
      <c r="E6897" s="52"/>
    </row>
    <row r="6898" spans="1:5" s="103" customFormat="1" ht="13.2" hidden="1" outlineLevel="1" x14ac:dyDescent="0.25">
      <c r="A6898" s="106" t="s">
        <v>13798</v>
      </c>
      <c r="B6898" s="106" t="s">
        <v>13799</v>
      </c>
      <c r="C6898" s="106"/>
      <c r="D6898" s="106"/>
      <c r="E6898" s="52"/>
    </row>
    <row r="6899" spans="1:5" s="103" customFormat="1" ht="13.2" hidden="1" outlineLevel="1" x14ac:dyDescent="0.25">
      <c r="A6899" s="106" t="s">
        <v>13800</v>
      </c>
      <c r="B6899" s="106" t="s">
        <v>13801</v>
      </c>
      <c r="C6899" s="106"/>
      <c r="D6899" s="106"/>
      <c r="E6899" s="52"/>
    </row>
    <row r="6900" spans="1:5" s="103" customFormat="1" ht="13.2" hidden="1" outlineLevel="1" x14ac:dyDescent="0.25">
      <c r="A6900" s="106" t="s">
        <v>13802</v>
      </c>
      <c r="B6900" s="106" t="s">
        <v>13803</v>
      </c>
      <c r="C6900" s="106"/>
      <c r="D6900" s="106"/>
      <c r="E6900" s="52"/>
    </row>
    <row r="6901" spans="1:5" s="103" customFormat="1" ht="13.2" hidden="1" outlineLevel="1" x14ac:dyDescent="0.25">
      <c r="A6901" s="106" t="s">
        <v>13804</v>
      </c>
      <c r="B6901" s="106" t="s">
        <v>13805</v>
      </c>
      <c r="C6901" s="106"/>
      <c r="D6901" s="106"/>
      <c r="E6901" s="52"/>
    </row>
    <row r="6902" spans="1:5" s="103" customFormat="1" ht="13.2" hidden="1" outlineLevel="1" x14ac:dyDescent="0.25">
      <c r="A6902" s="106" t="s">
        <v>13806</v>
      </c>
      <c r="B6902" s="106" t="s">
        <v>13807</v>
      </c>
      <c r="C6902" s="106"/>
      <c r="D6902" s="106"/>
      <c r="E6902" s="52"/>
    </row>
    <row r="6903" spans="1:5" s="103" customFormat="1" ht="13.2" hidden="1" outlineLevel="1" x14ac:dyDescent="0.25">
      <c r="A6903" s="106" t="s">
        <v>13808</v>
      </c>
      <c r="B6903" s="106" t="s">
        <v>13809</v>
      </c>
      <c r="C6903" s="106"/>
      <c r="D6903" s="106"/>
      <c r="E6903" s="52"/>
    </row>
    <row r="6904" spans="1:5" s="103" customFormat="1" ht="13.2" hidden="1" outlineLevel="1" x14ac:dyDescent="0.25">
      <c r="A6904" s="106" t="s">
        <v>13810</v>
      </c>
      <c r="B6904" s="106" t="s">
        <v>13811</v>
      </c>
      <c r="C6904" s="106"/>
      <c r="D6904" s="106"/>
      <c r="E6904" s="52"/>
    </row>
    <row r="6905" spans="1:5" s="103" customFormat="1" ht="13.2" hidden="1" outlineLevel="1" x14ac:dyDescent="0.25">
      <c r="A6905" s="106" t="s">
        <v>13812</v>
      </c>
      <c r="B6905" s="106" t="s">
        <v>13813</v>
      </c>
      <c r="C6905" s="106"/>
      <c r="D6905" s="106"/>
      <c r="E6905" s="52"/>
    </row>
    <row r="6906" spans="1:5" s="103" customFormat="1" ht="13.2" hidden="1" outlineLevel="1" x14ac:dyDescent="0.25">
      <c r="A6906" s="106" t="s">
        <v>13814</v>
      </c>
      <c r="B6906" s="106" t="s">
        <v>13815</v>
      </c>
      <c r="C6906" s="106"/>
      <c r="D6906" s="106"/>
      <c r="E6906" s="52"/>
    </row>
    <row r="6907" spans="1:5" s="103" customFormat="1" ht="13.2" hidden="1" outlineLevel="1" x14ac:dyDescent="0.25">
      <c r="A6907" s="106" t="s">
        <v>13816</v>
      </c>
      <c r="B6907" s="106" t="s">
        <v>13817</v>
      </c>
      <c r="C6907" s="106"/>
      <c r="D6907" s="106"/>
      <c r="E6907" s="52"/>
    </row>
    <row r="6908" spans="1:5" s="103" customFormat="1" ht="13.2" hidden="1" outlineLevel="1" x14ac:dyDescent="0.25">
      <c r="A6908" s="106" t="s">
        <v>13818</v>
      </c>
      <c r="B6908" s="106" t="s">
        <v>13819</v>
      </c>
      <c r="C6908" s="106"/>
      <c r="D6908" s="106"/>
      <c r="E6908" s="52"/>
    </row>
    <row r="6909" spans="1:5" s="103" customFormat="1" ht="13.2" hidden="1" outlineLevel="1" x14ac:dyDescent="0.25">
      <c r="A6909" s="106" t="s">
        <v>13820</v>
      </c>
      <c r="B6909" s="106" t="s">
        <v>13821</v>
      </c>
      <c r="C6909" s="106"/>
      <c r="D6909" s="106"/>
      <c r="E6909" s="52"/>
    </row>
    <row r="6910" spans="1:5" s="103" customFormat="1" ht="13.2" hidden="1" outlineLevel="1" x14ac:dyDescent="0.25">
      <c r="A6910" s="106" t="s">
        <v>13822</v>
      </c>
      <c r="B6910" s="106" t="s">
        <v>13823</v>
      </c>
      <c r="C6910" s="106"/>
      <c r="D6910" s="106"/>
      <c r="E6910" s="52"/>
    </row>
    <row r="6911" spans="1:5" s="103" customFormat="1" ht="13.2" hidden="1" outlineLevel="1" x14ac:dyDescent="0.25">
      <c r="A6911" s="106" t="s">
        <v>13824</v>
      </c>
      <c r="B6911" s="106" t="s">
        <v>13825</v>
      </c>
      <c r="C6911" s="106"/>
      <c r="D6911" s="106"/>
      <c r="E6911" s="52"/>
    </row>
    <row r="6912" spans="1:5" s="103" customFormat="1" ht="13.2" hidden="1" outlineLevel="1" x14ac:dyDescent="0.25">
      <c r="A6912" s="106" t="s">
        <v>13826</v>
      </c>
      <c r="B6912" s="106" t="s">
        <v>13827</v>
      </c>
      <c r="C6912" s="106"/>
      <c r="D6912" s="106"/>
      <c r="E6912" s="52"/>
    </row>
    <row r="6913" spans="1:5" s="103" customFormat="1" ht="13.2" hidden="1" outlineLevel="1" x14ac:dyDescent="0.25">
      <c r="A6913" s="106" t="s">
        <v>13828</v>
      </c>
      <c r="B6913" s="106" t="s">
        <v>13829</v>
      </c>
      <c r="C6913" s="106"/>
      <c r="D6913" s="106"/>
      <c r="E6913" s="52"/>
    </row>
    <row r="6914" spans="1:5" s="103" customFormat="1" ht="13.2" hidden="1" outlineLevel="1" x14ac:dyDescent="0.25">
      <c r="A6914" s="106" t="s">
        <v>13830</v>
      </c>
      <c r="B6914" s="106" t="s">
        <v>13831</v>
      </c>
      <c r="C6914" s="106"/>
      <c r="D6914" s="106"/>
      <c r="E6914" s="52"/>
    </row>
    <row r="6915" spans="1:5" s="103" customFormat="1" ht="13.2" hidden="1" outlineLevel="1" x14ac:dyDescent="0.25">
      <c r="A6915" s="106" t="s">
        <v>13832</v>
      </c>
      <c r="B6915" s="106" t="s">
        <v>13833</v>
      </c>
      <c r="C6915" s="106"/>
      <c r="D6915" s="106"/>
      <c r="E6915" s="52"/>
    </row>
    <row r="6916" spans="1:5" s="103" customFormat="1" ht="13.2" hidden="1" outlineLevel="1" x14ac:dyDescent="0.25">
      <c r="A6916" s="106" t="s">
        <v>13834</v>
      </c>
      <c r="B6916" s="106" t="s">
        <v>13835</v>
      </c>
      <c r="C6916" s="106"/>
      <c r="D6916" s="106"/>
      <c r="E6916" s="52"/>
    </row>
    <row r="6917" spans="1:5" s="103" customFormat="1" ht="13.2" hidden="1" outlineLevel="1" x14ac:dyDescent="0.25">
      <c r="A6917" s="106" t="s">
        <v>13836</v>
      </c>
      <c r="B6917" s="106" t="s">
        <v>13837</v>
      </c>
      <c r="C6917" s="106"/>
      <c r="D6917" s="106"/>
      <c r="E6917" s="52"/>
    </row>
    <row r="6918" spans="1:5" s="103" customFormat="1" ht="13.2" hidden="1" outlineLevel="1" x14ac:dyDescent="0.25">
      <c r="A6918" s="106" t="s">
        <v>13838</v>
      </c>
      <c r="B6918" s="106" t="s">
        <v>13839</v>
      </c>
      <c r="C6918" s="106"/>
      <c r="D6918" s="106"/>
      <c r="E6918" s="52"/>
    </row>
    <row r="6919" spans="1:5" s="103" customFormat="1" ht="13.2" hidden="1" outlineLevel="1" x14ac:dyDescent="0.25">
      <c r="A6919" s="106" t="s">
        <v>13840</v>
      </c>
      <c r="B6919" s="106" t="s">
        <v>13841</v>
      </c>
      <c r="C6919" s="106"/>
      <c r="D6919" s="106"/>
      <c r="E6919" s="52"/>
    </row>
    <row r="6920" spans="1:5" s="103" customFormat="1" ht="13.2" hidden="1" outlineLevel="1" x14ac:dyDescent="0.25">
      <c r="A6920" s="106" t="s">
        <v>13842</v>
      </c>
      <c r="B6920" s="106" t="s">
        <v>13843</v>
      </c>
      <c r="C6920" s="106"/>
      <c r="D6920" s="106"/>
      <c r="E6920" s="52"/>
    </row>
    <row r="6921" spans="1:5" s="103" customFormat="1" ht="13.2" hidden="1" outlineLevel="1" x14ac:dyDescent="0.25">
      <c r="A6921" s="106" t="s">
        <v>13844</v>
      </c>
      <c r="B6921" s="106" t="s">
        <v>13845</v>
      </c>
      <c r="C6921" s="106"/>
      <c r="D6921" s="106"/>
      <c r="E6921" s="52"/>
    </row>
    <row r="6922" spans="1:5" s="103" customFormat="1" ht="13.2" hidden="1" outlineLevel="1" x14ac:dyDescent="0.25">
      <c r="A6922" s="106" t="s">
        <v>13846</v>
      </c>
      <c r="B6922" s="106" t="s">
        <v>13847</v>
      </c>
      <c r="C6922" s="106"/>
      <c r="D6922" s="106"/>
      <c r="E6922" s="52"/>
    </row>
    <row r="6923" spans="1:5" s="103" customFormat="1" ht="13.2" hidden="1" outlineLevel="1" x14ac:dyDescent="0.25">
      <c r="A6923" s="106" t="s">
        <v>13848</v>
      </c>
      <c r="B6923" s="106" t="s">
        <v>13849</v>
      </c>
      <c r="C6923" s="106"/>
      <c r="D6923" s="106"/>
      <c r="E6923" s="52"/>
    </row>
    <row r="6924" spans="1:5" s="103" customFormat="1" ht="13.2" hidden="1" outlineLevel="1" x14ac:dyDescent="0.25">
      <c r="A6924" s="106" t="s">
        <v>13850</v>
      </c>
      <c r="B6924" s="106" t="s">
        <v>13851</v>
      </c>
      <c r="C6924" s="106"/>
      <c r="D6924" s="106"/>
      <c r="E6924" s="52"/>
    </row>
    <row r="6925" spans="1:5" s="103" customFormat="1" ht="13.2" hidden="1" outlineLevel="1" x14ac:dyDescent="0.25">
      <c r="A6925" s="106" t="s">
        <v>13852</v>
      </c>
      <c r="B6925" s="106" t="s">
        <v>13853</v>
      </c>
      <c r="C6925" s="106"/>
      <c r="D6925" s="106"/>
      <c r="E6925" s="52"/>
    </row>
    <row r="6926" spans="1:5" s="103" customFormat="1" ht="13.2" hidden="1" outlineLevel="1" x14ac:dyDescent="0.25">
      <c r="A6926" s="106" t="s">
        <v>13854</v>
      </c>
      <c r="B6926" s="106" t="s">
        <v>13855</v>
      </c>
      <c r="C6926" s="106"/>
      <c r="D6926" s="106"/>
      <c r="E6926" s="52"/>
    </row>
    <row r="6927" spans="1:5" s="103" customFormat="1" ht="13.2" hidden="1" outlineLevel="1" x14ac:dyDescent="0.25">
      <c r="A6927" s="106" t="s">
        <v>13856</v>
      </c>
      <c r="B6927" s="106" t="s">
        <v>13857</v>
      </c>
      <c r="C6927" s="106"/>
      <c r="D6927" s="106"/>
      <c r="E6927" s="52"/>
    </row>
    <row r="6928" spans="1:5" s="103" customFormat="1" ht="13.2" hidden="1" outlineLevel="1" x14ac:dyDescent="0.25">
      <c r="A6928" s="106" t="s">
        <v>13858</v>
      </c>
      <c r="B6928" s="106" t="s">
        <v>13859</v>
      </c>
      <c r="C6928" s="106"/>
      <c r="D6928" s="106"/>
      <c r="E6928" s="52"/>
    </row>
    <row r="6929" spans="1:5" s="103" customFormat="1" ht="13.2" hidden="1" outlineLevel="1" x14ac:dyDescent="0.25">
      <c r="A6929" s="106" t="s">
        <v>13860</v>
      </c>
      <c r="B6929" s="106" t="s">
        <v>13861</v>
      </c>
      <c r="C6929" s="106"/>
      <c r="D6929" s="106"/>
      <c r="E6929" s="52"/>
    </row>
    <row r="6930" spans="1:5" s="103" customFormat="1" ht="13.2" hidden="1" outlineLevel="1" x14ac:dyDescent="0.25">
      <c r="A6930" s="106" t="s">
        <v>13862</v>
      </c>
      <c r="B6930" s="106" t="s">
        <v>13863</v>
      </c>
      <c r="C6930" s="106"/>
      <c r="D6930" s="106"/>
      <c r="E6930" s="52"/>
    </row>
    <row r="6931" spans="1:5" s="103" customFormat="1" ht="13.2" hidden="1" outlineLevel="1" x14ac:dyDescent="0.25">
      <c r="A6931" s="106" t="s">
        <v>13864</v>
      </c>
      <c r="B6931" s="106" t="s">
        <v>13865</v>
      </c>
      <c r="C6931" s="106"/>
      <c r="D6931" s="106"/>
      <c r="E6931" s="52"/>
    </row>
    <row r="6932" spans="1:5" s="103" customFormat="1" ht="13.2" hidden="1" outlineLevel="1" x14ac:dyDescent="0.25">
      <c r="A6932" s="106" t="s">
        <v>13866</v>
      </c>
      <c r="B6932" s="106" t="s">
        <v>13867</v>
      </c>
      <c r="C6932" s="106"/>
      <c r="D6932" s="106"/>
      <c r="E6932" s="52"/>
    </row>
    <row r="6933" spans="1:5" s="103" customFormat="1" ht="13.2" hidden="1" outlineLevel="1" x14ac:dyDescent="0.25">
      <c r="A6933" s="106" t="s">
        <v>13868</v>
      </c>
      <c r="B6933" s="106" t="s">
        <v>13869</v>
      </c>
      <c r="C6933" s="106"/>
      <c r="D6933" s="106"/>
      <c r="E6933" s="52"/>
    </row>
    <row r="6934" spans="1:5" s="103" customFormat="1" ht="13.2" hidden="1" outlineLevel="1" x14ac:dyDescent="0.25">
      <c r="A6934" s="106" t="s">
        <v>13870</v>
      </c>
      <c r="B6934" s="106" t="s">
        <v>13871</v>
      </c>
      <c r="C6934" s="106"/>
      <c r="D6934" s="106"/>
      <c r="E6934" s="52"/>
    </row>
    <row r="6935" spans="1:5" s="103" customFormat="1" ht="13.2" hidden="1" outlineLevel="1" x14ac:dyDescent="0.25">
      <c r="A6935" s="106" t="s">
        <v>13872</v>
      </c>
      <c r="B6935" s="106" t="s">
        <v>13873</v>
      </c>
      <c r="C6935" s="106"/>
      <c r="D6935" s="106"/>
      <c r="E6935" s="52"/>
    </row>
    <row r="6936" spans="1:5" s="103" customFormat="1" ht="13.2" hidden="1" outlineLevel="1" x14ac:dyDescent="0.25">
      <c r="A6936" s="106" t="s">
        <v>13874</v>
      </c>
      <c r="B6936" s="106" t="s">
        <v>13875</v>
      </c>
      <c r="C6936" s="106"/>
      <c r="D6936" s="106"/>
      <c r="E6936" s="52"/>
    </row>
    <row r="6937" spans="1:5" s="103" customFormat="1" ht="13.2" hidden="1" outlineLevel="1" x14ac:dyDescent="0.25">
      <c r="A6937" s="106" t="s">
        <v>13876</v>
      </c>
      <c r="B6937" s="106" t="s">
        <v>13877</v>
      </c>
      <c r="C6937" s="106"/>
      <c r="D6937" s="106"/>
      <c r="E6937" s="52"/>
    </row>
    <row r="6938" spans="1:5" s="103" customFormat="1" ht="13.2" hidden="1" outlineLevel="1" x14ac:dyDescent="0.25">
      <c r="A6938" s="106" t="s">
        <v>13878</v>
      </c>
      <c r="B6938" s="106" t="s">
        <v>13879</v>
      </c>
      <c r="C6938" s="106"/>
      <c r="D6938" s="106"/>
      <c r="E6938" s="52"/>
    </row>
    <row r="6939" spans="1:5" s="103" customFormat="1" ht="13.2" hidden="1" outlineLevel="1" x14ac:dyDescent="0.25">
      <c r="A6939" s="106" t="s">
        <v>13880</v>
      </c>
      <c r="B6939" s="106" t="s">
        <v>13881</v>
      </c>
      <c r="C6939" s="106"/>
      <c r="D6939" s="106"/>
      <c r="E6939" s="52"/>
    </row>
    <row r="6940" spans="1:5" s="103" customFormat="1" ht="13.2" hidden="1" outlineLevel="1" x14ac:dyDescent="0.25">
      <c r="A6940" s="106" t="s">
        <v>13882</v>
      </c>
      <c r="B6940" s="106" t="s">
        <v>13883</v>
      </c>
      <c r="C6940" s="106"/>
      <c r="D6940" s="106"/>
      <c r="E6940" s="52"/>
    </row>
    <row r="6941" spans="1:5" s="103" customFormat="1" ht="13.2" hidden="1" outlineLevel="1" x14ac:dyDescent="0.25">
      <c r="A6941" s="106" t="s">
        <v>13884</v>
      </c>
      <c r="B6941" s="106" t="s">
        <v>13885</v>
      </c>
      <c r="C6941" s="106"/>
      <c r="D6941" s="106"/>
      <c r="E6941" s="52"/>
    </row>
    <row r="6942" spans="1:5" s="103" customFormat="1" ht="13.2" hidden="1" outlineLevel="1" x14ac:dyDescent="0.25">
      <c r="A6942" s="106" t="s">
        <v>13886</v>
      </c>
      <c r="B6942" s="106" t="s">
        <v>13887</v>
      </c>
      <c r="C6942" s="106"/>
      <c r="D6942" s="106"/>
      <c r="E6942" s="52"/>
    </row>
    <row r="6943" spans="1:5" s="103" customFormat="1" ht="13.2" hidden="1" outlineLevel="1" x14ac:dyDescent="0.25">
      <c r="A6943" s="106" t="s">
        <v>13888</v>
      </c>
      <c r="B6943" s="106" t="s">
        <v>13889</v>
      </c>
      <c r="C6943" s="106"/>
      <c r="D6943" s="106"/>
      <c r="E6943" s="52"/>
    </row>
    <row r="6944" spans="1:5" s="103" customFormat="1" ht="13.2" hidden="1" outlineLevel="1" x14ac:dyDescent="0.25">
      <c r="A6944" s="106" t="s">
        <v>13890</v>
      </c>
      <c r="B6944" s="106" t="s">
        <v>13891</v>
      </c>
      <c r="C6944" s="106"/>
      <c r="D6944" s="106"/>
      <c r="E6944" s="52"/>
    </row>
    <row r="6945" spans="1:5" s="103" customFormat="1" ht="13.2" hidden="1" outlineLevel="1" x14ac:dyDescent="0.25">
      <c r="A6945" s="106" t="s">
        <v>13892</v>
      </c>
      <c r="B6945" s="106" t="s">
        <v>13893</v>
      </c>
      <c r="C6945" s="106"/>
      <c r="D6945" s="106"/>
      <c r="E6945" s="52"/>
    </row>
    <row r="6946" spans="1:5" s="103" customFormat="1" ht="13.2" hidden="1" outlineLevel="1" x14ac:dyDescent="0.25">
      <c r="A6946" s="106" t="s">
        <v>13894</v>
      </c>
      <c r="B6946" s="106" t="s">
        <v>13895</v>
      </c>
      <c r="C6946" s="106"/>
      <c r="D6946" s="106"/>
      <c r="E6946" s="52"/>
    </row>
    <row r="6947" spans="1:5" s="103" customFormat="1" ht="13.2" hidden="1" outlineLevel="1" x14ac:dyDescent="0.25">
      <c r="A6947" s="106" t="s">
        <v>13896</v>
      </c>
      <c r="B6947" s="106" t="s">
        <v>13897</v>
      </c>
      <c r="C6947" s="106"/>
      <c r="D6947" s="106"/>
      <c r="E6947" s="52"/>
    </row>
    <row r="6948" spans="1:5" s="103" customFormat="1" ht="13.2" hidden="1" outlineLevel="1" x14ac:dyDescent="0.25">
      <c r="A6948" s="106" t="s">
        <v>13898</v>
      </c>
      <c r="B6948" s="106" t="s">
        <v>13899</v>
      </c>
      <c r="C6948" s="106"/>
      <c r="D6948" s="106"/>
      <c r="E6948" s="52"/>
    </row>
    <row r="6949" spans="1:5" s="103" customFormat="1" ht="13.2" hidden="1" outlineLevel="1" x14ac:dyDescent="0.25">
      <c r="A6949" s="106" t="s">
        <v>13900</v>
      </c>
      <c r="B6949" s="106" t="s">
        <v>13901</v>
      </c>
      <c r="C6949" s="106"/>
      <c r="D6949" s="106"/>
      <c r="E6949" s="52"/>
    </row>
    <row r="6950" spans="1:5" s="103" customFormat="1" ht="13.2" hidden="1" outlineLevel="1" x14ac:dyDescent="0.25">
      <c r="A6950" s="106" t="s">
        <v>13902</v>
      </c>
      <c r="B6950" s="106" t="s">
        <v>13903</v>
      </c>
      <c r="C6950" s="106"/>
      <c r="D6950" s="106"/>
      <c r="E6950" s="52"/>
    </row>
    <row r="6951" spans="1:5" s="103" customFormat="1" ht="13.2" hidden="1" outlineLevel="1" x14ac:dyDescent="0.25">
      <c r="A6951" s="106" t="s">
        <v>13904</v>
      </c>
      <c r="B6951" s="106" t="s">
        <v>13905</v>
      </c>
      <c r="C6951" s="106"/>
      <c r="D6951" s="106"/>
      <c r="E6951" s="52"/>
    </row>
    <row r="6952" spans="1:5" s="103" customFormat="1" ht="13.2" hidden="1" outlineLevel="1" x14ac:dyDescent="0.25">
      <c r="A6952" s="106" t="s">
        <v>13906</v>
      </c>
      <c r="B6952" s="106" t="s">
        <v>13907</v>
      </c>
      <c r="C6952" s="106"/>
      <c r="D6952" s="106"/>
      <c r="E6952" s="52"/>
    </row>
    <row r="6953" spans="1:5" s="103" customFormat="1" ht="13.2" hidden="1" outlineLevel="1" x14ac:dyDescent="0.25">
      <c r="A6953" s="106" t="s">
        <v>13908</v>
      </c>
      <c r="B6953" s="106" t="s">
        <v>13909</v>
      </c>
      <c r="C6953" s="106"/>
      <c r="D6953" s="106"/>
      <c r="E6953" s="52"/>
    </row>
    <row r="6954" spans="1:5" s="103" customFormat="1" ht="13.2" hidden="1" outlineLevel="1" x14ac:dyDescent="0.25">
      <c r="A6954" s="106" t="s">
        <v>13910</v>
      </c>
      <c r="B6954" s="106" t="s">
        <v>13911</v>
      </c>
      <c r="C6954" s="106"/>
      <c r="D6954" s="106"/>
      <c r="E6954" s="52"/>
    </row>
    <row r="6955" spans="1:5" s="103" customFormat="1" ht="13.2" hidden="1" outlineLevel="1" x14ac:dyDescent="0.25">
      <c r="A6955" s="106" t="s">
        <v>13912</v>
      </c>
      <c r="B6955" s="106" t="s">
        <v>13913</v>
      </c>
      <c r="C6955" s="106"/>
      <c r="D6955" s="106"/>
      <c r="E6955" s="52"/>
    </row>
    <row r="6956" spans="1:5" s="103" customFormat="1" ht="13.2" hidden="1" outlineLevel="1" x14ac:dyDescent="0.25">
      <c r="A6956" s="106" t="s">
        <v>13914</v>
      </c>
      <c r="B6956" s="106" t="s">
        <v>13915</v>
      </c>
      <c r="C6956" s="106"/>
      <c r="D6956" s="106"/>
      <c r="E6956" s="52"/>
    </row>
    <row r="6957" spans="1:5" s="103" customFormat="1" ht="13.2" hidden="1" outlineLevel="1" x14ac:dyDescent="0.25">
      <c r="A6957" s="106" t="s">
        <v>13916</v>
      </c>
      <c r="B6957" s="106" t="s">
        <v>13917</v>
      </c>
      <c r="C6957" s="106"/>
      <c r="D6957" s="106"/>
      <c r="E6957" s="52"/>
    </row>
    <row r="6958" spans="1:5" s="103" customFormat="1" ht="13.2" hidden="1" outlineLevel="1" x14ac:dyDescent="0.25">
      <c r="A6958" s="106" t="s">
        <v>13918</v>
      </c>
      <c r="B6958" s="106" t="s">
        <v>13919</v>
      </c>
      <c r="C6958" s="106"/>
      <c r="D6958" s="106"/>
      <c r="E6958" s="52"/>
    </row>
    <row r="6959" spans="1:5" s="103" customFormat="1" ht="13.2" hidden="1" outlineLevel="1" x14ac:dyDescent="0.25">
      <c r="A6959" s="106" t="s">
        <v>13920</v>
      </c>
      <c r="B6959" s="106" t="s">
        <v>13921</v>
      </c>
      <c r="C6959" s="106"/>
      <c r="D6959" s="106"/>
      <c r="E6959" s="52"/>
    </row>
    <row r="6960" spans="1:5" s="103" customFormat="1" ht="13.2" hidden="1" outlineLevel="1" x14ac:dyDescent="0.25">
      <c r="A6960" s="106" t="s">
        <v>13922</v>
      </c>
      <c r="B6960" s="106" t="s">
        <v>13923</v>
      </c>
      <c r="C6960" s="106"/>
      <c r="D6960" s="106"/>
      <c r="E6960" s="52"/>
    </row>
    <row r="6961" spans="1:5" s="103" customFormat="1" ht="13.2" hidden="1" outlineLevel="1" x14ac:dyDescent="0.25">
      <c r="A6961" s="106" t="s">
        <v>13924</v>
      </c>
      <c r="B6961" s="106" t="s">
        <v>13925</v>
      </c>
      <c r="C6961" s="106"/>
      <c r="D6961" s="106"/>
      <c r="E6961" s="52"/>
    </row>
    <row r="6962" spans="1:5" s="103" customFormat="1" ht="13.2" hidden="1" outlineLevel="1" x14ac:dyDescent="0.25">
      <c r="A6962" s="106" t="s">
        <v>13926</v>
      </c>
      <c r="B6962" s="106" t="s">
        <v>13927</v>
      </c>
      <c r="C6962" s="106"/>
      <c r="D6962" s="106"/>
      <c r="E6962" s="52"/>
    </row>
    <row r="6963" spans="1:5" s="103" customFormat="1" ht="13.2" hidden="1" outlineLevel="1" x14ac:dyDescent="0.25">
      <c r="A6963" s="106" t="s">
        <v>13928</v>
      </c>
      <c r="B6963" s="106" t="s">
        <v>13929</v>
      </c>
      <c r="C6963" s="106"/>
      <c r="D6963" s="106"/>
      <c r="E6963" s="52"/>
    </row>
    <row r="6964" spans="1:5" s="103" customFormat="1" ht="13.2" hidden="1" outlineLevel="1" x14ac:dyDescent="0.25">
      <c r="A6964" s="106" t="s">
        <v>13930</v>
      </c>
      <c r="B6964" s="106" t="s">
        <v>13931</v>
      </c>
      <c r="C6964" s="106"/>
      <c r="D6964" s="106"/>
      <c r="E6964" s="52"/>
    </row>
    <row r="6965" spans="1:5" s="103" customFormat="1" ht="13.2" hidden="1" outlineLevel="1" x14ac:dyDescent="0.25">
      <c r="A6965" s="106" t="s">
        <v>13932</v>
      </c>
      <c r="B6965" s="106" t="s">
        <v>13933</v>
      </c>
      <c r="C6965" s="106"/>
      <c r="D6965" s="106"/>
      <c r="E6965" s="52"/>
    </row>
    <row r="6966" spans="1:5" s="103" customFormat="1" ht="13.2" hidden="1" outlineLevel="1" x14ac:dyDescent="0.25">
      <c r="A6966" s="106" t="s">
        <v>13934</v>
      </c>
      <c r="B6966" s="106" t="s">
        <v>13935</v>
      </c>
      <c r="C6966" s="106"/>
      <c r="D6966" s="106"/>
      <c r="E6966" s="52"/>
    </row>
    <row r="6967" spans="1:5" s="103" customFormat="1" ht="13.2" hidden="1" outlineLevel="1" x14ac:dyDescent="0.25">
      <c r="A6967" s="106" t="s">
        <v>13936</v>
      </c>
      <c r="B6967" s="106" t="s">
        <v>13937</v>
      </c>
      <c r="C6967" s="106"/>
      <c r="D6967" s="106"/>
      <c r="E6967" s="52"/>
    </row>
    <row r="6968" spans="1:5" s="103" customFormat="1" ht="13.2" hidden="1" outlineLevel="1" x14ac:dyDescent="0.25">
      <c r="A6968" s="106" t="s">
        <v>13938</v>
      </c>
      <c r="B6968" s="106" t="s">
        <v>13939</v>
      </c>
      <c r="C6968" s="106"/>
      <c r="D6968" s="106"/>
      <c r="E6968" s="52"/>
    </row>
    <row r="6969" spans="1:5" s="103" customFormat="1" ht="13.2" hidden="1" outlineLevel="1" x14ac:dyDescent="0.25">
      <c r="A6969" s="106" t="s">
        <v>13940</v>
      </c>
      <c r="B6969" s="106" t="s">
        <v>13941</v>
      </c>
      <c r="C6969" s="106"/>
      <c r="D6969" s="106"/>
      <c r="E6969" s="52"/>
    </row>
    <row r="6970" spans="1:5" s="103" customFormat="1" ht="13.2" hidden="1" outlineLevel="1" x14ac:dyDescent="0.25">
      <c r="A6970" s="106" t="s">
        <v>13942</v>
      </c>
      <c r="B6970" s="106" t="s">
        <v>13943</v>
      </c>
      <c r="C6970" s="106"/>
      <c r="D6970" s="106"/>
      <c r="E6970" s="52"/>
    </row>
    <row r="6971" spans="1:5" s="103" customFormat="1" ht="13.2" hidden="1" outlineLevel="1" x14ac:dyDescent="0.25">
      <c r="A6971" s="106" t="s">
        <v>13944</v>
      </c>
      <c r="B6971" s="106" t="s">
        <v>13945</v>
      </c>
      <c r="C6971" s="106"/>
      <c r="D6971" s="106"/>
      <c r="E6971" s="52"/>
    </row>
    <row r="6972" spans="1:5" s="103" customFormat="1" ht="13.2" hidden="1" outlineLevel="1" x14ac:dyDescent="0.25">
      <c r="A6972" s="106" t="s">
        <v>13946</v>
      </c>
      <c r="B6972" s="106" t="s">
        <v>13947</v>
      </c>
      <c r="C6972" s="106"/>
      <c r="D6972" s="106"/>
      <c r="E6972" s="52"/>
    </row>
    <row r="6973" spans="1:5" s="103" customFormat="1" ht="13.2" hidden="1" outlineLevel="1" x14ac:dyDescent="0.25">
      <c r="A6973" s="106" t="s">
        <v>13948</v>
      </c>
      <c r="B6973" s="106" t="s">
        <v>13949</v>
      </c>
      <c r="C6973" s="106"/>
      <c r="D6973" s="106"/>
      <c r="E6973" s="52"/>
    </row>
    <row r="6974" spans="1:5" s="103" customFormat="1" ht="13.2" hidden="1" outlineLevel="1" x14ac:dyDescent="0.25">
      <c r="A6974" s="106" t="s">
        <v>13950</v>
      </c>
      <c r="B6974" s="106" t="s">
        <v>13951</v>
      </c>
      <c r="C6974" s="106"/>
      <c r="D6974" s="106"/>
      <c r="E6974" s="52"/>
    </row>
    <row r="6975" spans="1:5" s="103" customFormat="1" ht="13.2" hidden="1" outlineLevel="1" x14ac:dyDescent="0.25">
      <c r="A6975" s="106" t="s">
        <v>13952</v>
      </c>
      <c r="B6975" s="106" t="s">
        <v>13953</v>
      </c>
      <c r="C6975" s="106"/>
      <c r="D6975" s="106"/>
      <c r="E6975" s="52"/>
    </row>
    <row r="6976" spans="1:5" s="103" customFormat="1" ht="13.2" hidden="1" outlineLevel="1" x14ac:dyDescent="0.25">
      <c r="A6976" s="106" t="s">
        <v>13954</v>
      </c>
      <c r="B6976" s="106" t="s">
        <v>13955</v>
      </c>
      <c r="C6976" s="106"/>
      <c r="D6976" s="106"/>
      <c r="E6976" s="52"/>
    </row>
    <row r="6977" spans="1:5" s="103" customFormat="1" ht="13.2" hidden="1" outlineLevel="1" x14ac:dyDescent="0.25">
      <c r="A6977" s="106" t="s">
        <v>13956</v>
      </c>
      <c r="B6977" s="106" t="s">
        <v>13957</v>
      </c>
      <c r="C6977" s="106"/>
      <c r="D6977" s="106"/>
      <c r="E6977" s="52"/>
    </row>
    <row r="6978" spans="1:5" s="103" customFormat="1" ht="13.2" hidden="1" outlineLevel="1" x14ac:dyDescent="0.25">
      <c r="A6978" s="106" t="s">
        <v>13958</v>
      </c>
      <c r="B6978" s="106" t="s">
        <v>13959</v>
      </c>
      <c r="C6978" s="106"/>
      <c r="D6978" s="106"/>
      <c r="E6978" s="52"/>
    </row>
    <row r="6979" spans="1:5" s="103" customFormat="1" ht="13.2" hidden="1" outlineLevel="1" x14ac:dyDescent="0.25">
      <c r="A6979" s="106" t="s">
        <v>13960</v>
      </c>
      <c r="B6979" s="106" t="s">
        <v>13961</v>
      </c>
      <c r="C6979" s="106"/>
      <c r="D6979" s="106"/>
      <c r="E6979" s="52"/>
    </row>
    <row r="6980" spans="1:5" s="103" customFormat="1" ht="13.2" hidden="1" outlineLevel="1" x14ac:dyDescent="0.25">
      <c r="A6980" s="106" t="s">
        <v>13962</v>
      </c>
      <c r="B6980" s="106" t="s">
        <v>13963</v>
      </c>
      <c r="C6980" s="106"/>
      <c r="D6980" s="106"/>
      <c r="E6980" s="52"/>
    </row>
    <row r="6981" spans="1:5" s="103" customFormat="1" ht="13.2" hidden="1" outlineLevel="1" x14ac:dyDescent="0.25">
      <c r="A6981" s="106" t="s">
        <v>13964</v>
      </c>
      <c r="B6981" s="106" t="s">
        <v>13965</v>
      </c>
      <c r="C6981" s="106"/>
      <c r="D6981" s="106"/>
      <c r="E6981" s="52"/>
    </row>
    <row r="6982" spans="1:5" s="103" customFormat="1" ht="13.2" hidden="1" outlineLevel="1" x14ac:dyDescent="0.25">
      <c r="A6982" s="106" t="s">
        <v>13966</v>
      </c>
      <c r="B6982" s="106" t="s">
        <v>13967</v>
      </c>
      <c r="C6982" s="106"/>
      <c r="D6982" s="106"/>
      <c r="E6982" s="52"/>
    </row>
    <row r="6983" spans="1:5" s="103" customFormat="1" ht="13.2" hidden="1" outlineLevel="1" x14ac:dyDescent="0.25">
      <c r="A6983" s="106" t="s">
        <v>13968</v>
      </c>
      <c r="B6983" s="106" t="s">
        <v>13969</v>
      </c>
      <c r="C6983" s="106"/>
      <c r="D6983" s="106"/>
      <c r="E6983" s="52"/>
    </row>
    <row r="6984" spans="1:5" s="103" customFormat="1" ht="13.2" hidden="1" outlineLevel="1" x14ac:dyDescent="0.25">
      <c r="A6984" s="106" t="s">
        <v>13970</v>
      </c>
      <c r="B6984" s="106" t="s">
        <v>13971</v>
      </c>
      <c r="C6984" s="106"/>
      <c r="D6984" s="106"/>
      <c r="E6984" s="52"/>
    </row>
    <row r="6985" spans="1:5" s="103" customFormat="1" ht="13.2" hidden="1" outlineLevel="1" x14ac:dyDescent="0.25">
      <c r="A6985" s="106" t="s">
        <v>13972</v>
      </c>
      <c r="B6985" s="106" t="s">
        <v>13973</v>
      </c>
      <c r="C6985" s="106"/>
      <c r="D6985" s="106"/>
      <c r="E6985" s="52"/>
    </row>
    <row r="6986" spans="1:5" s="103" customFormat="1" ht="13.2" hidden="1" outlineLevel="1" x14ac:dyDescent="0.25">
      <c r="A6986" s="106" t="s">
        <v>13974</v>
      </c>
      <c r="B6986" s="106" t="s">
        <v>13975</v>
      </c>
      <c r="C6986" s="106"/>
      <c r="D6986" s="106"/>
      <c r="E6986" s="52"/>
    </row>
    <row r="6987" spans="1:5" s="103" customFormat="1" ht="13.2" hidden="1" outlineLevel="1" x14ac:dyDescent="0.25">
      <c r="A6987" s="106" t="s">
        <v>13976</v>
      </c>
      <c r="B6987" s="106" t="s">
        <v>13977</v>
      </c>
      <c r="C6987" s="106"/>
      <c r="D6987" s="106"/>
      <c r="E6987" s="52"/>
    </row>
    <row r="6988" spans="1:5" s="103" customFormat="1" ht="13.2" hidden="1" outlineLevel="1" x14ac:dyDescent="0.25">
      <c r="A6988" s="106" t="s">
        <v>13978</v>
      </c>
      <c r="B6988" s="106" t="s">
        <v>13979</v>
      </c>
      <c r="C6988" s="106"/>
      <c r="D6988" s="106"/>
      <c r="E6988" s="52"/>
    </row>
    <row r="6989" spans="1:5" s="103" customFormat="1" ht="13.2" hidden="1" outlineLevel="1" x14ac:dyDescent="0.25">
      <c r="A6989" s="106" t="s">
        <v>13980</v>
      </c>
      <c r="B6989" s="106" t="s">
        <v>13981</v>
      </c>
      <c r="C6989" s="106"/>
      <c r="D6989" s="106"/>
      <c r="E6989" s="52"/>
    </row>
    <row r="6990" spans="1:5" s="103" customFormat="1" ht="13.2" hidden="1" outlineLevel="1" x14ac:dyDescent="0.25">
      <c r="A6990" s="106" t="s">
        <v>13982</v>
      </c>
      <c r="B6990" s="106" t="s">
        <v>13983</v>
      </c>
      <c r="C6990" s="106"/>
      <c r="D6990" s="106"/>
      <c r="E6990" s="52"/>
    </row>
    <row r="6991" spans="1:5" s="103" customFormat="1" ht="13.2" hidden="1" outlineLevel="1" x14ac:dyDescent="0.25">
      <c r="A6991" s="106" t="s">
        <v>13984</v>
      </c>
      <c r="B6991" s="106" t="s">
        <v>13985</v>
      </c>
      <c r="C6991" s="106"/>
      <c r="D6991" s="106"/>
      <c r="E6991" s="52"/>
    </row>
    <row r="6992" spans="1:5" s="103" customFormat="1" ht="13.2" hidden="1" outlineLevel="1" x14ac:dyDescent="0.25">
      <c r="A6992" s="106" t="s">
        <v>13986</v>
      </c>
      <c r="B6992" s="106" t="s">
        <v>13987</v>
      </c>
      <c r="C6992" s="106"/>
      <c r="D6992" s="106"/>
      <c r="E6992" s="52"/>
    </row>
    <row r="6993" spans="1:5" s="103" customFormat="1" ht="13.2" hidden="1" outlineLevel="1" x14ac:dyDescent="0.25">
      <c r="A6993" s="106" t="s">
        <v>13988</v>
      </c>
      <c r="B6993" s="106" t="s">
        <v>13989</v>
      </c>
      <c r="C6993" s="106"/>
      <c r="D6993" s="106"/>
      <c r="E6993" s="52"/>
    </row>
    <row r="6994" spans="1:5" s="103" customFormat="1" ht="13.2" hidden="1" outlineLevel="1" x14ac:dyDescent="0.25">
      <c r="A6994" s="106" t="s">
        <v>13990</v>
      </c>
      <c r="B6994" s="106" t="s">
        <v>13991</v>
      </c>
      <c r="C6994" s="106"/>
      <c r="D6994" s="106"/>
      <c r="E6994" s="52"/>
    </row>
    <row r="6995" spans="1:5" s="103" customFormat="1" ht="13.2" hidden="1" outlineLevel="1" x14ac:dyDescent="0.25">
      <c r="A6995" s="106" t="s">
        <v>13992</v>
      </c>
      <c r="B6995" s="106" t="s">
        <v>13993</v>
      </c>
      <c r="C6995" s="106"/>
      <c r="D6995" s="106"/>
      <c r="E6995" s="52"/>
    </row>
    <row r="6996" spans="1:5" s="103" customFormat="1" ht="13.2" hidden="1" outlineLevel="1" x14ac:dyDescent="0.25">
      <c r="A6996" s="106" t="s">
        <v>13994</v>
      </c>
      <c r="B6996" s="106" t="s">
        <v>13995</v>
      </c>
      <c r="C6996" s="106"/>
      <c r="D6996" s="106"/>
      <c r="E6996" s="52"/>
    </row>
    <row r="6997" spans="1:5" s="103" customFormat="1" ht="13.2" hidden="1" outlineLevel="1" x14ac:dyDescent="0.25">
      <c r="A6997" s="106" t="s">
        <v>13996</v>
      </c>
      <c r="B6997" s="106" t="s">
        <v>13997</v>
      </c>
      <c r="C6997" s="106"/>
      <c r="D6997" s="106"/>
      <c r="E6997" s="52"/>
    </row>
    <row r="6998" spans="1:5" s="103" customFormat="1" ht="13.2" hidden="1" outlineLevel="1" x14ac:dyDescent="0.25">
      <c r="A6998" s="106" t="s">
        <v>13998</v>
      </c>
      <c r="B6998" s="106" t="s">
        <v>13999</v>
      </c>
      <c r="C6998" s="106"/>
      <c r="D6998" s="106"/>
      <c r="E6998" s="52"/>
    </row>
    <row r="6999" spans="1:5" s="103" customFormat="1" ht="13.2" hidden="1" outlineLevel="1" x14ac:dyDescent="0.25">
      <c r="A6999" s="106" t="s">
        <v>14000</v>
      </c>
      <c r="B6999" s="106" t="s">
        <v>14001</v>
      </c>
      <c r="C6999" s="106"/>
      <c r="D6999" s="106"/>
      <c r="E6999" s="52"/>
    </row>
    <row r="7000" spans="1:5" s="103" customFormat="1" ht="13.2" hidden="1" outlineLevel="1" x14ac:dyDescent="0.25">
      <c r="A7000" s="106" t="s">
        <v>14002</v>
      </c>
      <c r="B7000" s="106" t="s">
        <v>14003</v>
      </c>
      <c r="C7000" s="106"/>
      <c r="D7000" s="106"/>
      <c r="E7000" s="52"/>
    </row>
    <row r="7001" spans="1:5" s="103" customFormat="1" ht="13.2" hidden="1" outlineLevel="1" x14ac:dyDescent="0.25">
      <c r="A7001" s="106" t="s">
        <v>14004</v>
      </c>
      <c r="B7001" s="106" t="s">
        <v>14005</v>
      </c>
      <c r="C7001" s="106"/>
      <c r="D7001" s="106"/>
      <c r="E7001" s="52"/>
    </row>
    <row r="7002" spans="1:5" s="103" customFormat="1" ht="13.2" hidden="1" outlineLevel="1" x14ac:dyDescent="0.25">
      <c r="A7002" s="106" t="s">
        <v>14006</v>
      </c>
      <c r="B7002" s="106" t="s">
        <v>14007</v>
      </c>
      <c r="C7002" s="106"/>
      <c r="D7002" s="106"/>
      <c r="E7002" s="52"/>
    </row>
    <row r="7003" spans="1:5" s="103" customFormat="1" ht="13.2" hidden="1" outlineLevel="1" x14ac:dyDescent="0.25">
      <c r="A7003" s="106" t="s">
        <v>14008</v>
      </c>
      <c r="B7003" s="106" t="s">
        <v>14009</v>
      </c>
      <c r="C7003" s="106"/>
      <c r="D7003" s="106"/>
      <c r="E7003" s="52"/>
    </row>
    <row r="7004" spans="1:5" s="103" customFormat="1" ht="13.2" hidden="1" outlineLevel="1" x14ac:dyDescent="0.25">
      <c r="A7004" s="106" t="s">
        <v>14010</v>
      </c>
      <c r="B7004" s="106" t="s">
        <v>14011</v>
      </c>
      <c r="C7004" s="106"/>
      <c r="D7004" s="106"/>
      <c r="E7004" s="52"/>
    </row>
    <row r="7005" spans="1:5" s="103" customFormat="1" ht="13.2" hidden="1" outlineLevel="1" x14ac:dyDescent="0.25">
      <c r="A7005" s="106" t="s">
        <v>14012</v>
      </c>
      <c r="B7005" s="106" t="s">
        <v>14013</v>
      </c>
      <c r="C7005" s="106"/>
      <c r="D7005" s="106"/>
      <c r="E7005" s="52"/>
    </row>
    <row r="7006" spans="1:5" s="103" customFormat="1" ht="13.2" hidden="1" outlineLevel="1" x14ac:dyDescent="0.25">
      <c r="A7006" s="106" t="s">
        <v>14014</v>
      </c>
      <c r="B7006" s="106" t="s">
        <v>14015</v>
      </c>
      <c r="C7006" s="106"/>
      <c r="D7006" s="106"/>
      <c r="E7006" s="52"/>
    </row>
    <row r="7007" spans="1:5" s="103" customFormat="1" ht="13.2" hidden="1" outlineLevel="1" x14ac:dyDescent="0.25">
      <c r="A7007" s="106" t="s">
        <v>14016</v>
      </c>
      <c r="B7007" s="106" t="s">
        <v>14017</v>
      </c>
      <c r="C7007" s="106"/>
      <c r="D7007" s="106"/>
      <c r="E7007" s="52"/>
    </row>
    <row r="7008" spans="1:5" s="103" customFormat="1" ht="13.2" hidden="1" outlineLevel="1" x14ac:dyDescent="0.25">
      <c r="A7008" s="106" t="s">
        <v>14018</v>
      </c>
      <c r="B7008" s="106" t="s">
        <v>14019</v>
      </c>
      <c r="C7008" s="106"/>
      <c r="D7008" s="106"/>
      <c r="E7008" s="52"/>
    </row>
    <row r="7009" spans="1:5" s="103" customFormat="1" ht="13.2" hidden="1" outlineLevel="1" x14ac:dyDescent="0.25">
      <c r="A7009" s="106" t="s">
        <v>14020</v>
      </c>
      <c r="B7009" s="106" t="s">
        <v>14021</v>
      </c>
      <c r="C7009" s="106"/>
      <c r="D7009" s="106"/>
      <c r="E7009" s="52"/>
    </row>
    <row r="7010" spans="1:5" s="103" customFormat="1" ht="13.2" hidden="1" outlineLevel="1" x14ac:dyDescent="0.25">
      <c r="A7010" s="106" t="s">
        <v>14022</v>
      </c>
      <c r="B7010" s="106" t="s">
        <v>14023</v>
      </c>
      <c r="C7010" s="106"/>
      <c r="D7010" s="106"/>
      <c r="E7010" s="52"/>
    </row>
    <row r="7011" spans="1:5" s="103" customFormat="1" ht="13.2" hidden="1" outlineLevel="1" x14ac:dyDescent="0.25">
      <c r="A7011" s="106" t="s">
        <v>14024</v>
      </c>
      <c r="B7011" s="106" t="s">
        <v>14025</v>
      </c>
      <c r="C7011" s="106"/>
      <c r="D7011" s="106"/>
      <c r="E7011" s="52"/>
    </row>
    <row r="7012" spans="1:5" s="103" customFormat="1" ht="13.2" hidden="1" outlineLevel="1" x14ac:dyDescent="0.25">
      <c r="A7012" s="106" t="s">
        <v>14026</v>
      </c>
      <c r="B7012" s="106" t="s">
        <v>14027</v>
      </c>
      <c r="C7012" s="106"/>
      <c r="D7012" s="106"/>
      <c r="E7012" s="52"/>
    </row>
    <row r="7013" spans="1:5" s="103" customFormat="1" ht="13.2" hidden="1" outlineLevel="1" x14ac:dyDescent="0.25">
      <c r="A7013" s="106" t="s">
        <v>14028</v>
      </c>
      <c r="B7013" s="106" t="s">
        <v>14029</v>
      </c>
      <c r="C7013" s="106"/>
      <c r="D7013" s="106"/>
      <c r="E7013" s="52"/>
    </row>
    <row r="7014" spans="1:5" s="103" customFormat="1" ht="13.2" hidden="1" outlineLevel="1" x14ac:dyDescent="0.25">
      <c r="A7014" s="106" t="s">
        <v>14030</v>
      </c>
      <c r="B7014" s="106" t="s">
        <v>14031</v>
      </c>
      <c r="C7014" s="106"/>
      <c r="D7014" s="106"/>
      <c r="E7014" s="52"/>
    </row>
    <row r="7015" spans="1:5" s="103" customFormat="1" ht="13.2" hidden="1" outlineLevel="1" x14ac:dyDescent="0.25">
      <c r="A7015" s="106" t="s">
        <v>14032</v>
      </c>
      <c r="B7015" s="106" t="s">
        <v>14033</v>
      </c>
      <c r="C7015" s="106"/>
      <c r="D7015" s="106"/>
      <c r="E7015" s="52"/>
    </row>
    <row r="7016" spans="1:5" s="103" customFormat="1" ht="13.2" hidden="1" outlineLevel="1" x14ac:dyDescent="0.25">
      <c r="A7016" s="106" t="s">
        <v>14034</v>
      </c>
      <c r="B7016" s="106" t="s">
        <v>14035</v>
      </c>
      <c r="C7016" s="106"/>
      <c r="D7016" s="106"/>
      <c r="E7016" s="52"/>
    </row>
    <row r="7017" spans="1:5" s="103" customFormat="1" ht="13.2" hidden="1" outlineLevel="1" x14ac:dyDescent="0.25">
      <c r="A7017" s="106" t="s">
        <v>14036</v>
      </c>
      <c r="B7017" s="106" t="s">
        <v>14037</v>
      </c>
      <c r="C7017" s="106"/>
      <c r="D7017" s="106"/>
      <c r="E7017" s="52"/>
    </row>
    <row r="7018" spans="1:5" s="103" customFormat="1" ht="13.2" hidden="1" outlineLevel="1" x14ac:dyDescent="0.25">
      <c r="A7018" s="106" t="s">
        <v>14038</v>
      </c>
      <c r="B7018" s="106" t="s">
        <v>14039</v>
      </c>
      <c r="C7018" s="106"/>
      <c r="D7018" s="106"/>
      <c r="E7018" s="52"/>
    </row>
    <row r="7019" spans="1:5" s="103" customFormat="1" ht="13.2" hidden="1" outlineLevel="1" x14ac:dyDescent="0.25">
      <c r="A7019" s="106" t="s">
        <v>14040</v>
      </c>
      <c r="B7019" s="106" t="s">
        <v>14041</v>
      </c>
      <c r="C7019" s="106"/>
      <c r="D7019" s="106"/>
      <c r="E7019" s="52"/>
    </row>
    <row r="7020" spans="1:5" s="103" customFormat="1" ht="13.2" hidden="1" outlineLevel="1" x14ac:dyDescent="0.25">
      <c r="A7020" s="106" t="s">
        <v>14042</v>
      </c>
      <c r="B7020" s="106" t="s">
        <v>14043</v>
      </c>
      <c r="C7020" s="106"/>
      <c r="D7020" s="106"/>
      <c r="E7020" s="52"/>
    </row>
    <row r="7021" spans="1:5" s="103" customFormat="1" ht="13.2" hidden="1" outlineLevel="1" x14ac:dyDescent="0.25">
      <c r="A7021" s="106" t="s">
        <v>14044</v>
      </c>
      <c r="B7021" s="106" t="s">
        <v>14045</v>
      </c>
      <c r="C7021" s="106"/>
      <c r="D7021" s="106"/>
      <c r="E7021" s="52"/>
    </row>
    <row r="7022" spans="1:5" s="103" customFormat="1" ht="13.2" hidden="1" outlineLevel="1" x14ac:dyDescent="0.25">
      <c r="A7022" s="106" t="s">
        <v>14046</v>
      </c>
      <c r="B7022" s="106" t="s">
        <v>14047</v>
      </c>
      <c r="C7022" s="106"/>
      <c r="D7022" s="106"/>
      <c r="E7022" s="52"/>
    </row>
    <row r="7023" spans="1:5" s="103" customFormat="1" ht="13.2" hidden="1" outlineLevel="1" x14ac:dyDescent="0.25">
      <c r="A7023" s="106" t="s">
        <v>14048</v>
      </c>
      <c r="B7023" s="106" t="s">
        <v>14049</v>
      </c>
      <c r="C7023" s="106"/>
      <c r="D7023" s="106"/>
      <c r="E7023" s="52"/>
    </row>
    <row r="7024" spans="1:5" s="103" customFormat="1" ht="13.2" hidden="1" outlineLevel="1" x14ac:dyDescent="0.25">
      <c r="A7024" s="106" t="s">
        <v>14050</v>
      </c>
      <c r="B7024" s="106" t="s">
        <v>14051</v>
      </c>
      <c r="C7024" s="106"/>
      <c r="D7024" s="106"/>
      <c r="E7024" s="52"/>
    </row>
    <row r="7025" spans="1:5" s="103" customFormat="1" ht="13.2" hidden="1" outlineLevel="1" x14ac:dyDescent="0.25">
      <c r="A7025" s="106" t="s">
        <v>14052</v>
      </c>
      <c r="B7025" s="106" t="s">
        <v>14053</v>
      </c>
      <c r="C7025" s="106"/>
      <c r="D7025" s="106"/>
      <c r="E7025" s="52"/>
    </row>
    <row r="7026" spans="1:5" s="103" customFormat="1" ht="13.2" hidden="1" outlineLevel="1" x14ac:dyDescent="0.25">
      <c r="A7026" s="106" t="s">
        <v>14054</v>
      </c>
      <c r="B7026" s="106" t="s">
        <v>14055</v>
      </c>
      <c r="C7026" s="106"/>
      <c r="D7026" s="106"/>
      <c r="E7026" s="52"/>
    </row>
    <row r="7027" spans="1:5" s="103" customFormat="1" ht="13.2" hidden="1" outlineLevel="1" x14ac:dyDescent="0.25">
      <c r="A7027" s="106" t="s">
        <v>14056</v>
      </c>
      <c r="B7027" s="106" t="s">
        <v>14057</v>
      </c>
      <c r="C7027" s="106"/>
      <c r="D7027" s="106"/>
      <c r="E7027" s="52"/>
    </row>
    <row r="7028" spans="1:5" s="103" customFormat="1" ht="13.2" hidden="1" outlineLevel="1" x14ac:dyDescent="0.25">
      <c r="A7028" s="106" t="s">
        <v>14058</v>
      </c>
      <c r="B7028" s="106" t="s">
        <v>14059</v>
      </c>
      <c r="C7028" s="106"/>
      <c r="D7028" s="106"/>
      <c r="E7028" s="52"/>
    </row>
    <row r="7029" spans="1:5" s="103" customFormat="1" ht="13.2" hidden="1" outlineLevel="1" x14ac:dyDescent="0.25">
      <c r="A7029" s="106" t="s">
        <v>14060</v>
      </c>
      <c r="B7029" s="106" t="s">
        <v>14061</v>
      </c>
      <c r="C7029" s="106"/>
      <c r="D7029" s="106"/>
      <c r="E7029" s="52"/>
    </row>
    <row r="7030" spans="1:5" s="103" customFormat="1" ht="13.2" hidden="1" outlineLevel="1" x14ac:dyDescent="0.25">
      <c r="A7030" s="106" t="s">
        <v>14062</v>
      </c>
      <c r="B7030" s="106" t="s">
        <v>14063</v>
      </c>
      <c r="C7030" s="106"/>
      <c r="D7030" s="106"/>
      <c r="E7030" s="52"/>
    </row>
    <row r="7031" spans="1:5" s="103" customFormat="1" ht="13.2" hidden="1" outlineLevel="1" x14ac:dyDescent="0.25">
      <c r="A7031" s="106" t="s">
        <v>14064</v>
      </c>
      <c r="B7031" s="106" t="s">
        <v>14065</v>
      </c>
      <c r="C7031" s="106"/>
      <c r="D7031" s="106"/>
      <c r="E7031" s="52"/>
    </row>
    <row r="7032" spans="1:5" s="103" customFormat="1" ht="13.2" hidden="1" outlineLevel="1" x14ac:dyDescent="0.25">
      <c r="A7032" s="106" t="s">
        <v>14066</v>
      </c>
      <c r="B7032" s="106" t="s">
        <v>14067</v>
      </c>
      <c r="C7032" s="106"/>
      <c r="D7032" s="106"/>
      <c r="E7032" s="52"/>
    </row>
    <row r="7033" spans="1:5" s="103" customFormat="1" ht="13.2" hidden="1" outlineLevel="1" x14ac:dyDescent="0.25">
      <c r="A7033" s="106" t="s">
        <v>14068</v>
      </c>
      <c r="B7033" s="106" t="s">
        <v>14069</v>
      </c>
      <c r="C7033" s="106"/>
      <c r="D7033" s="106"/>
      <c r="E7033" s="52"/>
    </row>
    <row r="7034" spans="1:5" s="103" customFormat="1" ht="13.2" hidden="1" outlineLevel="1" x14ac:dyDescent="0.25">
      <c r="A7034" s="106" t="s">
        <v>14070</v>
      </c>
      <c r="B7034" s="106" t="s">
        <v>14071</v>
      </c>
      <c r="C7034" s="106"/>
      <c r="D7034" s="106"/>
      <c r="E7034" s="52"/>
    </row>
    <row r="7035" spans="1:5" s="103" customFormat="1" ht="13.2" hidden="1" outlineLevel="1" x14ac:dyDescent="0.25">
      <c r="A7035" s="106" t="s">
        <v>14072</v>
      </c>
      <c r="B7035" s="106" t="s">
        <v>14073</v>
      </c>
      <c r="C7035" s="106"/>
      <c r="D7035" s="106"/>
      <c r="E7035" s="52"/>
    </row>
    <row r="7036" spans="1:5" s="103" customFormat="1" ht="13.2" hidden="1" outlineLevel="1" x14ac:dyDescent="0.25">
      <c r="A7036" s="106" t="s">
        <v>14074</v>
      </c>
      <c r="B7036" s="106" t="s">
        <v>14075</v>
      </c>
      <c r="C7036" s="106"/>
      <c r="D7036" s="106"/>
      <c r="E7036" s="52"/>
    </row>
    <row r="7037" spans="1:5" s="103" customFormat="1" ht="13.2" hidden="1" outlineLevel="1" x14ac:dyDescent="0.25">
      <c r="A7037" s="106" t="s">
        <v>14076</v>
      </c>
      <c r="B7037" s="106" t="s">
        <v>14077</v>
      </c>
      <c r="C7037" s="106"/>
      <c r="D7037" s="106"/>
      <c r="E7037" s="52"/>
    </row>
    <row r="7038" spans="1:5" s="103" customFormat="1" ht="13.2" hidden="1" outlineLevel="1" x14ac:dyDescent="0.25">
      <c r="A7038" s="106" t="s">
        <v>14078</v>
      </c>
      <c r="B7038" s="106" t="s">
        <v>14079</v>
      </c>
      <c r="C7038" s="106"/>
      <c r="D7038" s="106"/>
      <c r="E7038" s="52"/>
    </row>
    <row r="7039" spans="1:5" s="103" customFormat="1" ht="13.2" hidden="1" outlineLevel="1" x14ac:dyDescent="0.25">
      <c r="A7039" s="106" t="s">
        <v>14080</v>
      </c>
      <c r="B7039" s="106" t="s">
        <v>14081</v>
      </c>
      <c r="C7039" s="106"/>
      <c r="D7039" s="106"/>
      <c r="E7039" s="52"/>
    </row>
    <row r="7040" spans="1:5" s="103" customFormat="1" ht="13.2" hidden="1" outlineLevel="1" x14ac:dyDescent="0.25">
      <c r="A7040" s="106" t="s">
        <v>14082</v>
      </c>
      <c r="B7040" s="106" t="s">
        <v>14083</v>
      </c>
      <c r="C7040" s="106"/>
      <c r="D7040" s="106"/>
      <c r="E7040" s="52"/>
    </row>
    <row r="7041" spans="1:5" s="103" customFormat="1" ht="13.2" hidden="1" outlineLevel="1" x14ac:dyDescent="0.25">
      <c r="A7041" s="106" t="s">
        <v>14084</v>
      </c>
      <c r="B7041" s="106" t="s">
        <v>14085</v>
      </c>
      <c r="C7041" s="106"/>
      <c r="D7041" s="106"/>
      <c r="E7041" s="52"/>
    </row>
    <row r="7042" spans="1:5" s="103" customFormat="1" ht="13.2" hidden="1" outlineLevel="1" x14ac:dyDescent="0.25">
      <c r="A7042" s="106" t="s">
        <v>14086</v>
      </c>
      <c r="B7042" s="106" t="s">
        <v>14087</v>
      </c>
      <c r="C7042" s="106"/>
      <c r="D7042" s="106"/>
      <c r="E7042" s="52"/>
    </row>
    <row r="7043" spans="1:5" s="103" customFormat="1" ht="13.2" hidden="1" outlineLevel="1" x14ac:dyDescent="0.25">
      <c r="A7043" s="106" t="s">
        <v>14088</v>
      </c>
      <c r="B7043" s="106" t="s">
        <v>14089</v>
      </c>
      <c r="C7043" s="106"/>
      <c r="D7043" s="106"/>
      <c r="E7043" s="52"/>
    </row>
    <row r="7044" spans="1:5" s="103" customFormat="1" ht="13.2" hidden="1" outlineLevel="1" x14ac:dyDescent="0.25">
      <c r="A7044" s="106" t="s">
        <v>14090</v>
      </c>
      <c r="B7044" s="106" t="s">
        <v>14091</v>
      </c>
      <c r="C7044" s="106"/>
      <c r="D7044" s="106"/>
      <c r="E7044" s="52"/>
    </row>
    <row r="7045" spans="1:5" s="103" customFormat="1" ht="13.2" hidden="1" outlineLevel="1" x14ac:dyDescent="0.25">
      <c r="A7045" s="106" t="s">
        <v>14092</v>
      </c>
      <c r="B7045" s="106" t="s">
        <v>14093</v>
      </c>
      <c r="C7045" s="106"/>
      <c r="D7045" s="106"/>
      <c r="E7045" s="52"/>
    </row>
    <row r="7046" spans="1:5" s="103" customFormat="1" ht="13.2" hidden="1" outlineLevel="1" x14ac:dyDescent="0.25">
      <c r="A7046" s="106" t="s">
        <v>14094</v>
      </c>
      <c r="B7046" s="106" t="s">
        <v>14095</v>
      </c>
      <c r="C7046" s="106"/>
      <c r="D7046" s="106"/>
      <c r="E7046" s="52"/>
    </row>
    <row r="7047" spans="1:5" s="103" customFormat="1" ht="13.2" hidden="1" outlineLevel="1" x14ac:dyDescent="0.25">
      <c r="A7047" s="106" t="s">
        <v>14096</v>
      </c>
      <c r="B7047" s="106" t="s">
        <v>14097</v>
      </c>
      <c r="C7047" s="106"/>
      <c r="D7047" s="106"/>
      <c r="E7047" s="52"/>
    </row>
    <row r="7048" spans="1:5" s="103" customFormat="1" ht="13.2" hidden="1" outlineLevel="1" x14ac:dyDescent="0.25">
      <c r="A7048" s="106" t="s">
        <v>14098</v>
      </c>
      <c r="B7048" s="106" t="s">
        <v>14099</v>
      </c>
      <c r="C7048" s="106"/>
      <c r="D7048" s="106"/>
      <c r="E7048" s="52"/>
    </row>
    <row r="7049" spans="1:5" s="103" customFormat="1" ht="13.2" hidden="1" outlineLevel="1" x14ac:dyDescent="0.25">
      <c r="A7049" s="106" t="s">
        <v>14100</v>
      </c>
      <c r="B7049" s="106" t="s">
        <v>14101</v>
      </c>
      <c r="C7049" s="106"/>
      <c r="D7049" s="106"/>
      <c r="E7049" s="52"/>
    </row>
    <row r="7050" spans="1:5" s="103" customFormat="1" ht="13.2" hidden="1" outlineLevel="1" x14ac:dyDescent="0.25">
      <c r="A7050" s="106" t="s">
        <v>14102</v>
      </c>
      <c r="B7050" s="106" t="s">
        <v>14103</v>
      </c>
      <c r="C7050" s="106"/>
      <c r="D7050" s="106"/>
      <c r="E7050" s="52"/>
    </row>
    <row r="7051" spans="1:5" s="103" customFormat="1" ht="13.2" hidden="1" outlineLevel="1" x14ac:dyDescent="0.25">
      <c r="A7051" s="106" t="s">
        <v>14104</v>
      </c>
      <c r="B7051" s="106" t="s">
        <v>14105</v>
      </c>
      <c r="C7051" s="106"/>
      <c r="D7051" s="106"/>
      <c r="E7051" s="52"/>
    </row>
    <row r="7052" spans="1:5" s="103" customFormat="1" ht="13.2" hidden="1" outlineLevel="1" x14ac:dyDescent="0.25">
      <c r="A7052" s="106" t="s">
        <v>14106</v>
      </c>
      <c r="B7052" s="106" t="s">
        <v>14107</v>
      </c>
      <c r="C7052" s="106"/>
      <c r="D7052" s="106"/>
      <c r="E7052" s="52"/>
    </row>
    <row r="7053" spans="1:5" s="103" customFormat="1" ht="13.2" hidden="1" outlineLevel="1" x14ac:dyDescent="0.25">
      <c r="A7053" s="106" t="s">
        <v>14108</v>
      </c>
      <c r="B7053" s="106" t="s">
        <v>14109</v>
      </c>
      <c r="C7053" s="106"/>
      <c r="D7053" s="106"/>
      <c r="E7053" s="52"/>
    </row>
    <row r="7054" spans="1:5" s="103" customFormat="1" ht="13.2" hidden="1" outlineLevel="1" x14ac:dyDescent="0.25">
      <c r="A7054" s="106" t="s">
        <v>14110</v>
      </c>
      <c r="B7054" s="106" t="s">
        <v>14111</v>
      </c>
      <c r="C7054" s="106"/>
      <c r="D7054" s="106"/>
      <c r="E7054" s="52"/>
    </row>
    <row r="7055" spans="1:5" s="103" customFormat="1" ht="13.2" hidden="1" outlineLevel="1" x14ac:dyDescent="0.25">
      <c r="A7055" s="106" t="s">
        <v>14112</v>
      </c>
      <c r="B7055" s="106" t="s">
        <v>14113</v>
      </c>
      <c r="C7055" s="106"/>
      <c r="D7055" s="106"/>
      <c r="E7055" s="52"/>
    </row>
    <row r="7056" spans="1:5" s="103" customFormat="1" ht="13.2" hidden="1" outlineLevel="1" x14ac:dyDescent="0.25">
      <c r="A7056" s="106" t="s">
        <v>14114</v>
      </c>
      <c r="B7056" s="106" t="s">
        <v>14115</v>
      </c>
      <c r="C7056" s="106"/>
      <c r="D7056" s="106"/>
      <c r="E7056" s="52"/>
    </row>
    <row r="7057" spans="1:5" s="103" customFormat="1" ht="13.2" hidden="1" outlineLevel="1" x14ac:dyDescent="0.25">
      <c r="A7057" s="106" t="s">
        <v>14116</v>
      </c>
      <c r="B7057" s="106" t="s">
        <v>14117</v>
      </c>
      <c r="C7057" s="106"/>
      <c r="D7057" s="106"/>
      <c r="E7057" s="52"/>
    </row>
    <row r="7058" spans="1:5" s="103" customFormat="1" ht="13.2" hidden="1" outlineLevel="1" x14ac:dyDescent="0.25">
      <c r="A7058" s="106" t="s">
        <v>14118</v>
      </c>
      <c r="B7058" s="106" t="s">
        <v>14119</v>
      </c>
      <c r="C7058" s="106"/>
      <c r="D7058" s="106"/>
      <c r="E7058" s="52"/>
    </row>
    <row r="7059" spans="1:5" s="103" customFormat="1" ht="13.2" hidden="1" outlineLevel="1" x14ac:dyDescent="0.25">
      <c r="A7059" s="106" t="s">
        <v>14120</v>
      </c>
      <c r="B7059" s="106" t="s">
        <v>14121</v>
      </c>
      <c r="C7059" s="106"/>
      <c r="D7059" s="106"/>
      <c r="E7059" s="52"/>
    </row>
    <row r="7060" spans="1:5" s="103" customFormat="1" ht="13.2" hidden="1" outlineLevel="1" x14ac:dyDescent="0.25">
      <c r="A7060" s="106" t="s">
        <v>14122</v>
      </c>
      <c r="B7060" s="106" t="s">
        <v>14123</v>
      </c>
      <c r="C7060" s="106"/>
      <c r="D7060" s="106"/>
      <c r="E7060" s="52"/>
    </row>
    <row r="7061" spans="1:5" s="103" customFormat="1" ht="13.2" hidden="1" outlineLevel="1" x14ac:dyDescent="0.25">
      <c r="A7061" s="106" t="s">
        <v>14124</v>
      </c>
      <c r="B7061" s="106" t="s">
        <v>14125</v>
      </c>
      <c r="C7061" s="106"/>
      <c r="D7061" s="106"/>
      <c r="E7061" s="52"/>
    </row>
    <row r="7062" spans="1:5" s="103" customFormat="1" ht="13.2" hidden="1" outlineLevel="1" x14ac:dyDescent="0.25">
      <c r="A7062" s="106" t="s">
        <v>14126</v>
      </c>
      <c r="B7062" s="106" t="s">
        <v>14127</v>
      </c>
      <c r="C7062" s="106"/>
      <c r="D7062" s="106"/>
      <c r="E7062" s="52"/>
    </row>
    <row r="7063" spans="1:5" s="103" customFormat="1" ht="13.2" hidden="1" outlineLevel="1" x14ac:dyDescent="0.25">
      <c r="A7063" s="106" t="s">
        <v>14128</v>
      </c>
      <c r="B7063" s="106" t="s">
        <v>14129</v>
      </c>
      <c r="C7063" s="106"/>
      <c r="D7063" s="106"/>
      <c r="E7063" s="52"/>
    </row>
    <row r="7064" spans="1:5" s="103" customFormat="1" ht="13.2" hidden="1" outlineLevel="1" x14ac:dyDescent="0.25">
      <c r="A7064" s="106" t="s">
        <v>14130</v>
      </c>
      <c r="B7064" s="106" t="s">
        <v>14131</v>
      </c>
      <c r="C7064" s="106"/>
      <c r="D7064" s="106"/>
      <c r="E7064" s="52"/>
    </row>
    <row r="7065" spans="1:5" s="103" customFormat="1" ht="13.2" hidden="1" outlineLevel="1" x14ac:dyDescent="0.25">
      <c r="A7065" s="106" t="s">
        <v>14132</v>
      </c>
      <c r="B7065" s="106" t="s">
        <v>14133</v>
      </c>
      <c r="C7065" s="106"/>
      <c r="D7065" s="106"/>
      <c r="E7065" s="52"/>
    </row>
    <row r="7066" spans="1:5" s="103" customFormat="1" ht="13.2" hidden="1" outlineLevel="1" x14ac:dyDescent="0.25">
      <c r="A7066" s="106" t="s">
        <v>14134</v>
      </c>
      <c r="B7066" s="106" t="s">
        <v>14135</v>
      </c>
      <c r="C7066" s="106"/>
      <c r="D7066" s="106"/>
      <c r="E7066" s="52"/>
    </row>
    <row r="7067" spans="1:5" s="103" customFormat="1" ht="13.2" hidden="1" outlineLevel="1" x14ac:dyDescent="0.25">
      <c r="A7067" s="106" t="s">
        <v>14136</v>
      </c>
      <c r="B7067" s="106" t="s">
        <v>14137</v>
      </c>
      <c r="C7067" s="106"/>
      <c r="D7067" s="106"/>
      <c r="E7067" s="52"/>
    </row>
    <row r="7068" spans="1:5" s="103" customFormat="1" ht="13.2" hidden="1" outlineLevel="1" x14ac:dyDescent="0.25">
      <c r="A7068" s="106" t="s">
        <v>14138</v>
      </c>
      <c r="B7068" s="106" t="s">
        <v>14139</v>
      </c>
      <c r="C7068" s="106"/>
      <c r="D7068" s="106"/>
      <c r="E7068" s="52"/>
    </row>
    <row r="7069" spans="1:5" s="103" customFormat="1" ht="13.2" hidden="1" outlineLevel="1" x14ac:dyDescent="0.25">
      <c r="A7069" s="106" t="s">
        <v>14140</v>
      </c>
      <c r="B7069" s="106" t="s">
        <v>14141</v>
      </c>
      <c r="C7069" s="106"/>
      <c r="D7069" s="106"/>
      <c r="E7069" s="52"/>
    </row>
    <row r="7070" spans="1:5" s="103" customFormat="1" ht="13.2" hidden="1" outlineLevel="1" x14ac:dyDescent="0.25">
      <c r="A7070" s="106" t="s">
        <v>14142</v>
      </c>
      <c r="B7070" s="106" t="s">
        <v>14143</v>
      </c>
      <c r="C7070" s="106"/>
      <c r="D7070" s="106"/>
      <c r="E7070" s="52"/>
    </row>
    <row r="7071" spans="1:5" s="103" customFormat="1" ht="13.2" hidden="1" outlineLevel="1" x14ac:dyDescent="0.25">
      <c r="A7071" s="106" t="s">
        <v>14144</v>
      </c>
      <c r="B7071" s="106" t="s">
        <v>14145</v>
      </c>
      <c r="C7071" s="106"/>
      <c r="D7071" s="106"/>
      <c r="E7071" s="52"/>
    </row>
    <row r="7072" spans="1:5" s="103" customFormat="1" ht="13.2" hidden="1" outlineLevel="1" x14ac:dyDescent="0.25">
      <c r="A7072" s="106" t="s">
        <v>14146</v>
      </c>
      <c r="B7072" s="106" t="s">
        <v>14147</v>
      </c>
      <c r="C7072" s="106"/>
      <c r="D7072" s="106"/>
      <c r="E7072" s="52"/>
    </row>
    <row r="7073" spans="1:5" s="103" customFormat="1" ht="13.2" hidden="1" outlineLevel="1" x14ac:dyDescent="0.25">
      <c r="A7073" s="106" t="s">
        <v>14148</v>
      </c>
      <c r="B7073" s="106" t="s">
        <v>14149</v>
      </c>
      <c r="C7073" s="106"/>
      <c r="D7073" s="106"/>
      <c r="E7073" s="52"/>
    </row>
    <row r="7074" spans="1:5" s="103" customFormat="1" ht="13.2" hidden="1" outlineLevel="1" x14ac:dyDescent="0.25">
      <c r="A7074" s="106" t="s">
        <v>14150</v>
      </c>
      <c r="B7074" s="106" t="s">
        <v>14151</v>
      </c>
      <c r="C7074" s="106"/>
      <c r="D7074" s="106"/>
      <c r="E7074" s="52"/>
    </row>
    <row r="7075" spans="1:5" s="103" customFormat="1" ht="13.2" hidden="1" outlineLevel="1" x14ac:dyDescent="0.25">
      <c r="A7075" s="106" t="s">
        <v>14152</v>
      </c>
      <c r="B7075" s="106" t="s">
        <v>14153</v>
      </c>
      <c r="C7075" s="106"/>
      <c r="D7075" s="106"/>
      <c r="E7075" s="52"/>
    </row>
    <row r="7076" spans="1:5" s="103" customFormat="1" ht="13.2" hidden="1" outlineLevel="1" x14ac:dyDescent="0.25">
      <c r="A7076" s="106" t="s">
        <v>14154</v>
      </c>
      <c r="B7076" s="106" t="s">
        <v>14155</v>
      </c>
      <c r="C7076" s="106"/>
      <c r="D7076" s="106"/>
      <c r="E7076" s="52"/>
    </row>
    <row r="7077" spans="1:5" s="103" customFormat="1" ht="13.2" hidden="1" outlineLevel="1" x14ac:dyDescent="0.25">
      <c r="A7077" s="106" t="s">
        <v>14156</v>
      </c>
      <c r="B7077" s="106" t="s">
        <v>14157</v>
      </c>
      <c r="C7077" s="106"/>
      <c r="D7077" s="106"/>
      <c r="E7077" s="52"/>
    </row>
    <row r="7078" spans="1:5" s="103" customFormat="1" ht="13.2" hidden="1" outlineLevel="1" x14ac:dyDescent="0.25">
      <c r="A7078" s="106" t="s">
        <v>14158</v>
      </c>
      <c r="B7078" s="106" t="s">
        <v>14159</v>
      </c>
      <c r="C7078" s="106"/>
      <c r="D7078" s="106"/>
      <c r="E7078" s="52"/>
    </row>
    <row r="7079" spans="1:5" s="103" customFormat="1" ht="13.2" hidden="1" outlineLevel="1" x14ac:dyDescent="0.25">
      <c r="A7079" s="106" t="s">
        <v>14160</v>
      </c>
      <c r="B7079" s="106" t="s">
        <v>14161</v>
      </c>
      <c r="C7079" s="106"/>
      <c r="D7079" s="106"/>
      <c r="E7079" s="52"/>
    </row>
    <row r="7080" spans="1:5" s="103" customFormat="1" ht="13.2" hidden="1" outlineLevel="1" x14ac:dyDescent="0.25">
      <c r="A7080" s="106" t="s">
        <v>14162</v>
      </c>
      <c r="B7080" s="106" t="s">
        <v>14163</v>
      </c>
      <c r="C7080" s="106"/>
      <c r="D7080" s="106"/>
      <c r="E7080" s="52"/>
    </row>
    <row r="7081" spans="1:5" s="103" customFormat="1" ht="13.2" hidden="1" outlineLevel="1" x14ac:dyDescent="0.25">
      <c r="A7081" s="106" t="s">
        <v>14164</v>
      </c>
      <c r="B7081" s="106" t="s">
        <v>14165</v>
      </c>
      <c r="C7081" s="106"/>
      <c r="D7081" s="106"/>
      <c r="E7081" s="52"/>
    </row>
    <row r="7082" spans="1:5" s="103" customFormat="1" ht="13.2" hidden="1" outlineLevel="1" x14ac:dyDescent="0.25">
      <c r="A7082" s="106" t="s">
        <v>14166</v>
      </c>
      <c r="B7082" s="106" t="s">
        <v>14167</v>
      </c>
      <c r="C7082" s="106"/>
      <c r="D7082" s="106"/>
      <c r="E7082" s="52"/>
    </row>
    <row r="7083" spans="1:5" s="103" customFormat="1" ht="13.2" hidden="1" outlineLevel="1" x14ac:dyDescent="0.25">
      <c r="A7083" s="106" t="s">
        <v>14168</v>
      </c>
      <c r="B7083" s="106" t="s">
        <v>14169</v>
      </c>
      <c r="C7083" s="106"/>
      <c r="D7083" s="106"/>
      <c r="E7083" s="52"/>
    </row>
    <row r="7084" spans="1:5" s="103" customFormat="1" ht="13.2" hidden="1" outlineLevel="1" x14ac:dyDescent="0.25">
      <c r="A7084" s="106" t="s">
        <v>14170</v>
      </c>
      <c r="B7084" s="106" t="s">
        <v>14171</v>
      </c>
      <c r="C7084" s="106"/>
      <c r="D7084" s="106"/>
      <c r="E7084" s="52"/>
    </row>
    <row r="7085" spans="1:5" s="103" customFormat="1" ht="13.2" hidden="1" outlineLevel="1" x14ac:dyDescent="0.25">
      <c r="A7085" s="106" t="s">
        <v>14172</v>
      </c>
      <c r="B7085" s="106" t="s">
        <v>14173</v>
      </c>
      <c r="C7085" s="106"/>
      <c r="D7085" s="106"/>
      <c r="E7085" s="52"/>
    </row>
    <row r="7086" spans="1:5" s="103" customFormat="1" ht="13.2" hidden="1" outlineLevel="1" x14ac:dyDescent="0.25">
      <c r="A7086" s="106" t="s">
        <v>14174</v>
      </c>
      <c r="B7086" s="106" t="s">
        <v>14175</v>
      </c>
      <c r="C7086" s="106"/>
      <c r="D7086" s="106"/>
      <c r="E7086" s="52"/>
    </row>
    <row r="7087" spans="1:5" s="103" customFormat="1" ht="13.2" hidden="1" outlineLevel="1" x14ac:dyDescent="0.25">
      <c r="A7087" s="106" t="s">
        <v>14176</v>
      </c>
      <c r="B7087" s="106" t="s">
        <v>14177</v>
      </c>
      <c r="C7087" s="106"/>
      <c r="D7087" s="106"/>
      <c r="E7087" s="52"/>
    </row>
    <row r="7088" spans="1:5" s="103" customFormat="1" ht="13.2" hidden="1" outlineLevel="1" x14ac:dyDescent="0.25">
      <c r="A7088" s="106" t="s">
        <v>14178</v>
      </c>
      <c r="B7088" s="106" t="s">
        <v>14179</v>
      </c>
      <c r="C7088" s="106"/>
      <c r="D7088" s="106"/>
      <c r="E7088" s="52"/>
    </row>
    <row r="7089" spans="1:5" s="103" customFormat="1" ht="13.2" hidden="1" outlineLevel="1" x14ac:dyDescent="0.25">
      <c r="A7089" s="106" t="s">
        <v>14180</v>
      </c>
      <c r="B7089" s="106" t="s">
        <v>14181</v>
      </c>
      <c r="C7089" s="106"/>
      <c r="D7089" s="106"/>
      <c r="E7089" s="52"/>
    </row>
    <row r="7090" spans="1:5" s="103" customFormat="1" ht="13.2" hidden="1" outlineLevel="1" x14ac:dyDescent="0.25">
      <c r="A7090" s="106" t="s">
        <v>14182</v>
      </c>
      <c r="B7090" s="106" t="s">
        <v>14183</v>
      </c>
      <c r="C7090" s="106"/>
      <c r="D7090" s="106"/>
      <c r="E7090" s="52"/>
    </row>
    <row r="7091" spans="1:5" s="103" customFormat="1" ht="13.2" hidden="1" outlineLevel="1" x14ac:dyDescent="0.25">
      <c r="A7091" s="106" t="s">
        <v>14184</v>
      </c>
      <c r="B7091" s="106" t="s">
        <v>14185</v>
      </c>
      <c r="C7091" s="106"/>
      <c r="D7091" s="106"/>
      <c r="E7091" s="52"/>
    </row>
    <row r="7092" spans="1:5" s="103" customFormat="1" ht="13.2" hidden="1" outlineLevel="1" x14ac:dyDescent="0.25">
      <c r="A7092" s="106" t="s">
        <v>14186</v>
      </c>
      <c r="B7092" s="106" t="s">
        <v>14187</v>
      </c>
      <c r="C7092" s="106"/>
      <c r="D7092" s="106"/>
      <c r="E7092" s="52"/>
    </row>
    <row r="7093" spans="1:5" s="103" customFormat="1" ht="13.2" hidden="1" outlineLevel="1" x14ac:dyDescent="0.25">
      <c r="A7093" s="106" t="s">
        <v>14188</v>
      </c>
      <c r="B7093" s="106" t="s">
        <v>14189</v>
      </c>
      <c r="C7093" s="106"/>
      <c r="D7093" s="106"/>
      <c r="E7093" s="52"/>
    </row>
    <row r="7094" spans="1:5" s="103" customFormat="1" ht="13.2" hidden="1" outlineLevel="1" x14ac:dyDescent="0.25">
      <c r="A7094" s="106" t="s">
        <v>14190</v>
      </c>
      <c r="B7094" s="106" t="s">
        <v>14191</v>
      </c>
      <c r="C7094" s="106"/>
      <c r="D7094" s="106"/>
      <c r="E7094" s="52"/>
    </row>
    <row r="7095" spans="1:5" s="103" customFormat="1" ht="13.2" hidden="1" outlineLevel="1" x14ac:dyDescent="0.25">
      <c r="A7095" s="106" t="s">
        <v>14192</v>
      </c>
      <c r="B7095" s="106" t="s">
        <v>14193</v>
      </c>
      <c r="C7095" s="106"/>
      <c r="D7095" s="106"/>
      <c r="E7095" s="52"/>
    </row>
    <row r="7096" spans="1:5" s="103" customFormat="1" ht="13.2" hidden="1" outlineLevel="1" x14ac:dyDescent="0.25">
      <c r="A7096" s="106" t="s">
        <v>14194</v>
      </c>
      <c r="B7096" s="106" t="s">
        <v>14195</v>
      </c>
      <c r="C7096" s="106"/>
      <c r="D7096" s="106"/>
      <c r="E7096" s="52"/>
    </row>
    <row r="7097" spans="1:5" s="103" customFormat="1" ht="13.2" hidden="1" outlineLevel="1" x14ac:dyDescent="0.25">
      <c r="A7097" s="106" t="s">
        <v>14196</v>
      </c>
      <c r="B7097" s="106" t="s">
        <v>14197</v>
      </c>
      <c r="C7097" s="106"/>
      <c r="D7097" s="106"/>
      <c r="E7097" s="52"/>
    </row>
    <row r="7098" spans="1:5" s="103" customFormat="1" ht="13.2" hidden="1" outlineLevel="1" x14ac:dyDescent="0.25">
      <c r="A7098" s="106" t="s">
        <v>14198</v>
      </c>
      <c r="B7098" s="106" t="s">
        <v>14199</v>
      </c>
      <c r="C7098" s="106"/>
      <c r="D7098" s="106"/>
      <c r="E7098" s="52"/>
    </row>
    <row r="7099" spans="1:5" s="103" customFormat="1" ht="13.2" hidden="1" outlineLevel="1" x14ac:dyDescent="0.25">
      <c r="A7099" s="106" t="s">
        <v>14200</v>
      </c>
      <c r="B7099" s="106" t="s">
        <v>14201</v>
      </c>
      <c r="C7099" s="106"/>
      <c r="D7099" s="106"/>
      <c r="E7099" s="52"/>
    </row>
    <row r="7100" spans="1:5" s="103" customFormat="1" ht="13.2" hidden="1" outlineLevel="1" x14ac:dyDescent="0.25">
      <c r="A7100" s="106" t="s">
        <v>14202</v>
      </c>
      <c r="B7100" s="106" t="s">
        <v>14203</v>
      </c>
      <c r="C7100" s="106"/>
      <c r="D7100" s="106"/>
      <c r="E7100" s="52"/>
    </row>
    <row r="7101" spans="1:5" s="103" customFormat="1" ht="13.2" hidden="1" outlineLevel="1" x14ac:dyDescent="0.25">
      <c r="A7101" s="106" t="s">
        <v>14204</v>
      </c>
      <c r="B7101" s="106" t="s">
        <v>14205</v>
      </c>
      <c r="C7101" s="106"/>
      <c r="D7101" s="106"/>
      <c r="E7101" s="52"/>
    </row>
    <row r="7102" spans="1:5" s="103" customFormat="1" ht="13.2" hidden="1" outlineLevel="1" x14ac:dyDescent="0.25">
      <c r="A7102" s="106" t="s">
        <v>14206</v>
      </c>
      <c r="B7102" s="106" t="s">
        <v>14207</v>
      </c>
      <c r="C7102" s="106"/>
      <c r="D7102" s="106"/>
      <c r="E7102" s="52"/>
    </row>
    <row r="7103" spans="1:5" s="103" customFormat="1" ht="13.2" hidden="1" outlineLevel="1" x14ac:dyDescent="0.25">
      <c r="A7103" s="106" t="s">
        <v>14208</v>
      </c>
      <c r="B7103" s="106" t="s">
        <v>14209</v>
      </c>
      <c r="C7103" s="106"/>
      <c r="D7103" s="106"/>
      <c r="E7103" s="52"/>
    </row>
    <row r="7104" spans="1:5" s="103" customFormat="1" ht="13.2" hidden="1" outlineLevel="1" x14ac:dyDescent="0.25">
      <c r="A7104" s="106" t="s">
        <v>14210</v>
      </c>
      <c r="B7104" s="106" t="s">
        <v>14211</v>
      </c>
      <c r="C7104" s="106"/>
      <c r="D7104" s="106"/>
      <c r="E7104" s="52"/>
    </row>
    <row r="7105" spans="1:5" s="103" customFormat="1" ht="13.2" hidden="1" outlineLevel="1" x14ac:dyDescent="0.25">
      <c r="A7105" s="106" t="s">
        <v>14212</v>
      </c>
      <c r="B7105" s="106" t="s">
        <v>14213</v>
      </c>
      <c r="C7105" s="106"/>
      <c r="D7105" s="106"/>
      <c r="E7105" s="52"/>
    </row>
    <row r="7106" spans="1:5" s="103" customFormat="1" ht="13.2" hidden="1" outlineLevel="1" x14ac:dyDescent="0.25">
      <c r="A7106" s="106" t="s">
        <v>14214</v>
      </c>
      <c r="B7106" s="106" t="s">
        <v>14215</v>
      </c>
      <c r="C7106" s="106"/>
      <c r="D7106" s="106"/>
      <c r="E7106" s="52"/>
    </row>
    <row r="7107" spans="1:5" s="103" customFormat="1" ht="13.2" hidden="1" outlineLevel="1" x14ac:dyDescent="0.25">
      <c r="A7107" s="106" t="s">
        <v>14216</v>
      </c>
      <c r="B7107" s="106" t="s">
        <v>14217</v>
      </c>
      <c r="C7107" s="106"/>
      <c r="D7107" s="106"/>
      <c r="E7107" s="52"/>
    </row>
    <row r="7108" spans="1:5" s="103" customFormat="1" ht="13.2" hidden="1" outlineLevel="1" x14ac:dyDescent="0.25">
      <c r="A7108" s="106" t="s">
        <v>14218</v>
      </c>
      <c r="B7108" s="106" t="s">
        <v>14219</v>
      </c>
      <c r="C7108" s="106"/>
      <c r="D7108" s="106"/>
      <c r="E7108" s="52"/>
    </row>
    <row r="7109" spans="1:5" s="103" customFormat="1" ht="13.2" hidden="1" outlineLevel="1" x14ac:dyDescent="0.25">
      <c r="A7109" s="106" t="s">
        <v>14220</v>
      </c>
      <c r="B7109" s="106" t="s">
        <v>14221</v>
      </c>
      <c r="C7109" s="106"/>
      <c r="D7109" s="106"/>
      <c r="E7109" s="52"/>
    </row>
    <row r="7110" spans="1:5" s="103" customFormat="1" ht="13.2" hidden="1" outlineLevel="1" x14ac:dyDescent="0.25">
      <c r="A7110" s="106" t="s">
        <v>14222</v>
      </c>
      <c r="B7110" s="106" t="s">
        <v>14223</v>
      </c>
      <c r="C7110" s="106"/>
      <c r="D7110" s="106"/>
      <c r="E7110" s="52"/>
    </row>
    <row r="7111" spans="1:5" s="103" customFormat="1" ht="13.2" hidden="1" outlineLevel="1" x14ac:dyDescent="0.25">
      <c r="A7111" s="106" t="s">
        <v>14224</v>
      </c>
      <c r="B7111" s="106" t="s">
        <v>14225</v>
      </c>
      <c r="C7111" s="106"/>
      <c r="D7111" s="106"/>
      <c r="E7111" s="52"/>
    </row>
    <row r="7112" spans="1:5" s="103" customFormat="1" ht="13.2" hidden="1" outlineLevel="1" x14ac:dyDescent="0.25">
      <c r="A7112" s="106" t="s">
        <v>14226</v>
      </c>
      <c r="B7112" s="106" t="s">
        <v>14227</v>
      </c>
      <c r="C7112" s="106"/>
      <c r="D7112" s="106"/>
      <c r="E7112" s="52"/>
    </row>
    <row r="7113" spans="1:5" s="103" customFormat="1" ht="13.2" hidden="1" outlineLevel="1" x14ac:dyDescent="0.25">
      <c r="A7113" s="106" t="s">
        <v>14228</v>
      </c>
      <c r="B7113" s="106" t="s">
        <v>14229</v>
      </c>
      <c r="C7113" s="106"/>
      <c r="D7113" s="106"/>
      <c r="E7113" s="52"/>
    </row>
    <row r="7114" spans="1:5" s="103" customFormat="1" ht="13.2" hidden="1" outlineLevel="1" x14ac:dyDescent="0.25">
      <c r="A7114" s="106" t="s">
        <v>14230</v>
      </c>
      <c r="B7114" s="106" t="s">
        <v>14231</v>
      </c>
      <c r="C7114" s="106"/>
      <c r="D7114" s="106"/>
      <c r="E7114" s="52"/>
    </row>
    <row r="7115" spans="1:5" s="103" customFormat="1" ht="13.2" hidden="1" outlineLevel="1" x14ac:dyDescent="0.25">
      <c r="A7115" s="106" t="s">
        <v>14232</v>
      </c>
      <c r="B7115" s="106" t="s">
        <v>14233</v>
      </c>
      <c r="C7115" s="106"/>
      <c r="D7115" s="106"/>
      <c r="E7115" s="52"/>
    </row>
    <row r="7116" spans="1:5" s="103" customFormat="1" ht="13.2" hidden="1" outlineLevel="1" x14ac:dyDescent="0.25">
      <c r="A7116" s="106" t="s">
        <v>14234</v>
      </c>
      <c r="B7116" s="106" t="s">
        <v>14235</v>
      </c>
      <c r="C7116" s="106"/>
      <c r="D7116" s="106"/>
      <c r="E7116" s="52"/>
    </row>
    <row r="7117" spans="1:5" s="103" customFormat="1" ht="13.2" hidden="1" outlineLevel="1" x14ac:dyDescent="0.25">
      <c r="A7117" s="106" t="s">
        <v>14236</v>
      </c>
      <c r="B7117" s="106" t="s">
        <v>14237</v>
      </c>
      <c r="C7117" s="106"/>
      <c r="D7117" s="106"/>
      <c r="E7117" s="52"/>
    </row>
    <row r="7118" spans="1:5" s="103" customFormat="1" ht="13.2" hidden="1" outlineLevel="1" x14ac:dyDescent="0.25">
      <c r="A7118" s="106" t="s">
        <v>14238</v>
      </c>
      <c r="B7118" s="106" t="s">
        <v>14239</v>
      </c>
      <c r="C7118" s="106"/>
      <c r="D7118" s="106"/>
      <c r="E7118" s="52"/>
    </row>
    <row r="7119" spans="1:5" s="103" customFormat="1" ht="13.2" hidden="1" outlineLevel="1" x14ac:dyDescent="0.25">
      <c r="A7119" s="106" t="s">
        <v>14240</v>
      </c>
      <c r="B7119" s="106" t="s">
        <v>14241</v>
      </c>
      <c r="C7119" s="106"/>
      <c r="D7119" s="106"/>
      <c r="E7119" s="52"/>
    </row>
    <row r="7120" spans="1:5" s="103" customFormat="1" ht="13.2" hidden="1" outlineLevel="1" x14ac:dyDescent="0.25">
      <c r="A7120" s="106" t="s">
        <v>14242</v>
      </c>
      <c r="B7120" s="106" t="s">
        <v>14243</v>
      </c>
      <c r="C7120" s="106"/>
      <c r="D7120" s="106"/>
      <c r="E7120" s="52"/>
    </row>
    <row r="7121" spans="1:5" s="103" customFormat="1" ht="13.2" hidden="1" outlineLevel="1" x14ac:dyDescent="0.25">
      <c r="A7121" s="106" t="s">
        <v>14244</v>
      </c>
      <c r="B7121" s="106" t="s">
        <v>14245</v>
      </c>
      <c r="C7121" s="106"/>
      <c r="D7121" s="106"/>
      <c r="E7121" s="52"/>
    </row>
    <row r="7122" spans="1:5" s="103" customFormat="1" ht="13.2" hidden="1" outlineLevel="1" x14ac:dyDescent="0.25">
      <c r="A7122" s="106" t="s">
        <v>14246</v>
      </c>
      <c r="B7122" s="106" t="s">
        <v>14247</v>
      </c>
      <c r="C7122" s="106"/>
      <c r="D7122" s="106"/>
      <c r="E7122" s="52"/>
    </row>
    <row r="7123" spans="1:5" s="103" customFormat="1" ht="13.2" hidden="1" outlineLevel="1" x14ac:dyDescent="0.25">
      <c r="A7123" s="106" t="s">
        <v>14248</v>
      </c>
      <c r="B7123" s="106" t="s">
        <v>14249</v>
      </c>
      <c r="C7123" s="106"/>
      <c r="D7123" s="106"/>
      <c r="E7123" s="52"/>
    </row>
    <row r="7124" spans="1:5" s="103" customFormat="1" ht="13.2" hidden="1" outlineLevel="1" x14ac:dyDescent="0.25">
      <c r="A7124" s="106" t="s">
        <v>14250</v>
      </c>
      <c r="B7124" s="106" t="s">
        <v>13530</v>
      </c>
      <c r="C7124" s="106"/>
      <c r="D7124" s="106"/>
      <c r="E7124" s="52"/>
    </row>
    <row r="7125" spans="1:5" s="103" customFormat="1" ht="13.2" hidden="1" outlineLevel="1" x14ac:dyDescent="0.25">
      <c r="A7125" s="106" t="s">
        <v>14251</v>
      </c>
      <c r="B7125" s="106" t="s">
        <v>14252</v>
      </c>
      <c r="C7125" s="106"/>
      <c r="D7125" s="106"/>
      <c r="E7125" s="52"/>
    </row>
    <row r="7126" spans="1:5" s="103" customFormat="1" ht="13.2" hidden="1" outlineLevel="1" x14ac:dyDescent="0.25">
      <c r="A7126" s="106" t="s">
        <v>14253</v>
      </c>
      <c r="B7126" s="106" t="s">
        <v>14254</v>
      </c>
      <c r="C7126" s="106"/>
      <c r="D7126" s="106"/>
      <c r="E7126" s="52"/>
    </row>
    <row r="7127" spans="1:5" s="103" customFormat="1" ht="13.2" hidden="1" outlineLevel="1" x14ac:dyDescent="0.25">
      <c r="A7127" s="106" t="s">
        <v>14255</v>
      </c>
      <c r="B7127" s="106" t="s">
        <v>14256</v>
      </c>
      <c r="C7127" s="106"/>
      <c r="D7127" s="106"/>
      <c r="E7127" s="52"/>
    </row>
    <row r="7128" spans="1:5" s="103" customFormat="1" ht="13.2" hidden="1" outlineLevel="1" x14ac:dyDescent="0.25">
      <c r="A7128" s="106" t="s">
        <v>14257</v>
      </c>
      <c r="B7128" s="106" t="s">
        <v>14258</v>
      </c>
      <c r="C7128" s="106"/>
      <c r="D7128" s="106"/>
      <c r="E7128" s="52"/>
    </row>
    <row r="7129" spans="1:5" s="103" customFormat="1" ht="13.2" hidden="1" outlineLevel="1" x14ac:dyDescent="0.25">
      <c r="A7129" s="106" t="s">
        <v>14259</v>
      </c>
      <c r="B7129" s="106" t="s">
        <v>13333</v>
      </c>
      <c r="C7129" s="106"/>
      <c r="D7129" s="106"/>
      <c r="E7129" s="52"/>
    </row>
    <row r="7130" spans="1:5" s="103" customFormat="1" ht="13.2" collapsed="1" x14ac:dyDescent="0.25">
      <c r="A7130" s="104" t="s">
        <v>14260</v>
      </c>
      <c r="B7130" s="105" t="s">
        <v>14261</v>
      </c>
      <c r="C7130" s="105"/>
      <c r="D7130" s="105"/>
      <c r="E7130" s="51"/>
    </row>
    <row r="7131" spans="1:5" s="103" customFormat="1" ht="13.2" hidden="1" outlineLevel="1" x14ac:dyDescent="0.25">
      <c r="A7131" s="106" t="s">
        <v>14262</v>
      </c>
      <c r="B7131" s="106" t="s">
        <v>14263</v>
      </c>
      <c r="C7131" s="106"/>
      <c r="D7131" s="106"/>
      <c r="E7131" s="52"/>
    </row>
    <row r="7132" spans="1:5" s="103" customFormat="1" ht="13.2" hidden="1" outlineLevel="1" x14ac:dyDescent="0.25">
      <c r="A7132" s="106" t="s">
        <v>14264</v>
      </c>
      <c r="B7132" s="106" t="s">
        <v>14265</v>
      </c>
      <c r="C7132" s="106"/>
      <c r="D7132" s="106"/>
      <c r="E7132" s="52"/>
    </row>
    <row r="7133" spans="1:5" s="103" customFormat="1" ht="13.2" hidden="1" outlineLevel="1" x14ac:dyDescent="0.25">
      <c r="A7133" s="106" t="s">
        <v>14266</v>
      </c>
      <c r="B7133" s="106" t="s">
        <v>14267</v>
      </c>
      <c r="C7133" s="106"/>
      <c r="D7133" s="106"/>
      <c r="E7133" s="52"/>
    </row>
    <row r="7134" spans="1:5" s="103" customFormat="1" ht="13.2" hidden="1" outlineLevel="1" x14ac:dyDescent="0.25">
      <c r="A7134" s="106" t="s">
        <v>14268</v>
      </c>
      <c r="B7134" s="106" t="s">
        <v>14269</v>
      </c>
      <c r="C7134" s="106"/>
      <c r="D7134" s="106"/>
      <c r="E7134" s="52"/>
    </row>
    <row r="7135" spans="1:5" s="103" customFormat="1" ht="13.2" hidden="1" outlineLevel="1" x14ac:dyDescent="0.25">
      <c r="A7135" s="106" t="s">
        <v>14270</v>
      </c>
      <c r="B7135" s="106" t="s">
        <v>14271</v>
      </c>
      <c r="C7135" s="106"/>
      <c r="D7135" s="106"/>
      <c r="E7135" s="52"/>
    </row>
    <row r="7136" spans="1:5" s="103" customFormat="1" ht="13.2" hidden="1" outlineLevel="1" x14ac:dyDescent="0.25">
      <c r="A7136" s="106" t="s">
        <v>14272</v>
      </c>
      <c r="B7136" s="106" t="s">
        <v>14273</v>
      </c>
      <c r="C7136" s="106"/>
      <c r="D7136" s="106"/>
      <c r="E7136" s="52"/>
    </row>
    <row r="7137" spans="1:5" s="103" customFormat="1" ht="13.2" hidden="1" outlineLevel="1" x14ac:dyDescent="0.25">
      <c r="A7137" s="106" t="s">
        <v>14274</v>
      </c>
      <c r="B7137" s="106" t="s">
        <v>14275</v>
      </c>
      <c r="C7137" s="106"/>
      <c r="D7137" s="106"/>
      <c r="E7137" s="52"/>
    </row>
    <row r="7138" spans="1:5" s="103" customFormat="1" ht="13.2" hidden="1" outlineLevel="1" x14ac:dyDescent="0.25">
      <c r="A7138" s="106" t="s">
        <v>14276</v>
      </c>
      <c r="B7138" s="106" t="s">
        <v>14277</v>
      </c>
      <c r="C7138" s="106"/>
      <c r="D7138" s="106"/>
      <c r="E7138" s="52"/>
    </row>
    <row r="7139" spans="1:5" s="103" customFormat="1" ht="13.2" hidden="1" outlineLevel="1" x14ac:dyDescent="0.25">
      <c r="A7139" s="106" t="s">
        <v>14278</v>
      </c>
      <c r="B7139" s="106" t="s">
        <v>14279</v>
      </c>
      <c r="C7139" s="106"/>
      <c r="D7139" s="106"/>
      <c r="E7139" s="52"/>
    </row>
    <row r="7140" spans="1:5" s="103" customFormat="1" ht="13.2" hidden="1" outlineLevel="1" x14ac:dyDescent="0.25">
      <c r="A7140" s="106" t="s">
        <v>14280</v>
      </c>
      <c r="B7140" s="106" t="s">
        <v>14281</v>
      </c>
      <c r="C7140" s="106"/>
      <c r="D7140" s="106"/>
      <c r="E7140" s="52"/>
    </row>
    <row r="7141" spans="1:5" s="103" customFormat="1" ht="13.2" hidden="1" outlineLevel="1" x14ac:dyDescent="0.25">
      <c r="A7141" s="106" t="s">
        <v>14282</v>
      </c>
      <c r="B7141" s="106" t="s">
        <v>14283</v>
      </c>
      <c r="C7141" s="106"/>
      <c r="D7141" s="106"/>
      <c r="E7141" s="52"/>
    </row>
    <row r="7142" spans="1:5" s="103" customFormat="1" ht="13.2" hidden="1" outlineLevel="1" x14ac:dyDescent="0.25">
      <c r="A7142" s="106" t="s">
        <v>14284</v>
      </c>
      <c r="B7142" s="106" t="s">
        <v>14285</v>
      </c>
      <c r="C7142" s="106"/>
      <c r="D7142" s="106"/>
      <c r="E7142" s="52"/>
    </row>
    <row r="7143" spans="1:5" s="103" customFormat="1" ht="13.2" hidden="1" outlineLevel="1" x14ac:dyDescent="0.25">
      <c r="A7143" s="106" t="s">
        <v>14286</v>
      </c>
      <c r="B7143" s="106" t="s">
        <v>14287</v>
      </c>
      <c r="C7143" s="106"/>
      <c r="D7143" s="106"/>
      <c r="E7143" s="52"/>
    </row>
    <row r="7144" spans="1:5" s="103" customFormat="1" ht="13.2" hidden="1" outlineLevel="1" x14ac:dyDescent="0.25">
      <c r="A7144" s="106" t="s">
        <v>14288</v>
      </c>
      <c r="B7144" s="106" t="s">
        <v>14289</v>
      </c>
      <c r="C7144" s="106"/>
      <c r="D7144" s="106"/>
      <c r="E7144" s="52"/>
    </row>
    <row r="7145" spans="1:5" s="103" customFormat="1" ht="13.2" hidden="1" outlineLevel="1" x14ac:dyDescent="0.25">
      <c r="A7145" s="106" t="s">
        <v>14290</v>
      </c>
      <c r="B7145" s="106" t="s">
        <v>14291</v>
      </c>
      <c r="C7145" s="106"/>
      <c r="D7145" s="106"/>
      <c r="E7145" s="52"/>
    </row>
    <row r="7146" spans="1:5" s="103" customFormat="1" ht="13.2" hidden="1" outlineLevel="1" x14ac:dyDescent="0.25">
      <c r="A7146" s="106" t="s">
        <v>14292</v>
      </c>
      <c r="B7146" s="106" t="s">
        <v>14293</v>
      </c>
      <c r="C7146" s="106"/>
      <c r="D7146" s="106"/>
      <c r="E7146" s="52"/>
    </row>
    <row r="7147" spans="1:5" s="103" customFormat="1" ht="13.2" hidden="1" outlineLevel="1" x14ac:dyDescent="0.25">
      <c r="A7147" s="106" t="s">
        <v>14294</v>
      </c>
      <c r="B7147" s="106" t="s">
        <v>14295</v>
      </c>
      <c r="C7147" s="106"/>
      <c r="D7147" s="106"/>
      <c r="E7147" s="52"/>
    </row>
    <row r="7148" spans="1:5" s="103" customFormat="1" ht="13.2" hidden="1" outlineLevel="1" x14ac:dyDescent="0.25">
      <c r="A7148" s="106" t="s">
        <v>14296</v>
      </c>
      <c r="B7148" s="106" t="s">
        <v>14297</v>
      </c>
      <c r="C7148" s="106"/>
      <c r="D7148" s="106"/>
      <c r="E7148" s="52"/>
    </row>
    <row r="7149" spans="1:5" s="103" customFormat="1" ht="13.2" hidden="1" outlineLevel="1" x14ac:dyDescent="0.25">
      <c r="A7149" s="106" t="s">
        <v>14368</v>
      </c>
      <c r="B7149" s="106" t="s">
        <v>14369</v>
      </c>
      <c r="C7149" s="106"/>
      <c r="D7149" s="106"/>
      <c r="E7149" s="52"/>
    </row>
    <row r="7150" spans="1:5" s="103" customFormat="1" ht="13.2" hidden="1" outlineLevel="1" x14ac:dyDescent="0.25">
      <c r="A7150" s="106" t="s">
        <v>14370</v>
      </c>
      <c r="B7150" s="106" t="s">
        <v>14371</v>
      </c>
      <c r="C7150" s="106"/>
      <c r="D7150" s="106"/>
      <c r="E7150" s="52"/>
    </row>
    <row r="7151" spans="1:5" s="103" customFormat="1" ht="13.2" hidden="1" outlineLevel="1" x14ac:dyDescent="0.25">
      <c r="A7151" s="106" t="s">
        <v>14298</v>
      </c>
      <c r="B7151" s="106" t="s">
        <v>14299</v>
      </c>
      <c r="C7151" s="106"/>
      <c r="D7151" s="106"/>
      <c r="E7151" s="52"/>
    </row>
    <row r="7152" spans="1:5" s="103" customFormat="1" ht="13.2" hidden="1" outlineLevel="1" x14ac:dyDescent="0.25">
      <c r="A7152" s="106" t="s">
        <v>14300</v>
      </c>
      <c r="B7152" s="106" t="s">
        <v>14301</v>
      </c>
      <c r="C7152" s="106"/>
      <c r="D7152" s="106"/>
      <c r="E7152" s="52"/>
    </row>
    <row r="7153" spans="1:5" s="103" customFormat="1" ht="13.2" hidden="1" outlineLevel="1" x14ac:dyDescent="0.25">
      <c r="A7153" s="106" t="s">
        <v>14302</v>
      </c>
      <c r="B7153" s="106" t="s">
        <v>14303</v>
      </c>
      <c r="C7153" s="106"/>
      <c r="D7153" s="106"/>
      <c r="E7153" s="52"/>
    </row>
    <row r="7154" spans="1:5" s="103" customFormat="1" ht="13.2" hidden="1" outlineLevel="1" x14ac:dyDescent="0.25">
      <c r="A7154" s="106" t="s">
        <v>14304</v>
      </c>
      <c r="B7154" s="106" t="s">
        <v>14305</v>
      </c>
      <c r="C7154" s="106"/>
      <c r="D7154" s="106"/>
      <c r="E7154" s="52"/>
    </row>
    <row r="7155" spans="1:5" s="103" customFormat="1" ht="13.2" hidden="1" outlineLevel="1" x14ac:dyDescent="0.25">
      <c r="A7155" s="106" t="s">
        <v>14306</v>
      </c>
      <c r="B7155" s="106" t="s">
        <v>14307</v>
      </c>
      <c r="C7155" s="106"/>
      <c r="D7155" s="106"/>
      <c r="E7155" s="52"/>
    </row>
    <row r="7156" spans="1:5" s="103" customFormat="1" ht="13.2" hidden="1" outlineLevel="1" x14ac:dyDescent="0.25">
      <c r="A7156" s="106" t="s">
        <v>14308</v>
      </c>
      <c r="B7156" s="106" t="s">
        <v>14309</v>
      </c>
      <c r="C7156" s="106"/>
      <c r="D7156" s="106"/>
      <c r="E7156" s="52"/>
    </row>
    <row r="7157" spans="1:5" s="103" customFormat="1" ht="13.2" hidden="1" outlineLevel="1" x14ac:dyDescent="0.25">
      <c r="A7157" s="106" t="s">
        <v>14310</v>
      </c>
      <c r="B7157" s="106" t="s">
        <v>14311</v>
      </c>
      <c r="C7157" s="106"/>
      <c r="D7157" s="106"/>
      <c r="E7157" s="52"/>
    </row>
    <row r="7158" spans="1:5" s="103" customFormat="1" ht="13.2" hidden="1" outlineLevel="1" x14ac:dyDescent="0.25">
      <c r="A7158" s="106" t="s">
        <v>14312</v>
      </c>
      <c r="B7158" s="106" t="s">
        <v>14313</v>
      </c>
      <c r="C7158" s="106"/>
      <c r="D7158" s="106"/>
      <c r="E7158" s="52"/>
    </row>
    <row r="7159" spans="1:5" s="103" customFormat="1" ht="13.2" hidden="1" outlineLevel="1" x14ac:dyDescent="0.25">
      <c r="A7159" s="106" t="s">
        <v>14314</v>
      </c>
      <c r="B7159" s="106" t="s">
        <v>14315</v>
      </c>
      <c r="C7159" s="106"/>
      <c r="D7159" s="106"/>
      <c r="E7159" s="52"/>
    </row>
    <row r="7160" spans="1:5" s="103" customFormat="1" ht="13.2" hidden="1" outlineLevel="1" x14ac:dyDescent="0.25">
      <c r="A7160" s="106" t="s">
        <v>14372</v>
      </c>
      <c r="B7160" s="106" t="s">
        <v>14373</v>
      </c>
      <c r="C7160" s="106"/>
      <c r="D7160" s="106"/>
      <c r="E7160" s="52"/>
    </row>
    <row r="7161" spans="1:5" s="103" customFormat="1" ht="13.2" hidden="1" outlineLevel="1" x14ac:dyDescent="0.25">
      <c r="A7161" s="106" t="s">
        <v>14374</v>
      </c>
      <c r="B7161" s="106" t="s">
        <v>14375</v>
      </c>
      <c r="C7161" s="106"/>
      <c r="D7161" s="106"/>
      <c r="E7161" s="52"/>
    </row>
    <row r="7162" spans="1:5" s="103" customFormat="1" ht="13.2" hidden="1" outlineLevel="1" x14ac:dyDescent="0.25">
      <c r="A7162" s="106" t="s">
        <v>14376</v>
      </c>
      <c r="B7162" s="106" t="s">
        <v>14377</v>
      </c>
      <c r="C7162" s="106"/>
      <c r="D7162" s="106"/>
      <c r="E7162" s="52"/>
    </row>
    <row r="7163" spans="1:5" s="103" customFormat="1" ht="13.2" hidden="1" outlineLevel="1" x14ac:dyDescent="0.25">
      <c r="A7163" s="106" t="s">
        <v>14316</v>
      </c>
      <c r="B7163" s="106" t="s">
        <v>14317</v>
      </c>
      <c r="C7163" s="106"/>
      <c r="D7163" s="106"/>
      <c r="E7163" s="52"/>
    </row>
    <row r="7164" spans="1:5" s="103" customFormat="1" ht="13.2" hidden="1" outlineLevel="1" x14ac:dyDescent="0.25">
      <c r="A7164" s="106" t="s">
        <v>14318</v>
      </c>
      <c r="B7164" s="106" t="s">
        <v>14319</v>
      </c>
      <c r="C7164" s="106"/>
      <c r="D7164" s="106"/>
      <c r="E7164" s="52"/>
    </row>
    <row r="7165" spans="1:5" s="103" customFormat="1" ht="13.2" hidden="1" outlineLevel="1" x14ac:dyDescent="0.25">
      <c r="A7165" s="106" t="s">
        <v>14320</v>
      </c>
      <c r="B7165" s="106" t="s">
        <v>14321</v>
      </c>
      <c r="C7165" s="106"/>
      <c r="D7165" s="106"/>
      <c r="E7165" s="52"/>
    </row>
    <row r="7166" spans="1:5" s="103" customFormat="1" ht="13.2" hidden="1" outlineLevel="1" x14ac:dyDescent="0.25">
      <c r="A7166" s="106" t="s">
        <v>14322</v>
      </c>
      <c r="B7166" s="106" t="s">
        <v>14323</v>
      </c>
      <c r="C7166" s="106"/>
      <c r="D7166" s="106"/>
      <c r="E7166" s="52"/>
    </row>
    <row r="7167" spans="1:5" s="103" customFormat="1" ht="13.2" hidden="1" outlineLevel="1" x14ac:dyDescent="0.25">
      <c r="A7167" s="106" t="s">
        <v>14324</v>
      </c>
      <c r="B7167" s="106" t="s">
        <v>14325</v>
      </c>
      <c r="C7167" s="106"/>
      <c r="D7167" s="106"/>
      <c r="E7167" s="52"/>
    </row>
    <row r="7168" spans="1:5" s="103" customFormat="1" ht="13.2" hidden="1" outlineLevel="1" x14ac:dyDescent="0.25">
      <c r="A7168" s="106" t="s">
        <v>14326</v>
      </c>
      <c r="B7168" s="106" t="s">
        <v>14327</v>
      </c>
      <c r="C7168" s="106"/>
      <c r="D7168" s="106"/>
      <c r="E7168" s="52"/>
    </row>
    <row r="7169" spans="1:5" s="103" customFormat="1" ht="13.2" hidden="1" outlineLevel="1" x14ac:dyDescent="0.25">
      <c r="A7169" s="106" t="s">
        <v>14328</v>
      </c>
      <c r="B7169" s="106" t="s">
        <v>14329</v>
      </c>
      <c r="C7169" s="106"/>
      <c r="D7169" s="106"/>
      <c r="E7169" s="52"/>
    </row>
    <row r="7170" spans="1:5" s="103" customFormat="1" ht="13.2" hidden="1" outlineLevel="1" x14ac:dyDescent="0.25">
      <c r="A7170" s="106" t="s">
        <v>14330</v>
      </c>
      <c r="B7170" s="106" t="s">
        <v>14331</v>
      </c>
      <c r="C7170" s="106"/>
      <c r="D7170" s="106"/>
      <c r="E7170" s="52"/>
    </row>
    <row r="7171" spans="1:5" s="103" customFormat="1" ht="13.2" hidden="1" outlineLevel="1" x14ac:dyDescent="0.25">
      <c r="A7171" s="106" t="s">
        <v>14332</v>
      </c>
      <c r="B7171" s="106" t="s">
        <v>14333</v>
      </c>
      <c r="C7171" s="106"/>
      <c r="D7171" s="106"/>
      <c r="E7171" s="52"/>
    </row>
    <row r="7172" spans="1:5" s="103" customFormat="1" ht="13.2" hidden="1" outlineLevel="1" x14ac:dyDescent="0.25">
      <c r="A7172" s="106" t="s">
        <v>14334</v>
      </c>
      <c r="B7172" s="106" t="s">
        <v>14335</v>
      </c>
      <c r="C7172" s="106"/>
      <c r="D7172" s="106"/>
      <c r="E7172" s="52"/>
    </row>
    <row r="7173" spans="1:5" s="103" customFormat="1" ht="13.2" hidden="1" outlineLevel="1" x14ac:dyDescent="0.25">
      <c r="A7173" s="106" t="s">
        <v>14336</v>
      </c>
      <c r="B7173" s="106" t="s">
        <v>14337</v>
      </c>
      <c r="C7173" s="106"/>
      <c r="D7173" s="106"/>
      <c r="E7173" s="52"/>
    </row>
    <row r="7174" spans="1:5" s="103" customFormat="1" ht="13.2" hidden="1" outlineLevel="1" x14ac:dyDescent="0.25">
      <c r="A7174" s="106" t="s">
        <v>14338</v>
      </c>
      <c r="B7174" s="106" t="s">
        <v>14339</v>
      </c>
      <c r="C7174" s="106"/>
      <c r="D7174" s="106"/>
      <c r="E7174" s="52"/>
    </row>
    <row r="7175" spans="1:5" s="103" customFormat="1" ht="13.2" hidden="1" outlineLevel="1" x14ac:dyDescent="0.25">
      <c r="A7175" s="106" t="s">
        <v>14340</v>
      </c>
      <c r="B7175" s="106" t="s">
        <v>14341</v>
      </c>
      <c r="C7175" s="106"/>
      <c r="D7175" s="106"/>
      <c r="E7175" s="52"/>
    </row>
    <row r="7176" spans="1:5" s="103" customFormat="1" ht="13.2" hidden="1" outlineLevel="1" x14ac:dyDescent="0.25">
      <c r="A7176" s="106" t="s">
        <v>14342</v>
      </c>
      <c r="B7176" s="106" t="s">
        <v>14343</v>
      </c>
      <c r="C7176" s="106"/>
      <c r="D7176" s="106"/>
      <c r="E7176" s="52"/>
    </row>
    <row r="7177" spans="1:5" s="103" customFormat="1" ht="13.2" hidden="1" outlineLevel="1" x14ac:dyDescent="0.25">
      <c r="A7177" s="106" t="s">
        <v>14344</v>
      </c>
      <c r="B7177" s="106" t="s">
        <v>14345</v>
      </c>
      <c r="C7177" s="106"/>
      <c r="D7177" s="106"/>
      <c r="E7177" s="52"/>
    </row>
    <row r="7178" spans="1:5" s="103" customFormat="1" ht="13.2" hidden="1" outlineLevel="1" x14ac:dyDescent="0.25">
      <c r="A7178" s="106" t="s">
        <v>14346</v>
      </c>
      <c r="B7178" s="106" t="s">
        <v>14347</v>
      </c>
      <c r="C7178" s="106"/>
      <c r="D7178" s="106"/>
      <c r="E7178" s="52"/>
    </row>
    <row r="7179" spans="1:5" s="103" customFormat="1" ht="13.2" hidden="1" outlineLevel="1" x14ac:dyDescent="0.25">
      <c r="A7179" s="106" t="s">
        <v>14348</v>
      </c>
      <c r="B7179" s="106" t="s">
        <v>14349</v>
      </c>
      <c r="C7179" s="106"/>
      <c r="D7179" s="106"/>
      <c r="E7179" s="52"/>
    </row>
    <row r="7180" spans="1:5" s="103" customFormat="1" ht="13.2" hidden="1" outlineLevel="1" x14ac:dyDescent="0.25">
      <c r="A7180" s="106" t="s">
        <v>14350</v>
      </c>
      <c r="B7180" s="106" t="s">
        <v>14351</v>
      </c>
      <c r="C7180" s="106"/>
      <c r="D7180" s="106"/>
      <c r="E7180" s="52"/>
    </row>
    <row r="7181" spans="1:5" s="103" customFormat="1" ht="13.2" hidden="1" outlineLevel="1" x14ac:dyDescent="0.25">
      <c r="A7181" s="106" t="s">
        <v>14352</v>
      </c>
      <c r="B7181" s="106" t="s">
        <v>14353</v>
      </c>
      <c r="C7181" s="106"/>
      <c r="D7181" s="106"/>
      <c r="E7181" s="52"/>
    </row>
    <row r="7182" spans="1:5" s="103" customFormat="1" ht="13.2" hidden="1" outlineLevel="1" x14ac:dyDescent="0.25">
      <c r="A7182" s="106" t="s">
        <v>14354</v>
      </c>
      <c r="B7182" s="106" t="s">
        <v>14355</v>
      </c>
      <c r="C7182" s="106"/>
      <c r="D7182" s="106"/>
      <c r="E7182" s="52"/>
    </row>
    <row r="7183" spans="1:5" s="103" customFormat="1" ht="13.2" hidden="1" outlineLevel="1" x14ac:dyDescent="0.25">
      <c r="A7183" s="106" t="s">
        <v>14356</v>
      </c>
      <c r="B7183" s="106" t="s">
        <v>14357</v>
      </c>
      <c r="C7183" s="106"/>
      <c r="D7183" s="106"/>
      <c r="E7183" s="52"/>
    </row>
    <row r="7184" spans="1:5" s="103" customFormat="1" ht="13.2" hidden="1" outlineLevel="1" x14ac:dyDescent="0.25">
      <c r="A7184" s="106" t="s">
        <v>14358</v>
      </c>
      <c r="B7184" s="106" t="s">
        <v>14359</v>
      </c>
      <c r="C7184" s="106"/>
      <c r="D7184" s="106"/>
      <c r="E7184" s="52"/>
    </row>
    <row r="7185" spans="1:5" s="103" customFormat="1" ht="13.2" hidden="1" outlineLevel="1" x14ac:dyDescent="0.25">
      <c r="A7185" s="106" t="s">
        <v>14360</v>
      </c>
      <c r="B7185" s="106" t="s">
        <v>14361</v>
      </c>
      <c r="C7185" s="106"/>
      <c r="D7185" s="106"/>
      <c r="E7185" s="52"/>
    </row>
    <row r="7186" spans="1:5" s="103" customFormat="1" ht="13.2" hidden="1" outlineLevel="1" x14ac:dyDescent="0.25">
      <c r="A7186" s="106" t="s">
        <v>14362</v>
      </c>
      <c r="B7186" s="106" t="s">
        <v>14363</v>
      </c>
      <c r="C7186" s="106"/>
      <c r="D7186" s="106"/>
      <c r="E7186" s="52"/>
    </row>
    <row r="7187" spans="1:5" s="103" customFormat="1" ht="13.2" hidden="1" outlineLevel="1" x14ac:dyDescent="0.25">
      <c r="A7187" s="106" t="s">
        <v>14364</v>
      </c>
      <c r="B7187" s="106" t="s">
        <v>14365</v>
      </c>
      <c r="C7187" s="106"/>
      <c r="D7187" s="106"/>
      <c r="E7187" s="52"/>
    </row>
    <row r="7188" spans="1:5" s="103" customFormat="1" ht="13.2" hidden="1" outlineLevel="1" x14ac:dyDescent="0.25">
      <c r="A7188" s="106" t="s">
        <v>14366</v>
      </c>
      <c r="B7188" s="106" t="s">
        <v>14367</v>
      </c>
      <c r="C7188" s="106"/>
      <c r="D7188" s="106"/>
      <c r="E7188" s="52"/>
    </row>
    <row r="7189" spans="1:5" s="103" customFormat="1" ht="13.2" collapsed="1" x14ac:dyDescent="0.25">
      <c r="A7189" s="106"/>
      <c r="B7189" s="106"/>
      <c r="C7189" s="106"/>
      <c r="D7189" s="106"/>
      <c r="E7189" s="10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B4"/>
    </sheetView>
  </sheetViews>
  <sheetFormatPr defaultRowHeight="13.2" x14ac:dyDescent="0.25"/>
  <cols>
    <col min="1" max="1" width="22.88671875" bestFit="1" customWidth="1"/>
  </cols>
  <sheetData>
    <row r="1" spans="1:2" x14ac:dyDescent="0.25">
      <c r="A1" s="1" t="s">
        <v>26</v>
      </c>
      <c r="B1" t="s">
        <v>47</v>
      </c>
    </row>
    <row r="2" spans="1:2" x14ac:dyDescent="0.25">
      <c r="A2" s="1" t="s">
        <v>32</v>
      </c>
      <c r="B2" s="1" t="s">
        <v>32</v>
      </c>
    </row>
    <row r="3" spans="1:2" x14ac:dyDescent="0.25">
      <c r="A3" s="1" t="s">
        <v>29</v>
      </c>
      <c r="B3" t="s">
        <v>48</v>
      </c>
    </row>
    <row r="4" spans="1:2" x14ac:dyDescent="0.25">
      <c r="A4" s="1" t="s">
        <v>27</v>
      </c>
      <c r="B4" t="s">
        <v>49</v>
      </c>
    </row>
    <row r="5" spans="1:2" x14ac:dyDescent="0.25">
      <c r="A5" s="1" t="s">
        <v>28</v>
      </c>
    </row>
    <row r="6" spans="1:2" x14ac:dyDescent="0.25">
      <c r="A6" s="1" t="s">
        <v>30</v>
      </c>
    </row>
    <row r="7" spans="1:2" x14ac:dyDescent="0.25">
      <c r="A7" s="1" t="s">
        <v>31</v>
      </c>
    </row>
  </sheetData>
  <customSheetViews>
    <customSheetView guid="{745DB71F-8933-41D7-BE5B-16A940EDBBE9}" state="hidden">
      <selection activeCell="B2" sqref="B2:B4"/>
      <pageMargins left="0.7" right="0.7" top="0.75" bottom="0.75" header="0.3" footer="0.3"/>
    </customSheetView>
    <customSheetView guid="{5022875D-193C-41EC-BB2F-46BD922E594A}" state="hidden">
      <selection activeCell="B2" sqref="B2:B4"/>
      <pageMargins left="0.7" right="0.7" top="0.75" bottom="0.75" header="0.3" footer="0.3"/>
    </customSheetView>
    <customSheetView guid="{23DC8B3D-8B5E-4886-8175-FE20CCB314E2}" state="hidden">
      <selection activeCell="B2" sqref="B2:B4"/>
      <pageMargins left="0.7" right="0.7" top="0.75" bottom="0.75" header="0.3" footer="0.3"/>
    </customSheetView>
    <customSheetView guid="{133066FC-E63E-478B-AF61-B83EA814B20D}" state="hidden">
      <selection activeCell="B2" sqref="B2:B4"/>
      <pageMargins left="0.7" right="0.7" top="0.75" bottom="0.75" header="0.3" footer="0.3"/>
    </customSheetView>
    <customSheetView guid="{1AACC9AA-928C-4EAC-BFCD-1D4B799515C7}" state="hidden">
      <selection activeCell="B2" sqref="B2:B4"/>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SPU Document" ma:contentTypeID="0x01010047284FF57F6F82488E7A990F3CC4B47D007E251B9990320D46B9D8F0438378B43C" ma:contentTypeVersion="25" ma:contentTypeDescription="Parent type for all content types used within SPU SharePoint." ma:contentTypeScope="" ma:versionID="53bb14c5170d16f088e53927818eda59">
  <xsd:schema xmlns:xsd="http://www.w3.org/2001/XMLSchema" xmlns:xs="http://www.w3.org/2001/XMLSchema" xmlns:p="http://schemas.microsoft.com/office/2006/metadata/properties" xmlns:ns2="97c2a25c-25db-4634-b347-87ab0af10b27" xmlns:ns3="e792a105-b33c-4b4e-b161-5b7a4b991387" xmlns:ns4="4dfdcb11-7103-4709-826a-f2fe40cb7d64" targetNamespace="http://schemas.microsoft.com/office/2006/metadata/properties" ma:root="true" ma:fieldsID="92174dd9103f49168417899e3a245cfa" ns2:_="" ns3:_="" ns4:_="">
    <xsd:import namespace="97c2a25c-25db-4634-b347-87ab0af10b27"/>
    <xsd:import namespace="e792a105-b33c-4b4e-b161-5b7a4b991387"/>
    <xsd:import namespace="4dfdcb11-7103-4709-826a-f2fe40cb7d64"/>
    <xsd:element name="properties">
      <xsd:complexType>
        <xsd:sequence>
          <xsd:element name="documentManagement">
            <xsd:complexType>
              <xsd:all>
                <xsd:element ref="ns2:k67782cd903b44f380c1182fda17f8be" minOccurs="0"/>
                <xsd:element ref="ns2:TaxCatchAll" minOccurs="0"/>
                <xsd:element ref="ns2:TaxCatchAllLabel" minOccurs="0"/>
                <xsd:element ref="ns2:db1547e23eb44cfa91dac03451320372" minOccurs="0"/>
                <xsd:element ref="ns3:_dlc_DocId" minOccurs="0"/>
                <xsd:element ref="ns3:_dlc_DocIdUrl" minOccurs="0"/>
                <xsd:element ref="ns3:_dlc_DocIdPersistId" minOccurs="0"/>
                <xsd:element ref="ns4:Chapt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c2a25c-25db-4634-b347-87ab0af10b27" elementFormDefault="qualified">
    <xsd:import namespace="http://schemas.microsoft.com/office/2006/documentManagement/types"/>
    <xsd:import namespace="http://schemas.microsoft.com/office/infopath/2007/PartnerControls"/>
    <xsd:element name="k67782cd903b44f380c1182fda17f8be" ma:index="8" nillable="true" ma:taxonomy="true" ma:internalName="k67782cd903b44f380c1182fda17f8be" ma:taxonomyFieldName="Security_x0020_Classification" ma:displayName="Security Classification" ma:default="1;#public|53d2ed68-c07c-42c7-b361-75f2b6fe2982" ma:fieldId="{467782cd-903b-44f3-80c1-182fda17f8be}" ma:sspId="dec48df8-e8cc-4a73-a73e-519b29584afd" ma:termSetId="49d40492-1ead-4e74-9cb8-db118c780e02" ma:anchorId="8ed85af1-67e6-450b-9cf2-2396b129ee21" ma:open="false" ma:isKeyword="false">
      <xsd:complexType>
        <xsd:sequence>
          <xsd:element ref="pc:Terms" minOccurs="0" maxOccurs="1"/>
        </xsd:sequence>
      </xsd:complexType>
    </xsd:element>
    <xsd:element name="TaxCatchAll" ma:index="9" nillable="true" ma:displayName="Taxonomy Catch All Column" ma:description="" ma:hidden="true" ma:list="{091a8dff-9136-4764-b7bd-140f3b087024}" ma:internalName="TaxCatchAll" ma:showField="CatchAllData" ma:web="e792a105-b33c-4b4e-b161-5b7a4b99138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091a8dff-9136-4764-b7bd-140f3b087024}" ma:internalName="TaxCatchAllLabel" ma:readOnly="true" ma:showField="CatchAllDataLabel" ma:web="e792a105-b33c-4b4e-b161-5b7a4b991387">
      <xsd:complexType>
        <xsd:complexContent>
          <xsd:extension base="dms:MultiChoiceLookup">
            <xsd:sequence>
              <xsd:element name="Value" type="dms:Lookup" maxOccurs="unbounded" minOccurs="0" nillable="true"/>
            </xsd:sequence>
          </xsd:extension>
        </xsd:complexContent>
      </xsd:complexType>
    </xsd:element>
    <xsd:element name="db1547e23eb44cfa91dac03451320372" ma:index="12" nillable="true" ma:taxonomy="true" ma:internalName="db1547e23eb44cfa91dac03451320372" ma:taxonomyFieldName="DocStatus" ma:displayName="Doc Status" ma:default="" ma:fieldId="{db1547e2-3eb4-4cfa-91da-c03451320372}" ma:sspId="dec48df8-e8cc-4a73-a73e-519b29584afd" ma:termSetId="49d40492-1ead-4e74-9cb8-db118c780e02" ma:anchorId="4e94029a-3fd2-486e-be39-f5e60d055928"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92a105-b33c-4b4e-b161-5b7a4b991387"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fdcb11-7103-4709-826a-f2fe40cb7d64" elementFormDefault="qualified">
    <xsd:import namespace="http://schemas.microsoft.com/office/2006/documentManagement/types"/>
    <xsd:import namespace="http://schemas.microsoft.com/office/infopath/2007/PartnerControls"/>
    <xsd:element name="Chapter" ma:index="17" ma:displayName="Chapter" ma:internalName="Chapt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ec48df8-e8cc-4a73-a73e-519b29584afd" ContentTypeId="0x01010047284FF57F6F82488E7A990F3CC4B47D" PreviousValue="false"/>
</file>

<file path=customXml/item5.xml><?xml version="1.0" encoding="utf-8"?>
<p:properties xmlns:p="http://schemas.microsoft.com/office/2006/metadata/properties" xmlns:xsi="http://www.w3.org/2001/XMLSchema-instance">
  <documentManagement>
    <db1547e23eb44cfa91dac03451320372 xmlns="97c2a25c-25db-4634-b347-87ab0af10b27">
      <Terms xmlns="http://schemas.microsoft.com/office/infopath/2007/PartnerControls"/>
    </db1547e23eb44cfa91dac03451320372>
    <k67782cd903b44f380c1182fda17f8be xmlns="97c2a25c-25db-4634-b347-87ab0af10b27">
      <Terms xmlns="http://schemas.microsoft.com/office/infopath/2007/PartnerControls"/>
    </k67782cd903b44f380c1182fda17f8be>
    <TaxCatchAll xmlns="97c2a25c-25db-4634-b347-87ab0af10b27"/>
    <_dlc_DocId xmlns="e792a105-b33c-4b4e-b161-5b7a4b991387">SPUT1-1735919609-57</_dlc_DocId>
    <_dlc_DocIdUrl xmlns="e792a105-b33c-4b4e-b161-5b7a4b991387">
      <Url>https://seattlegov.sharepoint.com/sites/SPU-T1/PASS/_layouts/15/DocIdRedir.aspx?ID=SPUT1-1735919609-57</Url>
      <Description>SPUT1-1735919609-57</Description>
    </_dlc_DocIdUrl>
    <Chapter xmlns="4dfdcb11-7103-4709-826a-f2fe40cb7d64">66</Chapter>
  </documentManagement>
</p:properties>
</file>

<file path=customXml/itemProps1.xml><?xml version="1.0" encoding="utf-8"?>
<ds:datastoreItem xmlns:ds="http://schemas.openxmlformats.org/officeDocument/2006/customXml" ds:itemID="{19FD9040-3F77-42DD-A0F6-5F3DCB8848F0}">
  <ds:schemaRefs>
    <ds:schemaRef ds:uri="http://schemas.microsoft.com/sharepoint/v3/contenttype/forms"/>
  </ds:schemaRefs>
</ds:datastoreItem>
</file>

<file path=customXml/itemProps2.xml><?xml version="1.0" encoding="utf-8"?>
<ds:datastoreItem xmlns:ds="http://schemas.openxmlformats.org/officeDocument/2006/customXml" ds:itemID="{D5F22E9C-5BDE-48B0-8567-C783C5C13659}">
  <ds:schemaRefs>
    <ds:schemaRef ds:uri="http://schemas.microsoft.com/sharepoint/events"/>
  </ds:schemaRefs>
</ds:datastoreItem>
</file>

<file path=customXml/itemProps3.xml><?xml version="1.0" encoding="utf-8"?>
<ds:datastoreItem xmlns:ds="http://schemas.openxmlformats.org/officeDocument/2006/customXml" ds:itemID="{23B6924B-9E8B-4BB6-9255-8B499FB73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c2a25c-25db-4634-b347-87ab0af10b27"/>
    <ds:schemaRef ds:uri="e792a105-b33c-4b4e-b161-5b7a4b991387"/>
    <ds:schemaRef ds:uri="4dfdcb11-7103-4709-826a-f2fe40cb7d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FEC860B-25B9-4E87-88B8-08D51F4DB8CB}">
  <ds:schemaRefs>
    <ds:schemaRef ds:uri="Microsoft.SharePoint.Taxonomy.ContentTypeSync"/>
  </ds:schemaRefs>
</ds:datastoreItem>
</file>

<file path=customXml/itemProps5.xml><?xml version="1.0" encoding="utf-8"?>
<ds:datastoreItem xmlns:ds="http://schemas.openxmlformats.org/officeDocument/2006/customXml" ds:itemID="{92A55F3B-CA29-4FF9-8769-1890A0D12E9C}">
  <ds:schemaRefs>
    <ds:schemaRef ds:uri="http://purl.org/dc/elements/1.1/"/>
    <ds:schemaRef ds:uri="http://schemas.microsoft.com/office/2006/documentManagement/types"/>
    <ds:schemaRef ds:uri="http://www.w3.org/XML/1998/namespace"/>
    <ds:schemaRef ds:uri="97c2a25c-25db-4634-b347-87ab0af10b27"/>
    <ds:schemaRef ds:uri="http://purl.org/dc/terms/"/>
    <ds:schemaRef ds:uri="e792a105-b33c-4b4e-b161-5b7a4b991387"/>
    <ds:schemaRef ds:uri="http://purl.org/dc/dcmitype/"/>
    <ds:schemaRef ds:uri="http://schemas.microsoft.com/office/infopath/2007/PartnerControls"/>
    <ds:schemaRef ds:uri="http://schemas.openxmlformats.org/package/2006/metadata/core-properties"/>
    <ds:schemaRef ds:uri="4dfdcb11-7103-4709-826a-f2fe40cb7d6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Menu</vt:lpstr>
      <vt:lpstr>Construction Contract Amount</vt:lpstr>
      <vt:lpstr>Total Cost Projection</vt:lpstr>
      <vt:lpstr>Cash Flow for Early Estimates</vt:lpstr>
      <vt:lpstr>Sheet1</vt:lpstr>
      <vt:lpstr>2017 APWA</vt:lpstr>
      <vt:lpstr>2017 CSI</vt:lpstr>
      <vt:lpstr>CSI Summary</vt:lpstr>
      <vt:lpstr>lists</vt:lpstr>
      <vt:lpstr>PlanningPhase</vt:lpstr>
      <vt:lpstr>'Cash Flow for Early Estimates'!Print_Area</vt:lpstr>
      <vt:lpstr>'Construction Contract Amount'!Print_Area</vt:lpstr>
      <vt:lpstr>'CSI Summary'!Print_Area</vt:lpstr>
      <vt:lpstr>Menu!Print_Area</vt:lpstr>
      <vt:lpstr>'Total Cost Projection'!Print_Area</vt:lpstr>
      <vt:lpstr>'2017 APWA'!Print_Titles</vt:lpstr>
      <vt:lpstr>'2017 CSI'!Print_Titles</vt:lpstr>
      <vt:lpstr>ProjectPhase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Kyte, Logan</dc:creator>
  <cp:lastModifiedBy>Kyte, Logan</cp:lastModifiedBy>
  <cp:lastPrinted>2017-10-06T23:22:24Z</cp:lastPrinted>
  <dcterms:created xsi:type="dcterms:W3CDTF">2008-01-30T18:10:17Z</dcterms:created>
  <dcterms:modified xsi:type="dcterms:W3CDTF">2017-10-19T22:39:53Z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0x01010047284FF57F6F82488E7A990F3CC4B47D007E251B9990320D46B9D8F0438378B43C</vt:lpwstr>
  </property>
  <property fmtid="{D5CDD505-2E9C-101B-9397-08002B2CF9AE}" pid="3" name="Author">
    <vt:lpwstr>3;#;UserInfo</vt:lpwstr>
  </property>
  <property fmtid="{D5CDD505-2E9C-101B-9397-08002B2CF9AE}" pid="4" name="_ShortcutWebId">
    <vt:lpwstr/>
  </property>
  <property fmtid="{D5CDD505-2E9C-101B-9397-08002B2CF9AE}" pid="5" name="_ShortcutUniqueId">
    <vt:lpwstr/>
  </property>
  <property fmtid="{D5CDD505-2E9C-101B-9397-08002B2CF9AE}" pid="6" name="_ShortcutSiteId">
    <vt:lpwstr/>
  </property>
  <property fmtid="{D5CDD505-2E9C-101B-9397-08002B2CF9AE}" pid="7" name="_ShortcutUrl">
    <vt:lpwstr/>
  </property>
  <property fmtid="{D5CDD505-2E9C-101B-9397-08002B2CF9AE}" pid="8" name="Created">
    <vt:filetime>2015-02-04T00:39:42Z</vt:filetime>
  </property>
  <property fmtid="{D5CDD505-2E9C-101B-9397-08002B2CF9AE}" pid="9" name="Modified">
    <vt:filetime>2015-12-30T02:01:17Z</vt:filetime>
  </property>
  <property fmtid="{D5CDD505-2E9C-101B-9397-08002B2CF9AE}" pid="10" name="Editor">
    <vt:lpwstr>3;#;UserInfo</vt:lpwstr>
  </property>
  <property fmtid="{D5CDD505-2E9C-101B-9397-08002B2CF9AE}" pid="11" name="_dlc_DocIdItemGuid">
    <vt:lpwstr>54a3d86d-a423-54c3-a3f3-a2c166d7ae91</vt:lpwstr>
  </property>
  <property fmtid="{D5CDD505-2E9C-101B-9397-08002B2CF9AE}" pid="12" name="DocStatus">
    <vt:lpwstr/>
  </property>
  <property fmtid="{D5CDD505-2E9C-101B-9397-08002B2CF9AE}" pid="13" name="Security Classification">
    <vt:lpwstr/>
  </property>
</Properties>
</file>